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K562_lysate_PBS_R2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3147" i="1" l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<sst xmlns="http://schemas.openxmlformats.org/spreadsheetml/2006/main" count="52896" uniqueCount="32772">
  <si>
    <t>Protein_ID</t>
  </si>
  <si>
    <t>plot</t>
  </si>
  <si>
    <t>gene_name</t>
  </si>
  <si>
    <t>uniprot_ac</t>
  </si>
  <si>
    <t>auc</t>
  </si>
  <si>
    <t>plot_link</t>
  </si>
  <si>
    <t>A0AVT1_UBA6</t>
  </si>
  <si>
    <t>A0JLT2-2_MED19</t>
  </si>
  <si>
    <t>A0JNW5_UHRF1BP1L</t>
  </si>
  <si>
    <t>A0MZ66_KIAA1598</t>
  </si>
  <si>
    <t>A1L188_C17orf89</t>
  </si>
  <si>
    <t>A2RRP1_NBAS</t>
  </si>
  <si>
    <t>A2RUC4_TYW5</t>
  </si>
  <si>
    <t>A2VDF0-2_FUOM</t>
  </si>
  <si>
    <t>A3KN83-2_SBNO1</t>
  </si>
  <si>
    <t>A4D2B0_MBLAC1</t>
  </si>
  <si>
    <t>A5PL33-3_KRBA1</t>
  </si>
  <si>
    <t>A5PLN9-2_TRAPPC13</t>
  </si>
  <si>
    <t>A5YKK6-2_CNOT1</t>
  </si>
  <si>
    <t>A6H8Y1-7_BDP1</t>
  </si>
  <si>
    <t>A6NDG6_PGP</t>
  </si>
  <si>
    <t>A6NDU8_C5orf51</t>
  </si>
  <si>
    <t>A6NE92_ZNF275</t>
  </si>
  <si>
    <t>A6NED2_RCCD1</t>
  </si>
  <si>
    <t>A6NF31_OFD1</t>
  </si>
  <si>
    <t>A6NF48_ZNF281</t>
  </si>
  <si>
    <t>A6NFI3_ZNF316</t>
  </si>
  <si>
    <t>A6NFX8_NUDT5</t>
  </si>
  <si>
    <t>A6NFY7_SDHAF1</t>
  </si>
  <si>
    <t>A6NG32_CHMP1A</t>
  </si>
  <si>
    <t>A6NG51_SPTAN1</t>
  </si>
  <si>
    <t>A6NG79_PRCC</t>
  </si>
  <si>
    <t>A6NGB9_WIPF3</t>
  </si>
  <si>
    <t>A6NGH7_CCDC160</t>
  </si>
  <si>
    <t>A6NGP5_HN1L</t>
  </si>
  <si>
    <t>A6NGQ3_OBSCN</t>
  </si>
  <si>
    <t>A6NGU5_GGT3P</t>
  </si>
  <si>
    <t>A6NGX6_POLR3GL</t>
  </si>
  <si>
    <t>A6NHF2_BTD</t>
  </si>
  <si>
    <t>A6NHR9_SMCHD1</t>
  </si>
  <si>
    <t>A6NHX0_GATSL2</t>
  </si>
  <si>
    <t>A6NIH7_UNC119B</t>
  </si>
  <si>
    <t>A6NJX6_CHCHD1</t>
  </si>
  <si>
    <t>A6NJZ9_NOC3L</t>
  </si>
  <si>
    <t>A6NKD9_CCDC85C</t>
  </si>
  <si>
    <t>A6NML8_DIAPH2</t>
  </si>
  <si>
    <t>A6NN80_ANXA6</t>
  </si>
  <si>
    <t>A6ZKI3_FAM127A</t>
  </si>
  <si>
    <t>A7MCY6_TBKBP1</t>
  </si>
  <si>
    <t>A8CG34-2_POM121C</t>
  </si>
  <si>
    <t>A8CTY3_ITSN1</t>
  </si>
  <si>
    <t>A8K2U1_EOGT</t>
  </si>
  <si>
    <t>A8K8P3-5_SFI1</t>
  </si>
  <si>
    <t>A8MPS7_YDJC</t>
  </si>
  <si>
    <t>A8MPV3_</t>
  </si>
  <si>
    <t>A8MQB8_FMR1</t>
  </si>
  <si>
    <t>A8MSI8_LYRM9</t>
  </si>
  <si>
    <t>A8MT37_GSK3A</t>
  </si>
  <si>
    <t>A8MTY9_DSCR3</t>
  </si>
  <si>
    <t>A8MTZ6_S100PBP</t>
  </si>
  <si>
    <t>A8MU44_HOOK1</t>
  </si>
  <si>
    <t>A8MUN2_</t>
  </si>
  <si>
    <t>A8MVR0_IVNS1ABP</t>
  </si>
  <si>
    <t>A8MVW0_FAM171A2</t>
  </si>
  <si>
    <t>A8MVX0_ARHGEF33</t>
  </si>
  <si>
    <t>A8MVZ6_BICD1</t>
  </si>
  <si>
    <t>A8MX75_ERCC2</t>
  </si>
  <si>
    <t>A8MXP8_RCN2</t>
  </si>
  <si>
    <t>A8MXP9_MATR3</t>
  </si>
  <si>
    <t>A8MXV4_NUDT19</t>
  </si>
  <si>
    <t>A8MYC1_POP4</t>
  </si>
  <si>
    <t>A9Z1X7_SRRM1</t>
  </si>
  <si>
    <t>B0FLL2_PFKFB2</t>
  </si>
  <si>
    <t>B0QXZ5_DNAL4</t>
  </si>
  <si>
    <t>B0QXZ6_CBX6</t>
  </si>
  <si>
    <t>B0QY16_KIAA0930</t>
  </si>
  <si>
    <t>B0QYI3_TBC1D22A</t>
  </si>
  <si>
    <t>B0UX83_BAG6</t>
  </si>
  <si>
    <t>B0UZY3_EHMT2</t>
  </si>
  <si>
    <t>B1AHJ7_TPST2</t>
  </si>
  <si>
    <t>B1AHQ6_CENPM</t>
  </si>
  <si>
    <t>B1AJY7_PSMD10</t>
  </si>
  <si>
    <t>B1AK13_HMGCL</t>
  </si>
  <si>
    <t>B1AK81_PIGK</t>
  </si>
  <si>
    <t>B1AK87_CAPZB</t>
  </si>
  <si>
    <t>B1AKD8_CROCC</t>
  </si>
  <si>
    <t>B1AKL4_EIF4ENIF1</t>
  </si>
  <si>
    <t>B1AKN7_NFIA</t>
  </si>
  <si>
    <t>B1AL16_FAM178A</t>
  </si>
  <si>
    <t>B1AL69_CDC37L1</t>
  </si>
  <si>
    <t>B1AMU5_ZDHHC16</t>
  </si>
  <si>
    <t>B1AN89_EIF4G3</t>
  </si>
  <si>
    <t>B1AN99_PRSS3</t>
  </si>
  <si>
    <t>B1ANH0_GUK1</t>
  </si>
  <si>
    <t>B1APY4_ROR2</t>
  </si>
  <si>
    <t>B1B1H9_FGF13</t>
  </si>
  <si>
    <t>B2R5P6_TXNRD1</t>
  </si>
  <si>
    <t>B2RCS5_ACTN2</t>
  </si>
  <si>
    <t>B2RPG6_ZCCHC2</t>
  </si>
  <si>
    <t>B2WTI3_JMJD6</t>
  </si>
  <si>
    <t>B3KMG0_GLE1</t>
  </si>
  <si>
    <t>B3KNQ0_CCDC92</t>
  </si>
  <si>
    <t>B3KP96_TRIM16</t>
  </si>
  <si>
    <t>B3KR00_STAMBPL1</t>
  </si>
  <si>
    <t>B3KSI9_LZTFL1</t>
  </si>
  <si>
    <t>B3KSJ7_DCLRE1C</t>
  </si>
  <si>
    <t>B3KU87_SLC30A6</t>
  </si>
  <si>
    <t>B3KUK2_SOD2</t>
  </si>
  <si>
    <t>B3KVH8_PHF23</t>
  </si>
  <si>
    <t>B3KVZ3_CENPH</t>
  </si>
  <si>
    <t>B3KWW1_DDX58</t>
  </si>
  <si>
    <t>B3KY83_RXRA</t>
  </si>
  <si>
    <t>B4DDF4_CNN2</t>
  </si>
  <si>
    <t>B4DE93_NDUFV1</t>
  </si>
  <si>
    <t>B4DFA2_NSF</t>
  </si>
  <si>
    <t>B4DFG0_DEK</t>
  </si>
  <si>
    <t>B4DFG6_MRPS18B</t>
  </si>
  <si>
    <t>B4DFL2_IDH2</t>
  </si>
  <si>
    <t>B4DGU4_CTNNB1</t>
  </si>
  <si>
    <t>B4DGX2_PIP4K2A</t>
  </si>
  <si>
    <t>B4DH53_MAP1S</t>
  </si>
  <si>
    <t>B4DIP4_EIF2AK1</t>
  </si>
  <si>
    <t>B4DJ25_NCOR1</t>
  </si>
  <si>
    <t>B4DJ68_TDRKH</t>
  </si>
  <si>
    <t>B4DJA5_RAB5A</t>
  </si>
  <si>
    <t>B4DJP7_SNRPD3</t>
  </si>
  <si>
    <t>B4DJV2_CS</t>
  </si>
  <si>
    <t>B4DK80_TOP3A</t>
  </si>
  <si>
    <t>B4DKF9_ZNF286A</t>
  </si>
  <si>
    <t>B4DKL4_LSR</t>
  </si>
  <si>
    <t>B4DKV7_EPS8L1</t>
  </si>
  <si>
    <t>B4DL54_CHURC1-FNTB</t>
  </si>
  <si>
    <t>B4DLE8_CRYBG3</t>
  </si>
  <si>
    <t>B4DLR8_NQO1</t>
  </si>
  <si>
    <t>B4DLT4_RPS6KB1</t>
  </si>
  <si>
    <t>B4DLV4_SHMT2</t>
  </si>
  <si>
    <t>B4DLZ9_RNF220</t>
  </si>
  <si>
    <t>B4DMD6_RNF185</t>
  </si>
  <si>
    <t>B4DNZ7_EYA3</t>
  </si>
  <si>
    <t>B4DP21_PTGES3</t>
  </si>
  <si>
    <t>B4DP62_</t>
  </si>
  <si>
    <t>B4DPR4_MKRN2</t>
  </si>
  <si>
    <t>B4DPY8_TOX4</t>
  </si>
  <si>
    <t>B4DQ51_ACADSB</t>
  </si>
  <si>
    <t>B4DQE7_HDAC8</t>
  </si>
  <si>
    <t>B4DQH9_RANBP10</t>
  </si>
  <si>
    <t>B4DQJ8_PGD</t>
  </si>
  <si>
    <t>B4DR03_NAA40</t>
  </si>
  <si>
    <t>B4DR67_ALG5</t>
  </si>
  <si>
    <t>B4DRC4_ASB6</t>
  </si>
  <si>
    <t>B4DRD1_DCP1B</t>
  </si>
  <si>
    <t>B4DRL8_SEMA3C</t>
  </si>
  <si>
    <t>B4DRL9_CHM</t>
  </si>
  <si>
    <t>B4DRM7_SIMC1</t>
  </si>
  <si>
    <t>B4DRS7_SH2D3A</t>
  </si>
  <si>
    <t>B4DS61_SRPK1</t>
  </si>
  <si>
    <t>B4DS76_MAP3K11</t>
  </si>
  <si>
    <t>B4DSS5_KIAA0513</t>
  </si>
  <si>
    <t>B4DT55_WDR41</t>
  </si>
  <si>
    <t>B4DT77_ANXA7</t>
  </si>
  <si>
    <t>B4DTU4_LIG1</t>
  </si>
  <si>
    <t>B4DTZ6_SLC9A1</t>
  </si>
  <si>
    <t>B4DU60_CLYBL</t>
  </si>
  <si>
    <t>B4DUI3_EIF3J</t>
  </si>
  <si>
    <t>B4DV96_RBKS</t>
  </si>
  <si>
    <t>B4DVE7_ANXA11</t>
  </si>
  <si>
    <t>B4DVY1_EIF3D</t>
  </si>
  <si>
    <t>B4DWB0_NUBPL</t>
  </si>
  <si>
    <t>B4DWW1_ARL1</t>
  </si>
  <si>
    <t>B4DXW4_CLPB</t>
  </si>
  <si>
    <t>B4DXZ6_FXR1</t>
  </si>
  <si>
    <t>B4DY82_SENP5</t>
  </si>
  <si>
    <t>B4DYB4_NUP35</t>
  </si>
  <si>
    <t>B4DZH6_HDAC6</t>
  </si>
  <si>
    <t>B4DZK7_TK2</t>
  </si>
  <si>
    <t>B4E0G4_PHF6</t>
  </si>
  <si>
    <t>B4E1D7_PNPO</t>
  </si>
  <si>
    <t>B4E1M0_MSANTD2</t>
  </si>
  <si>
    <t>B4E1Q4_RIOK3</t>
  </si>
  <si>
    <t>B4E241_SFRS3</t>
  </si>
  <si>
    <t>B4E2S7_LAMP2</t>
  </si>
  <si>
    <t>B4E2V5_STOM</t>
  </si>
  <si>
    <t>B4E2W0_HADHB</t>
  </si>
  <si>
    <t>B4E2X3_METTL13</t>
  </si>
  <si>
    <t>B4E351_IGFBP4</t>
  </si>
  <si>
    <t>B4E3E5_DVL3</t>
  </si>
  <si>
    <t>B4E3T2_RRN3</t>
  </si>
  <si>
    <t>B4E3W0_ELP4</t>
  </si>
  <si>
    <t>B5MC20_JMJD7</t>
  </si>
  <si>
    <t>B5MC51_LIMK2</t>
  </si>
  <si>
    <t>B5MCF9_PES1</t>
  </si>
  <si>
    <t>B5MCM0_TEAD3</t>
  </si>
  <si>
    <t>B5MCQ4_DGCR6L</t>
  </si>
  <si>
    <t>B5MCU0_R3HDM2</t>
  </si>
  <si>
    <t>B5MDQ0_ERCC6L</t>
  </si>
  <si>
    <t>B7WP27_CWC22</t>
  </si>
  <si>
    <t>B7WPH3_CECR2</t>
  </si>
  <si>
    <t>B7Z1N3_PIGT</t>
  </si>
  <si>
    <t>B7Z254_PDIA6</t>
  </si>
  <si>
    <t>B7Z2G1_KLHL22</t>
  </si>
  <si>
    <t>B7Z2L0_BCAP29</t>
  </si>
  <si>
    <t>B7Z2T3_TTC26</t>
  </si>
  <si>
    <t>B7Z2X9_ENO2</t>
  </si>
  <si>
    <t>B7Z367_ZNF346</t>
  </si>
  <si>
    <t>B7Z3A7_PDE1A</t>
  </si>
  <si>
    <t>B7Z3B9_GAB1</t>
  </si>
  <si>
    <t>B7Z3I9_ALAD</t>
  </si>
  <si>
    <t>B7Z4K6_DNASE2</t>
  </si>
  <si>
    <t>B7Z4R0_ERF</t>
  </si>
  <si>
    <t>B7Z588_TNFRSF10B</t>
  </si>
  <si>
    <t>B7Z5G4_STMN3</t>
  </si>
  <si>
    <t>B7Z5R0_ZNF747</t>
  </si>
  <si>
    <t>B7Z5X7_WARS2</t>
  </si>
  <si>
    <t>B7Z637_ARMC8</t>
  </si>
  <si>
    <t>B7Z6B8_DECR1</t>
  </si>
  <si>
    <t>B7Z6M3_DGKZ</t>
  </si>
  <si>
    <t>B7Z7E1_CNN1</t>
  </si>
  <si>
    <t>B7Z7N6_PDK1</t>
  </si>
  <si>
    <t>B7Z815_USP7</t>
  </si>
  <si>
    <t>B7Z844_SLC2A14</t>
  </si>
  <si>
    <t>B7Z8R6_</t>
  </si>
  <si>
    <t>B7ZAB3_B3GAT3</t>
  </si>
  <si>
    <t>B7ZAX5_GALK2</t>
  </si>
  <si>
    <t>B7ZKK9_PPP2R5E</t>
  </si>
  <si>
    <t>B7ZKP8_UBXN2A</t>
  </si>
  <si>
    <t>B7ZKR7_AP3B2</t>
  </si>
  <si>
    <t>B7ZKT6_SOS2</t>
  </si>
  <si>
    <t>B7ZLQ8_CPEB4</t>
  </si>
  <si>
    <t>B7ZM82_WIZ</t>
  </si>
  <si>
    <t>B8ZZ99_CCDC115</t>
  </si>
  <si>
    <t>B8ZZF8_LSM5</t>
  </si>
  <si>
    <t>B8ZZJ9_EIF4E2</t>
  </si>
  <si>
    <t>B8ZZK4_RPL31</t>
  </si>
  <si>
    <t>B8ZZQ6_PTMA</t>
  </si>
  <si>
    <t>B8ZZU6_ATF2</t>
  </si>
  <si>
    <t>B8ZZU8_TCEB2</t>
  </si>
  <si>
    <t>B8ZZW9_C7orf41</t>
  </si>
  <si>
    <t>B9A018_USP39</t>
  </si>
  <si>
    <t>B9A057_COA5</t>
  </si>
  <si>
    <t>B9EGH5_PLCB2</t>
  </si>
  <si>
    <t>B9ZVT1_RBM12B</t>
  </si>
  <si>
    <t>B9ZVU2_DNPEP</t>
  </si>
  <si>
    <t>C4AMC7_WASH3P</t>
  </si>
  <si>
    <t>C6G496_MAZ</t>
  </si>
  <si>
    <t>C6GKU9_MED30S</t>
  </si>
  <si>
    <t>C9IYZ1_ASNSD1</t>
  </si>
  <si>
    <t>C9IZE4_PSMD6</t>
  </si>
  <si>
    <t>C9IZI4_ARHGAP19</t>
  </si>
  <si>
    <t>C9J0A7_CHMP2B</t>
  </si>
  <si>
    <t>C9J0I9_ZC3HC1</t>
  </si>
  <si>
    <t>C9J0K6_SRI</t>
  </si>
  <si>
    <t>C9J1C6_RNF181</t>
  </si>
  <si>
    <t>C9J1J0_ADCY1</t>
  </si>
  <si>
    <t>C9J1X0_WDR91</t>
  </si>
  <si>
    <t>C9J212_UBE2F</t>
  </si>
  <si>
    <t>C9J2P0_UBE2E1</t>
  </si>
  <si>
    <t>C9J2Y9_POLR2B</t>
  </si>
  <si>
    <t>C9J384_CMSS1</t>
  </si>
  <si>
    <t>C9J3L8_SSR1</t>
  </si>
  <si>
    <t>C9J3R0_RCC1</t>
  </si>
  <si>
    <t>C9J3R1_ZNF639</t>
  </si>
  <si>
    <t>C9J4K0_C2orf49</t>
  </si>
  <si>
    <t>C9J4L5_CREB1</t>
  </si>
  <si>
    <t>C9J5C3_PDCD10</t>
  </si>
  <si>
    <t>C9J5J4_LIN9</t>
  </si>
  <si>
    <t>C9J5W6_TAGLN3</t>
  </si>
  <si>
    <t>C9J5X9_FANCB</t>
  </si>
  <si>
    <t>C9J6N9_UFD1L</t>
  </si>
  <si>
    <t>C9J7I0_</t>
  </si>
  <si>
    <t>C9J8B8_HDAC10</t>
  </si>
  <si>
    <t>C9J8L0_CDCA7L</t>
  </si>
  <si>
    <t>C9J8R7_GTPBP10</t>
  </si>
  <si>
    <t>C9J9K3_RPSA</t>
  </si>
  <si>
    <t>C9JA69_BBX</t>
  </si>
  <si>
    <t>C9JAX3_ZNF467</t>
  </si>
  <si>
    <t>C9JB13_BSDC1</t>
  </si>
  <si>
    <t>C9JDG0_DIAPH3</t>
  </si>
  <si>
    <t>C9JE12_TMUB1</t>
  </si>
  <si>
    <t>C9JE98_NCOR2</t>
  </si>
  <si>
    <t>C9JFE4_GPS1</t>
  </si>
  <si>
    <t>C9JFK9_BAG3</t>
  </si>
  <si>
    <t>C9JFL5_ACTG2</t>
  </si>
  <si>
    <t>C9JFM5_STX4</t>
  </si>
  <si>
    <t>C9JFR7_CYCS</t>
  </si>
  <si>
    <t>C9JG15_ATAD2B</t>
  </si>
  <si>
    <t>C9JG97_AAMP</t>
  </si>
  <si>
    <t>C9JHL4_NELFA</t>
  </si>
  <si>
    <t>C9JIE5_EP400NL</t>
  </si>
  <si>
    <t>C9JIS1_GNB2</t>
  </si>
  <si>
    <t>C9JJV6_MYADM</t>
  </si>
  <si>
    <t>C9JLU1_POLR2H</t>
  </si>
  <si>
    <t>C9JMG3_AP4M1</t>
  </si>
  <si>
    <t>C9JNE2_OARD1</t>
  </si>
  <si>
    <t>C9JNI7_HSPBP1</t>
  </si>
  <si>
    <t>C9JNZ9_ZNF746</t>
  </si>
  <si>
    <t>C9JP00_MBNL1</t>
  </si>
  <si>
    <t>C9JPC9_USP42</t>
  </si>
  <si>
    <t>C9JPL0_CCNL1</t>
  </si>
  <si>
    <t>C9JPP2_NKIRAS2</t>
  </si>
  <si>
    <t>C9JQ41_CCDC58</t>
  </si>
  <si>
    <t>C9JQB1_NME6</t>
  </si>
  <si>
    <t>C9JQV3_STK11IP</t>
  </si>
  <si>
    <t>C9JR56_SATB2</t>
  </si>
  <si>
    <t>C9JS27_NDUFAF7</t>
  </si>
  <si>
    <t>C9JT95_NABP2</t>
  </si>
  <si>
    <t>C9JTM9_IKZF2</t>
  </si>
  <si>
    <t>C9JV49_HARS2</t>
  </si>
  <si>
    <t>C9JV50_SACM1L</t>
  </si>
  <si>
    <t>C9JVP0_FOXJ3</t>
  </si>
  <si>
    <t>C9JWC5_TRIM22</t>
  </si>
  <si>
    <t>C9JXB8_RPL24</t>
  </si>
  <si>
    <t>C9JXB9_DNAJB2</t>
  </si>
  <si>
    <t>C9JXG8_RANBP1</t>
  </si>
  <si>
    <t>C9JY06_NUDT22</t>
  </si>
  <si>
    <t>C9JYJ6_FILIP1L</t>
  </si>
  <si>
    <t>C9JYM0_POP7</t>
  </si>
  <si>
    <t>C9JYY9_NUDT5</t>
  </si>
  <si>
    <t>C9JZR4_ARFGAP3</t>
  </si>
  <si>
    <t>C9JZY3_PCBP4</t>
  </si>
  <si>
    <t>C9K0J5_RAPH1</t>
  </si>
  <si>
    <t>D3YTB1_RPL32</t>
  </si>
  <si>
    <t>D3YTE0_KRI1</t>
  </si>
  <si>
    <t>D3YTE1_PHF20L1</t>
  </si>
  <si>
    <t>D3YTG6_NDOR1</t>
  </si>
  <si>
    <t>D6R941_MRPS36</t>
  </si>
  <si>
    <t>D6R992_RELB</t>
  </si>
  <si>
    <t>D6R9E3_MND1</t>
  </si>
  <si>
    <t>D6R9J8_MEF2C</t>
  </si>
  <si>
    <t>D6R9P3_HNRNPAB</t>
  </si>
  <si>
    <t>D6R9S4_MLF1IP</t>
  </si>
  <si>
    <t>D6R9U7_POLR3G</t>
  </si>
  <si>
    <t>D6RA32_MAP1B</t>
  </si>
  <si>
    <t>D6RAL3_SH3RF1</t>
  </si>
  <si>
    <t>D6RAM3_DOK3</t>
  </si>
  <si>
    <t>D6RAN4_RPL9</t>
  </si>
  <si>
    <t>D6RAV1_NEIL3</t>
  </si>
  <si>
    <t>D6RBE0_CXXC5</t>
  </si>
  <si>
    <t>D6RBN5_OCIAD1</t>
  </si>
  <si>
    <t>D6RC71_STX18</t>
  </si>
  <si>
    <t>D6RCD0_HSD17B11</t>
  </si>
  <si>
    <t>D6RD24_UBE3D</t>
  </si>
  <si>
    <t>D6RD47_RPS23</t>
  </si>
  <si>
    <t>D6RDX3_ATG10</t>
  </si>
  <si>
    <t>D6REB5_IDUA</t>
  </si>
  <si>
    <t>D6REL5_FAM175A</t>
  </si>
  <si>
    <t>D6RF85_ZNF652</t>
  </si>
  <si>
    <t>D6RFH4_CYB5B</t>
  </si>
  <si>
    <t>D6RGI3_SEPT11</t>
  </si>
  <si>
    <t>D6RGX2_UFSP2</t>
  </si>
  <si>
    <t>D6RHD3_CENPK</t>
  </si>
  <si>
    <t>D6RHI9_RNASET2</t>
  </si>
  <si>
    <t>D6RIY1_TAF9</t>
  </si>
  <si>
    <t>D6RIZ4_MFSD10</t>
  </si>
  <si>
    <t>D6RJG9_SNX14</t>
  </si>
  <si>
    <t>E1P5Q0_TRPC4AP</t>
  </si>
  <si>
    <t>E2QRD4_MMS22L</t>
  </si>
  <si>
    <t>E2QRF9_GMNN</t>
  </si>
  <si>
    <t>E5RFI2_MRPL13</t>
  </si>
  <si>
    <t>E5RFJ1_NSMCE2</t>
  </si>
  <si>
    <t>E5RG13_IMPA1</t>
  </si>
  <si>
    <t>E5RG73_TMEM232</t>
  </si>
  <si>
    <t>E5RGN3_ATOX1</t>
  </si>
  <si>
    <t>E5RGQ3_RWDD1</t>
  </si>
  <si>
    <t>E5RGS7_</t>
  </si>
  <si>
    <t>E5RGX5_STMN2</t>
  </si>
  <si>
    <t>E5RHG8_TCEB1</t>
  </si>
  <si>
    <t>E5RHI2_SORBS3</t>
  </si>
  <si>
    <t>E5RHN9_RAD54B</t>
  </si>
  <si>
    <t>E5RHT1_PSEN2</t>
  </si>
  <si>
    <t>E5RHT3_TSNARE1</t>
  </si>
  <si>
    <t>E5RHW4_ERLIN2</t>
  </si>
  <si>
    <t>E5RI99_RPL30</t>
  </si>
  <si>
    <t>E5RIH5_TTI2</t>
  </si>
  <si>
    <t>E5RJ08_CHCHD7</t>
  </si>
  <si>
    <t>E5RJ68_AP3B1</t>
  </si>
  <si>
    <t>E5RJ99_ZFAND1</t>
  </si>
  <si>
    <t>E5RJR5_SKP1</t>
  </si>
  <si>
    <t>E5RK28_SGK3</t>
  </si>
  <si>
    <t>E5RK82_CETN3</t>
  </si>
  <si>
    <t>E7EM64_COPS6</t>
  </si>
  <si>
    <t>E7EMD6_AKAP10</t>
  </si>
  <si>
    <t>E7EMM4_ASAH1</t>
  </si>
  <si>
    <t>E7EMP6_C3orf37</t>
  </si>
  <si>
    <t>E7EMW7_UBR5</t>
  </si>
  <si>
    <t>E7ENA9_NCSTN</t>
  </si>
  <si>
    <t>E7ENF1_C12orf43</t>
  </si>
  <si>
    <t>E7ENK0_CALCOCO2</t>
  </si>
  <si>
    <t>E7ENN3_SYNE1</t>
  </si>
  <si>
    <t>E7ENW2_CBLB</t>
  </si>
  <si>
    <t>E7EP17_DNAH9</t>
  </si>
  <si>
    <t>E7EPB3_RPL14</t>
  </si>
  <si>
    <t>E7EPD0_TOM1</t>
  </si>
  <si>
    <t>E7EPI0_IBTK</t>
  </si>
  <si>
    <t>E7EPL4_PDXDC1</t>
  </si>
  <si>
    <t>E7EPP7_STXBP4</t>
  </si>
  <si>
    <t>E7EQ69_NAA50</t>
  </si>
  <si>
    <t>E7EQG2_EIF4A2</t>
  </si>
  <si>
    <t>E7EQL8_TUBGCP6</t>
  </si>
  <si>
    <t>E7ER32_MKL1</t>
  </si>
  <si>
    <t>E7ER77_ERMP1</t>
  </si>
  <si>
    <t>E7ERL6_MAST2</t>
  </si>
  <si>
    <t>E7ES08_HMGB3</t>
  </si>
  <si>
    <t>E7ESC6_XPO7</t>
  </si>
  <si>
    <t>E7ESJ3_ANKRD26</t>
  </si>
  <si>
    <t>E7ESM1_NDRG1</t>
  </si>
  <si>
    <t>E7ET07_ING3</t>
  </si>
  <si>
    <t>E7ET15_U2SURP</t>
  </si>
  <si>
    <t>E7ET33_</t>
  </si>
  <si>
    <t>E7ET96_TNIP1</t>
  </si>
  <si>
    <t>E7ETA6_PCM1</t>
  </si>
  <si>
    <t>E7ETI8_C1orf112</t>
  </si>
  <si>
    <t>E7ETU5_RBMS1</t>
  </si>
  <si>
    <t>E7ETU9_PLOD2</t>
  </si>
  <si>
    <t>E7ETZ4_BZW2</t>
  </si>
  <si>
    <t>E7EU24_CBFA2T3</t>
  </si>
  <si>
    <t>E7EU96_CSNK2A1</t>
  </si>
  <si>
    <t>E7EUH9_NCAPG2</t>
  </si>
  <si>
    <t>E7EUI8_G6PD</t>
  </si>
  <si>
    <t>E7EUM5_NUP54</t>
  </si>
  <si>
    <t>E7EV10_MTA3</t>
  </si>
  <si>
    <t>E7EV62_ARFGAP1</t>
  </si>
  <si>
    <t>E7EV93_PCM1</t>
  </si>
  <si>
    <t>E7EVA0_MAP4</t>
  </si>
  <si>
    <t>E7EVJ5_CYFIP2</t>
  </si>
  <si>
    <t>E7EVY7_POR</t>
  </si>
  <si>
    <t>E7EW59_SALL2</t>
  </si>
  <si>
    <t>E7EW69_SEPT10</t>
  </si>
  <si>
    <t>E7EW84_EXOC6</t>
  </si>
  <si>
    <t>E7EWD6_ASXL2</t>
  </si>
  <si>
    <t>E7EX48_NEK4</t>
  </si>
  <si>
    <t>E7EX53_RPL15</t>
  </si>
  <si>
    <t>E9PAU2_RAVER1</t>
  </si>
  <si>
    <t>E9PB14_PDHX</t>
  </si>
  <si>
    <t>E9PB61_ALYREF</t>
  </si>
  <si>
    <t>E9PBP4_MLLT10</t>
  </si>
  <si>
    <t>E9PBV1_NWD1</t>
  </si>
  <si>
    <t>E9PC62_CELF2</t>
  </si>
  <si>
    <t>E9PC74_EIF2B5</t>
  </si>
  <si>
    <t>E9PCE5_SMG7</t>
  </si>
  <si>
    <t>E9PCR4_ANAPC4</t>
  </si>
  <si>
    <t>E9PCV0_GUSB</t>
  </si>
  <si>
    <t>E9PCW1_GOSR1</t>
  </si>
  <si>
    <t>E9PD53_SMC4</t>
  </si>
  <si>
    <t>E9PD90_CKAP2</t>
  </si>
  <si>
    <t>E9PDC3_ARVCF</t>
  </si>
  <si>
    <t>E9PDE4_CAST</t>
  </si>
  <si>
    <t>E9PDG2_IFT122</t>
  </si>
  <si>
    <t>E9PDK2_UNKL</t>
  </si>
  <si>
    <t>E9PDL4_ICA1</t>
  </si>
  <si>
    <t>E9PE19_BPTF</t>
  </si>
  <si>
    <t>E9PEI0_CDCA2</t>
  </si>
  <si>
    <t>E9PER6_PDPK1</t>
  </si>
  <si>
    <t>E9PEZ3_DIAPH1</t>
  </si>
  <si>
    <t>E9PEZ8_FAM193B</t>
  </si>
  <si>
    <t>E9PF10_NUP155</t>
  </si>
  <si>
    <t>E9PF16_ACSF2</t>
  </si>
  <si>
    <t>E9PF19_TBL2</t>
  </si>
  <si>
    <t>E9PF99_CEP192</t>
  </si>
  <si>
    <t>E9PFK5_NOP14</t>
  </si>
  <si>
    <t>E9PFR3_PPP2R5D</t>
  </si>
  <si>
    <t>E9PG22_CEP97</t>
  </si>
  <si>
    <t>E9PGT1_TSN</t>
  </si>
  <si>
    <t>E9PGT6_COPS8</t>
  </si>
  <si>
    <t>E9PGW7_MED22</t>
  </si>
  <si>
    <t>E9PH29_PRDX3</t>
  </si>
  <si>
    <t>E9PH58_TTLL4</t>
  </si>
  <si>
    <t>E9PH62_STAU2</t>
  </si>
  <si>
    <t>E9PHK0_CLEC3B</t>
  </si>
  <si>
    <t>E9PHM2_LARS2</t>
  </si>
  <si>
    <t>E9PHV5_SSFA2</t>
  </si>
  <si>
    <t>E9PHX8_MERTK</t>
  </si>
  <si>
    <t>E9PHY5_EPB41L2</t>
  </si>
  <si>
    <t>E9PI10_TBRG1</t>
  </si>
  <si>
    <t>E9PI87_HTATIP2</t>
  </si>
  <si>
    <t>E9PIP3_GPSM3</t>
  </si>
  <si>
    <t>E9PJ04_SF3B2</t>
  </si>
  <si>
    <t>E9PJ07_C10orf137</t>
  </si>
  <si>
    <t>E9PJ24_PHRF1</t>
  </si>
  <si>
    <t>E9PJ81_UBXN1</t>
  </si>
  <si>
    <t>E9PJD7_CYHR1</t>
  </si>
  <si>
    <t>E9PJF5_BRMS1</t>
  </si>
  <si>
    <t>E9PJK1_CD81</t>
  </si>
  <si>
    <t>E9PK05_C2CD2L</t>
  </si>
  <si>
    <t>E9PKB7_TEAD1</t>
  </si>
  <si>
    <t>E9PKB9_SNX19</t>
  </si>
  <si>
    <t>E9PKF8_EIF4G2</t>
  </si>
  <si>
    <t>E9PKG1_PRMT1</t>
  </si>
  <si>
    <t>E9PKV8_TTC9C</t>
  </si>
  <si>
    <t>E9PKZ0_RPL8</t>
  </si>
  <si>
    <t>E9PL01_SPCS2</t>
  </si>
  <si>
    <t>E9PL57_NEDD8-MDP1</t>
  </si>
  <si>
    <t>E9PLD2_MTFR1L</t>
  </si>
  <si>
    <t>E9PLD3_</t>
  </si>
  <si>
    <t>E9PLK3_NPEPPS</t>
  </si>
  <si>
    <t>E9PLL6_RPL27A</t>
  </si>
  <si>
    <t>E9PLX2_RNF141</t>
  </si>
  <si>
    <t>E9PLY5_MACF1</t>
  </si>
  <si>
    <t>E9PM46_USP47</t>
  </si>
  <si>
    <t>E9PM92_C11orf58</t>
  </si>
  <si>
    <t>E9PMC9_C11orf30</t>
  </si>
  <si>
    <t>E9PME6_USF1</t>
  </si>
  <si>
    <t>E9PMH5_BIRC2</t>
  </si>
  <si>
    <t>E9PMI6_CLNS1A</t>
  </si>
  <si>
    <t>E9PMJ2_FAM118B</t>
  </si>
  <si>
    <t>E9PMS6_LMO7</t>
  </si>
  <si>
    <t>E9PND3_EBAG9</t>
  </si>
  <si>
    <t>E9PNN2_ME3</t>
  </si>
  <si>
    <t>E9PNW4_CD59</t>
  </si>
  <si>
    <t>E9PPH6_EXPH5</t>
  </si>
  <si>
    <t>E9PPY3_RRP8</t>
  </si>
  <si>
    <t>E9PQ38_KBTBD4</t>
  </si>
  <si>
    <t>E9PQ47_ZFPL1</t>
  </si>
  <si>
    <t>E9PQ74_GAS2</t>
  </si>
  <si>
    <t>E9PQY3_ACP2</t>
  </si>
  <si>
    <t>E9PR76_MAF1</t>
  </si>
  <si>
    <t>E9PRI4_RPS6KA1</t>
  </si>
  <si>
    <t>E9PS41_WDR74</t>
  </si>
  <si>
    <t>E9PSA5_ALKBH3</t>
  </si>
  <si>
    <t>E9PSF2_STIL</t>
  </si>
  <si>
    <t>F2Z2E1_FAM120B</t>
  </si>
  <si>
    <t>F2Z2E2_IQGAP3</t>
  </si>
  <si>
    <t>F2Z2Q4_TRMT11</t>
  </si>
  <si>
    <t>F2Z2V0_CPNE1</t>
  </si>
  <si>
    <t>F2Z2V1_FGGY</t>
  </si>
  <si>
    <t>F2Z2X4_XPO4</t>
  </si>
  <si>
    <t>F2Z3I4_ARRDC1</t>
  </si>
  <si>
    <t>F5GWD3_GTF2H3</t>
  </si>
  <si>
    <t>F5GWI9_CCDC53</t>
  </si>
  <si>
    <t>F5GWN5_PIK3C2B</t>
  </si>
  <si>
    <t>F5GWP8_JUP</t>
  </si>
  <si>
    <t>F5GWT4_WNK1</t>
  </si>
  <si>
    <t>F5GWU7_SMAD5</t>
  </si>
  <si>
    <t>F5GX09_FAM76B</t>
  </si>
  <si>
    <t>F5GX33_SLC25A13</t>
  </si>
  <si>
    <t>F5GX58_CDCA3</t>
  </si>
  <si>
    <t>F5GX68_DNMT1</t>
  </si>
  <si>
    <t>F5GX82_FRYL</t>
  </si>
  <si>
    <t>F5GXC8_SUCLA2</t>
  </si>
  <si>
    <t>F5GXD1_AKAP7</t>
  </si>
  <si>
    <t>F5GXE4_ATE1</t>
  </si>
  <si>
    <t>F5GXE7_LTBR</t>
  </si>
  <si>
    <t>F5GXQ1_</t>
  </si>
  <si>
    <t>F5GY11_STARD10</t>
  </si>
  <si>
    <t>F5GY37_PHB2</t>
  </si>
  <si>
    <t>F5GY95_FCGR2A</t>
  </si>
  <si>
    <t>F5GY99_GALNT1</t>
  </si>
  <si>
    <t>F5GYA2_UNG</t>
  </si>
  <si>
    <t>F5GYC4_RPS6KA3</t>
  </si>
  <si>
    <t>F5GYJ5_</t>
  </si>
  <si>
    <t>F5GYN4_OTUB1</t>
  </si>
  <si>
    <t>F5GZ06_MROH2B</t>
  </si>
  <si>
    <t>F5GZ78_PXN</t>
  </si>
  <si>
    <t>F5GZ84_FARP2</t>
  </si>
  <si>
    <t>F5GZ90_DTL</t>
  </si>
  <si>
    <t>F5GZG6_TPK1</t>
  </si>
  <si>
    <t>F5GZQ4_LDHA</t>
  </si>
  <si>
    <t>F5GZT2_SPAG5</t>
  </si>
  <si>
    <t>F5GZW3_ARHGAP4</t>
  </si>
  <si>
    <t>F5GZY0_APLP2</t>
  </si>
  <si>
    <t>F5H012_TRIM21</t>
  </si>
  <si>
    <t>F5H0E9_ESRRA</t>
  </si>
  <si>
    <t>F5H0F9_ANAPC5</t>
  </si>
  <si>
    <t>F5H0K8_KSR1</t>
  </si>
  <si>
    <t>F5H0L8_SEC23IP</t>
  </si>
  <si>
    <t>F5H0Q6_CLASRP</t>
  </si>
  <si>
    <t>F5H105_ZNF384</t>
  </si>
  <si>
    <t>F5H1L4_TXNRD2</t>
  </si>
  <si>
    <t>F5H1N7_KIAA1211</t>
  </si>
  <si>
    <t>F5H1S8_MLEC</t>
  </si>
  <si>
    <t>F5H1X8_LRBA</t>
  </si>
  <si>
    <t>F5H1Y0_RAD51AP1</t>
  </si>
  <si>
    <t>F5H232_CDKN3</t>
  </si>
  <si>
    <t>F5H241_GBA</t>
  </si>
  <si>
    <t>F5H2H5_ANKLE2</t>
  </si>
  <si>
    <t>F5H2Q7_KIAA1715</t>
  </si>
  <si>
    <t>F5H315_XAB2</t>
  </si>
  <si>
    <t>F5H365_SEC23A</t>
  </si>
  <si>
    <t>F5H3D1_AMN1</t>
  </si>
  <si>
    <t>F5H3G6_PTPRB</t>
  </si>
  <si>
    <t>F5H3Q7_RPAIN</t>
  </si>
  <si>
    <t>F5H442_TSG101</t>
  </si>
  <si>
    <t>F5H476_ANGEL2</t>
  </si>
  <si>
    <t>F5H4B1_PRAME</t>
  </si>
  <si>
    <t>F5H4G7_KPNA6</t>
  </si>
  <si>
    <t>F5H4J2_PEX14</t>
  </si>
  <si>
    <t>F5H4Q5_VPS37C</t>
  </si>
  <si>
    <t>F5H4S9_TJP3</t>
  </si>
  <si>
    <t>F5H4U6_ACSBG1</t>
  </si>
  <si>
    <t>F5H542_ZFPM2</t>
  </si>
  <si>
    <t>F5H590_JARID2</t>
  </si>
  <si>
    <t>F5H5A3_MAP4K3</t>
  </si>
  <si>
    <t>F5H5C2_NUP133</t>
  </si>
  <si>
    <t>F5H5N1_NDUFS7</t>
  </si>
  <si>
    <t>F5H5U2_DDX55</t>
  </si>
  <si>
    <t>F5H604_CLASP2</t>
  </si>
  <si>
    <t>F5H6I7_ATL3</t>
  </si>
  <si>
    <t>F5H6M9_BRD1</t>
  </si>
  <si>
    <t>F5H6Z0_CDK17</t>
  </si>
  <si>
    <t>F5H702_MRPL48</t>
  </si>
  <si>
    <t>F5H715_AIDA</t>
  </si>
  <si>
    <t>F5H721_WBP11</t>
  </si>
  <si>
    <t>F5H777_CCDC82</t>
  </si>
  <si>
    <t>F5H7F6_MGST1</t>
  </si>
  <si>
    <t>F5H7I4_GABPB1</t>
  </si>
  <si>
    <t>F5H801_OGDH</t>
  </si>
  <si>
    <t>F5H860_INPP4A</t>
  </si>
  <si>
    <t>F5H897_TRAP1</t>
  </si>
  <si>
    <t>F5H8H2_MVK</t>
  </si>
  <si>
    <t>F6PQP6_EPN2</t>
  </si>
  <si>
    <t>F6QR24_NUP153</t>
  </si>
  <si>
    <t>F6TQG2_SMARCA1</t>
  </si>
  <si>
    <t>F6U1F2_BAG6</t>
  </si>
  <si>
    <t>F6U1T9_PPP3R1</t>
  </si>
  <si>
    <t>F6V2D4_LGALS8</t>
  </si>
  <si>
    <t>F6V707_TPD52L1</t>
  </si>
  <si>
    <t>F6XY72_NME2</t>
  </si>
  <si>
    <t>F6YA60_ITFG2</t>
  </si>
  <si>
    <t>F8VP89_EIF4B</t>
  </si>
  <si>
    <t>F8VPD4_CAD</t>
  </si>
  <si>
    <t>F8VPL6_IKZF4</t>
  </si>
  <si>
    <t>F8VQX6_METTL7A</t>
  </si>
  <si>
    <t>F8VS10_SPATS2</t>
  </si>
  <si>
    <t>F8VS47_NEK3</t>
  </si>
  <si>
    <t>F8VSL3_NFYB</t>
  </si>
  <si>
    <t>F8VSZ4_PLXNA1</t>
  </si>
  <si>
    <t>F8VUW5_DAZAP2</t>
  </si>
  <si>
    <t>F8VV52_CNOT2</t>
  </si>
  <si>
    <t>F8VV59_NAP1L1</t>
  </si>
  <si>
    <t>F8VWA6_MON2</t>
  </si>
  <si>
    <t>F8VX32_DMD</t>
  </si>
  <si>
    <t>F8VY35_NAP1L1</t>
  </si>
  <si>
    <t>F8VZJ2_NACA</t>
  </si>
  <si>
    <t>F8W038_C17orf49</t>
  </si>
  <si>
    <t>F8W1A4_AK2</t>
  </si>
  <si>
    <t>F8W1I9_ACAD10</t>
  </si>
  <si>
    <t>F8W1N9_NFE2</t>
  </si>
  <si>
    <t>F8W1R9_TGFBR1</t>
  </si>
  <si>
    <t>F8W648_PLEKHM1</t>
  </si>
  <si>
    <t>F8W6D1_RNF216</t>
  </si>
  <si>
    <t>F8W6T6_TLE4</t>
  </si>
  <si>
    <t>F8W785_GOLIM4</t>
  </si>
  <si>
    <t>F8W7C6_RPL10</t>
  </si>
  <si>
    <t>F8W810_</t>
  </si>
  <si>
    <t>F8W840_YTHDF1</t>
  </si>
  <si>
    <t>F8W898_POLR1B</t>
  </si>
  <si>
    <t>F8W8H5_RAB24</t>
  </si>
  <si>
    <t>F8W8I6_TIA1</t>
  </si>
  <si>
    <t>F8W964_TLE3</t>
  </si>
  <si>
    <t>F8W9F9_WNK2</t>
  </si>
  <si>
    <t>F8W9R9_MED24</t>
  </si>
  <si>
    <t>F8W9W2_GRK6</t>
  </si>
  <si>
    <t>F8W9X7_CCDC93</t>
  </si>
  <si>
    <t>F8WA13_MYCBP2</t>
  </si>
  <si>
    <t>F8WA86_CNN3</t>
  </si>
  <si>
    <t>F8WAK8_STAG2</t>
  </si>
  <si>
    <t>F8WAM4_RTN4</t>
  </si>
  <si>
    <t>F8WAS3_NDUFA5</t>
  </si>
  <si>
    <t>F8WB05_ATXN2</t>
  </si>
  <si>
    <t>F8WBJ6_PNO1</t>
  </si>
  <si>
    <t>F8WBK5_MRPL40</t>
  </si>
  <si>
    <t>F8WBS5_RPL35A</t>
  </si>
  <si>
    <t>F8WBU4_SFI1</t>
  </si>
  <si>
    <t>F8WC89_SAC3D1</t>
  </si>
  <si>
    <t>F8WCD0_RNF149</t>
  </si>
  <si>
    <t>F8WDE8_SKIV2L</t>
  </si>
  <si>
    <t>F8WEE4_ZFAND2B</t>
  </si>
  <si>
    <t>F8WEG4_CBWD2</t>
  </si>
  <si>
    <t>F8WEG8_PRKRA</t>
  </si>
  <si>
    <t>F8WF48_SEC62</t>
  </si>
  <si>
    <t>F8WJN3_CPSF6</t>
  </si>
  <si>
    <t>G3V0I7_ALS2CL</t>
  </si>
  <si>
    <t>G3V0I8_SREBF2</t>
  </si>
  <si>
    <t>G3V1D4_LIN7C</t>
  </si>
  <si>
    <t>G3V1R3_ZEB1</t>
  </si>
  <si>
    <t>G3V1R9_ISYNA1</t>
  </si>
  <si>
    <t>G3V1U0_ATF7IP</t>
  </si>
  <si>
    <t>G3V1Y1_ACTR6</t>
  </si>
  <si>
    <t>G3V203_RPL18</t>
  </si>
  <si>
    <t>G3V2B8_MTHFD1</t>
  </si>
  <si>
    <t>G3V2U7_ACYP1</t>
  </si>
  <si>
    <t>G3V398_ZNF410</t>
  </si>
  <si>
    <t>G3V3A0_SERPINA3</t>
  </si>
  <si>
    <t>G3V3A4_SNW1</t>
  </si>
  <si>
    <t>G3V3G9_DCAF8</t>
  </si>
  <si>
    <t>G3V3I4_NFKBIA</t>
  </si>
  <si>
    <t>G3V3R7_ATXN3</t>
  </si>
  <si>
    <t>G3V4C1_HNRNPC</t>
  </si>
  <si>
    <t>G3V4C9_FNTB</t>
  </si>
  <si>
    <t>G3V4P7_AP4S1</t>
  </si>
  <si>
    <t>G3V4W0_HNRNPC</t>
  </si>
  <si>
    <t>G3V529_DDX24</t>
  </si>
  <si>
    <t>G3V599_CTAGE5</t>
  </si>
  <si>
    <t>G3V5T0_GSTZ1</t>
  </si>
  <si>
    <t>G3V5V3_NEMF</t>
  </si>
  <si>
    <t>G3V5V7_HNRNPC</t>
  </si>
  <si>
    <t>G3XA91_METAP2</t>
  </si>
  <si>
    <t>G3XAA0_ARID1B</t>
  </si>
  <si>
    <t>G3XAH0_SEPT5</t>
  </si>
  <si>
    <t>G3XAI9_FAM133B</t>
  </si>
  <si>
    <t>G3XAL9_SLC12A2</t>
  </si>
  <si>
    <t>G5E948_MAP4K4</t>
  </si>
  <si>
    <t>G5E953_MTMR3</t>
  </si>
  <si>
    <t>G5E9A6_USP11</t>
  </si>
  <si>
    <t>G5E9A7_DMWD</t>
  </si>
  <si>
    <t>G5E9B5_TFPT</t>
  </si>
  <si>
    <t>G5E9C8_SOS1</t>
  </si>
  <si>
    <t>G5E9F3_CABIN1</t>
  </si>
  <si>
    <t>G5EA02_C4orf21</t>
  </si>
  <si>
    <t>G5EA07_PWWP2A</t>
  </si>
  <si>
    <t>G5EA52_PDIA3</t>
  </si>
  <si>
    <t>G8JL86_COBLL1</t>
  </si>
  <si>
    <t>G8JL95_MAU2</t>
  </si>
  <si>
    <t>G8JL98_TDG</t>
  </si>
  <si>
    <t>G8JLB3_PUS1</t>
  </si>
  <si>
    <t>G8JLE5_TIPIN</t>
  </si>
  <si>
    <t>G8JLH2_CDC25B</t>
  </si>
  <si>
    <t>G8JLI5_WDR45</t>
  </si>
  <si>
    <t>G8JLK1_USE1</t>
  </si>
  <si>
    <t>G8JLK3_PACS2</t>
  </si>
  <si>
    <t>G8JLL2_PPT2</t>
  </si>
  <si>
    <t>H0Y2S9_MPRIP</t>
  </si>
  <si>
    <t>H0Y390_MACF1</t>
  </si>
  <si>
    <t>H0Y3A0_RPL35</t>
  </si>
  <si>
    <t>H0Y3K7_ABLIM1</t>
  </si>
  <si>
    <t>H0Y3N9_PHF8</t>
  </si>
  <si>
    <t>H0Y3P2_EIF4G2</t>
  </si>
  <si>
    <t>H0Y3R4_SETD5</t>
  </si>
  <si>
    <t>H0Y452_C7orf43</t>
  </si>
  <si>
    <t>H0Y459_NCOR1</t>
  </si>
  <si>
    <t>H0Y498_EDEM3</t>
  </si>
  <si>
    <t>H0Y4R1_IMPDH2</t>
  </si>
  <si>
    <t>H0Y4V9_LARP4B</t>
  </si>
  <si>
    <t>H0Y547_ATP11A</t>
  </si>
  <si>
    <t>H0Y5C2_ATE1</t>
  </si>
  <si>
    <t>H0Y5Y0_PREP</t>
  </si>
  <si>
    <t>H0Y6C3_PYCRL</t>
  </si>
  <si>
    <t>H0Y714_IMP4</t>
  </si>
  <si>
    <t>H0Y7H8_ARID1B</t>
  </si>
  <si>
    <t>H0Y7Z1_FN1</t>
  </si>
  <si>
    <t>H0Y8G9_HERC3</t>
  </si>
  <si>
    <t>H0Y8X4_DNPH1</t>
  </si>
  <si>
    <t>H0Y905_RAPGEF2</t>
  </si>
  <si>
    <t>H0Y9S9_PPIP5K2</t>
  </si>
  <si>
    <t>H0YA52_PCBD2</t>
  </si>
  <si>
    <t>H0YA61_RBM24</t>
  </si>
  <si>
    <t>H0YA68_MAN2B2</t>
  </si>
  <si>
    <t>H0YA80_UBE2B</t>
  </si>
  <si>
    <t>H0YA99_TCOF1</t>
  </si>
  <si>
    <t>H0YAD3_SPATA24</t>
  </si>
  <si>
    <t>H0YAE0_C5orf24</t>
  </si>
  <si>
    <t>H0YAJ5_APBB2</t>
  </si>
  <si>
    <t>H0YAK3_CDH18</t>
  </si>
  <si>
    <t>H0YB18_HYI</t>
  </si>
  <si>
    <t>H0YBG3_MYC</t>
  </si>
  <si>
    <t>H0YBJ8_MTDH</t>
  </si>
  <si>
    <t>H0YBQ5_CCNC</t>
  </si>
  <si>
    <t>H0YBU8_MRPL43</t>
  </si>
  <si>
    <t>H0YBZ4_MTFR1</t>
  </si>
  <si>
    <t>H0YCG1_SF3B2</t>
  </si>
  <si>
    <t>H0YCU9_TAGLN</t>
  </si>
  <si>
    <t>H0YDE2_PLEKHA7</t>
  </si>
  <si>
    <t>H0YDF9_SCRIB</t>
  </si>
  <si>
    <t>H0YDS2_TRMT44</t>
  </si>
  <si>
    <t>H0YDU8_PPP5C</t>
  </si>
  <si>
    <t>H0YE28_C11orf31</t>
  </si>
  <si>
    <t>H0YE57_DHCR7</t>
  </si>
  <si>
    <t>H0YE76_ASCC1</t>
  </si>
  <si>
    <t>H0YEB6_SSSCA1</t>
  </si>
  <si>
    <t>H0YEB8_RNPC3</t>
  </si>
  <si>
    <t>H0YEF3_RNASEH2C</t>
  </si>
  <si>
    <t>H0YEL0_GEMIN2</t>
  </si>
  <si>
    <t>H0YFB1_PKP4</t>
  </si>
  <si>
    <t>H0YFY6_NUMA1</t>
  </si>
  <si>
    <t>H0YGR4_REXO2</t>
  </si>
  <si>
    <t>H0YIE9_FBXO21</t>
  </si>
  <si>
    <t>H0YJA8_C14orf142</t>
  </si>
  <si>
    <t>H0YJH2_CEP128</t>
  </si>
  <si>
    <t>H0YKX3_KIAA0101</t>
  </si>
  <si>
    <t>H0YLA0_PRC1</t>
  </si>
  <si>
    <t>H0YLB5_POU2F1</t>
  </si>
  <si>
    <t>H0YLF3_B2M</t>
  </si>
  <si>
    <t>H0YLN8_TRPM7</t>
  </si>
  <si>
    <t>H0YLX2_RFX7</t>
  </si>
  <si>
    <t>H0YM23_ANKRD17</t>
  </si>
  <si>
    <t>H0YMB3_GMPR2</t>
  </si>
  <si>
    <t>H0YMX4_GATM</t>
  </si>
  <si>
    <t>H0YN78_C15orf57</t>
  </si>
  <si>
    <t>H0YNE9_RAB8B</t>
  </si>
  <si>
    <t>H0YNG3_SEC11A</t>
  </si>
  <si>
    <t>H0YNH8_UACA</t>
  </si>
  <si>
    <t>H0YNU5_BLM</t>
  </si>
  <si>
    <t>H3BLV0_CD55</t>
  </si>
  <si>
    <t>H3BM67_NOL3</t>
  </si>
  <si>
    <t>H3BM79_AKTIP</t>
  </si>
  <si>
    <t>H3BMJ2_C15orf39</t>
  </si>
  <si>
    <t>H3BNT4_MPHOSPH6</t>
  </si>
  <si>
    <t>H3BPB8_MPI</t>
  </si>
  <si>
    <t>H3BPE1_MACF1</t>
  </si>
  <si>
    <t>H3BPJ6_ZNF276</t>
  </si>
  <si>
    <t>H3BPK3_HAGH</t>
  </si>
  <si>
    <t>H3BPK6_ORAOV1</t>
  </si>
  <si>
    <t>H3BPS8_ALDOA</t>
  </si>
  <si>
    <t>H3BQA0_SNAPC5</t>
  </si>
  <si>
    <t>H3BQZ7_hCG_2044799</t>
  </si>
  <si>
    <t>H3BRF9_ZFYVE19</t>
  </si>
  <si>
    <t>H3BRL3_UBFD1</t>
  </si>
  <si>
    <t>H3BRV0_EIF3C</t>
  </si>
  <si>
    <t>H3BS09_CYLD</t>
  </si>
  <si>
    <t>H3BSC1_RAB11A</t>
  </si>
  <si>
    <t>H3BST1_BLOC1S6</t>
  </si>
  <si>
    <t>H3BSZ4_MLST8</t>
  </si>
  <si>
    <t>H3BT74_CDK10</t>
  </si>
  <si>
    <t>H3BTB7_EARS2</t>
  </si>
  <si>
    <t>H3BTL1_MAP1LC3B</t>
  </si>
  <si>
    <t>H3BTT7_HERPUD1</t>
  </si>
  <si>
    <t>H3BU49_ARL2BP</t>
  </si>
  <si>
    <t>H3BU51_NPTN</t>
  </si>
  <si>
    <t>H3BUF6_ATXN2L</t>
  </si>
  <si>
    <t>H3BUJ7_E4F1</t>
  </si>
  <si>
    <t>H3BUQ2_OGFOD1</t>
  </si>
  <si>
    <t>H3BV80_RNPS1</t>
  </si>
  <si>
    <t>H6UMI1_GABARAP</t>
  </si>
  <si>
    <t>H7BXD5_GCA</t>
  </si>
  <si>
    <t>H7BXF5_SAP130</t>
  </si>
  <si>
    <t>H7BXG2_NPRL3</t>
  </si>
  <si>
    <t>H7BXH2_PPP6R3</t>
  </si>
  <si>
    <t>H7BXI1_ESYT2</t>
  </si>
  <si>
    <t>H7BXQ9_ERCC6L2</t>
  </si>
  <si>
    <t>H7BXU9_FGFR2</t>
  </si>
  <si>
    <t>H7BXZ5_KALRN</t>
  </si>
  <si>
    <t>H7BY36_EWSR1</t>
  </si>
  <si>
    <t>H7BYK9_STAG3</t>
  </si>
  <si>
    <t>H7BYN4_KIF23</t>
  </si>
  <si>
    <t>H7BYY1_TPM1</t>
  </si>
  <si>
    <t>H7BZJ3_PDIA3</t>
  </si>
  <si>
    <t>H7BZK3_DNAJB14</t>
  </si>
  <si>
    <t>H7C0C1_</t>
  </si>
  <si>
    <t>H7C0J3_CHD3</t>
  </si>
  <si>
    <t>H7C0S8_</t>
  </si>
  <si>
    <t>H7C134_TRIM5</t>
  </si>
  <si>
    <t>H7C137_RANBP1</t>
  </si>
  <si>
    <t>H7C144_ACTN4</t>
  </si>
  <si>
    <t>H7C1C1_DONSON</t>
  </si>
  <si>
    <t>H7C1M0_FANCL</t>
  </si>
  <si>
    <t>H7C1M5_DNTTIP1</t>
  </si>
  <si>
    <t>H7C1N2_COBL</t>
  </si>
  <si>
    <t>H7C1U3_CC2D1B</t>
  </si>
  <si>
    <t>H7C1W2_IDH3G</t>
  </si>
  <si>
    <t>H7C284_MFSD6</t>
  </si>
  <si>
    <t>H7C2G2_ART4</t>
  </si>
  <si>
    <t>H7C3E1_ATP6AP2</t>
  </si>
  <si>
    <t>H7C3P4_GNS</t>
  </si>
  <si>
    <t>H7C463_IMMT</t>
  </si>
  <si>
    <t>H7C494_DNAJB14</t>
  </si>
  <si>
    <t>H7C4S2_HBP1</t>
  </si>
  <si>
    <t>H7C4S4_FXR1</t>
  </si>
  <si>
    <t>H7C4Y3_PARP14</t>
  </si>
  <si>
    <t>H7C561_SF1</t>
  </si>
  <si>
    <t>H7C585_FXN</t>
  </si>
  <si>
    <t>H7C5D9_LRCH4</t>
  </si>
  <si>
    <t>H7C5E8_</t>
  </si>
  <si>
    <t>H7C5F9_SUPT20H</t>
  </si>
  <si>
    <t>H7C5V4_RNF217</t>
  </si>
  <si>
    <t>H9KV61_PWWP2B</t>
  </si>
  <si>
    <t>H9KVB4_TNRC18</t>
  </si>
  <si>
    <t>H9ZYI9_GABPB1</t>
  </si>
  <si>
    <t>I3L097_</t>
  </si>
  <si>
    <t>I3L100_NEURL4</t>
  </si>
  <si>
    <t>I3L1H5_DPH1</t>
  </si>
  <si>
    <t>I3L1K6_MYL4</t>
  </si>
  <si>
    <t>I3L1Q3_ELP5</t>
  </si>
  <si>
    <t>I3L232_B3GNTL1</t>
  </si>
  <si>
    <t>I3L2B0_CLUH</t>
  </si>
  <si>
    <t>I3L2C7_GEMIN4</t>
  </si>
  <si>
    <t>I3L2J0_CIC</t>
  </si>
  <si>
    <t>I3L2L5_FAM195B</t>
  </si>
  <si>
    <t>I3L2N2_DVL2</t>
  </si>
  <si>
    <t>I3L3E4_CHMP6</t>
  </si>
  <si>
    <t>I3L3P7_RPS15A</t>
  </si>
  <si>
    <t>I3L3S0_TRAPPC1</t>
  </si>
  <si>
    <t>I3L413_CCNE1</t>
  </si>
  <si>
    <t>I3L430_HMOX2</t>
  </si>
  <si>
    <t>I3L4C3_SPAG7</t>
  </si>
  <si>
    <t>I3L4X3_NFKBIB</t>
  </si>
  <si>
    <t>I3L505_NDUFAB1</t>
  </si>
  <si>
    <t>I3NI44_TOM1L1</t>
  </si>
  <si>
    <t>I6L894_ANK2</t>
  </si>
  <si>
    <t>J3KMY5_NPC2</t>
  </si>
  <si>
    <t>J3KMZ7_INTS2</t>
  </si>
  <si>
    <t>J3KN01_MLLT4</t>
  </si>
  <si>
    <t>J3KN25_GALC</t>
  </si>
  <si>
    <t>J3KN27_FBRSL1</t>
  </si>
  <si>
    <t>J3KN29_PSMD9</t>
  </si>
  <si>
    <t>J3KN33_CNTLN</t>
  </si>
  <si>
    <t>J3KN66_TOR1AIP1</t>
  </si>
  <si>
    <t>J3KN68_VGLL4</t>
  </si>
  <si>
    <t>J3KN93_ANKRD44</t>
  </si>
  <si>
    <t>J3KNB8_MAP3K4</t>
  </si>
  <si>
    <t>J3KND1_SAAL1</t>
  </si>
  <si>
    <t>J3KNF4_CCS</t>
  </si>
  <si>
    <t>J3KNG8_FNIP1</t>
  </si>
  <si>
    <t>J3KNH7_SENP3</t>
  </si>
  <si>
    <t>J3KNK0_BRSK1</t>
  </si>
  <si>
    <t>J3KNL6_SEC16A</t>
  </si>
  <si>
    <t>J3KNL9_ZFYVE1</t>
  </si>
  <si>
    <t>J3KNM5_YAF2</t>
  </si>
  <si>
    <t>J3KNN7_BRAP</t>
  </si>
  <si>
    <t>J3KNU8_ALDH6A1</t>
  </si>
  <si>
    <t>J3KNV1_ZNF292</t>
  </si>
  <si>
    <t>J3KNX4_MUM1</t>
  </si>
  <si>
    <t>J3KNZ9_FBRS</t>
  </si>
  <si>
    <t>J3KP19_SIPA1L1</t>
  </si>
  <si>
    <t>J3KP22_PTPRA</t>
  </si>
  <si>
    <t>J3KP30_DNTTIP2</t>
  </si>
  <si>
    <t>J3KP36_FAM21C</t>
  </si>
  <si>
    <t>J3KP66_PROX1</t>
  </si>
  <si>
    <t>J3KPK1_SYNJ1</t>
  </si>
  <si>
    <t>J3KPS2_FAM83H</t>
  </si>
  <si>
    <t>J3KPT0_DPP8</t>
  </si>
  <si>
    <t>J3KPV7_MPST</t>
  </si>
  <si>
    <t>J3KQ34_COPS7B</t>
  </si>
  <si>
    <t>J3KQD2_SENP2</t>
  </si>
  <si>
    <t>J3KQS2_CDC7</t>
  </si>
  <si>
    <t>J3KQS6_BABAM1</t>
  </si>
  <si>
    <t>J3KR07_CRAMP1L</t>
  </si>
  <si>
    <t>J3KRP6_SS18</t>
  </si>
  <si>
    <t>J3KSB8_MIF4GD</t>
  </si>
  <si>
    <t>J3KSW2_POLI</t>
  </si>
  <si>
    <t>J3KSX7_RHOT1</t>
  </si>
  <si>
    <t>J3KT51_HN1</t>
  </si>
  <si>
    <t>J3KTF8_ARHGDIA</t>
  </si>
  <si>
    <t>J3QK86_BAZ2A</t>
  </si>
  <si>
    <t>J3QKW2_MRPS7</t>
  </si>
  <si>
    <t>J3QL14_ATP6V0D1</t>
  </si>
  <si>
    <t>J3QL56_SCO1</t>
  </si>
  <si>
    <t>J3QLD9_FLOT2</t>
  </si>
  <si>
    <t>J3QLM9_DNAH9</t>
  </si>
  <si>
    <t>J3QLN8_AURKB</t>
  </si>
  <si>
    <t>J3QQJ5_TRAPPC8</t>
  </si>
  <si>
    <t>J3QQT2_RPL17</t>
  </si>
  <si>
    <t>J3QQW9_SUZ12</t>
  </si>
  <si>
    <t>J3QQY0_MSL1</t>
  </si>
  <si>
    <t>J3QR09_RPL19</t>
  </si>
  <si>
    <t>J3QR65_MTMR4</t>
  </si>
  <si>
    <t>J3QRN6_MYO1D</t>
  </si>
  <si>
    <t>J3QSH4_VEZF1</t>
  </si>
  <si>
    <t>J3QT28_BUB3</t>
  </si>
  <si>
    <t>J3QT32_NDEL1</t>
  </si>
  <si>
    <t>J3QT34_MAST4</t>
  </si>
  <si>
    <t>J3QTB1_TMEM173</t>
  </si>
  <si>
    <t>J3QTB2_CHCHD6</t>
  </si>
  <si>
    <t>J3QTM1_DNAH12</t>
  </si>
  <si>
    <t>J3QTV4_RGPD2</t>
  </si>
  <si>
    <t>J9JIC5_C17orf75</t>
  </si>
  <si>
    <t>K4DI92_RWDD4</t>
  </si>
  <si>
    <t>K7EIG1_CLUH</t>
  </si>
  <si>
    <t>K7EIJ0_WBP2</t>
  </si>
  <si>
    <t>K7EIN2_NUDT16L1</t>
  </si>
  <si>
    <t>K7EIP0_ACP5</t>
  </si>
  <si>
    <t>K7EIU8_SMAD4</t>
  </si>
  <si>
    <t>K7EJ08_SEC14L1</t>
  </si>
  <si>
    <t>K7EJ32_SPHK1</t>
  </si>
  <si>
    <t>K7EJA5_ATG4D</t>
  </si>
  <si>
    <t>K7EJH8_ACTN4</t>
  </si>
  <si>
    <t>K7EJQ7_SEC11C</t>
  </si>
  <si>
    <t>K7EJS4_SPINT2</t>
  </si>
  <si>
    <t>K7EK07_H3F3B</t>
  </si>
  <si>
    <t>K7EK35_STAT5A</t>
  </si>
  <si>
    <t>K7EKE6_LONP1</t>
  </si>
  <si>
    <t>K7EKG9_ATXN7L3</t>
  </si>
  <si>
    <t>K7EKT0_DOCK6</t>
  </si>
  <si>
    <t>K7EL68_CDC37</t>
  </si>
  <si>
    <t>K7EL81_PPP1R12C</t>
  </si>
  <si>
    <t>K7ELC2_RPS15</t>
  </si>
  <si>
    <t>K7ELW5_PTBP1</t>
  </si>
  <si>
    <t>K7ELY0_WIPI1</t>
  </si>
  <si>
    <t>K7EM02_KATNAL2</t>
  </si>
  <si>
    <t>K7EM09_TMEM205</t>
  </si>
  <si>
    <t>K7EM88_UBALD1</t>
  </si>
  <si>
    <t>K7EMW4_NCLN</t>
  </si>
  <si>
    <t>K7EMX1_SPC24</t>
  </si>
  <si>
    <t>K7EMZ7_C19orf57</t>
  </si>
  <si>
    <t>K7EN05_ELOF1</t>
  </si>
  <si>
    <t>K7EN65_MBD1</t>
  </si>
  <si>
    <t>K7EN88_hCG_2039718</t>
  </si>
  <si>
    <t>K7ENF0_NARS</t>
  </si>
  <si>
    <t>K7ENJ0_RAD23A</t>
  </si>
  <si>
    <t>K7ENL9_C18orf8</t>
  </si>
  <si>
    <t>K7ENQ6_DNMT1</t>
  </si>
  <si>
    <t>K7ENR1_ELK1</t>
  </si>
  <si>
    <t>K7ENR6_PSMG2</t>
  </si>
  <si>
    <t>K7EP81_C19orf55</t>
  </si>
  <si>
    <t>K7EPS8_C19orf12</t>
  </si>
  <si>
    <t>K7EPU2_NFIX</t>
  </si>
  <si>
    <t>K7EQG1_QPCTL</t>
  </si>
  <si>
    <t>K7EQU4_SAFB2</t>
  </si>
  <si>
    <t>K7EQV7_ZNF700</t>
  </si>
  <si>
    <t>K7EQW8_TPM4</t>
  </si>
  <si>
    <t>K7EQX8_MXRA7</t>
  </si>
  <si>
    <t>K7EQZ1_CXXC1</t>
  </si>
  <si>
    <t>K7ERF1_EIF3K</t>
  </si>
  <si>
    <t>K7ERI9_APOC1</t>
  </si>
  <si>
    <t>K7ERQ8_</t>
  </si>
  <si>
    <t>K7ES11_UBE2O</t>
  </si>
  <si>
    <t>K7ES84_FAM86A</t>
  </si>
  <si>
    <t>K7ESE3_RAD23A</t>
  </si>
  <si>
    <t>K7ESI9_DNM2</t>
  </si>
  <si>
    <t>M0QWZ7_SARS2</t>
  </si>
  <si>
    <t>M0QX35_PAF1</t>
  </si>
  <si>
    <t>M0QXF5_</t>
  </si>
  <si>
    <t>M0QXX4_KPTN</t>
  </si>
  <si>
    <t>M0QY01_EPS15L1</t>
  </si>
  <si>
    <t>M0QY46_USF2</t>
  </si>
  <si>
    <t>M0QYR7_SMG9</t>
  </si>
  <si>
    <t>M0QZ22_SAMD4B</t>
  </si>
  <si>
    <t>M0QZ28_DTNA</t>
  </si>
  <si>
    <t>M0QZ43_HRC</t>
  </si>
  <si>
    <t>M0QZ57_ZBTB45</t>
  </si>
  <si>
    <t>M0QZH0_RCN3</t>
  </si>
  <si>
    <t>M0QZM1_HNRNPM</t>
  </si>
  <si>
    <t>M0QZR4_ARHGEF1</t>
  </si>
  <si>
    <t>M0QZW6_CCDC155</t>
  </si>
  <si>
    <t>M0R009_</t>
  </si>
  <si>
    <t>M0R044_MPND</t>
  </si>
  <si>
    <t>M0R0B4_KXD1</t>
  </si>
  <si>
    <t>M0R0F0_RPS5</t>
  </si>
  <si>
    <t>M0R0Q5_ZNF414</t>
  </si>
  <si>
    <t>M0R1B5_ILVBL</t>
  </si>
  <si>
    <t>M0R1T5_CHMP2A</t>
  </si>
  <si>
    <t>M0R299_FBL</t>
  </si>
  <si>
    <t>M0R2P6_SHKBP1</t>
  </si>
  <si>
    <t>M0R2S3_CCDC94</t>
  </si>
  <si>
    <t>M0R300_MYO9B</t>
  </si>
  <si>
    <t>M0R3D4_RABAC1</t>
  </si>
  <si>
    <t>O00116_AGPS</t>
  </si>
  <si>
    <t>O00124-2_UBXN8</t>
  </si>
  <si>
    <t>O00139-1_KIF2A</t>
  </si>
  <si>
    <t>O00139-2_KIF2A</t>
  </si>
  <si>
    <t>O00148_DDX39A</t>
  </si>
  <si>
    <t>O00151_PDLIM1</t>
  </si>
  <si>
    <t>O00154-6_ACOT7</t>
  </si>
  <si>
    <t>O00159_MYO1C</t>
  </si>
  <si>
    <t>O00160_MYO1F</t>
  </si>
  <si>
    <t>O00161_SNAP23</t>
  </si>
  <si>
    <t>O00165-5_HAX1</t>
  </si>
  <si>
    <t>O00170_AIP</t>
  </si>
  <si>
    <t>O00178_GTPBP1</t>
  </si>
  <si>
    <t>O00186_STXBP3</t>
  </si>
  <si>
    <t>O00213-3_APBB1</t>
  </si>
  <si>
    <t>O00221_NFKBIE</t>
  </si>
  <si>
    <t>O00231_PSMD11</t>
  </si>
  <si>
    <t>O00232_PSMD12</t>
  </si>
  <si>
    <t>O00244_ATOX1</t>
  </si>
  <si>
    <t>O00255-2_MEN1</t>
  </si>
  <si>
    <t>O00257_CBX4</t>
  </si>
  <si>
    <t>O00264_PGRMC1</t>
  </si>
  <si>
    <t>O00268_TAF4</t>
  </si>
  <si>
    <t>O00273_DFFA</t>
  </si>
  <si>
    <t>O00273-2_DFFA</t>
  </si>
  <si>
    <t>O00287_RFXAP</t>
  </si>
  <si>
    <t>O00291-3_HIP1</t>
  </si>
  <si>
    <t>O00299_CLIC1</t>
  </si>
  <si>
    <t>O00303_EIF3F</t>
  </si>
  <si>
    <t>O00308_WWP2</t>
  </si>
  <si>
    <t>O00329_PIK3CD</t>
  </si>
  <si>
    <t>O00399_DCTN6</t>
  </si>
  <si>
    <t>O00401_WASL</t>
  </si>
  <si>
    <t>O00410_IPO5</t>
  </si>
  <si>
    <t>O00411_POLRMT</t>
  </si>
  <si>
    <t>O00418_EEF2K</t>
  </si>
  <si>
    <t>O00422_SAP18</t>
  </si>
  <si>
    <t>O00425_IGF2BP3</t>
  </si>
  <si>
    <t>O00429-3_DNM1L</t>
  </si>
  <si>
    <t>O00429-4_DNM1L</t>
  </si>
  <si>
    <t>O00442_RTCA</t>
  </si>
  <si>
    <t>O00443_PIK3C2A</t>
  </si>
  <si>
    <t>O00459_PIK3R2</t>
  </si>
  <si>
    <t>O00462_MANBA</t>
  </si>
  <si>
    <t>O00468-2_AGRN</t>
  </si>
  <si>
    <t>O00471_EXOC5</t>
  </si>
  <si>
    <t>O00479_HMGN4</t>
  </si>
  <si>
    <t>O00487_PSMD14</t>
  </si>
  <si>
    <t>O00499-6_BIN1</t>
  </si>
  <si>
    <t>O00505_KPNA3</t>
  </si>
  <si>
    <t>O00506_STK25</t>
  </si>
  <si>
    <t>O00512_BCL9</t>
  </si>
  <si>
    <t>O00522-3_KRIT1</t>
  </si>
  <si>
    <t>O00534_VWA5A</t>
  </si>
  <si>
    <t>O00560-3_SDCBP</t>
  </si>
  <si>
    <t>O00566_MPHOSPH10</t>
  </si>
  <si>
    <t>O00567_NOP56</t>
  </si>
  <si>
    <t>O00570_SOX1</t>
  </si>
  <si>
    <t>O00571_DDX3X</t>
  </si>
  <si>
    <t>O00625_PIR</t>
  </si>
  <si>
    <t>O00629_KPNA4</t>
  </si>
  <si>
    <t>O00743_PPP6C</t>
  </si>
  <si>
    <t>O00748_CES2</t>
  </si>
  <si>
    <t>O00754-2_MAN2B1</t>
  </si>
  <si>
    <t>O00764_PDXK</t>
  </si>
  <si>
    <t>O14497_ARID1A</t>
  </si>
  <si>
    <t>O14503_BHLHE40</t>
  </si>
  <si>
    <t>O14508_SOCS2</t>
  </si>
  <si>
    <t>O14519-2_CDK2AP1</t>
  </si>
  <si>
    <t>O14526-2_FCHO1</t>
  </si>
  <si>
    <t>O14545_TRAFD1</t>
  </si>
  <si>
    <t>O14561_NDUFAB1</t>
  </si>
  <si>
    <t>O14578-4_CIT</t>
  </si>
  <si>
    <t>O14579_COPE</t>
  </si>
  <si>
    <t>O14617_AP3D1</t>
  </si>
  <si>
    <t>O14646-2_CHD1</t>
  </si>
  <si>
    <t>O14647_CHD2</t>
  </si>
  <si>
    <t>O14649_KCNK3</t>
  </si>
  <si>
    <t>O14653-3_GOSR2</t>
  </si>
  <si>
    <t>O14654_IRS4</t>
  </si>
  <si>
    <t>O14656_TOR1A</t>
  </si>
  <si>
    <t>O14657_TOR1B</t>
  </si>
  <si>
    <t>O14686_MLL2</t>
  </si>
  <si>
    <t>O14713-2_ITGB1BP1</t>
  </si>
  <si>
    <t>O14733_MAP2K7</t>
  </si>
  <si>
    <t>O14737_PDCD5</t>
  </si>
  <si>
    <t>O14744_PRMT5</t>
  </si>
  <si>
    <t>O14745_SLC9A3R1</t>
  </si>
  <si>
    <t>O14757_CHEK1</t>
  </si>
  <si>
    <t>O14770-6_MEIS2</t>
  </si>
  <si>
    <t>O14772_FPGT</t>
  </si>
  <si>
    <t>O14773-2_TPP1</t>
  </si>
  <si>
    <t>O14776-2_TCERG1</t>
  </si>
  <si>
    <t>O14777_NDC80</t>
  </si>
  <si>
    <t>O14787-2_TNPO2</t>
  </si>
  <si>
    <t>O14795_UNC13B</t>
  </si>
  <si>
    <t>O14802_POLR3A</t>
  </si>
  <si>
    <t>O14818_PSMA7</t>
  </si>
  <si>
    <t>O14828_SCAMP3</t>
  </si>
  <si>
    <t>O14841_OPLAH</t>
  </si>
  <si>
    <t>O14867_BACH1</t>
  </si>
  <si>
    <t>O14907_TAX1BP3</t>
  </si>
  <si>
    <t>O14908_GIPC1</t>
  </si>
  <si>
    <t>O14920_IKBKB</t>
  </si>
  <si>
    <t>O14924-2_RGS12</t>
  </si>
  <si>
    <t>O14929_HAT1</t>
  </si>
  <si>
    <t>O14933_UBE2L6</t>
  </si>
  <si>
    <t>O14964_HGS</t>
  </si>
  <si>
    <t>O14965_AURKA</t>
  </si>
  <si>
    <t>O14974_PPP1R12A</t>
  </si>
  <si>
    <t>O14974-4_PPP1R12A</t>
  </si>
  <si>
    <t>O14976_GAK</t>
  </si>
  <si>
    <t>O14979-3_HNRPDL</t>
  </si>
  <si>
    <t>O14980_XPO1</t>
  </si>
  <si>
    <t>O14981_BTAF1</t>
  </si>
  <si>
    <t>O15013-7_ARHGEF10</t>
  </si>
  <si>
    <t>O15014_ZNF609</t>
  </si>
  <si>
    <t>O15015_ZNF646</t>
  </si>
  <si>
    <t>O15020_SPTBN2</t>
  </si>
  <si>
    <t>O15020-2_SPTBN2</t>
  </si>
  <si>
    <t>O15037_KHNYN</t>
  </si>
  <si>
    <t>O15047_SETD1A</t>
  </si>
  <si>
    <t>O15050_TRANK1</t>
  </si>
  <si>
    <t>O15054_KDM6B</t>
  </si>
  <si>
    <t>O15056_SYNJ2</t>
  </si>
  <si>
    <t>O15060_ZBTB39</t>
  </si>
  <si>
    <t>O15063_KIAA0355</t>
  </si>
  <si>
    <t>O15066_KIF3B</t>
  </si>
  <si>
    <t>O15067_PFAS</t>
  </si>
  <si>
    <t>O15078_CEP290</t>
  </si>
  <si>
    <t>O15084_ANKRD28</t>
  </si>
  <si>
    <t>O15085-2_ARHGEF11</t>
  </si>
  <si>
    <t>O15111_CHUK</t>
  </si>
  <si>
    <t>O15116_LSM1</t>
  </si>
  <si>
    <t>O15117_FYB</t>
  </si>
  <si>
    <t>O15118_NPC1</t>
  </si>
  <si>
    <t>O15131_KPNA5</t>
  </si>
  <si>
    <t>O15143_ARPC1B</t>
  </si>
  <si>
    <t>O15144_ARPC2</t>
  </si>
  <si>
    <t>O15145_ARPC3</t>
  </si>
  <si>
    <t>O15151-5_MDM4</t>
  </si>
  <si>
    <t>O15156_ZBTB7B</t>
  </si>
  <si>
    <t>O15160-2_POLR1C</t>
  </si>
  <si>
    <t>O15164_TRIM24</t>
  </si>
  <si>
    <t>O15169-2_AXIN1</t>
  </si>
  <si>
    <t>O15173_PGRMC2</t>
  </si>
  <si>
    <t>O15211_RGL2</t>
  </si>
  <si>
    <t>O15212_PFDN6</t>
  </si>
  <si>
    <t>O15213_WDR46</t>
  </si>
  <si>
    <t>O15226_NKRF</t>
  </si>
  <si>
    <t>O15231-4_ZNF185</t>
  </si>
  <si>
    <t>O15234_CASC3</t>
  </si>
  <si>
    <t>O15240_VGF</t>
  </si>
  <si>
    <t>O15247_CLIC2</t>
  </si>
  <si>
    <t>O15260-2_SURF4</t>
  </si>
  <si>
    <t>O15265_ATXN7</t>
  </si>
  <si>
    <t>O15294_OGT</t>
  </si>
  <si>
    <t>O15305_PMM2</t>
  </si>
  <si>
    <t>O15315-5_RAD51B</t>
  </si>
  <si>
    <t>O15344_MID1</t>
  </si>
  <si>
    <t>O15355_PPM1G</t>
  </si>
  <si>
    <t>O15357_INPPL1</t>
  </si>
  <si>
    <t>O15372_EIF3H</t>
  </si>
  <si>
    <t>O15379_HDAC3</t>
  </si>
  <si>
    <t>O15381_NVL</t>
  </si>
  <si>
    <t>O15382_BCAT2</t>
  </si>
  <si>
    <t>O15392-5_BIRC5</t>
  </si>
  <si>
    <t>O15397_IPO8</t>
  </si>
  <si>
    <t>O15400-2_STX7</t>
  </si>
  <si>
    <t>O15446_CD3EAP</t>
  </si>
  <si>
    <t>O15479_MAGEB2</t>
  </si>
  <si>
    <t>O15488-4_GYG2</t>
  </si>
  <si>
    <t>O15498_YKT6</t>
  </si>
  <si>
    <t>O15504_NUPL2</t>
  </si>
  <si>
    <t>O15511_ARPC5</t>
  </si>
  <si>
    <t>O15514_POLR2D</t>
  </si>
  <si>
    <t>O15524_SOCS1</t>
  </si>
  <si>
    <t>O15541_RNF113A</t>
  </si>
  <si>
    <t>O15550_KDM6A</t>
  </si>
  <si>
    <t>O43143_DHX15</t>
  </si>
  <si>
    <t>O43148_RNMT</t>
  </si>
  <si>
    <t>O43149_ZZEF1</t>
  </si>
  <si>
    <t>O43156_TTI1</t>
  </si>
  <si>
    <t>O43164-2_PJA2</t>
  </si>
  <si>
    <t>O43167_ZBTB24</t>
  </si>
  <si>
    <t>O43172-2_PRPF4</t>
  </si>
  <si>
    <t>O43175_PHGDH</t>
  </si>
  <si>
    <t>O43182-4_ARHGAP6</t>
  </si>
  <si>
    <t>O43237_DYNC1LI2</t>
  </si>
  <si>
    <t>O43242_PSMD3</t>
  </si>
  <si>
    <t>O43251-6_RBFOX2</t>
  </si>
  <si>
    <t>O43252_PAPSS1</t>
  </si>
  <si>
    <t>O43264_ZW10</t>
  </si>
  <si>
    <t>O43290_SART1</t>
  </si>
  <si>
    <t>O43293_DAPK3</t>
  </si>
  <si>
    <t>O43298_ZBTB43</t>
  </si>
  <si>
    <t>O43299_AP5Z1</t>
  </si>
  <si>
    <t>O43303-2_CCP110</t>
  </si>
  <si>
    <t>O43310_CTIF</t>
  </si>
  <si>
    <t>O43314-2_PPIP5K2</t>
  </si>
  <si>
    <t>O43318_MAP3K7</t>
  </si>
  <si>
    <t>O43324_EEF1E1</t>
  </si>
  <si>
    <t>O43325_LYRM1</t>
  </si>
  <si>
    <t>O43353_RIPK2</t>
  </si>
  <si>
    <t>O43379_WDR62</t>
  </si>
  <si>
    <t>O43390_HNRNPR</t>
  </si>
  <si>
    <t>O43395_PRPF3</t>
  </si>
  <si>
    <t>O43396_TXNL1</t>
  </si>
  <si>
    <t>O43399_TPD52L2</t>
  </si>
  <si>
    <t>O43402_EMC8</t>
  </si>
  <si>
    <t>O43414-3_ERI3</t>
  </si>
  <si>
    <t>O43422_PRKRIR</t>
  </si>
  <si>
    <t>O43427-2_FIBP</t>
  </si>
  <si>
    <t>O43432_EIF4G3</t>
  </si>
  <si>
    <t>O43435-3_TBX1</t>
  </si>
  <si>
    <t>O43447_PPIH</t>
  </si>
  <si>
    <t>O43464_HTRA2</t>
  </si>
  <si>
    <t>O43482_OIP5</t>
  </si>
  <si>
    <t>O43488_AKR7A2</t>
  </si>
  <si>
    <t>O43491_EPB41L2</t>
  </si>
  <si>
    <t>O43504_LAMTOR5</t>
  </si>
  <si>
    <t>O43513_MED7</t>
  </si>
  <si>
    <t>O43516_WIPF1</t>
  </si>
  <si>
    <t>O43521-6_BCL2L11</t>
  </si>
  <si>
    <t>O43542_XRCC3</t>
  </si>
  <si>
    <t>O43566_RGS14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</si>
  <si>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</si>
  <si>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</si>
  <si>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</si>
  <si>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</si>
  <si>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</si>
  <si>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</si>
  <si>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</si>
  <si>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O43660-2_PLRG1</t>
  </si>
  <si>
    <t>O43663_PRC1</t>
  </si>
  <si>
    <t>O43665-2_RGS10</t>
  </si>
  <si>
    <t>O43670-2_ZNF207</t>
  </si>
  <si>
    <t>O43674-2_NDUFB5</t>
  </si>
  <si>
    <t>O43678_NDUFA2</t>
  </si>
  <si>
    <t>O43681_ASNA1</t>
  </si>
  <si>
    <t>O43707_ACTN4</t>
  </si>
  <si>
    <t>O43709_WBSCR22</t>
  </si>
  <si>
    <t>O43715_TRIAP1</t>
  </si>
  <si>
    <t>O43716_GATC</t>
  </si>
  <si>
    <t>O43719_HTATSF1</t>
  </si>
  <si>
    <t>O43734-5_TRAF3IP2</t>
  </si>
  <si>
    <t>O43739-2_CYTH3</t>
  </si>
  <si>
    <t>O43747_AP1G1</t>
  </si>
  <si>
    <t>O43752_STX6</t>
  </si>
  <si>
    <t>O43765_SGTA</t>
  </si>
  <si>
    <t>O43766_LIAS</t>
  </si>
  <si>
    <t>O43768-2_ENSA</t>
  </si>
  <si>
    <t>O43776_NARS</t>
  </si>
  <si>
    <t>O43791_SPOP</t>
  </si>
  <si>
    <t>O43805_SSNA1</t>
  </si>
  <si>
    <t>O43809_NUDT21</t>
  </si>
  <si>
    <t>O43813_LANCL1</t>
  </si>
  <si>
    <t>O43815_STRN</t>
  </si>
  <si>
    <t>O43818_RRP9</t>
  </si>
  <si>
    <t>O43822-2_C21orf2</t>
  </si>
  <si>
    <t>O43823_AKAP8</t>
  </si>
  <si>
    <t>O43829_ZBTB14</t>
  </si>
  <si>
    <t>O43837_IDH3B</t>
  </si>
  <si>
    <t>O43847_NRD1</t>
  </si>
  <si>
    <t>O43852_CALU</t>
  </si>
  <si>
    <t>O43865_AHCYL1</t>
  </si>
  <si>
    <t>O43896_KIF1C</t>
  </si>
  <si>
    <t>O43913_ORC5</t>
  </si>
  <si>
    <t>O43924_PDE6D</t>
  </si>
  <si>
    <t>O43929_ORC4</t>
  </si>
  <si>
    <t>O43930_PRKY</t>
  </si>
  <si>
    <t>O43933_PEX1</t>
  </si>
  <si>
    <t>O60216_RAD21</t>
  </si>
  <si>
    <t>O60220_TIMM8A</t>
  </si>
  <si>
    <t>O60231_DHX16</t>
  </si>
  <si>
    <t>O60234_GMFG</t>
  </si>
  <si>
    <t>O60239-2_SH3BP5</t>
  </si>
  <si>
    <t>O60244_MED14</t>
  </si>
  <si>
    <t>O60256_PRPSAP2</t>
  </si>
  <si>
    <t>O60264_SMARCA5</t>
  </si>
  <si>
    <t>O60271_SPAG9</t>
  </si>
  <si>
    <t>O60271-4_SPAG9</t>
  </si>
  <si>
    <t>O60292_SIPA1L3</t>
  </si>
  <si>
    <t>O60293-2_ZFC3H1</t>
  </si>
  <si>
    <t>O60294_LCMT2</t>
  </si>
  <si>
    <t>O60296_TRAK2</t>
  </si>
  <si>
    <t>O60306_AQR</t>
  </si>
  <si>
    <t>O60313_OPA1</t>
  </si>
  <si>
    <t>O60315-2_ZEB2</t>
  </si>
  <si>
    <t>O60318_MCM3AP</t>
  </si>
  <si>
    <t>O60333-3_KIF1B</t>
  </si>
  <si>
    <t>O60336-4_MAPKBP1</t>
  </si>
  <si>
    <t>O60341_KDM1A</t>
  </si>
  <si>
    <t>O60343-2_TBC1D4</t>
  </si>
  <si>
    <t>O60344-4_ECE2</t>
  </si>
  <si>
    <t>O60346_PHLPP1</t>
  </si>
  <si>
    <t>O60347_TBC1D12</t>
  </si>
  <si>
    <t>O60353-2_FZD6</t>
  </si>
  <si>
    <t>O60361_NME2P1</t>
  </si>
  <si>
    <t>O60443_DFNA5</t>
  </si>
  <si>
    <t>O60447_EVI5</t>
  </si>
  <si>
    <t>O60493_SNX3</t>
  </si>
  <si>
    <t>O60502_MGEA5</t>
  </si>
  <si>
    <t>O60506-2_SYNCRIP</t>
  </si>
  <si>
    <t>O60547-2_GMDS</t>
  </si>
  <si>
    <t>O60551_NMT2</t>
  </si>
  <si>
    <t>O60563_CCNT1</t>
  </si>
  <si>
    <t>O60566_BUB1B</t>
  </si>
  <si>
    <t>O60568_PLOD3</t>
  </si>
  <si>
    <t>O60583-2_CCNT2</t>
  </si>
  <si>
    <t>O60613_SEP15</t>
  </si>
  <si>
    <t>O60645-2_EXOC3</t>
  </si>
  <si>
    <t>O60664-4_PLIN3</t>
  </si>
  <si>
    <t>O60671_RAD1</t>
  </si>
  <si>
    <t>O60678_PRMT3</t>
  </si>
  <si>
    <t>O60701_UGDH</t>
  </si>
  <si>
    <t>O60716-5_CTNND1</t>
  </si>
  <si>
    <t>O60732_MAGEC1</t>
  </si>
  <si>
    <t>O60749_SNX2</t>
  </si>
  <si>
    <t>O60762_DPM1</t>
  </si>
  <si>
    <t>O60763_USO1</t>
  </si>
  <si>
    <t>O60826_CCDC22</t>
  </si>
  <si>
    <t>O60828-2_PQBP1</t>
  </si>
  <si>
    <t>O60829_PAGE4</t>
  </si>
  <si>
    <t>O60832_DKC1</t>
  </si>
  <si>
    <t>O60841_EIF5B</t>
  </si>
  <si>
    <t>O60869_EDF1</t>
  </si>
  <si>
    <t>O60870_KIN</t>
  </si>
  <si>
    <t>O60884_DNAJA2</t>
  </si>
  <si>
    <t>O60885_BRD4</t>
  </si>
  <si>
    <t>O60888-3_CUTA</t>
  </si>
  <si>
    <t>O60907-2_TBL1X</t>
  </si>
  <si>
    <t>O60921_HUS1</t>
  </si>
  <si>
    <t>O60925_PFDN1</t>
  </si>
  <si>
    <t>O60927_PPP1R11</t>
  </si>
  <si>
    <t>O60934_NBN</t>
  </si>
  <si>
    <t>O60942_RNGTT</t>
  </si>
  <si>
    <t>O75030-12_MITF</t>
  </si>
  <si>
    <t>O75037-3_KIF21B</t>
  </si>
  <si>
    <t>O75044_SRGAP2</t>
  </si>
  <si>
    <t>O75061-4_DNAJC6</t>
  </si>
  <si>
    <t>O75063_FAM20B</t>
  </si>
  <si>
    <t>O75064_DENND4B</t>
  </si>
  <si>
    <t>O75083_WDR1</t>
  </si>
  <si>
    <t>O75110-2_ATP9A</t>
  </si>
  <si>
    <t>O75113_N4BP1</t>
  </si>
  <si>
    <t>O75116_ROCK2</t>
  </si>
  <si>
    <t>O75131_CPNE3</t>
  </si>
  <si>
    <t>O75132_ZBED4</t>
  </si>
  <si>
    <t>O75143-2_ATG13</t>
  </si>
  <si>
    <t>O75144_ICOSLG</t>
  </si>
  <si>
    <t>O75145-2_PPFIA3</t>
  </si>
  <si>
    <t>O75146_HIP1R</t>
  </si>
  <si>
    <t>O75147-2_OBSL1</t>
  </si>
  <si>
    <t>O75150_RNF40</t>
  </si>
  <si>
    <t>O75151_PHF2</t>
  </si>
  <si>
    <t>O75152_ZC3H11A</t>
  </si>
  <si>
    <t>O75154_RAB11FIP3</t>
  </si>
  <si>
    <t>O75155_CAND2</t>
  </si>
  <si>
    <t>O75157-2_TSC22D2</t>
  </si>
  <si>
    <t>O75164_KDM4A</t>
  </si>
  <si>
    <t>O75167-5_PHACTR2</t>
  </si>
  <si>
    <t>O75170-2_PPP6R2</t>
  </si>
  <si>
    <t>O75175_CNOT3</t>
  </si>
  <si>
    <t>O75177_SS18L1</t>
  </si>
  <si>
    <t>O75182-2_SIN3B</t>
  </si>
  <si>
    <t>O75190_DNAJB6</t>
  </si>
  <si>
    <t>O75191_XYLB</t>
  </si>
  <si>
    <t>O75223_GGCT</t>
  </si>
  <si>
    <t>O75306-2_NDUFS2</t>
  </si>
  <si>
    <t>O75312_ZNF259</t>
  </si>
  <si>
    <t>O75319_DUSP11</t>
  </si>
  <si>
    <t>O75323_GBAS</t>
  </si>
  <si>
    <t>O75330-2_HMMR</t>
  </si>
  <si>
    <t>O75340_PDCD6</t>
  </si>
  <si>
    <t>O75347_TBCA</t>
  </si>
  <si>
    <t>O75348_ATP6V1G1</t>
  </si>
  <si>
    <t>O75351_VPS4B</t>
  </si>
  <si>
    <t>O75356_ENTPD5</t>
  </si>
  <si>
    <t>O75362_ZNF217</t>
  </si>
  <si>
    <t>O75367-2_H2AFY</t>
  </si>
  <si>
    <t>O75368_SH3BGRL</t>
  </si>
  <si>
    <t>O75369-8_FLNB</t>
  </si>
  <si>
    <t>O75376_NCOR1</t>
  </si>
  <si>
    <t>O75380_NDUFS6</t>
  </si>
  <si>
    <t>O75385_ULK1</t>
  </si>
  <si>
    <t>O75396_SEC22B</t>
  </si>
  <si>
    <t>O75398-4_DEAF1</t>
  </si>
  <si>
    <t>O75400-3_PRPF40A</t>
  </si>
  <si>
    <t>O75410-7_TACC1</t>
  </si>
  <si>
    <t>O75419-2_CDC45</t>
  </si>
  <si>
    <t>O75420_GIGYF1</t>
  </si>
  <si>
    <t>O75427_LRCH4</t>
  </si>
  <si>
    <t>O75436_VPS26A</t>
  </si>
  <si>
    <t>O75439_PMPCB</t>
  </si>
  <si>
    <t>O75446_SAP30</t>
  </si>
  <si>
    <t>O75449_KATNA1</t>
  </si>
  <si>
    <t>O75475_PSIP1</t>
  </si>
  <si>
    <t>O75489_NDUFS3</t>
  </si>
  <si>
    <t>O75503_CLN5</t>
  </si>
  <si>
    <t>O75506_HSBP1</t>
  </si>
  <si>
    <t>O75521-2_ECI2</t>
  </si>
  <si>
    <t>O75528_TADA3</t>
  </si>
  <si>
    <t>O75529_TAF5L</t>
  </si>
  <si>
    <t>O75530-3_EED</t>
  </si>
  <si>
    <t>O75531_BANF1</t>
  </si>
  <si>
    <t>O75533_SF3B1</t>
  </si>
  <si>
    <t>O75534-2_CSDE1</t>
  </si>
  <si>
    <t>O75554_WBP4</t>
  </si>
  <si>
    <t>O75575_CRCP</t>
  </si>
  <si>
    <t>O75586_MED6</t>
  </si>
  <si>
    <t>O75600_GCAT</t>
  </si>
  <si>
    <t>O75607_NPM3</t>
  </si>
  <si>
    <t>O75608-2_LYPLA1</t>
  </si>
  <si>
    <t>O75629_CREG1</t>
  </si>
  <si>
    <t>O75635-2_SERPINB7</t>
  </si>
  <si>
    <t>O75643_SNRNP200</t>
  </si>
  <si>
    <t>O75663_TIPRL</t>
  </si>
  <si>
    <t>O75683_SURF6</t>
  </si>
  <si>
    <t>O75688_PPM1B</t>
  </si>
  <si>
    <t>O75695_RP2</t>
  </si>
  <si>
    <t>O75717_WDHD1</t>
  </si>
  <si>
    <t>O75771-3_RAD51D</t>
  </si>
  <si>
    <t>O75781_PALM</t>
  </si>
  <si>
    <t>O75791_GRAP2</t>
  </si>
  <si>
    <t>O75792_RNASEH2A</t>
  </si>
  <si>
    <t>O75794_CDC123</t>
  </si>
  <si>
    <t>O75807_PPP1R15A</t>
  </si>
  <si>
    <t>O75808_SOLH</t>
  </si>
  <si>
    <t>O75818-2_RPP40</t>
  </si>
  <si>
    <t>O75821_EIF3G</t>
  </si>
  <si>
    <t>O75822_EIF3J</t>
  </si>
  <si>
    <t>O75828_CBR3</t>
  </si>
  <si>
    <t>O75843_AP1G2</t>
  </si>
  <si>
    <t>O75844_ZMPSTE24</t>
  </si>
  <si>
    <t>O75864-2_PPP1R37</t>
  </si>
  <si>
    <t>O75865-2_TRAPPC6A</t>
  </si>
  <si>
    <t>O75874_IDH1</t>
  </si>
  <si>
    <t>O75884_RBBP9</t>
  </si>
  <si>
    <t>O75886_STAM2</t>
  </si>
  <si>
    <t>O75909_CCNK</t>
  </si>
  <si>
    <t>O75925_PIAS1</t>
  </si>
  <si>
    <t>O75928-2_PIAS2</t>
  </si>
  <si>
    <t>O75934_BCAS2</t>
  </si>
  <si>
    <t>O75935-3_DCTN3</t>
  </si>
  <si>
    <t>O75937_DNAJC8</t>
  </si>
  <si>
    <t>O75940_SMNDC1</t>
  </si>
  <si>
    <t>O75943-3_RAD17</t>
  </si>
  <si>
    <t>O75947-2_ATP5H</t>
  </si>
  <si>
    <t>O75955_FLOT1</t>
  </si>
  <si>
    <t>O75962-5_TRIO</t>
  </si>
  <si>
    <t>O76003_GLRX3</t>
  </si>
  <si>
    <t>O76011_KRT34</t>
  </si>
  <si>
    <t>O76021_RSL1D1</t>
  </si>
  <si>
    <t>O76031_CLPX</t>
  </si>
  <si>
    <t>O76038_SCGN</t>
  </si>
  <si>
    <t>O76041-2_NEBL</t>
  </si>
  <si>
    <t>O76064_RNF8</t>
  </si>
  <si>
    <t>O76071_CIAO1</t>
  </si>
  <si>
    <t>O76075_DFFB</t>
  </si>
  <si>
    <t>O76080_ZFAND5</t>
  </si>
  <si>
    <t>O76094_SRP72</t>
  </si>
  <si>
    <t>O77932_DOM3Z</t>
  </si>
  <si>
    <t>O94761_RECQL4</t>
  </si>
  <si>
    <t>O94762_RECQL5</t>
  </si>
  <si>
    <t>O94763_URI1</t>
  </si>
  <si>
    <t>O94763-4_URI1</t>
  </si>
  <si>
    <t>O94776_MTA2</t>
  </si>
  <si>
    <t>O94782_USP1</t>
  </si>
  <si>
    <t>O94788_ALDH1A2</t>
  </si>
  <si>
    <t>O94804_STK10</t>
  </si>
  <si>
    <t>O94806_PRKD3</t>
  </si>
  <si>
    <t>O94808_GFPT2</t>
  </si>
  <si>
    <t>O94817_ATG12</t>
  </si>
  <si>
    <t>O94819_KBTBD11</t>
  </si>
  <si>
    <t>O94822_LTN1</t>
  </si>
  <si>
    <t>O94826_TOMM70A</t>
  </si>
  <si>
    <t>O94829_IPO13</t>
  </si>
  <si>
    <t>O94830_DDHD2</t>
  </si>
  <si>
    <t>O94851-5_MICAL2</t>
  </si>
  <si>
    <t>O94854_KIAA0754</t>
  </si>
  <si>
    <t>O94855_SEC24D</t>
  </si>
  <si>
    <t>O94864-2_SUPT7L</t>
  </si>
  <si>
    <t>O94874_UFL1</t>
  </si>
  <si>
    <t>O94876_TMCC1</t>
  </si>
  <si>
    <t>O94880_PHF14</t>
  </si>
  <si>
    <t>O94888_UBXN7</t>
  </si>
  <si>
    <t>O94889_KLHL18</t>
  </si>
  <si>
    <t>O94903_PROSC</t>
  </si>
  <si>
    <t>O94906-2_PRPF6</t>
  </si>
  <si>
    <t>O94913_PCF11</t>
  </si>
  <si>
    <t>O94925-3_GLS</t>
  </si>
  <si>
    <t>O94927_HAUS5</t>
  </si>
  <si>
    <t>O94941-2_UBOX5</t>
  </si>
  <si>
    <t>O94953_KDM4B</t>
  </si>
  <si>
    <t>O94964-2_SOGA1</t>
  </si>
  <si>
    <t>O94966-7_USP19</t>
  </si>
  <si>
    <t>O94967-2_WDR47</t>
  </si>
  <si>
    <t>O94973_AP2A2</t>
  </si>
  <si>
    <t>O94979_SEC31A</t>
  </si>
  <si>
    <t>O94988-6_FAM13A</t>
  </si>
  <si>
    <t>O94992_HEXIM1</t>
  </si>
  <si>
    <t>O95059_RPP14</t>
  </si>
  <si>
    <t>O95067_CCNB2</t>
  </si>
  <si>
    <t>O95081-2_AGFG2</t>
  </si>
  <si>
    <t>O95104_SCAF4</t>
  </si>
  <si>
    <t>O95149_SNUPN</t>
  </si>
  <si>
    <t>O95155-2_UBE4B</t>
  </si>
  <si>
    <t>O95163_IKBKAP</t>
  </si>
  <si>
    <t>O95202_LETM1</t>
  </si>
  <si>
    <t>O95218-2_ZRANB2</t>
  </si>
  <si>
    <t>O95219_SNX4</t>
  </si>
  <si>
    <t>O95229_ZWINT</t>
  </si>
  <si>
    <t>O95231_VENTX</t>
  </si>
  <si>
    <t>O95232_LUC7L3</t>
  </si>
  <si>
    <t>O95239_KIF4A</t>
  </si>
  <si>
    <t>O95243-2_MBD4</t>
  </si>
  <si>
    <t>O95248_SBF1</t>
  </si>
  <si>
    <t>O95251-4_KAT7</t>
  </si>
  <si>
    <t>O95273_CCNDBP1</t>
  </si>
  <si>
    <t>O95292_VAPB</t>
  </si>
  <si>
    <t>O95295_SNAPIN</t>
  </si>
  <si>
    <t>O95302_FKBP9</t>
  </si>
  <si>
    <t>O95336_PGLS</t>
  </si>
  <si>
    <t>O95347_SMC2</t>
  </si>
  <si>
    <t>O95352_ATG7</t>
  </si>
  <si>
    <t>O95363_FARS2</t>
  </si>
  <si>
    <t>O95372_LYPLA2</t>
  </si>
  <si>
    <t>O95373_IPO7</t>
  </si>
  <si>
    <t>O95376_ARIH2</t>
  </si>
  <si>
    <t>O95379_TNFAIP8</t>
  </si>
  <si>
    <t>O95391_SLU7</t>
  </si>
  <si>
    <t>O95394_PGM3</t>
  </si>
  <si>
    <t>O95396_MOCS3</t>
  </si>
  <si>
    <t>O95397_PLEKHA8P1</t>
  </si>
  <si>
    <t>O95399_UTS2</t>
  </si>
  <si>
    <t>O95400_CD2BP2</t>
  </si>
  <si>
    <t>O95402_MED26</t>
  </si>
  <si>
    <t>O95405_ZFYVE9</t>
  </si>
  <si>
    <t>O95429-2_BAG4</t>
  </si>
  <si>
    <t>O95433_AHSA1</t>
  </si>
  <si>
    <t>O95453-2_PARN</t>
  </si>
  <si>
    <t>O95456_PSMG1</t>
  </si>
  <si>
    <t>O95466_FMNL1</t>
  </si>
  <si>
    <t>O95479_H6PD</t>
  </si>
  <si>
    <t>O95486_SEC24A</t>
  </si>
  <si>
    <t>O95487-2_SEC24B</t>
  </si>
  <si>
    <t>O95544_NADK</t>
  </si>
  <si>
    <t>O95551_TDP2</t>
  </si>
  <si>
    <t>O95568_METTL18</t>
  </si>
  <si>
    <t>O95571_ETHE1</t>
  </si>
  <si>
    <t>O95573_ACSL3</t>
  </si>
  <si>
    <t>O95602_POLR1A</t>
  </si>
  <si>
    <t>O95613_PCNT</t>
  </si>
  <si>
    <t>O95619_YEATS4</t>
  </si>
  <si>
    <t>O95620_DUS4L</t>
  </si>
  <si>
    <t>O95625_ZBTB11</t>
  </si>
  <si>
    <t>O95628-9_CNOT4</t>
  </si>
  <si>
    <t>O95630_STAMBP</t>
  </si>
  <si>
    <t>O95639_CPSF4</t>
  </si>
  <si>
    <t>O95644-5_NFATC1</t>
  </si>
  <si>
    <t>O95671-2_ASMTL</t>
  </si>
  <si>
    <t>O95684-2_FGFR1OP</t>
  </si>
  <si>
    <t>O95721_SNAP29</t>
  </si>
  <si>
    <t>O95747_OXSR1</t>
  </si>
  <si>
    <t>O95749_GGPS1</t>
  </si>
  <si>
    <t>O95757_HSPA4L</t>
  </si>
  <si>
    <t>O95758-1_PTBP3</t>
  </si>
  <si>
    <t>O95777_NAA38</t>
  </si>
  <si>
    <t>O95782-2_AP2A1</t>
  </si>
  <si>
    <t>O95801_TTC4</t>
  </si>
  <si>
    <t>O95816_BAG2</t>
  </si>
  <si>
    <t>O95817_BAG3</t>
  </si>
  <si>
    <t>O95822_MLYCD</t>
  </si>
  <si>
    <t>O95825_CRYZL1</t>
  </si>
  <si>
    <t>O95831-3_AIFM1</t>
  </si>
  <si>
    <t>O95834-2_EML2</t>
  </si>
  <si>
    <t>O95835-2_LATS1</t>
  </si>
  <si>
    <t>O95861_BPNT1</t>
  </si>
  <si>
    <t>O95865_DDAH2</t>
  </si>
  <si>
    <t>O95881_TXNDC12</t>
  </si>
  <si>
    <t>O95905_ECD</t>
  </si>
  <si>
    <t>O95926_SYF2</t>
  </si>
  <si>
    <t>O95983_MBD3</t>
  </si>
  <si>
    <t>O95985_TOP3B</t>
  </si>
  <si>
    <t>O95989_NUDT3</t>
  </si>
  <si>
    <t>O95999_BCL10</t>
  </si>
  <si>
    <t>O96007_MOCS2</t>
  </si>
  <si>
    <t>O96008_TOMM40</t>
  </si>
  <si>
    <t>O96013_PAK4</t>
  </si>
  <si>
    <t>O96017_CHEK2</t>
  </si>
  <si>
    <t>O96018_APBA3</t>
  </si>
  <si>
    <t>O96019_ACTL6A</t>
  </si>
  <si>
    <t>O96028_WHSC1</t>
  </si>
  <si>
    <t>O96033_MOCS2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</si>
  <si>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</si>
  <si>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</si>
  <si>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</si>
  <si>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</si>
  <si>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</si>
  <si>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</si>
  <si>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</si>
  <si>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</si>
  <si>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</si>
  <si>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</si>
  <si>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</si>
  <si>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</si>
  <si>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</si>
  <si>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P00568_AK1</t>
  </si>
  <si>
    <t>P00747_</t>
  </si>
  <si>
    <t>P00813_ADA</t>
  </si>
  <si>
    <t>P00918_CA2</t>
  </si>
  <si>
    <t>P00966_ASS1</t>
  </si>
  <si>
    <t>P01008_</t>
  </si>
  <si>
    <t>P01009_SERPINA1</t>
  </si>
  <si>
    <t>P01023_</t>
  </si>
  <si>
    <t>P01024_</t>
  </si>
  <si>
    <t>P01034_CST3</t>
  </si>
  <si>
    <t>P01111_NRAS</t>
  </si>
  <si>
    <t>P01116-2_KRAS</t>
  </si>
  <si>
    <t>P01137_TGFB1</t>
  </si>
  <si>
    <t>P02008_HBZ</t>
  </si>
  <si>
    <t>P02042_HBD</t>
  </si>
  <si>
    <t>P02100_HBE1</t>
  </si>
  <si>
    <t>P02533_KRT14</t>
  </si>
  <si>
    <t>P02538_KRT6A</t>
  </si>
  <si>
    <t>P02545_LMNA</t>
  </si>
  <si>
    <t>P02549_SPTA1</t>
  </si>
  <si>
    <t>P02649_APOE</t>
  </si>
  <si>
    <t>P02656_APOC3</t>
  </si>
  <si>
    <t>P02765_</t>
  </si>
  <si>
    <t>P02768_ALB</t>
  </si>
  <si>
    <t>P02774_</t>
  </si>
  <si>
    <t>P02786_TFRC</t>
  </si>
  <si>
    <t>P02794_FTH1</t>
  </si>
  <si>
    <t>P04004_</t>
  </si>
  <si>
    <t>P04040_CAT</t>
  </si>
  <si>
    <t>P04066_FUCA1</t>
  </si>
  <si>
    <t>P04075_ALDOA</t>
  </si>
  <si>
    <t>P04080_CSTB</t>
  </si>
  <si>
    <t>P04083_ANXA1</t>
  </si>
  <si>
    <t>P04150-2_NR3C1</t>
  </si>
  <si>
    <t>P04181_OAT</t>
  </si>
  <si>
    <t>P04183_TK1</t>
  </si>
  <si>
    <t>P04259_KRT6B</t>
  </si>
  <si>
    <t>P04264_KRT1</t>
  </si>
  <si>
    <t>P04350_TUBB4A</t>
  </si>
  <si>
    <t>P04406_GAPDH</t>
  </si>
  <si>
    <t>P04424_ASL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</si>
  <si>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</si>
  <si>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</si>
  <si>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</si>
  <si>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</si>
  <si>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</si>
  <si>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</si>
  <si>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</si>
  <si>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P05023-4_ATP1A1</t>
  </si>
  <si>
    <t>P05091_ALDH2</t>
  </si>
  <si>
    <t>P05114_HMGN1</t>
  </si>
  <si>
    <t>P05141_SLC25A5</t>
  </si>
  <si>
    <t>P05161_ISG15</t>
  </si>
  <si>
    <t>P05165-3_PCCA</t>
  </si>
  <si>
    <t>P05166_PCCB</t>
  </si>
  <si>
    <t>P05198_EIF2S1</t>
  </si>
  <si>
    <t>P05204_HMGN2</t>
  </si>
  <si>
    <t>P05362_ICAM1</t>
  </si>
  <si>
    <t>P05386_RPLP1</t>
  </si>
  <si>
    <t>P05387_RPLP2</t>
  </si>
  <si>
    <t>P05388_RPLP0</t>
  </si>
  <si>
    <t>P05423_POLR3D</t>
  </si>
  <si>
    <t>P05455_SSB</t>
  </si>
  <si>
    <t>P05556-2_ITGB1</t>
  </si>
  <si>
    <t>P05771-2_PRKCB</t>
  </si>
  <si>
    <t>P05783_KRT18</t>
  </si>
  <si>
    <t>P05787_KRT8</t>
  </si>
  <si>
    <t>P05937_CALB1</t>
  </si>
  <si>
    <t>P06132_UROD</t>
  </si>
  <si>
    <t>P06280_GLA</t>
  </si>
  <si>
    <t>P06396-2_GSN</t>
  </si>
  <si>
    <t>P06400_RB1</t>
  </si>
  <si>
    <t>P06493_CDK1</t>
  </si>
  <si>
    <t>P06576_ATP5B</t>
  </si>
  <si>
    <t>P06730_EIF4E</t>
  </si>
  <si>
    <t>P06733_ENO1</t>
  </si>
  <si>
    <t>P06733-2_ENO1</t>
  </si>
  <si>
    <t>P06737-2_PYGL</t>
  </si>
  <si>
    <t>P06744_GPI</t>
  </si>
  <si>
    <t>P06746_POLB</t>
  </si>
  <si>
    <t>P06748_NPM1</t>
  </si>
  <si>
    <t>P06753-2_TPM3</t>
  </si>
  <si>
    <t>P06753-3_TPM3</t>
  </si>
  <si>
    <t>P06753-5_TPM3</t>
  </si>
  <si>
    <t>P06865_HEXA</t>
  </si>
  <si>
    <t>P07108_DBI</t>
  </si>
  <si>
    <t>P07195_LDHB</t>
  </si>
  <si>
    <t>P07205_PGK2</t>
  </si>
  <si>
    <t>P07237_P4HB</t>
  </si>
  <si>
    <t>P07339_CTSD</t>
  </si>
  <si>
    <t>P07355_ANXA2</t>
  </si>
  <si>
    <t>P07384_CAPN1</t>
  </si>
  <si>
    <t>P07602_PSAP</t>
  </si>
  <si>
    <t>P07686_HEXB</t>
  </si>
  <si>
    <t>P07711_CTSL1</t>
  </si>
  <si>
    <t>P07737_PFN1</t>
  </si>
  <si>
    <t>P07738_BPGM</t>
  </si>
  <si>
    <t>P07741_APRT</t>
  </si>
  <si>
    <t>P07858_CTSB</t>
  </si>
  <si>
    <t>P07900_HSP90AA1</t>
  </si>
  <si>
    <t>P07902_GALT</t>
  </si>
  <si>
    <t>P07919_UQCRH</t>
  </si>
  <si>
    <t>P07942_LAMB1</t>
  </si>
  <si>
    <t>P07947_YES1</t>
  </si>
  <si>
    <t>P07948_LYN</t>
  </si>
  <si>
    <t>P07954-2_FH</t>
  </si>
  <si>
    <t>P07992_ERCC1</t>
  </si>
  <si>
    <t>P08047_SP1</t>
  </si>
  <si>
    <t>P08107_HSPA1A</t>
  </si>
  <si>
    <t>P08133_ANXA6</t>
  </si>
  <si>
    <t>P08195-2_SLC3A2</t>
  </si>
  <si>
    <t>P08237_PFKM</t>
  </si>
  <si>
    <t>P08238_HSP90AB1</t>
  </si>
  <si>
    <t>P08240_SRPR</t>
  </si>
  <si>
    <t>P08243-2_ASNS</t>
  </si>
  <si>
    <t>P08397-2_HMBS</t>
  </si>
  <si>
    <t>P08559-3_PDHA1</t>
  </si>
  <si>
    <t>P08575-2_PTPRC</t>
  </si>
  <si>
    <t>P08579_SNRPB2</t>
  </si>
  <si>
    <t>P08590_MYL3</t>
  </si>
  <si>
    <t>P08621_SNRNP70</t>
  </si>
  <si>
    <t>P08648_ITGA5</t>
  </si>
  <si>
    <t>P08651-2_NFIC</t>
  </si>
  <si>
    <t>P08670_VIM</t>
  </si>
  <si>
    <t>P08727_KRT19</t>
  </si>
  <si>
    <t>P08754_GNAI3</t>
  </si>
  <si>
    <t>P08758_ANXA5</t>
  </si>
  <si>
    <t>P08779_KRT16</t>
  </si>
  <si>
    <t>P09012_SNRPA</t>
  </si>
  <si>
    <t>P09038-2_FGF2</t>
  </si>
  <si>
    <t>P09105_HBQ1</t>
  </si>
  <si>
    <t>P09110_ACAA1</t>
  </si>
  <si>
    <t>P09132_SRP19</t>
  </si>
  <si>
    <t>P09211_GSTP1</t>
  </si>
  <si>
    <t>P09234_SNRPC</t>
  </si>
  <si>
    <t>P09327_VIL1</t>
  </si>
  <si>
    <t>P09382_LGALS1</t>
  </si>
  <si>
    <t>P09417_QDPR</t>
  </si>
  <si>
    <t>P09429_HMGB1</t>
  </si>
  <si>
    <t>P09496-2_CLTA</t>
  </si>
  <si>
    <t>P09497-2_CLTB</t>
  </si>
  <si>
    <t>P09525_ANXA4</t>
  </si>
  <si>
    <t>P09543-2_CNP</t>
  </si>
  <si>
    <t>P09622_DLD</t>
  </si>
  <si>
    <t>P09651-3_HNRNPA1</t>
  </si>
  <si>
    <t>P09661_SNRPA1</t>
  </si>
  <si>
    <t>P09668_CTSH</t>
  </si>
  <si>
    <t>P09874_PARP1</t>
  </si>
  <si>
    <t>P09884_POLA1</t>
  </si>
  <si>
    <t>P09917_ALOX5</t>
  </si>
  <si>
    <t>P09960_LTA4H</t>
  </si>
  <si>
    <t>P09972_ALDOC</t>
  </si>
  <si>
    <t>P0C7T5_ATXN1L</t>
  </si>
  <si>
    <t>P0CAP2_POLR2M</t>
  </si>
  <si>
    <t>P0CG12_CHTF8</t>
  </si>
  <si>
    <t>P0CG13_CHTF8</t>
  </si>
  <si>
    <t>P0CJ79_ZNF888</t>
  </si>
  <si>
    <t>P0CL82_GAGE12I</t>
  </si>
  <si>
    <t>P0CW22_RPS17L</t>
  </si>
  <si>
    <t>P0DI82_TRAPPC2P1</t>
  </si>
  <si>
    <t>P10073_ZSCAN22</t>
  </si>
  <si>
    <t>P10109_FDX1</t>
  </si>
  <si>
    <t>P10155_TROVE2</t>
  </si>
  <si>
    <t>P10242-11_MYB</t>
  </si>
  <si>
    <t>P10244_MYBL2</t>
  </si>
  <si>
    <t>P10253_GAA</t>
  </si>
  <si>
    <t>P10398_ARAF</t>
  </si>
  <si>
    <t>P10515_DLAT</t>
  </si>
  <si>
    <t>P10588_NR2F6</t>
  </si>
  <si>
    <t>P10599_TXN</t>
  </si>
  <si>
    <t>P10606_COX5B</t>
  </si>
  <si>
    <t>P10619_CTSA</t>
  </si>
  <si>
    <t>P10636-2_MAPT</t>
  </si>
  <si>
    <t>P10644_PRKAR1A</t>
  </si>
  <si>
    <t>P10646-2_TFPI</t>
  </si>
  <si>
    <t>P10746_UROS</t>
  </si>
  <si>
    <t>P10768_ESD</t>
  </si>
  <si>
    <t>P10809_HSPD1</t>
  </si>
  <si>
    <t>P11021_HSPA5</t>
  </si>
  <si>
    <t>P11086_PNMT</t>
  </si>
  <si>
    <t>P11137-3_MAP2</t>
  </si>
  <si>
    <t>P11142_HSPA8</t>
  </si>
  <si>
    <t>P11171_EPB41</t>
  </si>
  <si>
    <t>P11171-2_EPB41</t>
  </si>
  <si>
    <t>P11171-4_EPB41</t>
  </si>
  <si>
    <t>P11172_UMPS</t>
  </si>
  <si>
    <t>P11177-3_PDHB</t>
  </si>
  <si>
    <t>P11216_PYGB</t>
  </si>
  <si>
    <t>P11233_RALA</t>
  </si>
  <si>
    <t>P11234_RALB</t>
  </si>
  <si>
    <t>P11274_BCR</t>
  </si>
  <si>
    <t>P11277-3_SPTB</t>
  </si>
  <si>
    <t>P11279_LAMP1</t>
  </si>
  <si>
    <t>P11310_ACADM</t>
  </si>
  <si>
    <t>P11387_TOP1</t>
  </si>
  <si>
    <t>P11388_TOP2A</t>
  </si>
  <si>
    <t>P11413_G6PD</t>
  </si>
  <si>
    <t>P11441_UBL4A</t>
  </si>
  <si>
    <t>P11498_PC</t>
  </si>
  <si>
    <t>P11532-3_DMD</t>
  </si>
  <si>
    <t>P11717_IGF2R</t>
  </si>
  <si>
    <t>P11766_ADH5</t>
  </si>
  <si>
    <t>P11802_CDK4</t>
  </si>
  <si>
    <t>P11908_PRPS2</t>
  </si>
  <si>
    <t>P11940_PABPC1</t>
  </si>
  <si>
    <t>P12004_PCNA</t>
  </si>
  <si>
    <t>P12036_NEFH</t>
  </si>
  <si>
    <t>P12081_HARS</t>
  </si>
  <si>
    <t>P12236_SLC25A6</t>
  </si>
  <si>
    <t>P12270_TPR</t>
  </si>
  <si>
    <t>P12277_CKB</t>
  </si>
  <si>
    <t>P12429_ANXA3</t>
  </si>
  <si>
    <t>P12532_CKMT1A</t>
  </si>
  <si>
    <t>P12694_BCKDHA</t>
  </si>
  <si>
    <t>P12757-3_SKIL</t>
  </si>
  <si>
    <t>P12814_ACTN1</t>
  </si>
  <si>
    <t>P12882_MYH1</t>
  </si>
  <si>
    <t>P12955_PEPD</t>
  </si>
  <si>
    <t>P12956_XRCC6</t>
  </si>
  <si>
    <t>P12980_LYL1</t>
  </si>
  <si>
    <t>P13010_XRCC5</t>
  </si>
  <si>
    <t>P13073_COX4I1</t>
  </si>
  <si>
    <t>P13284_IFI30</t>
  </si>
  <si>
    <t>P13489_RNH1</t>
  </si>
  <si>
    <t>P13498_CYBA</t>
  </si>
  <si>
    <t>P13639_EEF2</t>
  </si>
  <si>
    <t>P13645_KRT10</t>
  </si>
  <si>
    <t>P13647_KRT5</t>
  </si>
  <si>
    <t>P13667_PDIA4</t>
  </si>
  <si>
    <t>P13674-2_P4HA1</t>
  </si>
  <si>
    <t>P13682_ZNF35</t>
  </si>
  <si>
    <t>P13693_TPT1</t>
  </si>
  <si>
    <t>P13796_LCP1</t>
  </si>
  <si>
    <t>P13798_APEH</t>
  </si>
  <si>
    <t>P13804_ETFA</t>
  </si>
  <si>
    <t>P13861_PRKAR2A</t>
  </si>
  <si>
    <t>P13929-3_ENO3</t>
  </si>
  <si>
    <t>P13984_GTF2F2</t>
  </si>
  <si>
    <t>P13995_MTHFD2</t>
  </si>
  <si>
    <t>P14174_MIF</t>
  </si>
  <si>
    <t>P14209-3_CD99</t>
  </si>
  <si>
    <t>P14314-2_PRKCSH</t>
  </si>
  <si>
    <t>P14317_HCLS1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</si>
  <si>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</si>
  <si>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</si>
  <si>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</si>
  <si>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</si>
  <si>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</si>
  <si>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</si>
  <si>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</si>
  <si>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</si>
  <si>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</si>
  <si>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</si>
  <si>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</si>
  <si>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</si>
  <si>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</si>
  <si>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</si>
  <si>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</si>
  <si>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</si>
  <si>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P15104_GLUL</t>
  </si>
  <si>
    <t>P15151-3_PVR</t>
  </si>
  <si>
    <t>P15153_RAC2</t>
  </si>
  <si>
    <t>P15170-2_GSPT1</t>
  </si>
  <si>
    <t>P15289_ARSA</t>
  </si>
  <si>
    <t>P15311_EZR</t>
  </si>
  <si>
    <t>P15374_UCHL3</t>
  </si>
  <si>
    <t>P15407_FOSL1</t>
  </si>
  <si>
    <t>P15498_VAV1</t>
  </si>
  <si>
    <t>P15529-15_CD46</t>
  </si>
  <si>
    <t>P15531_NME1</t>
  </si>
  <si>
    <t>P15735-2_PHKG2</t>
  </si>
  <si>
    <t>P15822_HIVEP1</t>
  </si>
  <si>
    <t>P15848_ARSB</t>
  </si>
  <si>
    <t>P15880_RPS2</t>
  </si>
  <si>
    <t>P15884-5_TCF4</t>
  </si>
  <si>
    <t>P15923-2_TCF3</t>
  </si>
  <si>
    <t>P15924_DSP</t>
  </si>
  <si>
    <t>P15927_RPA2</t>
  </si>
  <si>
    <t>P15976-3_GATA1</t>
  </si>
  <si>
    <t>P16083_NQO2</t>
  </si>
  <si>
    <t>P16150_SPN</t>
  </si>
  <si>
    <t>P16152_CBR1</t>
  </si>
  <si>
    <t>P16157-10_ANK1</t>
  </si>
  <si>
    <t>P16219_ACADS</t>
  </si>
  <si>
    <t>P16278-3_GLB1</t>
  </si>
  <si>
    <t>P16298_PPP3CB</t>
  </si>
  <si>
    <t>P16333_NCK1</t>
  </si>
  <si>
    <t>P16383_GCFC2</t>
  </si>
  <si>
    <t>P16401_HIST1H1B</t>
  </si>
  <si>
    <t>P16403_HIST1H1C</t>
  </si>
  <si>
    <t>P16591_FER</t>
  </si>
  <si>
    <t>P16615_ATP2A2</t>
  </si>
  <si>
    <t>P16885_PLCG2</t>
  </si>
  <si>
    <t>P16930_FAH</t>
  </si>
  <si>
    <t>P16949_STMN1</t>
  </si>
  <si>
    <t>P16989_YBX3</t>
  </si>
  <si>
    <t>P17017_ZNF14</t>
  </si>
  <si>
    <t>P17026_ZNF22</t>
  </si>
  <si>
    <t>P17028_ZNF24</t>
  </si>
  <si>
    <t>P17029_ZKSCAN1</t>
  </si>
  <si>
    <t>P17050_NAGA</t>
  </si>
  <si>
    <t>P17066_HSPA6</t>
  </si>
  <si>
    <t>P17096-2_HMGA1</t>
  </si>
  <si>
    <t>P17098_ZNF8</t>
  </si>
  <si>
    <t>P17152_TMEM11</t>
  </si>
  <si>
    <t>P17174_GOT1</t>
  </si>
  <si>
    <t>P17252_PRKCA</t>
  </si>
  <si>
    <t>P17275_JUNB</t>
  </si>
  <si>
    <t>P17480-2_UBTF</t>
  </si>
  <si>
    <t>P17482_HOXB9</t>
  </si>
  <si>
    <t>P17483_HOXB4</t>
  </si>
  <si>
    <t>P17535_JUND</t>
  </si>
  <si>
    <t>P17542_TAL1</t>
  </si>
  <si>
    <t>P17544-4_ATF7</t>
  </si>
  <si>
    <t>P17612_PRKACA</t>
  </si>
  <si>
    <t>P17655_CAPN2</t>
  </si>
  <si>
    <t>P17661_DES</t>
  </si>
  <si>
    <t>P17676_CEBPB</t>
  </si>
  <si>
    <t>P17706-2_PTPN2</t>
  </si>
  <si>
    <t>P17707_AMD1</t>
  </si>
  <si>
    <t>P17812_CTPS1</t>
  </si>
  <si>
    <t>P17844_DDX5</t>
  </si>
  <si>
    <t>P17858_PFKL</t>
  </si>
  <si>
    <t>P17861_XBP1</t>
  </si>
  <si>
    <t>P17900_GM2A</t>
  </si>
  <si>
    <t>P17931_LGALS3</t>
  </si>
  <si>
    <t>P17987_TCP1</t>
  </si>
  <si>
    <t>P18031_PTPN1</t>
  </si>
  <si>
    <t>P18065_IGFBP2</t>
  </si>
  <si>
    <t>P18085_ARF4</t>
  </si>
  <si>
    <t>P18124_RPL7</t>
  </si>
  <si>
    <t>P18146_EGR1</t>
  </si>
  <si>
    <t>P18206-2_VCL</t>
  </si>
  <si>
    <t>P18440_NAT1</t>
  </si>
  <si>
    <t>P18583-7_SON</t>
  </si>
  <si>
    <t>P18615_NELFE</t>
  </si>
  <si>
    <t>P18669_PGAM1</t>
  </si>
  <si>
    <t>P18754_RCC1</t>
  </si>
  <si>
    <t>P18846_ATF1</t>
  </si>
  <si>
    <t>P18850_ATF6</t>
  </si>
  <si>
    <t>P18859_ATP5J</t>
  </si>
  <si>
    <t>P18887_XRCC1</t>
  </si>
  <si>
    <t>P19105_MYL12A</t>
  </si>
  <si>
    <t>P19174-2_PLCG1</t>
  </si>
  <si>
    <t>P19338_NCL</t>
  </si>
  <si>
    <t>P19367-2_HK1</t>
  </si>
  <si>
    <t>P19367-4_HK1</t>
  </si>
  <si>
    <t>P19387_POLR2C</t>
  </si>
  <si>
    <t>P19388_POLR2E</t>
  </si>
  <si>
    <t>P19404_NDUFV2</t>
  </si>
  <si>
    <t>P19447_ERCC3</t>
  </si>
  <si>
    <t>P19525_EIF2AK2</t>
  </si>
  <si>
    <t>P19532_TFE3</t>
  </si>
  <si>
    <t>P19544-2_WT1</t>
  </si>
  <si>
    <t>P19623_SRM</t>
  </si>
  <si>
    <t>P19784_CSNK2A2</t>
  </si>
  <si>
    <t>P19838_NFKB1</t>
  </si>
  <si>
    <t>P20042_EIF2S2</t>
  </si>
  <si>
    <t>P20138-3_CD33</t>
  </si>
  <si>
    <t>P20226-2_TBP</t>
  </si>
  <si>
    <t>P20248_CCNA2</t>
  </si>
  <si>
    <t>P20290_BTF3</t>
  </si>
  <si>
    <t>P20333_TNFRSF1B</t>
  </si>
  <si>
    <t>P20337_RAB3B</t>
  </si>
  <si>
    <t>P20338_RAB4A</t>
  </si>
  <si>
    <t>P20340-2_RAB6A</t>
  </si>
  <si>
    <t>P20585_MSH3</t>
  </si>
  <si>
    <t>P20618_PSMB1</t>
  </si>
  <si>
    <t>P20674_COX5A</t>
  </si>
  <si>
    <t>P20700_LMNB1</t>
  </si>
  <si>
    <t>P20749_BCL3</t>
  </si>
  <si>
    <t>P20933_AGA</t>
  </si>
  <si>
    <t>P20936-2_RASA1</t>
  </si>
  <si>
    <t>P20962_PTMS</t>
  </si>
  <si>
    <t>P21127_CDK11B</t>
  </si>
  <si>
    <t>P21266_GSTM3</t>
  </si>
  <si>
    <t>P21281_ATP6V1B2</t>
  </si>
  <si>
    <t>P21283_ATP6V1C1</t>
  </si>
  <si>
    <t>P21291_CSRP1</t>
  </si>
  <si>
    <t>P21333-2_FLNA</t>
  </si>
  <si>
    <t>P21359-2_NF1</t>
  </si>
  <si>
    <t>P21399_ACO1</t>
  </si>
  <si>
    <t>P21675_TAF1</t>
  </si>
  <si>
    <t>P21796_VDAC1</t>
  </si>
  <si>
    <t>P21964-2_COMT</t>
  </si>
  <si>
    <t>P21980_TGM2</t>
  </si>
  <si>
    <t>P22033_MUT</t>
  </si>
  <si>
    <t>P22059_OSBP</t>
  </si>
  <si>
    <t>P22061-2_PCMT1</t>
  </si>
  <si>
    <t>P22102_GART</t>
  </si>
  <si>
    <t>P22234_PAICS</t>
  </si>
  <si>
    <t>P22307-6_SCP2</t>
  </si>
  <si>
    <t>P22314_UBA1</t>
  </si>
  <si>
    <t>P22392-2_NME2</t>
  </si>
  <si>
    <t>P22532_SPRR2D</t>
  </si>
  <si>
    <t>P22570_FDXR</t>
  </si>
  <si>
    <t>P22626_HNRNPA2B1</t>
  </si>
  <si>
    <t>P22670_RFX1</t>
  </si>
  <si>
    <t>P22681_CBL</t>
  </si>
  <si>
    <t>P22694-4_PRKACB</t>
  </si>
  <si>
    <t>P22830_FECH</t>
  </si>
  <si>
    <t>P23025_XPA</t>
  </si>
  <si>
    <t>P23142-3_FBLN1</t>
  </si>
  <si>
    <t>P23193_TCEA1</t>
  </si>
  <si>
    <t>P23246_SFPQ</t>
  </si>
  <si>
    <t>P23258_TUBG1</t>
  </si>
  <si>
    <t>P23284_PPIB</t>
  </si>
  <si>
    <t>P23297_S100A1</t>
  </si>
  <si>
    <t>P23368_ME2</t>
  </si>
  <si>
    <t>P23381_WARS</t>
  </si>
  <si>
    <t>P23396_RPS3</t>
  </si>
  <si>
    <t>P23409_MYF6</t>
  </si>
  <si>
    <t>P23434_GCSH</t>
  </si>
  <si>
    <t>P23470-2_PTPRG</t>
  </si>
  <si>
    <t>P23497_SP100</t>
  </si>
  <si>
    <t>P23511-2_NFYA</t>
  </si>
  <si>
    <t>P23526_AHCY</t>
  </si>
  <si>
    <t>P23528_CFL1</t>
  </si>
  <si>
    <t>P23588_EIF4B</t>
  </si>
  <si>
    <t>P23610_F8A1</t>
  </si>
  <si>
    <t>P23634-7_ATP2B4</t>
  </si>
  <si>
    <t>P23677_ITPKA</t>
  </si>
  <si>
    <t>P23769-2_GATA2</t>
  </si>
  <si>
    <t>P23786_CPT2</t>
  </si>
  <si>
    <t>P23919_DTYMK</t>
  </si>
  <si>
    <t>P23921_RRM1</t>
  </si>
  <si>
    <t>P24534_EEF1B2</t>
  </si>
  <si>
    <t>P24666_ACP1</t>
  </si>
  <si>
    <t>P24752_ACAT1</t>
  </si>
  <si>
    <t>P24928_POLR2A</t>
  </si>
  <si>
    <t>P24941_CDK2</t>
  </si>
  <si>
    <t>P25054-2_APC</t>
  </si>
  <si>
    <t>P25098_ADRBK1</t>
  </si>
  <si>
    <t>P25205_MCM3</t>
  </si>
  <si>
    <t>P25398_RPS12</t>
  </si>
  <si>
    <t>P25440_BRD2</t>
  </si>
  <si>
    <t>P25685_DNAJB1</t>
  </si>
  <si>
    <t>P25705_ATP5A1</t>
  </si>
  <si>
    <t>P25774-2_CTSS</t>
  </si>
  <si>
    <t>P25786_PSMA1</t>
  </si>
  <si>
    <t>P25787_PSMA2</t>
  </si>
  <si>
    <t>P25788-2_PSMA3</t>
  </si>
  <si>
    <t>P25789_PSMA4</t>
  </si>
  <si>
    <t>P25791_LMO2</t>
  </si>
  <si>
    <t>P25815_S100P</t>
  </si>
  <si>
    <t>P26038_MSN</t>
  </si>
  <si>
    <t>P26196_DDX6</t>
  </si>
  <si>
    <t>P26358_DNMT1</t>
  </si>
  <si>
    <t>P26358-2_DNMT1</t>
  </si>
  <si>
    <t>P26368-2_U2AF2</t>
  </si>
  <si>
    <t>P26373_RPL13</t>
  </si>
  <si>
    <t>P26374_CHML</t>
  </si>
  <si>
    <t>P26583_HMGB2</t>
  </si>
  <si>
    <t>P26599_PTBP1</t>
  </si>
  <si>
    <t>P26639_TARS</t>
  </si>
  <si>
    <t>P26640_VARS</t>
  </si>
  <si>
    <t>P26641_EEF1G</t>
  </si>
  <si>
    <t>P26651_ZFP36</t>
  </si>
  <si>
    <t>P26885_FKBP2</t>
  </si>
  <si>
    <t>P27144_AK4</t>
  </si>
  <si>
    <t>P27348_YWHAQ</t>
  </si>
  <si>
    <t>P27361_MAPK3</t>
  </si>
  <si>
    <t>P27448-8_MARK3</t>
  </si>
  <si>
    <t>P27540-2_ARNT</t>
  </si>
  <si>
    <t>P27694_RPA1</t>
  </si>
  <si>
    <t>P27695_APEX1</t>
  </si>
  <si>
    <t>P27707_DCK</t>
  </si>
  <si>
    <t>P27797_CALR</t>
  </si>
  <si>
    <t>P27815-6_PDE4A</t>
  </si>
  <si>
    <t>P27816_MAP4</t>
  </si>
  <si>
    <t>P27824_CANX</t>
  </si>
  <si>
    <t>P27986_PIK3R1</t>
  </si>
  <si>
    <t>P28062-2_PSMB8</t>
  </si>
  <si>
    <t>P28066_PSMA5</t>
  </si>
  <si>
    <t>P28070_PSMB4</t>
  </si>
  <si>
    <t>P28072_PSMB6</t>
  </si>
  <si>
    <t>P28074_PSMB5</t>
  </si>
  <si>
    <t>P28161-2_GSTM2</t>
  </si>
  <si>
    <t>P28289_TMOD1</t>
  </si>
  <si>
    <t>P28331-4_NDUFS1</t>
  </si>
  <si>
    <t>P28340_POLD1</t>
  </si>
  <si>
    <t>P28482_MAPK1</t>
  </si>
  <si>
    <t>P28702_RXRB</t>
  </si>
  <si>
    <t>P28715_ERCC5</t>
  </si>
  <si>
    <t>P28749_RBL1</t>
  </si>
  <si>
    <t>P28799_GRN</t>
  </si>
  <si>
    <t>P28838-2_LAP3</t>
  </si>
  <si>
    <t>P28908_TNFRSF8</t>
  </si>
  <si>
    <t>P29083_GTF2E1</t>
  </si>
  <si>
    <t>P29084_GTF2E2</t>
  </si>
  <si>
    <t>P29144_TPP2</t>
  </si>
  <si>
    <t>P29218_IMPA1</t>
  </si>
  <si>
    <t>P29350_PTPN6</t>
  </si>
  <si>
    <t>P29353-2_SHC1</t>
  </si>
  <si>
    <t>P29353-7_SHC1</t>
  </si>
  <si>
    <t>P29372-5_MPG</t>
  </si>
  <si>
    <t>P29374-3_ARID4A</t>
  </si>
  <si>
    <t>P29375_KDM5A</t>
  </si>
  <si>
    <t>P29401_TKT</t>
  </si>
  <si>
    <t>P29590_PML</t>
  </si>
  <si>
    <t>P29590-8_PML</t>
  </si>
  <si>
    <t>P29692_EEF1D</t>
  </si>
  <si>
    <t>P29692-2_EEF1D</t>
  </si>
  <si>
    <t>P29692-3_EEF1D</t>
  </si>
  <si>
    <t>P29966_MARCKS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</si>
  <si>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</si>
  <si>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</si>
  <si>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</si>
  <si>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</si>
  <si>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</si>
  <si>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</si>
  <si>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</si>
  <si>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P30047_GCHFR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</si>
  <si>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</si>
  <si>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</si>
  <si>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</si>
  <si>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</si>
  <si>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</si>
  <si>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</si>
  <si>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</si>
  <si>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P30260_CDC27</t>
  </si>
  <si>
    <t>P30279_CCND2</t>
  </si>
  <si>
    <t>P30281_CCND3</t>
  </si>
  <si>
    <t>P30291_WEE1</t>
  </si>
  <si>
    <t>P30307_CDC25C</t>
  </si>
  <si>
    <t>P30405_PPIF</t>
  </si>
  <si>
    <t>P30414_NKTR</t>
  </si>
  <si>
    <t>P30419_NMT1</t>
  </si>
  <si>
    <t>P30520_ADSS</t>
  </si>
  <si>
    <t>P30533_LRPAP1</t>
  </si>
  <si>
    <t>P30566_ADSL</t>
  </si>
  <si>
    <t>P30613_PKLR</t>
  </si>
  <si>
    <t>P30622-2_CLIP1</t>
  </si>
  <si>
    <t>P30711_GSTT1</t>
  </si>
  <si>
    <t>P30740_SERPINB1</t>
  </si>
  <si>
    <t>P30837_ALDH1B1</t>
  </si>
  <si>
    <t>P31040_SDHA</t>
  </si>
  <si>
    <t>P31146_CORO1A</t>
  </si>
  <si>
    <t>P31150_GDI1</t>
  </si>
  <si>
    <t>P31153_MAT2A</t>
  </si>
  <si>
    <t>P31321_PRKAR1B</t>
  </si>
  <si>
    <t>P31323_PRKAR2B</t>
  </si>
  <si>
    <t>P31327_CPS1</t>
  </si>
  <si>
    <t>P31350_RRM2</t>
  </si>
  <si>
    <t>P31629_HIVEP2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</si>
  <si>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</si>
  <si>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</si>
  <si>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</si>
  <si>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</si>
  <si>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</si>
  <si>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</si>
  <si>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</si>
  <si>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P31943_HNRNPH1</t>
  </si>
  <si>
    <t>P31944_CASP14</t>
  </si>
  <si>
    <t>P31946-2_YWHAB</t>
  </si>
  <si>
    <t>P31947-2_SFN</t>
  </si>
  <si>
    <t>P31948_STIP1</t>
  </si>
  <si>
    <t>P31949_S100A11</t>
  </si>
  <si>
    <t>P32019-2_INPP5B</t>
  </si>
  <si>
    <t>P32119_PRDX2</t>
  </si>
  <si>
    <t>P32121-5_ARRB2</t>
  </si>
  <si>
    <t>P32321_DCTD</t>
  </si>
  <si>
    <t>P32322_PYCR1</t>
  </si>
  <si>
    <t>P32456_GBP2</t>
  </si>
  <si>
    <t>P32519-2_ELF1</t>
  </si>
  <si>
    <t>P32780_GTF2H1</t>
  </si>
  <si>
    <t>P32929_CTH</t>
  </si>
  <si>
    <t>P33121-2_ACSL1</t>
  </si>
  <si>
    <t>P33176_KIF5B</t>
  </si>
  <si>
    <t>P33240-2_CSTF2</t>
  </si>
  <si>
    <t>P33316_DUT</t>
  </si>
  <si>
    <t>P33316-2_DUT</t>
  </si>
  <si>
    <t>P33552_CKS2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</si>
  <si>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</si>
  <si>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</si>
  <si>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</si>
  <si>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</si>
  <si>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</si>
  <si>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</si>
  <si>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</si>
  <si>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P34910_EVI2B</t>
  </si>
  <si>
    <t>P34913_EPHX2</t>
  </si>
  <si>
    <t>P34932_HSPA4</t>
  </si>
  <si>
    <t>P35219_CA8</t>
  </si>
  <si>
    <t>P35221_CTNNA1</t>
  </si>
  <si>
    <t>P35227_PCGF2</t>
  </si>
  <si>
    <t>P35232_PHB</t>
  </si>
  <si>
    <t>P35236_PTPN7</t>
  </si>
  <si>
    <t>P35237_SERPINB6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</si>
  <si>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</si>
  <si>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</si>
  <si>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</si>
  <si>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</si>
  <si>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</si>
  <si>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</si>
  <si>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</si>
  <si>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</si>
  <si>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P35453_HOXD13</t>
  </si>
  <si>
    <t>P35520_CBS</t>
  </si>
  <si>
    <t>P35527_KRT9</t>
  </si>
  <si>
    <t>P35568_IRS1</t>
  </si>
  <si>
    <t>P35573-2_AGL</t>
  </si>
  <si>
    <t>P35579_MYH9</t>
  </si>
  <si>
    <t>P35579-2_MYH9</t>
  </si>
  <si>
    <t>P35580_MYH10</t>
  </si>
  <si>
    <t>P35606_COPB2</t>
  </si>
  <si>
    <t>P35611_ADD1</t>
  </si>
  <si>
    <t>P35612_ADD2</t>
  </si>
  <si>
    <t>P35613-2_BSG</t>
  </si>
  <si>
    <t>P35637-2_FUS</t>
  </si>
  <si>
    <t>P35658-4_NUP214</t>
  </si>
  <si>
    <t>P35712_SOX6</t>
  </si>
  <si>
    <t>P35754_GLRX</t>
  </si>
  <si>
    <t>P35790-2_CHKA</t>
  </si>
  <si>
    <t>P35813_PPM1A</t>
  </si>
  <si>
    <t>P35869_AHR</t>
  </si>
  <si>
    <t>P35908_KRT2</t>
  </si>
  <si>
    <t>P35998_PSMC2</t>
  </si>
  <si>
    <t>P36404_ARL2</t>
  </si>
  <si>
    <t>P36405_ARL3</t>
  </si>
  <si>
    <t>P36406-3_TRIM23</t>
  </si>
  <si>
    <t>P36507_MAP2K2</t>
  </si>
  <si>
    <t>P36543_ATP6V1E1</t>
  </si>
  <si>
    <t>P36551_CPOX</t>
  </si>
  <si>
    <t>P36578_RPL4</t>
  </si>
  <si>
    <t>P36639-4_NUDT1</t>
  </si>
  <si>
    <t>P36873_PPP1CC</t>
  </si>
  <si>
    <t>P36915_GNL1</t>
  </si>
  <si>
    <t>P36954_POLR2I</t>
  </si>
  <si>
    <t>P36957_DLST</t>
  </si>
  <si>
    <t>P36959_GMPR</t>
  </si>
  <si>
    <t>P36969-2_GPX4</t>
  </si>
  <si>
    <t>P37108_SRP14</t>
  </si>
  <si>
    <t>P37198_NUP62</t>
  </si>
  <si>
    <t>P37235_HPCAL1</t>
  </si>
  <si>
    <t>P37802_TAGLN2</t>
  </si>
  <si>
    <t>P37837_TALDO1</t>
  </si>
  <si>
    <t>P37840-2_SNCA</t>
  </si>
  <si>
    <t>P38117_ETFB</t>
  </si>
  <si>
    <t>P38159_RBMX</t>
  </si>
  <si>
    <t>P38398-4_BRCA1</t>
  </si>
  <si>
    <t>P38432_COIL</t>
  </si>
  <si>
    <t>P38606_ATP6V1A</t>
  </si>
  <si>
    <t>P38646_HSPA9</t>
  </si>
  <si>
    <t>P38919_EIF4A3</t>
  </si>
  <si>
    <t>P38935_IGHMBP2</t>
  </si>
  <si>
    <t>P39019_RPS19</t>
  </si>
  <si>
    <t>P39023_RPL3</t>
  </si>
  <si>
    <t>P39656_DDOST</t>
  </si>
  <si>
    <t>P39687_ANP32A</t>
  </si>
  <si>
    <t>P39748_FEN1</t>
  </si>
  <si>
    <t>P39880-3_CUX1</t>
  </si>
  <si>
    <t>P40121-2_CAPG</t>
  </si>
  <si>
    <t>P40189-3_IL6ST</t>
  </si>
  <si>
    <t>P40222_TXLNA</t>
  </si>
  <si>
    <t>P40227_CCT6A</t>
  </si>
  <si>
    <t>P40306_PSMB10</t>
  </si>
  <si>
    <t>P40337-3_VHL</t>
  </si>
  <si>
    <t>P40425_PBX2</t>
  </si>
  <si>
    <t>P40429_RPL13A</t>
  </si>
  <si>
    <t>P40692_MLH1</t>
  </si>
  <si>
    <t>P40763_STAT3</t>
  </si>
  <si>
    <t>P40763-2_STAT3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</si>
  <si>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</si>
  <si>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</si>
  <si>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</si>
  <si>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</si>
  <si>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</si>
  <si>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</si>
  <si>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</si>
  <si>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P41162_ETV3</t>
  </si>
  <si>
    <t>P41208_CETN2</t>
  </si>
  <si>
    <t>P41212_ETV6</t>
  </si>
  <si>
    <t>P41214_EIF2D</t>
  </si>
  <si>
    <t>P41223_BUD31</t>
  </si>
  <si>
    <t>P41226_UBA7</t>
  </si>
  <si>
    <t>P41227-2_NAA10</t>
  </si>
  <si>
    <t>P41229-2_KDM5C</t>
  </si>
  <si>
    <t>P41236_PPP1R2</t>
  </si>
  <si>
    <t>P41240_CSK</t>
  </si>
  <si>
    <t>P41250_GARS</t>
  </si>
  <si>
    <t>P41252_IARS</t>
  </si>
  <si>
    <t>P41567_EIF1</t>
  </si>
  <si>
    <t>P41743_PRKCI</t>
  </si>
  <si>
    <t>P42025_ACTR1B</t>
  </si>
  <si>
    <t>P42126-2_ECI1</t>
  </si>
  <si>
    <t>P42166_TMPO</t>
  </si>
  <si>
    <t>P42167_TMPO</t>
  </si>
  <si>
    <t>P42224_STAT1</t>
  </si>
  <si>
    <t>P42226_STAT6</t>
  </si>
  <si>
    <t>P42285_SKIV2L2</t>
  </si>
  <si>
    <t>P42330_AKR1C3</t>
  </si>
  <si>
    <t>P42331-6_ARHGAP25</t>
  </si>
  <si>
    <t>P42336_PIK3CA</t>
  </si>
  <si>
    <t>P42338_PIK3CB</t>
  </si>
  <si>
    <t>P42345_MTOR</t>
  </si>
  <si>
    <t>P42356_PI4KA</t>
  </si>
  <si>
    <t>P42566_EPS15</t>
  </si>
  <si>
    <t>P42574_CASP3</t>
  </si>
  <si>
    <t>P42575_CASP2</t>
  </si>
  <si>
    <t>P42677_RPS27</t>
  </si>
  <si>
    <t>P42679-3_MATK</t>
  </si>
  <si>
    <t>P42680_TEC</t>
  </si>
  <si>
    <t>P42684-6_ABL2</t>
  </si>
  <si>
    <t>P42694_HELZ</t>
  </si>
  <si>
    <t>P42695_NCAPD3</t>
  </si>
  <si>
    <t>P42696-2_RBM34</t>
  </si>
  <si>
    <t>P42704_LRPPRC</t>
  </si>
  <si>
    <t>P42765_ACAA2</t>
  </si>
  <si>
    <t>P42768_WAS</t>
  </si>
  <si>
    <t>P42773_CDKN2C</t>
  </si>
  <si>
    <t>P42785_PRCP</t>
  </si>
  <si>
    <t>P42858_HTT</t>
  </si>
  <si>
    <t>P43034_PAFAH1B1</t>
  </si>
  <si>
    <t>P43155-3_CRAT</t>
  </si>
  <si>
    <t>P43246_MSH2</t>
  </si>
  <si>
    <t>P43355_MAGEA1</t>
  </si>
  <si>
    <t>P43356_MAGEA2</t>
  </si>
  <si>
    <t>P43358_MAGEA4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</si>
  <si>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</si>
  <si>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</si>
  <si>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</si>
  <si>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</si>
  <si>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</si>
  <si>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</si>
  <si>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</si>
  <si>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P45973_CBX5</t>
  </si>
  <si>
    <t>P45974-2_USP5</t>
  </si>
  <si>
    <t>P45983-3_MAPK8</t>
  </si>
  <si>
    <t>P45984-2_MAPK9</t>
  </si>
  <si>
    <t>P45985_MAP2K4</t>
  </si>
  <si>
    <t>P46013_MKI67</t>
  </si>
  <si>
    <t>P46020-3_PHKA1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</si>
  <si>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</si>
  <si>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</si>
  <si>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</si>
  <si>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</si>
  <si>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</si>
  <si>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</si>
  <si>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</si>
  <si>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</si>
  <si>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P46531_NOTCH1</t>
  </si>
  <si>
    <t>P46734-2_MAP2K3</t>
  </si>
  <si>
    <t>P46736-2_BRCC3</t>
  </si>
  <si>
    <t>P46777_RPL5</t>
  </si>
  <si>
    <t>P46779-4_RPL28</t>
  </si>
  <si>
    <t>P46781_RPS9</t>
  </si>
  <si>
    <t>P46783_RPS10</t>
  </si>
  <si>
    <t>P46821_MAP1B</t>
  </si>
  <si>
    <t>P46926_GNPDA1</t>
  </si>
  <si>
    <t>P46934-4_NEDD4</t>
  </si>
  <si>
    <t>P46939_UTRN</t>
  </si>
  <si>
    <t>P46940_IQGAP1</t>
  </si>
  <si>
    <t>P46976-2_GYG1</t>
  </si>
  <si>
    <t>P46977_STT3A</t>
  </si>
  <si>
    <t>P47224_RABIF</t>
  </si>
  <si>
    <t>P47712_PLA2G4A</t>
  </si>
  <si>
    <t>P47736_RAP1GAP</t>
  </si>
  <si>
    <t>P47755_CAPZA2</t>
  </si>
  <si>
    <t>P47813_EIF1AX</t>
  </si>
  <si>
    <t>P47897_QARS</t>
  </si>
  <si>
    <t>P47914_RPL29</t>
  </si>
  <si>
    <t>P47974_ZFP36L2</t>
  </si>
  <si>
    <t>P47985_UQCRFS1</t>
  </si>
  <si>
    <t>P48059_LIMS1</t>
  </si>
  <si>
    <t>P48147_PREP</t>
  </si>
  <si>
    <t>P48163_ME1</t>
  </si>
  <si>
    <t>P48200_IREB2</t>
  </si>
  <si>
    <t>P48378-2_RFX2</t>
  </si>
  <si>
    <t>P48382_RFX5</t>
  </si>
  <si>
    <t>P48444_ARCN1</t>
  </si>
  <si>
    <t>P48454_PPP3CC</t>
  </si>
  <si>
    <t>P48506_GCLC</t>
  </si>
  <si>
    <t>P48507_GCLM</t>
  </si>
  <si>
    <t>P48634_PRRC2A</t>
  </si>
  <si>
    <t>P48637_GSS</t>
  </si>
  <si>
    <t>P48643_CCT5</t>
  </si>
  <si>
    <t>P48651_PTDSS1</t>
  </si>
  <si>
    <t>P48681_NES</t>
  </si>
  <si>
    <t>P48723_HSPA13</t>
  </si>
  <si>
    <t>P48729_CSNK1A1</t>
  </si>
  <si>
    <t>P48730_CSNK1D</t>
  </si>
  <si>
    <t>P48736_PIK3CG</t>
  </si>
  <si>
    <t>P48739_PITPNB</t>
  </si>
  <si>
    <t>P49005_POLD2</t>
  </si>
  <si>
    <t>P49006_MARCKSL1</t>
  </si>
  <si>
    <t>P49116_NR2C2</t>
  </si>
  <si>
    <t>P49116-2_NR2C2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</si>
  <si>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</si>
  <si>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</si>
  <si>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</si>
  <si>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</si>
  <si>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</si>
  <si>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</si>
  <si>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</si>
  <si>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P49336-2_CDK8</t>
  </si>
  <si>
    <t>P49354_FNTA</t>
  </si>
  <si>
    <t>P49366_DHPS</t>
  </si>
  <si>
    <t>P49368_CCT3</t>
  </si>
  <si>
    <t>P49407_ARRB1</t>
  </si>
  <si>
    <t>P49407-2_ARRB1</t>
  </si>
  <si>
    <t>P49411_TUFM</t>
  </si>
  <si>
    <t>P49427_CDC34</t>
  </si>
  <si>
    <t>P49441_INPP1</t>
  </si>
  <si>
    <t>P49448_GLUD2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</si>
  <si>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</si>
  <si>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</si>
  <si>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</si>
  <si>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</si>
  <si>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</si>
  <si>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</si>
  <si>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</si>
  <si>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P49593_PPM1F</t>
  </si>
  <si>
    <t>P49642_PRIM1</t>
  </si>
  <si>
    <t>P49643_PRIM2</t>
  </si>
  <si>
    <t>P49662-2_CASP4</t>
  </si>
  <si>
    <t>P49674_CSNK1E</t>
  </si>
  <si>
    <t>P49711_CTCF</t>
  </si>
  <si>
    <t>P49716_CEBPD</t>
  </si>
  <si>
    <t>P49720_PSMB3</t>
  </si>
  <si>
    <t>P49721_PSMB2</t>
  </si>
  <si>
    <t>P49736_MCM2</t>
  </si>
  <si>
    <t>P49748_ACADVL</t>
  </si>
  <si>
    <t>P49750-4_YLPM1</t>
  </si>
  <si>
    <t>P49755_TMED10</t>
  </si>
  <si>
    <t>P49756_RBM25</t>
  </si>
  <si>
    <t>P49757-3_NUMB</t>
  </si>
  <si>
    <t>P49770_EIF2B2</t>
  </si>
  <si>
    <t>P49773_HINT1</t>
  </si>
  <si>
    <t>P49789_FHIT</t>
  </si>
  <si>
    <t>P49792_RANBP2</t>
  </si>
  <si>
    <t>P49796-4_RGS3</t>
  </si>
  <si>
    <t>P49841_GSK3B</t>
  </si>
  <si>
    <t>P49848-2_TAF6</t>
  </si>
  <si>
    <t>P49902_NT5C2</t>
  </si>
  <si>
    <t>P49903_SEPHS1</t>
  </si>
  <si>
    <t>P49914_MTHFS</t>
  </si>
  <si>
    <t>P49915_GMPS</t>
  </si>
  <si>
    <t>P49916_LIG3</t>
  </si>
  <si>
    <t>P49918-2_CDKN1C</t>
  </si>
  <si>
    <t>P49959_MRE11A</t>
  </si>
  <si>
    <t>P50053_KHK</t>
  </si>
  <si>
    <t>P50135_HNMT</t>
  </si>
  <si>
    <t>P50213_IDH3A</t>
  </si>
  <si>
    <t>P50219_MNX1</t>
  </si>
  <si>
    <t>P50224_SULT1A3</t>
  </si>
  <si>
    <t>P50225_SULT1A1</t>
  </si>
  <si>
    <t>P50238_CRIP1</t>
  </si>
  <si>
    <t>P50395_GDI2</t>
  </si>
  <si>
    <t>P50402_EMD</t>
  </si>
  <si>
    <t>P50453_SERPINB9</t>
  </si>
  <si>
    <t>P50454_SERPINH1</t>
  </si>
  <si>
    <t>P50479_PDLIM4</t>
  </si>
  <si>
    <t>P50502_ST13</t>
  </si>
  <si>
    <t>P50542-3_PEX5</t>
  </si>
  <si>
    <t>P50552_VASP</t>
  </si>
  <si>
    <t>P50570-4_DNM2</t>
  </si>
  <si>
    <t>P50579_METAP2</t>
  </si>
  <si>
    <t>P50583_NUDT2</t>
  </si>
  <si>
    <t>P50613_CDK7</t>
  </si>
  <si>
    <t>P50747_HLCS</t>
  </si>
  <si>
    <t>P50748_KNTC1</t>
  </si>
  <si>
    <t>P50750_CDK9</t>
  </si>
  <si>
    <t>P50851_LRBA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</si>
  <si>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</si>
  <si>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</si>
  <si>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</si>
  <si>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</si>
  <si>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</si>
  <si>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</si>
  <si>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</si>
  <si>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</si>
  <si>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P51157_RAB28</t>
  </si>
  <si>
    <t>P51159-2_RAB27A</t>
  </si>
  <si>
    <t>P51161_FABP6</t>
  </si>
  <si>
    <t>P51178_PLCD1</t>
  </si>
  <si>
    <t>P51452_DUSP3</t>
  </si>
  <si>
    <t>P51511_MMP15</t>
  </si>
  <si>
    <t>P51531-2_SMARCA2</t>
  </si>
  <si>
    <t>P51532-5_SMARCA4</t>
  </si>
  <si>
    <t>P51570_GALK1</t>
  </si>
  <si>
    <t>P51571_SSR4</t>
  </si>
  <si>
    <t>P51572_BCAP31</t>
  </si>
  <si>
    <t>P51580_TPMT</t>
  </si>
  <si>
    <t>P51587_BRCA2</t>
  </si>
  <si>
    <t>P51606_RENBP</t>
  </si>
  <si>
    <t>P51608_MECP2</t>
  </si>
  <si>
    <t>P51610_HCFC1</t>
  </si>
  <si>
    <t>P51610-4_HCFC1</t>
  </si>
  <si>
    <t>P51617_IRAK1</t>
  </si>
  <si>
    <t>P51649_ALDH5A1</t>
  </si>
  <si>
    <t>P51659_HSD17B4</t>
  </si>
  <si>
    <t>P51665_PSMD7</t>
  </si>
  <si>
    <t>P51668_UBE2D1</t>
  </si>
  <si>
    <t>P51687_SUOX</t>
  </si>
  <si>
    <t>P51688_SGSH</t>
  </si>
  <si>
    <t>P51692_STAT5B</t>
  </si>
  <si>
    <t>P51809_VAMP7</t>
  </si>
  <si>
    <t>P51825-3_AFF1</t>
  </si>
  <si>
    <t>P51857-2_AKR1D1</t>
  </si>
  <si>
    <t>P51858_HDGF</t>
  </si>
  <si>
    <t>P51946_CCNH</t>
  </si>
  <si>
    <t>P51948_MNAT1</t>
  </si>
  <si>
    <t>P51991_HNRNPA3</t>
  </si>
  <si>
    <t>P52179-2_MYOM1</t>
  </si>
  <si>
    <t>P52272-2_HNRNPM</t>
  </si>
  <si>
    <t>P52292_KPNA2</t>
  </si>
  <si>
    <t>P52294_KPNA1</t>
  </si>
  <si>
    <t>P52298_NCBP2</t>
  </si>
  <si>
    <t>P52306_RAP1GDS1</t>
  </si>
  <si>
    <t>P52566_ARHGDIB</t>
  </si>
  <si>
    <t>P52594-2_AGFG1</t>
  </si>
  <si>
    <t>P52597_HNRNPF</t>
  </si>
  <si>
    <t>P52630-4_STAT2</t>
  </si>
  <si>
    <t>P52655_GTF2A1</t>
  </si>
  <si>
    <t>P52657_GTF2A2</t>
  </si>
  <si>
    <t>P52701_MSH6</t>
  </si>
  <si>
    <t>P52732_KIF11</t>
  </si>
  <si>
    <t>P52735-3_VAV2</t>
  </si>
  <si>
    <t>P52739-2_ZNF131</t>
  </si>
  <si>
    <t>P52747-2_ZNF143</t>
  </si>
  <si>
    <t>P52756_RBM5</t>
  </si>
  <si>
    <t>P52758_HRSP12</t>
  </si>
  <si>
    <t>P52788_SMS</t>
  </si>
  <si>
    <t>P52789_HK2</t>
  </si>
  <si>
    <t>P52815_MRPL12</t>
  </si>
  <si>
    <t>P52824_DGKQ</t>
  </si>
  <si>
    <t>P52888_THOP1</t>
  </si>
  <si>
    <t>P52907_CAPZA1</t>
  </si>
  <si>
    <t>P52948-5_NUP98</t>
  </si>
  <si>
    <t>P53004_BLVRA</t>
  </si>
  <si>
    <t>P53350_PLK1</t>
  </si>
  <si>
    <t>P53365_ARFIP2</t>
  </si>
  <si>
    <t>P53367_ARFIP1</t>
  </si>
  <si>
    <t>P53367-2_ARFIP1</t>
  </si>
  <si>
    <t>P53384-2_NUBP1</t>
  </si>
  <si>
    <t>P53567_CEBPG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</si>
  <si>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</si>
  <si>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</si>
  <si>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</si>
  <si>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</si>
  <si>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</si>
  <si>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</si>
  <si>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</si>
  <si>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</si>
  <si>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P53675-2_CLTCL1</t>
  </si>
  <si>
    <t>P53677_AP3M2</t>
  </si>
  <si>
    <t>P53680_AP2S1</t>
  </si>
  <si>
    <t>P53701_HCCS</t>
  </si>
  <si>
    <t>P53778_MAPK12</t>
  </si>
  <si>
    <t>P53794_SLC5A3</t>
  </si>
  <si>
    <t>P53803_POLR2K</t>
  </si>
  <si>
    <t>P53805_RCAN1</t>
  </si>
  <si>
    <t>P53814-5_SMTN</t>
  </si>
  <si>
    <t>P53985_SLC16A1</t>
  </si>
  <si>
    <t>P53990-2_IST1</t>
  </si>
  <si>
    <t>P53992_SEC24C</t>
  </si>
  <si>
    <t>P53999_SUB1</t>
  </si>
  <si>
    <t>P54136_RARS</t>
  </si>
  <si>
    <t>P54198_HIRA</t>
  </si>
  <si>
    <t>P54259_ATN1</t>
  </si>
  <si>
    <t>P54274-2_TERF1</t>
  </si>
  <si>
    <t>P54277-3_PMS1</t>
  </si>
  <si>
    <t>P54278_PMS2</t>
  </si>
  <si>
    <t>P54577_YARS</t>
  </si>
  <si>
    <t>P54578_USP14</t>
  </si>
  <si>
    <t>P54619-2_PRKAG1</t>
  </si>
  <si>
    <t>P54687-4_BCAT1</t>
  </si>
  <si>
    <t>P54727_RAD23B</t>
  </si>
  <si>
    <t>P54802_NAGLU</t>
  </si>
  <si>
    <t>P54886-2_ALDH18A1</t>
  </si>
  <si>
    <t>P54920_NAPA</t>
  </si>
  <si>
    <t>P54922_ADPRH</t>
  </si>
  <si>
    <t>P55008_AIF1</t>
  </si>
  <si>
    <t>P55010_EIF5</t>
  </si>
  <si>
    <t>P55036_PSMD4</t>
  </si>
  <si>
    <t>P55039_DRG2</t>
  </si>
  <si>
    <t>P55060-3_CSE1L</t>
  </si>
  <si>
    <t>P55072_VCP</t>
  </si>
  <si>
    <t>P55081_MFAP1</t>
  </si>
  <si>
    <t>P55145_MANF</t>
  </si>
  <si>
    <t>P55160_NCKAP1L</t>
  </si>
  <si>
    <t>P55196-3_MLLT4</t>
  </si>
  <si>
    <t>P55198_MLLT6</t>
  </si>
  <si>
    <t>P55199_ELL</t>
  </si>
  <si>
    <t>P55211_CASP9</t>
  </si>
  <si>
    <t>P55212_CASP6</t>
  </si>
  <si>
    <t>P55263_ADK</t>
  </si>
  <si>
    <t>P55265-5_ADAR</t>
  </si>
  <si>
    <t>P55327-2_TPD52</t>
  </si>
  <si>
    <t>P55345_PRMT2</t>
  </si>
  <si>
    <t>P55347-2_PKNOX1</t>
  </si>
  <si>
    <t>P55735_SEC13</t>
  </si>
  <si>
    <t>P55769_NHP2L1</t>
  </si>
  <si>
    <t>P55771_PAX9</t>
  </si>
  <si>
    <t>P55789_GFER</t>
  </si>
  <si>
    <t>P55795_HNRNPH2</t>
  </si>
  <si>
    <t>P55854_SUMO3</t>
  </si>
  <si>
    <t>P55884_EIF3B</t>
  </si>
  <si>
    <t>P55957_BID</t>
  </si>
  <si>
    <t>P56181-2_NDUFV3</t>
  </si>
  <si>
    <t>P56182_RRP1</t>
  </si>
  <si>
    <t>P56192_MARS</t>
  </si>
  <si>
    <t>P56211_ARPP19</t>
  </si>
  <si>
    <t>P56277_CMC4</t>
  </si>
  <si>
    <t>P56282-3_POLE2</t>
  </si>
  <si>
    <t>P56377_AP1S2</t>
  </si>
  <si>
    <t>P56524_HDAC4</t>
  </si>
  <si>
    <t>P56537_EIF6</t>
  </si>
  <si>
    <t>P56597_NME5</t>
  </si>
  <si>
    <t>P56645_PER3</t>
  </si>
  <si>
    <t>P56945-5_BCAR1</t>
  </si>
  <si>
    <t>P57060_RWDD2B</t>
  </si>
  <si>
    <t>P57075-3_UBASH3A</t>
  </si>
  <si>
    <t>P57076_C21orf59</t>
  </si>
  <si>
    <t>P57081_WDR4</t>
  </si>
  <si>
    <t>P57088_TMEM33</t>
  </si>
  <si>
    <t>P57105_SYNJ2BP</t>
  </si>
  <si>
    <t>P57682_KLF3</t>
  </si>
  <si>
    <t>P57737-3_CORO7</t>
  </si>
  <si>
    <t>P57740_NUP107</t>
  </si>
  <si>
    <t>P57764_GSDMD</t>
  </si>
  <si>
    <t>P57768_SNX16</t>
  </si>
  <si>
    <t>P57772_EEFSEC</t>
  </si>
  <si>
    <t>P58004_SESN2</t>
  </si>
  <si>
    <t>P58107_EPPK1</t>
  </si>
  <si>
    <t>P58335-2_ANTXR2</t>
  </si>
  <si>
    <t>P58546_MTPN</t>
  </si>
  <si>
    <t>P59780_AP3S2</t>
  </si>
  <si>
    <t>P59817_ZNF280A</t>
  </si>
  <si>
    <t>P59923_ZNF445</t>
  </si>
  <si>
    <t>P59998_ARPC4</t>
  </si>
  <si>
    <t>P60174-1_TPI1</t>
  </si>
  <si>
    <t>P60228_EIF3E</t>
  </si>
  <si>
    <t>P60468_SEC61B</t>
  </si>
  <si>
    <t>P60510_PPP4C</t>
  </si>
  <si>
    <t>P60520_GABARAPL2</t>
  </si>
  <si>
    <t>P60604-2_UBE2G2</t>
  </si>
  <si>
    <t>P60660-2_MYL6</t>
  </si>
  <si>
    <t>P60763_RAC3</t>
  </si>
  <si>
    <t>P60842_EIF4A1</t>
  </si>
  <si>
    <t>P60866_RPS20</t>
  </si>
  <si>
    <t>P60891_PRPS1</t>
  </si>
  <si>
    <t>P60900_PSMA6</t>
  </si>
  <si>
    <t>P60953_CDC42</t>
  </si>
  <si>
    <t>P60953-1_CDC42</t>
  </si>
  <si>
    <t>P60981-2_DSTN</t>
  </si>
  <si>
    <t>P60983_GMFB</t>
  </si>
  <si>
    <t>P61006_RAB8A</t>
  </si>
  <si>
    <t>P61009_SPCS3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</si>
  <si>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</si>
  <si>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</si>
  <si>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</si>
  <si>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</si>
  <si>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</si>
  <si>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</si>
  <si>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</si>
  <si>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</si>
  <si>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</si>
  <si>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</si>
  <si>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</si>
  <si>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</si>
  <si>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</si>
  <si>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</si>
  <si>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</si>
  <si>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</si>
  <si>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</si>
  <si>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</si>
  <si>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</si>
  <si>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P61247_RPS3A</t>
  </si>
  <si>
    <t>P61254_RPL26</t>
  </si>
  <si>
    <t>P61289_PSME3</t>
  </si>
  <si>
    <t>P61326_MAGOH</t>
  </si>
  <si>
    <t>P61353_RPL27</t>
  </si>
  <si>
    <t>P61457_PCBD1</t>
  </si>
  <si>
    <t>P61586_RHOA</t>
  </si>
  <si>
    <t>P61599_NAA20</t>
  </si>
  <si>
    <t>P61604_HSPE1</t>
  </si>
  <si>
    <t>P61619_SEC61A1</t>
  </si>
  <si>
    <t>P61626_LYZ</t>
  </si>
  <si>
    <t>P61758_VBP1</t>
  </si>
  <si>
    <t>P61764_STXBP1</t>
  </si>
  <si>
    <t>P61923_COPZ1</t>
  </si>
  <si>
    <t>P61956-2_SUMO2</t>
  </si>
  <si>
    <t>P61960_UFM1</t>
  </si>
  <si>
    <t>P61962_DCAF7</t>
  </si>
  <si>
    <t>P61964_WDR5</t>
  </si>
  <si>
    <t>P61966_AP1S1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</si>
  <si>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</si>
  <si>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</si>
  <si>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</si>
  <si>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</si>
  <si>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</si>
  <si>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</si>
  <si>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</si>
  <si>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</si>
  <si>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P62158_CALM1</t>
  </si>
  <si>
    <t>P62166_NCS1</t>
  </si>
  <si>
    <t>P62191_PSMC1</t>
  </si>
  <si>
    <t>P62195-2_PSMC5</t>
  </si>
  <si>
    <t>P62241_RPS8</t>
  </si>
  <si>
    <t>P62249_RPS16</t>
  </si>
  <si>
    <t>P62253_UBE2G1</t>
  </si>
  <si>
    <t>P62256_UBE2H</t>
  </si>
  <si>
    <t>P62258_YWHAE</t>
  </si>
  <si>
    <t>P62263_RPS14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</si>
  <si>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</si>
  <si>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</si>
  <si>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</si>
  <si>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</si>
  <si>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</si>
  <si>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</si>
  <si>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</si>
  <si>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</si>
  <si>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</si>
  <si>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</si>
  <si>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</si>
  <si>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</si>
  <si>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</si>
  <si>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</si>
  <si>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</si>
  <si>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</si>
  <si>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</si>
  <si>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</si>
  <si>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</si>
  <si>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P62633-3_CNBP</t>
  </si>
  <si>
    <t>P62633-4_CNBP</t>
  </si>
  <si>
    <t>P62633-5_CNBP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</si>
  <si>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</si>
  <si>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</si>
  <si>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</si>
  <si>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</si>
  <si>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</si>
  <si>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</si>
  <si>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</si>
  <si>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P62826_RAN</t>
  </si>
  <si>
    <t>P62829_RPL23</t>
  </si>
  <si>
    <t>P62834_RAP1A</t>
  </si>
  <si>
    <t>P62837_UBE2D2</t>
  </si>
  <si>
    <t>P62847-2_RPS24</t>
  </si>
  <si>
    <t>P62851_RPS25</t>
  </si>
  <si>
    <t>P62854_RPS26</t>
  </si>
  <si>
    <t>P62857_RPS28</t>
  </si>
  <si>
    <t>P62861_FAU</t>
  </si>
  <si>
    <t>P62873_GNB1</t>
  </si>
  <si>
    <t>P62877_RBX1</t>
  </si>
  <si>
    <t>P62913-2_RPL11</t>
  </si>
  <si>
    <t>P62937_PPIA</t>
  </si>
  <si>
    <t>P62942_FKBP1A</t>
  </si>
  <si>
    <t>P62979_RPS27A</t>
  </si>
  <si>
    <t>P62993_GRB2</t>
  </si>
  <si>
    <t>P62995-3_TRA2B</t>
  </si>
  <si>
    <t>P63000_RAC1</t>
  </si>
  <si>
    <t>P63010_AP2B1</t>
  </si>
  <si>
    <t>P63104_YWHAZ</t>
  </si>
  <si>
    <t>P63151_PPP2R2A</t>
  </si>
  <si>
    <t>P63165_SUMO1</t>
  </si>
  <si>
    <t>P63167_DYNLL1</t>
  </si>
  <si>
    <t>P63241_EIF5A</t>
  </si>
  <si>
    <t>P63244_GNB2L1</t>
  </si>
  <si>
    <t>P63261_ACTG1</t>
  </si>
  <si>
    <t>P63272_SUPT4H1</t>
  </si>
  <si>
    <t>P63279_UBE2I</t>
  </si>
  <si>
    <t>P63302_SEPW1</t>
  </si>
  <si>
    <t>P63313_TMSB10</t>
  </si>
  <si>
    <t>P67775_PPP2CA</t>
  </si>
  <si>
    <t>P67809_YBX1</t>
  </si>
  <si>
    <t>P67870_CSNK2B</t>
  </si>
  <si>
    <t>P67936_TPM4</t>
  </si>
  <si>
    <t>P68032_ACTC1</t>
  </si>
  <si>
    <t>P68036_UBE2L3</t>
  </si>
  <si>
    <t>P68104_EEF1A1</t>
  </si>
  <si>
    <t>P68133_ACTA1</t>
  </si>
  <si>
    <t>P68363_TUBA1B</t>
  </si>
  <si>
    <t>P68371_TUBB4B</t>
  </si>
  <si>
    <t>P68402_PAFAH1B2</t>
  </si>
  <si>
    <t>P69891_HBG1</t>
  </si>
  <si>
    <t>P69892_HBG2</t>
  </si>
  <si>
    <t>P69905_HBA1</t>
  </si>
  <si>
    <t>P78312-6_FAM193A</t>
  </si>
  <si>
    <t>P78314_SH3BP2</t>
  </si>
  <si>
    <t>P78318_IGBP1</t>
  </si>
  <si>
    <t>P78330_PSPH</t>
  </si>
  <si>
    <t>P78332_RBM6</t>
  </si>
  <si>
    <t>P78337_PITX1</t>
  </si>
  <si>
    <t>P78345_RPP38</t>
  </si>
  <si>
    <t>P78346_RPP30</t>
  </si>
  <si>
    <t>P78347-2_GTF2I</t>
  </si>
  <si>
    <t>P78356_PIP4K2B</t>
  </si>
  <si>
    <t>P78364_PHC1</t>
  </si>
  <si>
    <t>P78371_CCT2</t>
  </si>
  <si>
    <t>P78406_RAE1</t>
  </si>
  <si>
    <t>P78417_GSTO1</t>
  </si>
  <si>
    <t>P78527_PRKDC</t>
  </si>
  <si>
    <t>P78536_ADAM17</t>
  </si>
  <si>
    <t>P78537_BLOC1S1</t>
  </si>
  <si>
    <t>P78549_NTHL1</t>
  </si>
  <si>
    <t>P78559_MAP1A</t>
  </si>
  <si>
    <t>P78560_CRADD</t>
  </si>
  <si>
    <t>P80217_IFI35</t>
  </si>
  <si>
    <t>P80297_MT1X</t>
  </si>
  <si>
    <t>P80303-2_NUCB2</t>
  </si>
  <si>
    <t>P81605_DCD</t>
  </si>
  <si>
    <t>P81877-4_SSBP2</t>
  </si>
  <si>
    <t>P82094_TMF1</t>
  </si>
  <si>
    <t>P82673_MRPS35</t>
  </si>
  <si>
    <t>P82909_MRPS36</t>
  </si>
  <si>
    <t>P82930_MRPS34</t>
  </si>
  <si>
    <t>P82933_MRPS9</t>
  </si>
  <si>
    <t>P82970_HMGN5</t>
  </si>
  <si>
    <t>P82979_SARNP</t>
  </si>
  <si>
    <t>P82980_RBP5</t>
  </si>
  <si>
    <t>P83369_LSM11</t>
  </si>
  <si>
    <t>P83436_COG7</t>
  </si>
  <si>
    <t>P83881_RPL36A</t>
  </si>
  <si>
    <t>P83916_CBX1</t>
  </si>
  <si>
    <t>P84022_SMAD3</t>
  </si>
  <si>
    <t>P84077_ARF1</t>
  </si>
  <si>
    <t>P84085_ARF5</t>
  </si>
  <si>
    <t>P84090_ERH</t>
  </si>
  <si>
    <t>P84095_RHOG</t>
  </si>
  <si>
    <t>P84101-4_SERF2</t>
  </si>
  <si>
    <t>P85037_FOXK1</t>
  </si>
  <si>
    <t>P85299-2_PRR5</t>
  </si>
  <si>
    <t>P86791_CCZ1</t>
  </si>
  <si>
    <t>P98082-3_DAB2</t>
  </si>
  <si>
    <t>P98170_XIAP</t>
  </si>
  <si>
    <t>P98174_FGD1</t>
  </si>
  <si>
    <t>P98175-2_RBM10</t>
  </si>
  <si>
    <t>P98177_FOXO4</t>
  </si>
  <si>
    <t>P98179_RBM3</t>
  </si>
  <si>
    <t>Q00013_MPP1</t>
  </si>
  <si>
    <t>Q00059_TFAM</t>
  </si>
  <si>
    <t>Q00169_PITPNA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</si>
  <si>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</si>
  <si>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</si>
  <si>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</si>
  <si>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</si>
  <si>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</si>
  <si>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</si>
  <si>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</si>
  <si>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</si>
  <si>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</si>
  <si>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Q00613-2_HSF1</t>
  </si>
  <si>
    <t>Q00653-4_NFKB2</t>
  </si>
  <si>
    <t>Q00688_FKBP3</t>
  </si>
  <si>
    <t>Q00796_SORD</t>
  </si>
  <si>
    <t>Q00839_HNRNPU</t>
  </si>
  <si>
    <t>Q00839-2_HNRNPU</t>
  </si>
  <si>
    <t>Q00978_IRF9</t>
  </si>
  <si>
    <t>Q01081_U2AF1</t>
  </si>
  <si>
    <t>Q01082_SPTBN1</t>
  </si>
  <si>
    <t>Q01082-3_SPTBN1</t>
  </si>
  <si>
    <t>Q01085_TIAL1</t>
  </si>
  <si>
    <t>Q01085-2_TIAL1</t>
  </si>
  <si>
    <t>Q01105-2_SET</t>
  </si>
  <si>
    <t>Q01130_SRSF2</t>
  </si>
  <si>
    <t>Q01167_FOXK2</t>
  </si>
  <si>
    <t>Q01196_RUNX1</t>
  </si>
  <si>
    <t>Q01432_AMPD3</t>
  </si>
  <si>
    <t>Q01433-2_AMPD2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</si>
  <si>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</si>
  <si>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</si>
  <si>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</si>
  <si>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</si>
  <si>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</si>
  <si>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</si>
  <si>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</si>
  <si>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</si>
  <si>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Q01804_OTUD4</t>
  </si>
  <si>
    <t>Q01813_PFKP</t>
  </si>
  <si>
    <t>Q01831-2_XPC</t>
  </si>
  <si>
    <t>Q01844-6_EWSR1</t>
  </si>
  <si>
    <t>Q01850_CDR2</t>
  </si>
  <si>
    <t>Q01968-2_OCRL</t>
  </si>
  <si>
    <t>Q01970_PLCB3</t>
  </si>
  <si>
    <t>Q02040_AKAP17A</t>
  </si>
  <si>
    <t>Q02086-2_SP2</t>
  </si>
  <si>
    <t>Q02156_PRKCE</t>
  </si>
  <si>
    <t>Q02224_CENPE</t>
  </si>
  <si>
    <t>Q02241-2_KIF23</t>
  </si>
  <si>
    <t>Q02446_SP4</t>
  </si>
  <si>
    <t>Q02447-4_SP3</t>
  </si>
  <si>
    <t>Q02543_RPL18A</t>
  </si>
  <si>
    <t>Q02641-2_CACNB1</t>
  </si>
  <si>
    <t>Q02750_MAP2K1</t>
  </si>
  <si>
    <t>Q02790_FKBP4</t>
  </si>
  <si>
    <t>Q02809_PLOD1</t>
  </si>
  <si>
    <t>Q02818_NUCB1</t>
  </si>
  <si>
    <t>Q02833-3_RASSF7</t>
  </si>
  <si>
    <t>Q02878_RPL6</t>
  </si>
  <si>
    <t>Q02880-2_TOP2B</t>
  </si>
  <si>
    <t>Q02952-3_AKAP12</t>
  </si>
  <si>
    <t>Q03001_DST</t>
  </si>
  <si>
    <t>Q03014_HHEX</t>
  </si>
  <si>
    <t>Q03060-25_CREM</t>
  </si>
  <si>
    <t>Q03111_MLLT1</t>
  </si>
  <si>
    <t>Q03154_ACY1</t>
  </si>
  <si>
    <t>Q03164-2_MLL</t>
  </si>
  <si>
    <t>Q03169_TNFAIP2</t>
  </si>
  <si>
    <t>Q03188_CENPC1</t>
  </si>
  <si>
    <t>Q03252_LMNB2</t>
  </si>
  <si>
    <t>Q03468_ERCC6</t>
  </si>
  <si>
    <t>Q03701_CEBPZ</t>
  </si>
  <si>
    <t>Q03933-2_HSF2</t>
  </si>
  <si>
    <t>Q04446_GBE1</t>
  </si>
  <si>
    <t>Q04637-5_EIF4G1</t>
  </si>
  <si>
    <t>Q04656-5_ATP7A</t>
  </si>
  <si>
    <t>Q04725_TLE2</t>
  </si>
  <si>
    <t>Q04759_PRKCQ</t>
  </si>
  <si>
    <t>Q04760_GLO1</t>
  </si>
  <si>
    <t>Q04828_AKR1C1</t>
  </si>
  <si>
    <t>Q04837_SSBP1</t>
  </si>
  <si>
    <t>Q04917_YWHAH</t>
  </si>
  <si>
    <t>Q05048_CSTF1</t>
  </si>
  <si>
    <t>Q05086-3_UBE3A</t>
  </si>
  <si>
    <t>Q05193_DNM1</t>
  </si>
  <si>
    <t>Q05209_PTPN12</t>
  </si>
  <si>
    <t>Q05513_PRKCZ</t>
  </si>
  <si>
    <t>Q05519-2_SRSF11</t>
  </si>
  <si>
    <t>Q05639_EEF1A2</t>
  </si>
  <si>
    <t>Q05655_PRKCD</t>
  </si>
  <si>
    <t>Q05682-5_CALD1</t>
  </si>
  <si>
    <t>Q05823_RNASEL</t>
  </si>
  <si>
    <t>Q05BQ5_MBTD1</t>
  </si>
  <si>
    <t>Q05D32-2_CTDSPL2</t>
  </si>
  <si>
    <t>Q05DA6_ZNF394</t>
  </si>
  <si>
    <t>Q06124-2_PTPN11</t>
  </si>
  <si>
    <t>Q06187_BTK</t>
  </si>
  <si>
    <t>Q06203_PPAT</t>
  </si>
  <si>
    <t>Q06210-2_GFPT1</t>
  </si>
  <si>
    <t>Q06265_EXOSC9</t>
  </si>
  <si>
    <t>Q06323_PSME1</t>
  </si>
  <si>
    <t>Q06330-5_RBPJ</t>
  </si>
  <si>
    <t>Q06481-5_APLP2</t>
  </si>
  <si>
    <t>Q06546_GABPA</t>
  </si>
  <si>
    <t>Q06587_RING1</t>
  </si>
  <si>
    <t>Q06609-3_RAD51</t>
  </si>
  <si>
    <t>Q06830_PRDX1</t>
  </si>
  <si>
    <t>Q07021_C1QBP</t>
  </si>
  <si>
    <t>Q07157_TJP1</t>
  </si>
  <si>
    <t>Q07157-2_TJP1</t>
  </si>
  <si>
    <t>Q07666_KHDRBS1</t>
  </si>
  <si>
    <t>Q07812-5_BAX</t>
  </si>
  <si>
    <t>Q07864_POLE</t>
  </si>
  <si>
    <t>Q07866-3_KLC1</t>
  </si>
  <si>
    <t>Q07866-6_KLC1</t>
  </si>
  <si>
    <t>Q07912_TNK2</t>
  </si>
  <si>
    <t>Q07955_SRSF1</t>
  </si>
  <si>
    <t>Q07960_ARHGAP1</t>
  </si>
  <si>
    <t>Q08117_AES</t>
  </si>
  <si>
    <t>Q08170_SRSF4</t>
  </si>
  <si>
    <t>Q08209-2_PPP3CA</t>
  </si>
  <si>
    <t>Q08211_DHX9</t>
  </si>
  <si>
    <t>Q08257_CRYZ</t>
  </si>
  <si>
    <t>Q08378_GOLGA3</t>
  </si>
  <si>
    <t>Q08379_GOLGA2</t>
  </si>
  <si>
    <t>Q08380_LGALS3BP</t>
  </si>
  <si>
    <t>Q08495_EPB49</t>
  </si>
  <si>
    <t>Q08623_HDHD1</t>
  </si>
  <si>
    <t>Q08752_PPID</t>
  </si>
  <si>
    <t>Q08945_SSRP1</t>
  </si>
  <si>
    <t>Q08AD1-2_CAMSAP2</t>
  </si>
  <si>
    <t>Q08AE8-2_SPIRE1</t>
  </si>
  <si>
    <t>Q08AG7_MZT1</t>
  </si>
  <si>
    <t>Q08AM6_VAC14</t>
  </si>
  <si>
    <t>Q08J23_NSUN2</t>
  </si>
  <si>
    <t>Q09028-3_RBBP4</t>
  </si>
  <si>
    <t>Q09161_NCBP1</t>
  </si>
  <si>
    <t>Q09472_EP300</t>
  </si>
  <si>
    <t>Q09666_AHNAK</t>
  </si>
  <si>
    <t>Q0JRZ9_FCHO2</t>
  </si>
  <si>
    <t>Q0PNE2_ELP6</t>
  </si>
  <si>
    <t>Q0VD83_APOBR</t>
  </si>
  <si>
    <t>Q0VDF9_HSPA14</t>
  </si>
  <si>
    <t>Q0VDG4_SCRN3</t>
  </si>
  <si>
    <t>Q0VG06_FAAP100</t>
  </si>
  <si>
    <t>Q0VGL1_LAMTOR4</t>
  </si>
  <si>
    <t>Q10469_MGAT2</t>
  </si>
  <si>
    <t>Q10567-2_AP1B1</t>
  </si>
  <si>
    <t>Q10567-3_AP1B1</t>
  </si>
  <si>
    <t>Q10570_CPSF1</t>
  </si>
  <si>
    <t>Q10713_PMPCA</t>
  </si>
  <si>
    <t>Q12756_KIF1A</t>
  </si>
  <si>
    <t>Q12766-2_HMGXB3</t>
  </si>
  <si>
    <t>Q12768_KIAA0196</t>
  </si>
  <si>
    <t>Q12769_NUP160</t>
  </si>
  <si>
    <t>Q12788_TBL3</t>
  </si>
  <si>
    <t>Q12789_GTF3C1</t>
  </si>
  <si>
    <t>Q12792_TWF1</t>
  </si>
  <si>
    <t>Q12797-10_ASPH</t>
  </si>
  <si>
    <t>Q12800-2_TFCP2</t>
  </si>
  <si>
    <t>Q12802_AKAP13</t>
  </si>
  <si>
    <t>Q12809-2_KCNH2</t>
  </si>
  <si>
    <t>Q12824-2_SMARCB1</t>
  </si>
  <si>
    <t>Q12830-2_BPTF</t>
  </si>
  <si>
    <t>Q12834_CDC20</t>
  </si>
  <si>
    <t>Q12840_KIF5A</t>
  </si>
  <si>
    <t>Q12849_GRSF1</t>
  </si>
  <si>
    <t>Q12872_SFSWAP</t>
  </si>
  <si>
    <t>Q12873_CHD3</t>
  </si>
  <si>
    <t>Q12874_SF3A3</t>
  </si>
  <si>
    <t>Q12888_TP53BP1</t>
  </si>
  <si>
    <t>Q12904_AIMP1</t>
  </si>
  <si>
    <t>Q12905_ILF2</t>
  </si>
  <si>
    <t>Q12906-7_ILF3</t>
  </si>
  <si>
    <t>Q12907_LMAN2</t>
  </si>
  <si>
    <t>Q12912-2_LRMP</t>
  </si>
  <si>
    <t>Q12933-3_TRAF2</t>
  </si>
  <si>
    <t>Q12955_ANK3</t>
  </si>
  <si>
    <t>Q12959-5_DLG1</t>
  </si>
  <si>
    <t>Q12962_TAF10</t>
  </si>
  <si>
    <t>Q12968_NFATC3</t>
  </si>
  <si>
    <t>Q12972_PPP1R8</t>
  </si>
  <si>
    <t>Q12974_PTP4A2</t>
  </si>
  <si>
    <t>Q12979-4_ABR</t>
  </si>
  <si>
    <t>Q12981_BNIP1</t>
  </si>
  <si>
    <t>Q12982_BNIP2</t>
  </si>
  <si>
    <t>Q12986-2_NFX1</t>
  </si>
  <si>
    <t>Q12996_CSTF3</t>
  </si>
  <si>
    <t>Q13011_ECH1</t>
  </si>
  <si>
    <t>Q13017-2_ARHGAP5</t>
  </si>
  <si>
    <t>Q13033_STRN3</t>
  </si>
  <si>
    <t>Q13033-2_STRN3</t>
  </si>
  <si>
    <t>Q13042-3_CDC16</t>
  </si>
  <si>
    <t>Q13043_STK4</t>
  </si>
  <si>
    <t>Q13045_FLII</t>
  </si>
  <si>
    <t>Q13049_TRIM32</t>
  </si>
  <si>
    <t>Q13057_COASY</t>
  </si>
  <si>
    <t>Q13061_TRDN</t>
  </si>
  <si>
    <t>Q13085_ACACA</t>
  </si>
  <si>
    <t>Q13094_LCP2</t>
  </si>
  <si>
    <t>Q13105_ZBTB17</t>
  </si>
  <si>
    <t>Q13107-2_USP4</t>
  </si>
  <si>
    <t>Q13111_CHAF1A</t>
  </si>
  <si>
    <t>Q13112_CHAF1B</t>
  </si>
  <si>
    <t>Q13123_IK</t>
  </si>
  <si>
    <t>Q13127-4_REST</t>
  </si>
  <si>
    <t>Q13129_RLF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</si>
  <si>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</si>
  <si>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</si>
  <si>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</si>
  <si>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</si>
  <si>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</si>
  <si>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</si>
  <si>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</si>
  <si>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</si>
  <si>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</si>
  <si>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Q13164-2_MAPK7</t>
  </si>
  <si>
    <t>Q13177_PAK2</t>
  </si>
  <si>
    <t>Q13185_CBX3</t>
  </si>
  <si>
    <t>Q13188_STK3</t>
  </si>
  <si>
    <t>Q13190-3_STX5</t>
  </si>
  <si>
    <t>Q13200_PSMD2</t>
  </si>
  <si>
    <t>Q13206_DDX10</t>
  </si>
  <si>
    <t>Q13216_ERCC8</t>
  </si>
  <si>
    <t>Q13217_DNAJC3</t>
  </si>
  <si>
    <t>Q13228_SELENBP1</t>
  </si>
  <si>
    <t>Q13232_NME3</t>
  </si>
  <si>
    <t>Q13233_MAP3K1</t>
  </si>
  <si>
    <t>Q13242_SRSF9</t>
  </si>
  <si>
    <t>Q13243-3_SRSF5</t>
  </si>
  <si>
    <t>Q13247-3_SRSF6</t>
  </si>
  <si>
    <t>Q13257_MAD2L1</t>
  </si>
  <si>
    <t>Q13263_TRIM28</t>
  </si>
  <si>
    <t>Q13277-2_STX3</t>
  </si>
  <si>
    <t>Q13283_G3BP1</t>
  </si>
  <si>
    <t>Q13287_NMI</t>
  </si>
  <si>
    <t>Q13303-2_KCNAB2</t>
  </si>
  <si>
    <t>Q13308-3_PTK7</t>
  </si>
  <si>
    <t>Q13309-2_SKP2</t>
  </si>
  <si>
    <t>Q13310-3_PABPC4</t>
  </si>
  <si>
    <t>Q13315_ATM</t>
  </si>
  <si>
    <t>Q13322-2_GRB10</t>
  </si>
  <si>
    <t>Q13330-3_MTA1</t>
  </si>
  <si>
    <t>Q13332-6_PTPRS</t>
  </si>
  <si>
    <t>Q13347_EIF3I</t>
  </si>
  <si>
    <t>Q13351_KLF1</t>
  </si>
  <si>
    <t>Q13356_PPIL2</t>
  </si>
  <si>
    <t>Q13362-4_PPP2R5C</t>
  </si>
  <si>
    <t>Q13363-2_CTBP1</t>
  </si>
  <si>
    <t>Q13371_PDCL</t>
  </si>
  <si>
    <t>Q13395_TARBP1</t>
  </si>
  <si>
    <t>Q13404_UBE2V1</t>
  </si>
  <si>
    <t>Q13409-6_DYNC1I2</t>
  </si>
  <si>
    <t>Q13415_ORC1</t>
  </si>
  <si>
    <t>Q13416_ORC2</t>
  </si>
  <si>
    <t>Q13418_ILK</t>
  </si>
  <si>
    <t>Q13422-2_IKZF1</t>
  </si>
  <si>
    <t>Q13422-7_IKZF1</t>
  </si>
  <si>
    <t>Q13423_NNT</t>
  </si>
  <si>
    <t>Q13424_SNTA1</t>
  </si>
  <si>
    <t>Q13425_SNTB2</t>
  </si>
  <si>
    <t>Q13426_XRCC4</t>
  </si>
  <si>
    <t>Q13427_PPIG</t>
  </si>
  <si>
    <t>Q13428-3_TCOF1</t>
  </si>
  <si>
    <t>Q13428-4_TCOF1</t>
  </si>
  <si>
    <t>Q13432-2_UNC119</t>
  </si>
  <si>
    <t>Q13435_SF3B2</t>
  </si>
  <si>
    <t>Q13438-4_OS9</t>
  </si>
  <si>
    <t>Q13439-3_GOLGA4</t>
  </si>
  <si>
    <t>Q13442_PDAP1</t>
  </si>
  <si>
    <t>Q13451_FKBP5</t>
  </si>
  <si>
    <t>Q13464_ROCK1</t>
  </si>
  <si>
    <t>Q13469_NFATC2</t>
  </si>
  <si>
    <t>Q13492-3_PICALM</t>
  </si>
  <si>
    <t>Q13496_MTM1</t>
  </si>
  <si>
    <t>Q13501_SQSTM1</t>
  </si>
  <si>
    <t>Q13503_MED21</t>
  </si>
  <si>
    <t>Q13506_NAB1</t>
  </si>
  <si>
    <t>Q13509_TUBB3</t>
  </si>
  <si>
    <t>Q13523_PRPF4B</t>
  </si>
  <si>
    <t>Q13526_PIN1</t>
  </si>
  <si>
    <t>Q13541_EIF4EBP1</t>
  </si>
  <si>
    <t>Q13542_EIF4EBP2</t>
  </si>
  <si>
    <t>Q13546_RIPK1</t>
  </si>
  <si>
    <t>Q13547_HDAC1</t>
  </si>
  <si>
    <t>Q13555-10_CAMK2G</t>
  </si>
  <si>
    <t>Q13557-8_CAMK2D</t>
  </si>
  <si>
    <t>Q13561_DCTN2</t>
  </si>
  <si>
    <t>Q13564-2_NAE1</t>
  </si>
  <si>
    <t>Q13572_ITPK1</t>
  </si>
  <si>
    <t>Q13573_SNW1</t>
  </si>
  <si>
    <t>Q13576_IQGAP2</t>
  </si>
  <si>
    <t>Q13586_STIM1</t>
  </si>
  <si>
    <t>Q13596_SNX1</t>
  </si>
  <si>
    <t>Q13601-2_KRR1</t>
  </si>
  <si>
    <t>Q13610_PWP1</t>
  </si>
  <si>
    <t>Q13613_MTMR1</t>
  </si>
  <si>
    <t>Q13614_MTMR2</t>
  </si>
  <si>
    <t>Q13616_CUL1</t>
  </si>
  <si>
    <t>Q13617_CUL2</t>
  </si>
  <si>
    <t>Q13618_CUL3</t>
  </si>
  <si>
    <t>Q13619_CUL4A</t>
  </si>
  <si>
    <t>Q13620-1_CUL4B</t>
  </si>
  <si>
    <t>Q13625_TP53BP2</t>
  </si>
  <si>
    <t>Q13627-3_DYRK1A</t>
  </si>
  <si>
    <t>Q13630_TSTA3</t>
  </si>
  <si>
    <t>Q13636_RAB31</t>
  </si>
  <si>
    <t>Q13637_RAB32</t>
  </si>
  <si>
    <t>Q13643_FHL3</t>
  </si>
  <si>
    <t>Q13686_ALKBH1</t>
  </si>
  <si>
    <t>Q13724_MOGS</t>
  </si>
  <si>
    <t>Q13769_THOC5</t>
  </si>
  <si>
    <t>Q13813_SPTAN1</t>
  </si>
  <si>
    <t>Q13813-2_SPTAN1</t>
  </si>
  <si>
    <t>Q13823_GNL2</t>
  </si>
  <si>
    <t>Q13825_AUH</t>
  </si>
  <si>
    <t>Q13835-2_PKP1</t>
  </si>
  <si>
    <t>Q13838_DDX39B</t>
  </si>
  <si>
    <t>Q13867_BLMH</t>
  </si>
  <si>
    <t>Q13868_EXOSC2</t>
  </si>
  <si>
    <t>Q13885_TUBB2A</t>
  </si>
  <si>
    <t>Q13895_BYSL</t>
  </si>
  <si>
    <t>Q13901_C1D</t>
  </si>
  <si>
    <t>Q13905_RAPGEF1</t>
  </si>
  <si>
    <t>Q13907_IDI1</t>
  </si>
  <si>
    <t>Q13951_CBFB</t>
  </si>
  <si>
    <t>Q13951-2_CBFB</t>
  </si>
  <si>
    <t>Q13952-3_NFYC</t>
  </si>
  <si>
    <t>Q14004_CDK13</t>
  </si>
  <si>
    <t>Q14008_CKAP5</t>
  </si>
  <si>
    <t>Q14011_CIRBP</t>
  </si>
  <si>
    <t>Q14012_CAMK1</t>
  </si>
  <si>
    <t>Q14019_COTL1</t>
  </si>
  <si>
    <t>Q14061_COX17</t>
  </si>
  <si>
    <t>Q14103-3_HNRNPD</t>
  </si>
  <si>
    <t>Q14103-4_HNRNPD</t>
  </si>
  <si>
    <t>Q14118_DAG1</t>
  </si>
  <si>
    <t>Q14126_DSG2</t>
  </si>
  <si>
    <t>Q14137_BOP1</t>
  </si>
  <si>
    <t>Q14139_UBE4A</t>
  </si>
  <si>
    <t>Q14141-2_SEPT6</t>
  </si>
  <si>
    <t>Q14145_KEAP1</t>
  </si>
  <si>
    <t>Q14147_DHX34</t>
  </si>
  <si>
    <t>Q14149_MORC3</t>
  </si>
  <si>
    <t>Q14151_SAFB2</t>
  </si>
  <si>
    <t>Q14152_EIF3A</t>
  </si>
  <si>
    <t>Q14153_FAM53B</t>
  </si>
  <si>
    <t>Q14155-1_ARHGEF7</t>
  </si>
  <si>
    <t>Q14157_UBAP2L</t>
  </si>
  <si>
    <t>Q14160_SCRIB</t>
  </si>
  <si>
    <t>Q14161-4_GIT2</t>
  </si>
  <si>
    <t>Q14166_TTLL12</t>
  </si>
  <si>
    <t>Q14181_POLA2</t>
  </si>
  <si>
    <t>Q14191_WRN</t>
  </si>
  <si>
    <t>Q14192_FHL2</t>
  </si>
  <si>
    <t>Q14202-2_ZMYM3</t>
  </si>
  <si>
    <t>Q14203-6_DCTN1</t>
  </si>
  <si>
    <t>Q14204_DYNC1H1</t>
  </si>
  <si>
    <t>Q14207_NPAT</t>
  </si>
  <si>
    <t>Q14232_EIF2B1</t>
  </si>
  <si>
    <t>Q14241_TCEB3</t>
  </si>
  <si>
    <t>Q14244-2_MAP7</t>
  </si>
  <si>
    <t>Q14247_CTTN</t>
  </si>
  <si>
    <t>Q14247-3_CTTN</t>
  </si>
  <si>
    <t>Q14249_ENDOG</t>
  </si>
  <si>
    <t>Q14258_TRIM25</t>
  </si>
  <si>
    <t>Q14289-2_PTK2B</t>
  </si>
  <si>
    <t>Q14315_FLNC</t>
  </si>
  <si>
    <t>Q14318-2_FKBP8</t>
  </si>
  <si>
    <t>Q14320_FAM50A</t>
  </si>
  <si>
    <t>Q14331_FRG1</t>
  </si>
  <si>
    <t>Q14353_GAMT</t>
  </si>
  <si>
    <t>Q14376_GALE</t>
  </si>
  <si>
    <t>Q14444-2_CAPRIN1</t>
  </si>
  <si>
    <t>Q14457_BECN1</t>
  </si>
  <si>
    <t>Q14493_SLBP</t>
  </si>
  <si>
    <t>Q14498-2_RBM39</t>
  </si>
  <si>
    <t>Q14520-2_HABP2</t>
  </si>
  <si>
    <t>Q14527_HLTF</t>
  </si>
  <si>
    <t>Q14554_PDIA5</t>
  </si>
  <si>
    <t>Q14558_PRPSAP1</t>
  </si>
  <si>
    <t>Q14562_DHX8</t>
  </si>
  <si>
    <t>Q14566_MCM6</t>
  </si>
  <si>
    <t>Q14596-2_NBR1</t>
  </si>
  <si>
    <t>Q14651_PLS1</t>
  </si>
  <si>
    <t>Q14653_IRF3</t>
  </si>
  <si>
    <t>Q14657_LAGE3</t>
  </si>
  <si>
    <t>Q14669-2_TRIP12</t>
  </si>
  <si>
    <t>Q14669-3_TRIP12</t>
  </si>
  <si>
    <t>Q14671-2_PUM1</t>
  </si>
  <si>
    <t>Q14674_ESPL1</t>
  </si>
  <si>
    <t>Q14676_MDC1</t>
  </si>
  <si>
    <t>Q14677_CLINT1</t>
  </si>
  <si>
    <t>Q14683_SMC1A</t>
  </si>
  <si>
    <t>Q14684_RRP1B</t>
  </si>
  <si>
    <t>Q14686_NCOA6</t>
  </si>
  <si>
    <t>Q14687_GSE1</t>
  </si>
  <si>
    <t>Q14689-6_DIP2A</t>
  </si>
  <si>
    <t>Q14690_PDCD11</t>
  </si>
  <si>
    <t>Q14691_GINS1</t>
  </si>
  <si>
    <t>Q14692_BMS1</t>
  </si>
  <si>
    <t>Q14694_USP10</t>
  </si>
  <si>
    <t>Q14696_MESDC2</t>
  </si>
  <si>
    <t>Q14697_GANAB</t>
  </si>
  <si>
    <t>Q14697-2_GANAB</t>
  </si>
  <si>
    <t>Q14739_LBR</t>
  </si>
  <si>
    <t>Q14746-2_COG2</t>
  </si>
  <si>
    <t>Q14781_CBX2</t>
  </si>
  <si>
    <t>Q14789_GOLGB1</t>
  </si>
  <si>
    <t>Q14790-9_CASP8</t>
  </si>
  <si>
    <t>Q147X3_NAA30</t>
  </si>
  <si>
    <t>Q14807_KIF22</t>
  </si>
  <si>
    <t>Q14814-4_MEF2D</t>
  </si>
  <si>
    <t>Q14839-2_CHD4</t>
  </si>
  <si>
    <t>Q14847_LASP1</t>
  </si>
  <si>
    <t>Q14849-2_STARD3</t>
  </si>
  <si>
    <t>Q14914-2_PTGR1</t>
  </si>
  <si>
    <t>Q14919_DRAP1</t>
  </si>
  <si>
    <t>Q14934-8_NFATC4</t>
  </si>
  <si>
    <t>Q14966_ZNF638</t>
  </si>
  <si>
    <t>Q14974_KPNB1</t>
  </si>
  <si>
    <t>Q14978-3_NOLC1</t>
  </si>
  <si>
    <t>Q14980_NUMA1</t>
  </si>
  <si>
    <t>Q14980-2_NUMA1</t>
  </si>
  <si>
    <t>Q14980-4_NUMA1</t>
  </si>
  <si>
    <t>Q14997_PSME4</t>
  </si>
  <si>
    <t>Q14999_CUL7</t>
  </si>
  <si>
    <t>Q14BN4-2_SLMAP</t>
  </si>
  <si>
    <t>Q14C86-6_GAPVD1</t>
  </si>
  <si>
    <t>Q14CS0_UBXN2B</t>
  </si>
  <si>
    <t>Q14CX7_NAA25</t>
  </si>
  <si>
    <t>Q15003_NCAPH</t>
  </si>
  <si>
    <t>Q15007_WTAP</t>
  </si>
  <si>
    <t>Q15008_PSMD6</t>
  </si>
  <si>
    <t>Q15013_MAD2L1BP</t>
  </si>
  <si>
    <t>Q15014_MORF4L2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</si>
  <si>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</si>
  <si>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</si>
  <si>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</si>
  <si>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</si>
  <si>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</si>
  <si>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</si>
  <si>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</si>
  <si>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</si>
  <si>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Q15042_RAB3GAP1</t>
  </si>
  <si>
    <t>Q15046_KARS</t>
  </si>
  <si>
    <t>Q15047-3_SETDB1</t>
  </si>
  <si>
    <t>Q15048_LRRC14</t>
  </si>
  <si>
    <t>Q15050_RRS1</t>
  </si>
  <si>
    <t>Q15051_IQCB1</t>
  </si>
  <si>
    <t>Q15052_ARHGEF6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</si>
  <si>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</si>
  <si>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</si>
  <si>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</si>
  <si>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</si>
  <si>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</si>
  <si>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</si>
  <si>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</si>
  <si>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Q15075_EEA1</t>
  </si>
  <si>
    <t>Q15102_PAFAH1B3</t>
  </si>
  <si>
    <t>Q15111_PLCL1</t>
  </si>
  <si>
    <t>Q15121_PEA15</t>
  </si>
  <si>
    <t>Q15126_PMVK</t>
  </si>
  <si>
    <t>Q15147-2_PLCB4</t>
  </si>
  <si>
    <t>Q15149-3_PLEC</t>
  </si>
  <si>
    <t>Q15149-4_PLEC</t>
  </si>
  <si>
    <t>Q15154_PCM1</t>
  </si>
  <si>
    <t>Q15154-2_PCM1</t>
  </si>
  <si>
    <t>Q15170-2_TCEAL1</t>
  </si>
  <si>
    <t>Q15172_PPP2R5A</t>
  </si>
  <si>
    <t>Q15173_PPP2R5B</t>
  </si>
  <si>
    <t>Q15181_PPA1</t>
  </si>
  <si>
    <t>Q15208_STK38</t>
  </si>
  <si>
    <t>Q15233_NONO</t>
  </si>
  <si>
    <t>Q15257_PPP2R4</t>
  </si>
  <si>
    <t>Q15257-2_PPP2R4</t>
  </si>
  <si>
    <t>Q15262_PTPRK</t>
  </si>
  <si>
    <t>Q15269_PWP2</t>
  </si>
  <si>
    <t>Q15274_QPRT</t>
  </si>
  <si>
    <t>Q15276_RABEP1</t>
  </si>
  <si>
    <t>Q15283-2_RASA2</t>
  </si>
  <si>
    <t>Q15286_RAB35</t>
  </si>
  <si>
    <t>Q15291_RBBP5</t>
  </si>
  <si>
    <t>Q15293_RCN1</t>
  </si>
  <si>
    <t>Q15311_RALBP1</t>
  </si>
  <si>
    <t>Q15323_KRT31</t>
  </si>
  <si>
    <t>Q15334_LLGL1</t>
  </si>
  <si>
    <t>Q15345_LRRC41</t>
  </si>
  <si>
    <t>Q15361_TTF1</t>
  </si>
  <si>
    <t>Q15363_TMED2</t>
  </si>
  <si>
    <t>Q15365_PCBP1</t>
  </si>
  <si>
    <t>Q15366-2_PCBP2</t>
  </si>
  <si>
    <t>Q15366-3_PCBP2</t>
  </si>
  <si>
    <t>Q15382_RHEB</t>
  </si>
  <si>
    <t>Q15386_UBE3C</t>
  </si>
  <si>
    <t>Q15393_SF3B3</t>
  </si>
  <si>
    <t>Q15398_DLGAP5</t>
  </si>
  <si>
    <t>Q15404_RSU1</t>
  </si>
  <si>
    <t>Q15424_SAFB</t>
  </si>
  <si>
    <t>Q15427_SF3B4</t>
  </si>
  <si>
    <t>Q15428_SF3A2</t>
  </si>
  <si>
    <t>Q15435_PPP1R7</t>
  </si>
  <si>
    <t>Q15437_SEC23B</t>
  </si>
  <si>
    <t>Q15438-2_CYTH1</t>
  </si>
  <si>
    <t>Q15464_SHB</t>
  </si>
  <si>
    <t>Q15506_SPA17</t>
  </si>
  <si>
    <t>Q15527_SURF2</t>
  </si>
  <si>
    <t>Q15542-2_TAF5</t>
  </si>
  <si>
    <t>Q15544-2_TAF11</t>
  </si>
  <si>
    <t>Q15545_TAF7</t>
  </si>
  <si>
    <t>Q15554-3_TERF2</t>
  </si>
  <si>
    <t>Q15555_MAPRE2</t>
  </si>
  <si>
    <t>Q15560-2_TCEA2</t>
  </si>
  <si>
    <t>Q15561-2_TEAD4</t>
  </si>
  <si>
    <t>Q15596_NCOA2</t>
  </si>
  <si>
    <t>Q15599_SLC9A3R2</t>
  </si>
  <si>
    <t>Q15628_TRADD</t>
  </si>
  <si>
    <t>Q15633-2_TARBP2</t>
  </si>
  <si>
    <t>Q15637-5_SF1</t>
  </si>
  <si>
    <t>Q15642-2_TRIP10</t>
  </si>
  <si>
    <t>Q15643_TRIP11</t>
  </si>
  <si>
    <t>Q15645_TRIP13</t>
  </si>
  <si>
    <t>Q15648_MED1</t>
  </si>
  <si>
    <t>Q15649_ZNHIT3</t>
  </si>
  <si>
    <t>Q15650_TRIP4</t>
  </si>
  <si>
    <t>Q15651_HMGN3</t>
  </si>
  <si>
    <t>Q15652_JMJD1C</t>
  </si>
  <si>
    <t>Q15654_TRIP6</t>
  </si>
  <si>
    <t>Q15691_MAPRE1</t>
  </si>
  <si>
    <t>Q15695_ZRSR1</t>
  </si>
  <si>
    <t>Q15697-2_ZNF174</t>
  </si>
  <si>
    <t>Q15714-2_TSC22D1</t>
  </si>
  <si>
    <t>Q15717_ELAVL1</t>
  </si>
  <si>
    <t>Q15723-1_ELF2</t>
  </si>
  <si>
    <t>Q15738_NSDHL</t>
  </si>
  <si>
    <t>Q15742_NAB2</t>
  </si>
  <si>
    <t>Q15746-4_MYLK</t>
  </si>
  <si>
    <t>Q15750-2_TAB1</t>
  </si>
  <si>
    <t>Q15751_HERC1</t>
  </si>
  <si>
    <t>Q15758_SLC1A5</t>
  </si>
  <si>
    <t>Q15759_MAPK11</t>
  </si>
  <si>
    <t>Q15773_MLF2</t>
  </si>
  <si>
    <t>Q15776_ZKSCAN8</t>
  </si>
  <si>
    <t>Q15785_TOMM34</t>
  </si>
  <si>
    <t>Q15788-2_NCOA1</t>
  </si>
  <si>
    <t>Q15796-2_SMAD2</t>
  </si>
  <si>
    <t>Q15797_SMAD1</t>
  </si>
  <si>
    <t>Q15813_TBCE</t>
  </si>
  <si>
    <t>Q15814_TBCC</t>
  </si>
  <si>
    <t>Q15819_UBE2V2</t>
  </si>
  <si>
    <t>Q15831-2_STK11</t>
  </si>
  <si>
    <t>Q15833_STXBP2</t>
  </si>
  <si>
    <t>Q15836_VAMP3</t>
  </si>
  <si>
    <t>Q15843_NEDD8</t>
  </si>
  <si>
    <t>Q15904_ATP6AP1</t>
  </si>
  <si>
    <t>Q15906_VPS72</t>
  </si>
  <si>
    <t>Q15907_RAB11B</t>
  </si>
  <si>
    <t>Q15910_EZH2</t>
  </si>
  <si>
    <t>Q15935_ZNF77</t>
  </si>
  <si>
    <t>Q15942_ZYX</t>
  </si>
  <si>
    <t>Q16181_SEPT7</t>
  </si>
  <si>
    <t>Q16186_ADRM1</t>
  </si>
  <si>
    <t>Q16204_CCDC6</t>
  </si>
  <si>
    <t>Q16222-2_UAP1</t>
  </si>
  <si>
    <t>Q16254_E2F4</t>
  </si>
  <si>
    <t>Q16352_INA</t>
  </si>
  <si>
    <t>Q16401-2_PSMD5</t>
  </si>
  <si>
    <t>Q16512_PKN1</t>
  </si>
  <si>
    <t>Q16513-3_PKN2</t>
  </si>
  <si>
    <t>Q16514-2_TAF12</t>
  </si>
  <si>
    <t>Q16531_DDB1</t>
  </si>
  <si>
    <t>Q16539_MAPK14</t>
  </si>
  <si>
    <t>Q16539-2_MAPK14</t>
  </si>
  <si>
    <t>Q16543_CDC37</t>
  </si>
  <si>
    <t>Q16555-2_DPYSL2</t>
  </si>
  <si>
    <t>Q16576_RBBP7</t>
  </si>
  <si>
    <t>Q16600_ZNF239</t>
  </si>
  <si>
    <t>Q16610_ECM1</t>
  </si>
  <si>
    <t>Q16619-2_CTF1</t>
  </si>
  <si>
    <t>Q16626_MEA1</t>
  </si>
  <si>
    <t>Q16629-3_SRSF7</t>
  </si>
  <si>
    <t>Q16637-3_SMN1</t>
  </si>
  <si>
    <t>Q16643_DBN1</t>
  </si>
  <si>
    <t>Q16644_MAPKAPK3</t>
  </si>
  <si>
    <t>Q16649_NFIL3</t>
  </si>
  <si>
    <t>Q16656_NRF1</t>
  </si>
  <si>
    <t>Q16658_FSCN1</t>
  </si>
  <si>
    <t>Q16659_MAPK6</t>
  </si>
  <si>
    <t>Q16666-3_IFI16</t>
  </si>
  <si>
    <t>Q16670_ZSCAN26</t>
  </si>
  <si>
    <t>Q16719_KYNU</t>
  </si>
  <si>
    <t>Q16740_CLPP</t>
  </si>
  <si>
    <t>Q16762_TST</t>
  </si>
  <si>
    <t>Q16763_UBE2S</t>
  </si>
  <si>
    <t>Q16773_CCBL1</t>
  </si>
  <si>
    <t>Q16778_HIST2H2BE</t>
  </si>
  <si>
    <t>Q16819_MEP1A</t>
  </si>
  <si>
    <t>Q16822_PCK2</t>
  </si>
  <si>
    <t>Q16831_UPP1</t>
  </si>
  <si>
    <t>Q16836_HADH</t>
  </si>
  <si>
    <t>Q16851_UGP2</t>
  </si>
  <si>
    <t>Q16854_DGUOK</t>
  </si>
  <si>
    <t>Q16864_ATP6V1F</t>
  </si>
  <si>
    <t>Q16875-3_PFKFB3</t>
  </si>
  <si>
    <t>Q17R31-2_TATDN3</t>
  </si>
  <si>
    <t>Q17RN3_FAM98C</t>
  </si>
  <si>
    <t>Q17RU2_REL</t>
  </si>
  <si>
    <t>Q19AV6_ZSWIM7</t>
  </si>
  <si>
    <t>Q1ED39_KNOP1</t>
  </si>
  <si>
    <t>Q1MSJ5-1_CSPP1</t>
  </si>
  <si>
    <t>Q27J81-2_INF2</t>
  </si>
  <si>
    <t>Q29RF7_PDS5A</t>
  </si>
  <si>
    <t>Q2KHR3_QSER1</t>
  </si>
  <si>
    <t>Q2KHT3_CLEC16A</t>
  </si>
  <si>
    <t>Q2M296-2_MTHFSD</t>
  </si>
  <si>
    <t>Q2M296-4_MTHFSD</t>
  </si>
  <si>
    <t>Q2M2I8_AAK1</t>
  </si>
  <si>
    <t>Q2M2Z5-5_PLK1S1</t>
  </si>
  <si>
    <t>Q2M389_KIAA1033</t>
  </si>
  <si>
    <t>Q2M389-2_KIAA1033</t>
  </si>
  <si>
    <t>Q2M3G4-2_SHROOM1</t>
  </si>
  <si>
    <t>Q2NL82_TSR1</t>
  </si>
  <si>
    <t>Q2NL98_VMAC</t>
  </si>
  <si>
    <t>Q2PPJ7-3_RALGAPA2</t>
  </si>
  <si>
    <t>Q2Q1W2_TRIM71</t>
  </si>
  <si>
    <t>Q2TAL8_QRICH1</t>
  </si>
  <si>
    <t>Q2TAM5_RELA</t>
  </si>
  <si>
    <t>Q2TAY7_SMU1</t>
  </si>
  <si>
    <t>Q2TAZ0_ATG2A</t>
  </si>
  <si>
    <t>Q2TB10_ZNF800</t>
  </si>
  <si>
    <t>Q2TBE0_CWF19L2</t>
  </si>
  <si>
    <t>Q2TBF2_WSCD2</t>
  </si>
  <si>
    <t>Q2VPK5_CTU2</t>
  </si>
  <si>
    <t>Q2YD98-2_UVSSA</t>
  </si>
  <si>
    <t>Q32M88_ATHL1</t>
  </si>
  <si>
    <t>Q32MK0_MYLK3</t>
  </si>
  <si>
    <t>Q32MZ4-3_LRRFIP1</t>
  </si>
  <si>
    <t>Q32N00_POLD3</t>
  </si>
  <si>
    <t>Q32P28_LEPRE1</t>
  </si>
  <si>
    <t>Q32P41_TRMT5</t>
  </si>
  <si>
    <t>Q32P44_EML3</t>
  </si>
  <si>
    <t>Q3B726_TWISTNB</t>
  </si>
  <si>
    <t>Q3KQU3-2_MAP7D1</t>
  </si>
  <si>
    <t>Q3KQU3-3_MAP7D1</t>
  </si>
  <si>
    <t>Q3KQV3_ZNF792</t>
  </si>
  <si>
    <t>Q3KQV9_UAP1L1</t>
  </si>
  <si>
    <t>Q3KRA9_ALKBH6</t>
  </si>
  <si>
    <t>Q3LXA3_DAK</t>
  </si>
  <si>
    <t>Q3MHD2_LSM12</t>
  </si>
  <si>
    <t>Q3MII6_TBC1D25</t>
  </si>
  <si>
    <t>Q3MIT2_PUS10</t>
  </si>
  <si>
    <t>Q3SXM5_HSDL1</t>
  </si>
  <si>
    <t>Q3SY69_ALDH1L2</t>
  </si>
  <si>
    <t>Q3T8J9-3_GON4L</t>
  </si>
  <si>
    <t>Q3V6T2-2_CCDC88A</t>
  </si>
  <si>
    <t>Q3V6T2-5_CCDC88A</t>
  </si>
  <si>
    <t>Q3YEC7_RABL6</t>
  </si>
  <si>
    <t>Q3ZAQ7_VMA21</t>
  </si>
  <si>
    <t>Q3ZCM7_TUBB8</t>
  </si>
  <si>
    <t>Q3ZCV1_USP38</t>
  </si>
  <si>
    <t>Q3ZCW2_LGALSL</t>
  </si>
  <si>
    <t>Q499Z4_ZNF672</t>
  </si>
  <si>
    <t>Q49A26-2_GLYR1</t>
  </si>
  <si>
    <t>Q49A88-2_CCDC14</t>
  </si>
  <si>
    <t>Q49AN0-2_CRY2</t>
  </si>
  <si>
    <t>Q49AR2_C5orf22</t>
  </si>
  <si>
    <t>Q49B96_COX19</t>
  </si>
  <si>
    <t>Q4G0F5_VPS26B</t>
  </si>
  <si>
    <t>Q4G0J3_LARP7</t>
  </si>
  <si>
    <t>Q4G0M0_NAPB</t>
  </si>
  <si>
    <t>Q4G0N4_NADKD1</t>
  </si>
  <si>
    <t>Q4G176_ACSF3</t>
  </si>
  <si>
    <t>Q4J6C6-4_PREPL</t>
  </si>
  <si>
    <t>Q4KMP7_TBC1D10B</t>
  </si>
  <si>
    <t>Q4KWH8-3_PLCH1</t>
  </si>
  <si>
    <t>Q4LDG9-3_DNAL1</t>
  </si>
  <si>
    <t>Q4LE39-2_ARID4B</t>
  </si>
  <si>
    <t>Q4V328_GRIPAP1</t>
  </si>
  <si>
    <t>Q4VC05_BCL7A</t>
  </si>
  <si>
    <t>Q4VC05-2_BCL7A</t>
  </si>
  <si>
    <t>Q4VC44_FLYWCH1</t>
  </si>
  <si>
    <t>Q4W8S1_ZNF298</t>
  </si>
  <si>
    <t>Q504Q3-2_PAN2</t>
  </si>
  <si>
    <t>Q52LJ0-2_FAM98B</t>
  </si>
  <si>
    <t>Q52LR7_EPC2</t>
  </si>
  <si>
    <t>Q53EL6-2_PDCD4</t>
  </si>
  <si>
    <t>Q53ET0_CRTC2</t>
  </si>
  <si>
    <t>Q53EZ4_CEP55</t>
  </si>
  <si>
    <t>Q53F19_C17orf85</t>
  </si>
  <si>
    <t>Q53FA7_TP53I3</t>
  </si>
  <si>
    <t>Q53FT3_C11orf73</t>
  </si>
  <si>
    <t>Q53FZ2_ACSM3</t>
  </si>
  <si>
    <t>Q53H47_SETMAR</t>
  </si>
  <si>
    <t>Q53H54_TRMT12</t>
  </si>
  <si>
    <t>Q53H82_LACTB2</t>
  </si>
  <si>
    <t>Q53H96_PYCRL</t>
  </si>
  <si>
    <t>Q53HC5_KLHL26</t>
  </si>
  <si>
    <t>Q53HC9_TSSC1</t>
  </si>
  <si>
    <t>Q53HL2_CDCA8</t>
  </si>
  <si>
    <t>Q53HV7_SMUG1</t>
  </si>
  <si>
    <t>Q53LP3_SOWAHC</t>
  </si>
  <si>
    <t>Q53QZ3_ARHGAP15</t>
  </si>
  <si>
    <t>Q53S33_BOLA3</t>
  </si>
  <si>
    <t>Q53T59_HS1BP3</t>
  </si>
  <si>
    <t>Q53TQ3_INO80D</t>
  </si>
  <si>
    <t>Q562E7_WDR81</t>
  </si>
  <si>
    <t>Q562F6-2_SGOL2</t>
  </si>
  <si>
    <t>Q567Q0_PPIA</t>
  </si>
  <si>
    <t>Q56A73_SPIN4</t>
  </si>
  <si>
    <t>Q56NI9_ESCO2</t>
  </si>
  <si>
    <t>Q56UN5-2_MAP3K19</t>
  </si>
  <si>
    <t>Q587J8_KHDC3L</t>
  </si>
  <si>
    <t>Q58A45-3_PAN3</t>
  </si>
  <si>
    <t>Q58EX7-2_PLEKHG4</t>
  </si>
  <si>
    <t>Q58FF8_HSP90AB2P</t>
  </si>
  <si>
    <t>Q58FG1_HSP90AA4P</t>
  </si>
  <si>
    <t>Q58WW2_DCAF6</t>
  </si>
  <si>
    <t>Q59GN2_RPL39P5</t>
  </si>
  <si>
    <t>Q5BJF6-9_ODF2</t>
  </si>
  <si>
    <t>Q5BKU9_OXLD1</t>
  </si>
  <si>
    <t>Q5BKX5_C19orf54</t>
  </si>
  <si>
    <t>Q5BKZ1_ZNF326</t>
  </si>
  <si>
    <t>Q5C9Z4_NOM1</t>
  </si>
  <si>
    <t>Q5D0E6-2_DALRD3</t>
  </si>
  <si>
    <t>Q5D862_FLG2</t>
  </si>
  <si>
    <t>Q5EBL4_RILPL1</t>
  </si>
  <si>
    <t>Q5EBL8_PDZD11</t>
  </si>
  <si>
    <t>Q5EBM0_CMPK2</t>
  </si>
  <si>
    <t>Q5F1R6_DNAJC21</t>
  </si>
  <si>
    <t>Q5FBB7-5_SGOL1</t>
  </si>
  <si>
    <t>Q5FWF5_ESCO1</t>
  </si>
  <si>
    <t>Q5GLZ8-2_HERC4</t>
  </si>
  <si>
    <t>Q5H937_PKIG</t>
  </si>
  <si>
    <t>Q5H9A7_TIMP1</t>
  </si>
  <si>
    <t>Q5HYC2-2_KIAA2026</t>
  </si>
  <si>
    <t>Q5JP53_TUBB</t>
  </si>
  <si>
    <t>Q5JPE7-2_NOMO2</t>
  </si>
  <si>
    <t>Q5JPF3_ANKRD36C</t>
  </si>
  <si>
    <t>Q5JPI3-2_C3orf38</t>
  </si>
  <si>
    <t>Q5JPI9_METTL10</t>
  </si>
  <si>
    <t>Q5JR08_RHOC</t>
  </si>
  <si>
    <t>Q5JRA6-2_MIA3</t>
  </si>
  <si>
    <t>Q5JRG1_NUPL1</t>
  </si>
  <si>
    <t>Q5JRX3_PITRM1</t>
  </si>
  <si>
    <t>Q5JS37-2_NHLRC3</t>
  </si>
  <si>
    <t>Q5JS54_PSMG4</t>
  </si>
  <si>
    <t>Q5JSB5_TFDP1</t>
  </si>
  <si>
    <t>Q5JSH3-2_WDR44</t>
  </si>
  <si>
    <t>Q5JSJ4_DDX26B</t>
  </si>
  <si>
    <t>Q5JSL3_DOCK11</t>
  </si>
  <si>
    <t>Q5JSZ5_PRRC2B</t>
  </si>
  <si>
    <t>Q5JTD0-2_TJAP1</t>
  </si>
  <si>
    <t>Q5JTH9_RRP12</t>
  </si>
  <si>
    <t>Q5JTJ3-3_COA6</t>
  </si>
  <si>
    <t>Q5JTV1_GMEB2</t>
  </si>
  <si>
    <t>Q5JTV8_TOR1AIP1</t>
  </si>
  <si>
    <t>Q5JTZ9_AARS2</t>
  </si>
  <si>
    <t>Q5JU21_FPGS</t>
  </si>
  <si>
    <t>Q5JU85-3_IQSEC2</t>
  </si>
  <si>
    <t>Q5JUL1_PAGE5</t>
  </si>
  <si>
    <t>Q5JUR7_TEX30</t>
  </si>
  <si>
    <t>Q5JVF3-3_PCID2</t>
  </si>
  <si>
    <t>Q5JVZ5_ELMO2</t>
  </si>
  <si>
    <t>Q5JW30_STAU1</t>
  </si>
  <si>
    <t>Q5JXC2_MIIP</t>
  </si>
  <si>
    <t>Q5K4L6-2_SLC27A3</t>
  </si>
  <si>
    <t>Q5K651_SAMD9</t>
  </si>
  <si>
    <t>Q5LJA5_UCHL5</t>
  </si>
  <si>
    <t>Q5M775-4_SPECC1</t>
  </si>
  <si>
    <t>Q5M9N0_CCDC158</t>
  </si>
  <si>
    <t>Q5MIZ7-2_SMEK2</t>
  </si>
  <si>
    <t>Q5MNZ6_WDR45B</t>
  </si>
  <si>
    <t>Q5Q9G8_POLK</t>
  </si>
  <si>
    <t>Q5QJ74_TBCEL</t>
  </si>
  <si>
    <t>Q5QNY5_PEX19</t>
  </si>
  <si>
    <t>Q5QNZ2_ATP5F1</t>
  </si>
  <si>
    <t>Q5QP56_BCL2L1</t>
  </si>
  <si>
    <t>Q5QP82_DCAF10</t>
  </si>
  <si>
    <t>Q5QPL9_RALY</t>
  </si>
  <si>
    <t>Q5QPM7_PSMF1</t>
  </si>
  <si>
    <t>Q5R372-4_RABGAP1L</t>
  </si>
  <si>
    <t>Q5R372-7_RABGAP1L</t>
  </si>
  <si>
    <t>Q5R3I4_TTC38</t>
  </si>
  <si>
    <t>Q5RHP9-3_C1orf173</t>
  </si>
  <si>
    <t>Q5RKV6_EXOSC6</t>
  </si>
  <si>
    <t>Q5SNT6_FAM21B</t>
  </si>
  <si>
    <t>Q5SNW6_MTHFR</t>
  </si>
  <si>
    <t>Q5SQM6_NUDT13</t>
  </si>
  <si>
    <t>Q5SRE5_NUP188</t>
  </si>
  <si>
    <t>Q5SRN1_CDC40</t>
  </si>
  <si>
    <t>Q5SSJ5_HP1BP3</t>
  </si>
  <si>
    <t>Q5ST30_VARS2</t>
  </si>
  <si>
    <t>Q5SW79_CEP170</t>
  </si>
  <si>
    <t>Q5SW79-2_CEP170</t>
  </si>
  <si>
    <t>Q5SW96_LDLRAP1</t>
  </si>
  <si>
    <t>Q5SXM2_SNAPC4</t>
  </si>
  <si>
    <t>Q5SY16_NOL9</t>
  </si>
  <si>
    <t>Q5SY21_ZBTB48</t>
  </si>
  <si>
    <t>Q5T011-5_SZT2</t>
  </si>
  <si>
    <t>Q5T0N5-3_FNBP1L</t>
  </si>
  <si>
    <t>Q5T123_SH3BGRL3</t>
  </si>
  <si>
    <t>Q5T160_RARS2</t>
  </si>
  <si>
    <t>Q5T171_PYGO2</t>
  </si>
  <si>
    <t>Q5T1C6_THEM4</t>
  </si>
  <si>
    <t>Q5T1M5_FKBP15</t>
  </si>
  <si>
    <t>Q5T1V6_DDX59</t>
  </si>
  <si>
    <t>Q5T200_ZC3H13</t>
  </si>
  <si>
    <t>Q5T2D3_OTUD3</t>
  </si>
  <si>
    <t>Q5T2J3_BCKDHB</t>
  </si>
  <si>
    <t>Q5T321_NBEA</t>
  </si>
  <si>
    <t>Q5T3I0_GPATCH4</t>
  </si>
  <si>
    <t>Q5T3J3_LRIF1</t>
  </si>
  <si>
    <t>Q5T427_ZNF438</t>
  </si>
  <si>
    <t>Q5T440_IBA57</t>
  </si>
  <si>
    <t>Q5T4F4-6_ZFYVE27</t>
  </si>
  <si>
    <t>Q5T4P9_PLEKHO1</t>
  </si>
  <si>
    <t>Q5T4S7-3_UBR4</t>
  </si>
  <si>
    <t>Q5T4T6_SYCP2L</t>
  </si>
  <si>
    <t>Q5T534_BLZF1</t>
  </si>
  <si>
    <t>Q5T5C0-3_STXBP5</t>
  </si>
  <si>
    <t>Q5T5U3_ARHGAP21</t>
  </si>
  <si>
    <t>Q5T5X7_BEND3</t>
  </si>
  <si>
    <t>Q5T5Y3_CAMSAP1</t>
  </si>
  <si>
    <t>Q5T6F2_UBAP2</t>
  </si>
  <si>
    <t>Q5T6V5_C9orf64</t>
  </si>
  <si>
    <t>Q5T749_KPRP</t>
  </si>
  <si>
    <t>Q5T7A2_ADCK3</t>
  </si>
  <si>
    <t>Q5T7V8_GORAB</t>
  </si>
  <si>
    <t>Q5T8A7_PPP1R26</t>
  </si>
  <si>
    <t>Q5T8I3_FAM102B</t>
  </si>
  <si>
    <t>Q5T8P6-3_RBM26</t>
  </si>
  <si>
    <t>Q5T985_</t>
  </si>
  <si>
    <t>Q5TA31_RNF187</t>
  </si>
  <si>
    <t>Q5TA45-3_CPSF3L</t>
  </si>
  <si>
    <t>Q5TA50_GLTPD1</t>
  </si>
  <si>
    <t>Q5TA58_AGO1</t>
  </si>
  <si>
    <t>Q5TAP6_UTP14C</t>
  </si>
  <si>
    <t>Q5TAQ0_MNF1</t>
  </si>
  <si>
    <t>Q5TAX3_ZCCHC11</t>
  </si>
  <si>
    <t>Q5TB80-2_KIAA1009</t>
  </si>
  <si>
    <t>Q5TBB1_RNASEH2B</t>
  </si>
  <si>
    <t>Q5TBP9_LSM14B</t>
  </si>
  <si>
    <t>Q5TC12_ATPAF1</t>
  </si>
  <si>
    <t>Q5TC79_ZBTB37</t>
  </si>
  <si>
    <t>Q5TC82_RC3H1</t>
  </si>
  <si>
    <t>Q5TCQ9-3_MAGI3</t>
  </si>
  <si>
    <t>Q5TCU3_TPM2</t>
  </si>
  <si>
    <t>Q5TDH0_DDI2</t>
  </si>
  <si>
    <t>Q5TEC3_ZNF697</t>
  </si>
  <si>
    <t>Q5TEJ8_THEMIS2</t>
  </si>
  <si>
    <t>Q5TEU4-2_NDUFAF5</t>
  </si>
  <si>
    <t>Q5TFE4_NT5DC1</t>
  </si>
  <si>
    <t>Q5TGY1_TMCO4</t>
  </si>
  <si>
    <t>Q5TGY3_AHDC1</t>
  </si>
  <si>
    <t>Q5THJ1_PRDM2</t>
  </si>
  <si>
    <t>Q5THJ4-2_VPS13D</t>
  </si>
  <si>
    <t>Q5THK1_PRR14L</t>
  </si>
  <si>
    <t>Q5TZA2_CROCC</t>
  </si>
  <si>
    <t>Q5U5Q3_MEX3C</t>
  </si>
  <si>
    <t>Q5U5X0_LYRM7</t>
  </si>
  <si>
    <t>Q5U623_ATF7IP2</t>
  </si>
  <si>
    <t>Q5UIP0-2_RIF1</t>
  </si>
  <si>
    <t>Q5VIR6-4_VPS53</t>
  </si>
  <si>
    <t>Q5VSL9_STRIP1</t>
  </si>
  <si>
    <t>Q5VSY0-2_GKAP1</t>
  </si>
  <si>
    <t>Q5VT06_CEP350</t>
  </si>
  <si>
    <t>Q5VT25-4_CDC42BPA</t>
  </si>
  <si>
    <t>Q5VT52_RPRD2</t>
  </si>
  <si>
    <t>Q5VTD9-2_GFI1B</t>
  </si>
  <si>
    <t>Q5VTL8_PRPF38B</t>
  </si>
  <si>
    <t>Q5VTR2_RNF20</t>
  </si>
  <si>
    <t>Q5VTU3_DYNLT1</t>
  </si>
  <si>
    <t>Q5VU43-3_PDE4DIP</t>
  </si>
  <si>
    <t>Q5VU58_TPM3</t>
  </si>
  <si>
    <t>Q5VUA4_ZNF318</t>
  </si>
  <si>
    <t>Q5VV41_ARHGEF16</t>
  </si>
  <si>
    <t>Q5VV42_CDKAL1</t>
  </si>
  <si>
    <t>Q5VV52-2_ZNF691</t>
  </si>
  <si>
    <t>Q5VV67-2_PPRC1</t>
  </si>
  <si>
    <t>Q5VVD7_PLEKHM2</t>
  </si>
  <si>
    <t>Q5VVJ2_MYSM1</t>
  </si>
  <si>
    <t>Q5VVL7_DBT</t>
  </si>
  <si>
    <t>Q5VVQ6_YOD1</t>
  </si>
  <si>
    <t>Q5VW00_DCAF12L2</t>
  </si>
  <si>
    <t>Q5VW32_BROX</t>
  </si>
  <si>
    <t>Q5VWG9_TAF3</t>
  </si>
  <si>
    <t>Q5VWJ9_SNX30</t>
  </si>
  <si>
    <t>Q5VWN6_FAM208B</t>
  </si>
  <si>
    <t>Q5VWP2_FAM46C</t>
  </si>
  <si>
    <t>Q5VWQ0_RSBN1</t>
  </si>
  <si>
    <t>Q5VWZ2_LYPLAL1</t>
  </si>
  <si>
    <t>Q5VXM9_RPF2</t>
  </si>
  <si>
    <t>Q5VYK3_ECM29</t>
  </si>
  <si>
    <t>Q5VYS8-6_ZCCHC6</t>
  </si>
  <si>
    <t>Q5VYV7_SLX4IP</t>
  </si>
  <si>
    <t>Q5VZE5_NAA35</t>
  </si>
  <si>
    <t>Q5VZK9_LRRC16A</t>
  </si>
  <si>
    <t>Q5VZL5-4_ZMYM4</t>
  </si>
  <si>
    <t>Q5VZM2-2_RRAGB</t>
  </si>
  <si>
    <t>Q5W0B1_RNF219</t>
  </si>
  <si>
    <t>Q5W0V3_FAM160B1</t>
  </si>
  <si>
    <t>Q5XLC2_PFKFB4</t>
  </si>
  <si>
    <t>Q5XPI4_RNF123</t>
  </si>
  <si>
    <t>Q5XUX1-3_FBXW9</t>
  </si>
  <si>
    <t>Q63HM1_AFMID</t>
  </si>
  <si>
    <t>Q63HN8_RNF213</t>
  </si>
  <si>
    <t>Q63HQ0_AP1AR</t>
  </si>
  <si>
    <t>Q658Y4_FAM91A1</t>
  </si>
  <si>
    <t>Q659A1_NARG2</t>
  </si>
  <si>
    <t>Q659C4_LARP1B</t>
  </si>
  <si>
    <t>Q66GS9_CEP135</t>
  </si>
  <si>
    <t>Q66K14-2_TBC1D9B</t>
  </si>
  <si>
    <t>Q66K64_DCAF15</t>
  </si>
  <si>
    <t>Q66LE6_PPP2R2D</t>
  </si>
  <si>
    <t>Q66PJ3_ARL6IP4</t>
  </si>
  <si>
    <t>Q676U5-2_ATG16L1</t>
  </si>
  <si>
    <t>Q68CP9_ARID2</t>
  </si>
  <si>
    <t>Q68CQ4_DIEXF</t>
  </si>
  <si>
    <t>Q68CZ6_HAUS3</t>
  </si>
  <si>
    <t>Q68D10_SPTY2D1</t>
  </si>
  <si>
    <t>Q68D20_PMS2CL</t>
  </si>
  <si>
    <t>Q68DC2_ANKS6</t>
  </si>
  <si>
    <t>Q68DK2-2_ZFYVE26</t>
  </si>
  <si>
    <t>Q68DQ2_CRYBG3</t>
  </si>
  <si>
    <t>Q68E01-2_INTS3</t>
  </si>
  <si>
    <t>Q68EM7_ARHGAP17</t>
  </si>
  <si>
    <t>Q69YN2_CWF19L1</t>
  </si>
  <si>
    <t>Q69YN4-3_KIAA1429</t>
  </si>
  <si>
    <t>Q69YQ0-2_SPECC1L</t>
  </si>
  <si>
    <t>Q6AHZ1_ZNF518A</t>
  </si>
  <si>
    <t>Q6AI08_HEATR6</t>
  </si>
  <si>
    <t>Q6AI12_ANKRD40</t>
  </si>
  <si>
    <t>Q6AI39_GLTSCR1L</t>
  </si>
  <si>
    <t>Q6AWC2-3_WWC2</t>
  </si>
  <si>
    <t>Q6AZZ1_TRIM68</t>
  </si>
  <si>
    <t>Q6BCY4_CYB5R2</t>
  </si>
  <si>
    <t>Q6BDS2_UHRF1BP1</t>
  </si>
  <si>
    <t>Q6DD87_ZNF787</t>
  </si>
  <si>
    <t>Q6DHV7-3_ADAL</t>
  </si>
  <si>
    <t>Q6DKI1_RPL7L1</t>
  </si>
  <si>
    <t>Q6DKJ4_NXN</t>
  </si>
  <si>
    <t>Q6DKK2_TTC19</t>
  </si>
  <si>
    <t>Q6DN90-2_IQSEC1</t>
  </si>
  <si>
    <t>Q6DT37_CDC42BPG</t>
  </si>
  <si>
    <t>Q6EEV4-2_POLR2M</t>
  </si>
  <si>
    <t>Q6EMK4_VASN</t>
  </si>
  <si>
    <t>Q6F5E8_RLTPR</t>
  </si>
  <si>
    <t>Q6FI81-3_CIAPIN1</t>
  </si>
  <si>
    <t>Q6FIF0-2_ZFAND6</t>
  </si>
  <si>
    <t>Q6GMV2_SMYD5</t>
  </si>
  <si>
    <t>Q6GMV3_PTRHD1</t>
  </si>
  <si>
    <t>Q6GQQ9_OTUD7B</t>
  </si>
  <si>
    <t>Q6GYQ0_RALGAPA1</t>
  </si>
  <si>
    <t>Q6I9Y2_THOC7</t>
  </si>
  <si>
    <t>Q6IA69_NADSYN1</t>
  </si>
  <si>
    <t>Q6IA86-3_ELP2</t>
  </si>
  <si>
    <t>Q6IAA8_LAMTOR1</t>
  </si>
  <si>
    <t>Q6IBS0_TWF2</t>
  </si>
  <si>
    <t>Q6IBW4_NCAPH2</t>
  </si>
  <si>
    <t>Q6ICB0_DESI1</t>
  </si>
  <si>
    <t>Q6ICL3-3_TANGO2</t>
  </si>
  <si>
    <t>Q6IE81-2_PHF17</t>
  </si>
  <si>
    <t>Q6IN84_MRM1</t>
  </si>
  <si>
    <t>Q6IN85_SMEK1</t>
  </si>
  <si>
    <t>Q6IPR1_LYRM5</t>
  </si>
  <si>
    <t>Q6IPR3_TYW3</t>
  </si>
  <si>
    <t>Q6IQ22_RAB12</t>
  </si>
  <si>
    <t>Q6IQ26-2_DENND5A</t>
  </si>
  <si>
    <t>Q6IQ32_ADNP2</t>
  </si>
  <si>
    <t>Q6IQ49-2_SDE2</t>
  </si>
  <si>
    <t>Q6JBY9_RCSD1</t>
  </si>
  <si>
    <t>Q6KC79-2_NIPBL</t>
  </si>
  <si>
    <t>Q6L8Q7-2_PDE12</t>
  </si>
  <si>
    <t>Q6MZP7_LIN54</t>
  </si>
  <si>
    <t>Q6MZP7-4_LIN54</t>
  </si>
  <si>
    <t>Q6N021-2_TET2</t>
  </si>
  <si>
    <t>Q6N043-2_ZNF280D</t>
  </si>
  <si>
    <t>Q6N063_OGFOD2</t>
  </si>
  <si>
    <t>Q6N069_NAA16</t>
  </si>
  <si>
    <t>Q6NS38_ALKBH2</t>
  </si>
  <si>
    <t>Q6NSB6_MKRN3</t>
  </si>
  <si>
    <t>Q6NSH3_CT45A5</t>
  </si>
  <si>
    <t>Q6NSJ2_PHLDB3</t>
  </si>
  <si>
    <t>Q6NSZ9_ZSCAN25</t>
  </si>
  <si>
    <t>Q6NT76-2_HMBOX1</t>
  </si>
  <si>
    <t>Q6NTE8_C5orf45</t>
  </si>
  <si>
    <t>Q6NUM6_TYW1B</t>
  </si>
  <si>
    <t>Q6NUQ1_RINT1</t>
  </si>
  <si>
    <t>Q6NUQ4-2_TMEM214</t>
  </si>
  <si>
    <t>Q6NVY1_HIBCH</t>
  </si>
  <si>
    <t>Q6NW34-2_C3orf17</t>
  </si>
  <si>
    <t>Q6NXE6-2_ARMC6</t>
  </si>
  <si>
    <t>Q6NXT1_ANKRD54</t>
  </si>
  <si>
    <t>Q6NYC8_PPP1R18</t>
  </si>
  <si>
    <t>Q6NZ36-3_FAAP20</t>
  </si>
  <si>
    <t>Q6NZI2_PTRF</t>
  </si>
  <si>
    <t>Q6NZY4_ZCCHC8</t>
  </si>
  <si>
    <t>Q6P052_MAN1A1</t>
  </si>
  <si>
    <t>Q6P0N0_MIS18BP1</t>
  </si>
  <si>
    <t>Q6P158_DHX57</t>
  </si>
  <si>
    <t>Q6P161_MRPL54</t>
  </si>
  <si>
    <t>Q6P1J9_CDC73</t>
  </si>
  <si>
    <t>Q6P1K2_PMF1</t>
  </si>
  <si>
    <t>Q6P1K8_GTF2H2C</t>
  </si>
  <si>
    <t>Q6P1L5_FAM117B</t>
  </si>
  <si>
    <t>Q6P1L8_MRPL14</t>
  </si>
  <si>
    <t>Q6P1M0_SLC27A4</t>
  </si>
  <si>
    <t>Q6P1M9_ARMCX5</t>
  </si>
  <si>
    <t>Q6P1N0-2_CC2D1A</t>
  </si>
  <si>
    <t>Q6P1N9_TATDN1</t>
  </si>
  <si>
    <t>Q6P1Q9_METTL2B</t>
  </si>
  <si>
    <t>Q6P1R4_DUS1L</t>
  </si>
  <si>
    <t>Q6P1X5_TAF2</t>
  </si>
  <si>
    <t>Q6P1X6_C8orf82</t>
  </si>
  <si>
    <t>Q6P275_STAG1</t>
  </si>
  <si>
    <t>Q6P2C8_MED27</t>
  </si>
  <si>
    <t>Q6P2E9_EDC4</t>
  </si>
  <si>
    <t>Q6P2H3-2_CEP85</t>
  </si>
  <si>
    <t>Q6P2I3_FAHD2B</t>
  </si>
  <si>
    <t>Q6P2P2_PRMT10</t>
  </si>
  <si>
    <t>Q6P2Q9_PRPF8</t>
  </si>
  <si>
    <t>Q6P3S1-5_DENND1B</t>
  </si>
  <si>
    <t>Q6P3S6_FBXO42</t>
  </si>
  <si>
    <t>Q6P3W7_SCYL2</t>
  </si>
  <si>
    <t>Q6P3X3_TTC27</t>
  </si>
  <si>
    <t>Q6P4A8_PLBD1</t>
  </si>
  <si>
    <t>Q6P4F2_FDX1L</t>
  </si>
  <si>
    <t>Q6P4I2_WDR73</t>
  </si>
  <si>
    <t>Q6P582_MZT2A</t>
  </si>
  <si>
    <t>Q6P587_FAHD1</t>
  </si>
  <si>
    <t>Q6P5Z2_PKN3</t>
  </si>
  <si>
    <t>Q6P6B7-2_ANKRD16</t>
  </si>
  <si>
    <t>Q6P6C2_ALKBH5</t>
  </si>
  <si>
    <t>Q6P9B6_KIAA1609</t>
  </si>
  <si>
    <t>Q6P9B9_INTS5</t>
  </si>
  <si>
    <t>Q6PCB5_RSBN1L</t>
  </si>
  <si>
    <t>Q6PCE3_PGM2L1</t>
  </si>
  <si>
    <t>Q6PCT2-2_FBXL19</t>
  </si>
  <si>
    <t>Q6PD62_CTR9</t>
  </si>
  <si>
    <t>Q6PD74_AAGAB</t>
  </si>
  <si>
    <t>Q6PEV8-2_FAM199X</t>
  </si>
  <si>
    <t>Q6PFW1-7_PPIP5K1</t>
  </si>
  <si>
    <t>Q6PGN9-2_PSRC1</t>
  </si>
  <si>
    <t>Q6PH81-2_C16orf87</t>
  </si>
  <si>
    <t>Q6PHR2-3_ULK3</t>
  </si>
  <si>
    <t>Q6PI47-2_KCTD18</t>
  </si>
  <si>
    <t>Q6PI48_DARS2</t>
  </si>
  <si>
    <t>Q6PI57_TLE3</t>
  </si>
  <si>
    <t>Q6PID6_TTC33</t>
  </si>
  <si>
    <t>Q6PII3_CCDC174</t>
  </si>
  <si>
    <t>Q6PII5-2_HAGHL</t>
  </si>
  <si>
    <t>Q6PIJ6_FBXO38</t>
  </si>
  <si>
    <t>Q6PIW4-2_FIGNL1</t>
  </si>
  <si>
    <t>Q6PJ61_FBXO46</t>
  </si>
  <si>
    <t>Q6PJ69_TRIM65</t>
  </si>
  <si>
    <t>Q6PJG2_ELMSAN1</t>
  </si>
  <si>
    <t>Q6PJG6_BRAT1</t>
  </si>
  <si>
    <t>Q6PJI9_WDR59</t>
  </si>
  <si>
    <t>Q6PJT7-3_ZC3H14</t>
  </si>
  <si>
    <t>Q6PJT7-5_ZC3H14</t>
  </si>
  <si>
    <t>Q6PJW8-2_CNST</t>
  </si>
  <si>
    <t>Q6PK04_CCDC137</t>
  </si>
  <si>
    <t>Q6PKG0_LARP1</t>
  </si>
  <si>
    <t>Q6PL18_ATAD2</t>
  </si>
  <si>
    <t>Q6PL24_TMED8</t>
  </si>
  <si>
    <t>Q6QNY0_BLOC1S3</t>
  </si>
  <si>
    <t>Q6QNY1_BLOC1S2</t>
  </si>
  <si>
    <t>Q6R327_RICTOR</t>
  </si>
  <si>
    <t>Q6RI45-5_BRWD3</t>
  </si>
  <si>
    <t>Q6RW13-2_AGTRAP</t>
  </si>
  <si>
    <t>Q6SPF0_SAMD1</t>
  </si>
  <si>
    <t>Q6STE5-2_SMARCD3</t>
  </si>
  <si>
    <t>Q6T4P5-4_LPPR3</t>
  </si>
  <si>
    <t>Q6UB35_MTHFD1L</t>
  </si>
  <si>
    <t>Q6UB99_ANKRD11</t>
  </si>
  <si>
    <t>Q6ULP2-5_AFTPH</t>
  </si>
  <si>
    <t>Q6UN15_FIP1L1</t>
  </si>
  <si>
    <t>Q6UN15-3_FIP1L1</t>
  </si>
  <si>
    <t>Q6UUV7-3_CRTC3</t>
  </si>
  <si>
    <t>Q6UUV9-3_CRTC1</t>
  </si>
  <si>
    <t>Q6UVJ0_SASS6</t>
  </si>
  <si>
    <t>Q6UW63_KDELC1</t>
  </si>
  <si>
    <t>Q6UWE0_LRSAM1</t>
  </si>
  <si>
    <t>Q6UWP2_DHRS11</t>
  </si>
  <si>
    <t>Q6UWP8_SBSN</t>
  </si>
  <si>
    <t>Q6UX04_CWC27</t>
  </si>
  <si>
    <t>Q6UXH1-4_CRELD2</t>
  </si>
  <si>
    <t>Q6UXN9_WDR82</t>
  </si>
  <si>
    <t>Q6UXV4_APOOL</t>
  </si>
  <si>
    <t>Q6VY07_PACS1</t>
  </si>
  <si>
    <t>Q6W2J9-4_BCOR</t>
  </si>
  <si>
    <t>Q6WCQ1_MPRIP</t>
  </si>
  <si>
    <t>Q6WKZ4_RAB11FIP1</t>
  </si>
  <si>
    <t>Q6WRI0_IGSF10</t>
  </si>
  <si>
    <t>Q6XQN6_NAPRT1</t>
  </si>
  <si>
    <t>Q6XZF7_DNMBP</t>
  </si>
  <si>
    <t>Q6Y7W6_GIGYF2</t>
  </si>
  <si>
    <t>Q6YHU6-3_THADA</t>
  </si>
  <si>
    <t>Q6YN16_HSDL2</t>
  </si>
  <si>
    <t>Q6YP21-3_CCBL2</t>
  </si>
  <si>
    <t>Q6ZMI0_PPP1R21</t>
  </si>
  <si>
    <t>Q6ZN04_MEX3B</t>
  </si>
  <si>
    <t>Q6ZN06_ZNF813</t>
  </si>
  <si>
    <t>Q6ZN17_LIN28B</t>
  </si>
  <si>
    <t>Q6ZN18-2_AEBP2</t>
  </si>
  <si>
    <t>Q6ZN28_MACC1</t>
  </si>
  <si>
    <t>Q6ZN55_ZNF574</t>
  </si>
  <si>
    <t>Q6ZNB6_NFXL1</t>
  </si>
  <si>
    <t>Q6ZNG1_ZNF600</t>
  </si>
  <si>
    <t>Q6ZNJ1-2_NBEAL2</t>
  </si>
  <si>
    <t>Q6ZNW5_GDPGP1</t>
  </si>
  <si>
    <t>Q6ZQN7_SLCO4C1</t>
  </si>
  <si>
    <t>Q6ZRP7_QSOX2</t>
  </si>
  <si>
    <t>Q6ZRS2-2_SRCAP</t>
  </si>
  <si>
    <t>Q6ZS11_RINL</t>
  </si>
  <si>
    <t>Q6ZS17-2_FAM65A</t>
  </si>
  <si>
    <t>Q6ZSJ8_C1orf122</t>
  </si>
  <si>
    <t>Q6ZSZ5-2_ARHGEF18</t>
  </si>
  <si>
    <t>Q6ZT12_UBR3</t>
  </si>
  <si>
    <t>Q6ZT62_SH3BP1</t>
  </si>
  <si>
    <t>Q6ZTN6_ANKRD13D</t>
  </si>
  <si>
    <t>Q6ZU65_UBN2</t>
  </si>
  <si>
    <t>Q6ZUT1-3_C11orf57</t>
  </si>
  <si>
    <t>Q6ZV70-2_LANCL3</t>
  </si>
  <si>
    <t>Q6ZVK8_NUDT18</t>
  </si>
  <si>
    <t>Q6ZVM7_TOM1L2</t>
  </si>
  <si>
    <t>Q6ZW49-4_PAXIP1</t>
  </si>
  <si>
    <t>Q6ZYL4_GTF2H5</t>
  </si>
  <si>
    <t>Q709C8-3_VPS13C</t>
  </si>
  <si>
    <t>Q70CQ2_USP34</t>
  </si>
  <si>
    <t>Q70EK8_USP53</t>
  </si>
  <si>
    <t>Q70EL1-7_USP54</t>
  </si>
  <si>
    <t>Q70IA6_MOB2</t>
  </si>
  <si>
    <t>Q70J99_UNC13D</t>
  </si>
  <si>
    <t>Q70UQ0-4_IKBIP</t>
  </si>
  <si>
    <t>Q70Z53_FRA10AC1</t>
  </si>
  <si>
    <t>Q711Q0_C10orf71</t>
  </si>
  <si>
    <t>Q712K3_UBE2R2</t>
  </si>
  <si>
    <t>Q71F56_MED13L</t>
  </si>
  <si>
    <t>Q71RC2-3_LARP4</t>
  </si>
  <si>
    <t>Q71SY5-4_MED25</t>
  </si>
  <si>
    <t>Q71U36-2_TUBA1A</t>
  </si>
  <si>
    <t>Q71UI9_H2AFV</t>
  </si>
  <si>
    <t>Q71UM5_RPS27L</t>
  </si>
  <si>
    <t>Q75N03_CBLL1</t>
  </si>
  <si>
    <t>Q75QN2-2_INTS8</t>
  </si>
  <si>
    <t>Q765P7_MTSS1L</t>
  </si>
  <si>
    <t>Q76FK4-4_NOL8</t>
  </si>
  <si>
    <t>Q76I76_SSH2</t>
  </si>
  <si>
    <t>Q76N32-2_CEP68</t>
  </si>
  <si>
    <t>Q7KZ85_SUPT6H</t>
  </si>
  <si>
    <t>Q7KZF4_SND1</t>
  </si>
  <si>
    <t>Q7KZI7-14_MARK2</t>
  </si>
  <si>
    <t>Q7KZJ0_RAD51C</t>
  </si>
  <si>
    <t>Q7L014_DDX46</t>
  </si>
  <si>
    <t>Q7L099-2_RUFY3</t>
  </si>
  <si>
    <t>Q7L099-4_RUFY3</t>
  </si>
  <si>
    <t>Q7L0Y3_TRMT10C</t>
  </si>
  <si>
    <t>Q7L1Q6_BZW1</t>
  </si>
  <si>
    <t>Q7L1T6_CYB5R4</t>
  </si>
  <si>
    <t>Q7L1V2_MON1B</t>
  </si>
  <si>
    <t>Q7L266_ASRGL1</t>
  </si>
  <si>
    <t>Q7L273_KCTD9</t>
  </si>
  <si>
    <t>Q7L2H7_EIF3M</t>
  </si>
  <si>
    <t>Q7L2J0_MEPCE</t>
  </si>
  <si>
    <t>Q7L3S4_ZNF771</t>
  </si>
  <si>
    <t>Q7L3T8_PARS2</t>
  </si>
  <si>
    <t>Q7L3V2_BOP</t>
  </si>
  <si>
    <t>Q7L4I2_RSRC2</t>
  </si>
  <si>
    <t>Q7L523_RRAGA</t>
  </si>
  <si>
    <t>Q7L576_CYFIP1</t>
  </si>
  <si>
    <t>Q7L590-2_MCM10</t>
  </si>
  <si>
    <t>Q7L5D6_GET4</t>
  </si>
  <si>
    <t>Q7L5Y1_ENOSF1</t>
  </si>
  <si>
    <t>Q7L5Y9_MAEA</t>
  </si>
  <si>
    <t>Q7L775_EPM2AIP1</t>
  </si>
  <si>
    <t>Q7L7X3_TAOK1</t>
  </si>
  <si>
    <t>Q7L8J4_SH3BP5L</t>
  </si>
  <si>
    <t>Q7L8L6_FASTKD5</t>
  </si>
  <si>
    <t>Q7L8W6_ATPBD4</t>
  </si>
  <si>
    <t>Q7L945_ZNF627</t>
  </si>
  <si>
    <t>Q7LBC6_KDM3B</t>
  </si>
  <si>
    <t>Q7LBR1_CHMP1B</t>
  </si>
  <si>
    <t>Q7LDG7_RASGRP2</t>
  </si>
  <si>
    <t>Q7LG56_RRM2B</t>
  </si>
  <si>
    <t>Q7RTN6-6_STRADA</t>
  </si>
  <si>
    <t>Q7RTP6_MICAL3</t>
  </si>
  <si>
    <t>Q7RTS7_KRT74</t>
  </si>
  <si>
    <t>Q7RTS9_DYM</t>
  </si>
  <si>
    <t>Q7RTV0_PHF5A</t>
  </si>
  <si>
    <t>Q7Z2E3-3_APTX</t>
  </si>
  <si>
    <t>Q7Z2K8_GPRIN1</t>
  </si>
  <si>
    <t>Q7Z2T5_TRMT1L</t>
  </si>
  <si>
    <t>Q7Z2W4_ZC3HAV1</t>
  </si>
  <si>
    <t>Q7Z2Z1-2_TICRR</t>
  </si>
  <si>
    <t>Q7Z2Z2_EFTUD1</t>
  </si>
  <si>
    <t>Q7Z309_FAM122B</t>
  </si>
  <si>
    <t>Q7Z333-3_SETX</t>
  </si>
  <si>
    <t>Q7Z392_TRAPPC11</t>
  </si>
  <si>
    <t>Q7Z3B3_KANSL1</t>
  </si>
  <si>
    <t>Q7Z3D4_LYSMD3</t>
  </si>
  <si>
    <t>Q7Z3E2_C10orf118</t>
  </si>
  <si>
    <t>Q7Z3J2_C16orf62</t>
  </si>
  <si>
    <t>Q7Z3K3-5_POGZ</t>
  </si>
  <si>
    <t>Q7Z3K6-4_MIER3</t>
  </si>
  <si>
    <t>Q7Z3T8_ZFYVE16</t>
  </si>
  <si>
    <t>Q7Z3V4_UBE3B</t>
  </si>
  <si>
    <t>Q7Z3Z2_RD3</t>
  </si>
  <si>
    <t>Q7Z401_DENND4A</t>
  </si>
  <si>
    <t>Q7Z406_MYH14</t>
  </si>
  <si>
    <t>Q7Z417_NUFIP2</t>
  </si>
  <si>
    <t>Q7Z422-2_SZRD1</t>
  </si>
  <si>
    <t>Q7Z434_MAVS</t>
  </si>
  <si>
    <t>Q7Z460_CLASP1</t>
  </si>
  <si>
    <t>Q7Z478_DHX29</t>
  </si>
  <si>
    <t>Q7Z494-2_NPHP3</t>
  </si>
  <si>
    <t>Q7Z4G1_COMMD6</t>
  </si>
  <si>
    <t>Q7Z4H3_HDDC2</t>
  </si>
  <si>
    <t>Q7Z4H7_HAUS6</t>
  </si>
  <si>
    <t>Q7Z4H8_KDELC2</t>
  </si>
  <si>
    <t>Q7Z4I7-4_LIMS2</t>
  </si>
  <si>
    <t>Q7Z4Q2_HEATR3</t>
  </si>
  <si>
    <t>Q7Z4S6-3_KIF21A</t>
  </si>
  <si>
    <t>Q7Z4V5_HDGFRP2</t>
  </si>
  <si>
    <t>Q7Z4W1_DCXR</t>
  </si>
  <si>
    <t>Q7Z591_AKNA</t>
  </si>
  <si>
    <t>Q7Z5J4-3_RAI1</t>
  </si>
  <si>
    <t>Q7Z5K2_WAPAL</t>
  </si>
  <si>
    <t>Q7Z5L2-2_R3HCC1L</t>
  </si>
  <si>
    <t>Q7Z5L9-2_IRF2BP2</t>
  </si>
  <si>
    <t>Q7Z5W3_BCDIN3D</t>
  </si>
  <si>
    <t>Q7Z5Y7_KCTD20</t>
  </si>
  <si>
    <t>Q7Z624_CAMKMT</t>
  </si>
  <si>
    <t>Q7Z6B0-2_CCDC91</t>
  </si>
  <si>
    <t>Q7Z6E9_RBBP6</t>
  </si>
  <si>
    <t>Q7Z6J9_TSEN54</t>
  </si>
  <si>
    <t>Q7Z6K3_PTAR1</t>
  </si>
  <si>
    <t>Q7Z6L1_TECPR1</t>
  </si>
  <si>
    <t>Q7Z6M1_RABEPK</t>
  </si>
  <si>
    <t>Q7Z6V5_ADAT2</t>
  </si>
  <si>
    <t>Q7Z794_KRT77</t>
  </si>
  <si>
    <t>Q7Z7A1-5_CNTRL</t>
  </si>
  <si>
    <t>Q7Z7A3_CTU1</t>
  </si>
  <si>
    <t>Q7Z7A4_PXK</t>
  </si>
  <si>
    <t>Q7Z7C8_TAF8</t>
  </si>
  <si>
    <t>Q7Z7E8_UBE2Q1</t>
  </si>
  <si>
    <t>Q7Z7F0_KIAA0907</t>
  </si>
  <si>
    <t>Q7Z7G8-2_VPS13B</t>
  </si>
  <si>
    <t>Q7Z7H5-3_TMED4</t>
  </si>
  <si>
    <t>Q7Z7K0_CMC1</t>
  </si>
  <si>
    <t>Q7Z7K6-3_CENPV</t>
  </si>
  <si>
    <t>Q86SE9_PCGF5</t>
  </si>
  <si>
    <t>Q86SG6_NEK8</t>
  </si>
  <si>
    <t>Q86SJ2_AMIGO2</t>
  </si>
  <si>
    <t>Q86SQ7_SDCCAG8</t>
  </si>
  <si>
    <t>Q86SX6_GLRX5</t>
  </si>
  <si>
    <t>Q86SZ2_TRAPPC6B</t>
  </si>
  <si>
    <t>Q86T24_ZBTB33</t>
  </si>
  <si>
    <t>Q86TA1_MOB3B</t>
  </si>
  <si>
    <t>Q86TB9-4_PATL1</t>
  </si>
  <si>
    <t>Q86TI0_TBC1D1</t>
  </si>
  <si>
    <t>Q86TI2_DPP9</t>
  </si>
  <si>
    <t>Q86TJ2-3_TADA2B</t>
  </si>
  <si>
    <t>Q86TN4-2_TRPT1</t>
  </si>
  <si>
    <t>Q86TP1_PRUNE</t>
  </si>
  <si>
    <t>Q86TU7_SETD3</t>
  </si>
  <si>
    <t>Q86TV2_LGMN</t>
  </si>
  <si>
    <t>Q86U28_ISCA2</t>
  </si>
  <si>
    <t>Q86U44_METTL3</t>
  </si>
  <si>
    <t>Q86U70-3_LDB1</t>
  </si>
  <si>
    <t>Q86U86-8_PBRM1</t>
  </si>
  <si>
    <t>Q86U90_YRDC</t>
  </si>
  <si>
    <t>Q86UA1_PRPF39</t>
  </si>
  <si>
    <t>Q86UE4_MTDH</t>
  </si>
  <si>
    <t>Q86UE8-2_TLK2</t>
  </si>
  <si>
    <t>Q86UK7-3_ZNF598</t>
  </si>
  <si>
    <t>Q86UP2_KTN1</t>
  </si>
  <si>
    <t>Q86US8_SMG6</t>
  </si>
  <si>
    <t>Q86UU0-3_BCL9L</t>
  </si>
  <si>
    <t>Q86UU1-2_PHLDB1</t>
  </si>
  <si>
    <t>Q86UV5_USP48</t>
  </si>
  <si>
    <t>Q86UW6-2_N4BP2</t>
  </si>
  <si>
    <t>Q86UX3_ABCC5</t>
  </si>
  <si>
    <t>Q86UX6_STK32C</t>
  </si>
  <si>
    <t>Q86UY0_TXNDC5</t>
  </si>
  <si>
    <t>Q86UY5_FAM83A</t>
  </si>
  <si>
    <t>Q86UY8-2_NT5DC3</t>
  </si>
  <si>
    <t>Q86V21_AACS</t>
  </si>
  <si>
    <t>Q86V48_LUZP1</t>
  </si>
  <si>
    <t>Q86V59_PNMAL1</t>
  </si>
  <si>
    <t>Q86V87_FAM160B2</t>
  </si>
  <si>
    <t>Q86VG3_C11orf74</t>
  </si>
  <si>
    <t>Q86VH3_hCG_1980662</t>
  </si>
  <si>
    <t>Q86VM9_ZC3H18</t>
  </si>
  <si>
    <t>Q86VN1_VPS36</t>
  </si>
  <si>
    <t>Q86VP1-2_TAX1BP1</t>
  </si>
  <si>
    <t>Q86VP6_CAND1</t>
  </si>
  <si>
    <t>Q86VQ1_GLCCI1</t>
  </si>
  <si>
    <t>Q86VQ6_TXNRD3</t>
  </si>
  <si>
    <t>Q86VR2_FAM134C</t>
  </si>
  <si>
    <t>Q86VS8_HOOK3</t>
  </si>
  <si>
    <t>Q86VU3_MAP4K2</t>
  </si>
  <si>
    <t>Q86VV8-3_RTTN</t>
  </si>
  <si>
    <t>Q86VX2-2_COMMD7</t>
  </si>
  <si>
    <t>Q86VX9_MON1A</t>
  </si>
  <si>
    <t>Q86VY4_TSPYL5</t>
  </si>
  <si>
    <t>Q86W11_ZSCAN30</t>
  </si>
  <si>
    <t>Q86W34_AMZ2</t>
  </si>
  <si>
    <t>Q86W42_THOC6</t>
  </si>
  <si>
    <t>Q86W50_METTL16</t>
  </si>
  <si>
    <t>Q86W56-2_PARG</t>
  </si>
  <si>
    <t>Q86W92-4_PPFIBP1</t>
  </si>
  <si>
    <t>Q86WA6-2_BPHL</t>
  </si>
  <si>
    <t>Q86WH2_RASSF3</t>
  </si>
  <si>
    <t>Q86WJ1-2_CHD1L</t>
  </si>
  <si>
    <t>Q86WN1_FCHSD1</t>
  </si>
  <si>
    <t>Q86WP2-3_GPBP1</t>
  </si>
  <si>
    <t>Q86WQ0_NR2C2AP</t>
  </si>
  <si>
    <t>Q86WR0_CCDC25</t>
  </si>
  <si>
    <t>Q86WR7_PROSER2</t>
  </si>
  <si>
    <t>Q86WX3_RPS19BP1</t>
  </si>
  <si>
    <t>Q86X10-3_RALGAPB</t>
  </si>
  <si>
    <t>Q86X27_RALGPS2</t>
  </si>
  <si>
    <t>Q86X53_ERICH1</t>
  </si>
  <si>
    <t>Q86X55-1_CARM1</t>
  </si>
  <si>
    <t>Q86X76-2_NIT1</t>
  </si>
  <si>
    <t>Q86X83_COMMD2</t>
  </si>
  <si>
    <t>Q86X95-2_CIR1</t>
  </si>
  <si>
    <t>Q86XN6-2_ZNF761</t>
  </si>
  <si>
    <t>Q86XN8_MEX3D</t>
  </si>
  <si>
    <t>Q86XP3_DDX42</t>
  </si>
  <si>
    <t>Q86Y07-5_VRK2</t>
  </si>
  <si>
    <t>Q86Y22_COL23A1</t>
  </si>
  <si>
    <t>Q86Y37_CACUL1</t>
  </si>
  <si>
    <t>Q86Y56_HEATR2</t>
  </si>
  <si>
    <t>Q86Y79_PTRH1</t>
  </si>
  <si>
    <t>Q86Y82_STX12</t>
  </si>
  <si>
    <t>Q86Y91-2_KIF18B</t>
  </si>
  <si>
    <t>Q86YB8_ERO1LB</t>
  </si>
  <si>
    <t>Q86YH2_ZNF280B</t>
  </si>
  <si>
    <t>Q86YH6_PDSS2</t>
  </si>
  <si>
    <t>Q86YM7_HOMER1</t>
  </si>
  <si>
    <t>Q86YP4_GATAD2A</t>
  </si>
  <si>
    <t>Q86YR5-4_GPSM1</t>
  </si>
  <si>
    <t>Q86YS7_C2CD5</t>
  </si>
  <si>
    <t>Q86YV5_SGK223</t>
  </si>
  <si>
    <t>Q86YV9_HPS6</t>
  </si>
  <si>
    <t>Q86YZ3_HRNR</t>
  </si>
  <si>
    <t>Q8IU60-2_DCP2</t>
  </si>
  <si>
    <t>Q8IU81_IRF2BP1</t>
  </si>
  <si>
    <t>Q8IUC4_RHPN2</t>
  </si>
  <si>
    <t>Q8IUD2_ERC1</t>
  </si>
  <si>
    <t>Q8IUE1_TGIF2LX</t>
  </si>
  <si>
    <t>Q8IUF8_MINA</t>
  </si>
  <si>
    <t>Q8IUG5_MYO18B</t>
  </si>
  <si>
    <t>Q8IUH3-2_RBM45</t>
  </si>
  <si>
    <t>Q8IUI8_CRLF3</t>
  </si>
  <si>
    <t>Q8IUR0_TRAPPC5</t>
  </si>
  <si>
    <t>Q8IUW1_ANKRD10</t>
  </si>
  <si>
    <t>Q8IUZ5_AGXT2L2</t>
  </si>
  <si>
    <t>Q8IV08_PLD3</t>
  </si>
  <si>
    <t>Q8IV32_CCDC71</t>
  </si>
  <si>
    <t>Q8IV38_ANKMY2</t>
  </si>
  <si>
    <t>Q8IV48_ERI1</t>
  </si>
  <si>
    <t>Q8IV50_LYSMD2</t>
  </si>
  <si>
    <t>Q8IV63-3_VRK3</t>
  </si>
  <si>
    <t>Q8IVD9_NUDCD3</t>
  </si>
  <si>
    <t>Q8IVL1-10_NAV2</t>
  </si>
  <si>
    <t>Q8IVM0_CCDC50</t>
  </si>
  <si>
    <t>Q8IVV2_LOXHD1</t>
  </si>
  <si>
    <t>Q8IVW6-4_ARID3B</t>
  </si>
  <si>
    <t>Q8IW45_CARKD</t>
  </si>
  <si>
    <t>Q8IWB7_WDFY1</t>
  </si>
  <si>
    <t>Q8IWC1-2_MAP7D3</t>
  </si>
  <si>
    <t>Q8IWD4_CCDC117</t>
  </si>
  <si>
    <t>Q8IWF6_DENND6A</t>
  </si>
  <si>
    <t>Q8IWG1-2_WDR63</t>
  </si>
  <si>
    <t>Q8IWI9_MGA</t>
  </si>
  <si>
    <t>Q8IWJ2_GCC2</t>
  </si>
  <si>
    <t>Q8IWL3_HSCB</t>
  </si>
  <si>
    <t>Q8IWR0_ZC3H7A</t>
  </si>
  <si>
    <t>Q8IWT0_ZBTB8OS</t>
  </si>
  <si>
    <t>Q8IWU2_LMTK2</t>
  </si>
  <si>
    <t>Q8IWV7_UBR1</t>
  </si>
  <si>
    <t>Q8IWV8_UBR2</t>
  </si>
  <si>
    <t>Q8IWW6-2_ARHGAP12</t>
  </si>
  <si>
    <t>Q8IWX8_CHERP</t>
  </si>
  <si>
    <t>Q8IWY9-1_CDAN1</t>
  </si>
  <si>
    <t>Q8IWZ3-6_ANKHD1</t>
  </si>
  <si>
    <t>Q8IWZ8_SUGP1</t>
  </si>
  <si>
    <t>Q8IX01-4_SUGP2</t>
  </si>
  <si>
    <t>Q8IX04-6_UEVLD</t>
  </si>
  <si>
    <t>Q8IX07_ZFPM1</t>
  </si>
  <si>
    <t>Q8IX12-2_CCAR1</t>
  </si>
  <si>
    <t>Q8IX15_HOMEZ</t>
  </si>
  <si>
    <t>Q8IX18-3_DHX40</t>
  </si>
  <si>
    <t>Q8IX90_SKA3</t>
  </si>
  <si>
    <t>Q8IXB1-2_DNAJC10</t>
  </si>
  <si>
    <t>Q8IXH7-4_NELFCD</t>
  </si>
  <si>
    <t>Q8IXJ6-2_SIRT2</t>
  </si>
  <si>
    <t>Q8IXJ9_ASXL1</t>
  </si>
  <si>
    <t>Q8IXK0-2_PHC2</t>
  </si>
  <si>
    <t>Q8IXM3_MRPL41</t>
  </si>
  <si>
    <t>Q8IXQ3_C9orf40</t>
  </si>
  <si>
    <t>Q8IXQ4_KIAA1704</t>
  </si>
  <si>
    <t>Q8IXS8_FAM126B</t>
  </si>
  <si>
    <t>Q8IXW5_RPAP2</t>
  </si>
  <si>
    <t>Q8IXZ2_ZC3H3</t>
  </si>
  <si>
    <t>Q8IY18_SMC5</t>
  </si>
  <si>
    <t>Q8IY22_CMIP</t>
  </si>
  <si>
    <t>Q8IY31_IFT20</t>
  </si>
  <si>
    <t>Q8IY33_MICALL2</t>
  </si>
  <si>
    <t>Q8IY37_DHX37</t>
  </si>
  <si>
    <t>Q8IY47_KBTBD2</t>
  </si>
  <si>
    <t>Q8IY63-2_AMOTL1</t>
  </si>
  <si>
    <t>Q8IY81_FTSJ3</t>
  </si>
  <si>
    <t>Q8IY92_SLX4</t>
  </si>
  <si>
    <t>Q8IYA6_CKAP2L</t>
  </si>
  <si>
    <t>Q8IYB5-3_SMAP1</t>
  </si>
  <si>
    <t>Q8IYB7_DIS3L2</t>
  </si>
  <si>
    <t>Q8IYB8_SUPV3L1</t>
  </si>
  <si>
    <t>Q8IYB9_ZNF595</t>
  </si>
  <si>
    <t>Q8IYD1_GSPT2</t>
  </si>
  <si>
    <t>Q8IYE0_CCDC146</t>
  </si>
  <si>
    <t>Q8IYH5-4_ZZZ3</t>
  </si>
  <si>
    <t>Q8IYI6_EXOC8</t>
  </si>
  <si>
    <t>Q8IYK4_COLGALT2</t>
  </si>
  <si>
    <t>Q8IYL3_C1orf174</t>
  </si>
  <si>
    <t>Q8IYN2_TCEAL8</t>
  </si>
  <si>
    <t>Q8IYN6_UBALD2</t>
  </si>
  <si>
    <t>Q8IYN9_PTK2</t>
  </si>
  <si>
    <t>Q8IYQ7_THNSL1</t>
  </si>
  <si>
    <t>Q8IYT2_FTSJD1</t>
  </si>
  <si>
    <t>Q8IYU2_HACE1</t>
  </si>
  <si>
    <t>Q8IYU8_MICU2</t>
  </si>
  <si>
    <t>Q8IYW5_RNF168</t>
  </si>
  <si>
    <t>Q8IZ07_ANKRD13A</t>
  </si>
  <si>
    <t>Q8IZ13_C5orf54</t>
  </si>
  <si>
    <t>Q8IZ21-3_PHACTR4</t>
  </si>
  <si>
    <t>Q8IZ69_TRMT2A</t>
  </si>
  <si>
    <t>Q8IZ73_RPUSD2</t>
  </si>
  <si>
    <t>Q8IZ83_ALDH16A1</t>
  </si>
  <si>
    <t>Q8IZD2-6_MLL5</t>
  </si>
  <si>
    <t>Q8IZE3-2_SCYL3</t>
  </si>
  <si>
    <t>Q8IZH2-2_XRN1</t>
  </si>
  <si>
    <t>Q8IZJ1-2_UNC5B</t>
  </si>
  <si>
    <t>Q8IZL2_MAML2</t>
  </si>
  <si>
    <t>Q8IZL8_PELP1</t>
  </si>
  <si>
    <t>Q8IZP0-10_ABI1</t>
  </si>
  <si>
    <t>Q8IZQ1-2_WDFY3</t>
  </si>
  <si>
    <t>Q8IZT6-2_ASPM</t>
  </si>
  <si>
    <t>Q8IZV5_RDH10</t>
  </si>
  <si>
    <t>Q8N0S2_SYCE1</t>
  </si>
  <si>
    <t>Q8N0T1_C8orf59</t>
  </si>
  <si>
    <t>Q8N0W3_FUK</t>
  </si>
  <si>
    <t>Q8N0X7_SPG20</t>
  </si>
  <si>
    <t>Q8N0Y2-2_ZNF444</t>
  </si>
  <si>
    <t>Q8N0Y7_PGAM4</t>
  </si>
  <si>
    <t>Q8N0Z3_SPICE1</t>
  </si>
  <si>
    <t>Q8N0Z6_TTC5</t>
  </si>
  <si>
    <t>Q8N108-17_MIER1</t>
  </si>
  <si>
    <t>Q8N122_RPTOR</t>
  </si>
  <si>
    <t>Q8N129_CNPY4</t>
  </si>
  <si>
    <t>Q8N137-5_CNTROB</t>
  </si>
  <si>
    <t>Q8N142_ADSSL1</t>
  </si>
  <si>
    <t>Q8N163_KIAA1967</t>
  </si>
  <si>
    <t>Q8N196_SIX5</t>
  </si>
  <si>
    <t>Q8N1A6_C4orf33</t>
  </si>
  <si>
    <t>Q8N1B4_VPS52</t>
  </si>
  <si>
    <t>Q8N1F7_NUP93</t>
  </si>
  <si>
    <t>Q8N1G0_ZNF687</t>
  </si>
  <si>
    <t>Q8N1G1_REXO1</t>
  </si>
  <si>
    <t>Q8N1G2_FTSJD2</t>
  </si>
  <si>
    <t>Q8N1G4_LRRC47</t>
  </si>
  <si>
    <t>Q8N1I1_FAM115C</t>
  </si>
  <si>
    <t>Q8N1N4_KRT78</t>
  </si>
  <si>
    <t>Q8N1Q1_CA13</t>
  </si>
  <si>
    <t>Q8N1W2_ZNF710</t>
  </si>
  <si>
    <t>Q8N201_INTS1</t>
  </si>
  <si>
    <t>Q8N2F6-3_ARMC10</t>
  </si>
  <si>
    <t>Q8N2I9-3_STK40</t>
  </si>
  <si>
    <t>Q8N2W9_PIAS4</t>
  </si>
  <si>
    <t>Q8N300_CCDC23</t>
  </si>
  <si>
    <t>Q8N302_AGGF1</t>
  </si>
  <si>
    <t>Q8N335_GPD1L</t>
  </si>
  <si>
    <t>Q8N344_MIER2</t>
  </si>
  <si>
    <t>Q8N350_DOS</t>
  </si>
  <si>
    <t>Q8N371_KDM8</t>
  </si>
  <si>
    <t>Q8N392_ARHGAP18</t>
  </si>
  <si>
    <t>Q8N3C0_ASCC3</t>
  </si>
  <si>
    <t>Q8N3D4_EHBP1L1</t>
  </si>
  <si>
    <t>Q8N3F8_MICALL1</t>
  </si>
  <si>
    <t>Q8N3J3-3_C17orf53</t>
  </si>
  <si>
    <t>Q8N3P4-3_VPS8</t>
  </si>
  <si>
    <t>Q8N3R9_MPP5</t>
  </si>
  <si>
    <t>Q8N3X1_FNBP4</t>
  </si>
  <si>
    <t>Q8N3Y1-2_FBXW8</t>
  </si>
  <si>
    <t>Q8N465-2_D2HGDH</t>
  </si>
  <si>
    <t>Q8N488_RYBP</t>
  </si>
  <si>
    <t>Q8N4C8-4_MINK1</t>
  </si>
  <si>
    <t>Q8N4J0_C9orf41</t>
  </si>
  <si>
    <t>Q8N4N3-2_KLHL36</t>
  </si>
  <si>
    <t>Q8N4P3_HDDC3</t>
  </si>
  <si>
    <t>Q8N4Q0_ZADH2</t>
  </si>
  <si>
    <t>Q8N4Q1_CHCHD4</t>
  </si>
  <si>
    <t>Q8N4T8_CBR4</t>
  </si>
  <si>
    <t>Q8N4W9-2_ZNF808</t>
  </si>
  <si>
    <t>Q8N556_AFAP1</t>
  </si>
  <si>
    <t>Q8N567_ZCCHC9</t>
  </si>
  <si>
    <t>Q8N573-8_OXR1</t>
  </si>
  <si>
    <t>Q8N5A5-3_ZGPAT</t>
  </si>
  <si>
    <t>Q8N5C6_SRBD1</t>
  </si>
  <si>
    <t>Q8N5C7_DTWD1</t>
  </si>
  <si>
    <t>Q8N5C8-2_TAB3</t>
  </si>
  <si>
    <t>Q8N5D0-4_WDTC1</t>
  </si>
  <si>
    <t>Q8N5F7_NKAP</t>
  </si>
  <si>
    <t>Q8N5G2_TMEM57</t>
  </si>
  <si>
    <t>Q8N5I9_C12orf45</t>
  </si>
  <si>
    <t>Q8N5J2_FAM63A</t>
  </si>
  <si>
    <t>Q8N5L8_RPP25L</t>
  </si>
  <si>
    <t>Q8N5M1_ATPAF2</t>
  </si>
  <si>
    <t>Q8N5N7_MRPL50</t>
  </si>
  <si>
    <t>Q8N5P1_ZC3H8</t>
  </si>
  <si>
    <t>Q8N5U6_RNF10</t>
  </si>
  <si>
    <t>Q8N5Y2-4_MSL3</t>
  </si>
  <si>
    <t>Q8N612-3_FAM160A2</t>
  </si>
  <si>
    <t>Q8N653_LZTR1</t>
  </si>
  <si>
    <t>Q8N655_C10orf12</t>
  </si>
  <si>
    <t>Q8N668_COMMD1</t>
  </si>
  <si>
    <t>Q8N680_ZBTB2</t>
  </si>
  <si>
    <t>Q8N684_CPSF7</t>
  </si>
  <si>
    <t>Q8N6H7_ARFGAP2</t>
  </si>
  <si>
    <t>Q8N6M0_OTUD6B</t>
  </si>
  <si>
    <t>Q8N6N3_C1orf52</t>
  </si>
  <si>
    <t>Q8N6N7_ACBD7</t>
  </si>
  <si>
    <t>Q8N6T7-2_SIRT6</t>
  </si>
  <si>
    <t>Q8N720-3_ZNF655</t>
  </si>
  <si>
    <t>Q8N7R7-3_CCNYL1</t>
  </si>
  <si>
    <t>Q8N7X4_MAGEB6</t>
  </si>
  <si>
    <t>Q8N806_UBR7</t>
  </si>
  <si>
    <t>Q8N819-2_PPM1N</t>
  </si>
  <si>
    <t>Q8N8A6_DDX51</t>
  </si>
  <si>
    <t>Q8N8N7_PTGR2</t>
  </si>
  <si>
    <t>Q8N8R5_C2orf69</t>
  </si>
  <si>
    <t>Q8N8R7_ARL14EP</t>
  </si>
  <si>
    <t>Q8N8S7-2_ENAH</t>
  </si>
  <si>
    <t>Q8N8Z6-2_DCBLD1</t>
  </si>
  <si>
    <t>Q8N954_GPATCH11</t>
  </si>
  <si>
    <t>Q8N960_CEP120</t>
  </si>
  <si>
    <t>Q8N998_CCDC89</t>
  </si>
  <si>
    <t>Q8N999_C12orf29</t>
  </si>
  <si>
    <t>Q8N9B5-2_JMY</t>
  </si>
  <si>
    <t>Q8N9M1_C19orf47</t>
  </si>
  <si>
    <t>Q8N9M5_TMEM102</t>
  </si>
  <si>
    <t>Q8N9N5-7_BANP</t>
  </si>
  <si>
    <t>Q8N9N7_LRRC57</t>
  </si>
  <si>
    <t>Q8N9N8_EIF1AD</t>
  </si>
  <si>
    <t>Q8N9R8_SCAI</t>
  </si>
  <si>
    <t>Q8N9V3_WDSUB1</t>
  </si>
  <si>
    <t>Q8N9Z2_CCDC71L</t>
  </si>
  <si>
    <t>Q8NAF0_ZNF579</t>
  </si>
  <si>
    <t>Q8NAP3_ZBTB38</t>
  </si>
  <si>
    <t>Q8NAT2_TDRD5</t>
  </si>
  <si>
    <t>Q8NAV1_PRPF38A</t>
  </si>
  <si>
    <t>Q8NAX2_C1orf172</t>
  </si>
  <si>
    <t>Q8NB16_MLKL</t>
  </si>
  <si>
    <t>Q8NB37-3_PDDC1</t>
  </si>
  <si>
    <t>Q8NB46_ANKRD52</t>
  </si>
  <si>
    <t>Q8NB78_KDM1B</t>
  </si>
  <si>
    <t>Q8NB90_SPATA5</t>
  </si>
  <si>
    <t>Q8NBA8_DTWD2</t>
  </si>
  <si>
    <t>Q8NBF2_NHLRC2</t>
  </si>
  <si>
    <t>Q8NBF6-2_AVL9</t>
  </si>
  <si>
    <t>Q8NBJ5_COLGALT1</t>
  </si>
  <si>
    <t>Q8NBJ7_SUMF2</t>
  </si>
  <si>
    <t>Q8NBK3-2_SUMF1</t>
  </si>
  <si>
    <t>Q8NBL1_POGLUT1</t>
  </si>
  <si>
    <t>Q8NBN7_RDH13</t>
  </si>
  <si>
    <t>Q8NBX0_SCCPDH</t>
  </si>
  <si>
    <t>Q8NBZ0_INO80E</t>
  </si>
  <si>
    <t>Q8NC51-2_SERBP1</t>
  </si>
  <si>
    <t>Q8NC56_LEMD2</t>
  </si>
  <si>
    <t>Q8NC60_NOA1</t>
  </si>
  <si>
    <t>Q8NC81_CARD10</t>
  </si>
  <si>
    <t>Q8NC96_NECAP1</t>
  </si>
  <si>
    <t>Q8NCA5-2_FAM98A</t>
  </si>
  <si>
    <t>Q8NCA9_ZNF784</t>
  </si>
  <si>
    <t>Q8NCC3_PLA2G15</t>
  </si>
  <si>
    <t>Q8NCD3_HJURP</t>
  </si>
  <si>
    <t>Q8NCE0-4_TSEN2</t>
  </si>
  <si>
    <t>Q8NCE2-2_MTMR14</t>
  </si>
  <si>
    <t>Q8NCF5_NFATC2IP</t>
  </si>
  <si>
    <t>Q8NCN2_ZBTB34</t>
  </si>
  <si>
    <t>Q8NCN4_RNF169</t>
  </si>
  <si>
    <t>Q8NCN5_PDPR</t>
  </si>
  <si>
    <t>Q8NCP5-3_ZBTB44</t>
  </si>
  <si>
    <t>Q8NCW5_APOA1BP</t>
  </si>
  <si>
    <t>Q8NCY6_MSANTD4</t>
  </si>
  <si>
    <t>Q8ND04_SMG8</t>
  </si>
  <si>
    <t>Q8ND24_RNF214</t>
  </si>
  <si>
    <t>Q8ND30_PPFIBP2</t>
  </si>
  <si>
    <t>Q8ND56-2_LSM14A</t>
  </si>
  <si>
    <t>Q8ND76-3_CCNY</t>
  </si>
  <si>
    <t>Q8NDC0_MAPK1IP1L</t>
  </si>
  <si>
    <t>Q8NDD1-3_C1orf131</t>
  </si>
  <si>
    <t>Q8NDF8_PAPD5</t>
  </si>
  <si>
    <t>Q8NDI1-3_EHBP1</t>
  </si>
  <si>
    <t>Q8NDV3-2_SMC1B</t>
  </si>
  <si>
    <t>Q8NDV7-2_TNRC6A</t>
  </si>
  <si>
    <t>Q8NDX1_PSD4</t>
  </si>
  <si>
    <t>Q8NDX5-7_PHC3</t>
  </si>
  <si>
    <t>Q8NDX6_ZNF740</t>
  </si>
  <si>
    <t>Q8NE71_ABCF1</t>
  </si>
  <si>
    <t>Q8NEB9_PIK3C3</t>
  </si>
  <si>
    <t>Q8NEC7_GSTCD</t>
  </si>
  <si>
    <t>Q8NEF9_SRFBP1</t>
  </si>
  <si>
    <t>Q8NEJ9-2_NGDN</t>
  </si>
  <si>
    <t>Q8NEM0-2_MCPH1</t>
  </si>
  <si>
    <t>Q8NEM2_SHCBP1</t>
  </si>
  <si>
    <t>Q8NEN9_PDZD8</t>
  </si>
  <si>
    <t>Q8NEU8-2_APPL2</t>
  </si>
  <si>
    <t>Q8NEY1-2_NAV1</t>
  </si>
  <si>
    <t>Q8NEY8_PPHLN1</t>
  </si>
  <si>
    <t>Q8NEY8-2_PPHLN1</t>
  </si>
  <si>
    <t>Q8NEY8-3_PPHLN1</t>
  </si>
  <si>
    <t>Q8NEZ2_VPS37A</t>
  </si>
  <si>
    <t>Q8NEZ4_MLL3</t>
  </si>
  <si>
    <t>Q8NEZ5_FBXO22</t>
  </si>
  <si>
    <t>Q8NF37_LPCAT1</t>
  </si>
  <si>
    <t>Q8NF50-4_DOCK8</t>
  </si>
  <si>
    <t>Q8NF64-3_ZMIZ2</t>
  </si>
  <si>
    <t>Q8NFA0_USP32</t>
  </si>
  <si>
    <t>Q8NFC6_BOD1L1</t>
  </si>
  <si>
    <t>Q8NFF5-3_FLAD1</t>
  </si>
  <si>
    <t>Q8NFG4_FLCN</t>
  </si>
  <si>
    <t>Q8NFH3_NUP43</t>
  </si>
  <si>
    <t>Q8NFH4_NUP37</t>
  </si>
  <si>
    <t>Q8NFI3_ENGASE</t>
  </si>
  <si>
    <t>Q8NFQ8_TOR1AIP2</t>
  </si>
  <si>
    <t>Q8NFV4_ABHD11</t>
  </si>
  <si>
    <t>Q8NFW8_CMAS</t>
  </si>
  <si>
    <t>Q8NFY9_KBTBD8</t>
  </si>
  <si>
    <t>Q8NFZ0_FBXO18</t>
  </si>
  <si>
    <t>Q8NG08_HELB</t>
  </si>
  <si>
    <t>Q8NG31-2_CASC5</t>
  </si>
  <si>
    <t>Q8NG68_TTL</t>
  </si>
  <si>
    <t>Q8NHG7_SVIP</t>
  </si>
  <si>
    <t>Q8NHG8_ZNRF2</t>
  </si>
  <si>
    <t>Q8NHM5-4_KDM2B</t>
  </si>
  <si>
    <t>Q8NHP8_PLBD2</t>
  </si>
  <si>
    <t>Q8NHQ8-2_RASSF8</t>
  </si>
  <si>
    <t>Q8NHU6_TDRD7</t>
  </si>
  <si>
    <t>Q8NHV4_NEDD1</t>
  </si>
  <si>
    <t>Q8NHZ8_CDC26</t>
  </si>
  <si>
    <t>Q8NI08-2_NCOA7</t>
  </si>
  <si>
    <t>Q8NI22-2_MCFD2</t>
  </si>
  <si>
    <t>Q8NI27_THOC2</t>
  </si>
  <si>
    <t>Q8NI36_WDR36</t>
  </si>
  <si>
    <t>Q8NI51-8_CTCFL</t>
  </si>
  <si>
    <t>Q8TA86_RP9</t>
  </si>
  <si>
    <t>Q8TAC1_RFESD</t>
  </si>
  <si>
    <t>Q8TAD8_SNIP1</t>
  </si>
  <si>
    <t>Q8TAE6_PPP1R14C</t>
  </si>
  <si>
    <t>Q8TAE8_GADD45GIP1</t>
  </si>
  <si>
    <t>Q8TAF3_WDR48</t>
  </si>
  <si>
    <t>Q8TAP6_CEP76</t>
  </si>
  <si>
    <t>Q8TAP8_PPP1R35</t>
  </si>
  <si>
    <t>Q8TAP9_MPLKIP</t>
  </si>
  <si>
    <t>Q8TAQ2_SMARCC2</t>
  </si>
  <si>
    <t>Q8TAQ2-2_SMARCC2</t>
  </si>
  <si>
    <t>Q8TAT6_NPLOC4</t>
  </si>
  <si>
    <t>Q8TAV0-2_FAM76A</t>
  </si>
  <si>
    <t>Q8TB03_CXorf38</t>
  </si>
  <si>
    <t>Q8TB24_RIN3</t>
  </si>
  <si>
    <t>Q8TB52_FBXO30</t>
  </si>
  <si>
    <t>Q8TB70_TXNDC9</t>
  </si>
  <si>
    <t>Q8TB72-3_PUM2</t>
  </si>
  <si>
    <t>Q8TBA6-2_GOLGA5</t>
  </si>
  <si>
    <t>Q8TBB5-3_KLHDC4</t>
  </si>
  <si>
    <t>Q8TBC4_UBA3</t>
  </si>
  <si>
    <t>Q8TBC5-4_ZSCAN18</t>
  </si>
  <si>
    <t>Q8TBE0-3_BAHD1</t>
  </si>
  <si>
    <t>Q8TBE9_NANP</t>
  </si>
  <si>
    <t>Q8TBF2-4_FAM213B</t>
  </si>
  <si>
    <t>Q8TBF4_ZCRB1</t>
  </si>
  <si>
    <t>Q8TBM8_DNAJB14</t>
  </si>
  <si>
    <t>Q8TBN0_RAB3IL1</t>
  </si>
  <si>
    <t>Q8TBX8_PIP4K2C</t>
  </si>
  <si>
    <t>Q8TBZ6_TRMT10A</t>
  </si>
  <si>
    <t>Q8TC07-2_TBC1D15</t>
  </si>
  <si>
    <t>Q8TC76_FAM110B</t>
  </si>
  <si>
    <t>Q8TCA0_LRRC20</t>
  </si>
  <si>
    <t>Q8TCD5_NT5C</t>
  </si>
  <si>
    <t>Q8TCE6-2_FAM45A</t>
  </si>
  <si>
    <t>Q8TCG1_KIAA1524</t>
  </si>
  <si>
    <t>Q8TCN5_ZNF507</t>
  </si>
  <si>
    <t>Q8TCS8_PNPT1</t>
  </si>
  <si>
    <t>Q8TCU4-3_ALMS1</t>
  </si>
  <si>
    <t>Q8TCX1-2_DYNC2LI1</t>
  </si>
  <si>
    <t>Q8TD08-2_MAPK15</t>
  </si>
  <si>
    <t>Q8TD16_BICD2</t>
  </si>
  <si>
    <t>Q8TD19_NEK9</t>
  </si>
  <si>
    <t>Q8TD26_CHD6</t>
  </si>
  <si>
    <t>Q8TD30_GPT2</t>
  </si>
  <si>
    <t>Q8TD55-2_PLEKHO2</t>
  </si>
  <si>
    <t>Q8TD57_DNAH3</t>
  </si>
  <si>
    <t>Q8TDB6_DTX3L</t>
  </si>
  <si>
    <t>Q8TDD1_DDX54</t>
  </si>
  <si>
    <t>Q8TDD1-2_DDX54</t>
  </si>
  <si>
    <t>Q8TDH9_BLOC1S5</t>
  </si>
  <si>
    <t>Q8TDJ6_DMXL2</t>
  </si>
  <si>
    <t>Q8TDN4-4_CABLES1</t>
  </si>
  <si>
    <t>Q8TDN6_BRIX1</t>
  </si>
  <si>
    <t>Q8TDQ7_GNPDA2</t>
  </si>
  <si>
    <t>Q8TDQ7-4_GNPDA2</t>
  </si>
  <si>
    <t>Q8TDR0-2_TRAF3IP1</t>
  </si>
  <si>
    <t>Q8TDR2_STK35</t>
  </si>
  <si>
    <t>Q8TDX7_NEK7</t>
  </si>
  <si>
    <t>Q8TDY2-2_RB1CC1</t>
  </si>
  <si>
    <t>Q8TDZ2_MICAL1</t>
  </si>
  <si>
    <t>Q8TE04_PANK1</t>
  </si>
  <si>
    <t>Q8TEA1_NSUN6</t>
  </si>
  <si>
    <t>Q8TEA7-3_TBCK</t>
  </si>
  <si>
    <t>Q8TEA8_DTD1</t>
  </si>
  <si>
    <t>Q8TEB1-2_DCAF11</t>
  </si>
  <si>
    <t>Q8TED0_UTP15</t>
  </si>
  <si>
    <t>Q8TEH3_DENND1A</t>
  </si>
  <si>
    <t>Q8TEK3-2_DOT1L</t>
  </si>
  <si>
    <t>Q8TEM1_NUP210</t>
  </si>
  <si>
    <t>Q8TEQ6_GEMIN5</t>
  </si>
  <si>
    <t>Q8TER5_ARHGEF40</t>
  </si>
  <si>
    <t>Q8TES7-5_FBF1</t>
  </si>
  <si>
    <t>Q8TET4_GANC</t>
  </si>
  <si>
    <t>Q8TEU7_RAPGEF6</t>
  </si>
  <si>
    <t>Q8TEV9-2_SMCR8</t>
  </si>
  <si>
    <t>Q8TEW0-2_PARD3</t>
  </si>
  <si>
    <t>Q8TEX9_IPO4</t>
  </si>
  <si>
    <t>Q8TF01_PNISR</t>
  </si>
  <si>
    <t>Q8TF05-2_PPP4R1</t>
  </si>
  <si>
    <t>Q8TF42_UBASH3B</t>
  </si>
  <si>
    <t>Q8TF46_DIS3L</t>
  </si>
  <si>
    <t>Q8TF50_ZNF526</t>
  </si>
  <si>
    <t>Q8TF61_FBXO41</t>
  </si>
  <si>
    <t>Q8TF64_GIPC3</t>
  </si>
  <si>
    <t>Q8TF74_WIPF2</t>
  </si>
  <si>
    <t>Q8TF76-2_GSG2</t>
  </si>
  <si>
    <t>Q8WTR2-2_DUSP19</t>
  </si>
  <si>
    <t>Q8WTS1_ABHD5</t>
  </si>
  <si>
    <t>Q8WTS6_SETD7</t>
  </si>
  <si>
    <t>Q8WTU0_DDI1</t>
  </si>
  <si>
    <t>Q8WTW3_COG1</t>
  </si>
  <si>
    <t>Q8WU10_PYROXD1</t>
  </si>
  <si>
    <t>Q8WU58_FAM222B</t>
  </si>
  <si>
    <t>Q8WU76-2_SCFD2</t>
  </si>
  <si>
    <t>Q8WU79_SMAP2</t>
  </si>
  <si>
    <t>Q8WU90_ZC3H15</t>
  </si>
  <si>
    <t>Q8WUA2_PPIL4</t>
  </si>
  <si>
    <t>Q8WUA4_GTF3C2</t>
  </si>
  <si>
    <t>Q8WUB8-3_PHF10</t>
  </si>
  <si>
    <t>Q8WUD1_RAB2B</t>
  </si>
  <si>
    <t>Q8WUD4_CCDC12</t>
  </si>
  <si>
    <t>Q8WUE5_CXorf48</t>
  </si>
  <si>
    <t>Q8WUF5_PPP1R13L</t>
  </si>
  <si>
    <t>Q8WUH2_TGFBRAP1</t>
  </si>
  <si>
    <t>Q8WUH6_C12orf23</t>
  </si>
  <si>
    <t>Q8WUI4-3_HDAC7</t>
  </si>
  <si>
    <t>Q8WUJ0_STYX</t>
  </si>
  <si>
    <t>Q8WUM4_PDCD6IP</t>
  </si>
  <si>
    <t>Q8WUN7_UBTD2</t>
  </si>
  <si>
    <t>Q8WUQ7_CACTIN</t>
  </si>
  <si>
    <t>Q8WUR7_C15orf40</t>
  </si>
  <si>
    <t>Q8WUU5_GATAD1</t>
  </si>
  <si>
    <t>Q8WUW1_BRK1</t>
  </si>
  <si>
    <t>Q8WUX2_CHAC2</t>
  </si>
  <si>
    <t>Q8WUX9_CHMP7</t>
  </si>
  <si>
    <t>Q8WUZ0_BCL7C</t>
  </si>
  <si>
    <t>Q8WV22_NSMCE1</t>
  </si>
  <si>
    <t>Q8WV41_SNX33</t>
  </si>
  <si>
    <t>Q8WV74-2_NUDT8</t>
  </si>
  <si>
    <t>Q8WV92_MITD1</t>
  </si>
  <si>
    <t>Q8WVB3_HEXDC</t>
  </si>
  <si>
    <t>Q8WVB6_CHTF18</t>
  </si>
  <si>
    <t>Q8WVC0_LEO1</t>
  </si>
  <si>
    <t>Q8WVC2_RPS21</t>
  </si>
  <si>
    <t>Q8WVE0_N6AMT2</t>
  </si>
  <si>
    <t>Q8WVJ2_NUDCD2</t>
  </si>
  <si>
    <t>Q8WVK2_SNRNP27</t>
  </si>
  <si>
    <t>Q8WVM0_TFB1M</t>
  </si>
  <si>
    <t>Q8WVM8_SCFD1</t>
  </si>
  <si>
    <t>Q8WVT3_TRAPPC12</t>
  </si>
  <si>
    <t>Q8WVV4_POF1B</t>
  </si>
  <si>
    <t>Q8WVV9-4_HNRPLL</t>
  </si>
  <si>
    <t>Q8WVY7_UBLCP1</t>
  </si>
  <si>
    <t>Q8WW01_TSEN15</t>
  </si>
  <si>
    <t>Q8WW12_PCNP</t>
  </si>
  <si>
    <t>Q8WW33_GTSF1</t>
  </si>
  <si>
    <t>Q8WW59_SPRYD4</t>
  </si>
  <si>
    <t>Q8WWH5_TRUB1</t>
  </si>
  <si>
    <t>Q8WWI5-3_SLC44A1</t>
  </si>
  <si>
    <t>Q8WWL2-4_SPIRE2</t>
  </si>
  <si>
    <t>Q8WWM7_ATXN2L</t>
  </si>
  <si>
    <t>Q8WWQ0_PHIP</t>
  </si>
  <si>
    <t>Q8WWV3_RTN4IP1</t>
  </si>
  <si>
    <t>Q8WWW0-2_RASSF5</t>
  </si>
  <si>
    <t>Q8WWY3_PRPF31</t>
  </si>
  <si>
    <t>Q8WWZ3-2_EDARADD</t>
  </si>
  <si>
    <t>Q8WX92_NELFB</t>
  </si>
  <si>
    <t>Q8WXA3-2_RUFY2</t>
  </si>
  <si>
    <t>Q8WXA9-2_SREK1</t>
  </si>
  <si>
    <t>Q8WXB1_METTL21A</t>
  </si>
  <si>
    <t>Q8WXD5_GEMIN6</t>
  </si>
  <si>
    <t>Q8WXE0-2_CASKIN2</t>
  </si>
  <si>
    <t>Q8WXE1-5_ATRIP</t>
  </si>
  <si>
    <t>Q8WXE9_STON2</t>
  </si>
  <si>
    <t>Q8WXF1_PSPC1</t>
  </si>
  <si>
    <t>Q8WXG6-8_MADD</t>
  </si>
  <si>
    <t>Q8WXI4-2_ACOT11</t>
  </si>
  <si>
    <t>Q8WXI9_GATAD2B</t>
  </si>
  <si>
    <t>Q8WXR4-4_MYO3B</t>
  </si>
  <si>
    <t>Q8WXW3_PIBF1</t>
  </si>
  <si>
    <t>Q8WXW3-2_PIBF1</t>
  </si>
  <si>
    <t>Q8WXX5_DNAJC9</t>
  </si>
  <si>
    <t>Q8WY91_THAP4</t>
  </si>
  <si>
    <t>Q8WYA6_CTNNBL1</t>
  </si>
  <si>
    <t>Q8WYB5-3_KAT6B</t>
  </si>
  <si>
    <t>Q8WYL5-4_SSH1</t>
  </si>
  <si>
    <t>Q8WYN0_ATG4A</t>
  </si>
  <si>
    <t>Q8WYP5_AHCTF1</t>
  </si>
  <si>
    <t>Q8WYQ0_PEX6</t>
  </si>
  <si>
    <t>Q8WYQ5-3_DGCR8</t>
  </si>
  <si>
    <t>Q8WZ19_KCTD13</t>
  </si>
  <si>
    <t>Q8WZ42-12_TTN</t>
  </si>
  <si>
    <t>Q8WZ42-5_TTN</t>
  </si>
  <si>
    <t>Q8WZ82_OVCA2</t>
  </si>
  <si>
    <t>Q8WZA0_LZIC</t>
  </si>
  <si>
    <t>Q8WZA9_IRGQ</t>
  </si>
  <si>
    <t>Q92466_DDB2</t>
  </si>
  <si>
    <t>Q92481_TFAP2B</t>
  </si>
  <si>
    <t>Q92499_DDX1</t>
  </si>
  <si>
    <t>Q92502_STARD8</t>
  </si>
  <si>
    <t>Q92504_SLC39A7</t>
  </si>
  <si>
    <t>Q92506_HSD17B8</t>
  </si>
  <si>
    <t>Q92522_H1FX</t>
  </si>
  <si>
    <t>Q92526_CCT6B</t>
  </si>
  <si>
    <t>Q92538_GBF1</t>
  </si>
  <si>
    <t>Q92541_RTF1</t>
  </si>
  <si>
    <t>Q92544_TM9SF4</t>
  </si>
  <si>
    <t>Q92545_TMEM131</t>
  </si>
  <si>
    <t>Q92546_RGP1</t>
  </si>
  <si>
    <t>Q92547_TOPBP1</t>
  </si>
  <si>
    <t>Q92551_IP6K1</t>
  </si>
  <si>
    <t>Q92552_MRPS27</t>
  </si>
  <si>
    <t>Q92558_WASF1</t>
  </si>
  <si>
    <t>Q92560_BAP1</t>
  </si>
  <si>
    <t>Q92562_FIG4</t>
  </si>
  <si>
    <t>Q92567-2_FAM168A</t>
  </si>
  <si>
    <t>Q92572_AP3S1</t>
  </si>
  <si>
    <t>Q92574-2_TSC1</t>
  </si>
  <si>
    <t>Q92575_UBXN4</t>
  </si>
  <si>
    <t>Q92576-2_PHF3</t>
  </si>
  <si>
    <t>Q92581-3_SLC9A6</t>
  </si>
  <si>
    <t>Q92585_MAML1</t>
  </si>
  <si>
    <t>Q92598-2_HSPH1</t>
  </si>
  <si>
    <t>Q92599-2_SEPT8</t>
  </si>
  <si>
    <t>Q92600_RQCD1</t>
  </si>
  <si>
    <t>Q92608_DOCK2</t>
  </si>
  <si>
    <t>Q92609_TBC1D5</t>
  </si>
  <si>
    <t>Q92610_ZNF592</t>
  </si>
  <si>
    <t>Q92614-4_MYO18A</t>
  </si>
  <si>
    <t>Q92615_LARP4B</t>
  </si>
  <si>
    <t>Q92616_GCN1L1</t>
  </si>
  <si>
    <t>Q92618_ZNF516</t>
  </si>
  <si>
    <t>Q92619_HMHA1</t>
  </si>
  <si>
    <t>Q92621_NUP205</t>
  </si>
  <si>
    <t>Q92622-2_KIAA0226</t>
  </si>
  <si>
    <t>Q92625_ANKS1A</t>
  </si>
  <si>
    <t>Q92636_NSMAF</t>
  </si>
  <si>
    <t>Q92664-2_GTF3A</t>
  </si>
  <si>
    <t>Q92665_MRPS31</t>
  </si>
  <si>
    <t>Q92667_AKAP1</t>
  </si>
  <si>
    <t>Q92686_NRGN</t>
  </si>
  <si>
    <t>Q92688-2_ANP32B</t>
  </si>
  <si>
    <t>Q92692_PVRL2</t>
  </si>
  <si>
    <t>Q92696_RABGGTA</t>
  </si>
  <si>
    <t>Q92734-2_TFG</t>
  </si>
  <si>
    <t>Q92747_ARPC1A</t>
  </si>
  <si>
    <t>Q92750_TAF4B</t>
  </si>
  <si>
    <t>Q92759_GTF2H4</t>
  </si>
  <si>
    <t>Q92766_RREB1</t>
  </si>
  <si>
    <t>Q92769_HDAC2</t>
  </si>
  <si>
    <t>Q92783-2_STAM</t>
  </si>
  <si>
    <t>Q92784_DPF3</t>
  </si>
  <si>
    <t>Q92785_DPF2</t>
  </si>
  <si>
    <t>Q92793_CREBBP</t>
  </si>
  <si>
    <t>Q92796-3_DLG3</t>
  </si>
  <si>
    <t>Q92797_SYMPK</t>
  </si>
  <si>
    <t>Q92804-2_TAF15</t>
  </si>
  <si>
    <t>Q92805_GOLGA1</t>
  </si>
  <si>
    <t>Q92820_GGH</t>
  </si>
  <si>
    <t>Q92828_CORO2A</t>
  </si>
  <si>
    <t>Q92830_KAT2A</t>
  </si>
  <si>
    <t>Q92834_RPGR</t>
  </si>
  <si>
    <t>Q92841_DDX17</t>
  </si>
  <si>
    <t>Q92843-2_BCL2L2</t>
  </si>
  <si>
    <t>Q92844_TANK</t>
  </si>
  <si>
    <t>Q92845-4_KIFAP3</t>
  </si>
  <si>
    <t>Q92851-6_CASP10</t>
  </si>
  <si>
    <t>Q92854_SEMA4D</t>
  </si>
  <si>
    <t>Q92871_PMM1</t>
  </si>
  <si>
    <t>Q92878_RAD50</t>
  </si>
  <si>
    <t>Q92879-2_CELF1</t>
  </si>
  <si>
    <t>Q92882_OSTF1</t>
  </si>
  <si>
    <t>Q92888-3_ARHGEF1</t>
  </si>
  <si>
    <t>Q92889_ERCC4</t>
  </si>
  <si>
    <t>Q92890_UFD1L</t>
  </si>
  <si>
    <t>Q92896_GLG1</t>
  </si>
  <si>
    <t>Q92900_UPF1</t>
  </si>
  <si>
    <t>Q92902-2_HPS1</t>
  </si>
  <si>
    <t>Q92905_COPS5</t>
  </si>
  <si>
    <t>Q92917_GPKOW</t>
  </si>
  <si>
    <t>Q92922_SMARCC1</t>
  </si>
  <si>
    <t>Q92925_SMARCD2</t>
  </si>
  <si>
    <t>Q92945_KHSRP</t>
  </si>
  <si>
    <t>Q92947-2_GCDH</t>
  </si>
  <si>
    <t>Q92973-2_TNPO1</t>
  </si>
  <si>
    <t>Q92974-3_ARHGEF2</t>
  </si>
  <si>
    <t>Q92979_EMG1</t>
  </si>
  <si>
    <t>Q92989_CLP1</t>
  </si>
  <si>
    <t>Q92990_GLMN</t>
  </si>
  <si>
    <t>Q92993_KAT5</t>
  </si>
  <si>
    <t>Q92994-5_BRF1</t>
  </si>
  <si>
    <t>Q92995-2_USP13</t>
  </si>
  <si>
    <t>Q93008_USP9X</t>
  </si>
  <si>
    <t>Q93015-2_NAT6</t>
  </si>
  <si>
    <t>Q93034_CUL5</t>
  </si>
  <si>
    <t>Q93073-2_SECISBP2L</t>
  </si>
  <si>
    <t>Q93074-3_MED12</t>
  </si>
  <si>
    <t>Q93075_TATDN2</t>
  </si>
  <si>
    <t>Q93096_PTP4A1</t>
  </si>
  <si>
    <t>Q93100-4_PHKB</t>
  </si>
  <si>
    <t>Q969E8_TSR2</t>
  </si>
  <si>
    <t>Q969F1_GTF3C6</t>
  </si>
  <si>
    <t>Q969F9_HPS3</t>
  </si>
  <si>
    <t>Q969G3-2_SMARCE1</t>
  </si>
  <si>
    <t>Q969G6_RFK</t>
  </si>
  <si>
    <t>Q969H0_FBXW7</t>
  </si>
  <si>
    <t>Q969H6-2_POP5</t>
  </si>
  <si>
    <t>Q969H8_C19orf10</t>
  </si>
  <si>
    <t>Q969J2_ZKSCAN4</t>
  </si>
  <si>
    <t>Q969J3_LOH12CR1</t>
  </si>
  <si>
    <t>Q969K3_RNF34</t>
  </si>
  <si>
    <t>Q969L4_LSM10</t>
  </si>
  <si>
    <t>Q969M3_YIPF5</t>
  </si>
  <si>
    <t>Q969R5_L3MBTL2</t>
  </si>
  <si>
    <t>Q969S9-2_GFM2</t>
  </si>
  <si>
    <t>Q969T7-2_NT5C3B</t>
  </si>
  <si>
    <t>Q969U6_FBXW5</t>
  </si>
  <si>
    <t>Q969X6_CIRH1A</t>
  </si>
  <si>
    <t>Q969Y2-3_GTPBP3</t>
  </si>
  <si>
    <t>Q969Z0_TBRG4</t>
  </si>
  <si>
    <t>Q96A00-2_PPP1R14A</t>
  </si>
  <si>
    <t>Q96A19_CCDC102A</t>
  </si>
  <si>
    <t>Q96A33_CCDC47</t>
  </si>
  <si>
    <t>Q96A37-2_RNF166</t>
  </si>
  <si>
    <t>Q96A49_SYAP1</t>
  </si>
  <si>
    <t>Q96A65_EXOC4</t>
  </si>
  <si>
    <t>Q96A73_KIAA1191</t>
  </si>
  <si>
    <t>Q96AB3_ISOC2</t>
  </si>
  <si>
    <t>Q96AB6_NTAN1</t>
  </si>
  <si>
    <t>Q96AC1_FERMT2</t>
  </si>
  <si>
    <t>Q96AD5_PNPLA2</t>
  </si>
  <si>
    <t>Q96AE4_FUBP1</t>
  </si>
  <si>
    <t>Q96AE4-2_FUBP1</t>
  </si>
  <si>
    <t>Q96AG4_LRRC59</t>
  </si>
  <si>
    <t>Q96AJ9-1_VTI1A</t>
  </si>
  <si>
    <t>Q96AT1_KIAA1143</t>
  </si>
  <si>
    <t>Q96AT9_RPE</t>
  </si>
  <si>
    <t>Q96AX1_VPS33A</t>
  </si>
  <si>
    <t>Q96AY4_TTC28</t>
  </si>
  <si>
    <t>Q96B02_UBE2W</t>
  </si>
  <si>
    <t>Q96B23-2_C18orf25</t>
  </si>
  <si>
    <t>Q96B26_EXOSC8</t>
  </si>
  <si>
    <t>Q96B36_AKT1S1</t>
  </si>
  <si>
    <t>Q96B45_C10orf32</t>
  </si>
  <si>
    <t>Q96B54_ZNF428</t>
  </si>
  <si>
    <t>Q96B97_SH3KBP1</t>
  </si>
  <si>
    <t>Q96BD5-2_PHF21A</t>
  </si>
  <si>
    <t>Q96BD8-2_SKA1</t>
  </si>
  <si>
    <t>Q96BF6_NACC2</t>
  </si>
  <si>
    <t>Q96BH1_RNF25</t>
  </si>
  <si>
    <t>Q96BJ3_AIDA</t>
  </si>
  <si>
    <t>Q96BK5_PINX1</t>
  </si>
  <si>
    <t>Q96BM9_ARL8A</t>
  </si>
  <si>
    <t>Q96BN8_FAM105B</t>
  </si>
  <si>
    <t>Q96BP3_PPWD1</t>
  </si>
  <si>
    <t>Q96BR5_SELRC1</t>
  </si>
  <si>
    <t>Q96BS2_TESC</t>
  </si>
  <si>
    <t>Q96BT7_ALKBH8</t>
  </si>
  <si>
    <t>Q96BW5-2_PTER</t>
  </si>
  <si>
    <t>Q96BX8_MOB3A</t>
  </si>
  <si>
    <t>Q96BY7_ATG2B</t>
  </si>
  <si>
    <t>Q96BZ8_LENG1</t>
  </si>
  <si>
    <t>Q96C00_ZBTB9</t>
  </si>
  <si>
    <t>Q96C01_FAM136A</t>
  </si>
  <si>
    <t>Q96C12-3_ARMC5</t>
  </si>
  <si>
    <t>Q96C19_EFHD2</t>
  </si>
  <si>
    <t>Q96C23_GALM</t>
  </si>
  <si>
    <t>Q96C24_SYTL4</t>
  </si>
  <si>
    <t>Q96C36_PYCR2</t>
  </si>
  <si>
    <t>Q96C86_DCPS</t>
  </si>
  <si>
    <t>Q96C90_PPP1R14B</t>
  </si>
  <si>
    <t>Q96C92-2_SDCCAG3</t>
  </si>
  <si>
    <t>Q96CB8_INTS12</t>
  </si>
  <si>
    <t>Q96CB9-4_NSUN4</t>
  </si>
  <si>
    <t>Q96CD0_FBXL8</t>
  </si>
  <si>
    <t>Q96CD2_PPCDC</t>
  </si>
  <si>
    <t>Q96CF2_CHMP4C</t>
  </si>
  <si>
    <t>Q96CN7_ISOC1</t>
  </si>
  <si>
    <t>Q96CN9_GCC1</t>
  </si>
  <si>
    <t>Q96CP2_FLYWCH2</t>
  </si>
  <si>
    <t>Q96CP6-2_GRAMD1A</t>
  </si>
  <si>
    <t>Q96CS2_HAUS1</t>
  </si>
  <si>
    <t>Q96CS3_FAF2</t>
  </si>
  <si>
    <t>Q96CT7_CCDC124</t>
  </si>
  <si>
    <t>Q96CU9-3_FOXRED1</t>
  </si>
  <si>
    <t>Q96CV9-2_OPTN</t>
  </si>
  <si>
    <t>Q96CW1-2_AP2M1</t>
  </si>
  <si>
    <t>Q96CW5_TUBGCP3</t>
  </si>
  <si>
    <t>Q96CW6_SLC7A6OS</t>
  </si>
  <si>
    <t>Q96D46_NMD3</t>
  </si>
  <si>
    <t>Q96D71-3_REPS1</t>
  </si>
  <si>
    <t>Q96DA6-2_DNAJC19</t>
  </si>
  <si>
    <t>Q96DB5_RMDN1</t>
  </si>
  <si>
    <t>Q96DC7_TMCO6</t>
  </si>
  <si>
    <t>Q96DC8_ECHDC3</t>
  </si>
  <si>
    <t>Q96DE0_NUDT16</t>
  </si>
  <si>
    <t>Q96DE5_ANAPC16</t>
  </si>
  <si>
    <t>Q96DF8_DGCR14</t>
  </si>
  <si>
    <t>Q96DG6_CMBL</t>
  </si>
  <si>
    <t>Q96DH6-2_MSI2</t>
  </si>
  <si>
    <t>Q96DI7_SNRNP40</t>
  </si>
  <si>
    <t>Q96DN5-2_WDR67</t>
  </si>
  <si>
    <t>Q96DN6_MBD6</t>
  </si>
  <si>
    <t>Q96DT0-3_LGALS12</t>
  </si>
  <si>
    <t>Q96DT5_DNAH11</t>
  </si>
  <si>
    <t>Q96DT6_ATG4C</t>
  </si>
  <si>
    <t>Q96DT7_ZBTB10</t>
  </si>
  <si>
    <t>Q96DU7_ITPKC</t>
  </si>
  <si>
    <t>Q96DX4_RSPRY1</t>
  </si>
  <si>
    <t>Q96DX7_TRIM44</t>
  </si>
  <si>
    <t>Q96E09_FAM122A</t>
  </si>
  <si>
    <t>Q96E11-8_MRRF</t>
  </si>
  <si>
    <t>Q96E14_RMI2</t>
  </si>
  <si>
    <t>Q96E39_RBMXL1</t>
  </si>
  <si>
    <t>Q96EA4_SPDL1</t>
  </si>
  <si>
    <t>Q96EB1_ELP4</t>
  </si>
  <si>
    <t>Q96EB6_SIRT1</t>
  </si>
  <si>
    <t>Q96ED9-2_HOOK2</t>
  </si>
  <si>
    <t>Q96EE3_SEH1L</t>
  </si>
  <si>
    <t>Q96EH3_MALSU1</t>
  </si>
  <si>
    <t>Q96EK4_THAP11</t>
  </si>
  <si>
    <t>Q96EK5_KIAA1279</t>
  </si>
  <si>
    <t>Q96EK6_GNPNAT1</t>
  </si>
  <si>
    <t>Q96EK9_KTI12</t>
  </si>
  <si>
    <t>Q96EM0_L3HYPDH</t>
  </si>
  <si>
    <t>Q96EN8_MOCOS</t>
  </si>
  <si>
    <t>Q96EP0_RNF31</t>
  </si>
  <si>
    <t>Q96EP1-2_CHFR</t>
  </si>
  <si>
    <t>Q96EP5_DAZAP1</t>
  </si>
  <si>
    <t>Q96EQ0_SGTB</t>
  </si>
  <si>
    <t>Q96ER3_SAAL1</t>
  </si>
  <si>
    <t>Q96ES7_CCDC101</t>
  </si>
  <si>
    <t>Q96EU6-2_RRP36</t>
  </si>
  <si>
    <t>Q96EV2_RBM33</t>
  </si>
  <si>
    <t>Q96EV8_DTNBP1</t>
  </si>
  <si>
    <t>Q96EW2_HSPBAP1</t>
  </si>
  <si>
    <t>Q96EY1-2_DNAJA3</t>
  </si>
  <si>
    <t>Q96EY4_TMA16</t>
  </si>
  <si>
    <t>Q96EY5_MVB12A</t>
  </si>
  <si>
    <t>Q96EY7_PTCD3</t>
  </si>
  <si>
    <t>Q96EY8_MMAB</t>
  </si>
  <si>
    <t>Q96EY9_ADAT3</t>
  </si>
  <si>
    <t>Q96EZ8-3_MCRS1</t>
  </si>
  <si>
    <t>Q96F24-2_NRBF2</t>
  </si>
  <si>
    <t>Q96F44-3_TRIM11</t>
  </si>
  <si>
    <t>Q96F63_CCDC97</t>
  </si>
  <si>
    <t>Q96F85-2_CNRIP1</t>
  </si>
  <si>
    <t>Q96F86_EDC3</t>
  </si>
  <si>
    <t>Q96FC9-4_DDX11</t>
  </si>
  <si>
    <t>Q96FF9_CDCA5</t>
  </si>
  <si>
    <t>Q96FJ2_DYNLL2</t>
  </si>
  <si>
    <t>Q96FK6_WDR89</t>
  </si>
  <si>
    <t>Q96FN4_CPNE2</t>
  </si>
  <si>
    <t>Q96FS4_SIPA1</t>
  </si>
  <si>
    <t>Q96FT9_IFT43</t>
  </si>
  <si>
    <t>Q96FV2-2_SCRN2</t>
  </si>
  <si>
    <t>Q96FV9_THOC1</t>
  </si>
  <si>
    <t>Q96FX2_DPH3</t>
  </si>
  <si>
    <t>Q96FX7_TRMT61A</t>
  </si>
  <si>
    <t>Q96G03_PGM2</t>
  </si>
  <si>
    <t>Q96G25_MED8</t>
  </si>
  <si>
    <t>Q96G28_CCDC104</t>
  </si>
  <si>
    <t>Q96G46_DUS3L</t>
  </si>
  <si>
    <t>Q96G74-3_OTUD5</t>
  </si>
  <si>
    <t>Q96GA3_LTV1</t>
  </si>
  <si>
    <t>Q96GA7_SDSL</t>
  </si>
  <si>
    <t>Q96GD0_PDXP</t>
  </si>
  <si>
    <t>Q96GD3-6_SCMH1</t>
  </si>
  <si>
    <t>Q96GE4_CEP95</t>
  </si>
  <si>
    <t>Q96GG9_DCUN1D1</t>
  </si>
  <si>
    <t>Q96GJ1-3_TRMT2B</t>
  </si>
  <si>
    <t>Q96GK7_FAHD2A</t>
  </si>
  <si>
    <t>Q96GM5_SMARCD1</t>
  </si>
  <si>
    <t>Q96GM8_TOE1</t>
  </si>
  <si>
    <t>Q96GQ7_DDX27</t>
  </si>
  <si>
    <t>Q96GS4_C17orf59</t>
  </si>
  <si>
    <t>Q96GV9_C5orf30</t>
  </si>
  <si>
    <t>Q96GW9_MARS2</t>
  </si>
  <si>
    <t>Q96GX2_ATXN7L3B</t>
  </si>
  <si>
    <t>Q96GX5-2_MASTL</t>
  </si>
  <si>
    <t>Q96GX9_APIP</t>
  </si>
  <si>
    <t>Q96GY0_ZC2HC1A</t>
  </si>
  <si>
    <t>Q96GY3_LIN37</t>
  </si>
  <si>
    <t>Q96H20_SNF8</t>
  </si>
  <si>
    <t>Q96H35_RBM18</t>
  </si>
  <si>
    <t>Q96H79_ZC3HAV1L</t>
  </si>
  <si>
    <t>Q96HA7-2_TONSL</t>
  </si>
  <si>
    <t>Q96HC4_PDLIM5</t>
  </si>
  <si>
    <t>Q96HE7_ERO1L</t>
  </si>
  <si>
    <t>Q96HJ9_C7orf55</t>
  </si>
  <si>
    <t>Q96HN2-2_AHCYL2</t>
  </si>
  <si>
    <t>Q96HP0_DOCK6</t>
  </si>
  <si>
    <t>Q96HP4_OXNAD1</t>
  </si>
  <si>
    <t>Q96HR8-2_NAF1</t>
  </si>
  <si>
    <t>Q96HS1_PGAM5</t>
  </si>
  <si>
    <t>Q96HW7_INTS4</t>
  </si>
  <si>
    <t>Q96HY6_DDRGK1</t>
  </si>
  <si>
    <t>Q96HY7_DHTKD1</t>
  </si>
  <si>
    <t>Q96I15_SCLY</t>
  </si>
  <si>
    <t>Q96I23_PYURF</t>
  </si>
  <si>
    <t>Q96I24_FUBP3</t>
  </si>
  <si>
    <t>Q96I25_RBM17</t>
  </si>
  <si>
    <t>Q96I51_WBSCR16</t>
  </si>
  <si>
    <t>Q96I59_NARS2</t>
  </si>
  <si>
    <t>Q96I76_GPATCH3</t>
  </si>
  <si>
    <t>Q96I99_SUCLG2</t>
  </si>
  <si>
    <t>Q96II8_LRCH3</t>
  </si>
  <si>
    <t>Q96IJ6_GMPPA</t>
  </si>
  <si>
    <t>Q96IK1_BOD1</t>
  </si>
  <si>
    <t>Q96IQ9_ZNF414</t>
  </si>
  <si>
    <t>Q96IR2_ZNF845</t>
  </si>
  <si>
    <t>Q96IU4_ABHD14B</t>
  </si>
  <si>
    <t>Q96IV0-2_NGLY1</t>
  </si>
  <si>
    <t>Q96IY1_NSL1</t>
  </si>
  <si>
    <t>Q96IZ0_PAWR</t>
  </si>
  <si>
    <t>Q96IZ5-2_RBM41</t>
  </si>
  <si>
    <t>Q96IZ7-2_RSRC1</t>
  </si>
  <si>
    <t>Q96J01_THOC3</t>
  </si>
  <si>
    <t>Q96J02-2_ITCH</t>
  </si>
  <si>
    <t>Q96J92_WNK4</t>
  </si>
  <si>
    <t>Q96JB2_COG3</t>
  </si>
  <si>
    <t>Q96JB3-2_HIC2</t>
  </si>
  <si>
    <t>Q96JB5_CDK5RAP3</t>
  </si>
  <si>
    <t>Q96JC1-2_VPS39</t>
  </si>
  <si>
    <t>Q96JC9_EAF1</t>
  </si>
  <si>
    <t>Q96JG6_CCDC132</t>
  </si>
  <si>
    <t>Q96JH7_VCPIP1</t>
  </si>
  <si>
    <t>Q96JI7-2_SPG11</t>
  </si>
  <si>
    <t>Q96JK2-2_DCAF5</t>
  </si>
  <si>
    <t>Q96JK9_MAML3</t>
  </si>
  <si>
    <t>Q96JM3_CHAMP1</t>
  </si>
  <si>
    <t>Q96JM7-2_L3MBTL3</t>
  </si>
  <si>
    <t>Q96JN2-2_CCDC136</t>
  </si>
  <si>
    <t>Q96JP5_ZFP91</t>
  </si>
  <si>
    <t>Q96JS3_PGBD1</t>
  </si>
  <si>
    <t>Q96K17_BTF3L4</t>
  </si>
  <si>
    <t>Q96K31_C8orf76</t>
  </si>
  <si>
    <t>Q96K58_ZNF668</t>
  </si>
  <si>
    <t>Q96K83_ZNF521</t>
  </si>
  <si>
    <t>Q96KB5_PBK</t>
  </si>
  <si>
    <t>Q96KC8_DNAJC1</t>
  </si>
  <si>
    <t>Q96KG9-3_SCYL1</t>
  </si>
  <si>
    <t>Q96KM6_ZNF512B</t>
  </si>
  <si>
    <t>Q96KN8-2_HRASLS5</t>
  </si>
  <si>
    <t>Q96KP1_EXOC2</t>
  </si>
  <si>
    <t>Q96KP4_CNDP2</t>
  </si>
  <si>
    <t>Q96KR1_ZFR</t>
  </si>
  <si>
    <t>Q96L91-3_EP400</t>
  </si>
  <si>
    <t>Q96L92_SNX27</t>
  </si>
  <si>
    <t>Q96L93-6_KIF16B</t>
  </si>
  <si>
    <t>Q96LA8_PRMT6</t>
  </si>
  <si>
    <t>Q96LB3_IFT74</t>
  </si>
  <si>
    <t>Q96LD4_TRIM47</t>
  </si>
  <si>
    <t>Q96LD8_SENP8</t>
  </si>
  <si>
    <t>Q96LJ8_UBXN10</t>
  </si>
  <si>
    <t>Q96LR5_UBE2E2</t>
  </si>
  <si>
    <t>Q96LZ7_RMDN2</t>
  </si>
  <si>
    <t>Q96M27_PRRC1</t>
  </si>
  <si>
    <t>Q96ME1-4_FBXL18</t>
  </si>
  <si>
    <t>Q96ME7-2_ZNF512</t>
  </si>
  <si>
    <t>Q96MG7_NDNL2</t>
  </si>
  <si>
    <t>Q96MH2_HEXIM2</t>
  </si>
  <si>
    <t>Q96MT0_</t>
  </si>
  <si>
    <t>Q96MT8-3_CEP63</t>
  </si>
  <si>
    <t>Q96MU7_YTHDC1</t>
  </si>
  <si>
    <t>Q96MW1_CCDC43</t>
  </si>
  <si>
    <t>Q96MW5_COG8</t>
  </si>
  <si>
    <t>Q96MX6_WDR92</t>
  </si>
  <si>
    <t>Q96MY1_C20orf112</t>
  </si>
  <si>
    <t>Q96N06_C16orf55</t>
  </si>
  <si>
    <t>Q96N21-2_ENTHD2</t>
  </si>
  <si>
    <t>Q96N66-2_MBOAT7</t>
  </si>
  <si>
    <t>Q96N67-4_DOCK7</t>
  </si>
  <si>
    <t>Q96NA2_RILP</t>
  </si>
  <si>
    <t>Q96NB1_FOPNL</t>
  </si>
  <si>
    <t>Q96NB3_ZNF830</t>
  </si>
  <si>
    <t>Q96NC0_ZMAT2</t>
  </si>
  <si>
    <t>Q96NL8_C8orf37</t>
  </si>
  <si>
    <t>Q96NT1_NAP1L5</t>
  </si>
  <si>
    <t>Q96P11-2_NSUN5</t>
  </si>
  <si>
    <t>Q96P16_RPRD1A</t>
  </si>
  <si>
    <t>Q96P47_AGAP3</t>
  </si>
  <si>
    <t>Q96P48_ARAP1</t>
  </si>
  <si>
    <t>Q96P70_IPO9</t>
  </si>
  <si>
    <t>Q96PC3-3_AP1S3</t>
  </si>
  <si>
    <t>Q96PG8_BBC3</t>
  </si>
  <si>
    <t>Q96PK6_RBM14</t>
  </si>
  <si>
    <t>Q96PM5_RCHY1</t>
  </si>
  <si>
    <t>Q96PM9_ZNF385A</t>
  </si>
  <si>
    <t>Q96PQ6-4_ZNF317</t>
  </si>
  <si>
    <t>Q96PU4_UHRF2</t>
  </si>
  <si>
    <t>Q96PU5-6_NEDD4L</t>
  </si>
  <si>
    <t>Q96PU8-9_QKI</t>
  </si>
  <si>
    <t>Q96PV6-2_LENG8</t>
  </si>
  <si>
    <t>Q96PY5_FMNL2</t>
  </si>
  <si>
    <t>Q96PY6-2_NEK1</t>
  </si>
  <si>
    <t>Q96PZ0_PUS7</t>
  </si>
  <si>
    <t>Q96Q05-3_TRAPPC9</t>
  </si>
  <si>
    <t>Q96Q11-2_TRNT1</t>
  </si>
  <si>
    <t>Q96Q15_SMG1</t>
  </si>
  <si>
    <t>Q96Q45-2_TMEM237</t>
  </si>
  <si>
    <t>Q96Q89-4_KIF20B</t>
  </si>
  <si>
    <t>Q96QC0_PPP1R10</t>
  </si>
  <si>
    <t>Q96QD9_FYTTD1</t>
  </si>
  <si>
    <t>Q96QE3-2_ATAD5</t>
  </si>
  <si>
    <t>Q96QF0-2_RAB3IP</t>
  </si>
  <si>
    <t>Q96QG7_MTMR9</t>
  </si>
  <si>
    <t>Q96QK1_VPS35</t>
  </si>
  <si>
    <t>Q96QR8_PURB</t>
  </si>
  <si>
    <t>Q96QT6-4_PHF12</t>
  </si>
  <si>
    <t>Q96QU6_ACCS</t>
  </si>
  <si>
    <t>Q96QU8_XPO6</t>
  </si>
  <si>
    <t>Q96QZ7-7_MAGI1</t>
  </si>
  <si>
    <t>Q96R06_SPAG5</t>
  </si>
  <si>
    <t>Q96RE7_NACC1</t>
  </si>
  <si>
    <t>Q96RF0-3_SNX18</t>
  </si>
  <si>
    <t>Q96RG2_PASK</t>
  </si>
  <si>
    <t>Q96RL1_UIMC1</t>
  </si>
  <si>
    <t>Q96RL7-4_VPS13A</t>
  </si>
  <si>
    <t>Q96RN5_MED15</t>
  </si>
  <si>
    <t>Q96RP9_GFM1</t>
  </si>
  <si>
    <t>Q96RQ3_MCCC1</t>
  </si>
  <si>
    <t>Q96RR4-6_CAMKK2</t>
  </si>
  <si>
    <t>Q96RS0_TGS1</t>
  </si>
  <si>
    <t>Q96RS6_NUDCD1</t>
  </si>
  <si>
    <t>Q96RT1-9_ERBB2IP</t>
  </si>
  <si>
    <t>Q96RU2-2_USP28</t>
  </si>
  <si>
    <t>Q96RU3-2_FNBP1</t>
  </si>
  <si>
    <t>Q96S15-2_WDR24</t>
  </si>
  <si>
    <t>Q96S19_C16orf13</t>
  </si>
  <si>
    <t>Q96S38_RPS6KC1</t>
  </si>
  <si>
    <t>Q96S44_TP53RK</t>
  </si>
  <si>
    <t>Q96S52-2_PIGS</t>
  </si>
  <si>
    <t>Q96S55-2_WRNIP1</t>
  </si>
  <si>
    <t>Q96S59_RANBP9</t>
  </si>
  <si>
    <t>Q96S66-4_CLCC1</t>
  </si>
  <si>
    <t>Q96S82_UBL7</t>
  </si>
  <si>
    <t>Q96S90_LYSMD1</t>
  </si>
  <si>
    <t>Q96S94_CCNL2</t>
  </si>
  <si>
    <t>Q96S99_PLEKHF1</t>
  </si>
  <si>
    <t>Q96SB3_PPP1R9B</t>
  </si>
  <si>
    <t>Q96SB8_SMC6</t>
  </si>
  <si>
    <t>Q96SI9_STRBP</t>
  </si>
  <si>
    <t>Q96SK2-2_TMEM209</t>
  </si>
  <si>
    <t>Q96SL8_FIZ1</t>
  </si>
  <si>
    <t>Q96SN8-4_CDK5RAP2</t>
  </si>
  <si>
    <t>Q96ST2_IWS1</t>
  </si>
  <si>
    <t>Q96ST3_SIN3A</t>
  </si>
  <si>
    <t>Q96SU4-7_OSBPL9</t>
  </si>
  <si>
    <t>Q96SW2-2_CRBN</t>
  </si>
  <si>
    <t>Q96SY0-4_VWA9</t>
  </si>
  <si>
    <t>Q96SZ5_ADO</t>
  </si>
  <si>
    <t>Q96T21_SECISBP2</t>
  </si>
  <si>
    <t>Q96T23-2_RSF1</t>
  </si>
  <si>
    <t>Q96T37-2_RBM15</t>
  </si>
  <si>
    <t>Q96T51_RUFY1</t>
  </si>
  <si>
    <t>Q96T58_SPEN</t>
  </si>
  <si>
    <t>Q96T60_PNKP</t>
  </si>
  <si>
    <t>Q96T76_MMS19</t>
  </si>
  <si>
    <t>Q96T88_UHRF1</t>
  </si>
  <si>
    <t>Q96TA1-2_FAM129B</t>
  </si>
  <si>
    <t>Q96TC7_RMDN3</t>
  </si>
  <si>
    <t>Q99081_TCF12</t>
  </si>
  <si>
    <t>Q99417_MYCBP</t>
  </si>
  <si>
    <t>Q99426_TBCB</t>
  </si>
  <si>
    <t>Q99436_PSMB7</t>
  </si>
  <si>
    <t>Q99447_PCYT2</t>
  </si>
  <si>
    <t>Q99456_KRT12</t>
  </si>
  <si>
    <t>Q99459_CDC5L</t>
  </si>
  <si>
    <t>Q99460_PSMD1</t>
  </si>
  <si>
    <t>Q99471_PFDN5</t>
  </si>
  <si>
    <t>Q99496_RNF2</t>
  </si>
  <si>
    <t>Q99497_PARK7</t>
  </si>
  <si>
    <t>Q99501_GAS2L1</t>
  </si>
  <si>
    <t>Q99519_NEU1</t>
  </si>
  <si>
    <t>Q99523_SORT1</t>
  </si>
  <si>
    <t>Q99536_VAT1</t>
  </si>
  <si>
    <t>Q99541_PLIN2</t>
  </si>
  <si>
    <t>Q99543_DNAJC2</t>
  </si>
  <si>
    <t>Q99543-2_DNAJC2</t>
  </si>
  <si>
    <t>Q99549_MPHOSPH8</t>
  </si>
  <si>
    <t>Q99550_MPHOSPH9</t>
  </si>
  <si>
    <t>Q99567_NUP88</t>
  </si>
  <si>
    <t>Q99570_PIK3R4</t>
  </si>
  <si>
    <t>Q99575_POP1</t>
  </si>
  <si>
    <t>Q99576-3_TSC22D3</t>
  </si>
  <si>
    <t>Q99583_MNT</t>
  </si>
  <si>
    <t>Q99584_S100A13</t>
  </si>
  <si>
    <t>Q99590-2_SCAF11</t>
  </si>
  <si>
    <t>Q99598_TSNAX</t>
  </si>
  <si>
    <t>Q99607_ELF4</t>
  </si>
  <si>
    <t>Q99611_SEPHS2</t>
  </si>
  <si>
    <t>Q99614_TTC1</t>
  </si>
  <si>
    <t>Q99615_DNAJC7</t>
  </si>
  <si>
    <t>Q99622_C12orf57</t>
  </si>
  <si>
    <t>Q99633_PRPF18</t>
  </si>
  <si>
    <t>Q99638_RAD9A</t>
  </si>
  <si>
    <t>Q99640-4_PKMYT1</t>
  </si>
  <si>
    <t>Q99653_CHP1</t>
  </si>
  <si>
    <t>Q99661_KIF2C</t>
  </si>
  <si>
    <t>Q99700-4_ATXN2</t>
  </si>
  <si>
    <t>Q99704_DOK1</t>
  </si>
  <si>
    <t>Q99707_MTR</t>
  </si>
  <si>
    <t>Q99708_RBBP8</t>
  </si>
  <si>
    <t>Q99714_HSD17B10</t>
  </si>
  <si>
    <t>Q99728_BARD1</t>
  </si>
  <si>
    <t>Q99733_NAP1L4</t>
  </si>
  <si>
    <t>Q99747_NAPG</t>
  </si>
  <si>
    <t>Q99757_TXN2</t>
  </si>
  <si>
    <t>Q99766_ATP5S</t>
  </si>
  <si>
    <t>Q99767-2_APBA2</t>
  </si>
  <si>
    <t>Q99797_MIPEP</t>
  </si>
  <si>
    <t>Q99798_ACO2</t>
  </si>
  <si>
    <t>Q99832_CCT7</t>
  </si>
  <si>
    <t>Q99836_MYD88</t>
  </si>
  <si>
    <t>Q99848_EBNA1BP2</t>
  </si>
  <si>
    <t>Q99856_ARID3A</t>
  </si>
  <si>
    <t>Q99878_HIST1H2AJ</t>
  </si>
  <si>
    <t>Q99879_HIST1H2BM</t>
  </si>
  <si>
    <t>Q99933-4_BAG1</t>
  </si>
  <si>
    <t>Q99941-2_ATF6B</t>
  </si>
  <si>
    <t>Q99942_RNF5</t>
  </si>
  <si>
    <t>Q99952_PTPN18</t>
  </si>
  <si>
    <t>Q99956_DUSP9</t>
  </si>
  <si>
    <t>Q99961_SH3GL1</t>
  </si>
  <si>
    <t>Q99963-4_SH3GL3</t>
  </si>
  <si>
    <t>Q99986_VRK1</t>
  </si>
  <si>
    <t>Q99996-2_AKAP9</t>
  </si>
  <si>
    <t>Q9BPW8_NIPSNAP1</t>
  </si>
  <si>
    <t>Q9BPX3_NCAPG</t>
  </si>
  <si>
    <t>Q9BPX5_ARPC5L</t>
  </si>
  <si>
    <t>Q9BPX6-2_MICU1</t>
  </si>
  <si>
    <t>Q9BPX7_C7orf25</t>
  </si>
  <si>
    <t>Q9BPZ3_PAIP2</t>
  </si>
  <si>
    <t>Q9BPZ7-3_MAPKAP1</t>
  </si>
  <si>
    <t>Q9BQ04_RBM4B</t>
  </si>
  <si>
    <t>Q9BQ39_DDX50</t>
  </si>
  <si>
    <t>Q9BQ48_MRPL34</t>
  </si>
  <si>
    <t>Q9BQ52_ELAC2</t>
  </si>
  <si>
    <t>Q9BQ61_C19orf43</t>
  </si>
  <si>
    <t>Q9BQ67_GRWD1</t>
  </si>
  <si>
    <t>Q9BQ69_MACROD1</t>
  </si>
  <si>
    <t>Q9BQ70_TCF25</t>
  </si>
  <si>
    <t>Q9BQ90_KLHDC3</t>
  </si>
  <si>
    <t>Q9BQA1_WDR77</t>
  </si>
  <si>
    <t>Q9BQB6-3_VKORC1</t>
  </si>
  <si>
    <t>Q9BQC3_DPH2</t>
  </si>
  <si>
    <t>Q9BQE3_TUBA1C</t>
  </si>
  <si>
    <t>Q9BQE5_APOL2</t>
  </si>
  <si>
    <t>Q9BQE9-4_BCL7B</t>
  </si>
  <si>
    <t>Q9BQF6-4_SENP7</t>
  </si>
  <si>
    <t>Q9BQG0_MYBBP1A</t>
  </si>
  <si>
    <t>Q9BQG2_NUDT12</t>
  </si>
  <si>
    <t>Q9BQI0-3_AIF1L</t>
  </si>
  <si>
    <t>Q9BQP7_MGME1</t>
  </si>
  <si>
    <t>Q9BQS8_FYCO1</t>
  </si>
  <si>
    <t>Q9BQY4_RHOXF2</t>
  </si>
  <si>
    <t>Q9BR61_ACBD6</t>
  </si>
  <si>
    <t>Q9BR76_CORO1B</t>
  </si>
  <si>
    <t>Q9BRA2_TXNDC17</t>
  </si>
  <si>
    <t>Q9BRD0_BUD13</t>
  </si>
  <si>
    <t>Q9BRF8_CPPED1</t>
  </si>
  <si>
    <t>Q9BRG1_VPS25</t>
  </si>
  <si>
    <t>Q9BRK5_SDF4</t>
  </si>
  <si>
    <t>Q9BRP1_PDCD2L</t>
  </si>
  <si>
    <t>Q9BRP4_PAAF1</t>
  </si>
  <si>
    <t>Q9BRP8-2_WIBG</t>
  </si>
  <si>
    <t>Q9BRR0_ZKSCAN3</t>
  </si>
  <si>
    <t>Q9BRR6-2_ADPGK</t>
  </si>
  <si>
    <t>Q9BRS2_RIOK1</t>
  </si>
  <si>
    <t>Q9BRT3_MIEN1</t>
  </si>
  <si>
    <t>Q9BRT9_GINS4</t>
  </si>
  <si>
    <t>Q9BRV8_SIKE1</t>
  </si>
  <si>
    <t>Q9BRX2_PELO</t>
  </si>
  <si>
    <t>Q9BRX5_GINS3</t>
  </si>
  <si>
    <t>Q9BRX9_WDR83</t>
  </si>
  <si>
    <t>Q9BRZ2_TRIM56</t>
  </si>
  <si>
    <t>Q9BS18_ANAPC13</t>
  </si>
  <si>
    <t>Q9BS26_ERP44</t>
  </si>
  <si>
    <t>Q9BSB4_ATG101</t>
  </si>
  <si>
    <t>Q9BSC4_NOL10</t>
  </si>
  <si>
    <t>Q9BSD7_NTPCR</t>
  </si>
  <si>
    <t>Q9BSE4_HERPUD2</t>
  </si>
  <si>
    <t>Q9BSH4_TACO1</t>
  </si>
  <si>
    <t>Q9BSH5_HDHD3</t>
  </si>
  <si>
    <t>Q9BSJ2_TUBGCP2</t>
  </si>
  <si>
    <t>Q9BSJ5-3_C17orf80</t>
  </si>
  <si>
    <t>Q9BSJ8_ESYT1</t>
  </si>
  <si>
    <t>Q9BSL1_UBAC1</t>
  </si>
  <si>
    <t>Q9BSQ5_CCM2</t>
  </si>
  <si>
    <t>Q9BSR8_YIPF4</t>
  </si>
  <si>
    <t>Q9BST9-3_RTKN</t>
  </si>
  <si>
    <t>Q9BSU1_C16orf70</t>
  </si>
  <si>
    <t>Q9BSU3_NAA11</t>
  </si>
  <si>
    <t>Q9BSV6_TSEN34</t>
  </si>
  <si>
    <t>Q9BSW2-2_EFCAB4B</t>
  </si>
  <si>
    <t>Q9BSY4_CHCHD5</t>
  </si>
  <si>
    <t>Q9BT09_CNPY3</t>
  </si>
  <si>
    <t>Q9BT25-2_HAUS8</t>
  </si>
  <si>
    <t>Q9BT30_ALKBH7</t>
  </si>
  <si>
    <t>Q9BT73_PSMG3</t>
  </si>
  <si>
    <t>Q9BT78_COPS4</t>
  </si>
  <si>
    <t>Q9BT92_TCHP</t>
  </si>
  <si>
    <t>Q9BTA9-2_WAC</t>
  </si>
  <si>
    <t>Q9BTC0_DIDO1</t>
  </si>
  <si>
    <t>Q9BTD8-4_RBM42</t>
  </si>
  <si>
    <t>Q9BTE1-2_DCTN5</t>
  </si>
  <si>
    <t>Q9BTE3-2_MCMBP</t>
  </si>
  <si>
    <t>Q9BTE6-3_AARSD1</t>
  </si>
  <si>
    <t>Q9BTE7_DCUN1D5</t>
  </si>
  <si>
    <t>Q9BTF0_THUMPD2</t>
  </si>
  <si>
    <t>Q9BTK6_PAGR1</t>
  </si>
  <si>
    <t>Q9BTL3_FAM103A1</t>
  </si>
  <si>
    <t>Q9BTM9_URM1</t>
  </si>
  <si>
    <t>Q9BTT0_ANP32E</t>
  </si>
  <si>
    <t>Q9BTT4_MED10</t>
  </si>
  <si>
    <t>Q9BTV6_WDR85</t>
  </si>
  <si>
    <t>Q9BTW9_TBCD</t>
  </si>
  <si>
    <t>Q9BTX7_TTPAL</t>
  </si>
  <si>
    <t>Q9BTY2_FUCA2</t>
  </si>
  <si>
    <t>Q9BTY7_FAM203A</t>
  </si>
  <si>
    <t>Q9BU02_THTPA</t>
  </si>
  <si>
    <t>Q9BU61-2_NDUFAF3</t>
  </si>
  <si>
    <t>Q9BU64_CENPO</t>
  </si>
  <si>
    <t>Q9BU76_MMTAG2</t>
  </si>
  <si>
    <t>Q9BU89_DOHH</t>
  </si>
  <si>
    <t>Q9BUA3_C11orf84</t>
  </si>
  <si>
    <t>Q9BUB4_ADAT1</t>
  </si>
  <si>
    <t>Q9BUB5-2_MKNK1</t>
  </si>
  <si>
    <t>Q9BUE0_MED18</t>
  </si>
  <si>
    <t>Q9BUF5_TUBB6</t>
  </si>
  <si>
    <t>Q9BUH6_C9orf142</t>
  </si>
  <si>
    <t>Q9BUI4_POLR3C</t>
  </si>
  <si>
    <t>Q9BUJ2-2_HNRNPUL1</t>
  </si>
  <si>
    <t>Q9BUK6-2_MSTO1</t>
  </si>
  <si>
    <t>Q9BUL9_RPP25</t>
  </si>
  <si>
    <t>Q9BUN5_CCDC28B</t>
  </si>
  <si>
    <t>Q9BUP0_EFHD1</t>
  </si>
  <si>
    <t>Q9BUQ8_DDX23</t>
  </si>
  <si>
    <t>Q9BUR4_WRAP53</t>
  </si>
  <si>
    <t>Q9BUT1_BDH2</t>
  </si>
  <si>
    <t>Q9BUT9_FAM195A</t>
  </si>
  <si>
    <t>Q9BUW7_C9orf16</t>
  </si>
  <si>
    <t>Q9BV19_C1orf50</t>
  </si>
  <si>
    <t>Q9BV20_MRI1</t>
  </si>
  <si>
    <t>Q9BV38_WDR18</t>
  </si>
  <si>
    <t>Q9BV40_VAMP8</t>
  </si>
  <si>
    <t>Q9BV44_THUMPD3</t>
  </si>
  <si>
    <t>Q9BV57_ADI1</t>
  </si>
  <si>
    <t>Q9BV68-2_RNF126</t>
  </si>
  <si>
    <t>Q9BV73_CEP250</t>
  </si>
  <si>
    <t>Q9BV79_MECR</t>
  </si>
  <si>
    <t>Q9BV86_NTMT1</t>
  </si>
  <si>
    <t>Q9BVA0_KATNB1</t>
  </si>
  <si>
    <t>Q9BVC3_DSCC1</t>
  </si>
  <si>
    <t>Q9BVC6_TMEM109</t>
  </si>
  <si>
    <t>Q9BVG4_PBDC1</t>
  </si>
  <si>
    <t>Q9BVI0_PHF20</t>
  </si>
  <si>
    <t>Q9BVI4_NOC4L</t>
  </si>
  <si>
    <t>Q9BVJ6_UTP14A</t>
  </si>
  <si>
    <t>Q9BVJ7_DUSP23</t>
  </si>
  <si>
    <t>Q9BVK6_TMED9</t>
  </si>
  <si>
    <t>Q9BVL4_SELO</t>
  </si>
  <si>
    <t>Q9BVM2_DPCD</t>
  </si>
  <si>
    <t>Q9BVM4_GGACT</t>
  </si>
  <si>
    <t>Q9BVP2-2_GNL3</t>
  </si>
  <si>
    <t>Q9BVQ7_SPATA5L1</t>
  </si>
  <si>
    <t>Q9BVR6_TUBGCP4</t>
  </si>
  <si>
    <t>Q9BVS4_RIOK2</t>
  </si>
  <si>
    <t>Q9BW04_SARG</t>
  </si>
  <si>
    <t>Q9BW19_KIFC1</t>
  </si>
  <si>
    <t>Q9BW27_NUP85</t>
  </si>
  <si>
    <t>Q9BW61_DDA1</t>
  </si>
  <si>
    <t>Q9BW62_KATNAL1</t>
  </si>
  <si>
    <t>Q9BW66_CINP</t>
  </si>
  <si>
    <t>Q9BW71_HIRIP3</t>
  </si>
  <si>
    <t>Q9BW83_IFT27</t>
  </si>
  <si>
    <t>Q9BW85_CCDC94</t>
  </si>
  <si>
    <t>Q9BW91-2_NUDT9</t>
  </si>
  <si>
    <t>Q9BW92_TARS2</t>
  </si>
  <si>
    <t>Q9BWD1_ACAT2</t>
  </si>
  <si>
    <t>Q9BWE0_REPIN1</t>
  </si>
  <si>
    <t>Q9BWF3_RBM4</t>
  </si>
  <si>
    <t>Q9BWH2_FUNDC2</t>
  </si>
  <si>
    <t>Q9BWH6_RPAP1</t>
  </si>
  <si>
    <t>Q9BWJ5_SF3B5</t>
  </si>
  <si>
    <t>Q9BWN1_PRR14</t>
  </si>
  <si>
    <t>Q9BWS9-3_CHID1</t>
  </si>
  <si>
    <t>Q9BWT3_PAPOLG</t>
  </si>
  <si>
    <t>Q9BWT7_CARD10</t>
  </si>
  <si>
    <t>Q9BWU0_SLC4A1AP</t>
  </si>
  <si>
    <t>Q9BWW4-2_SSBP3</t>
  </si>
  <si>
    <t>Q9BWW5_SSDP4</t>
  </si>
  <si>
    <t>Q9BWW8_APOL6</t>
  </si>
  <si>
    <t>Q9BX10-2_GTPBP2</t>
  </si>
  <si>
    <t>Q9BX40_LSM14B</t>
  </si>
  <si>
    <t>Q9BX63_BRIP1</t>
  </si>
  <si>
    <t>Q9BX66-6_SORBS1</t>
  </si>
  <si>
    <t>Q9BX66-9_SORBS1</t>
  </si>
  <si>
    <t>Q9BX68_HINT2</t>
  </si>
  <si>
    <t>Q9BX69_CARD6</t>
  </si>
  <si>
    <t>Q9BXB4_OSBPL11</t>
  </si>
  <si>
    <t>Q9BXD5_NPL</t>
  </si>
  <si>
    <t>Q9BXF6_RAB11FIP5</t>
  </si>
  <si>
    <t>Q9BXH1_BBC3</t>
  </si>
  <si>
    <t>Q9BXI6_TBC1D10A</t>
  </si>
  <si>
    <t>Q9BXJ9_NAA15</t>
  </si>
  <si>
    <t>Q9BXK1_KLF16</t>
  </si>
  <si>
    <t>Q9BXK5_BCL2L13</t>
  </si>
  <si>
    <t>Q9BXL5_HEMGN</t>
  </si>
  <si>
    <t>Q9BXL7_CARD11</t>
  </si>
  <si>
    <t>Q9BXP5-4_SRRT</t>
  </si>
  <si>
    <t>Q9BXR0_QTRT1</t>
  </si>
  <si>
    <t>Q9BXS5_AP1M1</t>
  </si>
  <si>
    <t>Q9BXS6-2_NUSAP1</t>
  </si>
  <si>
    <t>Q9BXV9_C14orf142</t>
  </si>
  <si>
    <t>Q9BXW7-2_CECR5</t>
  </si>
  <si>
    <t>Q9BXW9-2_FANCD2</t>
  </si>
  <si>
    <t>Q9BXY0_MAK16</t>
  </si>
  <si>
    <t>Q9BY12-2_SCAPER</t>
  </si>
  <si>
    <t>Q9BY32_ITPA</t>
  </si>
  <si>
    <t>Q9BY42_RTFDC1</t>
  </si>
  <si>
    <t>Q9BY43_CHMP4A</t>
  </si>
  <si>
    <t>Q9BY44_EIF2A</t>
  </si>
  <si>
    <t>Q9BY77_POLDIP3</t>
  </si>
  <si>
    <t>Q9BYB4_GNB1L</t>
  </si>
  <si>
    <t>Q9BYD6_MRPL1</t>
  </si>
  <si>
    <t>Q9BYE2-3_</t>
  </si>
  <si>
    <t>Q9BYE7_PCGF6</t>
  </si>
  <si>
    <t>Q9BYG3_MKI67IP</t>
  </si>
  <si>
    <t>Q9BYG5_PARD6B</t>
  </si>
  <si>
    <t>Q9BYI3_FAM126A</t>
  </si>
  <si>
    <t>Q9BYM8_RBCK1</t>
  </si>
  <si>
    <t>Q9BYN0_SRXN1</t>
  </si>
  <si>
    <t>Q9BYN8_MRPS26</t>
  </si>
  <si>
    <t>Q9BYT8_NLN</t>
  </si>
  <si>
    <t>Q9BYV8_CEP41</t>
  </si>
  <si>
    <t>Q9BYV9_BACH2</t>
  </si>
  <si>
    <t>Q9BYW2_SETD2</t>
  </si>
  <si>
    <t>Q9BZ29-3_DOCK9</t>
  </si>
  <si>
    <t>Q9BZ95-4_WHSC1L1</t>
  </si>
  <si>
    <t>Q9BZD4_NUF2</t>
  </si>
  <si>
    <t>Q9BZE2_PUS3</t>
  </si>
  <si>
    <t>Q9BZE9_ASPSCR1</t>
  </si>
  <si>
    <t>Q9BZF1-3_OSBPL8</t>
  </si>
  <si>
    <t>Q9BZF2_OSBPL7</t>
  </si>
  <si>
    <t>Q9BZH6_WDR11</t>
  </si>
  <si>
    <t>Q9BZI7-2_UPF3B</t>
  </si>
  <si>
    <t>Q9BZJ0-2_CRNKL1</t>
  </si>
  <si>
    <t>Q9BZK7_TBL1XR1</t>
  </si>
  <si>
    <t>Q9BZL1_UBL5</t>
  </si>
  <si>
    <t>Q9BZL4_PPP1R12C</t>
  </si>
  <si>
    <t>Q9BZL6_PRKD2</t>
  </si>
  <si>
    <t>Q9BZM1_PLA2G12A</t>
  </si>
  <si>
    <t>Q9BZQ8_FAM129A</t>
  </si>
  <si>
    <t>Q9BZV1_UBXN6</t>
  </si>
  <si>
    <t>Q9BZX2_UCK2</t>
  </si>
  <si>
    <t>Q9BZZ5-2_API5</t>
  </si>
  <si>
    <t>Q9C004-2_SPRY4</t>
  </si>
  <si>
    <t>Q9C005_DPY30</t>
  </si>
  <si>
    <t>Q9C010_PKIB</t>
  </si>
  <si>
    <t>Q9C073_FAM117A</t>
  </si>
  <si>
    <t>Q9C099-2_LRRCC1</t>
  </si>
  <si>
    <t>Q9C0B0_UNK</t>
  </si>
  <si>
    <t>Q9C0B1_FTO</t>
  </si>
  <si>
    <t>Q9C0B5-2_ZDHHC5</t>
  </si>
  <si>
    <t>Q9C0B7_TANGO6</t>
  </si>
  <si>
    <t>Q9C0C2_TNKS1BP1</t>
  </si>
  <si>
    <t>Q9C0C4_SEMA4C</t>
  </si>
  <si>
    <t>Q9C0C7-4_AMBRA1</t>
  </si>
  <si>
    <t>Q9C0C9_UBE2O</t>
  </si>
  <si>
    <t>Q9C0D2_KIAA1731</t>
  </si>
  <si>
    <t>Q9C0D3_ZYG11B</t>
  </si>
  <si>
    <t>Q9C0D5_TANC1</t>
  </si>
  <si>
    <t>Q9C0F1_CEP44</t>
  </si>
  <si>
    <t>Q9C0G0_ZNF407</t>
  </si>
  <si>
    <t>Q9C0I1_MTMR12</t>
  </si>
  <si>
    <t>Q9C0J8_WDR33</t>
  </si>
  <si>
    <t>Q9GZL7_WDR12</t>
  </si>
  <si>
    <t>Q9GZN2_TGIF2</t>
  </si>
  <si>
    <t>Q9GZN8_C20orf27</t>
  </si>
  <si>
    <t>Q9GZP4_PITHD1</t>
  </si>
  <si>
    <t>Q9GZQ3_COMMD5</t>
  </si>
  <si>
    <t>Q9GZR1-2_SENP6</t>
  </si>
  <si>
    <t>Q9GZR2_REXO4</t>
  </si>
  <si>
    <t>Q9GZS1-2_POLR1E</t>
  </si>
  <si>
    <t>Q9GZS3_WDR61</t>
  </si>
  <si>
    <t>Q9GZT3-2_SLIRP</t>
  </si>
  <si>
    <t>Q9GZT4_SRR</t>
  </si>
  <si>
    <t>Q9GZT8-2_NIF3L1</t>
  </si>
  <si>
    <t>Q9GZT9_EGLN1</t>
  </si>
  <si>
    <t>Q9GZU8_FAM192A</t>
  </si>
  <si>
    <t>Q9GZY8_MFF</t>
  </si>
  <si>
    <t>Q9GZY8-2_MFF</t>
  </si>
  <si>
    <t>Q9GZZ9_UBA5</t>
  </si>
  <si>
    <t>Q9H008_LHPP</t>
  </si>
  <si>
    <t>Q9H074_PAIP1</t>
  </si>
  <si>
    <t>Q9H079_KATNBL1</t>
  </si>
  <si>
    <t>Q9H081_MIS12</t>
  </si>
  <si>
    <t>Q9H082_RAB33B</t>
  </si>
  <si>
    <t>Q9H094-2_NBPF3</t>
  </si>
  <si>
    <t>Q9H098_FAM107B</t>
  </si>
  <si>
    <t>Q9H0A0_NAT10</t>
  </si>
  <si>
    <t>Q9H0A8_COMMD4</t>
  </si>
  <si>
    <t>Q9H0B6_KLC2</t>
  </si>
  <si>
    <t>Q9H0C8_ILKAP</t>
  </si>
  <si>
    <t>Q9H0D6_XRN2</t>
  </si>
  <si>
    <t>Q9H0E2_TOLLIP</t>
  </si>
  <si>
    <t>Q9H0E9-2_BRD8</t>
  </si>
  <si>
    <t>Q9H0F6_SHARPIN</t>
  </si>
  <si>
    <t>Q9H0F7_ARL6</t>
  </si>
  <si>
    <t>Q9H0G5_NSRP1</t>
  </si>
  <si>
    <t>Q9H0H5_RACGAP1</t>
  </si>
  <si>
    <t>Q9H0I2-2_ENKD1</t>
  </si>
  <si>
    <t>Q9H0J9_PARP12</t>
  </si>
  <si>
    <t>Q9H0K1_SIK2</t>
  </si>
  <si>
    <t>Q9H0K6_PUS7L</t>
  </si>
  <si>
    <t>Q9H0L4_CSTF2T</t>
  </si>
  <si>
    <t>Q9H0P0_NT5C3A</t>
  </si>
  <si>
    <t>Q9H0P0-3_NT5C3A</t>
  </si>
  <si>
    <t>Q9H0R4_HDHD2</t>
  </si>
  <si>
    <t>Q9H0R6_QRSL1</t>
  </si>
  <si>
    <t>Q9H0S4-2_DDX47</t>
  </si>
  <si>
    <t>Q9H0U4_RAB1B</t>
  </si>
  <si>
    <t>Q9H0U9_TSPYL1</t>
  </si>
  <si>
    <t>Q9H0W5_CCDC8</t>
  </si>
  <si>
    <t>Q9H0W8-2_SMG9</t>
  </si>
  <si>
    <t>Q9H0W9_C11orf54</t>
  </si>
  <si>
    <t>Q9H0X4_ITFG3</t>
  </si>
  <si>
    <t>Q9H173_SIL1</t>
  </si>
  <si>
    <t>Q9H175_CSRNP2</t>
  </si>
  <si>
    <t>Q9H1A4_ANAPC1</t>
  </si>
  <si>
    <t>Q9H1B7_IRF2BPL</t>
  </si>
  <si>
    <t>Q9H1D9_POLR3F</t>
  </si>
  <si>
    <t>Q9H1E3_NUCKS1</t>
  </si>
  <si>
    <t>Q9H1I8_ASCC2</t>
  </si>
  <si>
    <t>Q9H1J1-2_UPF3A</t>
  </si>
  <si>
    <t>Q9H1K1_ISCU</t>
  </si>
  <si>
    <t>Q9H1P3-2_OSBPL2</t>
  </si>
  <si>
    <t>Q9H1Y0_ATG5</t>
  </si>
  <si>
    <t>Q9H1Z4_WDR13</t>
  </si>
  <si>
    <t>Q9H204_MED28</t>
  </si>
  <si>
    <t>Q9H211_CDT1</t>
  </si>
  <si>
    <t>Q9H223_EHD4</t>
  </si>
  <si>
    <t>Q9H267_VPS33B</t>
  </si>
  <si>
    <t>Q9H269_VPS16</t>
  </si>
  <si>
    <t>Q9H270_VPS11</t>
  </si>
  <si>
    <t>Q9H2C0_GAN</t>
  </si>
  <si>
    <t>Q9H2D6-5_TRIOBP</t>
  </si>
  <si>
    <t>Q9H2F5-2_EPC1</t>
  </si>
  <si>
    <t>Q9H2G2-2_SLK</t>
  </si>
  <si>
    <t>Q9H2H8_PPIL3</t>
  </si>
  <si>
    <t>Q9H2J4_PDCL3</t>
  </si>
  <si>
    <t>Q9H2K0_MTIF3</t>
  </si>
  <si>
    <t>Q9H2K8_TAOK3</t>
  </si>
  <si>
    <t>Q9H2M9_RAB3GAP2</t>
  </si>
  <si>
    <t>Q9H2P0_ADNP</t>
  </si>
  <si>
    <t>Q9H2P9_DPH5</t>
  </si>
  <si>
    <t>Q9H2U1-3_DHX36</t>
  </si>
  <si>
    <t>Q9H2U2_PPA2</t>
  </si>
  <si>
    <t>Q9H2W6_MRPL46</t>
  </si>
  <si>
    <t>Q9H2Y7_ZNF106</t>
  </si>
  <si>
    <t>Q9H307_PNN</t>
  </si>
  <si>
    <t>Q9H344_OR51I2</t>
  </si>
  <si>
    <t>Q9H3C7_GGNBP2</t>
  </si>
  <si>
    <t>Q9H3F6_KCTD10</t>
  </si>
  <si>
    <t>Q9H3G5_CPVL</t>
  </si>
  <si>
    <t>Q9H3H1-4_TRIT1</t>
  </si>
  <si>
    <t>Q9H3H3-2_C11orf68</t>
  </si>
  <si>
    <t>Q9H3K6_BOLA2</t>
  </si>
  <si>
    <t>Q9H3L0_MMADHC</t>
  </si>
  <si>
    <t>Q9H3N1_TMX1</t>
  </si>
  <si>
    <t>Q9H3P2_NELFA</t>
  </si>
  <si>
    <t>Q9H3P7_ACBD3</t>
  </si>
  <si>
    <t>Q9H3Q1_CDC42EP4</t>
  </si>
  <si>
    <t>Q9H3S7_PTPN23</t>
  </si>
  <si>
    <t>Q9H3U1_UNC45A</t>
  </si>
  <si>
    <t>Q9H3Y8_PPDPF</t>
  </si>
  <si>
    <t>Q9H410_DSN1</t>
  </si>
  <si>
    <t>Q9H425-3_C1orf198</t>
  </si>
  <si>
    <t>Q9H444_CHMP4B</t>
  </si>
  <si>
    <t>Q9H467_CUEDC2</t>
  </si>
  <si>
    <t>Q9H469_FBXL15</t>
  </si>
  <si>
    <t>Q9H479_FN3K</t>
  </si>
  <si>
    <t>Q9H488_POFUT1</t>
  </si>
  <si>
    <t>Q9H496_IFRG15</t>
  </si>
  <si>
    <t>Q9H4A4_RNPEP</t>
  </si>
  <si>
    <t>Q9H4A5_GOLPH3L</t>
  </si>
  <si>
    <t>Q9H4A6_GOLPH3</t>
  </si>
  <si>
    <t>Q9H4E7_DEF6</t>
  </si>
  <si>
    <t>Q9H4G0-2_EPB41L1</t>
  </si>
  <si>
    <t>Q9H4H8-2_FAM83D</t>
  </si>
  <si>
    <t>Q9H4I2_ZHX3</t>
  </si>
  <si>
    <t>Q9H4L5_OSBPL3</t>
  </si>
  <si>
    <t>Q9H4L7_SMARCAD1</t>
  </si>
  <si>
    <t>Q9H4M3-2_FBXO44</t>
  </si>
  <si>
    <t>Q9H4M7-2_PLEKHA4</t>
  </si>
  <si>
    <t>Q9H4M9_EHD1</t>
  </si>
  <si>
    <t>Q9H4P4-2_RNF41</t>
  </si>
  <si>
    <t>Q9H4Z2-2_ZNF335</t>
  </si>
  <si>
    <t>Q9H4Z3_PCIF1</t>
  </si>
  <si>
    <t>Q9H501_ESF1</t>
  </si>
  <si>
    <t>Q9H568_ACTL8</t>
  </si>
  <si>
    <t>Q9H582-2_ZNF644</t>
  </si>
  <si>
    <t>Q9H583_HEATR1</t>
  </si>
  <si>
    <t>Q9H5H4_ZNF768</t>
  </si>
  <si>
    <t>Q9H5J8_TAF1D</t>
  </si>
  <si>
    <t>Q9H5N1_RABEP2</t>
  </si>
  <si>
    <t>Q9H5Q4_TFB2M</t>
  </si>
  <si>
    <t>Q9H5V7_IKZF5</t>
  </si>
  <si>
    <t>Q9H5V9-2_CXorf56</t>
  </si>
  <si>
    <t>Q9H5X1_FAM96A</t>
  </si>
  <si>
    <t>Q9H633-3_RPP21</t>
  </si>
  <si>
    <t>Q9H6D7_HAUS4</t>
  </si>
  <si>
    <t>Q9H6E4_CCDC134</t>
  </si>
  <si>
    <t>Q9H6E5_TUT1</t>
  </si>
  <si>
    <t>Q9H6F5_CCDC86</t>
  </si>
  <si>
    <t>Q9H6K1_C6orf106</t>
  </si>
  <si>
    <t>Q9H6L4_ARMC7</t>
  </si>
  <si>
    <t>Q9H6Q4_NARFL</t>
  </si>
  <si>
    <t>Q9H6R4-4_NOL6</t>
  </si>
  <si>
    <t>Q9H6R7_C2orf44</t>
  </si>
  <si>
    <t>Q9H6S0_YTHDC2</t>
  </si>
  <si>
    <t>Q9H6S1_AZI2</t>
  </si>
  <si>
    <t>Q9H6S3-2_EPS8L2</t>
  </si>
  <si>
    <t>Q9H6T3-2_RPAP3</t>
  </si>
  <si>
    <t>Q9H6U6-2_BCAS3</t>
  </si>
  <si>
    <t>Q9H6V9_C2orf43</t>
  </si>
  <si>
    <t>Q9H6W3_NO66</t>
  </si>
  <si>
    <t>Q9H6Y2_WDR55</t>
  </si>
  <si>
    <t>Q9H6Z4-2_RANBP3</t>
  </si>
  <si>
    <t>Q9H773_DCTPP1</t>
  </si>
  <si>
    <t>Q9H777_ELAC1</t>
  </si>
  <si>
    <t>Q9H7B4_SMYD3</t>
  </si>
  <si>
    <t>Q9H7C9_AAMDC</t>
  </si>
  <si>
    <t>Q9H7D7-2_WDR26</t>
  </si>
  <si>
    <t>Q9H7E2-3_TDRD3</t>
  </si>
  <si>
    <t>Q9H7E9_C8orf33</t>
  </si>
  <si>
    <t>Q9H7L9_SUDS3</t>
  </si>
  <si>
    <t>Q9H7N4_SCAF1</t>
  </si>
  <si>
    <t>Q9H7P9_PLEKHG2</t>
  </si>
  <si>
    <t>Q9H7R5-2_ZNF665</t>
  </si>
  <si>
    <t>Q9H7U1-2_CCSER2</t>
  </si>
  <si>
    <t>Q9H7X3_ZNF696</t>
  </si>
  <si>
    <t>Q9H7Z6_KAT8</t>
  </si>
  <si>
    <t>Q9H7Z7_PTGES2</t>
  </si>
  <si>
    <t>Q9H814_PHAX</t>
  </si>
  <si>
    <t>Q9H832_UBE2Z</t>
  </si>
  <si>
    <t>Q9H840_GEMIN7</t>
  </si>
  <si>
    <t>Q9H845_ACAD9</t>
  </si>
  <si>
    <t>Q9H857-2_NT5DC2</t>
  </si>
  <si>
    <t>Q9H869-5_YY1AP1</t>
  </si>
  <si>
    <t>Q9H871_RMND5A</t>
  </si>
  <si>
    <t>Q9H875_PRKRIP1</t>
  </si>
  <si>
    <t>Q9H8E8_CSRP2BP</t>
  </si>
  <si>
    <t>Q9H8G2_CAAP1</t>
  </si>
  <si>
    <t>Q9H8H0_NOL11</t>
  </si>
  <si>
    <t>Q9H8M2_BRD9</t>
  </si>
  <si>
    <t>Q9H8M7_FAM188A</t>
  </si>
  <si>
    <t>Q9H8S9_MOB1A</t>
  </si>
  <si>
    <t>Q9H8U3_ZFAND3</t>
  </si>
  <si>
    <t>Q9H8V3_ECT2</t>
  </si>
  <si>
    <t>Q9H8W4_PLEKHF2</t>
  </si>
  <si>
    <t>Q9H8Y5_ANKZF1</t>
  </si>
  <si>
    <t>Q9H8Y8_GORASP2</t>
  </si>
  <si>
    <t>Q9H900_ZWILCH</t>
  </si>
  <si>
    <t>Q9H910-2_HN1L</t>
  </si>
  <si>
    <t>Q9H939_PSTPIP2</t>
  </si>
  <si>
    <t>Q9H944_MED20</t>
  </si>
  <si>
    <t>Q9H967_WDR76</t>
  </si>
  <si>
    <t>Q9H974_QTRTD1</t>
  </si>
  <si>
    <t>Q9H993_C6orf211</t>
  </si>
  <si>
    <t>Q9H999_PANK3</t>
  </si>
  <si>
    <t>Q9H9A5-2_CNOT10</t>
  </si>
  <si>
    <t>Q9H9A6_LRRC40</t>
  </si>
  <si>
    <t>Q9H9A7_RMI1</t>
  </si>
  <si>
    <t>Q9H9B1_EHMT1</t>
  </si>
  <si>
    <t>Q9H9B4_SFXN1</t>
  </si>
  <si>
    <t>Q9H9C1-2_VIPAS39</t>
  </si>
  <si>
    <t>Q9H9D4_ZNF408</t>
  </si>
  <si>
    <t>Q9H9E3_COG4</t>
  </si>
  <si>
    <t>Q9H9F9_ACTR5</t>
  </si>
  <si>
    <t>Q9H9G7_AGO3</t>
  </si>
  <si>
    <t>Q9H9H4_VPS37B</t>
  </si>
  <si>
    <t>Q9H9J2_MRPL44</t>
  </si>
  <si>
    <t>Q9H9L3_ISG20L2</t>
  </si>
  <si>
    <t>Q9H9Q4_NHEJ1</t>
  </si>
  <si>
    <t>Q9H9S4_CAB39L</t>
  </si>
  <si>
    <t>Q9H9T3-2_ELP3</t>
  </si>
  <si>
    <t>Q9H9V9-2_JMJD4</t>
  </si>
  <si>
    <t>Q9H9Y4_GPN2</t>
  </si>
  <si>
    <t>Q9H9Y6-2_POLR1B</t>
  </si>
  <si>
    <t>Q9HA38-2_ZMAT3</t>
  </si>
  <si>
    <t>Q9HA47-3_UCK1</t>
  </si>
  <si>
    <t>Q9HA64_FN3KRP</t>
  </si>
  <si>
    <t>Q9HA65-2_TBC1D17</t>
  </si>
  <si>
    <t>Q9HA77_CARS2</t>
  </si>
  <si>
    <t>Q9HAB8_PPCS</t>
  </si>
  <si>
    <t>Q9HAF1-2_MEAF6</t>
  </si>
  <si>
    <t>Q9HAJ7_SAP30L</t>
  </si>
  <si>
    <t>Q9HAN9_NMNAT1</t>
  </si>
  <si>
    <t>Q9HAP2_MLXIP</t>
  </si>
  <si>
    <t>Q9HAR2-3_LPHN3</t>
  </si>
  <si>
    <t>Q9HAT2_SIAE</t>
  </si>
  <si>
    <t>Q9HAU0_PLEKHA5</t>
  </si>
  <si>
    <t>Q9HAU5_UPF2</t>
  </si>
  <si>
    <t>Q9HAV4_XPO5</t>
  </si>
  <si>
    <t>Q9HAV7_GRPEL1</t>
  </si>
  <si>
    <t>Q9HAW4-2_CLSPN</t>
  </si>
  <si>
    <t>Q9HB19_PLEKHA2</t>
  </si>
  <si>
    <t>Q9HB21_PLEKHA1</t>
  </si>
  <si>
    <t>Q9HB40_SCPEP1</t>
  </si>
  <si>
    <t>Q9HB58-6_SP110</t>
  </si>
  <si>
    <t>Q9HB71_CACYBP</t>
  </si>
  <si>
    <t>Q9HB90_RRAGC</t>
  </si>
  <si>
    <t>Q9HB96_FANCE</t>
  </si>
  <si>
    <t>Q9HBE1-4_PATZ1</t>
  </si>
  <si>
    <t>Q9HBE4-2_IL21</t>
  </si>
  <si>
    <t>Q9HBI1_PARVB</t>
  </si>
  <si>
    <t>Q9HBL8_NMRAL1</t>
  </si>
  <si>
    <t>Q9HBM1_SPC25</t>
  </si>
  <si>
    <t>Q9HBM6_TAF9B</t>
  </si>
  <si>
    <t>Q9HBR0_SLC38A10</t>
  </si>
  <si>
    <t>Q9HBU6_ETNK1</t>
  </si>
  <si>
    <t>Q9HC35_EML4</t>
  </si>
  <si>
    <t>Q9HC38-2_GLOD4</t>
  </si>
  <si>
    <t>Q9HC44_GPBP1L1</t>
  </si>
  <si>
    <t>Q9HC52_CBX8</t>
  </si>
  <si>
    <t>Q9HC77_CENPJ</t>
  </si>
  <si>
    <t>Q9HCC0_MCCC2</t>
  </si>
  <si>
    <t>Q9HCC9-2_ZFYVE28</t>
  </si>
  <si>
    <t>Q9HCC9-5_ZFYVE28</t>
  </si>
  <si>
    <t>Q9HCD5_NCOA5</t>
  </si>
  <si>
    <t>Q9HCE0-2_EPG5</t>
  </si>
  <si>
    <t>Q9HCE1_MOV10</t>
  </si>
  <si>
    <t>Q9HCE5_METTL14</t>
  </si>
  <si>
    <t>Q9HCH0-3_NCKAP5L</t>
  </si>
  <si>
    <t>Q9HCI7_MSL2</t>
  </si>
  <si>
    <t>Q9HCJ0_TNRC6C</t>
  </si>
  <si>
    <t>Q9HCJ3-2_RAVER2</t>
  </si>
  <si>
    <t>Q9HCK8_CHD8</t>
  </si>
  <si>
    <t>Q9HCM4-4_EPB41L5</t>
  </si>
  <si>
    <t>Q9HCN4-2_GPN1</t>
  </si>
  <si>
    <t>Q9HCN8_SDF2L1</t>
  </si>
  <si>
    <t>Q9HCU8_POLD4</t>
  </si>
  <si>
    <t>Q9HD15_SRA1</t>
  </si>
  <si>
    <t>Q9HD20-2_ATP13A1</t>
  </si>
  <si>
    <t>Q9HD26_GOPC</t>
  </si>
  <si>
    <t>Q9HD40_SEPSECS</t>
  </si>
  <si>
    <t>Q9HD42_CHMP1A</t>
  </si>
  <si>
    <t>Q9HD45_TM9SF3</t>
  </si>
  <si>
    <t>Q9HD47-2_RANGRF</t>
  </si>
  <si>
    <t>Q9HDC5_JPH1</t>
  </si>
  <si>
    <t>Q9NNW5_WDR6</t>
  </si>
  <si>
    <t>Q9NNX1-3_TUFT1</t>
  </si>
  <si>
    <t>Q9NP50_FAM60A</t>
  </si>
  <si>
    <t>Q9NP64-2_ZCCHC17</t>
  </si>
  <si>
    <t>Q9NP66_HMG20A</t>
  </si>
  <si>
    <t>Q9NP72_RAB18</t>
  </si>
  <si>
    <t>Q9NP73_ALG13</t>
  </si>
  <si>
    <t>Q9NP74_PALMD</t>
  </si>
  <si>
    <t>Q9NP77_SSU72</t>
  </si>
  <si>
    <t>Q9NP79_VTA1</t>
  </si>
  <si>
    <t>Q9NP97_DYNLRB1</t>
  </si>
  <si>
    <t>Q9NPA3_MID1IP1</t>
  </si>
  <si>
    <t>Q9NPA8-2_ENY2</t>
  </si>
  <si>
    <t>Q9NPB8_GPCPD1</t>
  </si>
  <si>
    <t>Q9NPD3_EXOSC4</t>
  </si>
  <si>
    <t>Q9NPD8_UBE2T</t>
  </si>
  <si>
    <t>Q9NPE3_NOP10</t>
  </si>
  <si>
    <t>Q9NPF4_OSGEP</t>
  </si>
  <si>
    <t>Q9NPF5_DMAP1</t>
  </si>
  <si>
    <t>Q9NPG3-2_UBN1</t>
  </si>
  <si>
    <t>Q9NPH3-5_IL1RAP</t>
  </si>
  <si>
    <t>Q9NPI1_BRD7</t>
  </si>
  <si>
    <t>Q9NPI6_DCP1A</t>
  </si>
  <si>
    <t>Q9NPJ3_ACOT13</t>
  </si>
  <si>
    <t>Q9NPJ6_MED4</t>
  </si>
  <si>
    <t>Q9NPJ8_NXT2</t>
  </si>
  <si>
    <t>Q9NPQ8_RIC8A</t>
  </si>
  <si>
    <t>Q9NQ29_LUC7L</t>
  </si>
  <si>
    <t>Q9NQ55-2_PPAN</t>
  </si>
  <si>
    <t>Q9NQ88_TIGAR</t>
  </si>
  <si>
    <t>Q9NQ92_COPRS</t>
  </si>
  <si>
    <t>Q9NQA3_WASH6P</t>
  </si>
  <si>
    <t>Q9NQC3_RTN4</t>
  </si>
  <si>
    <t>Q9NQE9_HINT3</t>
  </si>
  <si>
    <t>Q9NQG5_RPRD1B</t>
  </si>
  <si>
    <t>Q9NQG6_SMCR7L</t>
  </si>
  <si>
    <t>Q9NQL2_RRAGD</t>
  </si>
  <si>
    <t>Q9NQP4_PFDN4</t>
  </si>
  <si>
    <t>Q9NQR1-2_SETD8</t>
  </si>
  <si>
    <t>Q9NQR4_NIT2</t>
  </si>
  <si>
    <t>Q9NQS1_AVEN</t>
  </si>
  <si>
    <t>Q9NQS7-2_INCENP</t>
  </si>
  <si>
    <t>Q9NQT4_EXOSC5</t>
  </si>
  <si>
    <t>Q9NQT5_EXOSC3</t>
  </si>
  <si>
    <t>Q9NQT8_KIF13B</t>
  </si>
  <si>
    <t>Q9NQV6-2_PRDM10</t>
  </si>
  <si>
    <t>Q9NQW6_ANLN</t>
  </si>
  <si>
    <t>Q9NQW7-3_XPNPEP1</t>
  </si>
  <si>
    <t>Q9NQX3_GPHN</t>
  </si>
  <si>
    <t>Q9NQY0_BIN3</t>
  </si>
  <si>
    <t>Q9NQZ2_UTP3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</si>
  <si>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</si>
  <si>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</si>
  <si>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</si>
  <si>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</si>
  <si>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</si>
  <si>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</si>
  <si>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</si>
  <si>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</si>
  <si>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</si>
  <si>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Q9NR46_SH3GLB2</t>
  </si>
  <si>
    <t>Q9NR50_EIF2B3</t>
  </si>
  <si>
    <t>Q9NR82-4_KCNQ5</t>
  </si>
  <si>
    <t>Q9NRD1_FBXO6</t>
  </si>
  <si>
    <t>Q9NRD5_PICK1</t>
  </si>
  <si>
    <t>Q9NRF2-3_SH2B1</t>
  </si>
  <si>
    <t>Q9NRF8_CTPS2</t>
  </si>
  <si>
    <t>Q9NRF9_POLE3</t>
  </si>
  <si>
    <t>Q9NRG0_CHRAC1</t>
  </si>
  <si>
    <t>Q9NRG1_PRTFDC1</t>
  </si>
  <si>
    <t>Q9NRG4_SMYD2</t>
  </si>
  <si>
    <t>Q9NRH1_YAE1D1</t>
  </si>
  <si>
    <t>Q9NRL2-2_BAZ1A</t>
  </si>
  <si>
    <t>Q9NRL3_STRN4</t>
  </si>
  <si>
    <t>Q9NRN7_AASDHPPT</t>
  </si>
  <si>
    <t>Q9NRN9_METTL5</t>
  </si>
  <si>
    <t>Q9NRR5_UBQLN4</t>
  </si>
  <si>
    <t>Q9NRS6_SNX15</t>
  </si>
  <si>
    <t>Q9NRV9_HEBP1</t>
  </si>
  <si>
    <t>Q9NRW1_RAB6B</t>
  </si>
  <si>
    <t>Q9NRW4_DUSP22</t>
  </si>
  <si>
    <t>Q9NRW7_VPS45</t>
  </si>
  <si>
    <t>Q9NRX4_PHPT1</t>
  </si>
  <si>
    <t>Q9NRY2_INIP</t>
  </si>
  <si>
    <t>Q9NRY4_ARHGAP35</t>
  </si>
  <si>
    <t>Q9NRY5_FAM114A2</t>
  </si>
  <si>
    <t>Q9NRZ9-6_HELLS</t>
  </si>
  <si>
    <t>Q9NS18_GLRX2</t>
  </si>
  <si>
    <t>Q9NS56_TOPORS</t>
  </si>
  <si>
    <t>Q9NS73-2_MBIP</t>
  </si>
  <si>
    <t>Q9NS86_LANCL2</t>
  </si>
  <si>
    <t>Q9NS87-2_KIF15</t>
  </si>
  <si>
    <t>Q9NS91_RAD18</t>
  </si>
  <si>
    <t>Q9NSA3_CTNNBIP1</t>
  </si>
  <si>
    <t>Q9NSC5-5_HOMER3</t>
  </si>
  <si>
    <t>Q9NSD9_FARSB</t>
  </si>
  <si>
    <t>Q9NSE2_CISH</t>
  </si>
  <si>
    <t>Q9NSE4_IARS2</t>
  </si>
  <si>
    <t>Q9NSG2_C1orf112</t>
  </si>
  <si>
    <t>Q9NSI2-2_FAM207A</t>
  </si>
  <si>
    <t>Q9NSI6-3_BRWD1</t>
  </si>
  <si>
    <t>Q9NSI8_SAMSN1</t>
  </si>
  <si>
    <t>Q9NSK0_KLC4</t>
  </si>
  <si>
    <t>Q9NSQ0_RRP7B</t>
  </si>
  <si>
    <t>Q9NSY0_NRBP2</t>
  </si>
  <si>
    <t>Q9NSY1_BMP2K</t>
  </si>
  <si>
    <t>Q9NT62_ATG3</t>
  </si>
  <si>
    <t>Q9NT99_LRRC4B</t>
  </si>
  <si>
    <t>Q9NTG7_SIRT3</t>
  </si>
  <si>
    <t>Q9NTI5-2_PDS5B</t>
  </si>
  <si>
    <t>Q9NTJ3_SMC4</t>
  </si>
  <si>
    <t>Q9NTJ4-3_MAN2C1</t>
  </si>
  <si>
    <t>Q9NTK5_OLA1</t>
  </si>
  <si>
    <t>Q9NTK5-2_OLA1</t>
  </si>
  <si>
    <t>Q9NTM9_CUTC</t>
  </si>
  <si>
    <t>Q9NTX5-2_ECHDC1</t>
  </si>
  <si>
    <t>Q9NTZ6_RBM12</t>
  </si>
  <si>
    <t>Q9NU19_TBC1D22B</t>
  </si>
  <si>
    <t>Q9NU22_MDN1</t>
  </si>
  <si>
    <t>Q9NU23_LYRM2</t>
  </si>
  <si>
    <t>Q9NUB1-3_ACSS1</t>
  </si>
  <si>
    <t>Q9NUD5_ZCCHC3</t>
  </si>
  <si>
    <t>Q9NUG6_PDRG1</t>
  </si>
  <si>
    <t>Q9NUJ1_ABHD10</t>
  </si>
  <si>
    <t>Q9NUJ3_TCP11L1</t>
  </si>
  <si>
    <t>Q9NUL3-7_STAU2</t>
  </si>
  <si>
    <t>Q9NUM4_TMEM106B</t>
  </si>
  <si>
    <t>Q9NUP1_BLOC1S4</t>
  </si>
  <si>
    <t>Q9NUP7_TRMT13</t>
  </si>
  <si>
    <t>Q9NUQ3_TXLNG</t>
  </si>
  <si>
    <t>Q9NUQ6-2_SPATS2L</t>
  </si>
  <si>
    <t>Q9NUQ8-2_ABCF3</t>
  </si>
  <si>
    <t>Q9NUQ9_FAM49B</t>
  </si>
  <si>
    <t>Q9NUS5_AP5S1</t>
  </si>
  <si>
    <t>Q9NUU7_DDX19A</t>
  </si>
  <si>
    <t>Q9NUW8_TDP1</t>
  </si>
  <si>
    <t>Q9NUX5-2_POT1</t>
  </si>
  <si>
    <t>Q9NUY8-2_TBC1D23</t>
  </si>
  <si>
    <t>Q9NV06_DCAF13</t>
  </si>
  <si>
    <t>Q9NV31_IMP3</t>
  </si>
  <si>
    <t>Q9NV35_NUDT15</t>
  </si>
  <si>
    <t>Q9NV56_MRGBP</t>
  </si>
  <si>
    <t>Q9NV70-2_EXOC1</t>
  </si>
  <si>
    <t>Q9NV88-3_INTS9</t>
  </si>
  <si>
    <t>Q9NVA4_TMEM184C</t>
  </si>
  <si>
    <t>Q9NVC6_MED17</t>
  </si>
  <si>
    <t>Q9NVE5_USP40</t>
  </si>
  <si>
    <t>Q9NVE7_PANK4</t>
  </si>
  <si>
    <t>Q9NVF7_FBXO28</t>
  </si>
  <si>
    <t>Q9NVG8_TBC1D13</t>
  </si>
  <si>
    <t>Q9NVH0-2_EXD2</t>
  </si>
  <si>
    <t>Q9NVH2-3_INTS7</t>
  </si>
  <si>
    <t>Q9NVH6_TMLHE</t>
  </si>
  <si>
    <t>Q9NVI1_FANCI</t>
  </si>
  <si>
    <t>Q9NVI7-2_ATAD3A</t>
  </si>
  <si>
    <t>Q9NVJ2_ARL8B</t>
  </si>
  <si>
    <t>Q9NVM4-3_PRMT7</t>
  </si>
  <si>
    <t>Q9NVM6_DNAJC17</t>
  </si>
  <si>
    <t>Q9NVM9_ASUN</t>
  </si>
  <si>
    <t>Q9NVN3-3_RIC8B</t>
  </si>
  <si>
    <t>Q9NVN8_GNL3L</t>
  </si>
  <si>
    <t>Q9NVP1_DDX18</t>
  </si>
  <si>
    <t>Q9NVP2_ASF1B</t>
  </si>
  <si>
    <t>Q9NVR0_KLHL11</t>
  </si>
  <si>
    <t>Q9NVR2_INTS10</t>
  </si>
  <si>
    <t>Q9NVR5_DNAAF2</t>
  </si>
  <si>
    <t>Q9NVT9_ARMC1</t>
  </si>
  <si>
    <t>Q9NVU0-5_POLR3E</t>
  </si>
  <si>
    <t>Q9NVU7-2_SDAD1</t>
  </si>
  <si>
    <t>Q9NVX0_HAUS2</t>
  </si>
  <si>
    <t>Q9NVX2_NLE1</t>
  </si>
  <si>
    <t>Q9NVZ3_NECAP2</t>
  </si>
  <si>
    <t>Q9NW08-2_POLR3B</t>
  </si>
  <si>
    <t>Q9NW13_RBM28</t>
  </si>
  <si>
    <t>Q9NW64_RBM22</t>
  </si>
  <si>
    <t>Q9NW68-4_BSDC1</t>
  </si>
  <si>
    <t>Q9NW75-2_GPATCH2</t>
  </si>
  <si>
    <t>Q9NW82_WDR70</t>
  </si>
  <si>
    <t>Q9NWA0_MED9</t>
  </si>
  <si>
    <t>Q9NWB6_ARGLU1</t>
  </si>
  <si>
    <t>Q9NWD9_BEX4</t>
  </si>
  <si>
    <t>Q9NWH9_SLTM</t>
  </si>
  <si>
    <t>Q9NWK9_ZNHIT6</t>
  </si>
  <si>
    <t>Q9NWM3_CUEDC1</t>
  </si>
  <si>
    <t>Q9NWM8_FKBP14</t>
  </si>
  <si>
    <t>Q9NWS0_PIH1D1</t>
  </si>
  <si>
    <t>Q9NWS6_FAM118A</t>
  </si>
  <si>
    <t>Q9NWT1_PAK1IP1</t>
  </si>
  <si>
    <t>Q9NWT6_HIF1AN</t>
  </si>
  <si>
    <t>Q9NWT8_AURKAIP1</t>
  </si>
  <si>
    <t>Q9NWU1_OXSM</t>
  </si>
  <si>
    <t>Q9NWU2_GID8</t>
  </si>
  <si>
    <t>Q9NWV4_C1orf123</t>
  </si>
  <si>
    <t>Q9NWW7_C2orf42</t>
  </si>
  <si>
    <t>Q9NWX6_THG1L</t>
  </si>
  <si>
    <t>Q9NWY4_C4orf27</t>
  </si>
  <si>
    <t>Q9NWZ3_IRAK4</t>
  </si>
  <si>
    <t>Q9NWZ5-3_UCKL1</t>
  </si>
  <si>
    <t>Q9NWZ8_GEMIN8</t>
  </si>
  <si>
    <t>Q9NX01_TXNL4B</t>
  </si>
  <si>
    <t>Q9NX02-5_NLRP2</t>
  </si>
  <si>
    <t>Q9NX07_TRNAU1AP</t>
  </si>
  <si>
    <t>Q9NX08_COMMD8</t>
  </si>
  <si>
    <t>Q9NX09_DDIT4</t>
  </si>
  <si>
    <t>Q9NX24_NHP2</t>
  </si>
  <si>
    <t>Q9NX38_FAM206A</t>
  </si>
  <si>
    <t>Q9NX46_ADPRHL2</t>
  </si>
  <si>
    <t>Q9NX55_HYPK</t>
  </si>
  <si>
    <t>Q9NX58_LYAR</t>
  </si>
  <si>
    <t>Q9NX63_CHCHD3</t>
  </si>
  <si>
    <t>Q9NX70_MED29</t>
  </si>
  <si>
    <t>Q9NX74_DUS2L</t>
  </si>
  <si>
    <t>Q9NXA8_SIRT5</t>
  </si>
  <si>
    <t>Q9NXC5_MIOS</t>
  </si>
  <si>
    <t>Q9NXE8_CWC25</t>
  </si>
  <si>
    <t>Q9NXF1-2_TEX10</t>
  </si>
  <si>
    <t>Q9NXF7_DCAF16</t>
  </si>
  <si>
    <t>Q9NXG2_THUMPD1</t>
  </si>
  <si>
    <t>Q9NXH9_TRMT1</t>
  </si>
  <si>
    <t>Q9NXJ5_PGPEP1</t>
  </si>
  <si>
    <t>Q9NXK8_FBXL12</t>
  </si>
  <si>
    <t>Q9NXR1-2_NDE1</t>
  </si>
  <si>
    <t>Q9NXR7_BRE</t>
  </si>
  <si>
    <t>Q9NXU5_ARL15</t>
  </si>
  <si>
    <t>Q9NXV2_KCTD5</t>
  </si>
  <si>
    <t>Q9NXV6_CDKN2AIP</t>
  </si>
  <si>
    <t>Q9NXW2_DNAJB12</t>
  </si>
  <si>
    <t>Q9NXW9_ALKBH4</t>
  </si>
  <si>
    <t>Q9NXZ1_SAGE1</t>
  </si>
  <si>
    <t>Q9NY12-2_GAR1</t>
  </si>
  <si>
    <t>Q9NY27_PPP4R2</t>
  </si>
  <si>
    <t>Q9NY33_DPP3</t>
  </si>
  <si>
    <t>Q9NY61_AATF</t>
  </si>
  <si>
    <t>Q9NY93_DDX56</t>
  </si>
  <si>
    <t>Q9NYB0_TERF2IP</t>
  </si>
  <si>
    <t>Q9NYB9-3_ABI2</t>
  </si>
  <si>
    <t>Q9NYF3_FAM53C</t>
  </si>
  <si>
    <t>Q9NYF8-2_BCLAF1</t>
  </si>
  <si>
    <t>Q9NYG5_ANAPC11</t>
  </si>
  <si>
    <t>Q9NYJ1_COA4</t>
  </si>
  <si>
    <t>Q9NYJ8_TAB2</t>
  </si>
  <si>
    <t>Q9NYK6-3_EURL</t>
  </si>
  <si>
    <t>Q9NYL2_MLTK</t>
  </si>
  <si>
    <t>Q9NYL2-2_MLTK</t>
  </si>
  <si>
    <t>Q9NYL9_TMOD3</t>
  </si>
  <si>
    <t>Q9NYP9_MIS18A</t>
  </si>
  <si>
    <t>Q9NYU2-2_UGGT1</t>
  </si>
  <si>
    <t>Q9NYV4_CDK12</t>
  </si>
  <si>
    <t>Q9NYV4-2_CDK12</t>
  </si>
  <si>
    <t>Q9NYW8_RBAK</t>
  </si>
  <si>
    <t>Q9NYY8-2_FASTKD2</t>
  </si>
  <si>
    <t>Q9NYZ3_GTSE1</t>
  </si>
  <si>
    <t>Q9NZ08_ERAP1</t>
  </si>
  <si>
    <t>Q9NZ09-2_UBAP1</t>
  </si>
  <si>
    <t>Q9NZ32_ACTR10</t>
  </si>
  <si>
    <t>Q9NZ52_GGA3</t>
  </si>
  <si>
    <t>Q9NZ53_PODXL2</t>
  </si>
  <si>
    <t>Q9NZ63_C9orf78</t>
  </si>
  <si>
    <t>Q9NZA1-3_CLIC5</t>
  </si>
  <si>
    <t>Q9NZB2_FAM120A</t>
  </si>
  <si>
    <t>Q9NZC9_SMARCAL1</t>
  </si>
  <si>
    <t>Q9NZD2_GLTP</t>
  </si>
  <si>
    <t>Q9NZD4_AHSP</t>
  </si>
  <si>
    <t>Q9NZI8_IGF2BP1</t>
  </si>
  <si>
    <t>Q9NZJ6_COQ3</t>
  </si>
  <si>
    <t>Q9NZJ9_NUDT4</t>
  </si>
  <si>
    <t>Q9NZJ9-2_NUDT4</t>
  </si>
  <si>
    <t>Q9NZL4_HSPBP1</t>
  </si>
  <si>
    <t>Q9NZL9_MAT2B</t>
  </si>
  <si>
    <t>Q9NZL9-2_MAT2B</t>
  </si>
  <si>
    <t>Q9NZM3-2_ITSN2</t>
  </si>
  <si>
    <t>Q9NZM4-2_GLTSCR1</t>
  </si>
  <si>
    <t>Q9NZM5_GLTSCR2</t>
  </si>
  <si>
    <t>Q9NZN4_EHD2</t>
  </si>
  <si>
    <t>Q9NZN5-2_ARHGEF12</t>
  </si>
  <si>
    <t>Q9NZQ3-3_NCKIPSD</t>
  </si>
  <si>
    <t>Q9NZR2_LRP1B</t>
  </si>
  <si>
    <t>Q9NZT2-2_OGFR</t>
  </si>
  <si>
    <t>Q9NZV6_MSRB1</t>
  </si>
  <si>
    <t>Q9NZW5_MPP6</t>
  </si>
  <si>
    <t>Q9NZZ3_CHMP5</t>
  </si>
  <si>
    <t>Q9P000_COMMD9</t>
  </si>
  <si>
    <t>Q9P013_CWC15</t>
  </si>
  <si>
    <t>Q9P016_THYN1</t>
  </si>
  <si>
    <t>Q9P031_CCDC59</t>
  </si>
  <si>
    <t>Q9P032_NDUFAF4</t>
  </si>
  <si>
    <t>Q9P035_PTPLAD1</t>
  </si>
  <si>
    <t>Q9P0J7_KCMF1</t>
  </si>
  <si>
    <t>Q9P0K7-3_RAI14</t>
  </si>
  <si>
    <t>Q9P0L0_VAPA</t>
  </si>
  <si>
    <t>Q9P0N9-3_TBC1D7</t>
  </si>
  <si>
    <t>Q9P0R6_GSKIP</t>
  </si>
  <si>
    <t>Q9P0U3-2_SENP1</t>
  </si>
  <si>
    <t>Q9P0U4_CXXC1</t>
  </si>
  <si>
    <t>Q9P0W2_HMG20B</t>
  </si>
  <si>
    <t>Q9P107_GMIP</t>
  </si>
  <si>
    <t>Q9P1F3_ABRACL</t>
  </si>
  <si>
    <t>Q9P1Q0-3_VPS54</t>
  </si>
  <si>
    <t>Q9P1U0_ZNRD1</t>
  </si>
  <si>
    <t>Q9P1U1_ACTR3B</t>
  </si>
  <si>
    <t>Q9P1Z2-2_CALCOCO1</t>
  </si>
  <si>
    <t>Q9P206-2_KIAA1522</t>
  </si>
  <si>
    <t>Q9P209_CEP72</t>
  </si>
  <si>
    <t>Q9P219_CCDC88C</t>
  </si>
  <si>
    <t>Q9P244_LRFN1</t>
  </si>
  <si>
    <t>Q9P246_STIM2</t>
  </si>
  <si>
    <t>Q9P253_VPS18</t>
  </si>
  <si>
    <t>Q9P258_RCC2</t>
  </si>
  <si>
    <t>Q9P260_KIAA1468</t>
  </si>
  <si>
    <t>Q9P265_DIP2B</t>
  </si>
  <si>
    <t>Q9P270_SLAIN2</t>
  </si>
  <si>
    <t>Q9P275_USP36</t>
  </si>
  <si>
    <t>Q9P287_BCCIP</t>
  </si>
  <si>
    <t>Q9P289_MST4</t>
  </si>
  <si>
    <t>Q9P2B4_CTTNBP2NL</t>
  </si>
  <si>
    <t>Q9P2B7-2_KIAA1430</t>
  </si>
  <si>
    <t>Q9P2D1_CHD7</t>
  </si>
  <si>
    <t>Q9P2D3_HEATR5B</t>
  </si>
  <si>
    <t>Q9P2E3_ZNFX1</t>
  </si>
  <si>
    <t>Q9P2E9_RRBP1</t>
  </si>
  <si>
    <t>Q9P2F9_ZNF319</t>
  </si>
  <si>
    <t>Q9P2I0_CPSF2</t>
  </si>
  <si>
    <t>Q9P2J5_LARS</t>
  </si>
  <si>
    <t>Q9P2K3_RCOR3</t>
  </si>
  <si>
    <t>Q9P2K5-2_MYEF2</t>
  </si>
  <si>
    <t>Q9P2K6_KLHL42</t>
  </si>
  <si>
    <t>Q9P2K8-2_EIF2AK4</t>
  </si>
  <si>
    <t>Q9P2M4_TBC1D14</t>
  </si>
  <si>
    <t>Q9P2N2-3_ARHGAP28</t>
  </si>
  <si>
    <t>Q9P2N5_RBM27</t>
  </si>
  <si>
    <t>Q9P2N6-3_KANSL3</t>
  </si>
  <si>
    <t>Q9P2P1_NYNRIN</t>
  </si>
  <si>
    <t>Q9P2R3_ANKFY1</t>
  </si>
  <si>
    <t>Q9P2R6_RERE</t>
  </si>
  <si>
    <t>Q9P2S5_WRAP73</t>
  </si>
  <si>
    <t>Q9P2W1_PSMC3IP</t>
  </si>
  <si>
    <t>Q9P2X3_IMPACT</t>
  </si>
  <si>
    <t>Q9P2Y5_UVRAG</t>
  </si>
  <si>
    <t>Q9UBB4_ATXN10</t>
  </si>
  <si>
    <t>Q9UBB5_MBD2</t>
  </si>
  <si>
    <t>Q9UBB6_NCDN</t>
  </si>
  <si>
    <t>Q9UBB9_TFIP11</t>
  </si>
  <si>
    <t>Q9UBC2-2_EPS15L1</t>
  </si>
  <si>
    <t>Q9UBC3-6_DNMT3B</t>
  </si>
  <si>
    <t>Q9UBD5_ORC3</t>
  </si>
  <si>
    <t>Q9UBE0_SAE1</t>
  </si>
  <si>
    <t>Q9UBF1_MAGEC2</t>
  </si>
  <si>
    <t>Q9UBF2_COPG2</t>
  </si>
  <si>
    <t>Q9UBF6_RNF7</t>
  </si>
  <si>
    <t>Q9UBF8-2_PI4KB</t>
  </si>
  <si>
    <t>Q9UBI1_COMMD3</t>
  </si>
  <si>
    <t>Q9UBI9_HECA</t>
  </si>
  <si>
    <t>Q9UBK8-2_MTRR</t>
  </si>
  <si>
    <t>Q9UBK9_UXT</t>
  </si>
  <si>
    <t>Q9UBL3-3_ASH2L</t>
  </si>
  <si>
    <t>Q9UBL6-2_CPNE7</t>
  </si>
  <si>
    <t>Q9UBP0-3_SPAST</t>
  </si>
  <si>
    <t>Q9UBP6_METTL1</t>
  </si>
  <si>
    <t>Q9UBQ0_VPS29</t>
  </si>
  <si>
    <t>Q9UBQ7_GRHPR</t>
  </si>
  <si>
    <t>Q9UBR2_CTSZ</t>
  </si>
  <si>
    <t>Q9UBS0_RPS6KB2</t>
  </si>
  <si>
    <t>Q9UBS4_DNAJB11</t>
  </si>
  <si>
    <t>Q9UBS8_RNF14</t>
  </si>
  <si>
    <t>Q9UBT2_UBA2</t>
  </si>
  <si>
    <t>Q9UBT7-3_CTNNAL1</t>
  </si>
  <si>
    <t>Q9UBU7_DBF4</t>
  </si>
  <si>
    <t>Q9UBU8-2_MORF4L1</t>
  </si>
  <si>
    <t>Q9UBU9_NXF1</t>
  </si>
  <si>
    <t>Q9UBV8_PEF1</t>
  </si>
  <si>
    <t>Q9UBW7_ZMYM2</t>
  </si>
  <si>
    <t>Q9UBW8_COPS7A</t>
  </si>
  <si>
    <t>Q9UDT6-2_CLIP2</t>
  </si>
  <si>
    <t>Q9UDV7_ZNF282</t>
  </si>
  <si>
    <t>Q9UDY2_TJP2</t>
  </si>
  <si>
    <t>Q9UDY4_DNAJB4</t>
  </si>
  <si>
    <t>Q9UDY8_MALT1</t>
  </si>
  <si>
    <t>Q9UEE9_CFDP1</t>
  </si>
  <si>
    <t>Q9UEG4_ZNF629</t>
  </si>
  <si>
    <t>Q9UER7_DAXX</t>
  </si>
  <si>
    <t>Q9UET6-2_FTSJ1</t>
  </si>
  <si>
    <t>Q9UEU0_VTI1B</t>
  </si>
  <si>
    <t>Q9UEY8-2_ADD3</t>
  </si>
  <si>
    <t>Q9UFC0_LRWD1</t>
  </si>
  <si>
    <t>Q9UFG5_C19orf25</t>
  </si>
  <si>
    <t>Q9UFN0_NIPSNAP3A</t>
  </si>
  <si>
    <t>Q9UFW8_CGGBP1</t>
  </si>
  <si>
    <t>Q9UG01_IFT172</t>
  </si>
  <si>
    <t>Q9UG63_ABCF2</t>
  </si>
  <si>
    <t>Q9UGI8_TES</t>
  </si>
  <si>
    <t>Q9UGI8-2_TES</t>
  </si>
  <si>
    <t>Q9UGK8_SERGEF</t>
  </si>
  <si>
    <t>Q9UGP4_LIMD1</t>
  </si>
  <si>
    <t>Q9UGP8_SEC63</t>
  </si>
  <si>
    <t>Q9UGR2-2_ZC3H7B</t>
  </si>
  <si>
    <t>Q9UGU0-2_TCF20</t>
  </si>
  <si>
    <t>Q9UGU5_HMGXB4</t>
  </si>
  <si>
    <t>Q9UGV2_NDRG3</t>
  </si>
  <si>
    <t>Q9UH62_ARMCX3</t>
  </si>
  <si>
    <t>Q9UH65_SWAP70</t>
  </si>
  <si>
    <t>Q9UH90_FBXO40</t>
  </si>
  <si>
    <t>Q9UH92-2_MLX</t>
  </si>
  <si>
    <t>Q9UHA3_RSL24D1</t>
  </si>
  <si>
    <t>Q9UHA4_LAMTOR3</t>
  </si>
  <si>
    <t>Q9UHB6_LIMA1</t>
  </si>
  <si>
    <t>Q9UHB6-4_LIMA1</t>
  </si>
  <si>
    <t>Q9UHB7_AFF4</t>
  </si>
  <si>
    <t>Q9UHB9_SRP68</t>
  </si>
  <si>
    <t>Q9UHD1_CHORDC1</t>
  </si>
  <si>
    <t>Q9UHD2_TBK1</t>
  </si>
  <si>
    <t>Q9UHD8-7_SEPT9</t>
  </si>
  <si>
    <t>Q9UHD9_UBQLN2</t>
  </si>
  <si>
    <t>Q9UHF1_EGFL7</t>
  </si>
  <si>
    <t>Q9UHI6_DDX20</t>
  </si>
  <si>
    <t>Q9UHJ3-2_SFMBT1</t>
  </si>
  <si>
    <t>Q9UHJ6_SHPK</t>
  </si>
  <si>
    <t>Q9UHK0_NUFIP1</t>
  </si>
  <si>
    <t>Q9UHL4_DPP7</t>
  </si>
  <si>
    <t>Q9UHN1_POLG2</t>
  </si>
  <si>
    <t>Q9UHP3_USP25</t>
  </si>
  <si>
    <t>Q9UHQ1-4_NARF</t>
  </si>
  <si>
    <t>Q9UHR4_BAIAP2L1</t>
  </si>
  <si>
    <t>Q9UHR5_SAP30BP</t>
  </si>
  <si>
    <t>Q9UHR6_ZNHIT2</t>
  </si>
  <si>
    <t>Q9UHV7_MED13</t>
  </si>
  <si>
    <t>Q9UHV9_PFDN2</t>
  </si>
  <si>
    <t>Q9UHW5_GPN3</t>
  </si>
  <si>
    <t>Q9UHX1-2_PUF60</t>
  </si>
  <si>
    <t>Q9UHY1_NRBP1</t>
  </si>
  <si>
    <t>Q9UHY7_ENOPH1</t>
  </si>
  <si>
    <t>Q9UI08_EVL</t>
  </si>
  <si>
    <t>Q9UI10_EIF2B4</t>
  </si>
  <si>
    <t>Q9UI10-3_EIF2B4</t>
  </si>
  <si>
    <t>Q9UI12_ATP6V1H</t>
  </si>
  <si>
    <t>Q9UI26_IPO11</t>
  </si>
  <si>
    <t>Q9UI30_TRMT112</t>
  </si>
  <si>
    <t>Q9UI95_MAD2L2</t>
  </si>
  <si>
    <t>Q9UIA9_XPO7</t>
  </si>
  <si>
    <t>Q9UIC8_LCMT1</t>
  </si>
  <si>
    <t>Q9UID3_VPS51</t>
  </si>
  <si>
    <t>Q9UIG0-2_BAZ1B</t>
  </si>
  <si>
    <t>Q9UII2_ATPIF1</t>
  </si>
  <si>
    <t>Q9UIL1-3_SCOC</t>
  </si>
  <si>
    <t>Q9UIM3_FKBPL</t>
  </si>
  <si>
    <t>Q9UIQ6-3_LNPEP</t>
  </si>
  <si>
    <t>Q9UIU6_SIX4</t>
  </si>
  <si>
    <t>Q9UIV1_CNOT7</t>
  </si>
  <si>
    <t>Q9UJ04_TSPYL4</t>
  </si>
  <si>
    <t>Q9UJ41-2_RABGEF1</t>
  </si>
  <si>
    <t>Q9UJ68-2_MSRA</t>
  </si>
  <si>
    <t>Q9UJ70_NAGK</t>
  </si>
  <si>
    <t>Q9UJA5_TRMT6</t>
  </si>
  <si>
    <t>Q9UJC5_SH3BGRL2</t>
  </si>
  <si>
    <t>Q9UJJ2_ZNF280C</t>
  </si>
  <si>
    <t>Q9UJK0_TSR3</t>
  </si>
  <si>
    <t>Q9UJM3_ERRFI1</t>
  </si>
  <si>
    <t>Q9UJN7_ZNF391</t>
  </si>
  <si>
    <t>Q9UJT0_TUBE1</t>
  </si>
  <si>
    <t>Q9UJT2-2_TSKS</t>
  </si>
  <si>
    <t>Q9UJU6_DBNL</t>
  </si>
  <si>
    <t>Q9UJU6-2_DBNL</t>
  </si>
  <si>
    <t>Q9UJV9_DDX41</t>
  </si>
  <si>
    <t>Q9UJW0_DCTN4</t>
  </si>
  <si>
    <t>Q9UJX2-3_CDC23</t>
  </si>
  <si>
    <t>Q9UJX3-2_ANAPC7</t>
  </si>
  <si>
    <t>Q9UJX6_ANAPC2</t>
  </si>
  <si>
    <t>Q9UJY4_GGA2</t>
  </si>
  <si>
    <t>Q9UJY5-4_GGA1</t>
  </si>
  <si>
    <t>Q9UK33_ZNF580</t>
  </si>
  <si>
    <t>Q9UK41_VPS28</t>
  </si>
  <si>
    <t>Q9UK45_LSM7</t>
  </si>
  <si>
    <t>Q9UK59_DBR1</t>
  </si>
  <si>
    <t>Q9UK61-3_FAM208A</t>
  </si>
  <si>
    <t>Q9UK73_FEM1B</t>
  </si>
  <si>
    <t>Q9UK80-2_USP21</t>
  </si>
  <si>
    <t>Q9UK97-3_FBXO9</t>
  </si>
  <si>
    <t>Q9UK99-2_FBXO3</t>
  </si>
  <si>
    <t>Q9UKA4_AKAP11</t>
  </si>
  <si>
    <t>Q9UKA9_PTBP2</t>
  </si>
  <si>
    <t>Q9UKB1-2_FBXW11</t>
  </si>
  <si>
    <t>Q9UKB3_DNAJC12</t>
  </si>
  <si>
    <t>Q9UKB5_AJAP1</t>
  </si>
  <si>
    <t>Q9UKD2_MRTO4</t>
  </si>
  <si>
    <t>Q9UKE5_TNIK</t>
  </si>
  <si>
    <t>Q9UKF6_CPSF3</t>
  </si>
  <si>
    <t>Q9UKG1_APPL1</t>
  </si>
  <si>
    <t>Q9UKI8_TLK1</t>
  </si>
  <si>
    <t>Q9UKJ3_GPATCH8</t>
  </si>
  <si>
    <t>Q9UKK3_PARP4</t>
  </si>
  <si>
    <t>Q9UKL0_RCOR1</t>
  </si>
  <si>
    <t>Q9UKL3_CASP8AP2</t>
  </si>
  <si>
    <t>Q9UKL6_PCTP</t>
  </si>
  <si>
    <t>Q9UKN8_GTF3C4</t>
  </si>
  <si>
    <t>Q9UKS6_PACSIN3</t>
  </si>
  <si>
    <t>Q9UKT5_FBXO4</t>
  </si>
  <si>
    <t>Q9UKT9-7_IKZF3</t>
  </si>
  <si>
    <t>Q9UKU7_ACAD8</t>
  </si>
  <si>
    <t>Q9UKV3_ACIN1</t>
  </si>
  <si>
    <t>Q9UKV3-5_ACIN1</t>
  </si>
  <si>
    <t>Q9UKV8_AGO2</t>
  </si>
  <si>
    <t>Q9UKX7_NUP50</t>
  </si>
  <si>
    <t>Q9UKY1_ZHX1</t>
  </si>
  <si>
    <t>Q9UKY7_CDV3</t>
  </si>
  <si>
    <t>Q9UKZ1_CNOT11</t>
  </si>
  <si>
    <t>Q9UL03-3_INTS6</t>
  </si>
  <si>
    <t>Q9UL15_BAG5</t>
  </si>
  <si>
    <t>Q9UL25_RAB21</t>
  </si>
  <si>
    <t>Q9UL26_RAB22A</t>
  </si>
  <si>
    <t>Q9UL46_PSME2</t>
  </si>
  <si>
    <t>Q9UL54-2_TAOK2</t>
  </si>
  <si>
    <t>Q9UL63_MKLN1</t>
  </si>
  <si>
    <t>Q9ULA0_DNPEP</t>
  </si>
  <si>
    <t>Q9ULC3_RAB23</t>
  </si>
  <si>
    <t>Q9ULC4_MCTS1</t>
  </si>
  <si>
    <t>Q9ULD2-4_MTUS1</t>
  </si>
  <si>
    <t>Q9ULD5_ZNF777</t>
  </si>
  <si>
    <t>Q9ULD9_ZNF608</t>
  </si>
  <si>
    <t>Q9ULE0_WWC3</t>
  </si>
  <si>
    <t>Q9ULE6_PALD1</t>
  </si>
  <si>
    <t>Q9ULF5_SLC39A10</t>
  </si>
  <si>
    <t>Q9ULH0-5_KIDINS220</t>
  </si>
  <si>
    <t>Q9ULH1_ASAP1</t>
  </si>
  <si>
    <t>Q9ULH7-4_MKL2</t>
  </si>
  <si>
    <t>Q9ULJ3-2_ZBTB21</t>
  </si>
  <si>
    <t>Q9ULJ6_ZMIZ1</t>
  </si>
  <si>
    <t>Q9ULK4-4_MED23</t>
  </si>
  <si>
    <t>Q9ULL5-3_PRR12</t>
  </si>
  <si>
    <t>Q9ULM3_YEATS2</t>
  </si>
  <si>
    <t>Q9ULM6_CNOT6</t>
  </si>
  <si>
    <t>Q9ULP9-2_TBC1D24</t>
  </si>
  <si>
    <t>Q9ULR0_ISY1</t>
  </si>
  <si>
    <t>Q9ULR3_PPM1H</t>
  </si>
  <si>
    <t>Q9ULT8_HECTD1</t>
  </si>
  <si>
    <t>Q9ULU4-12_ZMYND8</t>
  </si>
  <si>
    <t>Q9ULV3-5_CIZ1</t>
  </si>
  <si>
    <t>Q9ULV4_CORO1C</t>
  </si>
  <si>
    <t>Q9ULW0_TPX2</t>
  </si>
  <si>
    <t>Q9ULW3_ABT1</t>
  </si>
  <si>
    <t>Q9ULX3_NOB1</t>
  </si>
  <si>
    <t>Q9ULX6_AKAP8L</t>
  </si>
  <si>
    <t>Q9ULZ2_STAP1</t>
  </si>
  <si>
    <t>Q9ULZ3_PYCARD</t>
  </si>
  <si>
    <t>Q9ULZ3-2_PYCARD</t>
  </si>
  <si>
    <t>Q9UM13_ANAPC10</t>
  </si>
  <si>
    <t>Q9UM54-6_MYO6</t>
  </si>
  <si>
    <t>Q9UMF0_ICAM5</t>
  </si>
  <si>
    <t>Q9UMN6_WBP7</t>
  </si>
  <si>
    <t>Q9UMR2_DDX19B</t>
  </si>
  <si>
    <t>Q9UMS0-3_NFU1</t>
  </si>
  <si>
    <t>Q9UMS4_PRPF19</t>
  </si>
  <si>
    <t>Q9UMX0_UBQLN1</t>
  </si>
  <si>
    <t>Q9UMX5_NENF</t>
  </si>
  <si>
    <t>Q9UMY1_NOL7</t>
  </si>
  <si>
    <t>Q9UMY4-2_SNX12</t>
  </si>
  <si>
    <t>Q9UMZ2-5_SYNRG</t>
  </si>
  <si>
    <t>Q9UN36-2_NDRG2</t>
  </si>
  <si>
    <t>Q9UN37_VPS4A</t>
  </si>
  <si>
    <t>Q9UN86-2_G3BP2</t>
  </si>
  <si>
    <t>Q9UNE7_STUB1</t>
  </si>
  <si>
    <t>Q9UNF0-2_PACSIN2</t>
  </si>
  <si>
    <t>Q9UNF1_MAGED2</t>
  </si>
  <si>
    <t>Q9UNH7_SNX6</t>
  </si>
  <si>
    <t>Q9UNL4-8_ING4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</si>
  <si>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</si>
  <si>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</si>
  <si>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</si>
  <si>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</si>
  <si>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</si>
  <si>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</si>
  <si>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</si>
  <si>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Q9UNW1_MINPP1</t>
  </si>
  <si>
    <t>Q9UNY4-2_TTF2</t>
  </si>
  <si>
    <t>Q9UNZ2_NSFL1C</t>
  </si>
  <si>
    <t>Q9UNZ5_C19orf53</t>
  </si>
  <si>
    <t>Q9UP83_COG5</t>
  </si>
  <si>
    <t>Q9UPA5_BSN</t>
  </si>
  <si>
    <t>Q9UPM8_AP4E1</t>
  </si>
  <si>
    <t>Q9UPN4-3_AZI1</t>
  </si>
  <si>
    <t>Q9UPN6_SCAF8</t>
  </si>
  <si>
    <t>Q9UPN7_PPP6R1</t>
  </si>
  <si>
    <t>Q9UPN9_TRIM33</t>
  </si>
  <si>
    <t>Q9UPP5-2_KIAA1107</t>
  </si>
  <si>
    <t>Q9UPQ3-2_AGAP1</t>
  </si>
  <si>
    <t>Q9UPQ9-1_TNRC6B</t>
  </si>
  <si>
    <t>Q9UPR0_PLCL2</t>
  </si>
  <si>
    <t>Q9UPR3_SMG5</t>
  </si>
  <si>
    <t>Q9UPS6_SETD1B</t>
  </si>
  <si>
    <t>Q9UPT5-2_EXOC7</t>
  </si>
  <si>
    <t>Q9UPT8_ZC3H4</t>
  </si>
  <si>
    <t>Q9UPT9_USP22</t>
  </si>
  <si>
    <t>Q9UPU3_SORCS3</t>
  </si>
  <si>
    <t>Q9UPU5_USP24</t>
  </si>
  <si>
    <t>Q9UPU7_TBC1D2B</t>
  </si>
  <si>
    <t>Q9UPV0-2_CEP164</t>
  </si>
  <si>
    <t>Q9UPW5_AGTPBP1</t>
  </si>
  <si>
    <t>Q9UPY3_DICER1</t>
  </si>
  <si>
    <t>Q9UPY8_MAPRE3</t>
  </si>
  <si>
    <t>Q9UPY8-2_MAPRE3</t>
  </si>
  <si>
    <t>Q9UPZ3-2_HPS5</t>
  </si>
  <si>
    <t>Q9UQ13-2_SHOC2</t>
  </si>
  <si>
    <t>Q9UQ35_SRRM2</t>
  </si>
  <si>
    <t>Q9UQ80_PA2G4</t>
  </si>
  <si>
    <t>Q9UQ84-4_EXO1</t>
  </si>
  <si>
    <t>Q9UQB8-3_BAIAP2</t>
  </si>
  <si>
    <t>Q9UQC2-2_GAB2</t>
  </si>
  <si>
    <t>Q9UQE7_SMC3</t>
  </si>
  <si>
    <t>Q9UQL6_HDAC5</t>
  </si>
  <si>
    <t>Q9UQQ2_SH2B3</t>
  </si>
  <si>
    <t>Q9UQR0_SCML2</t>
  </si>
  <si>
    <t>Q9UQR1_ZNF148</t>
  </si>
  <si>
    <t>Q9Y217_MTMR6</t>
  </si>
  <si>
    <t>Q9Y221-2_NIP7</t>
  </si>
  <si>
    <t>Q9Y222-5_DMTF1</t>
  </si>
  <si>
    <t>Q9Y223_GNE</t>
  </si>
  <si>
    <t>Q9Y224_C14orf166</t>
  </si>
  <si>
    <t>Q9Y230_RUVBL2</t>
  </si>
  <si>
    <t>Q9Y232-2_CDYL</t>
  </si>
  <si>
    <t>Q9Y232-3_CDYL</t>
  </si>
  <si>
    <t>Q9Y237_PIN4</t>
  </si>
  <si>
    <t>Q9Y244_POMP</t>
  </si>
  <si>
    <t>Q9Y248_GINS2</t>
  </si>
  <si>
    <t>Q9Y259_CHKB</t>
  </si>
  <si>
    <t>Q9Y262_EIF3L</t>
  </si>
  <si>
    <t>Q9Y263_PLAA</t>
  </si>
  <si>
    <t>Q9Y265_RUVBL1</t>
  </si>
  <si>
    <t>Q9Y266_NUDC</t>
  </si>
  <si>
    <t>Q9Y277_VDAC3</t>
  </si>
  <si>
    <t>Q9Y281-3_CFL2</t>
  </si>
  <si>
    <t>Q9Y285_FARSA</t>
  </si>
  <si>
    <t>Q9Y289_SLC5A6</t>
  </si>
  <si>
    <t>Q9Y294_ASF1A</t>
  </si>
  <si>
    <t>Q9Y295_DRG1</t>
  </si>
  <si>
    <t>Q9Y296_TRAPPC4</t>
  </si>
  <si>
    <t>Q9Y2A7_NCKAP1</t>
  </si>
  <si>
    <t>Q9Y2B0_CNPY2</t>
  </si>
  <si>
    <t>Q9Y2F5_KIAA0947</t>
  </si>
  <si>
    <t>Q9Y2G2-4_CARD8</t>
  </si>
  <si>
    <t>Q9Y2H0-3_DLGAP4</t>
  </si>
  <si>
    <t>Q9Y2H1_STK38L</t>
  </si>
  <si>
    <t>Q9Y2H5_PLEKHA6</t>
  </si>
  <si>
    <t>Q9Y2I1_NISCH</t>
  </si>
  <si>
    <t>Q9Y2I7_PIKFYVE</t>
  </si>
  <si>
    <t>Q9Y2I8_WDR37</t>
  </si>
  <si>
    <t>Q9Y2J2-2_EPB41L3</t>
  </si>
  <si>
    <t>Q9Y2K1-2_ZBTB1</t>
  </si>
  <si>
    <t>Q9Y2K2_SIK3</t>
  </si>
  <si>
    <t>Q9Y2K7_KDM2A</t>
  </si>
  <si>
    <t>Q9Y2L1_DIS3</t>
  </si>
  <si>
    <t>Q9Y2L9-2_LRCH1</t>
  </si>
  <si>
    <t>Q9Y2P8_RCL1</t>
  </si>
  <si>
    <t>Q9Y2Q3_GSTK1</t>
  </si>
  <si>
    <t>Q9Y2Q5_LAMTOR2</t>
  </si>
  <si>
    <t>Q9Y2R4_DDX52</t>
  </si>
  <si>
    <t>Q9Y2S0_POLR1D</t>
  </si>
  <si>
    <t>Q9Y2S2-2_CRYL1</t>
  </si>
  <si>
    <t>Q9Y2S6_TMA7</t>
  </si>
  <si>
    <t>Q9Y2S7_POLDIP2</t>
  </si>
  <si>
    <t>Q9Y2T2_AP3M1</t>
  </si>
  <si>
    <t>Q9Y2T7_YBX2</t>
  </si>
  <si>
    <t>Q9Y2U5_MAP3K2</t>
  </si>
  <si>
    <t>Q9Y2U8_LEMD3</t>
  </si>
  <si>
    <t>Q9Y2V0-2_C15orf41</t>
  </si>
  <si>
    <t>Q9Y2V2_CARHSP1</t>
  </si>
  <si>
    <t>Q9Y2V7_COG6</t>
  </si>
  <si>
    <t>Q9Y2W1_THRAP3</t>
  </si>
  <si>
    <t>Q9Y2X0-2_MED16</t>
  </si>
  <si>
    <t>Q9Y2X3_NOP58</t>
  </si>
  <si>
    <t>Q9Y2X7_GIT1</t>
  </si>
  <si>
    <t>Q9Y2Y1_POLR3K</t>
  </si>
  <si>
    <t>Q9Y2Y9_KLF13</t>
  </si>
  <si>
    <t>Q9Y2Z0_SUGT1</t>
  </si>
  <si>
    <t>Q9Y2Z0-2_SUGT1</t>
  </si>
  <si>
    <t>Q9Y2Z4_YARS2</t>
  </si>
  <si>
    <t>Q9Y303_AMDHD2</t>
  </si>
  <si>
    <t>Q9Y312_AAR2</t>
  </si>
  <si>
    <t>Q9Y314_NOSIP</t>
  </si>
  <si>
    <t>Q9Y315_DERA</t>
  </si>
  <si>
    <t>Q9Y316_MEMO1</t>
  </si>
  <si>
    <t>Q9Y330_ZBTB12</t>
  </si>
  <si>
    <t>Q9Y333_LSM2</t>
  </si>
  <si>
    <t>Q9Y343-2_SNX24</t>
  </si>
  <si>
    <t>Q9Y371_SH3GLB1</t>
  </si>
  <si>
    <t>Q9Y376_CAB39</t>
  </si>
  <si>
    <t>Q9Y383_LUC7L2</t>
  </si>
  <si>
    <t>Q9Y385_UBE2J1</t>
  </si>
  <si>
    <t>Q9Y388_RBMX2</t>
  </si>
  <si>
    <t>Q9Y399_MRPS2</t>
  </si>
  <si>
    <t>Q9Y3A2_UTP11L</t>
  </si>
  <si>
    <t>Q9Y3A3-2_MOB4</t>
  </si>
  <si>
    <t>Q9Y3A5_SBDS</t>
  </si>
  <si>
    <t>Q9Y3B2_EXOSC1</t>
  </si>
  <si>
    <t>Q9Y3B3-2_TMED7</t>
  </si>
  <si>
    <t>Q9Y3B4_SF3B14</t>
  </si>
  <si>
    <t>Q9Y3B7_MRPL11</t>
  </si>
  <si>
    <t>Q9Y3B9_RRP15</t>
  </si>
  <si>
    <t>Q9Y3C1_NOP16</t>
  </si>
  <si>
    <t>Q9Y3C4-2_TPRKB</t>
  </si>
  <si>
    <t>Q9Y3C6_PPIL1</t>
  </si>
  <si>
    <t>Q9Y3C8_UFC1</t>
  </si>
  <si>
    <t>Q9Y3D0_FAM96B</t>
  </si>
  <si>
    <t>Q9Y3D2_MSRB2</t>
  </si>
  <si>
    <t>Q9Y3D6_FIS1</t>
  </si>
  <si>
    <t>Q9Y3D8_TAF9</t>
  </si>
  <si>
    <t>Q9Y3D9_MRPS23</t>
  </si>
  <si>
    <t>Q9Y3E1_HDGFRP3</t>
  </si>
  <si>
    <t>Q9Y3E2_BOLA1</t>
  </si>
  <si>
    <t>Q9Y3E5_PTRH2</t>
  </si>
  <si>
    <t>Q9Y3E7_CHMP3</t>
  </si>
  <si>
    <t>Q9Y3F4_STRAP</t>
  </si>
  <si>
    <t>Q9Y3I0_C22orf28</t>
  </si>
  <si>
    <t>Q9Y3I1_FBXO7</t>
  </si>
  <si>
    <t>Q9Y3L3_SH3BP1</t>
  </si>
  <si>
    <t>Q9Y3P9_RABGAP1</t>
  </si>
  <si>
    <t>Q9Y3Q8_TSC22D4</t>
  </si>
  <si>
    <t>Q9Y3R5-2_DOPEY2</t>
  </si>
  <si>
    <t>Q9Y3S2_ZNF330</t>
  </si>
  <si>
    <t>Q9Y3T6_R3HCC1</t>
  </si>
  <si>
    <t>Q9Y3T9_NOC2L</t>
  </si>
  <si>
    <t>Q9Y3U8_RPL36</t>
  </si>
  <si>
    <t>Q9Y3V2-2_RWDD3</t>
  </si>
  <si>
    <t>Q9Y3X0_CCDC9</t>
  </si>
  <si>
    <t>Q9Y3Y2-4_CHTOP</t>
  </si>
  <si>
    <t>Q9Y3Z3-4_SAMHD1</t>
  </si>
  <si>
    <t>Q9Y446_PKP3</t>
  </si>
  <si>
    <t>Q9Y448_KNSTRN</t>
  </si>
  <si>
    <t>Q9Y450_HBS1L</t>
  </si>
  <si>
    <t>Q9Y450-2_HBS1L</t>
  </si>
  <si>
    <t>Q9Y478_PRKAB1</t>
  </si>
  <si>
    <t>Q9Y483-3_MTF2</t>
  </si>
  <si>
    <t>Q9Y485_DMXL1</t>
  </si>
  <si>
    <t>Q9Y490_TLN1</t>
  </si>
  <si>
    <t>Q9Y496_KIF3A</t>
  </si>
  <si>
    <t>Q9Y4A5-2_TRRAP</t>
  </si>
  <si>
    <t>Q9Y4B4_RAD54L2</t>
  </si>
  <si>
    <t>Q9Y4B6_VPRBP</t>
  </si>
  <si>
    <t>Q9Y4C1_KDM3A</t>
  </si>
  <si>
    <t>Q9Y4C2-2_FAM115A</t>
  </si>
  <si>
    <t>Q9Y4E5-2_ZNF451</t>
  </si>
  <si>
    <t>Q9Y4E5-4_ZNF451</t>
  </si>
  <si>
    <t>Q9Y4E8_USP15</t>
  </si>
  <si>
    <t>Q9Y4F3-3_KIAA0430</t>
  </si>
  <si>
    <t>Q9Y4G6_TLN2</t>
  </si>
  <si>
    <t>Q9Y4G8_RAPGEF2</t>
  </si>
  <si>
    <t>Q9Y4H2_IRS2</t>
  </si>
  <si>
    <t>Q9Y4I1-2_MYO5A</t>
  </si>
  <si>
    <t>Q9Y4I5_MTL5</t>
  </si>
  <si>
    <t>Q9Y4K1_AIM1</t>
  </si>
  <si>
    <t>Q9Y4K3_TRAF6</t>
  </si>
  <si>
    <t>Q9Y4K4_MAP4K5</t>
  </si>
  <si>
    <t>Q9Y4L1_HYOU1</t>
  </si>
  <si>
    <t>Q9Y4P1-6_ATG4B</t>
  </si>
  <si>
    <t>Q9Y4P8-3_WIPI2</t>
  </si>
  <si>
    <t>Q9Y4R8_TELO2</t>
  </si>
  <si>
    <t>Q9Y4U1_MMACHC</t>
  </si>
  <si>
    <t>Q9Y4W2-2_LAS1L</t>
  </si>
  <si>
    <t>Q9Y4W6_AFG3L2</t>
  </si>
  <si>
    <t>Q9Y4X0_AMMECR1</t>
  </si>
  <si>
    <t>Q9Y4X5_ARIH1</t>
  </si>
  <si>
    <t>Q9Y4Z0_LSM4</t>
  </si>
  <si>
    <t>Q9Y508_RNF114</t>
  </si>
  <si>
    <t>Q9Y520-4_PRRC2C</t>
  </si>
  <si>
    <t>Q9Y535_POLR3H</t>
  </si>
  <si>
    <t>Q9Y547_HSPB11</t>
  </si>
  <si>
    <t>Q9Y570_PPME1</t>
  </si>
  <si>
    <t>Q9Y580_RBM7</t>
  </si>
  <si>
    <t>Q9Y592-2_CCDC41</t>
  </si>
  <si>
    <t>Q9Y597-2_KCTD3</t>
  </si>
  <si>
    <t>Q9Y5A6_ZSCAN21</t>
  </si>
  <si>
    <t>Q9Y5A7-2_NUB1</t>
  </si>
  <si>
    <t>Q9Y5A9_YTHDF2</t>
  </si>
  <si>
    <t>Q9Y5B0_CTDP1</t>
  </si>
  <si>
    <t>Q9Y5B6_PAXBP1</t>
  </si>
  <si>
    <t>Q9Y5B8_NME7</t>
  </si>
  <si>
    <t>Q9Y5B9_SUPT16H</t>
  </si>
  <si>
    <t>Q9Y5J1_UTP18</t>
  </si>
  <si>
    <t>Q9Y5J6_TIMM10B</t>
  </si>
  <si>
    <t>Q9Y5J7_TIMM9</t>
  </si>
  <si>
    <t>Q9Y5J9_TIMM8B</t>
  </si>
  <si>
    <t>Q9Y5K5-2_UCHL5</t>
  </si>
  <si>
    <t>Q9Y5K6_CD2AP</t>
  </si>
  <si>
    <t>Q9Y5K8_ATP6V1D</t>
  </si>
  <si>
    <t>Q9Y5L0_TNPO3</t>
  </si>
  <si>
    <t>Q9Y5L4_TIMM13</t>
  </si>
  <si>
    <t>Q9Y5M8_SRPRB</t>
  </si>
  <si>
    <t>Q9Y5N5_N6AMT1</t>
  </si>
  <si>
    <t>Q9Y5P4-2_COL4A3BP</t>
  </si>
  <si>
    <t>Q9Y5P6_GMPPB</t>
  </si>
  <si>
    <t>Q9Y5Q8_GTF3C5</t>
  </si>
  <si>
    <t>Q9Y5Q9_GTF3C3</t>
  </si>
  <si>
    <t>Q9Y5R8_TRAPPC1</t>
  </si>
  <si>
    <t>Q9Y5S1_TRPV2</t>
  </si>
  <si>
    <t>Q9Y5S2_CDC42BPB</t>
  </si>
  <si>
    <t>Q9Y5S9_RBM8A</t>
  </si>
  <si>
    <t>Q9Y5U2-2_TSSC4</t>
  </si>
  <si>
    <t>Q9Y5V0_ZNF706</t>
  </si>
  <si>
    <t>Q9Y5X1_SNX9</t>
  </si>
  <si>
    <t>Q9Y5X2_SNX8</t>
  </si>
  <si>
    <t>Q9Y5X3_SNX5</t>
  </si>
  <si>
    <t>Q9Y5Y2_NUBP2</t>
  </si>
  <si>
    <t>Q9Y5Z4_HEBP2</t>
  </si>
  <si>
    <t>Q9Y600_CSAD</t>
  </si>
  <si>
    <t>Q9Y605_MRFAP1</t>
  </si>
  <si>
    <t>Q9Y608-4_LRRFIP2</t>
  </si>
  <si>
    <t>Q9Y613_FHOD1</t>
  </si>
  <si>
    <t>Q9Y617_PSAT1</t>
  </si>
  <si>
    <t>Q9Y646_CPQ</t>
  </si>
  <si>
    <t>Q9Y651_SOX21</t>
  </si>
  <si>
    <t>Q9Y657_SPIN1</t>
  </si>
  <si>
    <t>Q9Y678_COPG1</t>
  </si>
  <si>
    <t>Q9Y679_AUP1</t>
  </si>
  <si>
    <t>Q9Y680-3_FKBP7</t>
  </si>
  <si>
    <t>Q9Y692-2_GMEB1</t>
  </si>
  <si>
    <t>Q9Y696_CLIC4</t>
  </si>
  <si>
    <t>Q9Y697-2_NFS1</t>
  </si>
  <si>
    <t>Q9Y6A4_C16orf80</t>
  </si>
  <si>
    <t>Q9Y6A5_TACC3</t>
  </si>
  <si>
    <t>Q9Y6B6_SAR1B</t>
  </si>
  <si>
    <t>Q9Y6B7_AP4B1</t>
  </si>
  <si>
    <t>Q9Y6C9_MTCH2</t>
  </si>
  <si>
    <t>Q9Y6D5_ARFGEF2</t>
  </si>
  <si>
    <t>Q9Y6D6_ARFGEF1</t>
  </si>
  <si>
    <t>Q9Y6D9_MAD1L1</t>
  </si>
  <si>
    <t>Q9Y6E0-2_STK24</t>
  </si>
  <si>
    <t>Q9Y6G5_COMMD10</t>
  </si>
  <si>
    <t>Q9Y6G9_DYNC1LI1</t>
  </si>
  <si>
    <t>Q9Y6H1_CHCHD2</t>
  </si>
  <si>
    <t>Q9Y6I3_EPN1</t>
  </si>
  <si>
    <t>Q9Y6I4_USP3</t>
  </si>
  <si>
    <t>Q9Y6I9_TEX264</t>
  </si>
  <si>
    <t>Q9Y6J9_TAF6L</t>
  </si>
  <si>
    <t>Q9Y6K0_CEPT1</t>
  </si>
  <si>
    <t>Q9Y6K1_DNMT3A</t>
  </si>
  <si>
    <t>Q9Y6K9_IKBKG</t>
  </si>
  <si>
    <t>Q9Y6M1-1_IGF2BP2</t>
  </si>
  <si>
    <t>Q9Y6M4-3_CSNK1G3</t>
  </si>
  <si>
    <t>Q9Y6M5_SLC30A1</t>
  </si>
  <si>
    <t>Q9Y6M7-6_SLC4A7</t>
  </si>
  <si>
    <t>Q9Y6Q9-5_NCOA3</t>
  </si>
  <si>
    <t>Q9Y6V7_DDX49</t>
  </si>
  <si>
    <t>Q9Y6W3_CAPN7</t>
  </si>
  <si>
    <t>Q9Y6W5_WASF2</t>
  </si>
  <si>
    <t>Q9Y6X9_MORC2</t>
  </si>
  <si>
    <t>R4GMN1_MOSPD2</t>
  </si>
  <si>
    <t>R4GMR5_PSMD8</t>
  </si>
  <si>
    <t>R4GMX3_BMI1</t>
  </si>
  <si>
    <t>R4GN55_YTHDF3</t>
  </si>
  <si>
    <t>R4GNB1_AASDH</t>
  </si>
  <si>
    <t>R4GNB2_DENND4C</t>
  </si>
  <si>
    <t>R4GNG2_AMFR</t>
  </si>
  <si>
    <t>R4GNH2_FBXO2</t>
  </si>
  <si>
    <t>R4GNH3_PSMC3</t>
  </si>
  <si>
    <t>R4GNJ5_ACD</t>
  </si>
  <si>
    <t>Melting_Curves/meltCurve_A0AVT1_UBA6.pdf</t>
  </si>
  <si>
    <t>Melting_Curves/meltCurve_A0JLT2_2_MED19.pdf</t>
  </si>
  <si>
    <t>Melting_Curves/meltCurve_A0JNW5_UHRF1BP1L.pdf</t>
  </si>
  <si>
    <t>Melting_Curves/meltCurve_A0MZ66_KIAA1598.pdf</t>
  </si>
  <si>
    <t>Melting_Curves/meltCurve_A1L188_C17orf89.pdf</t>
  </si>
  <si>
    <t>Melting_Curves/meltCurve_A2RRP1_NBAS.pdf</t>
  </si>
  <si>
    <t>Melting_Curves/meltCurve_A2RUC4_TYW5.pdf</t>
  </si>
  <si>
    <t>Melting_Curves/meltCurve_A2VDF0_2_FUOM.pdf</t>
  </si>
  <si>
    <t>Melting_Curves/meltCurve_A3KN83_2_SBNO1.pdf</t>
  </si>
  <si>
    <t>Melting_Curves/meltCurve_A4D2B0_MBLAC1.pdf</t>
  </si>
  <si>
    <t>Melting_Curves/meltCurve_A5PL33_3_KRBA1.pdf</t>
  </si>
  <si>
    <t>Melting_Curves/meltCurve_A5PLN9_2_TRAPPC13.pdf</t>
  </si>
  <si>
    <t>Melting_Curves/meltCurve_A5YKK6_2_CNOT1.pdf</t>
  </si>
  <si>
    <t>Melting_Curves/meltCurve_A6H8Y1_7_BDP1.pdf</t>
  </si>
  <si>
    <t>Melting_Curves/meltCurve_A6NDG6_PGP.pdf</t>
  </si>
  <si>
    <t>Melting_Curves/meltCurve_A6NDU8_C5orf51.pdf</t>
  </si>
  <si>
    <t>Melting_Curves/meltCurve_A6NE92_ZNF275.pdf</t>
  </si>
  <si>
    <t>Melting_Curves/meltCurve_A6NED2_RCCD1.pdf</t>
  </si>
  <si>
    <t>Melting_Curves/meltCurve_A6NF31_OFD1.pdf</t>
  </si>
  <si>
    <t>Melting_Curves/meltCurve_A6NF48_ZNF281.pdf</t>
  </si>
  <si>
    <t>Melting_Curves/meltCurve_A6NFI3_ZNF316.pdf</t>
  </si>
  <si>
    <t>Melting_Curves/meltCurve_A6NFX8_NUDT5.pdf</t>
  </si>
  <si>
    <t>Melting_Curves/meltCurve_A6NFY7_SDHAF1.pdf</t>
  </si>
  <si>
    <t>Melting_Curves/meltCurve_A6NG32_CHMP1A.pdf</t>
  </si>
  <si>
    <t>Melting_Curves/meltCurve_A6NG51_SPTAN1.pdf</t>
  </si>
  <si>
    <t>Melting_Curves/meltCurve_A6NG79_PRCC.pdf</t>
  </si>
  <si>
    <t>Melting_Curves/meltCurve_A6NGB9_WIPF3.pdf</t>
  </si>
  <si>
    <t>Melting_Curves/meltCurve_A6NGH7_CCDC160.pdf</t>
  </si>
  <si>
    <t>Melting_Curves/meltCurve_A6NGP5_HN1L.pdf</t>
  </si>
  <si>
    <t>Melting_Curves/meltCurve_A6NGQ3_OBSCN.pdf</t>
  </si>
  <si>
    <t>Melting_Curves/meltCurve_A6NGU5_GGT3P.pdf</t>
  </si>
  <si>
    <t>Melting_Curves/meltCurve_A6NGX6_POLR3GL.pdf</t>
  </si>
  <si>
    <t>Melting_Curves/meltCurve_A6NHF2_BTD.pdf</t>
  </si>
  <si>
    <t>Melting_Curves/meltCurve_A6NHR9_SMCHD1.pdf</t>
  </si>
  <si>
    <t>Melting_Curves/meltCurve_A6NHX0_GATSL2.pdf</t>
  </si>
  <si>
    <t>Melting_Curves/meltCurve_A6NIH7_UNC119B.pdf</t>
  </si>
  <si>
    <t>Melting_Curves/meltCurve_A6NJX6_CHCHD1.pdf</t>
  </si>
  <si>
    <t>Melting_Curves/meltCurve_A6NJZ9_NOC3L.pdf</t>
  </si>
  <si>
    <t>Melting_Curves/meltCurve_A6NKD9_CCDC85C.pdf</t>
  </si>
  <si>
    <t>Melting_Curves/meltCurve_A6NML8_DIAPH2.pdf</t>
  </si>
  <si>
    <t>Melting_Curves/meltCurve_A6NN80_ANXA6.pdf</t>
  </si>
  <si>
    <t>Melting_Curves/meltCurve_A6ZKI3_FAM127A.pdf</t>
  </si>
  <si>
    <t>Melting_Curves/meltCurve_A7MCY6_TBKBP1.pdf</t>
  </si>
  <si>
    <t>Melting_Curves/meltCurve_A8CG34_2_POM121C.pdf</t>
  </si>
  <si>
    <t>Melting_Curves/meltCurve_A8CTY3_ITSN1.pdf</t>
  </si>
  <si>
    <t>Melting_Curves/meltCurve_A8K2U1_EOGT.pdf</t>
  </si>
  <si>
    <t>Melting_Curves/meltCurve_A8K8P3_5_SFI1.pdf</t>
  </si>
  <si>
    <t>Melting_Curves/meltCurve_A8MPS7_YDJC.pdf</t>
  </si>
  <si>
    <t>Melting_Curves/meltCurve_A8MPV3_.pdf</t>
  </si>
  <si>
    <t>Melting_Curves/meltCurve_A8MQB8_FMR1.pdf</t>
  </si>
  <si>
    <t>Melting_Curves/meltCurve_A8MSI8_LYRM9.pdf</t>
  </si>
  <si>
    <t>Melting_Curves/meltCurve_A8MT37_GSK3A.pdf</t>
  </si>
  <si>
    <t>Melting_Curves/meltCurve_A8MTY9_DSCR3.pdf</t>
  </si>
  <si>
    <t>Melting_Curves/meltCurve_A8MTZ6_S100PBP.pdf</t>
  </si>
  <si>
    <t>Melting_Curves/meltCurve_A8MU44_HOOK1.pdf</t>
  </si>
  <si>
    <t>Melting_Curves/meltCurve_A8MUN2_.pdf</t>
  </si>
  <si>
    <t>Melting_Curves/meltCurve_A8MVR0_IVNS1ABP.pdf</t>
  </si>
  <si>
    <t>Melting_Curves/meltCurve_A8MVW0_FAM171A2.pdf</t>
  </si>
  <si>
    <t>Melting_Curves/meltCurve_A8MVX0_ARHGEF33.pdf</t>
  </si>
  <si>
    <t>Melting_Curves/meltCurve_A8MVZ6_BICD1.pdf</t>
  </si>
  <si>
    <t>Melting_Curves/meltCurve_A8MX75_ERCC2.pdf</t>
  </si>
  <si>
    <t>Melting_Curves/meltCurve_A8MXP8_RCN2.pdf</t>
  </si>
  <si>
    <t>Melting_Curves/meltCurve_A8MXP9_MATR3.pdf</t>
  </si>
  <si>
    <t>Melting_Curves/meltCurve_A8MXV4_NUDT19.pdf</t>
  </si>
  <si>
    <t>Melting_Curves/meltCurve_A8MYC1_POP4.pdf</t>
  </si>
  <si>
    <t>Melting_Curves/meltCurve_A9Z1X7_SRRM1.pdf</t>
  </si>
  <si>
    <t>Melting_Curves/meltCurve_B0FLL2_PFKFB2.pdf</t>
  </si>
  <si>
    <t>Melting_Curves/meltCurve_B0QXZ5_DNAL4.pdf</t>
  </si>
  <si>
    <t>Melting_Curves/meltCurve_B0QXZ6_CBX6.pdf</t>
  </si>
  <si>
    <t>Melting_Curves/meltCurve_B0QY16_KIAA0930.pdf</t>
  </si>
  <si>
    <t>Melting_Curves/meltCurve_B0QYI3_TBC1D22A.pdf</t>
  </si>
  <si>
    <t>Melting_Curves/meltCurve_B0UX83_BAG6.pdf</t>
  </si>
  <si>
    <t>Melting_Curves/meltCurve_B0UZY3_EHMT2.pdf</t>
  </si>
  <si>
    <t>Melting_Curves/meltCurve_B1AHJ7_TPST2.pdf</t>
  </si>
  <si>
    <t>Melting_Curves/meltCurve_B1AHQ6_CENPM.pdf</t>
  </si>
  <si>
    <t>Melting_Curves/meltCurve_B1AJY7_PSMD10.pdf</t>
  </si>
  <si>
    <t>Melting_Curves/meltCurve_B1AK13_HMGCL.pdf</t>
  </si>
  <si>
    <t>Melting_Curves/meltCurve_B1AK81_PIGK.pdf</t>
  </si>
  <si>
    <t>Melting_Curves/meltCurve_B1AK87_CAPZB.pdf</t>
  </si>
  <si>
    <t>Melting_Curves/meltCurve_B1AKD8_CROCC.pdf</t>
  </si>
  <si>
    <t>Melting_Curves/meltCurve_B1AKL4_EIF4ENIF1.pdf</t>
  </si>
  <si>
    <t>Melting_Curves/meltCurve_B1AKN7_NFIA.pdf</t>
  </si>
  <si>
    <t>Melting_Curves/meltCurve_B1AL16_FAM178A.pdf</t>
  </si>
  <si>
    <t>Melting_Curves/meltCurve_B1AL69_CDC37L1.pdf</t>
  </si>
  <si>
    <t>Melting_Curves/meltCurve_B1AMU5_ZDHHC16.pdf</t>
  </si>
  <si>
    <t>Melting_Curves/meltCurve_B1AN89_EIF4G3.pdf</t>
  </si>
  <si>
    <t>Melting_Curves/meltCurve_B1AN99_PRSS3.pdf</t>
  </si>
  <si>
    <t>Melting_Curves/meltCurve_B1ANH0_GUK1.pdf</t>
  </si>
  <si>
    <t>Melting_Curves/meltCurve_B1APY4_ROR2.pdf</t>
  </si>
  <si>
    <t>Melting_Curves/meltCurve_B1B1H9_FGF13.pdf</t>
  </si>
  <si>
    <t>Melting_Curves/meltCurve_B2R5P6_TXNRD1.pdf</t>
  </si>
  <si>
    <t>Melting_Curves/meltCurve_B2RCS5_ACTN2.pdf</t>
  </si>
  <si>
    <t>Melting_Curves/meltCurve_B2RPG6_ZCCHC2.pdf</t>
  </si>
  <si>
    <t>Melting_Curves/meltCurve_B2WTI3_JMJD6.pdf</t>
  </si>
  <si>
    <t>Melting_Curves/meltCurve_B3KMG0_GLE1.pdf</t>
  </si>
  <si>
    <t>Melting_Curves/meltCurve_B3KNQ0_CCDC92.pdf</t>
  </si>
  <si>
    <t>Melting_Curves/meltCurve_B3KP96_TRIM16.pdf</t>
  </si>
  <si>
    <t>Melting_Curves/meltCurve_B3KR00_STAMBPL1.pdf</t>
  </si>
  <si>
    <t>Melting_Curves/meltCurve_B3KSI9_LZTFL1.pdf</t>
  </si>
  <si>
    <t>Melting_Curves/meltCurve_B3KSJ7_DCLRE1C.pdf</t>
  </si>
  <si>
    <t>Melting_Curves/meltCurve_B3KU87_SLC30A6.pdf</t>
  </si>
  <si>
    <t>Melting_Curves/meltCurve_B3KUK2_SOD2.pdf</t>
  </si>
  <si>
    <t>Melting_Curves/meltCurve_B3KVH8_PHF23.pdf</t>
  </si>
  <si>
    <t>Melting_Curves/meltCurve_B3KVZ3_CENPH.pdf</t>
  </si>
  <si>
    <t>Melting_Curves/meltCurve_B3KWW1_DDX58.pdf</t>
  </si>
  <si>
    <t>Melting_Curves/meltCurve_B3KY83_RXRA.pdf</t>
  </si>
  <si>
    <t>Melting_Curves/meltCurve_B4DDF4_CNN2.pdf</t>
  </si>
  <si>
    <t>Melting_Curves/meltCurve_B4DE93_NDUFV1.pdf</t>
  </si>
  <si>
    <t>Melting_Curves/meltCurve_B4DFA2_NSF.pdf</t>
  </si>
  <si>
    <t>Melting_Curves/meltCurve_B4DFG0_DEK.pdf</t>
  </si>
  <si>
    <t>Melting_Curves/meltCurve_B4DFG6_MRPS18B.pdf</t>
  </si>
  <si>
    <t>Melting_Curves/meltCurve_B4DFL2_IDH2.pdf</t>
  </si>
  <si>
    <t>Melting_Curves/meltCurve_B4DGU4_CTNNB1.pdf</t>
  </si>
  <si>
    <t>Melting_Curves/meltCurve_B4DGX2_PIP4K2A.pdf</t>
  </si>
  <si>
    <t>Melting_Curves/meltCurve_B4DH53_MAP1S.pdf</t>
  </si>
  <si>
    <t>Melting_Curves/meltCurve_B4DIP4_EIF2AK1.pdf</t>
  </si>
  <si>
    <t>Melting_Curves/meltCurve_B4DJ25_NCOR1.pdf</t>
  </si>
  <si>
    <t>Melting_Curves/meltCurve_B4DJ68_TDRKH.pdf</t>
  </si>
  <si>
    <t>Melting_Curves/meltCurve_B4DJA5_RAB5A.pdf</t>
  </si>
  <si>
    <t>Melting_Curves/meltCurve_B4DJP7_SNRPD3.pdf</t>
  </si>
  <si>
    <t>Melting_Curves/meltCurve_B4DJV2_CS.pdf</t>
  </si>
  <si>
    <t>Melting_Curves/meltCurve_B4DK80_TOP3A.pdf</t>
  </si>
  <si>
    <t>Melting_Curves/meltCurve_B4DKF9_ZNF286A.pdf</t>
  </si>
  <si>
    <t>Melting_Curves/meltCurve_B4DKL4_LSR.pdf</t>
  </si>
  <si>
    <t>Melting_Curves/meltCurve_B4DKV7_EPS8L1.pdf</t>
  </si>
  <si>
    <t>Melting_Curves/meltCurve_B4DL54_CHURC1_FNTB.pdf</t>
  </si>
  <si>
    <t>Melting_Curves/meltCurve_B4DLE8_CRYBG3.pdf</t>
  </si>
  <si>
    <t>Melting_Curves/meltCurve_B4DLR8_NQO1.pdf</t>
  </si>
  <si>
    <t>Melting_Curves/meltCurve_B4DLT4_RPS6KB1.pdf</t>
  </si>
  <si>
    <t>Melting_Curves/meltCurve_B4DLV4_SHMT2.pdf</t>
  </si>
  <si>
    <t>Melting_Curves/meltCurve_B4DLZ9_RNF220.pdf</t>
  </si>
  <si>
    <t>Melting_Curves/meltCurve_B4DMD6_RNF185.pdf</t>
  </si>
  <si>
    <t>Melting_Curves/meltCurve_B4DNZ7_EYA3.pdf</t>
  </si>
  <si>
    <t>Melting_Curves/meltCurve_B4DP21_PTGES3.pdf</t>
  </si>
  <si>
    <t>Melting_Curves/meltCurve_B4DP62_.pdf</t>
  </si>
  <si>
    <t>Melting_Curves/meltCurve_B4DPR4_MKRN2.pdf</t>
  </si>
  <si>
    <t>Melting_Curves/meltCurve_B4DPY8_TOX4.pdf</t>
  </si>
  <si>
    <t>Melting_Curves/meltCurve_B4DQ51_ACADSB.pdf</t>
  </si>
  <si>
    <t>Melting_Curves/meltCurve_B4DQE7_HDAC8.pdf</t>
  </si>
  <si>
    <t>Melting_Curves/meltCurve_B4DQH9_RANBP10.pdf</t>
  </si>
  <si>
    <t>Melting_Curves/meltCurve_B4DQJ8_PGD.pdf</t>
  </si>
  <si>
    <t>Melting_Curves/meltCurve_B4DR03_NAA40.pdf</t>
  </si>
  <si>
    <t>Melting_Curves/meltCurve_B4DR67_ALG5.pdf</t>
  </si>
  <si>
    <t>Melting_Curves/meltCurve_B4DRC4_ASB6.pdf</t>
  </si>
  <si>
    <t>Melting_Curves/meltCurve_B4DRD1_DCP1B.pdf</t>
  </si>
  <si>
    <t>Melting_Curves/meltCurve_B4DRL8_SEMA3C.pdf</t>
  </si>
  <si>
    <t>Melting_Curves/meltCurve_B4DRL9_CHM.pdf</t>
  </si>
  <si>
    <t>Melting_Curves/meltCurve_B4DRM7_SIMC1.pdf</t>
  </si>
  <si>
    <t>Melting_Curves/meltCurve_B4DRS7_SH2D3A.pdf</t>
  </si>
  <si>
    <t>Melting_Curves/meltCurve_B4DS61_SRPK1.pdf</t>
  </si>
  <si>
    <t>Melting_Curves/meltCurve_B4DS76_MAP3K11.pdf</t>
  </si>
  <si>
    <t>Melting_Curves/meltCurve_B4DSS5_KIAA0513.pdf</t>
  </si>
  <si>
    <t>Melting_Curves/meltCurve_B4DT55_WDR41.pdf</t>
  </si>
  <si>
    <t>Melting_Curves/meltCurve_B4DT77_ANXA7.pdf</t>
  </si>
  <si>
    <t>Melting_Curves/meltCurve_B4DTU4_LIG1.pdf</t>
  </si>
  <si>
    <t>Melting_Curves/meltCurve_B4DTZ6_SLC9A1.pdf</t>
  </si>
  <si>
    <t>Melting_Curves/meltCurve_B4DU60_CLYBL.pdf</t>
  </si>
  <si>
    <t>Melting_Curves/meltCurve_B4DUI3_EIF3J.pdf</t>
  </si>
  <si>
    <t>Melting_Curves/meltCurve_B4DV96_RBKS.pdf</t>
  </si>
  <si>
    <t>Melting_Curves/meltCurve_B4DVE7_ANXA11.pdf</t>
  </si>
  <si>
    <t>Melting_Curves/meltCurve_B4DVY1_EIF3D.pdf</t>
  </si>
  <si>
    <t>Melting_Curves/meltCurve_B4DWB0_NUBPL.pdf</t>
  </si>
  <si>
    <t>Melting_Curves/meltCurve_B4DWW1_ARL1.pdf</t>
  </si>
  <si>
    <t>Melting_Curves/meltCurve_B4DXW4_CLPB.pdf</t>
  </si>
  <si>
    <t>Melting_Curves/meltCurve_B4DXZ6_FXR1.pdf</t>
  </si>
  <si>
    <t>Melting_Curves/meltCurve_B4DY82_SENP5.pdf</t>
  </si>
  <si>
    <t>Melting_Curves/meltCurve_B4DYB4_NUP35.pdf</t>
  </si>
  <si>
    <t>Melting_Curves/meltCurve_B4DZH6_HDAC6.pdf</t>
  </si>
  <si>
    <t>Melting_Curves/meltCurve_B4DZK7_TK2.pdf</t>
  </si>
  <si>
    <t>Melting_Curves/meltCurve_B4E0G4_PHF6.pdf</t>
  </si>
  <si>
    <t>Melting_Curves/meltCurve_B4E1D7_PNPO.pdf</t>
  </si>
  <si>
    <t>Melting_Curves/meltCurve_B4E1M0_MSANTD2.pdf</t>
  </si>
  <si>
    <t>Melting_Curves/meltCurve_B4E1Q4_RIOK3.pdf</t>
  </si>
  <si>
    <t>Melting_Curves/meltCurve_B4E241_SFRS3.pdf</t>
  </si>
  <si>
    <t>Melting_Curves/meltCurve_B4E2S7_LAMP2.pdf</t>
  </si>
  <si>
    <t>Melting_Curves/meltCurve_B4E2V5_STOM.pdf</t>
  </si>
  <si>
    <t>Melting_Curves/meltCurve_B4E2W0_HADHB.pdf</t>
  </si>
  <si>
    <t>Melting_Curves/meltCurve_B4E2X3_METTL13.pdf</t>
  </si>
  <si>
    <t>Melting_Curves/meltCurve_B4E351_IGFBP4.pdf</t>
  </si>
  <si>
    <t>Melting_Curves/meltCurve_B4E3E5_DVL3.pdf</t>
  </si>
  <si>
    <t>Melting_Curves/meltCurve_B4E3T2_RRN3.pdf</t>
  </si>
  <si>
    <t>Melting_Curves/meltCurve_B4E3W0_ELP4.pdf</t>
  </si>
  <si>
    <t>Melting_Curves/meltCurve_B5MC20_JMJD7.pdf</t>
  </si>
  <si>
    <t>Melting_Curves/meltCurve_B5MC51_LIMK2.pdf</t>
  </si>
  <si>
    <t>Melting_Curves/meltCurve_B5MCF9_PES1.pdf</t>
  </si>
  <si>
    <t>Melting_Curves/meltCurve_B5MCM0_TEAD3.pdf</t>
  </si>
  <si>
    <t>Melting_Curves/meltCurve_B5MCQ4_DGCR6L.pdf</t>
  </si>
  <si>
    <t>Melting_Curves/meltCurve_B5MCU0_R3HDM2.pdf</t>
  </si>
  <si>
    <t>Melting_Curves/meltCurve_B5MDQ0_ERCC6L.pdf</t>
  </si>
  <si>
    <t>Melting_Curves/meltCurve_B7WP27_CWC22.pdf</t>
  </si>
  <si>
    <t>Melting_Curves/meltCurve_B7WPH3_CECR2.pdf</t>
  </si>
  <si>
    <t>Melting_Curves/meltCurve_B7Z1N3_PIGT.pdf</t>
  </si>
  <si>
    <t>Melting_Curves/meltCurve_B7Z254_PDIA6.pdf</t>
  </si>
  <si>
    <t>Melting_Curves/meltCurve_B7Z2G1_KLHL22.pdf</t>
  </si>
  <si>
    <t>Melting_Curves/meltCurve_B7Z2L0_BCAP29.pdf</t>
  </si>
  <si>
    <t>Melting_Curves/meltCurve_B7Z2T3_TTC26.pdf</t>
  </si>
  <si>
    <t>Melting_Curves/meltCurve_B7Z2X9_ENO2.pdf</t>
  </si>
  <si>
    <t>Melting_Curves/meltCurve_B7Z367_ZNF346.pdf</t>
  </si>
  <si>
    <t>Melting_Curves/meltCurve_B7Z3A7_PDE1A.pdf</t>
  </si>
  <si>
    <t>Melting_Curves/meltCurve_B7Z3B9_GAB1.pdf</t>
  </si>
  <si>
    <t>Melting_Curves/meltCurve_B7Z3I9_ALAD.pdf</t>
  </si>
  <si>
    <t>Melting_Curves/meltCurve_B7Z4K6_DNASE2.pdf</t>
  </si>
  <si>
    <t>Melting_Curves/meltCurve_B7Z4R0_ERF.pdf</t>
  </si>
  <si>
    <t>Melting_Curves/meltCurve_B7Z588_TNFRSF10B.pdf</t>
  </si>
  <si>
    <t>Melting_Curves/meltCurve_B7Z5G4_STMN3.pdf</t>
  </si>
  <si>
    <t>Melting_Curves/meltCurve_B7Z5R0_ZNF747.pdf</t>
  </si>
  <si>
    <t>Melting_Curves/meltCurve_B7Z5X7_WARS2.pdf</t>
  </si>
  <si>
    <t>Melting_Curves/meltCurve_B7Z637_ARMC8.pdf</t>
  </si>
  <si>
    <t>Melting_Curves/meltCurve_B7Z6B8_DECR1.pdf</t>
  </si>
  <si>
    <t>Melting_Curves/meltCurve_B7Z6M3_DGKZ.pdf</t>
  </si>
  <si>
    <t>Melting_Curves/meltCurve_B7Z7E1_CNN1.pdf</t>
  </si>
  <si>
    <t>Melting_Curves/meltCurve_B7Z7N6_PDK1.pdf</t>
  </si>
  <si>
    <t>Melting_Curves/meltCurve_B7Z815_USP7.pdf</t>
  </si>
  <si>
    <t>Melting_Curves/meltCurve_B7Z844_SLC2A14.pdf</t>
  </si>
  <si>
    <t>Melting_Curves/meltCurve_B7Z8R6_.pdf</t>
  </si>
  <si>
    <t>Melting_Curves/meltCurve_B7ZAB3_B3GAT3.pdf</t>
  </si>
  <si>
    <t>Melting_Curves/meltCurve_B7ZAX5_GALK2.pdf</t>
  </si>
  <si>
    <t>Melting_Curves/meltCurve_B7ZKK9_PPP2R5E.pdf</t>
  </si>
  <si>
    <t>Melting_Curves/meltCurve_B7ZKP8_UBXN2A.pdf</t>
  </si>
  <si>
    <t>Melting_Curves/meltCurve_B7ZKR7_AP3B2.pdf</t>
  </si>
  <si>
    <t>Melting_Curves/meltCurve_B7ZKT6_SOS2.pdf</t>
  </si>
  <si>
    <t>Melting_Curves/meltCurve_B7ZLQ8_CPEB4.pdf</t>
  </si>
  <si>
    <t>Melting_Curves/meltCurve_B7ZM82_WIZ.pdf</t>
  </si>
  <si>
    <t>Melting_Curves/meltCurve_B8ZZ99_CCDC115.pdf</t>
  </si>
  <si>
    <t>Melting_Curves/meltCurve_B8ZZF8_LSM5.pdf</t>
  </si>
  <si>
    <t>Melting_Curves/meltCurve_B8ZZJ9_EIF4E2.pdf</t>
  </si>
  <si>
    <t>Melting_Curves/meltCurve_B8ZZK4_RPL31.pdf</t>
  </si>
  <si>
    <t>Melting_Curves/meltCurve_B8ZZQ6_PTMA.pdf</t>
  </si>
  <si>
    <t>Melting_Curves/meltCurve_B8ZZU6_ATF2.pdf</t>
  </si>
  <si>
    <t>Melting_Curves/meltCurve_B8ZZU8_TCEB2.pdf</t>
  </si>
  <si>
    <t>Melting_Curves/meltCurve_B8ZZW9_C7orf41.pdf</t>
  </si>
  <si>
    <t>Melting_Curves/meltCurve_B9A018_USP39.pdf</t>
  </si>
  <si>
    <t>Melting_Curves/meltCurve_B9A057_COA5.pdf</t>
  </si>
  <si>
    <t>Melting_Curves/meltCurve_B9EGH5_PLCB2.pdf</t>
  </si>
  <si>
    <t>Melting_Curves/meltCurve_B9ZVT1_RBM12B.pdf</t>
  </si>
  <si>
    <t>Melting_Curves/meltCurve_B9ZVU2_DNPEP.pdf</t>
  </si>
  <si>
    <t>Melting_Curves/meltCurve_C4AMC7_WASH3P.pdf</t>
  </si>
  <si>
    <t>Melting_Curves/meltCurve_C6G496_MAZ.pdf</t>
  </si>
  <si>
    <t>Melting_Curves/meltCurve_C6GKU9_MED30S.pdf</t>
  </si>
  <si>
    <t>Melting_Curves/meltCurve_C9IYZ1_ASNSD1.pdf</t>
  </si>
  <si>
    <t>Melting_Curves/meltCurve_C9IZE4_PSMD6.pdf</t>
  </si>
  <si>
    <t>Melting_Curves/meltCurve_C9IZI4_ARHGAP19.pdf</t>
  </si>
  <si>
    <t>Melting_Curves/meltCurve_C9J0A7_CHMP2B.pdf</t>
  </si>
  <si>
    <t>Melting_Curves/meltCurve_C9J0I9_ZC3HC1.pdf</t>
  </si>
  <si>
    <t>Melting_Curves/meltCurve_C9J0K6_SRI.pdf</t>
  </si>
  <si>
    <t>Melting_Curves/meltCurve_C9J1C6_RNF181.pdf</t>
  </si>
  <si>
    <t>Melting_Curves/meltCurve_C9J1J0_ADCY1.pdf</t>
  </si>
  <si>
    <t>Melting_Curves/meltCurve_C9J1X0_WDR91.pdf</t>
  </si>
  <si>
    <t>Melting_Curves/meltCurve_C9J212_UBE2F.pdf</t>
  </si>
  <si>
    <t>Melting_Curves/meltCurve_C9J2P0_UBE2E1.pdf</t>
  </si>
  <si>
    <t>Melting_Curves/meltCurve_C9J2Y9_POLR2B.pdf</t>
  </si>
  <si>
    <t>Melting_Curves/meltCurve_C9J384_CMSS1.pdf</t>
  </si>
  <si>
    <t>Melting_Curves/meltCurve_C9J3L8_SSR1.pdf</t>
  </si>
  <si>
    <t>Melting_Curves/meltCurve_C9J3R0_RCC1.pdf</t>
  </si>
  <si>
    <t>Melting_Curves/meltCurve_C9J3R1_ZNF639.pdf</t>
  </si>
  <si>
    <t>Melting_Curves/meltCurve_C9J4K0_C2orf49.pdf</t>
  </si>
  <si>
    <t>Melting_Curves/meltCurve_C9J4L5_CREB1.pdf</t>
  </si>
  <si>
    <t>Melting_Curves/meltCurve_C9J5C3_PDCD10.pdf</t>
  </si>
  <si>
    <t>Melting_Curves/meltCurve_C9J5J4_LIN9.pdf</t>
  </si>
  <si>
    <t>Melting_Curves/meltCurve_C9J5W6_TAGLN3.pdf</t>
  </si>
  <si>
    <t>Melting_Curves/meltCurve_C9J5X9_FANCB.pdf</t>
  </si>
  <si>
    <t>Melting_Curves/meltCurve_C9J6N9_UFD1L.pdf</t>
  </si>
  <si>
    <t>Melting_Curves/meltCurve_C9J7I0_.pdf</t>
  </si>
  <si>
    <t>Melting_Curves/meltCurve_C9J8B8_HDAC10.pdf</t>
  </si>
  <si>
    <t>Melting_Curves/meltCurve_C9J8L0_CDCA7L.pdf</t>
  </si>
  <si>
    <t>Melting_Curves/meltCurve_C9J8R7_GTPBP10.pdf</t>
  </si>
  <si>
    <t>Melting_Curves/meltCurve_C9J9K3_RPSA.pdf</t>
  </si>
  <si>
    <t>Melting_Curves/meltCurve_C9JA69_BBX.pdf</t>
  </si>
  <si>
    <t>Melting_Curves/meltCurve_C9JAX3_ZNF467.pdf</t>
  </si>
  <si>
    <t>Melting_Curves/meltCurve_C9JB13_BSDC1.pdf</t>
  </si>
  <si>
    <t>Melting_Curves/meltCurve_C9JDG0_DIAPH3.pdf</t>
  </si>
  <si>
    <t>Melting_Curves/meltCurve_C9JE12_TMUB1.pdf</t>
  </si>
  <si>
    <t>Melting_Curves/meltCurve_C9JE98_NCOR2.pdf</t>
  </si>
  <si>
    <t>Melting_Curves/meltCurve_C9JFE4_GPS1.pdf</t>
  </si>
  <si>
    <t>Melting_Curves/meltCurve_C9JFK9_BAG3.pdf</t>
  </si>
  <si>
    <t>Melting_Curves/meltCurve_C9JFL5_ACTG2.pdf</t>
  </si>
  <si>
    <t>Melting_Curves/meltCurve_C9JFM5_STX4.pdf</t>
  </si>
  <si>
    <t>Melting_Curves/meltCurve_C9JFR7_CYCS.pdf</t>
  </si>
  <si>
    <t>Melting_Curves/meltCurve_C9JG15_ATAD2B.pdf</t>
  </si>
  <si>
    <t>Melting_Curves/meltCurve_C9JG97_AAMP.pdf</t>
  </si>
  <si>
    <t>Melting_Curves/meltCurve_C9JHL4_NELFA.pdf</t>
  </si>
  <si>
    <t>Melting_Curves/meltCurve_C9JIE5_EP400NL.pdf</t>
  </si>
  <si>
    <t>Melting_Curves/meltCurve_C9JIS1_GNB2.pdf</t>
  </si>
  <si>
    <t>Melting_Curves/meltCurve_C9JJV6_MYADM.pdf</t>
  </si>
  <si>
    <t>Melting_Curves/meltCurve_C9JLU1_POLR2H.pdf</t>
  </si>
  <si>
    <t>Melting_Curves/meltCurve_C9JMG3_AP4M1.pdf</t>
  </si>
  <si>
    <t>Melting_Curves/meltCurve_C9JNE2_OARD1.pdf</t>
  </si>
  <si>
    <t>Melting_Curves/meltCurve_C9JNI7_HSPBP1.pdf</t>
  </si>
  <si>
    <t>Melting_Curves/meltCurve_C9JNZ9_ZNF746.pdf</t>
  </si>
  <si>
    <t>Melting_Curves/meltCurve_C9JP00_MBNL1.pdf</t>
  </si>
  <si>
    <t>Melting_Curves/meltCurve_C9JPC9_USP42.pdf</t>
  </si>
  <si>
    <t>Melting_Curves/meltCurve_C9JPL0_CCNL1.pdf</t>
  </si>
  <si>
    <t>Melting_Curves/meltCurve_C9JPP2_NKIRAS2.pdf</t>
  </si>
  <si>
    <t>Melting_Curves/meltCurve_C9JQ41_CCDC58.pdf</t>
  </si>
  <si>
    <t>Melting_Curves/meltCurve_C9JQB1_NME6.pdf</t>
  </si>
  <si>
    <t>Melting_Curves/meltCurve_C9JQV3_STK11IP.pdf</t>
  </si>
  <si>
    <t>Melting_Curves/meltCurve_C9JR56_SATB2.pdf</t>
  </si>
  <si>
    <t>Melting_Curves/meltCurve_C9JS27_NDUFAF7.pdf</t>
  </si>
  <si>
    <t>Melting_Curves/meltCurve_C9JT95_NABP2.pdf</t>
  </si>
  <si>
    <t>Melting_Curves/meltCurve_C9JTM9_IKZF2.pdf</t>
  </si>
  <si>
    <t>Melting_Curves/meltCurve_C9JV49_HARS2.pdf</t>
  </si>
  <si>
    <t>Melting_Curves/meltCurve_C9JV50_SACM1L.pdf</t>
  </si>
  <si>
    <t>Melting_Curves/meltCurve_C9JVP0_FOXJ3.pdf</t>
  </si>
  <si>
    <t>Melting_Curves/meltCurve_C9JWC5_TRIM22.pdf</t>
  </si>
  <si>
    <t>Melting_Curves/meltCurve_C9JXB8_RPL24.pdf</t>
  </si>
  <si>
    <t>Melting_Curves/meltCurve_C9JXB9_DNAJB2.pdf</t>
  </si>
  <si>
    <t>Melting_Curves/meltCurve_C9JXG8_RANBP1.pdf</t>
  </si>
  <si>
    <t>Melting_Curves/meltCurve_C9JY06_NUDT22.pdf</t>
  </si>
  <si>
    <t>Melting_Curves/meltCurve_C9JYJ6_FILIP1L.pdf</t>
  </si>
  <si>
    <t>Melting_Curves/meltCurve_C9JYM0_POP7.pdf</t>
  </si>
  <si>
    <t>Melting_Curves/meltCurve_C9JYY9_NUDT5.pdf</t>
  </si>
  <si>
    <t>Melting_Curves/meltCurve_C9JZR4_ARFGAP3.pdf</t>
  </si>
  <si>
    <t>Melting_Curves/meltCurve_C9JZY3_PCBP4.pdf</t>
  </si>
  <si>
    <t>Melting_Curves/meltCurve_C9K0J5_RAPH1.pdf</t>
  </si>
  <si>
    <t>Melting_Curves/meltCurve_D3YTB1_RPL32.pdf</t>
  </si>
  <si>
    <t>Melting_Curves/meltCurve_D3YTE0_KRI1.pdf</t>
  </si>
  <si>
    <t>Melting_Curves/meltCurve_D3YTE1_PHF20L1.pdf</t>
  </si>
  <si>
    <t>Melting_Curves/meltCurve_D3YTG6_NDOR1.pdf</t>
  </si>
  <si>
    <t>Melting_Curves/meltCurve_D6R941_MRPS36.pdf</t>
  </si>
  <si>
    <t>Melting_Curves/meltCurve_D6R992_RELB.pdf</t>
  </si>
  <si>
    <t>Melting_Curves/meltCurve_D6R9E3_MND1.pdf</t>
  </si>
  <si>
    <t>Melting_Curves/meltCurve_D6R9J8_MEF2C.pdf</t>
  </si>
  <si>
    <t>Melting_Curves/meltCurve_D6R9P3_HNRNPAB.pdf</t>
  </si>
  <si>
    <t>Melting_Curves/meltCurve_D6R9S4_MLF1IP.pdf</t>
  </si>
  <si>
    <t>Melting_Curves/meltCurve_D6R9U7_POLR3G.pdf</t>
  </si>
  <si>
    <t>Melting_Curves/meltCurve_D6RA32_MAP1B.pdf</t>
  </si>
  <si>
    <t>Melting_Curves/meltCurve_D6RAL3_SH3RF1.pdf</t>
  </si>
  <si>
    <t>Melting_Curves/meltCurve_D6RAM3_DOK3.pdf</t>
  </si>
  <si>
    <t>Melting_Curves/meltCurve_D6RAN4_RPL9.pdf</t>
  </si>
  <si>
    <t>Melting_Curves/meltCurve_D6RAV1_NEIL3.pdf</t>
  </si>
  <si>
    <t>Melting_Curves/meltCurve_D6RBE0_CXXC5.pdf</t>
  </si>
  <si>
    <t>Melting_Curves/meltCurve_D6RBN5_OCIAD1.pdf</t>
  </si>
  <si>
    <t>Melting_Curves/meltCurve_D6RC71_STX18.pdf</t>
  </si>
  <si>
    <t>Melting_Curves/meltCurve_D6RCD0_HSD17B11.pdf</t>
  </si>
  <si>
    <t>Melting_Curves/meltCurve_D6RD24_UBE3D.pdf</t>
  </si>
  <si>
    <t>Melting_Curves/meltCurve_D6RD47_RPS23.pdf</t>
  </si>
  <si>
    <t>Melting_Curves/meltCurve_D6RDX3_ATG10.pdf</t>
  </si>
  <si>
    <t>Melting_Curves/meltCurve_D6REB5_IDUA.pdf</t>
  </si>
  <si>
    <t>Melting_Curves/meltCurve_D6REL5_FAM175A.pdf</t>
  </si>
  <si>
    <t>Melting_Curves/meltCurve_D6RF85_ZNF652.pdf</t>
  </si>
  <si>
    <t>Melting_Curves/meltCurve_D6RFH4_CYB5B.pdf</t>
  </si>
  <si>
    <t>Melting_Curves/meltCurve_D6RGI3_SEPT11.pdf</t>
  </si>
  <si>
    <t>Melting_Curves/meltCurve_D6RGX2_UFSP2.pdf</t>
  </si>
  <si>
    <t>Melting_Curves/meltCurve_D6RHD3_CENPK.pdf</t>
  </si>
  <si>
    <t>Melting_Curves/meltCurve_D6RHI9_RNASET2.pdf</t>
  </si>
  <si>
    <t>Melting_Curves/meltCurve_D6RIY1_TAF9.pdf</t>
  </si>
  <si>
    <t>Melting_Curves/meltCurve_D6RIZ4_MFSD10.pdf</t>
  </si>
  <si>
    <t>Melting_Curves/meltCurve_D6RJG9_SNX14.pdf</t>
  </si>
  <si>
    <t>Melting_Curves/meltCurve_E1P5Q0_TRPC4AP.pdf</t>
  </si>
  <si>
    <t>Melting_Curves/meltCurve_E2QRD4_MMS22L.pdf</t>
  </si>
  <si>
    <t>Melting_Curves/meltCurve_E2QRF9_GMNN.pdf</t>
  </si>
  <si>
    <t>Melting_Curves/meltCurve_E5RFI2_MRPL13.pdf</t>
  </si>
  <si>
    <t>Melting_Curves/meltCurve_E5RFJ1_NSMCE2.pdf</t>
  </si>
  <si>
    <t>Melting_Curves/meltCurve_E5RG13_IMPA1.pdf</t>
  </si>
  <si>
    <t>Melting_Curves/meltCurve_E5RG73_TMEM232.pdf</t>
  </si>
  <si>
    <t>Melting_Curves/meltCurve_E5RGN3_ATOX1.pdf</t>
  </si>
  <si>
    <t>Melting_Curves/meltCurve_E5RGQ3_RWDD1.pdf</t>
  </si>
  <si>
    <t>Melting_Curves/meltCurve_E5RGS7_.pdf</t>
  </si>
  <si>
    <t>Melting_Curves/meltCurve_E5RGX5_STMN2.pdf</t>
  </si>
  <si>
    <t>Melting_Curves/meltCurve_E5RHG8_TCEB1.pdf</t>
  </si>
  <si>
    <t>Melting_Curves/meltCurve_E5RHI2_SORBS3.pdf</t>
  </si>
  <si>
    <t>Melting_Curves/meltCurve_E5RHN9_RAD54B.pdf</t>
  </si>
  <si>
    <t>Melting_Curves/meltCurve_E5RHT1_PSEN2.pdf</t>
  </si>
  <si>
    <t>Melting_Curves/meltCurve_E5RHT3_TSNARE1.pdf</t>
  </si>
  <si>
    <t>Melting_Curves/meltCurve_E5RHW4_ERLIN2.pdf</t>
  </si>
  <si>
    <t>Melting_Curves/meltCurve_E5RI99_RPL30.pdf</t>
  </si>
  <si>
    <t>Melting_Curves/meltCurve_E5RIH5_TTI2.pdf</t>
  </si>
  <si>
    <t>Melting_Curves/meltCurve_E5RJ08_CHCHD7.pdf</t>
  </si>
  <si>
    <t>Melting_Curves/meltCurve_E5RJ68_AP3B1.pdf</t>
  </si>
  <si>
    <t>Melting_Curves/meltCurve_E5RJ99_ZFAND1.pdf</t>
  </si>
  <si>
    <t>Melting_Curves/meltCurve_E5RJR5_SKP1.pdf</t>
  </si>
  <si>
    <t>Melting_Curves/meltCurve_E5RK28_SGK3.pdf</t>
  </si>
  <si>
    <t>Melting_Curves/meltCurve_E5RK82_CETN3.pdf</t>
  </si>
  <si>
    <t>Melting_Curves/meltCurve_E7EM64_COPS6.pdf</t>
  </si>
  <si>
    <t>Melting_Curves/meltCurve_E7EMD6_AKAP10.pdf</t>
  </si>
  <si>
    <t>Melting_Curves/meltCurve_E7EMM4_ASAH1.pdf</t>
  </si>
  <si>
    <t>Melting_Curves/meltCurve_E7EMP6_C3orf37.pdf</t>
  </si>
  <si>
    <t>Melting_Curves/meltCurve_E7EMW7_UBR5.pdf</t>
  </si>
  <si>
    <t>Melting_Curves/meltCurve_E7ENA9_NCSTN.pdf</t>
  </si>
  <si>
    <t>Melting_Curves/meltCurve_E7ENF1_C12orf43.pdf</t>
  </si>
  <si>
    <t>Melting_Curves/meltCurve_E7ENK0_CALCOCO2.pdf</t>
  </si>
  <si>
    <t>Melting_Curves/meltCurve_E7ENN3_SYNE1.pdf</t>
  </si>
  <si>
    <t>Melting_Curves/meltCurve_E7ENW2_CBLB.pdf</t>
  </si>
  <si>
    <t>Melting_Curves/meltCurve_E7EP17_DNAH9.pdf</t>
  </si>
  <si>
    <t>Melting_Curves/meltCurve_E7EPB3_RPL14.pdf</t>
  </si>
  <si>
    <t>Melting_Curves/meltCurve_E7EPD0_TOM1.pdf</t>
  </si>
  <si>
    <t>Melting_Curves/meltCurve_E7EPI0_IBTK.pdf</t>
  </si>
  <si>
    <t>Melting_Curves/meltCurve_E7EPL4_PDXDC1.pdf</t>
  </si>
  <si>
    <t>Melting_Curves/meltCurve_E7EPP7_STXBP4.pdf</t>
  </si>
  <si>
    <t>Melting_Curves/meltCurve_E7EQ69_NAA50.pdf</t>
  </si>
  <si>
    <t>Melting_Curves/meltCurve_E7EQG2_EIF4A2.pdf</t>
  </si>
  <si>
    <t>Melting_Curves/meltCurve_E7EQL8_TUBGCP6.pdf</t>
  </si>
  <si>
    <t>Melting_Curves/meltCurve_E7ER32_MKL1.pdf</t>
  </si>
  <si>
    <t>Melting_Curves/meltCurve_E7ER77_ERMP1.pdf</t>
  </si>
  <si>
    <t>Melting_Curves/meltCurve_E7ERL6_MAST2.pdf</t>
  </si>
  <si>
    <t>Melting_Curves/meltCurve_E7ES08_HMGB3.pdf</t>
  </si>
  <si>
    <t>Melting_Curves/meltCurve_E7ESC6_XPO7.pdf</t>
  </si>
  <si>
    <t>Melting_Curves/meltCurve_E7ESJ3_ANKRD26.pdf</t>
  </si>
  <si>
    <t>Melting_Curves/meltCurve_E7ESM1_NDRG1.pdf</t>
  </si>
  <si>
    <t>Melting_Curves/meltCurve_E7ET07_ING3.pdf</t>
  </si>
  <si>
    <t>Melting_Curves/meltCurve_E7ET15_U2SURP.pdf</t>
  </si>
  <si>
    <t>Melting_Curves/meltCurve_E7ET33_.pdf</t>
  </si>
  <si>
    <t>Melting_Curves/meltCurve_E7ET96_TNIP1.pdf</t>
  </si>
  <si>
    <t>Melting_Curves/meltCurve_E7ETA6_PCM1.pdf</t>
  </si>
  <si>
    <t>Melting_Curves/meltCurve_E7ETI8_C1orf112.pdf</t>
  </si>
  <si>
    <t>Melting_Curves/meltCurve_E7ETU5_RBMS1.pdf</t>
  </si>
  <si>
    <t>Melting_Curves/meltCurve_E7ETU9_PLOD2.pdf</t>
  </si>
  <si>
    <t>Melting_Curves/meltCurve_E7ETZ4_BZW2.pdf</t>
  </si>
  <si>
    <t>Melting_Curves/meltCurve_E7EU24_CBFA2T3.pdf</t>
  </si>
  <si>
    <t>Melting_Curves/meltCurve_E7EU96_CSNK2A1.pdf</t>
  </si>
  <si>
    <t>Melting_Curves/meltCurve_E7EUH9_NCAPG2.pdf</t>
  </si>
  <si>
    <t>Melting_Curves/meltCurve_E7EUI8_G6PD.pdf</t>
  </si>
  <si>
    <t>Melting_Curves/meltCurve_E7EUM5_NUP54.pdf</t>
  </si>
  <si>
    <t>Melting_Curves/meltCurve_E7EV10_MTA3.pdf</t>
  </si>
  <si>
    <t>Melting_Curves/meltCurve_E7EV62_ARFGAP1.pdf</t>
  </si>
  <si>
    <t>Melting_Curves/meltCurve_E7EV93_PCM1.pdf</t>
  </si>
  <si>
    <t>Melting_Curves/meltCurve_E7EVA0_MAP4.pdf</t>
  </si>
  <si>
    <t>Melting_Curves/meltCurve_E7EVJ5_CYFIP2.pdf</t>
  </si>
  <si>
    <t>Melting_Curves/meltCurve_E7EVY7_POR.pdf</t>
  </si>
  <si>
    <t>Melting_Curves/meltCurve_E7EW59_SALL2.pdf</t>
  </si>
  <si>
    <t>Melting_Curves/meltCurve_E7EW69_SEPT10.pdf</t>
  </si>
  <si>
    <t>Melting_Curves/meltCurve_E7EW84_EXOC6.pdf</t>
  </si>
  <si>
    <t>Melting_Curves/meltCurve_E7EWD6_ASXL2.pdf</t>
  </si>
  <si>
    <t>Melting_Curves/meltCurve_E7EX48_NEK4.pdf</t>
  </si>
  <si>
    <t>Melting_Curves/meltCurve_E7EX53_RPL15.pdf</t>
  </si>
  <si>
    <t>Melting_Curves/meltCurve_E9PAU2_RAVER1.pdf</t>
  </si>
  <si>
    <t>Melting_Curves/meltCurve_E9PB14_PDHX.pdf</t>
  </si>
  <si>
    <t>Melting_Curves/meltCurve_E9PB61_ALYREF.pdf</t>
  </si>
  <si>
    <t>Melting_Curves/meltCurve_E9PBP4_MLLT10.pdf</t>
  </si>
  <si>
    <t>Melting_Curves/meltCurve_E9PBV1_NWD1.pdf</t>
  </si>
  <si>
    <t>Melting_Curves/meltCurve_E9PC62_CELF2.pdf</t>
  </si>
  <si>
    <t>Melting_Curves/meltCurve_E9PC74_EIF2B5.pdf</t>
  </si>
  <si>
    <t>Melting_Curves/meltCurve_E9PCE5_SMG7.pdf</t>
  </si>
  <si>
    <t>Melting_Curves/meltCurve_E9PCR4_ANAPC4.pdf</t>
  </si>
  <si>
    <t>Melting_Curves/meltCurve_E9PCV0_GUSB.pdf</t>
  </si>
  <si>
    <t>Melting_Curves/meltCurve_E9PCW1_GOSR1.pdf</t>
  </si>
  <si>
    <t>Melting_Curves/meltCurve_E9PD53_SMC4.pdf</t>
  </si>
  <si>
    <t>Melting_Curves/meltCurve_E9PD90_CKAP2.pdf</t>
  </si>
  <si>
    <t>Melting_Curves/meltCurve_E9PDC3_ARVCF.pdf</t>
  </si>
  <si>
    <t>Melting_Curves/meltCurve_E9PDE4_CAST.pdf</t>
  </si>
  <si>
    <t>Melting_Curves/meltCurve_E9PDG2_IFT122.pdf</t>
  </si>
  <si>
    <t>Melting_Curves/meltCurve_E9PDK2_UNKL.pdf</t>
  </si>
  <si>
    <t>Melting_Curves/meltCurve_E9PDL4_ICA1.pdf</t>
  </si>
  <si>
    <t>Melting_Curves/meltCurve_E9PE19_BPTF.pdf</t>
  </si>
  <si>
    <t>Melting_Curves/meltCurve_E9PEI0_CDCA2.pdf</t>
  </si>
  <si>
    <t>Melting_Curves/meltCurve_E9PER6_PDPK1.pdf</t>
  </si>
  <si>
    <t>Melting_Curves/meltCurve_E9PEZ3_DIAPH1.pdf</t>
  </si>
  <si>
    <t>Melting_Curves/meltCurve_E9PEZ8_FAM193B.pdf</t>
  </si>
  <si>
    <t>Melting_Curves/meltCurve_E9PF10_NUP155.pdf</t>
  </si>
  <si>
    <t>Melting_Curves/meltCurve_E9PF16_ACSF2.pdf</t>
  </si>
  <si>
    <t>Melting_Curves/meltCurve_E9PF19_TBL2.pdf</t>
  </si>
  <si>
    <t>Melting_Curves/meltCurve_E9PF99_CEP192.pdf</t>
  </si>
  <si>
    <t>Melting_Curves/meltCurve_E9PFK5_NOP14.pdf</t>
  </si>
  <si>
    <t>Melting_Curves/meltCurve_E9PFR3_PPP2R5D.pdf</t>
  </si>
  <si>
    <t>Melting_Curves/meltCurve_E9PG22_CEP97.pdf</t>
  </si>
  <si>
    <t>Melting_Curves/meltCurve_E9PGT1_TSN.pdf</t>
  </si>
  <si>
    <t>Melting_Curves/meltCurve_E9PGT6_COPS8.pdf</t>
  </si>
  <si>
    <t>Melting_Curves/meltCurve_E9PGW7_MED22.pdf</t>
  </si>
  <si>
    <t>Melting_Curves/meltCurve_E9PH29_PRDX3.pdf</t>
  </si>
  <si>
    <t>Melting_Curves/meltCurve_E9PH58_TTLL4.pdf</t>
  </si>
  <si>
    <t>Melting_Curves/meltCurve_E9PH62_STAU2.pdf</t>
  </si>
  <si>
    <t>Melting_Curves/meltCurve_E9PHK0_CLEC3B.pdf</t>
  </si>
  <si>
    <t>Melting_Curves/meltCurve_E9PHM2_LARS2.pdf</t>
  </si>
  <si>
    <t>Melting_Curves/meltCurve_E9PHV5_SSFA2.pdf</t>
  </si>
  <si>
    <t>Melting_Curves/meltCurve_E9PHX8_MERTK.pdf</t>
  </si>
  <si>
    <t>Melting_Curves/meltCurve_E9PHY5_EPB41L2.pdf</t>
  </si>
  <si>
    <t>Melting_Curves/meltCurve_E9PI10_TBRG1.pdf</t>
  </si>
  <si>
    <t>Melting_Curves/meltCurve_E9PI87_HTATIP2.pdf</t>
  </si>
  <si>
    <t>Melting_Curves/meltCurve_E9PIP3_GPSM3.pdf</t>
  </si>
  <si>
    <t>Melting_Curves/meltCurve_E9PJ04_SF3B2.pdf</t>
  </si>
  <si>
    <t>Melting_Curves/meltCurve_E9PJ07_C10orf137.pdf</t>
  </si>
  <si>
    <t>Melting_Curves/meltCurve_E9PJ24_PHRF1.pdf</t>
  </si>
  <si>
    <t>Melting_Curves/meltCurve_E9PJ81_UBXN1.pdf</t>
  </si>
  <si>
    <t>Melting_Curves/meltCurve_E9PJD7_CYHR1.pdf</t>
  </si>
  <si>
    <t>Melting_Curves/meltCurve_E9PJF5_BRMS1.pdf</t>
  </si>
  <si>
    <t>Melting_Curves/meltCurve_E9PJK1_CD81.pdf</t>
  </si>
  <si>
    <t>Melting_Curves/meltCurve_E9PK05_C2CD2L.pdf</t>
  </si>
  <si>
    <t>Melting_Curves/meltCurve_E9PKB7_TEAD1.pdf</t>
  </si>
  <si>
    <t>Melting_Curves/meltCurve_E9PKB9_SNX19.pdf</t>
  </si>
  <si>
    <t>Melting_Curves/meltCurve_E9PKF8_EIF4G2.pdf</t>
  </si>
  <si>
    <t>Melting_Curves/meltCurve_E9PKG1_PRMT1.pdf</t>
  </si>
  <si>
    <t>Melting_Curves/meltCurve_E9PKV8_TTC9C.pdf</t>
  </si>
  <si>
    <t>Melting_Curves/meltCurve_E9PKZ0_RPL8.pdf</t>
  </si>
  <si>
    <t>Melting_Curves/meltCurve_E9PL01_SPCS2.pdf</t>
  </si>
  <si>
    <t>Melting_Curves/meltCurve_E9PL57_NEDD8_MDP1.pdf</t>
  </si>
  <si>
    <t>Melting_Curves/meltCurve_E9PLD2_MTFR1L.pdf</t>
  </si>
  <si>
    <t>Melting_Curves/meltCurve_E9PLD3_.pdf</t>
  </si>
  <si>
    <t>Melting_Curves/meltCurve_E9PLK3_NPEPPS.pdf</t>
  </si>
  <si>
    <t>Melting_Curves/meltCurve_E9PLL6_RPL27A.pdf</t>
  </si>
  <si>
    <t>Melting_Curves/meltCurve_E9PLX2_RNF141.pdf</t>
  </si>
  <si>
    <t>Melting_Curves/meltCurve_E9PLY5_MACF1.pdf</t>
  </si>
  <si>
    <t>Melting_Curves/meltCurve_E9PM46_USP47.pdf</t>
  </si>
  <si>
    <t>Melting_Curves/meltCurve_E9PM92_C11orf58.pdf</t>
  </si>
  <si>
    <t>Melting_Curves/meltCurve_E9PMC9_C11orf30.pdf</t>
  </si>
  <si>
    <t>Melting_Curves/meltCurve_E9PME6_USF1.pdf</t>
  </si>
  <si>
    <t>Melting_Curves/meltCurve_E9PMH5_BIRC2.pdf</t>
  </si>
  <si>
    <t>Melting_Curves/meltCurve_E9PMI6_CLNS1A.pdf</t>
  </si>
  <si>
    <t>Melting_Curves/meltCurve_E9PMJ2_FAM118B.pdf</t>
  </si>
  <si>
    <t>Melting_Curves/meltCurve_E9PMS6_LMO7.pdf</t>
  </si>
  <si>
    <t>Melting_Curves/meltCurve_E9PND3_EBAG9.pdf</t>
  </si>
  <si>
    <t>Melting_Curves/meltCurve_E9PNN2_ME3.pdf</t>
  </si>
  <si>
    <t>Melting_Curves/meltCurve_E9PNW4_CD59.pdf</t>
  </si>
  <si>
    <t>Melting_Curves/meltCurve_E9PPH6_EXPH5.pdf</t>
  </si>
  <si>
    <t>Melting_Curves/meltCurve_E9PPY3_RRP8.pdf</t>
  </si>
  <si>
    <t>Melting_Curves/meltCurve_E9PQ38_KBTBD4.pdf</t>
  </si>
  <si>
    <t>Melting_Curves/meltCurve_E9PQ47_ZFPL1.pdf</t>
  </si>
  <si>
    <t>Melting_Curves/meltCurve_E9PQ74_GAS2.pdf</t>
  </si>
  <si>
    <t>Melting_Curves/meltCurve_E9PQY3_ACP2.pdf</t>
  </si>
  <si>
    <t>Melting_Curves/meltCurve_E9PR76_MAF1.pdf</t>
  </si>
  <si>
    <t>Melting_Curves/meltCurve_E9PRI4_RPS6KA1.pdf</t>
  </si>
  <si>
    <t>Melting_Curves/meltCurve_E9PS41_WDR74.pdf</t>
  </si>
  <si>
    <t>Melting_Curves/meltCurve_E9PSA5_ALKBH3.pdf</t>
  </si>
  <si>
    <t>Melting_Curves/meltCurve_E9PSF2_STIL.pdf</t>
  </si>
  <si>
    <t>Melting_Curves/meltCurve_F2Z2E1_FAM120B.pdf</t>
  </si>
  <si>
    <t>Melting_Curves/meltCurve_F2Z2E2_IQGAP3.pdf</t>
  </si>
  <si>
    <t>Melting_Curves/meltCurve_F2Z2Q4_TRMT11.pdf</t>
  </si>
  <si>
    <t>Melting_Curves/meltCurve_F2Z2V0_CPNE1.pdf</t>
  </si>
  <si>
    <t>Melting_Curves/meltCurve_F2Z2V1_FGGY.pdf</t>
  </si>
  <si>
    <t>Melting_Curves/meltCurve_F2Z2X4_XPO4.pdf</t>
  </si>
  <si>
    <t>Melting_Curves/meltCurve_F2Z3I4_ARRDC1.pdf</t>
  </si>
  <si>
    <t>Melting_Curves/meltCurve_F5GWD3_GTF2H3.pdf</t>
  </si>
  <si>
    <t>Melting_Curves/meltCurve_F5GWI9_CCDC53.pdf</t>
  </si>
  <si>
    <t>Melting_Curves/meltCurve_F5GWN5_PIK3C2B.pdf</t>
  </si>
  <si>
    <t>Melting_Curves/meltCurve_F5GWP8_JUP.pdf</t>
  </si>
  <si>
    <t>Melting_Curves/meltCurve_F5GWT4_WNK1.pdf</t>
  </si>
  <si>
    <t>Melting_Curves/meltCurve_F5GWU7_SMAD5.pdf</t>
  </si>
  <si>
    <t>Melting_Curves/meltCurve_F5GX09_FAM76B.pdf</t>
  </si>
  <si>
    <t>Melting_Curves/meltCurve_F5GX33_SLC25A13.pdf</t>
  </si>
  <si>
    <t>Melting_Curves/meltCurve_F5GX58_CDCA3.pdf</t>
  </si>
  <si>
    <t>Melting_Curves/meltCurve_F5GX68_DNMT1.pdf</t>
  </si>
  <si>
    <t>Melting_Curves/meltCurve_F5GX82_FRYL.pdf</t>
  </si>
  <si>
    <t>Melting_Curves/meltCurve_F5GXC8_SUCLA2.pdf</t>
  </si>
  <si>
    <t>Melting_Curves/meltCurve_F5GXD1_AKAP7.pdf</t>
  </si>
  <si>
    <t>Melting_Curves/meltCurve_F5GXE4_ATE1.pdf</t>
  </si>
  <si>
    <t>Melting_Curves/meltCurve_F5GXE7_LTBR.pdf</t>
  </si>
  <si>
    <t>Melting_Curves/meltCurve_F5GXQ1_.pdf</t>
  </si>
  <si>
    <t>Melting_Curves/meltCurve_F5GY11_STARD10.pdf</t>
  </si>
  <si>
    <t>Melting_Curves/meltCurve_F5GY37_PHB2.pdf</t>
  </si>
  <si>
    <t>Melting_Curves/meltCurve_F5GY95_FCGR2A.pdf</t>
  </si>
  <si>
    <t>Melting_Curves/meltCurve_F5GY99_GALNT1.pdf</t>
  </si>
  <si>
    <t>Melting_Curves/meltCurve_F5GYA2_UNG.pdf</t>
  </si>
  <si>
    <t>Melting_Curves/meltCurve_F5GYC4_RPS6KA3.pdf</t>
  </si>
  <si>
    <t>Melting_Curves/meltCurve_F5GYJ5_.pdf</t>
  </si>
  <si>
    <t>Melting_Curves/meltCurve_F5GYN4_OTUB1.pdf</t>
  </si>
  <si>
    <t>Melting_Curves/meltCurve_F5GZ06_MROH2B.pdf</t>
  </si>
  <si>
    <t>Melting_Curves/meltCurve_F5GZ78_PXN.pdf</t>
  </si>
  <si>
    <t>Melting_Curves/meltCurve_F5GZ84_FARP2.pdf</t>
  </si>
  <si>
    <t>Melting_Curves/meltCurve_F5GZ90_DTL.pdf</t>
  </si>
  <si>
    <t>Melting_Curves/meltCurve_F5GZG6_TPK1.pdf</t>
  </si>
  <si>
    <t>Melting_Curves/meltCurve_F5GZQ4_LDHA.pdf</t>
  </si>
  <si>
    <t>Melting_Curves/meltCurve_F5GZT2_SPAG5.pdf</t>
  </si>
  <si>
    <t>Melting_Curves/meltCurve_F5GZW3_ARHGAP4.pdf</t>
  </si>
  <si>
    <t>Melting_Curves/meltCurve_F5GZY0_APLP2.pdf</t>
  </si>
  <si>
    <t>Melting_Curves/meltCurve_F5H012_TRIM21.pdf</t>
  </si>
  <si>
    <t>Melting_Curves/meltCurve_F5H0E9_ESRRA.pdf</t>
  </si>
  <si>
    <t>Melting_Curves/meltCurve_F5H0F9_ANAPC5.pdf</t>
  </si>
  <si>
    <t>Melting_Curves/meltCurve_F5H0K8_KSR1.pdf</t>
  </si>
  <si>
    <t>Melting_Curves/meltCurve_F5H0L8_SEC23IP.pdf</t>
  </si>
  <si>
    <t>Melting_Curves/meltCurve_F5H0Q6_CLASRP.pdf</t>
  </si>
  <si>
    <t>Melting_Curves/meltCurve_F5H105_ZNF384.pdf</t>
  </si>
  <si>
    <t>Melting_Curves/meltCurve_F5H1L4_TXNRD2.pdf</t>
  </si>
  <si>
    <t>Melting_Curves/meltCurve_F5H1N7_KIAA1211.pdf</t>
  </si>
  <si>
    <t>Melting_Curves/meltCurve_F5H1S8_MLEC.pdf</t>
  </si>
  <si>
    <t>Melting_Curves/meltCurve_F5H1X8_LRBA.pdf</t>
  </si>
  <si>
    <t>Melting_Curves/meltCurve_F5H1Y0_RAD51AP1.pdf</t>
  </si>
  <si>
    <t>Melting_Curves/meltCurve_F5H232_CDKN3.pdf</t>
  </si>
  <si>
    <t>Melting_Curves/meltCurve_F5H241_GBA.pdf</t>
  </si>
  <si>
    <t>Melting_Curves/meltCurve_F5H2H5_ANKLE2.pdf</t>
  </si>
  <si>
    <t>Melting_Curves/meltCurve_F5H2Q7_KIAA1715.pdf</t>
  </si>
  <si>
    <t>Melting_Curves/meltCurve_F5H315_XAB2.pdf</t>
  </si>
  <si>
    <t>Melting_Curves/meltCurve_F5H365_SEC23A.pdf</t>
  </si>
  <si>
    <t>Melting_Curves/meltCurve_F5H3D1_AMN1.pdf</t>
  </si>
  <si>
    <t>Melting_Curves/meltCurve_F5H3G6_PTPRB.pdf</t>
  </si>
  <si>
    <t>Melting_Curves/meltCurve_F5H3Q7_RPAIN.pdf</t>
  </si>
  <si>
    <t>Melting_Curves/meltCurve_F5H442_TSG101.pdf</t>
  </si>
  <si>
    <t>Melting_Curves/meltCurve_F5H476_ANGEL2.pdf</t>
  </si>
  <si>
    <t>Melting_Curves/meltCurve_F5H4B1_PRAME.pdf</t>
  </si>
  <si>
    <t>Melting_Curves/meltCurve_F5H4G7_KPNA6.pdf</t>
  </si>
  <si>
    <t>Melting_Curves/meltCurve_F5H4J2_PEX14.pdf</t>
  </si>
  <si>
    <t>Melting_Curves/meltCurve_F5H4Q5_VPS37C.pdf</t>
  </si>
  <si>
    <t>Melting_Curves/meltCurve_F5H4S9_TJP3.pdf</t>
  </si>
  <si>
    <t>Melting_Curves/meltCurve_F5H4U6_ACSBG1.pdf</t>
  </si>
  <si>
    <t>Melting_Curves/meltCurve_F5H542_ZFPM2.pdf</t>
  </si>
  <si>
    <t>Melting_Curves/meltCurve_F5H590_JARID2.pdf</t>
  </si>
  <si>
    <t>Melting_Curves/meltCurve_F5H5A3_MAP4K3.pdf</t>
  </si>
  <si>
    <t>Melting_Curves/meltCurve_F5H5C2_NUP133.pdf</t>
  </si>
  <si>
    <t>Melting_Curves/meltCurve_F5H5N1_NDUFS7.pdf</t>
  </si>
  <si>
    <t>Melting_Curves/meltCurve_F5H5U2_DDX55.pdf</t>
  </si>
  <si>
    <t>Melting_Curves/meltCurve_F5H604_CLASP2.pdf</t>
  </si>
  <si>
    <t>Melting_Curves/meltCurve_F5H6I7_ATL3.pdf</t>
  </si>
  <si>
    <t>Melting_Curves/meltCurve_F5H6M9_BRD1.pdf</t>
  </si>
  <si>
    <t>Melting_Curves/meltCurve_F5H6Z0_CDK17.pdf</t>
  </si>
  <si>
    <t>Melting_Curves/meltCurve_F5H702_MRPL48.pdf</t>
  </si>
  <si>
    <t>Melting_Curves/meltCurve_F5H715_AIDA.pdf</t>
  </si>
  <si>
    <t>Melting_Curves/meltCurve_F5H721_WBP11.pdf</t>
  </si>
  <si>
    <t>Melting_Curves/meltCurve_F5H777_CCDC82.pdf</t>
  </si>
  <si>
    <t>Melting_Curves/meltCurve_F5H7F6_MGST1.pdf</t>
  </si>
  <si>
    <t>Melting_Curves/meltCurve_F5H7I4_GABPB1.pdf</t>
  </si>
  <si>
    <t>Melting_Curves/meltCurve_F5H801_OGDH.pdf</t>
  </si>
  <si>
    <t>Melting_Curves/meltCurve_F5H860_INPP4A.pdf</t>
  </si>
  <si>
    <t>Melting_Curves/meltCurve_F5H897_TRAP1.pdf</t>
  </si>
  <si>
    <t>Melting_Curves/meltCurve_F5H8H2_MVK.pdf</t>
  </si>
  <si>
    <t>Melting_Curves/meltCurve_F6PQP6_EPN2.pdf</t>
  </si>
  <si>
    <t>Melting_Curves/meltCurve_F6QR24_NUP153.pdf</t>
  </si>
  <si>
    <t>Melting_Curves/meltCurve_F6TQG2_SMARCA1.pdf</t>
  </si>
  <si>
    <t>Melting_Curves/meltCurve_F6U1F2_BAG6.pdf</t>
  </si>
  <si>
    <t>Melting_Curves/meltCurve_F6U1T9_PPP3R1.pdf</t>
  </si>
  <si>
    <t>Melting_Curves/meltCurve_F6V2D4_LGALS8.pdf</t>
  </si>
  <si>
    <t>Melting_Curves/meltCurve_F6V707_TPD52L1.pdf</t>
  </si>
  <si>
    <t>Melting_Curves/meltCurve_F6XY72_NME2.pdf</t>
  </si>
  <si>
    <t>Melting_Curves/meltCurve_F6YA60_ITFG2.pdf</t>
  </si>
  <si>
    <t>Melting_Curves/meltCurve_F8VP89_EIF4B.pdf</t>
  </si>
  <si>
    <t>Melting_Curves/meltCurve_F8VPD4_CAD.pdf</t>
  </si>
  <si>
    <t>Melting_Curves/meltCurve_F8VPL6_IKZF4.pdf</t>
  </si>
  <si>
    <t>Melting_Curves/meltCurve_F8VQX6_METTL7A.pdf</t>
  </si>
  <si>
    <t>Melting_Curves/meltCurve_F8VS10_SPATS2.pdf</t>
  </si>
  <si>
    <t>Melting_Curves/meltCurve_F8VS47_NEK3.pdf</t>
  </si>
  <si>
    <t>Melting_Curves/meltCurve_F8VSL3_NFYB.pdf</t>
  </si>
  <si>
    <t>Melting_Curves/meltCurve_F8VSZ4_PLXNA1.pdf</t>
  </si>
  <si>
    <t>Melting_Curves/meltCurve_F8VUW5_DAZAP2.pdf</t>
  </si>
  <si>
    <t>Melting_Curves/meltCurve_F8VV52_CNOT2.pdf</t>
  </si>
  <si>
    <t>Melting_Curves/meltCurve_F8VV59_NAP1L1.pdf</t>
  </si>
  <si>
    <t>Melting_Curves/meltCurve_F8VWA6_MON2.pdf</t>
  </si>
  <si>
    <t>Melting_Curves/meltCurve_F8VX32_DMD.pdf</t>
  </si>
  <si>
    <t>Melting_Curves/meltCurve_F8VY35_NAP1L1.pdf</t>
  </si>
  <si>
    <t>Melting_Curves/meltCurve_F8VZJ2_NACA.pdf</t>
  </si>
  <si>
    <t>Melting_Curves/meltCurve_F8W038_C17orf49.pdf</t>
  </si>
  <si>
    <t>Melting_Curves/meltCurve_F8W1A4_AK2.pdf</t>
  </si>
  <si>
    <t>Melting_Curves/meltCurve_F8W1I9_ACAD10.pdf</t>
  </si>
  <si>
    <t>Melting_Curves/meltCurve_F8W1N9_NFE2.pdf</t>
  </si>
  <si>
    <t>Melting_Curves/meltCurve_F8W1R9_TGFBR1.pdf</t>
  </si>
  <si>
    <t>Melting_Curves/meltCurve_F8W648_PLEKHM1.pdf</t>
  </si>
  <si>
    <t>Melting_Curves/meltCurve_F8W6D1_RNF216.pdf</t>
  </si>
  <si>
    <t>Melting_Curves/meltCurve_F8W6T6_TLE4.pdf</t>
  </si>
  <si>
    <t>Melting_Curves/meltCurve_F8W785_GOLIM4.pdf</t>
  </si>
  <si>
    <t>Melting_Curves/meltCurve_F8W7C6_RPL10.pdf</t>
  </si>
  <si>
    <t>Melting_Curves/meltCurve_F8W810_.pdf</t>
  </si>
  <si>
    <t>Melting_Curves/meltCurve_F8W840_YTHDF1.pdf</t>
  </si>
  <si>
    <t>Melting_Curves/meltCurve_F8W898_POLR1B.pdf</t>
  </si>
  <si>
    <t>Melting_Curves/meltCurve_F8W8H5_RAB24.pdf</t>
  </si>
  <si>
    <t>Melting_Curves/meltCurve_F8W8I6_TIA1.pdf</t>
  </si>
  <si>
    <t>Melting_Curves/meltCurve_F8W964_TLE3.pdf</t>
  </si>
  <si>
    <t>Melting_Curves/meltCurve_F8W9F9_WNK2.pdf</t>
  </si>
  <si>
    <t>Melting_Curves/meltCurve_F8W9R9_MED24.pdf</t>
  </si>
  <si>
    <t>Melting_Curves/meltCurve_F8W9W2_GRK6.pdf</t>
  </si>
  <si>
    <t>Melting_Curves/meltCurve_F8W9X7_CCDC93.pdf</t>
  </si>
  <si>
    <t>Melting_Curves/meltCurve_F8WA13_MYCBP2.pdf</t>
  </si>
  <si>
    <t>Melting_Curves/meltCurve_F8WA86_CNN3.pdf</t>
  </si>
  <si>
    <t>Melting_Curves/meltCurve_F8WAK8_STAG2.pdf</t>
  </si>
  <si>
    <t>Melting_Curves/meltCurve_F8WAM4_RTN4.pdf</t>
  </si>
  <si>
    <t>Melting_Curves/meltCurve_F8WAS3_NDUFA5.pdf</t>
  </si>
  <si>
    <t>Melting_Curves/meltCurve_F8WB05_ATXN2.pdf</t>
  </si>
  <si>
    <t>Melting_Curves/meltCurve_F8WBJ6_PNO1.pdf</t>
  </si>
  <si>
    <t>Melting_Curves/meltCurve_F8WBK5_MRPL40.pdf</t>
  </si>
  <si>
    <t>Melting_Curves/meltCurve_F8WBS5_RPL35A.pdf</t>
  </si>
  <si>
    <t>Melting_Curves/meltCurve_F8WBU4_SFI1.pdf</t>
  </si>
  <si>
    <t>Melting_Curves/meltCurve_F8WC89_SAC3D1.pdf</t>
  </si>
  <si>
    <t>Melting_Curves/meltCurve_F8WCD0_RNF149.pdf</t>
  </si>
  <si>
    <t>Melting_Curves/meltCurve_F8WDE8_SKIV2L.pdf</t>
  </si>
  <si>
    <t>Melting_Curves/meltCurve_F8WEE4_ZFAND2B.pdf</t>
  </si>
  <si>
    <t>Melting_Curves/meltCurve_F8WEG4_CBWD2.pdf</t>
  </si>
  <si>
    <t>Melting_Curves/meltCurve_F8WEG8_PRKRA.pdf</t>
  </si>
  <si>
    <t>Melting_Curves/meltCurve_F8WF48_SEC62.pdf</t>
  </si>
  <si>
    <t>Melting_Curves/meltCurve_F8WJN3_CPSF6.pdf</t>
  </si>
  <si>
    <t>Melting_Curves/meltCurve_G3V0I7_ALS2CL.pdf</t>
  </si>
  <si>
    <t>Melting_Curves/meltCurve_G3V0I8_SREBF2.pdf</t>
  </si>
  <si>
    <t>Melting_Curves/meltCurve_G3V1D4_LIN7C.pdf</t>
  </si>
  <si>
    <t>Melting_Curves/meltCurve_G3V1R3_ZEB1.pdf</t>
  </si>
  <si>
    <t>Melting_Curves/meltCurve_G3V1R9_ISYNA1.pdf</t>
  </si>
  <si>
    <t>Melting_Curves/meltCurve_G3V1U0_ATF7IP.pdf</t>
  </si>
  <si>
    <t>Melting_Curves/meltCurve_G3V1Y1_ACTR6.pdf</t>
  </si>
  <si>
    <t>Melting_Curves/meltCurve_G3V203_RPL18.pdf</t>
  </si>
  <si>
    <t>Melting_Curves/meltCurve_G3V2B8_MTHFD1.pdf</t>
  </si>
  <si>
    <t>Melting_Curves/meltCurve_G3V2U7_ACYP1.pdf</t>
  </si>
  <si>
    <t>Melting_Curves/meltCurve_G3V398_ZNF410.pdf</t>
  </si>
  <si>
    <t>Melting_Curves/meltCurve_G3V3A0_SERPINA3.pdf</t>
  </si>
  <si>
    <t>Melting_Curves/meltCurve_G3V3A4_SNW1.pdf</t>
  </si>
  <si>
    <t>Melting_Curves/meltCurve_G3V3G9_DCAF8.pdf</t>
  </si>
  <si>
    <t>Melting_Curves/meltCurve_G3V3I4_NFKBIA.pdf</t>
  </si>
  <si>
    <t>Melting_Curves/meltCurve_G3V3R7_ATXN3.pdf</t>
  </si>
  <si>
    <t>Melting_Curves/meltCurve_G3V4C1_HNRNPC.pdf</t>
  </si>
  <si>
    <t>Melting_Curves/meltCurve_G3V4C9_FNTB.pdf</t>
  </si>
  <si>
    <t>Melting_Curves/meltCurve_G3V4P7_AP4S1.pdf</t>
  </si>
  <si>
    <t>Melting_Curves/meltCurve_G3V4W0_HNRNPC.pdf</t>
  </si>
  <si>
    <t>Melting_Curves/meltCurve_G3V529_DDX24.pdf</t>
  </si>
  <si>
    <t>Melting_Curves/meltCurve_G3V599_CTAGE5.pdf</t>
  </si>
  <si>
    <t>Melting_Curves/meltCurve_G3V5T0_GSTZ1.pdf</t>
  </si>
  <si>
    <t>Melting_Curves/meltCurve_G3V5V3_NEMF.pdf</t>
  </si>
  <si>
    <t>Melting_Curves/meltCurve_G3V5V7_HNRNPC.pdf</t>
  </si>
  <si>
    <t>Melting_Curves/meltCurve_G3XA91_METAP2.pdf</t>
  </si>
  <si>
    <t>Melting_Curves/meltCurve_G3XAA0_ARID1B.pdf</t>
  </si>
  <si>
    <t>Melting_Curves/meltCurve_G3XAH0_SEPT5.pdf</t>
  </si>
  <si>
    <t>Melting_Curves/meltCurve_G3XAI9_FAM133B.pdf</t>
  </si>
  <si>
    <t>Melting_Curves/meltCurve_G3XAL9_SLC12A2.pdf</t>
  </si>
  <si>
    <t>Melting_Curves/meltCurve_G5E948_MAP4K4.pdf</t>
  </si>
  <si>
    <t>Melting_Curves/meltCurve_G5E953_MTMR3.pdf</t>
  </si>
  <si>
    <t>Melting_Curves/meltCurve_G5E9A6_USP11.pdf</t>
  </si>
  <si>
    <t>Melting_Curves/meltCurve_G5E9A7_DMWD.pdf</t>
  </si>
  <si>
    <t>Melting_Curves/meltCurve_G5E9B5_TFPT.pdf</t>
  </si>
  <si>
    <t>Melting_Curves/meltCurve_G5E9C8_SOS1.pdf</t>
  </si>
  <si>
    <t>Melting_Curves/meltCurve_G5E9F3_CABIN1.pdf</t>
  </si>
  <si>
    <t>Melting_Curves/meltCurve_G5EA02_C4orf21.pdf</t>
  </si>
  <si>
    <t>Melting_Curves/meltCurve_G5EA07_PWWP2A.pdf</t>
  </si>
  <si>
    <t>Melting_Curves/meltCurve_G5EA52_PDIA3.pdf</t>
  </si>
  <si>
    <t>Melting_Curves/meltCurve_G8JL86_COBLL1.pdf</t>
  </si>
  <si>
    <t>Melting_Curves/meltCurve_G8JL95_MAU2.pdf</t>
  </si>
  <si>
    <t>Melting_Curves/meltCurve_G8JL98_TDG.pdf</t>
  </si>
  <si>
    <t>Melting_Curves/meltCurve_G8JLB3_PUS1.pdf</t>
  </si>
  <si>
    <t>Melting_Curves/meltCurve_G8JLE5_TIPIN.pdf</t>
  </si>
  <si>
    <t>Melting_Curves/meltCurve_G8JLH2_CDC25B.pdf</t>
  </si>
  <si>
    <t>Melting_Curves/meltCurve_G8JLI5_WDR45.pdf</t>
  </si>
  <si>
    <t>Melting_Curves/meltCurve_G8JLK1_USE1.pdf</t>
  </si>
  <si>
    <t>Melting_Curves/meltCurve_G8JLK3_PACS2.pdf</t>
  </si>
  <si>
    <t>Melting_Curves/meltCurve_G8JLL2_PPT2.pdf</t>
  </si>
  <si>
    <t>Melting_Curves/meltCurve_H0Y2S9_MPRIP.pdf</t>
  </si>
  <si>
    <t>Melting_Curves/meltCurve_H0Y390_MACF1.pdf</t>
  </si>
  <si>
    <t>Melting_Curves/meltCurve_H0Y3A0_RPL35.pdf</t>
  </si>
  <si>
    <t>Melting_Curves/meltCurve_H0Y3K7_ABLIM1.pdf</t>
  </si>
  <si>
    <t>Melting_Curves/meltCurve_H0Y3N9_PHF8.pdf</t>
  </si>
  <si>
    <t>Melting_Curves/meltCurve_H0Y3P2_EIF4G2.pdf</t>
  </si>
  <si>
    <t>Melting_Curves/meltCurve_H0Y3R4_SETD5.pdf</t>
  </si>
  <si>
    <t>Melting_Curves/meltCurve_H0Y452_C7orf43.pdf</t>
  </si>
  <si>
    <t>Melting_Curves/meltCurve_H0Y459_NCOR1.pdf</t>
  </si>
  <si>
    <t>Melting_Curves/meltCurve_H0Y498_EDEM3.pdf</t>
  </si>
  <si>
    <t>Melting_Curves/meltCurve_H0Y4R1_IMPDH2.pdf</t>
  </si>
  <si>
    <t>Melting_Curves/meltCurve_H0Y4V9_LARP4B.pdf</t>
  </si>
  <si>
    <t>Melting_Curves/meltCurve_H0Y547_ATP11A.pdf</t>
  </si>
  <si>
    <t>Melting_Curves/meltCurve_H0Y5C2_ATE1.pdf</t>
  </si>
  <si>
    <t>Melting_Curves/meltCurve_H0Y5Y0_PREP.pdf</t>
  </si>
  <si>
    <t>Melting_Curves/meltCurve_H0Y6C3_PYCRL.pdf</t>
  </si>
  <si>
    <t>Melting_Curves/meltCurve_H0Y714_IMP4.pdf</t>
  </si>
  <si>
    <t>Melting_Curves/meltCurve_H0Y7H8_ARID1B.pdf</t>
  </si>
  <si>
    <t>Melting_Curves/meltCurve_H0Y7Z1_FN1.pdf</t>
  </si>
  <si>
    <t>Melting_Curves/meltCurve_H0Y8G9_HERC3.pdf</t>
  </si>
  <si>
    <t>Melting_Curves/meltCurve_H0Y8X4_DNPH1.pdf</t>
  </si>
  <si>
    <t>Melting_Curves/meltCurve_H0Y905_RAPGEF2.pdf</t>
  </si>
  <si>
    <t>Melting_Curves/meltCurve_H0Y9S9_PPIP5K2.pdf</t>
  </si>
  <si>
    <t>Melting_Curves/meltCurve_H0YA52_PCBD2.pdf</t>
  </si>
  <si>
    <t>Melting_Curves/meltCurve_H0YA61_RBM24.pdf</t>
  </si>
  <si>
    <t>Melting_Curves/meltCurve_H0YA68_MAN2B2.pdf</t>
  </si>
  <si>
    <t>Melting_Curves/meltCurve_H0YA80_UBE2B.pdf</t>
  </si>
  <si>
    <t>Melting_Curves/meltCurve_H0YA99_TCOF1.pdf</t>
  </si>
  <si>
    <t>Melting_Curves/meltCurve_H0YAD3_SPATA24.pdf</t>
  </si>
  <si>
    <t>Melting_Curves/meltCurve_H0YAE0_C5orf24.pdf</t>
  </si>
  <si>
    <t>Melting_Curves/meltCurve_H0YAJ5_APBB2.pdf</t>
  </si>
  <si>
    <t>Melting_Curves/meltCurve_H0YAK3_CDH18.pdf</t>
  </si>
  <si>
    <t>Melting_Curves/meltCurve_H0YB18_HYI.pdf</t>
  </si>
  <si>
    <t>Melting_Curves/meltCurve_H0YBG3_MYC.pdf</t>
  </si>
  <si>
    <t>Melting_Curves/meltCurve_H0YBJ8_MTDH.pdf</t>
  </si>
  <si>
    <t>Melting_Curves/meltCurve_H0YBQ5_CCNC.pdf</t>
  </si>
  <si>
    <t>Melting_Curves/meltCurve_H0YBU8_MRPL43.pdf</t>
  </si>
  <si>
    <t>Melting_Curves/meltCurve_H0YBZ4_MTFR1.pdf</t>
  </si>
  <si>
    <t>Melting_Curves/meltCurve_H0YCG1_SF3B2.pdf</t>
  </si>
  <si>
    <t>Melting_Curves/meltCurve_H0YCU9_TAGLN.pdf</t>
  </si>
  <si>
    <t>Melting_Curves/meltCurve_H0YDE2_PLEKHA7.pdf</t>
  </si>
  <si>
    <t>Melting_Curves/meltCurve_H0YDF9_SCRIB.pdf</t>
  </si>
  <si>
    <t>Melting_Curves/meltCurve_H0YDS2_TRMT44.pdf</t>
  </si>
  <si>
    <t>Melting_Curves/meltCurve_H0YDU8_PPP5C.pdf</t>
  </si>
  <si>
    <t>Melting_Curves/meltCurve_H0YE28_C11orf31.pdf</t>
  </si>
  <si>
    <t>Melting_Curves/meltCurve_H0YE57_DHCR7.pdf</t>
  </si>
  <si>
    <t>Melting_Curves/meltCurve_H0YE76_ASCC1.pdf</t>
  </si>
  <si>
    <t>Melting_Curves/meltCurve_H0YEB6_SSSCA1.pdf</t>
  </si>
  <si>
    <t>Melting_Curves/meltCurve_H0YEB8_RNPC3.pdf</t>
  </si>
  <si>
    <t>Melting_Curves/meltCurve_H0YEF3_RNASEH2C.pdf</t>
  </si>
  <si>
    <t>Melting_Curves/meltCurve_H0YEL0_GEMIN2.pdf</t>
  </si>
  <si>
    <t>Melting_Curves/meltCurve_H0YFB1_PKP4.pdf</t>
  </si>
  <si>
    <t>Melting_Curves/meltCurve_H0YFY6_NUMA1.pdf</t>
  </si>
  <si>
    <t>Melting_Curves/meltCurve_H0YGR4_REXO2.pdf</t>
  </si>
  <si>
    <t>Melting_Curves/meltCurve_H0YIE9_FBXO21.pdf</t>
  </si>
  <si>
    <t>Melting_Curves/meltCurve_H0YJA8_C14orf142.pdf</t>
  </si>
  <si>
    <t>Melting_Curves/meltCurve_H0YJH2_CEP128.pdf</t>
  </si>
  <si>
    <t>Melting_Curves/meltCurve_H0YKX3_KIAA0101.pdf</t>
  </si>
  <si>
    <t>Melting_Curves/meltCurve_H0YLA0_PRC1.pdf</t>
  </si>
  <si>
    <t>Melting_Curves/meltCurve_H0YLB5_POU2F1.pdf</t>
  </si>
  <si>
    <t>Melting_Curves/meltCurve_H0YLF3_B2M.pdf</t>
  </si>
  <si>
    <t>Melting_Curves/meltCurve_H0YLN8_TRPM7.pdf</t>
  </si>
  <si>
    <t>Melting_Curves/meltCurve_H0YLX2_RFX7.pdf</t>
  </si>
  <si>
    <t>Melting_Curves/meltCurve_H0YM23_ANKRD17.pdf</t>
  </si>
  <si>
    <t>Melting_Curves/meltCurve_H0YMB3_GMPR2.pdf</t>
  </si>
  <si>
    <t>Melting_Curves/meltCurve_H0YMX4_GATM.pdf</t>
  </si>
  <si>
    <t>Melting_Curves/meltCurve_H0YN78_C15orf57.pdf</t>
  </si>
  <si>
    <t>Melting_Curves/meltCurve_H0YNE9_RAB8B.pdf</t>
  </si>
  <si>
    <t>Melting_Curves/meltCurve_H0YNG3_SEC11A.pdf</t>
  </si>
  <si>
    <t>Melting_Curves/meltCurve_H0YNH8_UACA.pdf</t>
  </si>
  <si>
    <t>Melting_Curves/meltCurve_H0YNU5_BLM.pdf</t>
  </si>
  <si>
    <t>Melting_Curves/meltCurve_H3BLV0_CD55.pdf</t>
  </si>
  <si>
    <t>Melting_Curves/meltCurve_H3BM67_NOL3.pdf</t>
  </si>
  <si>
    <t>Melting_Curves/meltCurve_H3BM79_AKTIP.pdf</t>
  </si>
  <si>
    <t>Melting_Curves/meltCurve_H3BMJ2_C15orf39.pdf</t>
  </si>
  <si>
    <t>Melting_Curves/meltCurve_H3BNT4_MPHOSPH6.pdf</t>
  </si>
  <si>
    <t>Melting_Curves/meltCurve_H3BPB8_MPI.pdf</t>
  </si>
  <si>
    <t>Melting_Curves/meltCurve_H3BPE1_MACF1.pdf</t>
  </si>
  <si>
    <t>Melting_Curves/meltCurve_H3BPJ6_ZNF276.pdf</t>
  </si>
  <si>
    <t>Melting_Curves/meltCurve_H3BPK3_HAGH.pdf</t>
  </si>
  <si>
    <t>Melting_Curves/meltCurve_H3BPK6_ORAOV1.pdf</t>
  </si>
  <si>
    <t>Melting_Curves/meltCurve_H3BPS8_ALDOA.pdf</t>
  </si>
  <si>
    <t>Melting_Curves/meltCurve_H3BQA0_SNAPC5.pdf</t>
  </si>
  <si>
    <t>Melting_Curves/meltCurve_H3BQZ7_hCG_2044799.pdf</t>
  </si>
  <si>
    <t>Melting_Curves/meltCurve_H3BRF9_ZFYVE19.pdf</t>
  </si>
  <si>
    <t>Melting_Curves/meltCurve_H3BRL3_UBFD1.pdf</t>
  </si>
  <si>
    <t>Melting_Curves/meltCurve_H3BRV0_EIF3C.pdf</t>
  </si>
  <si>
    <t>Melting_Curves/meltCurve_H3BS09_CYLD.pdf</t>
  </si>
  <si>
    <t>Melting_Curves/meltCurve_H3BSC1_RAB11A.pdf</t>
  </si>
  <si>
    <t>Melting_Curves/meltCurve_H3BST1_BLOC1S6.pdf</t>
  </si>
  <si>
    <t>Melting_Curves/meltCurve_H3BSZ4_MLST8.pdf</t>
  </si>
  <si>
    <t>Melting_Curves/meltCurve_H3BT74_CDK10.pdf</t>
  </si>
  <si>
    <t>Melting_Curves/meltCurve_H3BTB7_EARS2.pdf</t>
  </si>
  <si>
    <t>Melting_Curves/meltCurve_H3BTL1_MAP1LC3B.pdf</t>
  </si>
  <si>
    <t>Melting_Curves/meltCurve_H3BTT7_HERPUD1.pdf</t>
  </si>
  <si>
    <t>Melting_Curves/meltCurve_H3BU49_ARL2BP.pdf</t>
  </si>
  <si>
    <t>Melting_Curves/meltCurve_H3BU51_NPTN.pdf</t>
  </si>
  <si>
    <t>Melting_Curves/meltCurve_H3BUF6_ATXN2L.pdf</t>
  </si>
  <si>
    <t>Melting_Curves/meltCurve_H3BUJ7_E4F1.pdf</t>
  </si>
  <si>
    <t>Melting_Curves/meltCurve_H3BUQ2_OGFOD1.pdf</t>
  </si>
  <si>
    <t>Melting_Curves/meltCurve_H3BV80_RNPS1.pdf</t>
  </si>
  <si>
    <t>Melting_Curves/meltCurve_H6UMI1_GABARAP.pdf</t>
  </si>
  <si>
    <t>Melting_Curves/meltCurve_H7BXD5_GCA.pdf</t>
  </si>
  <si>
    <t>Melting_Curves/meltCurve_H7BXF5_SAP130.pdf</t>
  </si>
  <si>
    <t>Melting_Curves/meltCurve_H7BXG2_NPRL3.pdf</t>
  </si>
  <si>
    <t>Melting_Curves/meltCurve_H7BXH2_PPP6R3.pdf</t>
  </si>
  <si>
    <t>Melting_Curves/meltCurve_H7BXI1_ESYT2.pdf</t>
  </si>
  <si>
    <t>Melting_Curves/meltCurve_H7BXQ9_ERCC6L2.pdf</t>
  </si>
  <si>
    <t>Melting_Curves/meltCurve_H7BXU9_FGFR2.pdf</t>
  </si>
  <si>
    <t>Melting_Curves/meltCurve_H7BXZ5_KALRN.pdf</t>
  </si>
  <si>
    <t>Melting_Curves/meltCurve_H7BY36_EWSR1.pdf</t>
  </si>
  <si>
    <t>Melting_Curves/meltCurve_H7BYK9_STAG3.pdf</t>
  </si>
  <si>
    <t>Melting_Curves/meltCurve_H7BYN4_KIF23.pdf</t>
  </si>
  <si>
    <t>Melting_Curves/meltCurve_H7BYY1_TPM1.pdf</t>
  </si>
  <si>
    <t>Melting_Curves/meltCurve_H7BZJ3_PDIA3.pdf</t>
  </si>
  <si>
    <t>Melting_Curves/meltCurve_H7BZK3_DNAJB14.pdf</t>
  </si>
  <si>
    <t>Melting_Curves/meltCurve_H7C0C1_.pdf</t>
  </si>
  <si>
    <t>Melting_Curves/meltCurve_H7C0J3_CHD3.pdf</t>
  </si>
  <si>
    <t>Melting_Curves/meltCurve_H7C0S8_.pdf</t>
  </si>
  <si>
    <t>Melting_Curves/meltCurve_H7C134_TRIM5.pdf</t>
  </si>
  <si>
    <t>Melting_Curves/meltCurve_H7C137_RANBP1.pdf</t>
  </si>
  <si>
    <t>Melting_Curves/meltCurve_H7C144_ACTN4.pdf</t>
  </si>
  <si>
    <t>Melting_Curves/meltCurve_H7C1C1_DONSON.pdf</t>
  </si>
  <si>
    <t>Melting_Curves/meltCurve_H7C1M0_FANCL.pdf</t>
  </si>
  <si>
    <t>Melting_Curves/meltCurve_H7C1M5_DNTTIP1.pdf</t>
  </si>
  <si>
    <t>Melting_Curves/meltCurve_H7C1N2_COBL.pdf</t>
  </si>
  <si>
    <t>Melting_Curves/meltCurve_H7C1U3_CC2D1B.pdf</t>
  </si>
  <si>
    <t>Melting_Curves/meltCurve_H7C1W2_IDH3G.pdf</t>
  </si>
  <si>
    <t>Melting_Curves/meltCurve_H7C284_MFSD6.pdf</t>
  </si>
  <si>
    <t>Melting_Curves/meltCurve_H7C2G2_ART4.pdf</t>
  </si>
  <si>
    <t>Melting_Curves/meltCurve_H7C3E1_ATP6AP2.pdf</t>
  </si>
  <si>
    <t>Melting_Curves/meltCurve_H7C3P4_GNS.pdf</t>
  </si>
  <si>
    <t>Melting_Curves/meltCurve_H7C463_IMMT.pdf</t>
  </si>
  <si>
    <t>Melting_Curves/meltCurve_H7C494_DNAJB14.pdf</t>
  </si>
  <si>
    <t>Melting_Curves/meltCurve_H7C4S2_HBP1.pdf</t>
  </si>
  <si>
    <t>Melting_Curves/meltCurve_H7C4S4_FXR1.pdf</t>
  </si>
  <si>
    <t>Melting_Curves/meltCurve_H7C4Y3_PARP14.pdf</t>
  </si>
  <si>
    <t>Melting_Curves/meltCurve_H7C561_SF1.pdf</t>
  </si>
  <si>
    <t>Melting_Curves/meltCurve_H7C585_FXN.pdf</t>
  </si>
  <si>
    <t>Melting_Curves/meltCurve_H7C5D9_LRCH4.pdf</t>
  </si>
  <si>
    <t>Melting_Curves/meltCurve_H7C5E8_.pdf</t>
  </si>
  <si>
    <t>Melting_Curves/meltCurve_H7C5F9_SUPT20H.pdf</t>
  </si>
  <si>
    <t>Melting_Curves/meltCurve_H7C5V4_RNF217.pdf</t>
  </si>
  <si>
    <t>Melting_Curves/meltCurve_H9KV61_PWWP2B.pdf</t>
  </si>
  <si>
    <t>Melting_Curves/meltCurve_H9KVB4_TNRC18.pdf</t>
  </si>
  <si>
    <t>Melting_Curves/meltCurve_H9ZYI9_GABPB1.pdf</t>
  </si>
  <si>
    <t>Melting_Curves/meltCurve_I3L097_.pdf</t>
  </si>
  <si>
    <t>Melting_Curves/meltCurve_I3L100_NEURL4.pdf</t>
  </si>
  <si>
    <t>Melting_Curves/meltCurve_I3L1H5_DPH1.pdf</t>
  </si>
  <si>
    <t>Melting_Curves/meltCurve_I3L1K6_MYL4.pdf</t>
  </si>
  <si>
    <t>Melting_Curves/meltCurve_I3L1Q3_ELP5.pdf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</si>
  <si>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</si>
  <si>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</si>
  <si>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</si>
  <si>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</si>
  <si>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Melting_Curves/meltCurve_I3L2L5_FAM195B.pdf</t>
  </si>
  <si>
    <t>Melting_Curves/meltCurve_I3L2N2_DVL2.pdf</t>
  </si>
  <si>
    <t>Melting_Curves/meltCurve_I3L3E4_CHMP6.pdf</t>
  </si>
  <si>
    <t>Melting_Curves/meltCurve_I3L3P7_RPS15A.pdf</t>
  </si>
  <si>
    <t>Melting_Curves/meltCurve_I3L3S0_TRAPPC1.pdf</t>
  </si>
  <si>
    <t>Melting_Curves/meltCurve_I3L413_CCNE1.pdf</t>
  </si>
  <si>
    <t>Melting_Curves/meltCurve_I3L430_HMOX2.pdf</t>
  </si>
  <si>
    <t>Melting_Curves/meltCurve_I3L4C3_SPAG7.pdf</t>
  </si>
  <si>
    <t>Melting_Curves/meltCurve_I3L4X3_NFKBIB.pdf</t>
  </si>
  <si>
    <t>Melting_Curves/meltCurve_I3L505_NDUFAB1.pdf</t>
  </si>
  <si>
    <t>Melting_Curves/meltCurve_I3NI44_TOM1L1.pdf</t>
  </si>
  <si>
    <t>Melting_Curves/meltCurve_I6L894_ANK2.pdf</t>
  </si>
  <si>
    <t>Melting_Curves/meltCurve_J3KMY5_NPC2.pdf</t>
  </si>
  <si>
    <t>Melting_Curves/meltCurve_J3KMZ7_INTS2.pdf</t>
  </si>
  <si>
    <t>Melting_Curves/meltCurve_J3KN01_MLLT4.pdf</t>
  </si>
  <si>
    <t>Melting_Curves/meltCurve_J3KN25_GALC.pdf</t>
  </si>
  <si>
    <t>Melting_Curves/meltCurve_J3KN27_FBRSL1.pdf</t>
  </si>
  <si>
    <t>Melting_Curves/meltCurve_J3KN29_PSMD9.pdf</t>
  </si>
  <si>
    <t>Melting_Curves/meltCurve_J3KN33_CNTLN.pdf</t>
  </si>
  <si>
    <t>Melting_Curves/meltCurve_J3KN66_TOR1AIP1.pdf</t>
  </si>
  <si>
    <t>Melting_Curves/meltCurve_J3KN68_VGLL4.pdf</t>
  </si>
  <si>
    <t>Melting_Curves/meltCurve_J3KN93_ANKRD44.pdf</t>
  </si>
  <si>
    <t>Melting_Curves/meltCurve_J3KNB8_MAP3K4.pdf</t>
  </si>
  <si>
    <t>Melting_Curves/meltCurve_J3KND1_SAAL1.pdf</t>
  </si>
  <si>
    <t>Melting_Curves/meltCurve_J3KNF4_CCS.pdf</t>
  </si>
  <si>
    <t>Melting_Curves/meltCurve_J3KNG8_FNIP1.pdf</t>
  </si>
  <si>
    <t>Melting_Curves/meltCurve_J3KNH7_SENP3.pdf</t>
  </si>
  <si>
    <t>Melting_Curves/meltCurve_J3KNK0_BRSK1.pdf</t>
  </si>
  <si>
    <t>Melting_Curves/meltCurve_J3KNL6_SEC16A.pdf</t>
  </si>
  <si>
    <t>Melting_Curves/meltCurve_J3KNL9_ZFYVE1.pdf</t>
  </si>
  <si>
    <t>Melting_Curves/meltCurve_J3KNM5_YAF2.pdf</t>
  </si>
  <si>
    <t>Melting_Curves/meltCurve_J3KNN7_BRAP.pdf</t>
  </si>
  <si>
    <t>Melting_Curves/meltCurve_J3KNU8_ALDH6A1.pdf</t>
  </si>
  <si>
    <t>Melting_Curves/meltCurve_J3KNV1_ZNF292.pdf</t>
  </si>
  <si>
    <t>Melting_Curves/meltCurve_J3KNX4_MUM1.pdf</t>
  </si>
  <si>
    <t>Melting_Curves/meltCurve_J3KNZ9_FBRS.pdf</t>
  </si>
  <si>
    <t>Melting_Curves/meltCurve_J3KP19_SIPA1L1.pdf</t>
  </si>
  <si>
    <t>Melting_Curves/meltCurve_J3KP22_PTPRA.pdf</t>
  </si>
  <si>
    <t>Melting_Curves/meltCurve_J3KP30_DNTTIP2.pdf</t>
  </si>
  <si>
    <t>Melting_Curves/meltCurve_J3KP36_FAM21C.pdf</t>
  </si>
  <si>
    <t>Melting_Curves/meltCurve_J3KP66_PROX1.pdf</t>
  </si>
  <si>
    <t>Melting_Curves/meltCurve_J3KPK1_SYNJ1.pdf</t>
  </si>
  <si>
    <t>Melting_Curves/meltCurve_J3KPS2_FAM83H.pdf</t>
  </si>
  <si>
    <t>Melting_Curves/meltCurve_J3KPT0_DPP8.pdf</t>
  </si>
  <si>
    <t>Melting_Curves/meltCurve_J3KPV7_MPST.pdf</t>
  </si>
  <si>
    <t>Melting_Curves/meltCurve_J3KQ34_COPS7B.pdf</t>
  </si>
  <si>
    <t>Melting_Curves/meltCurve_J3KQD2_SENP2.pdf</t>
  </si>
  <si>
    <t>Melting_Curves/meltCurve_J3KQS2_CDC7.pdf</t>
  </si>
  <si>
    <t>Melting_Curves/meltCurve_J3KQS6_BABAM1.pdf</t>
  </si>
  <si>
    <t>Melting_Curves/meltCurve_J3KR07_CRAMP1L.pdf</t>
  </si>
  <si>
    <t>Melting_Curves/meltCurve_J3KRP6_SS18.pdf</t>
  </si>
  <si>
    <t>Melting_Curves/meltCurve_J3KSB8_MIF4GD.pdf</t>
  </si>
  <si>
    <t>Melting_Curves/meltCurve_J3KSW2_POLI.pdf</t>
  </si>
  <si>
    <t>Melting_Curves/meltCurve_J3KSX7_RHOT1.pdf</t>
  </si>
  <si>
    <t>Melting_Curves/meltCurve_J3KT51_HN1.pdf</t>
  </si>
  <si>
    <t>Melting_Curves/meltCurve_J3KTF8_ARHGDIA.pdf</t>
  </si>
  <si>
    <t>Melting_Curves/meltCurve_J3QK86_BAZ2A.pdf</t>
  </si>
  <si>
    <t>Melting_Curves/meltCurve_J3QKW2_MRPS7.pdf</t>
  </si>
  <si>
    <t>Melting_Curves/meltCurve_J3QL14_ATP6V0D1.pdf</t>
  </si>
  <si>
    <t>Melting_Curves/meltCurve_J3QL56_SCO1.pdf</t>
  </si>
  <si>
    <t>Melting_Curves/meltCurve_J3QLD9_FLOT2.pdf</t>
  </si>
  <si>
    <t>Melting_Curves/meltCurve_J3QLM9_DNAH9.pdf</t>
  </si>
  <si>
    <t>Melting_Curves/meltCurve_J3QLN8_AURKB.pdf</t>
  </si>
  <si>
    <t>Melting_Curves/meltCurve_J3QQJ5_TRAPPC8.pdf</t>
  </si>
  <si>
    <t>Melting_Curves/meltCurve_J3QQT2_RPL17.pdf</t>
  </si>
  <si>
    <t>Melting_Curves/meltCurve_J3QQW9_SUZ12.pdf</t>
  </si>
  <si>
    <t>Melting_Curves/meltCurve_J3QQY0_MSL1.pdf</t>
  </si>
  <si>
    <t>Melting_Curves/meltCurve_J3QR09_RPL19.pdf</t>
  </si>
  <si>
    <t>Melting_Curves/meltCurve_J3QR65_MTMR4.pdf</t>
  </si>
  <si>
    <t>Melting_Curves/meltCurve_J3QRN6_MYO1D.pdf</t>
  </si>
  <si>
    <t>Melting_Curves/meltCurve_J3QSH4_VEZF1.pdf</t>
  </si>
  <si>
    <t>Melting_Curves/meltCurve_J3QT28_BUB3.pdf</t>
  </si>
  <si>
    <t>Melting_Curves/meltCurve_J3QT32_NDEL1.pdf</t>
  </si>
  <si>
    <t>Melting_Curves/meltCurve_J3QT34_MAST4.pdf</t>
  </si>
  <si>
    <t>Melting_Curves/meltCurve_J3QTB1_TMEM173.pdf</t>
  </si>
  <si>
    <t>Melting_Curves/meltCurve_J3QTB2_CHCHD6.pdf</t>
  </si>
  <si>
    <t>Melting_Curves/meltCurve_J3QTM1_DNAH12.pdf</t>
  </si>
  <si>
    <t>Melting_Curves/meltCurve_J3QTV4_RGPD2.pdf</t>
  </si>
  <si>
    <t>Melting_Curves/meltCurve_J9JIC5_C17orf75.pdf</t>
  </si>
  <si>
    <t>Melting_Curves/meltCurve_K4DI92_RWDD4.pdf</t>
  </si>
  <si>
    <t>Melting_Curves/meltCurve_K7EIG1_CLUH.pdf</t>
  </si>
  <si>
    <t>Melting_Curves/meltCurve_K7EIJ0_WBP2.pdf</t>
  </si>
  <si>
    <t>Melting_Curves/meltCurve_K7EIN2_NUDT16L1.pdf</t>
  </si>
  <si>
    <t>Melting_Curves/meltCurve_K7EIP0_ACP5.pdf</t>
  </si>
  <si>
    <t>Melting_Curves/meltCurve_K7EIU8_SMAD4.pdf</t>
  </si>
  <si>
    <t>Melting_Curves/meltCurve_K7EJ08_SEC14L1.pdf</t>
  </si>
  <si>
    <t>Melting_Curves/meltCurve_K7EJ32_SPHK1.pdf</t>
  </si>
  <si>
    <t>Melting_Curves/meltCurve_K7EJA5_ATG4D.pdf</t>
  </si>
  <si>
    <t>Melting_Curves/meltCurve_K7EJH8_ACTN4.pdf</t>
  </si>
  <si>
    <t>Melting_Curves/meltCurve_K7EJQ7_SEC11C.pdf</t>
  </si>
  <si>
    <t>Melting_Curves/meltCurve_K7EJS4_SPINT2.pdf</t>
  </si>
  <si>
    <t>Melting_Curves/meltCurve_K7EK07_H3F3B.pdf</t>
  </si>
  <si>
    <t>Melting_Curves/meltCurve_K7EK35_STAT5A.pdf</t>
  </si>
  <si>
    <t>Melting_Curves/meltCurve_K7EKE6_LONP1.pdf</t>
  </si>
  <si>
    <t>Melting_Curves/meltCurve_K7EKG9_ATXN7L3.pdf</t>
  </si>
  <si>
    <t>Melting_Curves/meltCurve_K7EKT0_DOCK6.pdf</t>
  </si>
  <si>
    <t>Melting_Curves/meltCurve_K7EL68_CDC37.pdf</t>
  </si>
  <si>
    <t>Melting_Curves/meltCurve_K7EL81_PPP1R12C.pdf</t>
  </si>
  <si>
    <t>Melting_Curves/meltCurve_K7ELC2_RPS15.pdf</t>
  </si>
  <si>
    <t>Melting_Curves/meltCurve_K7ELW5_PTBP1.pdf</t>
  </si>
  <si>
    <t>Melting_Curves/meltCurve_K7ELY0_WIPI1.pdf</t>
  </si>
  <si>
    <t>Melting_Curves/meltCurve_K7EM02_KATNAL2.pdf</t>
  </si>
  <si>
    <t>Melting_Curves/meltCurve_K7EM09_TMEM205.pdf</t>
  </si>
  <si>
    <t>Melting_Curves/meltCurve_K7EM88_UBALD1.pdf</t>
  </si>
  <si>
    <t>Melting_Curves/meltCurve_K7EMW4_NCLN.pdf</t>
  </si>
  <si>
    <t>Melting_Curves/meltCurve_K7EMX1_SPC24.pdf</t>
  </si>
  <si>
    <t>Melting_Curves/meltCurve_K7EMZ7_C19orf57.pdf</t>
  </si>
  <si>
    <t>Melting_Curves/meltCurve_K7EN05_ELOF1.pdf</t>
  </si>
  <si>
    <t>Melting_Curves/meltCurve_K7EN65_MBD1.pdf</t>
  </si>
  <si>
    <t>Melting_Curves/meltCurve_K7EN88_hCG_2039718.pdf</t>
  </si>
  <si>
    <t>Melting_Curves/meltCurve_K7ENF0_NARS.pdf</t>
  </si>
  <si>
    <t>Melting_Curves/meltCurve_K7ENJ0_RAD23A.pdf</t>
  </si>
  <si>
    <t>Melting_Curves/meltCurve_K7ENL9_C18orf8.pdf</t>
  </si>
  <si>
    <t>Melting_Curves/meltCurve_K7ENQ6_DNMT1.pdf</t>
  </si>
  <si>
    <t>Melting_Curves/meltCurve_K7ENR1_ELK1.pdf</t>
  </si>
  <si>
    <t>Melting_Curves/meltCurve_K7ENR6_PSMG2.pdf</t>
  </si>
  <si>
    <t>Melting_Curves/meltCurve_K7EP81_C19orf55.pdf</t>
  </si>
  <si>
    <t>Melting_Curves/meltCurve_K7EPS8_C19orf12.pdf</t>
  </si>
  <si>
    <t>Melting_Curves/meltCurve_K7EPU2_NFIX.pdf</t>
  </si>
  <si>
    <t>Melting_Curves/meltCurve_K7EQG1_QPCTL.pdf</t>
  </si>
  <si>
    <t>Melting_Curves/meltCurve_K7EQU4_SAFB2.pdf</t>
  </si>
  <si>
    <t>Melting_Curves/meltCurve_K7EQV7_ZNF700.pdf</t>
  </si>
  <si>
    <t>Melting_Curves/meltCurve_K7EQW8_TPM4.pdf</t>
  </si>
  <si>
    <t>Melting_Curves/meltCurve_K7EQX8_MXRA7.pdf</t>
  </si>
  <si>
    <t>Melting_Curves/meltCurve_K7EQZ1_CXXC1.pdf</t>
  </si>
  <si>
    <t>Melting_Curves/meltCurve_K7ERF1_EIF3K.pdf</t>
  </si>
  <si>
    <t>Melting_Curves/meltCurve_K7ERI9_APOC1.pdf</t>
  </si>
  <si>
    <t>Melting_Curves/meltCurve_K7ERQ8_.pdf</t>
  </si>
  <si>
    <t>Melting_Curves/meltCurve_K7ES11_UBE2O.pdf</t>
  </si>
  <si>
    <t>Melting_Curves/meltCurve_K7ES84_FAM86A.pdf</t>
  </si>
  <si>
    <t>Melting_Curves/meltCurve_K7ESE3_RAD23A.pdf</t>
  </si>
  <si>
    <t>Melting_Curves/meltCurve_K7ESI9_DNM2.pdf</t>
  </si>
  <si>
    <t>Melting_Curves/meltCurve_M0QWZ7_SARS2.pdf</t>
  </si>
  <si>
    <t>Melting_Curves/meltCurve_M0QX35_PAF1.pdf</t>
  </si>
  <si>
    <t>Melting_Curves/meltCurve_M0QXF5_.pdf</t>
  </si>
  <si>
    <t>Melting_Curves/meltCurve_M0QXX4_KPTN.pdf</t>
  </si>
  <si>
    <t>Melting_Curves/meltCurve_M0QY01_EPS15L1.pdf</t>
  </si>
  <si>
    <t>Melting_Curves/meltCurve_M0QY46_USF2.pdf</t>
  </si>
  <si>
    <t>Melting_Curves/meltCurve_M0QYR7_SMG9.pdf</t>
  </si>
  <si>
    <t>Melting_Curves/meltCurve_M0QZ22_SAMD4B.pdf</t>
  </si>
  <si>
    <t>Melting_Curves/meltCurve_M0QZ28_DTNA.pdf</t>
  </si>
  <si>
    <t>Melting_Curves/meltCurve_M0QZ43_HRC.pdf</t>
  </si>
  <si>
    <t>Melting_Curves/meltCurve_M0QZ57_ZBTB45.pdf</t>
  </si>
  <si>
    <t>Melting_Curves/meltCurve_M0QZH0_RCN3.pdf</t>
  </si>
  <si>
    <t>Melting_Curves/meltCurve_M0QZM1_HNRNPM.pdf</t>
  </si>
  <si>
    <t>Melting_Curves/meltCurve_M0QZR4_ARHGEF1.pdf</t>
  </si>
  <si>
    <t>Melting_Curves/meltCurve_M0QZW6_CCDC155.pdf</t>
  </si>
  <si>
    <t>Melting_Curves/meltCurve_M0R009_.pdf</t>
  </si>
  <si>
    <t>Melting_Curves/meltCurve_M0R044_MPND.pdf</t>
  </si>
  <si>
    <t>Melting_Curves/meltCurve_M0R0B4_KXD1.pdf</t>
  </si>
  <si>
    <t>Melting_Curves/meltCurve_M0R0F0_RPS5.pdf</t>
  </si>
  <si>
    <t>Melting_Curves/meltCurve_M0R0Q5_ZNF414.pdf</t>
  </si>
  <si>
    <t>Melting_Curves/meltCurve_M0R1B5_ILVBL.pdf</t>
  </si>
  <si>
    <t>Melting_Curves/meltCurve_M0R1T5_CHMP2A.pdf</t>
  </si>
  <si>
    <t>Melting_Curves/meltCurve_M0R299_FBL.pdf</t>
  </si>
  <si>
    <t>Melting_Curves/meltCurve_M0R2P6_SHKBP1.pdf</t>
  </si>
  <si>
    <t>Melting_Curves/meltCurve_M0R2S3_CCDC94.pdf</t>
  </si>
  <si>
    <t>Melting_Curves/meltCurve_M0R300_MYO9B.pdf</t>
  </si>
  <si>
    <t>Melting_Curves/meltCurve_M0R3D4_RABAC1.pdf</t>
  </si>
  <si>
    <t>Melting_Curves/meltCurve_O00116_AGPS.pdf</t>
  </si>
  <si>
    <t>Melting_Curves/meltCurve_O00124_2_UBXN8.pdf</t>
  </si>
  <si>
    <t>Melting_Curves/meltCurve_O00139_1_KIF2A.pdf</t>
  </si>
  <si>
    <t>Melting_Curves/meltCurve_O00139_2_KIF2A.pdf</t>
  </si>
  <si>
    <t>Melting_Curves/meltCurve_O00148_DDX39A.pdf</t>
  </si>
  <si>
    <t>Melting_Curves/meltCurve_O00151_PDLIM1.pdf</t>
  </si>
  <si>
    <t>Melting_Curves/meltCurve_O00154_6_ACOT7.pdf</t>
  </si>
  <si>
    <t>Melting_Curves/meltCurve_O00159_MYO1C.pdf</t>
  </si>
  <si>
    <t>Melting_Curves/meltCurve_O00160_MYO1F.pdf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</si>
  <si>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</si>
  <si>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</si>
  <si>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</si>
  <si>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</si>
  <si>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Melting_Curves/meltCurve_O00186_STXBP3.pdf</t>
  </si>
  <si>
    <t>Melting_Curves/meltCurve_O00213_3_APBB1.pdf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</si>
  <si>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</si>
  <si>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</si>
  <si>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</si>
  <si>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</si>
  <si>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Melting_Curves/meltCurve_O00255_2_MEN1.pdf</t>
  </si>
  <si>
    <t>Melting_Curves/meltCurve_O00257_CBX4.pdf</t>
  </si>
  <si>
    <t>Melting_Curves/meltCurve_O00264_PGRMC1.pdf</t>
  </si>
  <si>
    <t>Melting_Curves/meltCurve_O00268_TAF4.pdf</t>
  </si>
  <si>
    <t>Melting_Curves/meltCurve_O00273_DFFA.pdf</t>
  </si>
  <si>
    <t>Melting_Curves/meltCurve_O00273_2_DFFA.pdf</t>
  </si>
  <si>
    <t>Melting_Curves/meltCurve_O00287_RFXAP.pdf</t>
  </si>
  <si>
    <t>Melting_Curves/meltCurve_O00291_3_HIP1.pdf</t>
  </si>
  <si>
    <t>Melting_Curves/meltCurve_O00299_CLIC1.pdf</t>
  </si>
  <si>
    <t>Melting_Curves/meltCurve_O00303_EIF3F.pdf</t>
  </si>
  <si>
    <t>Melting_Curves/meltCurve_O00308_WWP2.pdf</t>
  </si>
  <si>
    <t>Melting_Curves/meltCurve_O00329_PIK3CD.pdf</t>
  </si>
  <si>
    <t>Melting_Curves/meltCurve_O00399_DCTN6.pdf</t>
  </si>
  <si>
    <t>Melting_Curves/meltCurve_O00401_WASL.pdf</t>
  </si>
  <si>
    <t>Melting_Curves/meltCurve_O00410_IPO5.pdf</t>
  </si>
  <si>
    <t>Melting_Curves/meltCurve_O00411_POLRMT.pdf</t>
  </si>
  <si>
    <t>Melting_Curves/meltCurve_O00418_EEF2K.pdf</t>
  </si>
  <si>
    <t>Melting_Curves/meltCurve_O00422_SAP18.pdf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</si>
  <si>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</si>
  <si>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</si>
  <si>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</si>
  <si>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</si>
  <si>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Melting_Curves/meltCurve_O00443_PIK3C2A.pdf</t>
  </si>
  <si>
    <t>Melting_Curves/meltCurve_O00459_PIK3R2.pdf</t>
  </si>
  <si>
    <t>Melting_Curves/meltCurve_O00462_MANBA.pdf</t>
  </si>
  <si>
    <t>Melting_Curves/meltCurve_O00468_2_AGRN.pdf</t>
  </si>
  <si>
    <t>Melting_Curves/meltCurve_O00471_EXOC5.pdf</t>
  </si>
  <si>
    <t>Melting_Curves/meltCurve_O00479_HMGN4.pdf</t>
  </si>
  <si>
    <t>Melting_Curves/meltCurve_O00487_PSMD14.pdf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</si>
  <si>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</si>
  <si>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</si>
  <si>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</si>
  <si>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</si>
  <si>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Melting_Curves/meltCurve_O00522_3_KRIT1.pdf</t>
  </si>
  <si>
    <t>Melting_Curves/meltCurve_O00534_VWA5A.pdf</t>
  </si>
  <si>
    <t>Melting_Curves/meltCurve_O00560_3_SDCBP.pdf</t>
  </si>
  <si>
    <t>Melting_Curves/meltCurve_O00566_MPHOSPH10.pdf</t>
  </si>
  <si>
    <t>Melting_Curves/meltCurve_O00567_NOP56.pdf</t>
  </si>
  <si>
    <t>Melting_Curves/meltCurve_O00570_SOX1.pdf</t>
  </si>
  <si>
    <t>Melting_Curves/meltCurve_O00571_DDX3X.pdf</t>
  </si>
  <si>
    <t>Melting_Curves/meltCurve_O00625_PIR.pdf</t>
  </si>
  <si>
    <t>Melting_Curves/meltCurve_O00629_KPNA4.pdf</t>
  </si>
  <si>
    <t>Melting_Curves/meltCurve_O00743_PPP6C.pdf</t>
  </si>
  <si>
    <t>Melting_Curves/meltCurve_O00748_CES2.pdf</t>
  </si>
  <si>
    <t>Melting_Curves/meltCurve_O00754_2_MAN2B1.pdf</t>
  </si>
  <si>
    <t>Melting_Curves/meltCurve_O00764_PDXK.pdf</t>
  </si>
  <si>
    <t>Melting_Curves/meltCurve_O14497_ARID1A.pdf</t>
  </si>
  <si>
    <t>Melting_Curves/meltCurve_O14503_BHLHE40.pdf</t>
  </si>
  <si>
    <t>Melting_Curves/meltCurve_O14508_SOCS2.pdf</t>
  </si>
  <si>
    <t>Melting_Curves/meltCurve_O14519_2_CDK2AP1.pdf</t>
  </si>
  <si>
    <t>Melting_Curves/meltCurve_O14526_2_FCHO1.pdf</t>
  </si>
  <si>
    <t>Melting_Curves/meltCurve_O14545_TRAFD1.pdf</t>
  </si>
  <si>
    <t>Melting_Curves/meltCurve_O14561_NDUFAB1.pdf</t>
  </si>
  <si>
    <t>Melting_Curves/meltCurve_O14578_4_CIT.pdf</t>
  </si>
  <si>
    <t>Melting_Curves/meltCurve_O14579_COPE.pdf</t>
  </si>
  <si>
    <t>Melting_Curves/meltCurve_O14617_AP3D1.pdf</t>
  </si>
  <si>
    <t>Melting_Curves/meltCurve_O14646_2_CHD1.pdf</t>
  </si>
  <si>
    <t>Melting_Curves/meltCurve_O14647_CHD2.pdf</t>
  </si>
  <si>
    <t>Melting_Curves/meltCurve_O14649_KCNK3.pdf</t>
  </si>
  <si>
    <t>Melting_Curves/meltCurve_O14653_3_GOSR2.pdf</t>
  </si>
  <si>
    <t>Melting_Curves/meltCurve_O14654_IRS4.pdf</t>
  </si>
  <si>
    <t>Melting_Curves/meltCurve_O14656_TOR1A.pdf</t>
  </si>
  <si>
    <t>Melting_Curves/meltCurve_O14657_TOR1B.pdf</t>
  </si>
  <si>
    <t>Melting_Curves/meltCurve_O14686_MLL2.pdf</t>
  </si>
  <si>
    <t>Melting_Curves/meltCurve_O14713_2_ITGB1BP1.pdf</t>
  </si>
  <si>
    <t>Melting_Curves/meltCurve_O14733_MAP2K7.pdf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</si>
  <si>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</si>
  <si>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</si>
  <si>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</si>
  <si>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</si>
  <si>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Melting_Curves/meltCurve_O14770_6_MEIS2.pdf</t>
  </si>
  <si>
    <t>Melting_Curves/meltCurve_O14772_FPGT.pdf</t>
  </si>
  <si>
    <t>Melting_Curves/meltCurve_O14773_2_TPP1.pdf</t>
  </si>
  <si>
    <t>Melting_Curves/meltCurve_O14776_2_TCERG1.pdf</t>
  </si>
  <si>
    <t>Melting_Curves/meltCurve_O14777_NDC80.pdf</t>
  </si>
  <si>
    <t>Melting_Curves/meltCurve_O14787_2_TNPO2.pdf</t>
  </si>
  <si>
    <t>Melting_Curves/meltCurve_O14795_UNC13B.pdf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</si>
  <si>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</si>
  <si>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</si>
  <si>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</si>
  <si>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</si>
  <si>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</si>
  <si>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Melting_Curves/meltCurve_O14907_TAX1BP3.pdf</t>
  </si>
  <si>
    <t>Melting_Curves/meltCurve_O14908_GIPC1.pdf</t>
  </si>
  <si>
    <t>Melting_Curves/meltCurve_O14920_IKBKB.pdf</t>
  </si>
  <si>
    <t>Melting_Curves/meltCurve_O14924_2_RGS12.pdf</t>
  </si>
  <si>
    <t>Melting_Curves/meltCurve_O14929_HAT1.pdf</t>
  </si>
  <si>
    <t>Melting_Curves/meltCurve_O14933_UBE2L6.pdf</t>
  </si>
  <si>
    <t>Melting_Curves/meltCurve_O14964_HGS.pdf</t>
  </si>
  <si>
    <t>Melting_Curves/meltCurve_O14965_AURKA.pdf</t>
  </si>
  <si>
    <t>Melting_Curves/meltCurve_O14974_PPP1R12A.pdf</t>
  </si>
  <si>
    <t>Melting_Curves/meltCurve_O14974_4_PPP1R12A.pdf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</si>
  <si>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</si>
  <si>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</si>
  <si>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</si>
  <si>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</si>
  <si>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Melting_Curves/meltCurve_O15013_7_ARHGEF10.pdf</t>
  </si>
  <si>
    <t>Melting_Curves/meltCurve_O15014_ZNF609.pdf</t>
  </si>
  <si>
    <t>Melting_Curves/meltCurve_O15015_ZNF646.pdf</t>
  </si>
  <si>
    <t>Melting_Curves/meltCurve_O15020_SPTBN2.pdf</t>
  </si>
  <si>
    <t>Melting_Curves/meltCurve_O15020_2_SPTBN2.pdf</t>
  </si>
  <si>
    <t>Melting_Curves/meltCurve_O15037_KHNYN.pdf</t>
  </si>
  <si>
    <t>Melting_Curves/meltCurve_O15047_SETD1A.pdf</t>
  </si>
  <si>
    <t>Melting_Curves/meltCurve_O15050_TRANK1.pdf</t>
  </si>
  <si>
    <t>Melting_Curves/meltCurve_O15054_KDM6B.pdf</t>
  </si>
  <si>
    <t>Melting_Curves/meltCurve_O15056_SYNJ2.pdf</t>
  </si>
  <si>
    <t>Melting_Curves/meltCurve_O15060_ZBTB39.pdf</t>
  </si>
  <si>
    <t>Melting_Curves/meltCurve_O15063_KIAA0355.pdf</t>
  </si>
  <si>
    <t>Melting_Curves/meltCurve_O15066_KIF3B.pdf</t>
  </si>
  <si>
    <t>Melting_Curves/meltCurve_O15067_PFAS.pdf</t>
  </si>
  <si>
    <t>Melting_Curves/meltCurve_O15078_CEP290.pdf</t>
  </si>
  <si>
    <t>Melting_Curves/meltCurve_O15084_ANKRD28.pdf</t>
  </si>
  <si>
    <t>Melting_Curves/meltCurve_O15085_2_ARHGEF11.pdf</t>
  </si>
  <si>
    <t>Melting_Curves/meltCurve_O15111_CHUK.pdf</t>
  </si>
  <si>
    <t>Melting_Curves/meltCurve_O15116_LSM1.pdf</t>
  </si>
  <si>
    <t>Melting_Curves/meltCurve_O15117_FYB.pdf</t>
  </si>
  <si>
    <t>Melting_Curves/meltCurve_O15118_NPC1.pdf</t>
  </si>
  <si>
    <t>Melting_Curves/meltCurve_O15131_KPNA5.pdf</t>
  </si>
  <si>
    <t>Melting_Curves/meltCurve_O15143_ARPC1B.pdf</t>
  </si>
  <si>
    <t>Melting_Curves/meltCurve_O15144_ARPC2.pdf</t>
  </si>
  <si>
    <t>Melting_Curves/meltCurve_O15145_ARPC3.pdf</t>
  </si>
  <si>
    <t>Melting_Curves/meltCurve_O15151_5_MDM4.pdf</t>
  </si>
  <si>
    <t>Melting_Curves/meltCurve_O15156_ZBTB7B.pdf</t>
  </si>
  <si>
    <t>Melting_Curves/meltCurve_O15160_2_POLR1C.pdf</t>
  </si>
  <si>
    <t>Melting_Curves/meltCurve_O15164_TRIM24.pdf</t>
  </si>
  <si>
    <t>Melting_Curves/meltCurve_O15169_2_AXIN1.pdf</t>
  </si>
  <si>
    <t>Melting_Curves/meltCurve_O15173_PGRMC2.pdf</t>
  </si>
  <si>
    <t>Melting_Curves/meltCurve_O15211_RGL2.pdf</t>
  </si>
  <si>
    <t>Melting_Curves/meltCurve_O15212_PFDN6.pdf</t>
  </si>
  <si>
    <t>Melting_Curves/meltCurve_O15213_WDR46.pdf</t>
  </si>
  <si>
    <t>Melting_Curves/meltCurve_O15226_NKRF.pdf</t>
  </si>
  <si>
    <t>Melting_Curves/meltCurve_O15231_4_ZNF185.pdf</t>
  </si>
  <si>
    <t>Melting_Curves/meltCurve_O15234_CASC3.pdf</t>
  </si>
  <si>
    <t>Melting_Curves/meltCurve_O15240_VGF.pdf</t>
  </si>
  <si>
    <t>Melting_Curves/meltCurve_O15247_CLIC2.pdf</t>
  </si>
  <si>
    <t>Melting_Curves/meltCurve_O15260_2_SURF4.pdf</t>
  </si>
  <si>
    <t>Melting_Curves/meltCurve_O15265_ATXN7.pdf</t>
  </si>
  <si>
    <t>Melting_Curves/meltCurve_O15294_OGT.pdf</t>
  </si>
  <si>
    <t>Melting_Curves/meltCurve_O15305_PMM2.pdf</t>
  </si>
  <si>
    <t>Melting_Curves/meltCurve_O15315_5_RAD51B.pdf</t>
  </si>
  <si>
    <t>Melting_Curves/meltCurve_O15344_MID1.pdf</t>
  </si>
  <si>
    <t>Melting_Curves/meltCurve_O15355_PPM1G.pdf</t>
  </si>
  <si>
    <t>Melting_Curves/meltCurve_O15357_INPPL1.pdf</t>
  </si>
  <si>
    <t>Melting_Curves/meltCurve_O15372_EIF3H.pdf</t>
  </si>
  <si>
    <t>Melting_Curves/meltCurve_O15379_HDAC3.pdf</t>
  </si>
  <si>
    <t>Melting_Curves/meltCurve_O15381_NVL.pdf</t>
  </si>
  <si>
    <t>Melting_Curves/meltCurve_O15382_BCAT2.pdf</t>
  </si>
  <si>
    <t>Melting_Curves/meltCurve_O15392_5_BIRC5.pdf</t>
  </si>
  <si>
    <t>Melting_Curves/meltCurve_O15397_IPO8.pdf</t>
  </si>
  <si>
    <t>Melting_Curves/meltCurve_O15400_2_STX7.pdf</t>
  </si>
  <si>
    <t>Melting_Curves/meltCurve_O15446_CD3EAP.pdf</t>
  </si>
  <si>
    <t>Melting_Curves/meltCurve_O15479_MAGEB2.pdf</t>
  </si>
  <si>
    <t>Melting_Curves/meltCurve_O15488_4_GYG2.pdf</t>
  </si>
  <si>
    <t>Melting_Curves/meltCurve_O15498_YKT6.pdf</t>
  </si>
  <si>
    <t>Melting_Curves/meltCurve_O15504_NUPL2.pdf</t>
  </si>
  <si>
    <t>Melting_Curves/meltCurve_O15511_ARPC5.pdf</t>
  </si>
  <si>
    <t>Melting_Curves/meltCurve_O15514_POLR2D.pdf</t>
  </si>
  <si>
    <t>Melting_Curves/meltCurve_O15524_SOCS1.pdf</t>
  </si>
  <si>
    <t>Melting_Curves/meltCurve_O15541_RNF113A.pdf</t>
  </si>
  <si>
    <t>Melting_Curves/meltCurve_O15550_KDM6A.pdf</t>
  </si>
  <si>
    <t>Melting_Curves/meltCurve_O43143_DHX15.pdf</t>
  </si>
  <si>
    <t>Melting_Curves/meltCurve_O43148_RNMT.pdf</t>
  </si>
  <si>
    <t>Melting_Curves/meltCurve_O43149_ZZEF1.pdf</t>
  </si>
  <si>
    <t>Melting_Curves/meltCurve_O43156_TTI1.pdf</t>
  </si>
  <si>
    <t>Melting_Curves/meltCurve_O43164_2_PJA2.pdf</t>
  </si>
  <si>
    <t>Melting_Curves/meltCurve_O43167_ZBTB24.pdf</t>
  </si>
  <si>
    <t>Melting_Curves/meltCurve_O43172_2_PRPF4.pdf</t>
  </si>
  <si>
    <t>Melting_Curves/meltCurve_O43175_PHGDH.pdf</t>
  </si>
  <si>
    <t>Melting_Curves/meltCurve_O43182_4_ARHGAP6.pdf</t>
  </si>
  <si>
    <t>Melting_Curves/meltCurve_O43237_DYNC1LI2.pdf</t>
  </si>
  <si>
    <t>Melting_Curves/meltCurve_O43242_PSMD3.pdf</t>
  </si>
  <si>
    <t>Melting_Curves/meltCurve_O43251_6_RBFOX2.pdf</t>
  </si>
  <si>
    <t>Melting_Curves/meltCurve_O43252_PAPSS1.pdf</t>
  </si>
  <si>
    <t>Melting_Curves/meltCurve_O43264_ZW10.pdf</t>
  </si>
  <si>
    <t>Melting_Curves/meltCurve_O43290_SART1.pdf</t>
  </si>
  <si>
    <t>Melting_Curves/meltCurve_O43293_DAPK3.pdf</t>
  </si>
  <si>
    <t>Melting_Curves/meltCurve_O43298_ZBTB43.pdf</t>
  </si>
  <si>
    <t>Melting_Curves/meltCurve_O43299_AP5Z1.pdf</t>
  </si>
  <si>
    <t>Melting_Curves/meltCurve_O43303_2_CCP110.pdf</t>
  </si>
  <si>
    <t>Melting_Curves/meltCurve_O43310_CTIF.pdf</t>
  </si>
  <si>
    <t>Melting_Curves/meltCurve_O43314_2_PPIP5K2.pdf</t>
  </si>
  <si>
    <t>Melting_Curves/meltCurve_O43318_MAP3K7.pdf</t>
  </si>
  <si>
    <t>Melting_Curves/meltCurve_O43324_EEF1E1.pdf</t>
  </si>
  <si>
    <t>Melting_Curves/meltCurve_O43325_LYRM1.pdf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</si>
  <si>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</si>
  <si>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</si>
  <si>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</si>
  <si>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</si>
  <si>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</si>
  <si>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</si>
  <si>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Melting_Curves/meltCurve_O43402_EMC8.pdf</t>
  </si>
  <si>
    <t>Melting_Curves/meltCurve_O43414_3_ERI3.pdf</t>
  </si>
  <si>
    <t>Melting_Curves/meltCurve_O43422_PRKRIR.pdf</t>
  </si>
  <si>
    <t>Melting_Curves/meltCurve_O43427_2_FIBP.pdf</t>
  </si>
  <si>
    <t>Melting_Curves/meltCurve_O43432_EIF4G3.pdf</t>
  </si>
  <si>
    <t>Melting_Curves/meltCurve_O43435_3_TBX1.pdf</t>
  </si>
  <si>
    <t>Melting_Curves/meltCurve_O43447_PPIH.pdf</t>
  </si>
  <si>
    <t>Melting_Curves/meltCurve_O43464_HTRA2.pdf</t>
  </si>
  <si>
    <t>Melting_Curves/meltCurve_O43482_OIP5.pdf</t>
  </si>
  <si>
    <t>Melting_Curves/meltCurve_O43488_AKR7A2.pdf</t>
  </si>
  <si>
    <t>Melting_Curves/meltCurve_O43491_EPB41L2.pdf</t>
  </si>
  <si>
    <t>Melting_Curves/meltCurve_O43504_LAMTOR5.pdf</t>
  </si>
  <si>
    <t>Melting_Curves/meltCurve_O43513_MED7.pdf</t>
  </si>
  <si>
    <t>Melting_Curves/meltCurve_O43516_WIPF1.pdf</t>
  </si>
  <si>
    <t>Melting_Curves/meltCurve_O43521_6_BCL2L11.pdf</t>
  </si>
  <si>
    <t>Melting_Curves/meltCurve_O43542_XRCC3.pdf</t>
  </si>
  <si>
    <t>Melting_Curves/meltCurve_O43566_RGS14.pdf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</si>
  <si>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</si>
  <si>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</si>
  <si>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</si>
  <si>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</si>
  <si>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</si>
  <si>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</si>
  <si>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</si>
  <si>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Melting_Curves/meltCurve_O43660_2_PLRG1.pdf</t>
  </si>
  <si>
    <t>Melting_Curves/meltCurve_O43663_PRC1.pdf</t>
  </si>
  <si>
    <t>Melting_Curves/meltCurve_O43665_2_RGS10.pdf</t>
  </si>
  <si>
    <t>Melting_Curves/meltCurve_O43670_2_ZNF207.pdf</t>
  </si>
  <si>
    <t>Melting_Curves/meltCurve_O43674_2_NDUFB5.pdf</t>
  </si>
  <si>
    <t>Melting_Curves/meltCurve_O43678_NDUFA2.pdf</t>
  </si>
  <si>
    <t>Melting_Curves/meltCurve_O43681_ASNA1.pdf</t>
  </si>
  <si>
    <t>Melting_Curves/meltCurve_O43707_ACTN4.pdf</t>
  </si>
  <si>
    <t>Melting_Curves/meltCurve_O43709_WBSCR22.pdf</t>
  </si>
  <si>
    <t>Melting_Curves/meltCurve_O43715_TRIAP1.pdf</t>
  </si>
  <si>
    <t>Melting_Curves/meltCurve_O43716_GATC.pdf</t>
  </si>
  <si>
    <t>Melting_Curves/meltCurve_O43719_HTATSF1.pdf</t>
  </si>
  <si>
    <t>Melting_Curves/meltCurve_O43734_5_TRAF3IP2.pdf</t>
  </si>
  <si>
    <t>Melting_Curves/meltCurve_O43739_2_CYTH3.pdf</t>
  </si>
  <si>
    <t>Melting_Curves/meltCurve_O43747_AP1G1.pdf</t>
  </si>
  <si>
    <t>Melting_Curves/meltCurve_O43752_STX6.pdf</t>
  </si>
  <si>
    <t>Melting_Curves/meltCurve_O43765_SGTA.pdf</t>
  </si>
  <si>
    <t>Melting_Curves/meltCurve_O43766_LIAS.pdf</t>
  </si>
  <si>
    <t>Melting_Curves/meltCurve_O43768_2_ENSA.pdf</t>
  </si>
  <si>
    <t>Melting_Curves/meltCurve_O43776_NARS.pdf</t>
  </si>
  <si>
    <t>Melting_Curves/meltCurve_O43791_SPOP.pdf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</si>
  <si>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</si>
  <si>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</si>
  <si>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</si>
  <si>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</si>
  <si>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</si>
  <si>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Melting_Curves/meltCurve_O43822_2_C21orf2.pdf</t>
  </si>
  <si>
    <t>Melting_Curves/meltCurve_O43823_AKAP8.pdf</t>
  </si>
  <si>
    <t>Melting_Curves/meltCurve_O43829_ZBTB14.pdf</t>
  </si>
  <si>
    <t>Melting_Curves/meltCurve_O43837_IDH3B.pdf</t>
  </si>
  <si>
    <t>Melting_Curves/meltCurve_O43847_NRD1.pdf</t>
  </si>
  <si>
    <t>Melting_Curves/meltCurve_O43852_CALU.pdf</t>
  </si>
  <si>
    <t>Melting_Curves/meltCurve_O43865_AHCYL1.pdf</t>
  </si>
  <si>
    <t>Melting_Curves/meltCurve_O43896_KIF1C.pdf</t>
  </si>
  <si>
    <t>Melting_Curves/meltCurve_O43913_ORC5.pdf</t>
  </si>
  <si>
    <t>Melting_Curves/meltCurve_O43924_PDE6D.pdf</t>
  </si>
  <si>
    <t>Melting_Curves/meltCurve_O43929_ORC4.pdf</t>
  </si>
  <si>
    <t>Melting_Curves/meltCurve_O43930_PRKY.pdf</t>
  </si>
  <si>
    <t>Melting_Curves/meltCurve_O43933_PEX1.pdf</t>
  </si>
  <si>
    <t>Melting_Curves/meltCurve_O60216_RAD21.pdf</t>
  </si>
  <si>
    <t>Melting_Curves/meltCurve_O60220_TIMM8A.pdf</t>
  </si>
  <si>
    <t>Melting_Curves/meltCurve_O60231_DHX16.pdf</t>
  </si>
  <si>
    <t>Melting_Curves/meltCurve_O60234_GMFG.pdf</t>
  </si>
  <si>
    <t>Melting_Curves/meltCurve_O60239_2_SH3BP5.pdf</t>
  </si>
  <si>
    <t>Melting_Curves/meltCurve_O60244_MED14.pdf</t>
  </si>
  <si>
    <t>Melting_Curves/meltCurve_O60256_PRPSAP2.pdf</t>
  </si>
  <si>
    <t>Melting_Curves/meltCurve_O60264_SMARCA5.pdf</t>
  </si>
  <si>
    <t>Melting_Curves/meltCurve_O60271_SPAG9.pdf</t>
  </si>
  <si>
    <t>Melting_Curves/meltCurve_O60271_4_SPAG9.pdf</t>
  </si>
  <si>
    <t>Melting_Curves/meltCurve_O60292_SIPA1L3.pdf</t>
  </si>
  <si>
    <t>Melting_Curves/meltCurve_O60293_2_ZFC3H1.pdf</t>
  </si>
  <si>
    <t>Melting_Curves/meltCurve_O60294_LCMT2.pdf</t>
  </si>
  <si>
    <t>Melting_Curves/meltCurve_O60296_TRAK2.pdf</t>
  </si>
  <si>
    <t>Melting_Curves/meltCurve_O60306_AQR.pdf</t>
  </si>
  <si>
    <t>Melting_Curves/meltCurve_O60313_OPA1.pdf</t>
  </si>
  <si>
    <t>Melting_Curves/meltCurve_O60315_2_ZEB2.pdf</t>
  </si>
  <si>
    <t>Melting_Curves/meltCurve_O60318_MCM3AP.pdf</t>
  </si>
  <si>
    <t>Melting_Curves/meltCurve_O60333_3_KIF1B.pdf</t>
  </si>
  <si>
    <t>Melting_Curves/meltCurve_O60336_4_MAPKBP1.pdf</t>
  </si>
  <si>
    <t>Melting_Curves/meltCurve_O60341_KDM1A.pdf</t>
  </si>
  <si>
    <t>Melting_Curves/meltCurve_O60343_2_TBC1D4.pdf</t>
  </si>
  <si>
    <t>Melting_Curves/meltCurve_O60344_4_ECE2.pdf</t>
  </si>
  <si>
    <t>Melting_Curves/meltCurve_O60346_PHLPP1.pdf</t>
  </si>
  <si>
    <t>Melting_Curves/meltCurve_O60347_TBC1D12.pdf</t>
  </si>
  <si>
    <t>Melting_Curves/meltCurve_O60353_2_FZD6.pdf</t>
  </si>
  <si>
    <t>Melting_Curves/meltCurve_O60361_NME2P1.pdf</t>
  </si>
  <si>
    <t>Melting_Curves/meltCurve_O60443_DFNA5.pdf</t>
  </si>
  <si>
    <t>Melting_Curves/meltCurve_O60447_EVI5.pdf</t>
  </si>
  <si>
    <t>Melting_Curves/meltCurve_O60493_SNX3.pdf</t>
  </si>
  <si>
    <t>Melting_Curves/meltCurve_O60502_MGEA5.pdf</t>
  </si>
  <si>
    <t>Melting_Curves/meltCurve_O60506_2_SYNCRIP.pdf</t>
  </si>
  <si>
    <t>Melting_Curves/meltCurve_O60547_2_GMDS.pdf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</si>
  <si>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</si>
  <si>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</si>
  <si>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</si>
  <si>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</si>
  <si>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Melting_Curves/meltCurve_O60583_2_CCNT2.pdf</t>
  </si>
  <si>
    <t>Melting_Curves/meltCurve_O60613_SEP15.pdf</t>
  </si>
  <si>
    <t>Melting_Curves/meltCurve_O60645_2_EXOC3.pdf</t>
  </si>
  <si>
    <t>Melting_Curves/meltCurve_O60664_4_PLIN3.pdf</t>
  </si>
  <si>
    <t>Melting_Curves/meltCurve_O60671_RAD1.pdf</t>
  </si>
  <si>
    <t>Melting_Curves/meltCurve_O60678_PRMT3.pdf</t>
  </si>
  <si>
    <t>Melting_Curves/meltCurve_O60701_UGDH.pdf</t>
  </si>
  <si>
    <t>Melting_Curves/meltCurve_O60716_5_CTNND1.pdf</t>
  </si>
  <si>
    <t>Melting_Curves/meltCurve_O60732_MAGEC1.pdf</t>
  </si>
  <si>
    <t>Melting_Curves/meltCurve_O60749_SNX2.pdf</t>
  </si>
  <si>
    <t>Melting_Curves/meltCurve_O60762_DPM1.pdf</t>
  </si>
  <si>
    <t>Melting_Curves/meltCurve_O60763_USO1.pdf</t>
  </si>
  <si>
    <t>Melting_Curves/meltCurve_O60826_CCDC22.pdf</t>
  </si>
  <si>
    <t>Melting_Curves/meltCurve_O60828_2_PQBP1.pdf</t>
  </si>
  <si>
    <t>Melting_Curves/meltCurve_O60829_PAGE4.pdf</t>
  </si>
  <si>
    <t>Melting_Curves/meltCurve_O60832_DKC1.pdf</t>
  </si>
  <si>
    <t>Melting_Curves/meltCurve_O60841_EIF5B.pdf</t>
  </si>
  <si>
    <t>Melting_Curves/meltCurve_O60869_EDF1.pdf</t>
  </si>
  <si>
    <t>Melting_Curves/meltCurve_O60870_KIN.pdf</t>
  </si>
  <si>
    <t>Melting_Curves/meltCurve_O60884_DNAJA2.pdf</t>
  </si>
  <si>
    <t>Melting_Curves/meltCurve_O60885_BRD4.pdf</t>
  </si>
  <si>
    <t>Melting_Curves/meltCurve_O60888_3_CUTA.pdf</t>
  </si>
  <si>
    <t>Melting_Curves/meltCurve_O60907_2_TBL1X.pdf</t>
  </si>
  <si>
    <t>Melting_Curves/meltCurve_O60921_HUS1.pdf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</si>
  <si>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</si>
  <si>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</si>
  <si>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</si>
  <si>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</si>
  <si>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Melting_Curves/meltCurve_O75030_12_MITF.pdf</t>
  </si>
  <si>
    <t>Melting_Curves/meltCurve_O75037_3_KIF21B.pdf</t>
  </si>
  <si>
    <t>Melting_Curves/meltCurve_O75044_SRGAP2.pdf</t>
  </si>
  <si>
    <t>Melting_Curves/meltCurve_O75061_4_DNAJC6.pdf</t>
  </si>
  <si>
    <t>Melting_Curves/meltCurve_O75063_FAM20B.pdf</t>
  </si>
  <si>
    <t>Melting_Curves/meltCurve_O75064_DENND4B.pdf</t>
  </si>
  <si>
    <t>Melting_Curves/meltCurve_O75083_WDR1.pdf</t>
  </si>
  <si>
    <t>Melting_Curves/meltCurve_O75110_2_ATP9A.pdf</t>
  </si>
  <si>
    <t>Melting_Curves/meltCurve_O75113_N4BP1.pdf</t>
  </si>
  <si>
    <t>Melting_Curves/meltCurve_O75116_ROCK2.pdf</t>
  </si>
  <si>
    <t>Melting_Curves/meltCurve_O75131_CPNE3.pdf</t>
  </si>
  <si>
    <t>Melting_Curves/meltCurve_O75132_ZBED4.pdf</t>
  </si>
  <si>
    <t>Melting_Curves/meltCurve_O75143_2_ATG13.pdf</t>
  </si>
  <si>
    <t>Melting_Curves/meltCurve_O75144_ICOSLG.pdf</t>
  </si>
  <si>
    <t>Melting_Curves/meltCurve_O75145_2_PPFIA3.pdf</t>
  </si>
  <si>
    <t>Melting_Curves/meltCurve_O75146_HIP1R.pdf</t>
  </si>
  <si>
    <t>Melting_Curves/meltCurve_O75147_2_OBSL1.pdf</t>
  </si>
  <si>
    <t>Melting_Curves/meltCurve_O75150_RNF40.pdf</t>
  </si>
  <si>
    <t>Melting_Curves/meltCurve_O75151_PHF2.pdf</t>
  </si>
  <si>
    <t>Melting_Curves/meltCurve_O75152_ZC3H11A.pdf</t>
  </si>
  <si>
    <t>Melting_Curves/meltCurve_O75154_RAB11FIP3.pdf</t>
  </si>
  <si>
    <t>Melting_Curves/meltCurve_O75155_CAND2.pdf</t>
  </si>
  <si>
    <t>Melting_Curves/meltCurve_O75157_2_TSC22D2.pdf</t>
  </si>
  <si>
    <t>Melting_Curves/meltCurve_O75164_KDM4A.pdf</t>
  </si>
  <si>
    <t>Melting_Curves/meltCurve_O75167_5_PHACTR2.pdf</t>
  </si>
  <si>
    <t>Melting_Curves/meltCurve_O75170_2_PPP6R2.pdf</t>
  </si>
  <si>
    <t>Melting_Curves/meltCurve_O75175_CNOT3.pdf</t>
  </si>
  <si>
    <t>Melting_Curves/meltCurve_O75177_SS18L1.pdf</t>
  </si>
  <si>
    <t>Melting_Curves/meltCurve_O75182_2_SIN3B.pdf</t>
  </si>
  <si>
    <t>Melting_Curves/meltCurve_O75190_DNAJB6.pdf</t>
  </si>
  <si>
    <t>Melting_Curves/meltCurve_O75191_XYLB.pdf</t>
  </si>
  <si>
    <t>Melting_Curves/meltCurve_O75223_GGCT.pdf</t>
  </si>
  <si>
    <t>Melting_Curves/meltCurve_O75306_2_NDUFS2.pdf</t>
  </si>
  <si>
    <t>Melting_Curves/meltCurve_O75312_ZNF259.pdf</t>
  </si>
  <si>
    <t>Melting_Curves/meltCurve_O75319_DUSP11.pdf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</si>
  <si>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</si>
  <si>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</si>
  <si>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</si>
  <si>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</si>
  <si>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</si>
  <si>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</si>
  <si>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Melting_Curves/meltCurve_O75356_ENTPD5.pdf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</si>
  <si>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</si>
  <si>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</si>
  <si>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</si>
  <si>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</si>
  <si>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</si>
  <si>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Melting_Curves/meltCurve_O75380_NDUFS6.pdf</t>
  </si>
  <si>
    <t>Melting_Curves/meltCurve_O75385_ULK1.pdf</t>
  </si>
  <si>
    <t>Melting_Curves/meltCurve_O75396_SEC22B.pdf</t>
  </si>
  <si>
    <t>Melting_Curves/meltCurve_O75398_4_DEAF1.pdf</t>
  </si>
  <si>
    <t>Melting_Curves/meltCurve_O75400_3_PRPF40A.pdf</t>
  </si>
  <si>
    <t>Melting_Curves/meltCurve_O75410_7_TACC1.pdf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</si>
  <si>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</si>
  <si>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</si>
  <si>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</si>
  <si>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</si>
  <si>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Melting_Curves/meltCurve_O75439_PMPCB.pdf</t>
  </si>
  <si>
    <t>Melting_Curves/meltCurve_O75446_SAP30.pdf</t>
  </si>
  <si>
    <t>Melting_Curves/meltCurve_O75449_KATNA1.pdf</t>
  </si>
  <si>
    <t>Melting_Curves/meltCurve_O75475_PSIP1.pdf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</si>
  <si>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</si>
  <si>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</si>
  <si>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</si>
  <si>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</si>
  <si>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Melting_Curves/meltCurve_O75528_TADA3.pdf</t>
  </si>
  <si>
    <t>Melting_Curves/meltCurve_O75529_TAF5L.pdf</t>
  </si>
  <si>
    <t>Melting_Curves/meltCurve_O75530_3_EED.pdf</t>
  </si>
  <si>
    <t>Melting_Curves/meltCurve_O75531_BANF1.pdf</t>
  </si>
  <si>
    <t>Melting_Curves/meltCurve_O75533_SF3B1.pdf</t>
  </si>
  <si>
    <t>Melting_Curves/meltCurve_O75534_2_CSDE1.pdf</t>
  </si>
  <si>
    <t>Melting_Curves/meltCurve_O75554_WBP4.pdf</t>
  </si>
  <si>
    <t>Melting_Curves/meltCurve_O75575_CRCP.pdf</t>
  </si>
  <si>
    <t>Melting_Curves/meltCurve_O75586_MED6.pdf</t>
  </si>
  <si>
    <t>Melting_Curves/meltCurve_O75600_GCAT.pdf</t>
  </si>
  <si>
    <t>Melting_Curves/meltCurve_O75607_NPM3.pdf</t>
  </si>
  <si>
    <t>Melting_Curves/meltCurve_O75608_2_LYPLA1.pdf</t>
  </si>
  <si>
    <t>Melting_Curves/meltCurve_O75629_CREG1.pdf</t>
  </si>
  <si>
    <t>Melting_Curves/meltCurve_O75635_2_SERPINB7.pdf</t>
  </si>
  <si>
    <t>Melting_Curves/meltCurve_O75643_SNRNP200.pdf</t>
  </si>
  <si>
    <t>Melting_Curves/meltCurve_O75663_TIPRL.pdf</t>
  </si>
  <si>
    <t>Melting_Curves/meltCurve_O75683_SURF6.pdf</t>
  </si>
  <si>
    <t>Melting_Curves/meltCurve_O75688_PPM1B.pdf</t>
  </si>
  <si>
    <t>Melting_Curves/meltCurve_O75695_RP2.pdf</t>
  </si>
  <si>
    <t>Melting_Curves/meltCurve_O75717_WDHD1.pdf</t>
  </si>
  <si>
    <t>Melting_Curves/meltCurve_O75771_3_RAD51D.pdf</t>
  </si>
  <si>
    <t>Melting_Curves/meltCurve_O75781_PALM.pdf</t>
  </si>
  <si>
    <t>Melting_Curves/meltCurve_O75791_GRAP2.pdf</t>
  </si>
  <si>
    <t>Melting_Curves/meltCurve_O75792_RNASEH2A.pdf</t>
  </si>
  <si>
    <t>Melting_Curves/meltCurve_O75794_CDC123.pdf</t>
  </si>
  <si>
    <t>Melting_Curves/meltCurve_O75807_PPP1R15A.pdf</t>
  </si>
  <si>
    <t>Melting_Curves/meltCurve_O75808_SOLH.pdf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</si>
  <si>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</si>
  <si>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</si>
  <si>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</si>
  <si>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</si>
  <si>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</si>
  <si>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Melting_Curves/meltCurve_O75844_ZMPSTE24.pdf</t>
  </si>
  <si>
    <t>Melting_Curves/meltCurve_O75864_2_PPP1R37.pdf</t>
  </si>
  <si>
    <t>Melting_Curves/meltCurve_O75865_2_TRAPPC6A.pdf</t>
  </si>
  <si>
    <t>Melting_Curves/meltCurve_O75874_IDH1.pdf</t>
  </si>
  <si>
    <t>Melting_Curves/meltCurve_O75884_RBBP9.pdf</t>
  </si>
  <si>
    <t>Melting_Curves/meltCurve_O75886_STAM2.pdf</t>
  </si>
  <si>
    <t>Melting_Curves/meltCurve_O75909_CCNK.pdf</t>
  </si>
  <si>
    <t>Melting_Curves/meltCurve_O75925_PIAS1.pdf</t>
  </si>
  <si>
    <t>Melting_Curves/meltCurve_O75928_2_PIAS2.pdf</t>
  </si>
  <si>
    <t>Melting_Curves/meltCurve_O75934_BCAS2.pdf</t>
  </si>
  <si>
    <t>Melting_Curves/meltCurve_O75935_3_DCTN3.pdf</t>
  </si>
  <si>
    <t>Melting_Curves/meltCurve_O75937_DNAJC8.pdf</t>
  </si>
  <si>
    <t>Melting_Curves/meltCurve_O75940_SMNDC1.pdf</t>
  </si>
  <si>
    <t>Melting_Curves/meltCurve_O75943_3_RAD17.pdf</t>
  </si>
  <si>
    <t>Melting_Curves/meltCurve_O75947_2_ATP5H.pdf</t>
  </si>
  <si>
    <t>Melting_Curves/meltCurve_O75955_FLOT1.pdf</t>
  </si>
  <si>
    <t>Melting_Curves/meltCurve_O75962_5_TRIO.pdf</t>
  </si>
  <si>
    <t>Melting_Curves/meltCurve_O76003_GLRX3.pdf</t>
  </si>
  <si>
    <t>Melting_Curves/meltCurve_O76011_KRT34.pdf</t>
  </si>
  <si>
    <t>Melting_Curves/meltCurve_O76021_RSL1D1.pdf</t>
  </si>
  <si>
    <t>Melting_Curves/meltCurve_O76031_CLPX.pdf</t>
  </si>
  <si>
    <t>Melting_Curves/meltCurve_O76038_SCGN.pdf</t>
  </si>
  <si>
    <t>Melting_Curves/meltCurve_O76041_2_NEBL.pdf</t>
  </si>
  <si>
    <t>Melting_Curves/meltCurve_O76064_RNF8.pdf</t>
  </si>
  <si>
    <t>Melting_Curves/meltCurve_O76071_CIAO1.pdf</t>
  </si>
  <si>
    <t>Melting_Curves/meltCurve_O76075_DFFB.pdf</t>
  </si>
  <si>
    <t>Melting_Curves/meltCurve_O76080_ZFAND5.pdf</t>
  </si>
  <si>
    <t>Melting_Curves/meltCurve_O76094_SRP72.pdf</t>
  </si>
  <si>
    <t>Melting_Curves/meltCurve_O77932_DOM3Z.pdf</t>
  </si>
  <si>
    <t>Melting_Curves/meltCurve_O94761_RECQL4.pdf</t>
  </si>
  <si>
    <t>Melting_Curves/meltCurve_O94762_RECQL5.pdf</t>
  </si>
  <si>
    <t>Melting_Curves/meltCurve_O94763_URI1.pdf</t>
  </si>
  <si>
    <t>Melting_Curves/meltCurve_O94763_4_URI1.pdf</t>
  </si>
  <si>
    <t>Melting_Curves/meltCurve_O94776_MTA2.pdf</t>
  </si>
  <si>
    <t>Melting_Curves/meltCurve_O94782_USP1.pdf</t>
  </si>
  <si>
    <t>Melting_Curves/meltCurve_O94788_ALDH1A2.pdf</t>
  </si>
  <si>
    <t>Melting_Curves/meltCurve_O94804_STK10.pdf</t>
  </si>
  <si>
    <t>Melting_Curves/meltCurve_O94806_PRKD3.pdf</t>
  </si>
  <si>
    <t>Melting_Curves/meltCurve_O94808_GFPT2.pdf</t>
  </si>
  <si>
    <t>Melting_Curves/meltCurve_O94817_ATG12.pdf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</si>
  <si>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</si>
  <si>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</si>
  <si>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</si>
  <si>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</si>
  <si>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</si>
  <si>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Melting_Curves/meltCurve_O94851_5_MICAL2.pdf</t>
  </si>
  <si>
    <t>Melting_Curves/meltCurve_O94854_KIAA0754.pdf</t>
  </si>
  <si>
    <t>Melting_Curves/meltCurve_O94855_SEC24D.pdf</t>
  </si>
  <si>
    <t>Melting_Curves/meltCurve_O94864_2_SUPT7L.pdf</t>
  </si>
  <si>
    <t>Melting_Curves/meltCurve_O94874_UFL1.pdf</t>
  </si>
  <si>
    <t>Melting_Curves/meltCurve_O94876_TMCC1.pdf</t>
  </si>
  <si>
    <t>Melting_Curves/meltCurve_O94880_PHF14.pdf</t>
  </si>
  <si>
    <t>Melting_Curves/meltCurve_O94888_UBXN7.pdf</t>
  </si>
  <si>
    <t>Melting_Curves/meltCurve_O94889_KLHL18.pdf</t>
  </si>
  <si>
    <t>Melting_Curves/meltCurve_O94903_PROSC.pdf</t>
  </si>
  <si>
    <t>Melting_Curves/meltCurve_O94906_2_PRPF6.pdf</t>
  </si>
  <si>
    <t>Melting_Curves/meltCurve_O94913_PCF11.pdf</t>
  </si>
  <si>
    <t>Melting_Curves/meltCurve_O94925_3_GLS.pdf</t>
  </si>
  <si>
    <t>Melting_Curves/meltCurve_O94927_HAUS5.pdf</t>
  </si>
  <si>
    <t>Melting_Curves/meltCurve_O94941_2_UBOX5.pdf</t>
  </si>
  <si>
    <t>Melting_Curves/meltCurve_O94953_KDM4B.pdf</t>
  </si>
  <si>
    <t>Melting_Curves/meltCurve_O94964_2_SOGA1.pdf</t>
  </si>
  <si>
    <t>Melting_Curves/meltCurve_O94966_7_USP19.pdf</t>
  </si>
  <si>
    <t>Melting_Curves/meltCurve_O94967_2_WDR47.pdf</t>
  </si>
  <si>
    <t>Melting_Curves/meltCurve_O94973_AP2A2.pdf</t>
  </si>
  <si>
    <t>Melting_Curves/meltCurve_O94979_SEC31A.pdf</t>
  </si>
  <si>
    <t>Melting_Curves/meltCurve_O94988_6_FAM13A.pdf</t>
  </si>
  <si>
    <t>Melting_Curves/meltCurve_O94992_HEXIM1.pdf</t>
  </si>
  <si>
    <t>Melting_Curves/meltCurve_O95059_RPP14.pdf</t>
  </si>
  <si>
    <t>Melting_Curves/meltCurve_O95067_CCNB2.pdf</t>
  </si>
  <si>
    <t>Melting_Curves/meltCurve_O95081_2_AGFG2.pdf</t>
  </si>
  <si>
    <t>Melting_Curves/meltCurve_O95104_SCAF4.pdf</t>
  </si>
  <si>
    <t>Melting_Curves/meltCurve_O95149_SNUPN.pdf</t>
  </si>
  <si>
    <t>Melting_Curves/meltCurve_O95155_2_UBE4B.pdf</t>
  </si>
  <si>
    <t>Melting_Curves/meltCurve_O95163_IKBKAP.pdf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</si>
  <si>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</si>
  <si>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</si>
  <si>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</si>
  <si>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</si>
  <si>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</si>
  <si>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</si>
  <si>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Melting_Curves/meltCurve_O95239_KIF4A.pdf</t>
  </si>
  <si>
    <t>Melting_Curves/meltCurve_O95243_2_MBD4.pdf</t>
  </si>
  <si>
    <t>Melting_Curves/meltCurve_O95248_SBF1.pdf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</si>
  <si>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</si>
  <si>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</si>
  <si>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</si>
  <si>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</si>
  <si>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</si>
  <si>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</si>
  <si>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</si>
  <si>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</si>
  <si>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</si>
  <si>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Melting_Curves/meltCurve_O95372_LYPLA2.pdf</t>
  </si>
  <si>
    <t>Melting_Curves/meltCurve_O95373_IPO7.pdf</t>
  </si>
  <si>
    <t>Melting_Curves/meltCurve_O95376_ARIH2.pdf</t>
  </si>
  <si>
    <t>Melting_Curves/meltCurve_O95379_TNFAIP8.pdf</t>
  </si>
  <si>
    <t>Melting_Curves/meltCurve_O95391_SLU7.pdf</t>
  </si>
  <si>
    <t>Melting_Curves/meltCurve_O95394_PGM3.pdf</t>
  </si>
  <si>
    <t>Melting_Curves/meltCurve_O95396_MOCS3.pdf</t>
  </si>
  <si>
    <t>Melting_Curves/meltCurve_O95397_PLEKHA8P1.pdf</t>
  </si>
  <si>
    <t>Melting_Curves/meltCurve_O95399_UTS2.pdf</t>
  </si>
  <si>
    <t>Melting_Curves/meltCurve_O95400_CD2BP2.pdf</t>
  </si>
  <si>
    <t>Melting_Curves/meltCurve_O95402_MED26.pdf</t>
  </si>
  <si>
    <t>Melting_Curves/meltCurve_O95405_ZFYVE9.pdf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</si>
  <si>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</si>
  <si>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</si>
  <si>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</si>
  <si>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</si>
  <si>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Melting_Curves/meltCurve_O95466_FMNL1.pdf</t>
  </si>
  <si>
    <t>Melting_Curves/meltCurve_O95479_H6PD.pdf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</si>
  <si>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</si>
  <si>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</si>
  <si>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</si>
  <si>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</si>
  <si>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</si>
  <si>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</si>
  <si>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Melting_Curves/meltCurve_O95573_ACSL3.pdf</t>
  </si>
  <si>
    <t>Melting_Curves/meltCurve_O95602_POLR1A.pdf</t>
  </si>
  <si>
    <t>Melting_Curves/meltCurve_O95613_PCNT.pdf</t>
  </si>
  <si>
    <t>Melting_Curves/meltCurve_O95619_YEATS4.pdf</t>
  </si>
  <si>
    <t>Melting_Curves/meltCurve_O95620_DUS4L.pdf</t>
  </si>
  <si>
    <t>Melting_Curves/meltCurve_O95625_ZBTB11.pdf</t>
  </si>
  <si>
    <t>Melting_Curves/meltCurve_O95628_9_CNOT4.pdf</t>
  </si>
  <si>
    <t>Melting_Curves/meltCurve_O95630_STAMBP.pdf</t>
  </si>
  <si>
    <t>Melting_Curves/meltCurve_O95639_CPSF4.pdf</t>
  </si>
  <si>
    <t>Melting_Curves/meltCurve_O95644_5_NFATC1.pdf</t>
  </si>
  <si>
    <t>Melting_Curves/meltCurve_O95671_2_ASMTL.pdf</t>
  </si>
  <si>
    <t>Melting_Curves/meltCurve_O95684_2_FGFR1OP.pdf</t>
  </si>
  <si>
    <t>Melting_Curves/meltCurve_O95721_SNAP29.pdf</t>
  </si>
  <si>
    <t>Melting_Curves/meltCurve_O95747_OXSR1.pdf</t>
  </si>
  <si>
    <t>Melting_Curves/meltCurve_O95749_GGPS1.pdf</t>
  </si>
  <si>
    <t>Melting_Curves/meltCurve_O95757_HSPA4L.pdf</t>
  </si>
  <si>
    <t>Melting_Curves/meltCurve_O95758_1_PTBP3.pdf</t>
  </si>
  <si>
    <t>Melting_Curves/meltCurve_O95777_NAA38.pdf</t>
  </si>
  <si>
    <t>Melting_Curves/meltCurve_O95782_2_AP2A1.pdf</t>
  </si>
  <si>
    <t>Melting_Curves/meltCurve_O95801_TTC4.pdf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</si>
  <si>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</si>
  <si>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</si>
  <si>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</si>
  <si>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</si>
  <si>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</si>
  <si>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Melting_Curves/meltCurve_O95834_2_EML2.pdf</t>
  </si>
  <si>
    <t>Melting_Curves/meltCurve_O95835_2_LATS1.pdf</t>
  </si>
  <si>
    <t>Melting_Curves/meltCurve_O95861_BPNT1.pdf</t>
  </si>
  <si>
    <t>Melting_Curves/meltCurve_O95865_DDAH2.pdf</t>
  </si>
  <si>
    <t>Melting_Curves/meltCurve_O95881_TXNDC12.pdf</t>
  </si>
  <si>
    <t>Melting_Curves/meltCurve_O95905_ECD.pdf</t>
  </si>
  <si>
    <t>Melting_Curves/meltCurve_O95926_SYF2.pdf</t>
  </si>
  <si>
    <t>Melting_Curves/meltCurve_O95983_MBD3.pdf</t>
  </si>
  <si>
    <t>Melting_Curves/meltCurve_O95985_TOP3B.pdf</t>
  </si>
  <si>
    <t>Melting_Curves/meltCurve_O95989_NUDT3.pdf</t>
  </si>
  <si>
    <t>Melting_Curves/meltCurve_O95999_BCL10.pdf</t>
  </si>
  <si>
    <t>Melting_Curves/meltCurve_O96007_MOCS2.pdf</t>
  </si>
  <si>
    <t>Melting_Curves/meltCurve_O96008_TOMM40.pdf</t>
  </si>
  <si>
    <t>Melting_Curves/meltCurve_O96013_PAK4.pdf</t>
  </si>
  <si>
    <t>Melting_Curves/meltCurve_O96017_CHEK2.pdf</t>
  </si>
  <si>
    <t>Melting_Curves/meltCurve_O96018_APBA3.pdf</t>
  </si>
  <si>
    <t>Melting_Curves/meltCurve_O96019_ACTL6A.pdf</t>
  </si>
  <si>
    <t>Melting_Curves/meltCurve_O96028_WHSC1.pdf</t>
  </si>
  <si>
    <t>Melting_Curves/meltCurve_O96033_MOCS2.pdf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</si>
  <si>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</si>
  <si>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</si>
  <si>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</si>
  <si>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</si>
  <si>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</si>
  <si>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</si>
  <si>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</si>
  <si>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</si>
  <si>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</si>
  <si>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</si>
  <si>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</si>
  <si>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</si>
  <si>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Melting_Curves/meltCurve_P00558_PGK1.pdf</t>
  </si>
  <si>
    <t>Melting_Curves/meltCurve_P00568_AK1.pdf</t>
  </si>
  <si>
    <t>Melting_Curves/meltCurve_P00747_.pdf</t>
  </si>
  <si>
    <t>Melting_Curves/meltCurve_P00813_ADA.pdf</t>
  </si>
  <si>
    <t>Melting_Curves/meltCurve_P00918_CA2.pdf</t>
  </si>
  <si>
    <t>Melting_Curves/meltCurve_P00966_ASS1.pdf</t>
  </si>
  <si>
    <t>Melting_Curves/meltCurve_P01008_.pdf</t>
  </si>
  <si>
    <t>Melting_Curves/meltCurve_P01009_SERPINA1.pdf</t>
  </si>
  <si>
    <t>Melting_Curves/meltCurve_P01023_.pdf</t>
  </si>
  <si>
    <t>Melting_Curves/meltCurve_P01024_.pdf</t>
  </si>
  <si>
    <t>Melting_Curves/meltCurve_P01034_CST3.pdf</t>
  </si>
  <si>
    <t>Melting_Curves/meltCurve_P01111_NRAS.pdf</t>
  </si>
  <si>
    <t>Melting_Curves/meltCurve_P01116_2_KRAS.pdf</t>
  </si>
  <si>
    <t>Melting_Curves/meltCurve_P01137_TGFB1.pdf</t>
  </si>
  <si>
    <t>Melting_Curves/meltCurve_P02008_HBZ.pdf</t>
  </si>
  <si>
    <t>Melting_Curves/meltCurve_P02042_HBD.pdf</t>
  </si>
  <si>
    <t>Melting_Curves/meltCurve_P02100_HBE1.pdf</t>
  </si>
  <si>
    <t>Melting_Curves/meltCurve_P02533_KRT14.pdf</t>
  </si>
  <si>
    <t>Melting_Curves/meltCurve_P02538_KRT6A.pdf</t>
  </si>
  <si>
    <t>Melting_Curves/meltCurve_P02545_LMNA.pdf</t>
  </si>
  <si>
    <t>Melting_Curves/meltCurve_P02549_SPTA1.pdf</t>
  </si>
  <si>
    <t>Melting_Curves/meltCurve_P02649_APOE.pdf</t>
  </si>
  <si>
    <t>Melting_Curves/meltCurve_P02656_APOC3.pdf</t>
  </si>
  <si>
    <t>Melting_Curves/meltCurve_P02765_.pdf</t>
  </si>
  <si>
    <t>Melting_Curves/meltCurve_P02768_ALB.pdf</t>
  </si>
  <si>
    <t>Melting_Curves/meltCurve_P02774_.pdf</t>
  </si>
  <si>
    <t>Melting_Curves/meltCurve_P02786_TFRC.pdf</t>
  </si>
  <si>
    <t>Melting_Curves/meltCurve_P02794_FTH1.pdf</t>
  </si>
  <si>
    <t>Melting_Curves/meltCurve_P04004_.pdf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</si>
  <si>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</si>
  <si>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</si>
  <si>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</si>
  <si>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</si>
  <si>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</si>
  <si>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Melting_Curves/meltCurve_P04150_2_NR3C1.pdf</t>
  </si>
  <si>
    <t>Melting_Curves/meltCurve_P04181_OAT.pdf</t>
  </si>
  <si>
    <t>Melting_Curves/meltCurve_P04183_TK1.pdf</t>
  </si>
  <si>
    <t>Melting_Curves/meltCurve_P04259_KRT6B.pdf</t>
  </si>
  <si>
    <t>Melting_Curves/meltCurve_P04264_KRT1.pdf</t>
  </si>
  <si>
    <t>Melting_Curves/meltCurve_P04350_TUBB4A.pdf</t>
  </si>
  <si>
    <t>Melting_Curves/meltCurve_P04406_GAPDH.pdf</t>
  </si>
  <si>
    <t>Melting_Curves/meltCurve_P04424_ASL.pdf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</si>
  <si>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</si>
  <si>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</si>
  <si>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</si>
  <si>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</si>
  <si>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Melting_Curves/meltCurve_P04844_2_RPN2.pdf</t>
  </si>
  <si>
    <t>Melting_Curves/meltCurve_P04899_GNAI2.pdf</t>
  </si>
  <si>
    <t>Melting_Curves/meltCurve_P04920_2_SLC4A2.pdf</t>
  </si>
  <si>
    <t>Melting_Curves/meltCurve_P05023_4_ATP1A1.pdf</t>
  </si>
  <si>
    <t>Melting_Curves/meltCurve_P05091_ALDH2.pdf</t>
  </si>
  <si>
    <t>Melting_Curves/meltCurve_P05114_HMGN1.pdf</t>
  </si>
  <si>
    <t>Melting_Curves/meltCurve_P05141_SLC25A5.pdf</t>
  </si>
  <si>
    <t>Melting_Curves/meltCurve_P05161_ISG15.pdf</t>
  </si>
  <si>
    <t>Melting_Curves/meltCurve_P05165_3_PCCA.pdf</t>
  </si>
  <si>
    <t>Melting_Curves/meltCurve_P05166_PCCB.pdf</t>
  </si>
  <si>
    <t>Melting_Curves/meltCurve_P05198_EIF2S1.pdf</t>
  </si>
  <si>
    <t>Melting_Curves/meltCurve_P05204_HMGN2.pdf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</si>
  <si>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</si>
  <si>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</si>
  <si>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</si>
  <si>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</si>
  <si>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Melting_Curves/meltCurve_P05423_POLR3D.pdf</t>
  </si>
  <si>
    <t>Melting_Curves/meltCurve_P05455_SSB.pdf</t>
  </si>
  <si>
    <t>Melting_Curves/meltCurve_P05556_2_ITGB1.pdf</t>
  </si>
  <si>
    <t>Melting_Curves/meltCurve_P05771_2_PRKCB.pdf</t>
  </si>
  <si>
    <t>Melting_Curves/meltCurve_P05783_KRT18.pdf</t>
  </si>
  <si>
    <t>Melting_Curves/meltCurve_P05787_KRT8.pdf</t>
  </si>
  <si>
    <t>Melting_Curves/meltCurve_P05937_CALB1.pdf</t>
  </si>
  <si>
    <t>Melting_Curves/meltCurve_P06132_UROD.pdf</t>
  </si>
  <si>
    <t>Melting_Curves/meltCurve_P06280_GLA.pdf</t>
  </si>
  <si>
    <t>Melting_Curves/meltCurve_P06396_2_GSN.pdf</t>
  </si>
  <si>
    <t>Melting_Curves/meltCurve_P06400_RB1.pdf</t>
  </si>
  <si>
    <t>Melting_Curves/meltCurve_P06493_CDK1.pdf</t>
  </si>
  <si>
    <t>Melting_Curves/meltCurve_P06576_ATP5B.pdf</t>
  </si>
  <si>
    <t>Melting_Curves/meltCurve_P06730_EIF4E.pdf</t>
  </si>
  <si>
    <t>Melting_Curves/meltCurve_P06733_ENO1.pdf</t>
  </si>
  <si>
    <t>Melting_Curves/meltCurve_P06733_2_ENO1.pdf</t>
  </si>
  <si>
    <t>Melting_Curves/meltCurve_P06737_2_PYGL.pdf</t>
  </si>
  <si>
    <t>Melting_Curves/meltCurve_P06744_GPI.pdf</t>
  </si>
  <si>
    <t>Melting_Curves/meltCurve_P06746_POLB.pdf</t>
  </si>
  <si>
    <t>Melting_Curves/meltCurve_P06748_NPM1.pdf</t>
  </si>
  <si>
    <t>Melting_Curves/meltCurve_P06753_2_TPM3.pdf</t>
  </si>
  <si>
    <t>Melting_Curves/meltCurve_P06753_3_TPM3.pdf</t>
  </si>
  <si>
    <t>Melting_Curves/meltCurve_P06753_5_TPM3.pdf</t>
  </si>
  <si>
    <t>Melting_Curves/meltCurve_P06865_HEXA.pdf</t>
  </si>
  <si>
    <t>Melting_Curves/meltCurve_P07108_DBI.pdf</t>
  </si>
  <si>
    <t>Melting_Curves/meltCurve_P07195_LDHB.pdf</t>
  </si>
  <si>
    <t>Melting_Curves/meltCurve_P07205_PGK2.pdf</t>
  </si>
  <si>
    <t>Melting_Curves/meltCurve_P07237_P4HB.pdf</t>
  </si>
  <si>
    <t>Melting_Curves/meltCurve_P07339_CTSD.pdf</t>
  </si>
  <si>
    <t>Melting_Curves/meltCurve_P07355_ANXA2.pdf</t>
  </si>
  <si>
    <t>Melting_Curves/meltCurve_P07384_CAPN1.pdf</t>
  </si>
  <si>
    <t>Melting_Curves/meltCurve_P07602_PSAP.pdf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</si>
  <si>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</si>
  <si>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</si>
  <si>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</si>
  <si>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</si>
  <si>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</si>
  <si>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</si>
  <si>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</si>
  <si>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</si>
  <si>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</si>
  <si>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Melting_Curves/meltCurve_P07942_LAMB1.pdf</t>
  </si>
  <si>
    <t>Melting_Curves/meltCurve_P07947_YES1.pdf</t>
  </si>
  <si>
    <t>Melting_Curves/meltCurve_P07948_LYN.pdf</t>
  </si>
  <si>
    <t>Melting_Curves/meltCurve_P07954_2_FH.pdf</t>
  </si>
  <si>
    <t>Melting_Curves/meltCurve_P07992_ERCC1.pdf</t>
  </si>
  <si>
    <t>Melting_Curves/meltCurve_P08047_SP1.pdf</t>
  </si>
  <si>
    <t>Melting_Curves/meltCurve_P08107_HSPA1A.pdf</t>
  </si>
  <si>
    <t>Melting_Curves/meltCurve_P08133_ANXA6.pdf</t>
  </si>
  <si>
    <t>Melting_Curves/meltCurve_P08195_2_SLC3A2.pdf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</si>
  <si>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</si>
  <si>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</si>
  <si>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</si>
  <si>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</si>
  <si>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</si>
  <si>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Melting_Curves/meltCurve_P08559_3_PDHA1.pdf</t>
  </si>
  <si>
    <t>Melting_Curves/meltCurve_P08575_2_PTPRC.pdf</t>
  </si>
  <si>
    <t>Melting_Curves/meltCurve_P08579_SNRPB2.pdf</t>
  </si>
  <si>
    <t>Melting_Curves/meltCurve_P08590_MYL3.pdf</t>
  </si>
  <si>
    <t>Melting_Curves/meltCurve_P08621_SNRNP70.pdf</t>
  </si>
  <si>
    <t>Melting_Curves/meltCurve_P08648_ITGA5.pdf</t>
  </si>
  <si>
    <t>Melting_Curves/meltCurve_P08651_2_NFIC.pdf</t>
  </si>
  <si>
    <t>Melting_Curves/meltCurve_P08670_VIM.pdf</t>
  </si>
  <si>
    <t>Melting_Curves/meltCurve_P08727_KRT19.pdf</t>
  </si>
  <si>
    <t>Melting_Curves/meltCurve_P08754_GNAI3.pdf</t>
  </si>
  <si>
    <t>Melting_Curves/meltCurve_P08758_ANXA5.pdf</t>
  </si>
  <si>
    <t>Melting_Curves/meltCurve_P08779_KRT16.pdf</t>
  </si>
  <si>
    <t>Melting_Curves/meltCurve_P09012_SNRPA.pdf</t>
  </si>
  <si>
    <t>Melting_Curves/meltCurve_P09038_2_FGF2.pdf</t>
  </si>
  <si>
    <t>Melting_Curves/meltCurve_P09105_HBQ1.pdf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</si>
  <si>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</si>
  <si>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</si>
  <si>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</si>
  <si>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</si>
  <si>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Melting_Curves/meltCurve_P09327_VIL1.pdf</t>
  </si>
  <si>
    <t>Melting_Curves/meltCurve_P09382_LGALS1.pdf</t>
  </si>
  <si>
    <t>Melting_Curves/meltCurve_P09417_QDPR.pdf</t>
  </si>
  <si>
    <t>Melting_Curves/meltCurve_P09429_HMGB1.pdf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</si>
  <si>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</si>
  <si>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</si>
  <si>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</si>
  <si>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</si>
  <si>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Melting_Curves/meltCurve_P09622_DLD.pdf</t>
  </si>
  <si>
    <t>Melting_Curves/meltCurve_P09651_3_HNRNPA1.pdf</t>
  </si>
  <si>
    <t>Melting_Curves/meltCurve_P09661_SNRPA1.pdf</t>
  </si>
  <si>
    <t>Melting_Curves/meltCurve_P09668_CTSH.pdf</t>
  </si>
  <si>
    <t>Melting_Curves/meltCurve_P09874_PARP1.pdf</t>
  </si>
  <si>
    <t>Melting_Curves/meltCurve_P09884_POLA1.pdf</t>
  </si>
  <si>
    <t>Melting_Curves/meltCurve_P09917_ALOX5.pdf</t>
  </si>
  <si>
    <t>Melting_Curves/meltCurve_P09960_LTA4H.pdf</t>
  </si>
  <si>
    <t>Melting_Curves/meltCurve_P09972_ALDOC.pdf</t>
  </si>
  <si>
    <t>Melting_Curves/meltCurve_P0C7T5_ATXN1L.pdf</t>
  </si>
  <si>
    <t>Melting_Curves/meltCurve_P0CAP2_POLR2M.pdf</t>
  </si>
  <si>
    <t>Melting_Curves/meltCurve_P0CG12_CHTF8.pdf</t>
  </si>
  <si>
    <t>Melting_Curves/meltCurve_P0CG13_CHTF8.pdf</t>
  </si>
  <si>
    <t>Melting_Curves/meltCurve_P0CJ79_ZNF888.pdf</t>
  </si>
  <si>
    <t>Melting_Curves/meltCurve_P0CL82_GAGE12I.pdf</t>
  </si>
  <si>
    <t>Melting_Curves/meltCurve_P0CW22_RPS17L.pdf</t>
  </si>
  <si>
    <t>Melting_Curves/meltCurve_P0DI82_TRAPPC2P1.pdf</t>
  </si>
  <si>
    <t>Melting_Curves/meltCurve_P10073_ZSCAN22.pdf</t>
  </si>
  <si>
    <t>Melting_Curves/meltCurve_P10109_FDX1.pdf</t>
  </si>
  <si>
    <t>Melting_Curves/meltCurve_P10155_TROVE2.pdf</t>
  </si>
  <si>
    <t>Melting_Curves/meltCurve_P10242_11_MYB.pdf</t>
  </si>
  <si>
    <t>Melting_Curves/meltCurve_P10244_MYBL2.pdf</t>
  </si>
  <si>
    <t>Melting_Curves/meltCurve_P10253_GAA.pdf</t>
  </si>
  <si>
    <t>Melting_Curves/meltCurve_P10398_ARAF.pdf</t>
  </si>
  <si>
    <t>Melting_Curves/meltCurve_P10515_DLAT.pdf</t>
  </si>
  <si>
    <t>Melting_Curves/meltCurve_P10588_NR2F6.pdf</t>
  </si>
  <si>
    <t>Melting_Curves/meltCurve_P10599_TXN.pdf</t>
  </si>
  <si>
    <t>Melting_Curves/meltCurve_P10606_COX5B.pdf</t>
  </si>
  <si>
    <t>Melting_Curves/meltCurve_P10619_CTSA.pdf</t>
  </si>
  <si>
    <t>Melting_Curves/meltCurve_P10636_2_MAPT.pdf</t>
  </si>
  <si>
    <t>Melting_Curves/meltCurve_P10644_PRKAR1A.pdf</t>
  </si>
  <si>
    <t>Melting_Curves/meltCurve_P10646_2_TFPI.pdf</t>
  </si>
  <si>
    <t>Melting_Curves/meltCurve_P10746_UROS.pdf</t>
  </si>
  <si>
    <t>Melting_Curves/meltCurve_P10768_ESD.pdf</t>
  </si>
  <si>
    <t>Melting_Curves/meltCurve_P10809_HSPD1.pdf</t>
  </si>
  <si>
    <t>Melting_Curves/meltCurve_P11021_HSPA5.pdf</t>
  </si>
  <si>
    <t>Melting_Curves/meltCurve_P11086_PNMT.pdf</t>
  </si>
  <si>
    <t>Melting_Curves/meltCurve_P11137_3_MAP2.pdf</t>
  </si>
  <si>
    <t>Melting_Curves/meltCurve_P11142_HSPA8.pdf</t>
  </si>
  <si>
    <t>Melting_Curves/meltCurve_P11171_EPB41.pdf</t>
  </si>
  <si>
    <t>Melting_Curves/meltCurve_P11171_2_EPB41.pdf</t>
  </si>
  <si>
    <t>Melting_Curves/meltCurve_P11171_4_EPB41.pdf</t>
  </si>
  <si>
    <t>Melting_Curves/meltCurve_P11172_UMPS.pdf</t>
  </si>
  <si>
    <t>Melting_Curves/meltCurve_P11177_3_PDHB.pdf</t>
  </si>
  <si>
    <t>Melting_Curves/meltCurve_P11216_PYGB.pdf</t>
  </si>
  <si>
    <t>Melting_Curves/meltCurve_P11233_RALA.pdf</t>
  </si>
  <si>
    <t>Melting_Curves/meltCurve_P11234_RALB.pdf</t>
  </si>
  <si>
    <t>Melting_Curves/meltCurve_P11274_BCR.pdf</t>
  </si>
  <si>
    <t>Melting_Curves/meltCurve_P11277_3_SPTB.pdf</t>
  </si>
  <si>
    <t>Melting_Curves/meltCurve_P11279_LAMP1.pdf</t>
  </si>
  <si>
    <t>Melting_Curves/meltCurve_P11310_ACADM.pdf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</si>
  <si>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</si>
  <si>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</si>
  <si>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</si>
  <si>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</si>
  <si>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</si>
  <si>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Melting_Curves/meltCurve_P11532_3_DMD.pdf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</si>
  <si>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</si>
  <si>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</si>
  <si>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</si>
  <si>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</si>
  <si>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Melting_Curves/meltCurve_P11940_PABPC1.pdf</t>
  </si>
  <si>
    <t>Melting_Curves/meltCurve_P12004_PCNA.pdf</t>
  </si>
  <si>
    <t>Melting_Curves/meltCurve_P12036_NEFH.pdf</t>
  </si>
  <si>
    <t>Melting_Curves/meltCurve_P12081_HARS.pdf</t>
  </si>
  <si>
    <t>Melting_Curves/meltCurve_P12236_SLC25A6.pdf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</si>
  <si>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</si>
  <si>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</si>
  <si>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</si>
  <si>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</si>
  <si>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Melting_Curves/meltCurve_P12694_BCKDHA.pdf</t>
  </si>
  <si>
    <t>Melting_Curves/meltCurve_P12757_3_SKIL.pdf</t>
  </si>
  <si>
    <t>Melting_Curves/meltCurve_P12814_ACTN1.pdf</t>
  </si>
  <si>
    <t>Melting_Curves/meltCurve_P12882_MYH1.pdf</t>
  </si>
  <si>
    <t>Melting_Curves/meltCurve_P12955_PEPD.pdf</t>
  </si>
  <si>
    <t>Melting_Curves/meltCurve_P12956_XRCC6.pdf</t>
  </si>
  <si>
    <t>Melting_Curves/meltCurve_P12980_LYL1.pdf</t>
  </si>
  <si>
    <t>Melting_Curves/meltCurve_P13010_XRCC5.pdf</t>
  </si>
  <si>
    <t>Melting_Curves/meltCurve_P13073_COX4I1.pdf</t>
  </si>
  <si>
    <t>Melting_Curves/meltCurve_P13284_IFI30.pdf</t>
  </si>
  <si>
    <t>Melting_Curves/meltCurve_P13489_RNH1.pdf</t>
  </si>
  <si>
    <t>Melting_Curves/meltCurve_P13498_CYBA.pdf</t>
  </si>
  <si>
    <t>Melting_Curves/meltCurve_P13639_EEF2.pdf</t>
  </si>
  <si>
    <t>Melting_Curves/meltCurve_P13645_KRT10.pdf</t>
  </si>
  <si>
    <t>Melting_Curves/meltCurve_P13647_KRT5.pdf</t>
  </si>
  <si>
    <t>Melting_Curves/meltCurve_P13667_PDIA4.pdf</t>
  </si>
  <si>
    <t>Melting_Curves/meltCurve_P13674_2_P4HA1.pdf</t>
  </si>
  <si>
    <t>Melting_Curves/meltCurve_P13682_ZNF35.pdf</t>
  </si>
  <si>
    <t>Melting_Curves/meltCurve_P13693_TPT1.pdf</t>
  </si>
  <si>
    <t>Melting_Curves/meltCurve_P13796_LCP1.pdf</t>
  </si>
  <si>
    <t>Melting_Curves/meltCurve_P13798_APEH.pdf</t>
  </si>
  <si>
    <t>Melting_Curves/meltCurve_P13804_ETFA.pdf</t>
  </si>
  <si>
    <t>Melting_Curves/meltCurve_P13861_PRKAR2A.pdf</t>
  </si>
  <si>
    <t>Melting_Curves/meltCurve_P13929_3_ENO3.pdf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</si>
  <si>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</si>
  <si>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</si>
  <si>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</si>
  <si>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</si>
  <si>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Melting_Curves/meltCurve_P14314_2_PRKCSH.pdf</t>
  </si>
  <si>
    <t>Melting_Curves/meltCurve_P14317_HCLS1.pdf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</si>
  <si>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</si>
  <si>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</si>
  <si>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</si>
  <si>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</si>
  <si>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</si>
  <si>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</si>
  <si>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</si>
  <si>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</si>
  <si>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</si>
  <si>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</si>
  <si>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</si>
  <si>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</si>
  <si>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</si>
  <si>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</si>
  <si>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</si>
  <si>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</si>
  <si>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Melting_Curves/meltCurve_P15104_GLUL.pdf</t>
  </si>
  <si>
    <t>Melting_Curves/meltCurve_P15151_3_PVR.pdf</t>
  </si>
  <si>
    <t>Melting_Curves/meltCurve_P15153_RAC2.pdf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</si>
  <si>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</si>
  <si>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</si>
  <si>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</si>
  <si>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</si>
  <si>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Melting_Curves/meltCurve_P15407_FOSL1.pdf</t>
  </si>
  <si>
    <t>Melting_Curves/meltCurve_P15498_VAV1.pdf</t>
  </si>
  <si>
    <t>Melting_Curves/meltCurve_P15529_15_CD46.pdf</t>
  </si>
  <si>
    <t>Melting_Curves/meltCurve_P15531_NME1.pdf</t>
  </si>
  <si>
    <t>Melting_Curves/meltCurve_P15735_2_PHKG2.pdf</t>
  </si>
  <si>
    <t>Melting_Curves/meltCurve_P15822_HIVEP1.pdf</t>
  </si>
  <si>
    <t>Melting_Curves/meltCurve_P15848_ARSB.pdf</t>
  </si>
  <si>
    <t>Melting_Curves/meltCurve_P15880_RPS2.pdf</t>
  </si>
  <si>
    <t>Melting_Curves/meltCurve_P15884_5_TCF4.pdf</t>
  </si>
  <si>
    <t>Melting_Curves/meltCurve_P15923_2_TCF3.pdf</t>
  </si>
  <si>
    <t>Melting_Curves/meltCurve_P15924_DSP.pdf</t>
  </si>
  <si>
    <t>Melting_Curves/meltCurve_P15927_RPA2.pdf</t>
  </si>
  <si>
    <t>Melting_Curves/meltCurve_P15976_3_GATA1.pdf</t>
  </si>
  <si>
    <t>Melting_Curves/meltCurve_P16083_NQO2.pdf</t>
  </si>
  <si>
    <t>Melting_Curves/meltCurve_P16150_SPN.pdf</t>
  </si>
  <si>
    <t>Melting_Curves/meltCurve_P16152_CBR1.pdf</t>
  </si>
  <si>
    <t>Melting_Curves/meltCurve_P16157_10_ANK1.pdf</t>
  </si>
  <si>
    <t>Melting_Curves/meltCurve_P16219_ACADS.pdf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</si>
  <si>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</si>
  <si>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</si>
  <si>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</si>
  <si>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</si>
  <si>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</si>
  <si>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</si>
  <si>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Melting_Curves/meltCurve_P16591_FER.pdf</t>
  </si>
  <si>
    <t>Melting_Curves/meltCurve_P16615_ATP2A2.pdf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</si>
  <si>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</si>
  <si>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</si>
  <si>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</si>
  <si>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</si>
  <si>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Melting_Curves/meltCurve_P17017_ZNF14.pdf</t>
  </si>
  <si>
    <t>Melting_Curves/meltCurve_P17026_ZNF22.pdf</t>
  </si>
  <si>
    <t>Melting_Curves/meltCurve_P17028_ZNF24.pdf</t>
  </si>
  <si>
    <t>Melting_Curves/meltCurve_P17029_ZKSCAN1.pdf</t>
  </si>
  <si>
    <t>Melting_Curves/meltCurve_P17050_NAGA.pdf</t>
  </si>
  <si>
    <t>Melting_Curves/meltCurve_P17066_HSPA6.pdf</t>
  </si>
  <si>
    <t>Melting_Curves/meltCurve_P17096_2_HMGA1.pdf</t>
  </si>
  <si>
    <t>Melting_Curves/meltCurve_P17098_ZNF8.pdf</t>
  </si>
  <si>
    <t>Melting_Curves/meltCurve_P17152_TMEM11.pdf</t>
  </si>
  <si>
    <t>Melting_Curves/meltCurve_P17174_GOT1.pdf</t>
  </si>
  <si>
    <t>Melting_Curves/meltCurve_P17252_PRKCA.pdf</t>
  </si>
  <si>
    <t>Melting_Curves/meltCurve_P17275_JUNB.pdf</t>
  </si>
  <si>
    <t>Melting_Curves/meltCurve_P17480_2_UBTF.pdf</t>
  </si>
  <si>
    <t>Melting_Curves/meltCurve_P17482_HOXB9.pdf</t>
  </si>
  <si>
    <t>Melting_Curves/meltCurve_P17483_HOXB4.pdf</t>
  </si>
  <si>
    <t>Melting_Curves/meltCurve_P17535_JUND.pdf</t>
  </si>
  <si>
    <t>Melting_Curves/meltCurve_P17542_TAL1.pdf</t>
  </si>
  <si>
    <t>Melting_Curves/meltCurve_P17544_4_ATF7.pdf</t>
  </si>
  <si>
    <t>Melting_Curves/meltCurve_P17612_PRKACA.pdf</t>
  </si>
  <si>
    <t>Melting_Curves/meltCurve_P17655_CAPN2.pdf</t>
  </si>
  <si>
    <t>Melting_Curves/meltCurve_P17661_DES.pdf</t>
  </si>
  <si>
    <t>Melting_Curves/meltCurve_P17676_CEBPB.pdf</t>
  </si>
  <si>
    <t>Melting_Curves/meltCurve_P17706_2_PTPN2.pdf</t>
  </si>
  <si>
    <t>Melting_Curves/meltCurve_P17707_AMD1.pdf</t>
  </si>
  <si>
    <t>Melting_Curves/meltCurve_P17812_CTPS1.pdf</t>
  </si>
  <si>
    <t>Melting_Curves/meltCurve_P17844_DDX5.pdf</t>
  </si>
  <si>
    <t>Melting_Curves/meltCurve_P17858_PFKL.pdf</t>
  </si>
  <si>
    <t>Melting_Curves/meltCurve_P17861_XBP1.pdf</t>
  </si>
  <si>
    <t>Melting_Curves/meltCurve_P17900_GM2A.pdf</t>
  </si>
  <si>
    <t>Melting_Curves/meltCurve_P17931_LGALS3.pdf</t>
  </si>
  <si>
    <t>Melting_Curves/meltCurve_P17987_TCP1.pdf</t>
  </si>
  <si>
    <t>Melting_Curves/meltCurve_P18031_PTPN1.pdf</t>
  </si>
  <si>
    <t>Melting_Curves/meltCurve_P18065_IGFBP2.pdf</t>
  </si>
  <si>
    <t>Melting_Curves/meltCurve_P18085_ARF4.pdf</t>
  </si>
  <si>
    <t>Melting_Curves/meltCurve_P18124_RPL7.pdf</t>
  </si>
  <si>
    <t>Melting_Curves/meltCurve_P18146_EGR1.pdf</t>
  </si>
  <si>
    <t>Melting_Curves/meltCurve_P18206_2_VCL.pdf</t>
  </si>
  <si>
    <t>Melting_Curves/meltCurve_P18440_NAT1.pdf</t>
  </si>
  <si>
    <t>Melting_Curves/meltCurve_P18583_7_SON.pdf</t>
  </si>
  <si>
    <t>Melting_Curves/meltCurve_P18615_NELFE.pdf</t>
  </si>
  <si>
    <t>Melting_Curves/meltCurve_P18669_PGAM1.pdf</t>
  </si>
  <si>
    <t>Melting_Curves/meltCurve_P18754_RCC1.pdf</t>
  </si>
  <si>
    <t>Melting_Curves/meltCurve_P18846_ATF1.pdf</t>
  </si>
  <si>
    <t>Melting_Curves/meltCurve_P18850_ATF6.pdf</t>
  </si>
  <si>
    <t>Melting_Curves/meltCurve_P18859_ATP5J.pdf</t>
  </si>
  <si>
    <t>Melting_Curves/meltCurve_P18887_XRCC1.pdf</t>
  </si>
  <si>
    <t>Melting_Curves/meltCurve_P19105_MYL12A.pdf</t>
  </si>
  <si>
    <t>Melting_Curves/meltCurve_P19174_2_PLCG1.pdf</t>
  </si>
  <si>
    <t>Melting_Curves/meltCurve_P19338_NCL.pdf</t>
  </si>
  <si>
    <t>Melting_Curves/meltCurve_P19367_2_HK1.pdf</t>
  </si>
  <si>
    <t>Melting_Curves/meltCurve_P19367_4_HK1.pdf</t>
  </si>
  <si>
    <t>Melting_Curves/meltCurve_P19387_POLR2C.pdf</t>
  </si>
  <si>
    <t>Melting_Curves/meltCurve_P19388_POLR2E.pdf</t>
  </si>
  <si>
    <t>Melting_Curves/meltCurve_P19404_NDUFV2.pdf</t>
  </si>
  <si>
    <t>Melting_Curves/meltCurve_P19447_ERCC3.pdf</t>
  </si>
  <si>
    <t>Melting_Curves/meltCurve_P19525_EIF2AK2.pdf</t>
  </si>
  <si>
    <t>Melting_Curves/meltCurve_P19532_TFE3.pdf</t>
  </si>
  <si>
    <t>Melting_Curves/meltCurve_P19544_2_WT1.pdf</t>
  </si>
  <si>
    <t>Melting_Curves/meltCurve_P19623_SRM.pdf</t>
  </si>
  <si>
    <t>Melting_Curves/meltCurve_P19784_CSNK2A2.pdf</t>
  </si>
  <si>
    <t>Melting_Curves/meltCurve_P19838_NFKB1.pdf</t>
  </si>
  <si>
    <t>Melting_Curves/meltCurve_P20042_EIF2S2.pdf</t>
  </si>
  <si>
    <t>Melting_Curves/meltCurve_P20138_3_CD33.pdf</t>
  </si>
  <si>
    <t>Melting_Curves/meltCurve_P20226_2_TBP.pdf</t>
  </si>
  <si>
    <t>Melting_Curves/meltCurve_P20248_CCNA2.pdf</t>
  </si>
  <si>
    <t>Melting_Curves/meltCurve_P20290_BTF3.pdf</t>
  </si>
  <si>
    <t>Melting_Curves/meltCurve_P20333_TNFRSF1B.pdf</t>
  </si>
  <si>
    <t>Melting_Curves/meltCurve_P20337_RAB3B.pdf</t>
  </si>
  <si>
    <t>Melting_Curves/meltCurve_P20338_RAB4A.pdf</t>
  </si>
  <si>
    <t>Melting_Curves/meltCurve_P20340_2_RAB6A.pdf</t>
  </si>
  <si>
    <t>Melting_Curves/meltCurve_P20585_MSH3.pdf</t>
  </si>
  <si>
    <t>Melting_Curves/meltCurve_P20618_PSMB1.pdf</t>
  </si>
  <si>
    <t>Melting_Curves/meltCurve_P20674_COX5A.pdf</t>
  </si>
  <si>
    <t>Melting_Curves/meltCurve_P20700_LMNB1.pdf</t>
  </si>
  <si>
    <t>Melting_Curves/meltCurve_P20749_BCL3.pdf</t>
  </si>
  <si>
    <t>Melting_Curves/meltCurve_P20933_AGA.pdf</t>
  </si>
  <si>
    <t>Melting_Curves/meltCurve_P20936_2_RASA1.pdf</t>
  </si>
  <si>
    <t>Melting_Curves/meltCurve_P20962_PTMS.pdf</t>
  </si>
  <si>
    <t>Melting_Curves/meltCurve_P21127_CDK11B.pdf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</si>
  <si>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</si>
  <si>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</si>
  <si>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</si>
  <si>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</si>
  <si>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</si>
  <si>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</si>
  <si>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Melting_Curves/meltCurve_P21399_ACO1.pdf</t>
  </si>
  <si>
    <t>Melting_Curves/meltCurve_P21675_TAF1.pdf</t>
  </si>
  <si>
    <t>Melting_Curves/meltCurve_P21796_VDAC1.pdf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</si>
  <si>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</si>
  <si>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</si>
  <si>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</si>
  <si>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</si>
  <si>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Melting_Curves/meltCurve_P22061_2_PCMT1.pdf</t>
  </si>
  <si>
    <t>Melting_Curves/meltCurve_P22102_GART.pdf</t>
  </si>
  <si>
    <t>Melting_Curves/meltCurve_P22234_PAICS.pdf</t>
  </si>
  <si>
    <t>Melting_Curves/meltCurve_P22307_6_SCP2.pdf</t>
  </si>
  <si>
    <t>Melting_Curves/meltCurve_P22314_UBA1.pdf</t>
  </si>
  <si>
    <t>Melting_Curves/meltCurve_P22392_2_NME2.pdf</t>
  </si>
  <si>
    <t>Melting_Curves/meltCurve_P22532_SPRR2D.pdf</t>
  </si>
  <si>
    <t>Melting_Curves/meltCurve_P22570_FDXR.pdf</t>
  </si>
  <si>
    <t>Melting_Curves/meltCurve_P22626_HNRNPA2B1.pdf</t>
  </si>
  <si>
    <t>Melting_Curves/meltCurve_P22670_RFX1.pdf</t>
  </si>
  <si>
    <t>Melting_Curves/meltCurve_P22681_CBL.pdf</t>
  </si>
  <si>
    <t>Melting_Curves/meltCurve_P22694_4_PRKACB.pdf</t>
  </si>
  <si>
    <t>Melting_Curves/meltCurve_P22830_FECH.pdf</t>
  </si>
  <si>
    <t>Melting_Curves/meltCurve_P23025_XPA.pdf</t>
  </si>
  <si>
    <t>Melting_Curves/meltCurve_P23142_3_FBLN1.pdf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</si>
  <si>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</si>
  <si>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</si>
  <si>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</si>
  <si>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</si>
  <si>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Melting_Curves/meltCurve_P23297_S100A1.pdf</t>
  </si>
  <si>
    <t>Melting_Curves/meltCurve_P23368_ME2.pdf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</si>
  <si>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</si>
  <si>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</si>
  <si>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</si>
  <si>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</si>
  <si>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Melting_Curves/meltCurve_P23470_2_PTPRG.pdf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</si>
  <si>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</si>
  <si>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</si>
  <si>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</si>
  <si>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</si>
  <si>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Melting_Curves/meltCurve_P23588_EIF4B.pdf</t>
  </si>
  <si>
    <t>Melting_Curves/meltCurve_P23610_F8A1.pdf</t>
  </si>
  <si>
    <t>Melting_Curves/meltCurve_P23634_7_ATP2B4.pdf</t>
  </si>
  <si>
    <t>Melting_Curves/meltCurve_P23677_ITPKA.pdf</t>
  </si>
  <si>
    <t>Melting_Curves/meltCurve_P23769_2_GATA2.pdf</t>
  </si>
  <si>
    <t>Melting_Curves/meltCurve_P23786_CPT2.pdf</t>
  </si>
  <si>
    <t>Melting_Curves/meltCurve_P23919_DTYMK.pdf</t>
  </si>
  <si>
    <t>Melting_Curves/meltCurve_P23921_RRM1.pdf</t>
  </si>
  <si>
    <t>Melting_Curves/meltCurve_P24534_EEF1B2.pdf</t>
  </si>
  <si>
    <t>Melting_Curves/meltCurve_P24666_ACP1.pdf</t>
  </si>
  <si>
    <t>Melting_Curves/meltCurve_P24752_ACAT1.pdf</t>
  </si>
  <si>
    <t>Melting_Curves/meltCurve_P24928_POLR2A.pdf</t>
  </si>
  <si>
    <t>Melting_Curves/meltCurve_P24941_CDK2.pdf</t>
  </si>
  <si>
    <t>Melting_Curves/meltCurve_P25054_2_APC.pdf</t>
  </si>
  <si>
    <t>Melting_Curves/meltCurve_P25098_ADRBK1.pdf</t>
  </si>
  <si>
    <t>Melting_Curves/meltCurve_P25205_MCM3.pdf</t>
  </si>
  <si>
    <t>Melting_Curves/meltCurve_P25398_RPS12.pdf</t>
  </si>
  <si>
    <t>Melting_Curves/meltCurve_P25440_BRD2.pdf</t>
  </si>
  <si>
    <t>Melting_Curves/meltCurve_P25685_DNAJB1.pdf</t>
  </si>
  <si>
    <t>Melting_Curves/meltCurve_P25705_ATP5A1.pdf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</si>
  <si>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</si>
  <si>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</si>
  <si>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</si>
  <si>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</si>
  <si>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</si>
  <si>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Melting_Curves/meltCurve_P25791_LMO2.pdf</t>
  </si>
  <si>
    <t>Melting_Curves/meltCurve_P25815_S100P.pdf</t>
  </si>
  <si>
    <t>Melting_Curves/meltCurve_P26038_MSN.pdf</t>
  </si>
  <si>
    <t>Melting_Curves/meltCurve_P26196_DDX6.pdf</t>
  </si>
  <si>
    <t>Melting_Curves/meltCurve_P26358_DNMT1.pdf</t>
  </si>
  <si>
    <t>Melting_Curves/meltCurve_P26358_2_DNMT1.pdf</t>
  </si>
  <si>
    <t>Melting_Curves/meltCurve_P26368_2_U2AF2.pdf</t>
  </si>
  <si>
    <t>Melting_Curves/meltCurve_P26373_RPL13.pdf</t>
  </si>
  <si>
    <t>Melting_Curves/meltCurve_P26374_CHML.pdf</t>
  </si>
  <si>
    <t>Melting_Curves/meltCurve_P26583_HMGB2.pdf</t>
  </si>
  <si>
    <t>Melting_Curves/meltCurve_P26599_PTBP1.pdf</t>
  </si>
  <si>
    <t>Melting_Curves/meltCurve_P26639_TARS.pdf</t>
  </si>
  <si>
    <t>Melting_Curves/meltCurve_P26640_VARS.pdf</t>
  </si>
  <si>
    <t>Melting_Curves/meltCurve_P26641_EEF1G.pdf</t>
  </si>
  <si>
    <t>Melting_Curves/meltCurve_P26651_ZFP36.pdf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</si>
  <si>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</si>
  <si>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</si>
  <si>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</si>
  <si>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</si>
  <si>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Melting_Curves/meltCurve_P27448_8_MARK3.pdf</t>
  </si>
  <si>
    <t>Melting_Curves/meltCurve_P27540_2_ARNT.pdf</t>
  </si>
  <si>
    <t>Melting_Curves/meltCurve_P27694_RPA1.pdf</t>
  </si>
  <si>
    <t>Melting_Curves/meltCurve_P27695_APEX1.pdf</t>
  </si>
  <si>
    <t>Melting_Curves/meltCurve_P27707_DCK.pdf</t>
  </si>
  <si>
    <t>Melting_Curves/meltCurve_P27797_CALR.pdf</t>
  </si>
  <si>
    <t>Melting_Curves/meltCurve_P27815_6_PDE4A.pdf</t>
  </si>
  <si>
    <t>Melting_Curves/meltCurve_P27816_MAP4.pdf</t>
  </si>
  <si>
    <t>Melting_Curves/meltCurve_P27824_CANX.pdf</t>
  </si>
  <si>
    <t>Melting_Curves/meltCurve_P27986_PIK3R1.pdf</t>
  </si>
  <si>
    <t>Melting_Curves/meltCurve_P28062_2_PSMB8.pdf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</si>
  <si>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</si>
  <si>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</si>
  <si>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</si>
  <si>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</si>
  <si>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Melting_Curves/meltCurve_P28161_2_GSTM2.pdf</t>
  </si>
  <si>
    <t>Melting_Curves/meltCurve_P28289_TMOD1.pdf</t>
  </si>
  <si>
    <t>Melting_Curves/meltCurve_P28331_4_NDUFS1.pdf</t>
  </si>
  <si>
    <t>Melting_Curves/meltCurve_P28340_POLD1.pdf</t>
  </si>
  <si>
    <t>Melting_Curves/meltCurve_P28482_MAPK1.pdf</t>
  </si>
  <si>
    <t>Melting_Curves/meltCurve_P28702_RXRB.pdf</t>
  </si>
  <si>
    <t>Melting_Curves/meltCurve_P28715_ERCC5.pdf</t>
  </si>
  <si>
    <t>Melting_Curves/meltCurve_P28749_RBL1.pdf</t>
  </si>
  <si>
    <t>Melting_Curves/meltCurve_P28799_GRN.pdf</t>
  </si>
  <si>
    <t>Melting_Curves/meltCurve_P28838_2_LAP3.pdf</t>
  </si>
  <si>
    <t>Melting_Curves/meltCurve_P28908_TNFRSF8.pdf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</si>
  <si>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</si>
  <si>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</si>
  <si>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</si>
  <si>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</si>
  <si>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Melting_Curves/meltCurve_P29350_PTPN6.pdf</t>
  </si>
  <si>
    <t>Melting_Curves/meltCurve_P29353_2_SHC1.pdf</t>
  </si>
  <si>
    <t>Melting_Curves/meltCurve_P29353_7_SHC1.pdf</t>
  </si>
  <si>
    <t>Melting_Curves/meltCurve_P29372_5_MPG.pdf</t>
  </si>
  <si>
    <t>Melting_Curves/meltCurve_P29374_3_ARID4A.pdf</t>
  </si>
  <si>
    <t>Melting_Curves/meltCurve_P29375_KDM5A.pdf</t>
  </si>
  <si>
    <t>Melting_Curves/meltCurve_P29401_TKT.pdf</t>
  </si>
  <si>
    <t>Melting_Curves/meltCurve_P29590_PML.pdf</t>
  </si>
  <si>
    <t>Melting_Curves/meltCurve_P29590_8_PML.pdf</t>
  </si>
  <si>
    <t>Melting_Curves/meltCurve_P29692_EEF1D.pdf</t>
  </si>
  <si>
    <t>Melting_Curves/meltCurve_P29692_2_EEF1D.pdf</t>
  </si>
  <si>
    <t>Melting_Curves/meltCurve_P29692_3_EEF1D.pdf</t>
  </si>
  <si>
    <t>Melting_Curves/meltCurve_P29966_MARCKS.pdf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</si>
  <si>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</si>
  <si>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</si>
  <si>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</si>
  <si>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</si>
  <si>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</si>
  <si>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</si>
  <si>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</si>
  <si>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Melting_Curves/meltCurve_P30047_GCHFR.pdf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</si>
  <si>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</si>
  <si>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</si>
  <si>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</si>
  <si>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</si>
  <si>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</si>
  <si>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</si>
  <si>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</si>
  <si>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Melting_Curves/meltCurve_P30260_CDC27.pdf</t>
  </si>
  <si>
    <t>Melting_Curves/meltCurve_P30279_CCND2.pdf</t>
  </si>
  <si>
    <t>Melting_Curves/meltCurve_P30281_CCND3.pdf</t>
  </si>
  <si>
    <t>Melting_Curves/meltCurve_P30291_WEE1.pdf</t>
  </si>
  <si>
    <t>Melting_Curves/meltCurve_P30307_CDC25C.pdf</t>
  </si>
  <si>
    <t>Melting_Curves/meltCurve_P30405_PPIF.pdf</t>
  </si>
  <si>
    <t>Melting_Curves/meltCurve_P30414_NKTR.pdf</t>
  </si>
  <si>
    <t>Melting_Curves/meltCurve_P30419_NMT1.pdf</t>
  </si>
  <si>
    <t>Melting_Curves/meltCurve_P30520_ADSS.pdf</t>
  </si>
  <si>
    <t>Melting_Curves/meltCurve_P30533_LRPAP1.pdf</t>
  </si>
  <si>
    <t>Melting_Curves/meltCurve_P30566_ADSL.pdf</t>
  </si>
  <si>
    <t>Melting_Curves/meltCurve_P30613_PKLR.pdf</t>
  </si>
  <si>
    <t>Melting_Curves/meltCurve_P30622_2_CLIP1.pdf</t>
  </si>
  <si>
    <t>Melting_Curves/meltCurve_P30711_GSTT1.pdf</t>
  </si>
  <si>
    <t>Melting_Curves/meltCurve_P30740_SERPINB1.pdf</t>
  </si>
  <si>
    <t>Melting_Curves/meltCurve_P30837_ALDH1B1.pdf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</si>
  <si>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</si>
  <si>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</si>
  <si>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</si>
  <si>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</si>
  <si>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</si>
  <si>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</si>
  <si>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Melting_Curves/meltCurve_P31327_CPS1.pdf</t>
  </si>
  <si>
    <t>Melting_Curves/meltCurve_P31350_RRM2.pdf</t>
  </si>
  <si>
    <t>Melting_Curves/meltCurve_P31629_HIVEP2.pdf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</si>
  <si>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</si>
  <si>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</si>
  <si>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</si>
  <si>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</si>
  <si>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</si>
  <si>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</si>
  <si>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</si>
  <si>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Melting_Curves/meltCurve_P31943_HNRNPH1.pdf</t>
  </si>
  <si>
    <t>Melting_Curves/meltCurve_P31944_CASP14.pdf</t>
  </si>
  <si>
    <t>Melting_Curves/meltCurve_P31946_2_YWHAB.pdf</t>
  </si>
  <si>
    <t>Melting_Curves/meltCurve_P31947_2_SFN.pdf</t>
  </si>
  <si>
    <t>Melting_Curves/meltCurve_P31948_STIP1.pdf</t>
  </si>
  <si>
    <t>Melting_Curves/meltCurve_P31949_S100A11.pdf</t>
  </si>
  <si>
    <t>Melting_Curves/meltCurve_P32019_2_INPP5B.pdf</t>
  </si>
  <si>
    <t>Melting_Curves/meltCurve_P32119_PRDX2.pdf</t>
  </si>
  <si>
    <t>Melting_Curves/meltCurve_P32121_5_ARRB2.pdf</t>
  </si>
  <si>
    <t>Melting_Curves/meltCurve_P32321_DCTD.pdf</t>
  </si>
  <si>
    <t>Melting_Curves/meltCurve_P32322_PYCR1.pdf</t>
  </si>
  <si>
    <t>Melting_Curves/meltCurve_P32456_GBP2.pdf</t>
  </si>
  <si>
    <t>Melting_Curves/meltCurve_P32519_2_ELF1.pdf</t>
  </si>
  <si>
    <t>Melting_Curves/meltCurve_P32780_GTF2H1.pdf</t>
  </si>
  <si>
    <t>Melting_Curves/meltCurve_P32929_CTH.pdf</t>
  </si>
  <si>
    <t>Melting_Curves/meltCurve_P33121_2_ACSL1.pdf</t>
  </si>
  <si>
    <t>Melting_Curves/meltCurve_P33176_KIF5B.pdf</t>
  </si>
  <si>
    <t>Melting_Curves/meltCurve_P33240_2_CSTF2.pdf</t>
  </si>
  <si>
    <t>Melting_Curves/meltCurve_P33316_DUT.pdf</t>
  </si>
  <si>
    <t>Melting_Curves/meltCurve_P33316_2_DUT.pdf</t>
  </si>
  <si>
    <t>Melting_Curves/meltCurve_P33552_CKS2.pdf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</si>
  <si>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</si>
  <si>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</si>
  <si>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</si>
  <si>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</si>
  <si>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</si>
  <si>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</si>
  <si>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</si>
  <si>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Melting_Curves/meltCurve_P34910_EVI2B.pdf</t>
  </si>
  <si>
    <t>Melting_Curves/meltCurve_P34913_EPHX2.pdf</t>
  </si>
  <si>
    <t>Melting_Curves/meltCurve_P34932_HSPA4.pdf</t>
  </si>
  <si>
    <t>Melting_Curves/meltCurve_P35219_CA8.pdf</t>
  </si>
  <si>
    <t>Melting_Curves/meltCurve_P35221_CTNNA1.pdf</t>
  </si>
  <si>
    <t>Melting_Curves/meltCurve_P35227_PCGF2.pdf</t>
  </si>
  <si>
    <t>Melting_Curves/meltCurve_P35232_PHB.pdf</t>
  </si>
  <si>
    <t>Melting_Curves/meltCurve_P35236_PTPN7.pdf</t>
  </si>
  <si>
    <t>Melting_Curves/meltCurve_P35237_SERPINB6.pdf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</si>
  <si>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</si>
  <si>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</si>
  <si>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</si>
  <si>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</si>
  <si>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</si>
  <si>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</si>
  <si>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</si>
  <si>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</si>
  <si>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Melting_Curves/meltCurve_P35453_HOXD13.pdf</t>
  </si>
  <si>
    <t>Melting_Curves/meltCurve_P35520_CBS.pdf</t>
  </si>
  <si>
    <t>Melting_Curves/meltCurve_P35527_KRT9.pdf</t>
  </si>
  <si>
    <t>Melting_Curves/meltCurve_P35568_IRS1.pdf</t>
  </si>
  <si>
    <t>Melting_Curves/meltCurve_P35573_2_AGL.pdf</t>
  </si>
  <si>
    <t>Melting_Curves/meltCurve_P35579_MYH9.pdf</t>
  </si>
  <si>
    <t>Melting_Curves/meltCurve_P35579_2_MYH9.pdf</t>
  </si>
  <si>
    <t>Melting_Curves/meltCurve_P35580_MYH10.pdf</t>
  </si>
  <si>
    <t>Melting_Curves/meltCurve_P35606_COPB2.pdf</t>
  </si>
  <si>
    <t>Melting_Curves/meltCurve_P35611_ADD1.pdf</t>
  </si>
  <si>
    <t>Melting_Curves/meltCurve_P35612_ADD2.pdf</t>
  </si>
  <si>
    <t>Melting_Curves/meltCurve_P35613_2_BSG.pdf</t>
  </si>
  <si>
    <t>Melting_Curves/meltCurve_P35637_2_FUS.pdf</t>
  </si>
  <si>
    <t>Melting_Curves/meltCurve_P35658_4_NUP214.pdf</t>
  </si>
  <si>
    <t>Melting_Curves/meltCurve_P35712_SOX6.pdf</t>
  </si>
  <si>
    <t>Melting_Curves/meltCurve_P35754_GLRX.pdf</t>
  </si>
  <si>
    <t>Melting_Curves/meltCurve_P35790_2_CHKA.pdf</t>
  </si>
  <si>
    <t>Melting_Curves/meltCurve_P35813_PPM1A.pdf</t>
  </si>
  <si>
    <t>Melting_Curves/meltCurve_P35869_AHR.pdf</t>
  </si>
  <si>
    <t>Melting_Curves/meltCurve_P35908_KRT2.pdf</t>
  </si>
  <si>
    <t>Melting_Curves/meltCurve_P35998_PSMC2.pdf</t>
  </si>
  <si>
    <t>Melting_Curves/meltCurve_P36404_ARL2.pdf</t>
  </si>
  <si>
    <t>Melting_Curves/meltCurve_P36405_ARL3.pdf</t>
  </si>
  <si>
    <t>Melting_Curves/meltCurve_P36406_3_TRIM23.pdf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</si>
  <si>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</si>
  <si>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</si>
  <si>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</si>
  <si>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</si>
  <si>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</si>
  <si>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Melting_Curves/meltCurve_P36873_PPP1CC.pdf</t>
  </si>
  <si>
    <t>Melting_Curves/meltCurve_P36915_GNL1.pdf</t>
  </si>
  <si>
    <t>Melting_Curves/meltCurve_P36954_POLR2I.pdf</t>
  </si>
  <si>
    <t>Melting_Curves/meltCurve_P36957_DLST.pdf</t>
  </si>
  <si>
    <t>Melting_Curves/meltCurve_P36959_GMPR.pdf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</si>
  <si>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</si>
  <si>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</si>
  <si>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</si>
  <si>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</si>
  <si>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Melting_Curves/meltCurve_P37802_TAGLN2.pdf</t>
  </si>
  <si>
    <t>Melting_Curves/meltCurve_P37837_TALDO1.pdf</t>
  </si>
  <si>
    <t>Melting_Curves/meltCurve_P37840_2_SNCA.pdf</t>
  </si>
  <si>
    <t>Melting_Curves/meltCurve_P38117_ETFB.pdf</t>
  </si>
  <si>
    <t>Melting_Curves/meltCurve_P38159_RBMX.pdf</t>
  </si>
  <si>
    <t>Melting_Curves/meltCurve_P38398_4_BRCA1.pdf</t>
  </si>
  <si>
    <t>Melting_Curves/meltCurve_P38432_COIL.pdf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</si>
  <si>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</si>
  <si>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</si>
  <si>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</si>
  <si>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</si>
  <si>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</si>
  <si>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</si>
  <si>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</si>
  <si>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</si>
  <si>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</si>
  <si>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</si>
  <si>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</si>
  <si>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Melting_Curves/meltCurve_P40189_3_IL6ST.pdf</t>
  </si>
  <si>
    <t>Melting_Curves/meltCurve_P40222_TXLNA.pdf</t>
  </si>
  <si>
    <t>Melting_Curves/meltCurve_P40227_CCT6A.pdf</t>
  </si>
  <si>
    <t>Melting_Curves/meltCurve_P40306_PSMB10.pdf</t>
  </si>
  <si>
    <t>Melting_Curves/meltCurve_P40337_3_VHL.pdf</t>
  </si>
  <si>
    <t>Melting_Curves/meltCurve_P40425_PBX2.pdf</t>
  </si>
  <si>
    <t>Melting_Curves/meltCurve_P40429_RPL13A.pdf</t>
  </si>
  <si>
    <t>Melting_Curves/meltCurve_P40692_MLH1.pdf</t>
  </si>
  <si>
    <t>Melting_Curves/meltCurve_P40763_STAT3.pdf</t>
  </si>
  <si>
    <t>Melting_Curves/meltCurve_P40763_2_STAT3.pdf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</si>
  <si>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</si>
  <si>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</si>
  <si>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</si>
  <si>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</si>
  <si>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</si>
  <si>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</si>
  <si>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</si>
  <si>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Melting_Curves/meltCurve_P41162_ETV3.pdf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</si>
  <si>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</si>
  <si>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</si>
  <si>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</si>
  <si>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</si>
  <si>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Melting_Curves/meltCurve_P41226_UBA7.pdf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</si>
  <si>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</si>
  <si>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</si>
  <si>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</si>
  <si>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</si>
  <si>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</si>
  <si>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</si>
  <si>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</si>
  <si>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</si>
  <si>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</si>
  <si>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</si>
  <si>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</si>
  <si>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</si>
  <si>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</si>
  <si>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</si>
  <si>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</si>
  <si>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</si>
  <si>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Melting_Curves/meltCurve_P42331_6_ARHGAP25.pdf</t>
  </si>
  <si>
    <t>Melting_Curves/meltCurve_P42336_PIK3CA.pdf</t>
  </si>
  <si>
    <t>Melting_Curves/meltCurve_P42338_PIK3CB.pdf</t>
  </si>
  <si>
    <t>Melting_Curves/meltCurve_P42345_MTOR.pdf</t>
  </si>
  <si>
    <t>Melting_Curves/meltCurve_P42356_PI4KA.pdf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</si>
  <si>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</si>
  <si>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</si>
  <si>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</si>
  <si>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</si>
  <si>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Melting_Curves/meltCurve_P42679_3_MATK.pdf</t>
  </si>
  <si>
    <t>Melting_Curves/meltCurve_P42680_TEC.pdf</t>
  </si>
  <si>
    <t>Melting_Curves/meltCurve_P42684_6_ABL2.pdf</t>
  </si>
  <si>
    <t>Melting_Curves/meltCurve_P42694_HELZ.pdf</t>
  </si>
  <si>
    <t>Melting_Curves/meltCurve_P42695_NCAPD3.pdf</t>
  </si>
  <si>
    <t>Melting_Curves/meltCurve_P42696_2_RBM34.pdf</t>
  </si>
  <si>
    <t>Melting_Curves/meltCurve_P42704_LRPPRC.pdf</t>
  </si>
  <si>
    <t>Melting_Curves/meltCurve_P42765_ACAA2.pdf</t>
  </si>
  <si>
    <t>Melting_Curves/meltCurve_P42768_WAS.pdf</t>
  </si>
  <si>
    <t>Melting_Curves/meltCurve_P42773_CDKN2C.pdf</t>
  </si>
  <si>
    <t>Melting_Curves/meltCurve_P42785_PRCP.pdf</t>
  </si>
  <si>
    <t>Melting_Curves/meltCurve_P42858_HTT.pdf</t>
  </si>
  <si>
    <t>Melting_Curves/meltCurve_P43034_PAFAH1B1.pdf</t>
  </si>
  <si>
    <t>Melting_Curves/meltCurve_P43155_3_CRAT.pdf</t>
  </si>
  <si>
    <t>Melting_Curves/meltCurve_P43246_MSH2.pdf</t>
  </si>
  <si>
    <t>Melting_Curves/meltCurve_P43355_MAGEA1.pdf</t>
  </si>
  <si>
    <t>Melting_Curves/meltCurve_P43356_MAGEA2.pdf</t>
  </si>
  <si>
    <t>Melting_Curves/meltCurve_P43358_MAGEA4.pdf</t>
  </si>
  <si>
    <t>Melting_Curves/meltCurve_P43378_PTPN9.pdf</t>
  </si>
  <si>
    <t>Melting_Curves/meltCurve_P43405_2_SYK.pdf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</si>
  <si>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</si>
  <si>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</si>
  <si>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</si>
  <si>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</si>
  <si>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</si>
  <si>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</si>
  <si>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</si>
  <si>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</si>
  <si>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</si>
  <si>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</si>
  <si>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Melting_Curves/meltCurve_P46013_MKI67.pdf</t>
  </si>
  <si>
    <t>Melting_Curves/meltCurve_P46020_3_PHKA1.pdf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</si>
  <si>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</si>
  <si>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</si>
  <si>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</si>
  <si>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</si>
  <si>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</si>
  <si>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</si>
  <si>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</si>
  <si>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</si>
  <si>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</si>
  <si>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Melting_Curves/meltCurve_P46734_2_MAP2K3.pdf</t>
  </si>
  <si>
    <t>Melting_Curves/meltCurve_P46736_2_BRCC3.pdf</t>
  </si>
  <si>
    <t>Melting_Curves/meltCurve_P46777_RPL5.pdf</t>
  </si>
  <si>
    <t>Melting_Curves/meltCurve_P46779_4_RPL28.pdf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</si>
  <si>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</si>
  <si>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</si>
  <si>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</si>
  <si>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</si>
  <si>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</si>
  <si>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</si>
  <si>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</si>
  <si>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</si>
  <si>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</si>
  <si>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</si>
  <si>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</si>
  <si>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Melting_Curves/meltCurve_P47736_RAP1GAP.pdf</t>
  </si>
  <si>
    <t>Melting_Curves/meltCurve_P47755_CAPZA2.pdf</t>
  </si>
  <si>
    <t>Melting_Curves/meltCurve_P47813_EIF1AX.pdf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</si>
  <si>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</si>
  <si>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</si>
  <si>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</si>
  <si>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</si>
  <si>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Melting_Curves/meltCurve_P48059_LIMS1.pdf</t>
  </si>
  <si>
    <t>Melting_Curves/meltCurve_P48147_PREP.pdf</t>
  </si>
  <si>
    <t>Melting_Curves/meltCurve_P48163_ME1.pdf</t>
  </si>
  <si>
    <t>Melting_Curves/meltCurve_P48200_IREB2.pdf</t>
  </si>
  <si>
    <t>Melting_Curves/meltCurve_P48378_2_RFX2.pdf</t>
  </si>
  <si>
    <t>Melting_Curves/meltCurve_P48382_RFX5.pdf</t>
  </si>
  <si>
    <t>Melting_Curves/meltCurve_P48444_ARCN1.pdf</t>
  </si>
  <si>
    <t>Melting_Curves/meltCurve_P48454_PPP3CC.pdf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</si>
  <si>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</si>
  <si>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</si>
  <si>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</si>
  <si>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</si>
  <si>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</si>
  <si>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Melting_Curves/meltCurve_P48651_PTDSS1.pdf</t>
  </si>
  <si>
    <t>Melting_Curves/meltCurve_P48681_NES.pdf</t>
  </si>
  <si>
    <t>Melting_Curves/meltCurve_P48723_HSPA13.pdf</t>
  </si>
  <si>
    <t>Melting_Curves/meltCurve_P48729_CSNK1A1.pdf</t>
  </si>
  <si>
    <t>Melting_Curves/meltCurve_P48730_CSNK1D.pdf</t>
  </si>
  <si>
    <t>Melting_Curves/meltCurve_P48736_PIK3CG.pdf</t>
  </si>
  <si>
    <t>Melting_Curves/meltCurve_P48739_PITPNB.pdf</t>
  </si>
  <si>
    <t>Melting_Curves/meltCurve_P49005_POLD2.pdf</t>
  </si>
  <si>
    <t>Melting_Curves/meltCurve_P49006_MARCKSL1.pdf</t>
  </si>
  <si>
    <t>Melting_Curves/meltCurve_P49116_NR2C2.pdf</t>
  </si>
  <si>
    <t>Melting_Curves/meltCurve_P49116_2_NR2C2.pdf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</si>
  <si>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</si>
  <si>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</si>
  <si>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</si>
  <si>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</si>
  <si>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</si>
  <si>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</si>
  <si>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</si>
  <si>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</si>
  <si>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</si>
  <si>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</si>
  <si>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</si>
  <si>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Melting_Curves/meltCurve_P49407_ARRB1.pdf</t>
  </si>
  <si>
    <t>Melting_Curves/meltCurve_P49407_2_ARRB1.pdf</t>
  </si>
  <si>
    <t>Melting_Curves/meltCurve_P49411_TUFM.pdf</t>
  </si>
  <si>
    <t>Melting_Curves/meltCurve_P49427_CDC34.pdf</t>
  </si>
  <si>
    <t>Melting_Curves/meltCurve_P49441_INPP1.pdf</t>
  </si>
  <si>
    <t>Melting_Curves/meltCurve_P49448_GLUD2.pdf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</si>
  <si>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</si>
  <si>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</si>
  <si>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</si>
  <si>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</si>
  <si>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</si>
  <si>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</si>
  <si>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</si>
  <si>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Melting_Curves/meltCurve_P49593_PPM1F.pdf</t>
  </si>
  <si>
    <t>Melting_Curves/meltCurve_P49642_PRIM1.pdf</t>
  </si>
  <si>
    <t>Melting_Curves/meltCurve_P49643_PRIM2.pdf</t>
  </si>
  <si>
    <t>Melting_Curves/meltCurve_P49662_2_CASP4.pdf</t>
  </si>
  <si>
    <t>Melting_Curves/meltCurve_P49674_CSNK1E.pdf</t>
  </si>
  <si>
    <t>Melting_Curves/meltCurve_P49711_CTCF.pdf</t>
  </si>
  <si>
    <t>Melting_Curves/meltCurve_P49716_CEBPD.pdf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</si>
  <si>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</si>
  <si>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</si>
  <si>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</si>
  <si>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</si>
  <si>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</si>
  <si>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Melting_Curves/meltCurve_P49755_TMED10.pdf</t>
  </si>
  <si>
    <t>Melting_Curves/meltCurve_P49756_RBM25.pdf</t>
  </si>
  <si>
    <t>Melting_Curves/meltCurve_P49757_3_NUMB.pdf</t>
  </si>
  <si>
    <t>Melting_Curves/meltCurve_P49770_EIF2B2.pdf</t>
  </si>
  <si>
    <t>Melting_Curves/meltCurve_P49773_HINT1.pdf</t>
  </si>
  <si>
    <t>Melting_Curves/meltCurve_P49789_FHIT.pdf</t>
  </si>
  <si>
    <t>Melting_Curves/meltCurve_P49792_RANBP2.pdf</t>
  </si>
  <si>
    <t>Melting_Curves/meltCurve_P49796_4_RGS3.pdf</t>
  </si>
  <si>
    <t>Melting_Curves/meltCurve_P49841_GSK3B.pdf</t>
  </si>
  <si>
    <t>Melting_Curves/meltCurve_P49848_2_TAF6.pdf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</si>
  <si>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</si>
  <si>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</si>
  <si>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</si>
  <si>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</si>
  <si>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</si>
  <si>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Melting_Curves/meltCurve_P49918_2_CDKN1C.pdf</t>
  </si>
  <si>
    <t>Melting_Curves/meltCurve_P49959_MRE11A.pdf</t>
  </si>
  <si>
    <t>Melting_Curves/meltCurve_P50053_KHK.pdf</t>
  </si>
  <si>
    <t>Melting_Curves/meltCurve_P50135_HNMT.pdf</t>
  </si>
  <si>
    <t>Melting_Curves/meltCurve_P50213_IDH3A.pdf</t>
  </si>
  <si>
    <t>Melting_Curves/meltCurve_P50219_MNX1.pdf</t>
  </si>
  <si>
    <t>Melting_Curves/meltCurve_P50224_SULT1A3.pdf</t>
  </si>
  <si>
    <t>Melting_Curves/meltCurve_P50225_SULT1A1.pdf</t>
  </si>
  <si>
    <t>Melting_Curves/meltCurve_P50238_CRIP1.pdf</t>
  </si>
  <si>
    <t>Melting_Curves/meltCurve_P50395_GDI2.pdf</t>
  </si>
  <si>
    <t>Melting_Curves/meltCurve_P50402_EMD.pdf</t>
  </si>
  <si>
    <t>Melting_Curves/meltCurve_P50453_SERPINB9.pdf</t>
  </si>
  <si>
    <t>Melting_Curves/meltCurve_P50454_SERPINH1.pdf</t>
  </si>
  <si>
    <t>Melting_Curves/meltCurve_P50479_PDLIM4.pdf</t>
  </si>
  <si>
    <t>Melting_Curves/meltCurve_P50502_ST13.pdf</t>
  </si>
  <si>
    <t>Melting_Curves/meltCurve_P50542_3_PEX5.pdf</t>
  </si>
  <si>
    <t>Melting_Curves/meltCurve_P50552_VASP.pdf</t>
  </si>
  <si>
    <t>Melting_Curves/meltCurve_P50570_4_DNM2.pdf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</si>
  <si>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</si>
  <si>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</si>
  <si>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</si>
  <si>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</si>
  <si>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</si>
  <si>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Melting_Curves/meltCurve_P50750_CDK9.pdf</t>
  </si>
  <si>
    <t>Melting_Curves/meltCurve_P50851_LRBA.pdf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</si>
  <si>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</si>
  <si>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</si>
  <si>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</si>
  <si>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</si>
  <si>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</si>
  <si>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</si>
  <si>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</si>
  <si>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</si>
  <si>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Melting_Curves/meltCurve_P51157_RAB28.pdf</t>
  </si>
  <si>
    <t>Melting_Curves/meltCurve_P51159_2_RAB27A.pdf</t>
  </si>
  <si>
    <t>Melting_Curves/meltCurve_P51161_FABP6.pdf</t>
  </si>
  <si>
    <t>Melting_Curves/meltCurve_P51178_PLCD1.pdf</t>
  </si>
  <si>
    <t>Melting_Curves/meltCurve_P51452_DUSP3.pdf</t>
  </si>
  <si>
    <t>Melting_Curves/meltCurve_P51511_MMP15.pdf</t>
  </si>
  <si>
    <t>Melting_Curves/meltCurve_P51531_2_SMARCA2.pdf</t>
  </si>
  <si>
    <t>Melting_Curves/meltCurve_P51532_5_SMARCA4.pdf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</si>
  <si>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</si>
  <si>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</si>
  <si>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</si>
  <si>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</si>
  <si>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Melting_Curves/meltCurve_P51587_BRCA2.pdf</t>
  </si>
  <si>
    <t>Melting_Curves/meltCurve_P51606_RENBP.pdf</t>
  </si>
  <si>
    <t>Melting_Curves/meltCurve_P51608_MECP2.pdf</t>
  </si>
  <si>
    <t>Melting_Curves/meltCurve_P51610_HCFC1.pdf</t>
  </si>
  <si>
    <t>Melting_Curves/meltCurve_P51610_4_HCFC1.pdf</t>
  </si>
  <si>
    <t>Melting_Curves/meltCurve_P51617_IRAK1.pdf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</si>
  <si>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</si>
  <si>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</si>
  <si>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</si>
  <si>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</si>
  <si>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</si>
  <si>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Melting_Curves/meltCurve_P51688_SGSH.pdf</t>
  </si>
  <si>
    <t>Melting_Curves/meltCurve_P51692_STAT5B.pdf</t>
  </si>
  <si>
    <t>Melting_Curves/meltCurve_P51809_VAMP7.pdf</t>
  </si>
  <si>
    <t>Melting_Curves/meltCurve_P51825_3_AFF1.pdf</t>
  </si>
  <si>
    <t>Melting_Curves/meltCurve_P51857_2_AKR1D1.pdf</t>
  </si>
  <si>
    <t>Melting_Curves/meltCurve_P51858_HDGF.pdf</t>
  </si>
  <si>
    <t>Melting_Curves/meltCurve_P51946_CCNH.pdf</t>
  </si>
  <si>
    <t>Melting_Curves/meltCurve_P51948_MNAT1.pdf</t>
  </si>
  <si>
    <t>Melting_Curves/meltCurve_P51991_HNRNPA3.pdf</t>
  </si>
  <si>
    <t>Melting_Curves/meltCurve_P52179_2_MYOM1.pdf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</si>
  <si>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</si>
  <si>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</si>
  <si>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</si>
  <si>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</si>
  <si>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</si>
  <si>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Melting_Curves/meltCurve_P52566_ARHGDIB.pdf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</si>
  <si>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</si>
  <si>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</si>
  <si>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</si>
  <si>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</si>
  <si>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</si>
  <si>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</si>
  <si>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</si>
  <si>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</si>
  <si>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Melting_Curves/meltCurve_P52739_2_ZNF131.pdf</t>
  </si>
  <si>
    <t>Melting_Curves/meltCurve_P52747_2_ZNF143.pdf</t>
  </si>
  <si>
    <t>Melting_Curves/meltCurve_P52756_RBM5.pdf</t>
  </si>
  <si>
    <t>Melting_Curves/meltCurve_P52758_HRSP12.pdf</t>
  </si>
  <si>
    <t>Melting_Curves/meltCurve_P52788_SMS.pdf</t>
  </si>
  <si>
    <t>Melting_Curves/meltCurve_P52789_HK2.pdf</t>
  </si>
  <si>
    <t>Melting_Curves/meltCurve_P52815_MRPL12.pdf</t>
  </si>
  <si>
    <t>Melting_Curves/meltCurve_P52824_DGKQ.pdf</t>
  </si>
  <si>
    <t>Melting_Curves/meltCurve_P52888_THOP1.pdf</t>
  </si>
  <si>
    <t>Melting_Curves/meltCurve_P52907_CAPZA1.pdf</t>
  </si>
  <si>
    <t>Melting_Curves/meltCurve_P52948_5_NUP98.pdf</t>
  </si>
  <si>
    <t>Melting_Curves/meltCurve_P53004_BLVRA.pdf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</si>
  <si>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</si>
  <si>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</si>
  <si>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</si>
  <si>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</si>
  <si>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</si>
  <si>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Melting_Curves/meltCurve_P53567_CEBPG.pdf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</si>
  <si>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</si>
  <si>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</si>
  <si>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</si>
  <si>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</si>
  <si>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</si>
  <si>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</si>
  <si>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</si>
  <si>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</si>
  <si>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Melting_Curves/meltCurve_P53675_2_CLTCL1.pdf</t>
  </si>
  <si>
    <t>Melting_Curves/meltCurve_P53677_AP3M2.pdf</t>
  </si>
  <si>
    <t>Melting_Curves/meltCurve_P53680_AP2S1.pdf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</si>
  <si>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</si>
  <si>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</si>
  <si>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</si>
  <si>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</si>
  <si>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Melting_Curves/meltCurve_P53805_RCAN1.pdf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</si>
  <si>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</si>
  <si>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</si>
  <si>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</si>
  <si>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</si>
  <si>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</si>
  <si>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</si>
  <si>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Melting_Curves/meltCurve_P54198_HIRA.pdf</t>
  </si>
  <si>
    <t>Melting_Curves/meltCurve_P54259_ATN1.pdf</t>
  </si>
  <si>
    <t>Melting_Curves/meltCurve_P54274_2_TERF1.pdf</t>
  </si>
  <si>
    <t>Melting_Curves/meltCurve_P54277_3_PMS1.pdf</t>
  </si>
  <si>
    <t>Melting_Curves/meltCurve_P54278_PMS2.pdf</t>
  </si>
  <si>
    <t>Melting_Curves/meltCurve_P54577_YARS.pdf</t>
  </si>
  <si>
    <t>Melting_Curves/meltCurve_P54578_USP14.pdf</t>
  </si>
  <si>
    <t>Melting_Curves/meltCurve_P54619_2_PRKAG1.pdf</t>
  </si>
  <si>
    <t>Melting_Curves/meltCurve_P54687_4_BCAT1.pdf</t>
  </si>
  <si>
    <t>Melting_Curves/meltCurve_P54727_RAD23B.pdf</t>
  </si>
  <si>
    <t>Melting_Curves/meltCurve_P54802_NAGLU.pdf</t>
  </si>
  <si>
    <t>Melting_Curves/meltCurve_P54886_2_ALDH18A1.pdf</t>
  </si>
  <si>
    <t>Melting_Curves/meltCurve_P54920_NAPA.pdf</t>
  </si>
  <si>
    <t>Melting_Curves/meltCurve_P54922_ADPRH.pdf</t>
  </si>
  <si>
    <t>Melting_Curves/meltCurve_P55008_AIF1.pdf</t>
  </si>
  <si>
    <t>Melting_Curves/meltCurve_P55010_EIF5.pdf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</si>
  <si>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</si>
  <si>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</si>
  <si>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</si>
  <si>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</si>
  <si>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</si>
  <si>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Melting_Curves/meltCurve_P55145_MANF.pdf</t>
  </si>
  <si>
    <t>Melting_Curves/meltCurve_P55160_NCKAP1L.pdf</t>
  </si>
  <si>
    <t>Melting_Curves/meltCurve_P55196_3_MLLT4.pdf</t>
  </si>
  <si>
    <t>Melting_Curves/meltCurve_P55198_MLLT6.pdf</t>
  </si>
  <si>
    <t>Melting_Curves/meltCurve_P55199_ELL.pdf</t>
  </si>
  <si>
    <t>Melting_Curves/meltCurve_P55211_CASP9.pdf</t>
  </si>
  <si>
    <t>Melting_Curves/meltCurve_P55212_CASP6.pdf</t>
  </si>
  <si>
    <t>Melting_Curves/meltCurve_P55263_ADK.pdf</t>
  </si>
  <si>
    <t>Melting_Curves/meltCurve_P55265_5_ADAR.pdf</t>
  </si>
  <si>
    <t>Melting_Curves/meltCurve_P55327_2_TPD52.pdf</t>
  </si>
  <si>
    <t>Melting_Curves/meltCurve_P55345_PRMT2.pdf</t>
  </si>
  <si>
    <t>Melting_Curves/meltCurve_P55347_2_PKNOX1.pdf</t>
  </si>
  <si>
    <t>Melting_Curves/meltCurve_P55735_SEC13.pdf</t>
  </si>
  <si>
    <t>Melting_Curves/meltCurve_P55769_NHP2L1.pdf</t>
  </si>
  <si>
    <t>Melting_Curves/meltCurve_P55771_PAX9.pdf</t>
  </si>
  <si>
    <t>Melting_Curves/meltCurve_P55789_GFER.pdf</t>
  </si>
  <si>
    <t>Melting_Curves/meltCurve_P55795_HNRNPH2.pdf</t>
  </si>
  <si>
    <t>Melting_Curves/meltCurve_P55854_SUMO3.pdf</t>
  </si>
  <si>
    <t>Melting_Curves/meltCurve_P55884_EIF3B.pdf</t>
  </si>
  <si>
    <t>Melting_Curves/meltCurve_P55957_BID.pdf</t>
  </si>
  <si>
    <t>Melting_Curves/meltCurve_P56181_2_NDUFV3.pdf</t>
  </si>
  <si>
    <t>Melting_Curves/meltCurve_P56182_RRP1.pdf</t>
  </si>
  <si>
    <t>Melting_Curves/meltCurve_P56192_MARS.pdf</t>
  </si>
  <si>
    <t>Melting_Curves/meltCurve_P56211_ARPP19.pdf</t>
  </si>
  <si>
    <t>Melting_Curves/meltCurve_P56277_CMC4.pdf</t>
  </si>
  <si>
    <t>Melting_Curves/meltCurve_P56282_3_POLE2.pdf</t>
  </si>
  <si>
    <t>Melting_Curves/meltCurve_P56377_AP1S2.pdf</t>
  </si>
  <si>
    <t>Melting_Curves/meltCurve_P56524_HDAC4.pdf</t>
  </si>
  <si>
    <t>Melting_Curves/meltCurve_P56537_EIF6.pdf</t>
  </si>
  <si>
    <t>Melting_Curves/meltCurve_P56597_NME5.pdf</t>
  </si>
  <si>
    <t>Melting_Curves/meltCurve_P56645_PER3.pdf</t>
  </si>
  <si>
    <t>Melting_Curves/meltCurve_P56945_5_BCAR1.pdf</t>
  </si>
  <si>
    <t>Melting_Curves/meltCurve_P57060_RWDD2B.pdf</t>
  </si>
  <si>
    <t>Melting_Curves/meltCurve_P57075_3_UBASH3A.pdf</t>
  </si>
  <si>
    <t>Melting_Curves/meltCurve_P57076_C21orf59.pdf</t>
  </si>
  <si>
    <t>Melting_Curves/meltCurve_P57081_WDR4.pdf</t>
  </si>
  <si>
    <t>Melting_Curves/meltCurve_P57088_TMEM33.pdf</t>
  </si>
  <si>
    <t>Melting_Curves/meltCurve_P57105_SYNJ2BP.pdf</t>
  </si>
  <si>
    <t>Melting_Curves/meltCurve_P57682_KLF3.pdf</t>
  </si>
  <si>
    <t>Melting_Curves/meltCurve_P57737_3_CORO7.pdf</t>
  </si>
  <si>
    <t>Melting_Curves/meltCurve_P57740_NUP107.pdf</t>
  </si>
  <si>
    <t>Melting_Curves/meltCurve_P57764_GSDMD.pdf</t>
  </si>
  <si>
    <t>Melting_Curves/meltCurve_P57768_SNX16.pdf</t>
  </si>
  <si>
    <t>Melting_Curves/meltCurve_P57772_EEFSEC.pdf</t>
  </si>
  <si>
    <t>Melting_Curves/meltCurve_P58004_SESN2.pdf</t>
  </si>
  <si>
    <t>Melting_Curves/meltCurve_P58107_EPPK1.pdf</t>
  </si>
  <si>
    <t>Melting_Curves/meltCurve_P58335_2_ANTXR2.pdf</t>
  </si>
  <si>
    <t>Melting_Curves/meltCurve_P58546_MTPN.pdf</t>
  </si>
  <si>
    <t>Melting_Curves/meltCurve_P59780_AP3S2.pdf</t>
  </si>
  <si>
    <t>Melting_Curves/meltCurve_P59817_ZNF280A.pdf</t>
  </si>
  <si>
    <t>Melting_Curves/meltCurve_P59923_ZNF445.pdf</t>
  </si>
  <si>
    <t>Melting_Curves/meltCurve_P59998_ARPC4.pdf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</si>
  <si>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</si>
  <si>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</si>
  <si>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</si>
  <si>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</si>
  <si>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</si>
  <si>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Melting_Curves/meltCurve_P60604_2_UBE2G2.pdf</t>
  </si>
  <si>
    <t>Melting_Curves/meltCurve_P60660_2_MYL6.pdf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</si>
  <si>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</si>
  <si>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</si>
  <si>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</si>
  <si>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</si>
  <si>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Melting_Curves/meltCurve_P60900_PSMA6.pdf</t>
  </si>
  <si>
    <t>Melting_Curves/meltCurve_P60953_CDC42.pdf</t>
  </si>
  <si>
    <t>Melting_Curves/meltCurve_P60953_1_CDC42.pdf</t>
  </si>
  <si>
    <t>Melting_Curves/meltCurve_P60981_2_DSTN.pdf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</si>
  <si>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</si>
  <si>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</si>
  <si>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</si>
  <si>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</si>
  <si>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</si>
  <si>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</si>
  <si>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</si>
  <si>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</si>
  <si>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</si>
  <si>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</si>
  <si>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</si>
  <si>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</si>
  <si>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</si>
  <si>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</si>
  <si>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</si>
  <si>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</si>
  <si>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</si>
  <si>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</si>
  <si>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</si>
  <si>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</si>
  <si>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</si>
  <si>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</si>
  <si>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</si>
  <si>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</si>
  <si>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</si>
  <si>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</si>
  <si>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</si>
  <si>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</si>
  <si>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Melting_Curves/meltCurve_P61586_RHOA.pdf</t>
  </si>
  <si>
    <t>Melting_Curves/meltCurve_P61599_NAA20.pdf</t>
  </si>
  <si>
    <t>Melting_Curves/meltCurve_P61604_HSPE1.pdf</t>
  </si>
  <si>
    <t>Melting_Curves/meltCurve_P61619_SEC61A1.pdf</t>
  </si>
  <si>
    <t>Melting_Curves/meltCurve_P61626_LYZ.pdf</t>
  </si>
  <si>
    <t>Melting_Curves/meltCurve_P61758_VBP1.pdf</t>
  </si>
  <si>
    <t>Melting_Curves/meltCurve_P61764_STXBP1.pdf</t>
  </si>
  <si>
    <t>Melting_Curves/meltCurve_P61923_COPZ1.pdf</t>
  </si>
  <si>
    <t>Melting_Curves/meltCurve_P61956_2_SUMO2.pdf</t>
  </si>
  <si>
    <t>Melting_Curves/meltCurve_P61960_UFM1.pdf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</si>
  <si>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</si>
  <si>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</si>
  <si>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</si>
  <si>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</si>
  <si>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</si>
  <si>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</si>
  <si>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</si>
  <si>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</si>
  <si>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</si>
  <si>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</si>
  <si>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</si>
  <si>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Melting_Curves/meltCurve_P62158_CALM1.pdf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</si>
  <si>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</si>
  <si>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</si>
  <si>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</si>
  <si>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</si>
  <si>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</si>
  <si>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</si>
  <si>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Melting_Curves/meltCurve_P62256_UBE2H.pdf</t>
  </si>
  <si>
    <t>Melting_Curves/meltCurve_P62258_YWHAE.pdf</t>
  </si>
  <si>
    <t>Melting_Curves/meltCurve_P62263_RPS14.pdf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</si>
  <si>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</si>
  <si>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</si>
  <si>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</si>
  <si>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</si>
  <si>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</si>
  <si>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</si>
  <si>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</si>
  <si>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</si>
  <si>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</si>
  <si>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</si>
  <si>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</si>
  <si>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</si>
  <si>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</si>
  <si>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</si>
  <si>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</si>
  <si>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</si>
  <si>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</si>
  <si>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</si>
  <si>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</si>
  <si>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</si>
  <si>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Melting_Curves/meltCurve_P62633_4_CNBP.pdf</t>
  </si>
  <si>
    <t>Melting_Curves/meltCurve_P62633_5_CNBP.pdf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</si>
  <si>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</si>
  <si>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</si>
  <si>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</si>
  <si>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</si>
  <si>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</si>
  <si>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</si>
  <si>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</si>
  <si>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Melting_Curves/meltCurve_P62826_RAN.pdf</t>
  </si>
  <si>
    <t>Melting_Curves/meltCurve_P62829_RPL23.pdf</t>
  </si>
  <si>
    <t>Melting_Curves/meltCurve_P62834_RAP1A.pdf</t>
  </si>
  <si>
    <t>Melting_Curves/meltCurve_P62837_UBE2D2.pdf</t>
  </si>
  <si>
    <t>Melting_Curves/meltCurve_P62847_2_RPS24.pdf</t>
  </si>
  <si>
    <t>Melting_Curves/meltCurve_P62851_RPS25.pdf</t>
  </si>
  <si>
    <t>Melting_Curves/meltCurve_P62854_RPS26.pdf</t>
  </si>
  <si>
    <t>Melting_Curves/meltCurve_P62857_RPS28.pdf</t>
  </si>
  <si>
    <t>Melting_Curves/meltCurve_P62861_FAU.pdf</t>
  </si>
  <si>
    <t>Melting_Curves/meltCurve_P62873_GNB1.pdf</t>
  </si>
  <si>
    <t>Melting_Curves/meltCurve_P62877_RBX1.pdf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</si>
  <si>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</si>
  <si>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</si>
  <si>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</si>
  <si>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</si>
  <si>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</si>
  <si>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</si>
  <si>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</si>
  <si>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</si>
  <si>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Melting_Curves/meltCurve_P63104_YWHAZ.pdf</t>
  </si>
  <si>
    <t>Melting_Curves/meltCurve_P63151_PPP2R2A.pdf</t>
  </si>
  <si>
    <t>Melting_Curves/meltCurve_P63165_SUMO1.pdf</t>
  </si>
  <si>
    <t>Melting_Curves/meltCurve_P63167_DYNLL1.pdf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</si>
  <si>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</si>
  <si>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</si>
  <si>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</si>
  <si>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</si>
  <si>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Melting_Curves/meltCurve_P63279_UBE2I.pdf</t>
  </si>
  <si>
    <t>Melting_Curves/meltCurve_P63302_SEPW1.pdf</t>
  </si>
  <si>
    <t>Melting_Curves/meltCurve_P63313_TMSB10.pdf</t>
  </si>
  <si>
    <t>Melting_Curves/meltCurve_P67775_PPP2CA.pdf</t>
  </si>
  <si>
    <t>Melting_Curves/meltCurve_P67809_YBX1.pdf</t>
  </si>
  <si>
    <t>Melting_Curves/meltCurve_P67870_CSNK2B.pdf</t>
  </si>
  <si>
    <t>Melting_Curves/meltCurve_P67936_TPM4.pdf</t>
  </si>
  <si>
    <t>Melting_Curves/meltCurve_P68032_ACTC1.pdf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</si>
  <si>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</si>
  <si>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</si>
  <si>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</si>
  <si>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</si>
  <si>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</si>
  <si>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</si>
  <si>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Melting_Curves/meltCurve_P69891_HBG1.pdf</t>
  </si>
  <si>
    <t>Melting_Curves/meltCurve_P69892_HBG2.pdf</t>
  </si>
  <si>
    <t>Melting_Curves/meltCurve_P69905_HBA1.pdf</t>
  </si>
  <si>
    <t>Melting_Curves/meltCurve_P78312_6_FAM193A.pdf</t>
  </si>
  <si>
    <t>Melting_Curves/meltCurve_P78314_SH3BP2.pdf</t>
  </si>
  <si>
    <t>Melting_Curves/meltCurve_P78318_IGBP1.pdf</t>
  </si>
  <si>
    <t>Melting_Curves/meltCurve_P78330_PSPH.pdf</t>
  </si>
  <si>
    <t>Melting_Curves/meltCurve_P78332_RBM6.pdf</t>
  </si>
  <si>
    <t>Melting_Curves/meltCurve_P78337_PITX1.pdf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</si>
  <si>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</si>
  <si>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</si>
  <si>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</si>
  <si>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</si>
  <si>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Melting_Curves/meltCurve_P78364_PHC1.pdf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</si>
  <si>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</si>
  <si>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</si>
  <si>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</si>
  <si>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</si>
  <si>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Melting_Curves/meltCurve_P78536_ADAM17.pdf</t>
  </si>
  <si>
    <t>Melting_Curves/meltCurve_P78537_BLOC1S1.pdf</t>
  </si>
  <si>
    <t>Melting_Curves/meltCurve_P78549_NTHL1.pdf</t>
  </si>
  <si>
    <t>Melting_Curves/meltCurve_P78559_MAP1A.pdf</t>
  </si>
  <si>
    <t>Melting_Curves/meltCurve_P78560_CRADD.pdf</t>
  </si>
  <si>
    <t>Melting_Curves/meltCurve_P80217_IFI35.pdf</t>
  </si>
  <si>
    <t>Melting_Curves/meltCurve_P80297_MT1X.pdf</t>
  </si>
  <si>
    <t>Melting_Curves/meltCurve_P80303_2_NUCB2.pdf</t>
  </si>
  <si>
    <t>Melting_Curves/meltCurve_P81605_DCD.pdf</t>
  </si>
  <si>
    <t>Melting_Curves/meltCurve_P81877_4_SSBP2.pdf</t>
  </si>
  <si>
    <t>Melting_Curves/meltCurve_P82094_TMF1.pdf</t>
  </si>
  <si>
    <t>Melting_Curves/meltCurve_P82673_MRPS35.pdf</t>
  </si>
  <si>
    <t>Melting_Curves/meltCurve_P82909_MRPS36.pdf</t>
  </si>
  <si>
    <t>Melting_Curves/meltCurve_P82930_MRPS34.pdf</t>
  </si>
  <si>
    <t>Melting_Curves/meltCurve_P82933_MRPS9.pdf</t>
  </si>
  <si>
    <t>Melting_Curves/meltCurve_P82970_HMGN5.pdf</t>
  </si>
  <si>
    <t>Melting_Curves/meltCurve_P82979_SARNP.pdf</t>
  </si>
  <si>
    <t>Melting_Curves/meltCurve_P82980_RBP5.pdf</t>
  </si>
  <si>
    <t>Melting_Curves/meltCurve_P83369_LSM11.pdf</t>
  </si>
  <si>
    <t>Melting_Curves/meltCurve_P83436_COG7.pdf</t>
  </si>
  <si>
    <t>Melting_Curves/meltCurve_P83881_RPL36A.pdf</t>
  </si>
  <si>
    <t>Melting_Curves/meltCurve_P83916_CBX1.pdf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</si>
  <si>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</si>
  <si>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</si>
  <si>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</si>
  <si>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</si>
  <si>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</si>
  <si>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</si>
  <si>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Melting_Curves/meltCurve_P85037_FOXK1.pdf</t>
  </si>
  <si>
    <t>Melting_Curves/meltCurve_P85299_2_PRR5.pdf</t>
  </si>
  <si>
    <t>Melting_Curves/meltCurve_P86791_CCZ1.pdf</t>
  </si>
  <si>
    <t>Melting_Curves/meltCurve_P98082_3_DAB2.pdf</t>
  </si>
  <si>
    <t>Melting_Curves/meltCurve_P98170_XIAP.pdf</t>
  </si>
  <si>
    <t>Melting_Curves/meltCurve_P98174_FGD1.pdf</t>
  </si>
  <si>
    <t>Melting_Curves/meltCurve_P98175_2_RBM10.pdf</t>
  </si>
  <si>
    <t>Melting_Curves/meltCurve_P98177_FOXO4.pdf</t>
  </si>
  <si>
    <t>Melting_Curves/meltCurve_P98179_RBM3.pdf</t>
  </si>
  <si>
    <t>Melting_Curves/meltCurve_Q00013_MPP1.pdf</t>
  </si>
  <si>
    <t>Melting_Curves/meltCurve_Q00059_TFAM.pdf</t>
  </si>
  <si>
    <t>Melting_Curves/meltCurve_Q00169_PITPNA.pdf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</si>
  <si>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</si>
  <si>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</si>
  <si>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</si>
  <si>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</si>
  <si>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</si>
  <si>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</si>
  <si>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</si>
  <si>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</si>
  <si>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</si>
  <si>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Melting_Curves/meltCurve_Q00613_2_HSF1.pdf</t>
  </si>
  <si>
    <t>Melting_Curves/meltCurve_Q00653_4_NFKB2.pdf</t>
  </si>
  <si>
    <t>Melting_Curves/meltCurve_Q00688_FKBP3.pdf</t>
  </si>
  <si>
    <t>Melting_Curves/meltCurve_Q00796_SORD.pdf</t>
  </si>
  <si>
    <t>Melting_Curves/meltCurve_Q00839_HNRNPU.pdf</t>
  </si>
  <si>
    <t>Melting_Curves/meltCurve_Q00839_2_HNRNPU.pdf</t>
  </si>
  <si>
    <t>Melting_Curves/meltCurve_Q00978_IRF9.pdf</t>
  </si>
  <si>
    <t>Melting_Curves/meltCurve_Q01081_U2AF1.pdf</t>
  </si>
  <si>
    <t>Melting_Curves/meltCurve_Q01082_SPTBN1.pdf</t>
  </si>
  <si>
    <t>Melting_Curves/meltCurve_Q01082_3_SPTBN1.pdf</t>
  </si>
  <si>
    <t>Melting_Curves/meltCurve_Q01085_TIAL1.pdf</t>
  </si>
  <si>
    <t>Melting_Curves/meltCurve_Q01085_2_TIAL1.pdf</t>
  </si>
  <si>
    <t>Melting_Curves/meltCurve_Q01105_2_SET.pdf</t>
  </si>
  <si>
    <t>Melting_Curves/meltCurve_Q01130_SRSF2.pdf</t>
  </si>
  <si>
    <t>Melting_Curves/meltCurve_Q01167_FOXK2.pdf</t>
  </si>
  <si>
    <t>Melting_Curves/meltCurve_Q01196_RUNX1.pdf</t>
  </si>
  <si>
    <t>Melting_Curves/meltCurve_Q01432_AMPD3.pdf</t>
  </si>
  <si>
    <t>Melting_Curves/meltCurve_Q01433_2_AMPD2.pdf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</si>
  <si>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</si>
  <si>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</si>
  <si>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</si>
  <si>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</si>
  <si>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</si>
  <si>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</si>
  <si>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</si>
  <si>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</si>
  <si>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Melting_Curves/meltCurve_Q01804_OTUD4.pdf</t>
  </si>
  <si>
    <t>Melting_Curves/meltCurve_Q01813_PFKP.pdf</t>
  </si>
  <si>
    <t>Melting_Curves/meltCurve_Q01831_2_XPC.pdf</t>
  </si>
  <si>
    <t>Melting_Curves/meltCurve_Q01844_6_EWSR1.pdf</t>
  </si>
  <si>
    <t>Melting_Curves/meltCurve_Q01850_CDR2.pdf</t>
  </si>
  <si>
    <t>Melting_Curves/meltCurve_Q01968_2_OCRL.pdf</t>
  </si>
  <si>
    <t>Melting_Curves/meltCurve_Q01970_PLCB3.pdf</t>
  </si>
  <si>
    <t>Melting_Curves/meltCurve_Q02040_AKAP17A.pdf</t>
  </si>
  <si>
    <t>Melting_Curves/meltCurve_Q02086_2_SP2.pdf</t>
  </si>
  <si>
    <t>Melting_Curves/meltCurve_Q02156_PRKCE.pdf</t>
  </si>
  <si>
    <t>Melting_Curves/meltCurve_Q02224_CENPE.pdf</t>
  </si>
  <si>
    <t>Melting_Curves/meltCurve_Q02241_2_KIF23.pdf</t>
  </si>
  <si>
    <t>Melting_Curves/meltCurve_Q02446_SP4.pdf</t>
  </si>
  <si>
    <t>Melting_Curves/meltCurve_Q02447_4_SP3.pdf</t>
  </si>
  <si>
    <t>Melting_Curves/meltCurve_Q02543_RPL18A.pdf</t>
  </si>
  <si>
    <t>Melting_Curves/meltCurve_Q02641_2_CACNB1.pdf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</si>
  <si>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</si>
  <si>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</si>
  <si>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</si>
  <si>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</si>
  <si>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</si>
  <si>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Melting_Curves/meltCurve_Q02878_RPL6.pdf</t>
  </si>
  <si>
    <t>Melting_Curves/meltCurve_Q02880_2_TOP2B.pdf</t>
  </si>
  <si>
    <t>Melting_Curves/meltCurve_Q02952_3_AKAP12.pdf</t>
  </si>
  <si>
    <t>Melting_Curves/meltCurve_Q03001_DST.pdf</t>
  </si>
  <si>
    <t>Melting_Curves/meltCurve_Q03014_HHEX.pdf</t>
  </si>
  <si>
    <t>Melting_Curves/meltCurve_Q03060_25_CREM.pdf</t>
  </si>
  <si>
    <t>Melting_Curves/meltCurve_Q03111_MLLT1.pdf</t>
  </si>
  <si>
    <t>Melting_Curves/meltCurve_Q03154_ACY1.pdf</t>
  </si>
  <si>
    <t>Melting_Curves/meltCurve_Q03164_2_MLL.pdf</t>
  </si>
  <si>
    <t>Melting_Curves/meltCurve_Q03169_TNFAIP2.pdf</t>
  </si>
  <si>
    <t>Melting_Curves/meltCurve_Q03188_CENPC1.pdf</t>
  </si>
  <si>
    <t>Melting_Curves/meltCurve_Q03252_LMNB2.pdf</t>
  </si>
  <si>
    <t>Melting_Curves/meltCurve_Q03468_ERCC6.pdf</t>
  </si>
  <si>
    <t>Melting_Curves/meltCurve_Q03701_CEBPZ.pdf</t>
  </si>
  <si>
    <t>Melting_Curves/meltCurve_Q03933_2_HSF2.pdf</t>
  </si>
  <si>
    <t>Melting_Curves/meltCurve_Q04446_GBE1.pdf</t>
  </si>
  <si>
    <t>Melting_Curves/meltCurve_Q04637_5_EIF4G1.pdf</t>
  </si>
  <si>
    <t>Melting_Curves/meltCurve_Q04656_5_ATP7A.pdf</t>
  </si>
  <si>
    <t>Melting_Curves/meltCurve_Q04725_TLE2.pdf</t>
  </si>
  <si>
    <t>Melting_Curves/meltCurve_Q04759_PRKCQ.pdf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</si>
  <si>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</si>
  <si>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</si>
  <si>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</si>
  <si>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</si>
  <si>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Melting_Curves/meltCurve_Q05048_CSTF1.pdf</t>
  </si>
  <si>
    <t>Melting_Curves/meltCurve_Q05086_3_UBE3A.pdf</t>
  </si>
  <si>
    <t>Melting_Curves/meltCurve_Q05193_DNM1.pdf</t>
  </si>
  <si>
    <t>Melting_Curves/meltCurve_Q05209_PTPN12.pdf</t>
  </si>
  <si>
    <t>Melting_Curves/meltCurve_Q05513_PRKCZ.pdf</t>
  </si>
  <si>
    <t>Melting_Curves/meltCurve_Q05519_2_SRSF11.pdf</t>
  </si>
  <si>
    <t>Melting_Curves/meltCurve_Q05639_EEF1A2.pdf</t>
  </si>
  <si>
    <t>Melting_Curves/meltCurve_Q05655_PRKCD.pdf</t>
  </si>
  <si>
    <t>Melting_Curves/meltCurve_Q05682_5_CALD1.pdf</t>
  </si>
  <si>
    <t>Melting_Curves/meltCurve_Q05823_RNASEL.pdf</t>
  </si>
  <si>
    <t>Melting_Curves/meltCurve_Q05BQ5_MBTD1.pdf</t>
  </si>
  <si>
    <t>Melting_Curves/meltCurve_Q05D32_2_CTDSPL2.pdf</t>
  </si>
  <si>
    <t>Melting_Curves/meltCurve_Q05DA6_ZNF394.pdf</t>
  </si>
  <si>
    <t>Melting_Curves/meltCurve_Q06124_2_PTPN11.pdf</t>
  </si>
  <si>
    <t>Melting_Curves/meltCurve_Q06187_BTK.pdf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</si>
  <si>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</si>
  <si>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</si>
  <si>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</si>
  <si>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</si>
  <si>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</si>
  <si>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Melting_Curves/meltCurve_Q06481_5_APLP2.pdf</t>
  </si>
  <si>
    <t>Melting_Curves/meltCurve_Q06546_GABPA.pdf</t>
  </si>
  <si>
    <t>Melting_Curves/meltCurve_Q06587_RING1.pdf</t>
  </si>
  <si>
    <t>Melting_Curves/meltCurve_Q06609_3_RAD51.pdf</t>
  </si>
  <si>
    <t>Melting_Curves/meltCurve_Q06830_PRDX1.pdf</t>
  </si>
  <si>
    <t>Melting_Curves/meltCurve_Q07021_C1QBP.pdf</t>
  </si>
  <si>
    <t>Melting_Curves/meltCurve_Q07157_TJP1.pdf</t>
  </si>
  <si>
    <t>Melting_Curves/meltCurve_Q07157_2_TJP1.pdf</t>
  </si>
  <si>
    <t>Melting_Curves/meltCurve_Q07666_KHDRBS1.pdf</t>
  </si>
  <si>
    <t>Melting_Curves/meltCurve_Q07812_5_BAX.pdf</t>
  </si>
  <si>
    <t>Melting_Curves/meltCurve_Q07864_POLE.pdf</t>
  </si>
  <si>
    <t>Melting_Curves/meltCurve_Q07866_3_KLC1.pdf</t>
  </si>
  <si>
    <t>Melting_Curves/meltCurve_Q07866_6_KLC1.pdf</t>
  </si>
  <si>
    <t>Melting_Curves/meltCurve_Q07912_TNK2.pdf</t>
  </si>
  <si>
    <t>Melting_Curves/meltCurve_Q07955_SRSF1.pdf</t>
  </si>
  <si>
    <t>Melting_Curves/meltCurve_Q07960_ARHGAP1.pdf</t>
  </si>
  <si>
    <t>Melting_Curves/meltCurve_Q08117_AES.pdf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</si>
  <si>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</si>
  <si>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</si>
  <si>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</si>
  <si>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</si>
  <si>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Melting_Curves/meltCurve_Q08378_GOLGA3.pdf</t>
  </si>
  <si>
    <t>Melting_Curves/meltCurve_Q08379_GOLGA2.pdf</t>
  </si>
  <si>
    <t>Melting_Curves/meltCurve_Q08380_LGALS3BP.pdf</t>
  </si>
  <si>
    <t>Melting_Curves/meltCurve_Q08495_EPB49.pdf</t>
  </si>
  <si>
    <t>Melting_Curves/meltCurve_Q08623_HDHD1.pdf</t>
  </si>
  <si>
    <t>Melting_Curves/meltCurve_Q08752_PPID.pdf</t>
  </si>
  <si>
    <t>Melting_Curves/meltCurve_Q08945_SSRP1.pdf</t>
  </si>
  <si>
    <t>Melting_Curves/meltCurve_Q08AD1_2_CAMSAP2.pdf</t>
  </si>
  <si>
    <t>Melting_Curves/meltCurve_Q08AE8_2_SPIRE1.pdf</t>
  </si>
  <si>
    <t>Melting_Curves/meltCurve_Q08AG7_MZT1.pdf</t>
  </si>
  <si>
    <t>Melting_Curves/meltCurve_Q08AM6_VAC14.pdf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</si>
  <si>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</si>
  <si>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</si>
  <si>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</si>
  <si>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</si>
  <si>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</si>
  <si>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Melting_Curves/meltCurve_Q0JRZ9_FCHO2.pdf</t>
  </si>
  <si>
    <t>Melting_Curves/meltCurve_Q0PNE2_ELP6.pdf</t>
  </si>
  <si>
    <t>Melting_Curves/meltCurve_Q0VD83_APOBR.pdf</t>
  </si>
  <si>
    <t>Melting_Curves/meltCurve_Q0VDF9_HSPA14.pdf</t>
  </si>
  <si>
    <t>Melting_Curves/meltCurve_Q0VDG4_SCRN3.pdf</t>
  </si>
  <si>
    <t>Melting_Curves/meltCurve_Q0VG06_FAAP100.pdf</t>
  </si>
  <si>
    <t>Melting_Curves/meltCurve_Q0VGL1_LAMTOR4.pdf</t>
  </si>
  <si>
    <t>Melting_Curves/meltCurve_Q10469_MGAT2.pdf</t>
  </si>
  <si>
    <t>Melting_Curves/meltCurve_Q10567_2_AP1B1.pdf</t>
  </si>
  <si>
    <t>Melting_Curves/meltCurve_Q10567_3_AP1B1.pdf</t>
  </si>
  <si>
    <t>Melting_Curves/meltCurve_Q10570_CPSF1.pdf</t>
  </si>
  <si>
    <t>Melting_Curves/meltCurve_Q10713_PMPCA.pdf</t>
  </si>
  <si>
    <t>Melting_Curves/meltCurve_Q12756_KIF1A.pdf</t>
  </si>
  <si>
    <t>Melting_Curves/meltCurve_Q12766_2_HMGXB3.pdf</t>
  </si>
  <si>
    <t>Melting_Curves/meltCurve_Q12768_KIAA0196.pdf</t>
  </si>
  <si>
    <t>Melting_Curves/meltCurve_Q12769_NUP160.pdf</t>
  </si>
  <si>
    <t>Melting_Curves/meltCurve_Q12788_TBL3.pdf</t>
  </si>
  <si>
    <t>Melting_Curves/meltCurve_Q12789_GTF3C1.pdf</t>
  </si>
  <si>
    <t>Melting_Curves/meltCurve_Q12792_TWF1.pdf</t>
  </si>
  <si>
    <t>Melting_Curves/meltCurve_Q12797_10_ASPH.pdf</t>
  </si>
  <si>
    <t>Melting_Curves/meltCurve_Q12800_2_TFCP2.pdf</t>
  </si>
  <si>
    <t>Melting_Curves/meltCurve_Q12802_AKAP13.pdf</t>
  </si>
  <si>
    <t>Melting_Curves/meltCurve_Q12809_2_KCNH2.pdf</t>
  </si>
  <si>
    <t>Melting_Curves/meltCurve_Q12824_2_SMARCB1.pdf</t>
  </si>
  <si>
    <t>Melting_Curves/meltCurve_Q12830_2_BPTF.pdf</t>
  </si>
  <si>
    <t>Melting_Curves/meltCurve_Q12834_CDC20.pdf</t>
  </si>
  <si>
    <t>Melting_Curves/meltCurve_Q12840_KIF5A.pdf</t>
  </si>
  <si>
    <t>Melting_Curves/meltCurve_Q12849_GRSF1.pdf</t>
  </si>
  <si>
    <t>Melting_Curves/meltCurve_Q12872_SFSWAP.pdf</t>
  </si>
  <si>
    <t>Melting_Curves/meltCurve_Q12873_CHD3.pdf</t>
  </si>
  <si>
    <t>Melting_Curves/meltCurve_Q12874_SF3A3.pdf</t>
  </si>
  <si>
    <t>Melting_Curves/meltCurve_Q12888_TP53BP1.pdf</t>
  </si>
  <si>
    <t>Melting_Curves/meltCurve_Q12904_AIMP1.pdf</t>
  </si>
  <si>
    <t>Melting_Curves/meltCurve_Q12905_ILF2.pdf</t>
  </si>
  <si>
    <t>Melting_Curves/meltCurve_Q12906_7_ILF3.pdf</t>
  </si>
  <si>
    <t>Melting_Curves/meltCurve_Q12907_LMAN2.pdf</t>
  </si>
  <si>
    <t>Melting_Curves/meltCurve_Q12912_2_LRMP.pdf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</si>
  <si>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</si>
  <si>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</si>
  <si>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</si>
  <si>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</si>
  <si>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Melting_Curves/meltCurve_Q12968_NFATC3.pdf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</si>
  <si>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</si>
  <si>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</si>
  <si>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</si>
  <si>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</si>
  <si>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Melting_Curves/meltCurve_Q12982_BNIP2.pdf</t>
  </si>
  <si>
    <t>Melting_Curves/meltCurve_Q12986_2_NFX1.pdf</t>
  </si>
  <si>
    <t>Melting_Curves/meltCurve_Q12996_CSTF3.pdf</t>
  </si>
  <si>
    <t>Melting_Curves/meltCurve_Q13011_ECH1.pdf</t>
  </si>
  <si>
    <t>Melting_Curves/meltCurve_Q13017_2_ARHGAP5.pdf</t>
  </si>
  <si>
    <t>Melting_Curves/meltCurve_Q13033_STRN3.pdf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</si>
  <si>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</si>
  <si>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</si>
  <si>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</si>
  <si>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</si>
  <si>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Melting_Curves/meltCurve_Q13049_TRIM32.pdf</t>
  </si>
  <si>
    <t>Melting_Curves/meltCurve_Q13057_COASY.pdf</t>
  </si>
  <si>
    <t>Melting_Curves/meltCurve_Q13061_TRDN.pdf</t>
  </si>
  <si>
    <t>Melting_Curves/meltCurve_Q13085_ACACA.pdf</t>
  </si>
  <si>
    <t>Melting_Curves/meltCurve_Q13094_LCP2.pdf</t>
  </si>
  <si>
    <t>Melting_Curves/meltCurve_Q13105_ZBTB17.pdf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</si>
  <si>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</si>
  <si>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</si>
  <si>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</si>
  <si>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</si>
  <si>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Melting_Curves/meltCurve_Q13127_4_REST.pdf</t>
  </si>
  <si>
    <t>Melting_Curves/meltCurve_Q13129_RLF.pdf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</si>
  <si>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</si>
  <si>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</si>
  <si>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</si>
  <si>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</si>
  <si>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</si>
  <si>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</si>
  <si>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</si>
  <si>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</si>
  <si>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</si>
  <si>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Melting_Curves/meltCurve_Q13164_2_MAPK7.pdf</t>
  </si>
  <si>
    <t>Melting_Curves/meltCurve_Q13177_PAK2.pdf</t>
  </si>
  <si>
    <t>Melting_Curves/meltCurve_Q13185_CBX3.pdf</t>
  </si>
  <si>
    <t>Melting_Curves/meltCurve_Q13188_STK3.pdf</t>
  </si>
  <si>
    <t>Melting_Curves/meltCurve_Q13190_3_STX5.pdf</t>
  </si>
  <si>
    <t>Melting_Curves/meltCurve_Q13200_PSMD2.pdf</t>
  </si>
  <si>
    <t>Melting_Curves/meltCurve_Q13206_DDX10.pdf</t>
  </si>
  <si>
    <t>Melting_Curves/meltCurve_Q13216_ERCC8.pdf</t>
  </si>
  <si>
    <t>Melting_Curves/meltCurve_Q13217_DNAJC3.pdf</t>
  </si>
  <si>
    <t>Melting_Curves/meltCurve_Q13228_SELENBP1.pdf</t>
  </si>
  <si>
    <t>Melting_Curves/meltCurve_Q13232_NME3.pdf</t>
  </si>
  <si>
    <t>Melting_Curves/meltCurve_Q13233_MAP3K1.pdf</t>
  </si>
  <si>
    <t>Melting_Curves/meltCurve_Q13242_SRSF9.pdf</t>
  </si>
  <si>
    <t>Melting_Curves/meltCurve_Q13243_3_SRSF5.pdf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</si>
  <si>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</si>
  <si>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</si>
  <si>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</si>
  <si>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</si>
  <si>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</si>
  <si>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</si>
  <si>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Melting_Curves/meltCurve_Q13303_2_KCNAB2.pdf</t>
  </si>
  <si>
    <t>Melting_Curves/meltCurve_Q13308_3_PTK7.pdf</t>
  </si>
  <si>
    <t>Melting_Curves/meltCurve_Q13309_2_SKP2.pdf</t>
  </si>
  <si>
    <t>Melting_Curves/meltCurve_Q13310_3_PABPC4.pdf</t>
  </si>
  <si>
    <t>Melting_Curves/meltCurve_Q13315_ATM.pdf</t>
  </si>
  <si>
    <t>Melting_Curves/meltCurve_Q13322_2_GRB10.pdf</t>
  </si>
  <si>
    <t>Melting_Curves/meltCurve_Q13330_3_MTA1.pdf</t>
  </si>
  <si>
    <t>Melting_Curves/meltCurve_Q13332_6_PTPRS.pdf</t>
  </si>
  <si>
    <t>Melting_Curves/meltCurve_Q13347_EIF3I.pdf</t>
  </si>
  <si>
    <t>Melting_Curves/meltCurve_Q13351_KLF1.pdf</t>
  </si>
  <si>
    <t>Melting_Curves/meltCurve_Q13356_PPIL2.pdf</t>
  </si>
  <si>
    <t>Melting_Curves/meltCurve_Q13362_4_PPP2R5C.pdf</t>
  </si>
  <si>
    <t>Melting_Curves/meltCurve_Q13363_2_CTBP1.pdf</t>
  </si>
  <si>
    <t>Melting_Curves/meltCurve_Q13371_PDCL.pdf</t>
  </si>
  <si>
    <t>Melting_Curves/meltCurve_Q13395_TARBP1.pdf</t>
  </si>
  <si>
    <t>Melting_Curves/meltCurve_Q13404_UBE2V1.pdf</t>
  </si>
  <si>
    <t>Melting_Curves/meltCurve_Q13409_6_DYNC1I2.pdf</t>
  </si>
  <si>
    <t>Melting_Curves/meltCurve_Q13415_ORC1.pdf</t>
  </si>
  <si>
    <t>Melting_Curves/meltCurve_Q13416_ORC2.pdf</t>
  </si>
  <si>
    <t>Melting_Curves/meltCurve_Q13418_ILK.pdf</t>
  </si>
  <si>
    <t>Melting_Curves/meltCurve_Q13422_2_IKZF1.pdf</t>
  </si>
  <si>
    <t>Melting_Curves/meltCurve_Q13422_7_IKZF1.pdf</t>
  </si>
  <si>
    <t>Melting_Curves/meltCurve_Q13423_NNT.pdf</t>
  </si>
  <si>
    <t>Melting_Curves/meltCurve_Q13424_SNTA1.pdf</t>
  </si>
  <si>
    <t>Melting_Curves/meltCurve_Q13425_SNTB2.pdf</t>
  </si>
  <si>
    <t>Melting_Curves/meltCurve_Q13426_XRCC4.pdf</t>
  </si>
  <si>
    <t>Melting_Curves/meltCurve_Q13427_PPIG.pdf</t>
  </si>
  <si>
    <t>Melting_Curves/meltCurve_Q13428_3_TCOF1.pdf</t>
  </si>
  <si>
    <t>Melting_Curves/meltCurve_Q13428_4_TCOF1.pdf</t>
  </si>
  <si>
    <t>Melting_Curves/meltCurve_Q13432_2_UNC119.pdf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</si>
  <si>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</si>
  <si>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</si>
  <si>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</si>
  <si>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</si>
  <si>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Melting_Curves/meltCurve_Q13451_FKBP5.pdf</t>
  </si>
  <si>
    <t>Melting_Curves/meltCurve_Q13464_ROCK1.pdf</t>
  </si>
  <si>
    <t>Melting_Curves/meltCurve_Q13469_NFATC2.pdf</t>
  </si>
  <si>
    <t>Melting_Curves/meltCurve_Q13492_3_PICALM.pdf</t>
  </si>
  <si>
    <t>Melting_Curves/meltCurve_Q13496_MTM1.pdf</t>
  </si>
  <si>
    <t>Melting_Curves/meltCurve_Q13501_SQSTM1.pdf</t>
  </si>
  <si>
    <t>Melting_Curves/meltCurve_Q13503_MED21.pdf</t>
  </si>
  <si>
    <t>Melting_Curves/meltCurve_Q13506_NAB1.pdf</t>
  </si>
  <si>
    <t>Melting_Curves/meltCurve_Q13509_TUBB3.pdf</t>
  </si>
  <si>
    <t>Melting_Curves/meltCurve_Q13523_PRPF4B.pdf</t>
  </si>
  <si>
    <t>Melting_Curves/meltCurve_Q13526_PIN1.pdf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</si>
  <si>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</si>
  <si>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</si>
  <si>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</si>
  <si>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</si>
  <si>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Melting_Curves/meltCurve_Q13555_10_CAMK2G.pdf</t>
  </si>
  <si>
    <t>Melting_Curves/meltCurve_Q13557_8_CAMK2D.pdf</t>
  </si>
  <si>
    <t>Melting_Curves/meltCurve_Q13561_DCTN2.pdf</t>
  </si>
  <si>
    <t>Melting_Curves/meltCurve_Q13564_2_NAE1.pdf</t>
  </si>
  <si>
    <t>Melting_Curves/meltCurve_Q13572_ITPK1.pdf</t>
  </si>
  <si>
    <t>Melting_Curves/meltCurve_Q13573_SNW1.pdf</t>
  </si>
  <si>
    <t>Melting_Curves/meltCurve_Q13576_IQGAP2.pdf</t>
  </si>
  <si>
    <t>Melting_Curves/meltCurve_Q13586_STIM1.pdf</t>
  </si>
  <si>
    <t>Melting_Curves/meltCurve_Q13596_SNX1.pdf</t>
  </si>
  <si>
    <t>Melting_Curves/meltCurve_Q13601_2_KRR1.pdf</t>
  </si>
  <si>
    <t>Melting_Curves/meltCurve_Q13610_PWP1.pdf</t>
  </si>
  <si>
    <t>Melting_Curves/meltCurve_Q13613_MTMR1.pdf</t>
  </si>
  <si>
    <t>Melting_Curves/meltCurve_Q13614_MTMR2.pdf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</si>
  <si>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</si>
  <si>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</si>
  <si>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</si>
  <si>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</si>
  <si>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Melting_Curves/meltCurve_Q13620_1_CUL4B.pdf</t>
  </si>
  <si>
    <t>Melting_Curves/meltCurve_Q13625_TP53BP2.pdf</t>
  </si>
  <si>
    <t>Melting_Curves/meltCurve_Q13627_3_DYRK1A.pdf</t>
  </si>
  <si>
    <t>Melting_Curves/meltCurve_Q13630_TSTA3.pdf</t>
  </si>
  <si>
    <t>Melting_Curves/meltCurve_Q13636_RAB31.pdf</t>
  </si>
  <si>
    <t>Melting_Curves/meltCurve_Q13637_RAB32.pdf</t>
  </si>
  <si>
    <t>Melting_Curves/meltCurve_Q13643_FHL3.pdf</t>
  </si>
  <si>
    <t>Melting_Curves/meltCurve_Q13686_ALKBH1.pdf</t>
  </si>
  <si>
    <t>Melting_Curves/meltCurve_Q13724_MOGS.pdf</t>
  </si>
  <si>
    <t>Melting_Curves/meltCurve_Q13769_THOC5.pdf</t>
  </si>
  <si>
    <t>Melting_Curves/meltCurve_Q13813_SPTAN1.pdf</t>
  </si>
  <si>
    <t>Melting_Curves/meltCurve_Q13813_2_SPTAN1.pdf</t>
  </si>
  <si>
    <t>Melting_Curves/meltCurve_Q13823_GNL2.pdf</t>
  </si>
  <si>
    <t>Melting_Curves/meltCurve_Q13825_AUH.pdf</t>
  </si>
  <si>
    <t>Melting_Curves/meltCurve_Q13835_2_PKP1.pdf</t>
  </si>
  <si>
    <t>Melting_Curves/meltCurve_Q13838_DDX39B.pdf</t>
  </si>
  <si>
    <t>Melting_Curves/meltCurve_Q13867_BLMH.pdf</t>
  </si>
  <si>
    <t>Melting_Curves/meltCurve_Q13868_EXOSC2.pdf</t>
  </si>
  <si>
    <t>Melting_Curves/meltCurve_Q13885_TUBB2A.pdf</t>
  </si>
  <si>
    <t>Melting_Curves/meltCurve_Q13895_BYSL.pdf</t>
  </si>
  <si>
    <t>Melting_Curves/meltCurve_Q13901_C1D.pdf</t>
  </si>
  <si>
    <t>Melting_Curves/meltCurve_Q13905_RAPGEF1.pdf</t>
  </si>
  <si>
    <t>Melting_Curves/meltCurve_Q13907_IDI1.pdf</t>
  </si>
  <si>
    <t>Melting_Curves/meltCurve_Q13951_CBFB.pdf</t>
  </si>
  <si>
    <t>Melting_Curves/meltCurve_Q13951_2_CBFB.pdf</t>
  </si>
  <si>
    <t>Melting_Curves/meltCurve_Q13952_3_NFYC.pdf</t>
  </si>
  <si>
    <t>Melting_Curves/meltCurve_Q14004_CDK13.pdf</t>
  </si>
  <si>
    <t>Melting_Curves/meltCurve_Q14008_CKAP5.pdf</t>
  </si>
  <si>
    <t>Melting_Curves/meltCurve_Q14011_CIRBP.pdf</t>
  </si>
  <si>
    <t>Melting_Curves/meltCurve_Q14012_CAMK1.pdf</t>
  </si>
  <si>
    <t>Melting_Curves/meltCurve_Q14019_COTL1.pdf</t>
  </si>
  <si>
    <t>Melting_Curves/meltCurve_Q14061_COX17.pdf</t>
  </si>
  <si>
    <t>Melting_Curves/meltCurve_Q14103_3_HNRNPD.pdf</t>
  </si>
  <si>
    <t>Melting_Curves/meltCurve_Q14103_4_HNRNPD.pdf</t>
  </si>
  <si>
    <t>Melting_Curves/meltCurve_Q14118_DAG1.pdf</t>
  </si>
  <si>
    <t>Melting_Curves/meltCurve_Q14126_DSG2.pdf</t>
  </si>
  <si>
    <t>Melting_Curves/meltCurve_Q14137_BOP1.pdf</t>
  </si>
  <si>
    <t>Melting_Curves/meltCurve_Q14139_UBE4A.pdf</t>
  </si>
  <si>
    <t>Melting_Curves/meltCurve_Q14141_2_SEPT6.pdf</t>
  </si>
  <si>
    <t>Melting_Curves/meltCurve_Q14145_KEAP1.pdf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</si>
  <si>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</si>
  <si>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</si>
  <si>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</si>
  <si>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</si>
  <si>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Melting_Curves/meltCurve_Q14153_FAM53B.pdf</t>
  </si>
  <si>
    <t>Melting_Curves/meltCurve_Q14155_1_ARHGEF7.pdf</t>
  </si>
  <si>
    <t>Melting_Curves/meltCurve_Q14157_UBAP2L.pdf</t>
  </si>
  <si>
    <t>Melting_Curves/meltCurve_Q14160_SCRIB.pdf</t>
  </si>
  <si>
    <t>Melting_Curves/meltCurve_Q14161_4_GIT2.pdf</t>
  </si>
  <si>
    <t>Melting_Curves/meltCurve_Q14166_TTLL12.pdf</t>
  </si>
  <si>
    <t>Melting_Curves/meltCurve_Q14181_POLA2.pdf</t>
  </si>
  <si>
    <t>Melting_Curves/meltCurve_Q14191_WRN.pdf</t>
  </si>
  <si>
    <t>Melting_Curves/meltCurve_Q14192_FHL2.pdf</t>
  </si>
  <si>
    <t>Melting_Curves/meltCurve_Q14202_2_ZMYM3.pdf</t>
  </si>
  <si>
    <t>Melting_Curves/meltCurve_Q14203_6_DCTN1.pdf</t>
  </si>
  <si>
    <t>Melting_Curves/meltCurve_Q14204_DYNC1H1.pdf</t>
  </si>
  <si>
    <t>Melting_Curves/meltCurve_Q14207_NPAT.pdf</t>
  </si>
  <si>
    <t>Melting_Curves/meltCurve_Q14232_EIF2B1.pdf</t>
  </si>
  <si>
    <t>Melting_Curves/meltCurve_Q14241_TCEB3.pdf</t>
  </si>
  <si>
    <t>Melting_Curves/meltCurve_Q14244_2_MAP7.pdf</t>
  </si>
  <si>
    <t>Melting_Curves/meltCurve_Q14247_CTTN.pdf</t>
  </si>
  <si>
    <t>Melting_Curves/meltCurve_Q14247_3_CTTN.pdf</t>
  </si>
  <si>
    <t>Melting_Curves/meltCurve_Q14249_ENDOG.pdf</t>
  </si>
  <si>
    <t>Melting_Curves/meltCurve_Q14258_TRIM25.pdf</t>
  </si>
  <si>
    <t>Melting_Curves/meltCurve_Q14289_2_PTK2B.pdf</t>
  </si>
  <si>
    <t>Melting_Curves/meltCurve_Q14315_FLNC.pdf</t>
  </si>
  <si>
    <t>Melting_Curves/meltCurve_Q14318_2_FKBP8.pdf</t>
  </si>
  <si>
    <t>Melting_Curves/meltCurve_Q14320_FAM50A.pdf</t>
  </si>
  <si>
    <t>Melting_Curves/meltCurve_Q14331_FRG1.pdf</t>
  </si>
  <si>
    <t>Melting_Curves/meltCurve_Q14353_GAMT.pdf</t>
  </si>
  <si>
    <t>Melting_Curves/meltCurve_Q14376_GALE.pdf</t>
  </si>
  <si>
    <t>Melting_Curves/meltCurve_Q14444_2_CAPRIN1.pdf</t>
  </si>
  <si>
    <t>Melting_Curves/meltCurve_Q14457_BECN1.pdf</t>
  </si>
  <si>
    <t>Melting_Curves/meltCurve_Q14493_SLBP.pdf</t>
  </si>
  <si>
    <t>Melting_Curves/meltCurve_Q14498_2_RBM39.pdf</t>
  </si>
  <si>
    <t>Melting_Curves/meltCurve_Q14520_2_HABP2.pdf</t>
  </si>
  <si>
    <t>Melting_Curves/meltCurve_Q14527_HLTF.pdf</t>
  </si>
  <si>
    <t>Melting_Curves/meltCurve_Q14554_PDIA5.pdf</t>
  </si>
  <si>
    <t>Melting_Curves/meltCurve_Q14558_PRPSAP1.pdf</t>
  </si>
  <si>
    <t>Melting_Curves/meltCurve_Q14562_DHX8.pdf</t>
  </si>
  <si>
    <t>Melting_Curves/meltCurve_Q14566_MCM6.pdf</t>
  </si>
  <si>
    <t>Melting_Curves/meltCurve_Q14596_2_NBR1.pdf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</si>
  <si>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</si>
  <si>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</si>
  <si>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</si>
  <si>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</si>
  <si>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Melting_Curves/meltCurve_Q14669_3_TRIP12.pdf</t>
  </si>
  <si>
    <t>Melting_Curves/meltCurve_Q14671_2_PUM1.pdf</t>
  </si>
  <si>
    <t>Melting_Curves/meltCurve_Q14674_ESPL1.pdf</t>
  </si>
  <si>
    <t>Melting_Curves/meltCurve_Q14676_MDC1.pdf</t>
  </si>
  <si>
    <t>Melting_Curves/meltCurve_Q14677_CLINT1.pdf</t>
  </si>
  <si>
    <t>Melting_Curves/meltCurve_Q14683_SMC1A.pdf</t>
  </si>
  <si>
    <t>Melting_Curves/meltCurve_Q14684_RRP1B.pdf</t>
  </si>
  <si>
    <t>Melting_Curves/meltCurve_Q14686_NCOA6.pdf</t>
  </si>
  <si>
    <t>Melting_Curves/meltCurve_Q14687_GSE1.pdf</t>
  </si>
  <si>
    <t>Melting_Curves/meltCurve_Q14689_6_DIP2A.pdf</t>
  </si>
  <si>
    <t>Melting_Curves/meltCurve_Q14690_PDCD11.pdf</t>
  </si>
  <si>
    <t>Melting_Curves/meltCurve_Q14691_GINS1.pdf</t>
  </si>
  <si>
    <t>Melting_Curves/meltCurve_Q14692_BMS1.pdf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</si>
  <si>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</si>
  <si>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</si>
  <si>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</si>
  <si>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</si>
  <si>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Melting_Curves/meltCurve_Q14739_LBR.pdf</t>
  </si>
  <si>
    <t>Melting_Curves/meltCurve_Q14746_2_COG2.pdf</t>
  </si>
  <si>
    <t>Melting_Curves/meltCurve_Q14781_CBX2.pdf</t>
  </si>
  <si>
    <t>Melting_Curves/meltCurve_Q14789_GOLGB1.pdf</t>
  </si>
  <si>
    <t>Melting_Curves/meltCurve_Q14790_9_CASP8.pdf</t>
  </si>
  <si>
    <t>Melting_Curves/meltCurve_Q147X3_NAA30.pdf</t>
  </si>
  <si>
    <t>Melting_Curves/meltCurve_Q14807_KIF22.pdf</t>
  </si>
  <si>
    <t>Melting_Curves/meltCurve_Q14814_4_MEF2D.pdf</t>
  </si>
  <si>
    <t>Melting_Curves/meltCurve_Q14839_2_CHD4.pdf</t>
  </si>
  <si>
    <t>Melting_Curves/meltCurve_Q14847_LASP1.pdf</t>
  </si>
  <si>
    <t>Melting_Curves/meltCurve_Q14849_2_STARD3.pdf</t>
  </si>
  <si>
    <t>Melting_Curves/meltCurve_Q14914_2_PTGR1.pdf</t>
  </si>
  <si>
    <t>Melting_Curves/meltCurve_Q14919_DRAP1.pdf</t>
  </si>
  <si>
    <t>Melting_Curves/meltCurve_Q14934_8_NFATC4.pdf</t>
  </si>
  <si>
    <t>Melting_Curves/meltCurve_Q14966_ZNF638.pdf</t>
  </si>
  <si>
    <t>Melting_Curves/meltCurve_Q14974_KPNB1.pdf</t>
  </si>
  <si>
    <t>Melting_Curves/meltCurve_Q14978_3_NOLC1.pdf</t>
  </si>
  <si>
    <t>Melting_Curves/meltCurve_Q14980_NUMA1.pdf</t>
  </si>
  <si>
    <t>Melting_Curves/meltCurve_Q14980_2_NUMA1.pdf</t>
  </si>
  <si>
    <t>Melting_Curves/meltCurve_Q14980_4_NUMA1.pdf</t>
  </si>
  <si>
    <t>Melting_Curves/meltCurve_Q14997_PSME4.pdf</t>
  </si>
  <si>
    <t>Melting_Curves/meltCurve_Q14999_CUL7.pdf</t>
  </si>
  <si>
    <t>Melting_Curves/meltCurve_Q14BN4_2_SLMAP.pdf</t>
  </si>
  <si>
    <t>Melting_Curves/meltCurve_Q14C86_6_GAPVD1.pdf</t>
  </si>
  <si>
    <t>Melting_Curves/meltCurve_Q14CS0_UBXN2B.pdf</t>
  </si>
  <si>
    <t>Melting_Curves/meltCurve_Q14CX7_NAA25.pdf</t>
  </si>
  <si>
    <t>Melting_Curves/meltCurve_Q15003_NCAPH.pdf</t>
  </si>
  <si>
    <t>Melting_Curves/meltCurve_Q15007_WTAP.pdf</t>
  </si>
  <si>
    <t>Melting_Curves/meltCurve_Q15008_PSMD6.pdf</t>
  </si>
  <si>
    <t>Melting_Curves/meltCurve_Q15013_MAD2L1BP.pdf</t>
  </si>
  <si>
    <t>Melting_Curves/meltCurve_Q15014_MORF4L2.pdf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</si>
  <si>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</si>
  <si>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</si>
  <si>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</si>
  <si>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</si>
  <si>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</si>
  <si>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</si>
  <si>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</si>
  <si>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</si>
  <si>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Melting_Curves/meltCurve_Q15042_RAB3GAP1.pdf</t>
  </si>
  <si>
    <t>Melting_Curves/meltCurve_Q15046_KARS.pdf</t>
  </si>
  <si>
    <t>Melting_Curves/meltCurve_Q15047_3_SETDB1.pdf</t>
  </si>
  <si>
    <t>Melting_Curves/meltCurve_Q15048_LRRC14.pdf</t>
  </si>
  <si>
    <t>Melting_Curves/meltCurve_Q15050_RRS1.pdf</t>
  </si>
  <si>
    <t>Melting_Curves/meltCurve_Q15051_IQCB1.pdf</t>
  </si>
  <si>
    <t>Melting_Curves/meltCurve_Q15052_ARHGEF6.pdf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</si>
  <si>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</si>
  <si>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</si>
  <si>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</si>
  <si>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</si>
  <si>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</si>
  <si>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</si>
  <si>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</si>
  <si>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</si>
  <si>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</si>
  <si>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Melting_Curves/meltCurve_Q15111_PLCL1.pdf</t>
  </si>
  <si>
    <t>Melting_Curves/meltCurve_Q15121_PEA15.pdf</t>
  </si>
  <si>
    <t>Melting_Curves/meltCurve_Q15126_PMVK.pdf</t>
  </si>
  <si>
    <t>Melting_Curves/meltCurve_Q15147_2_PLCB4.pdf</t>
  </si>
  <si>
    <t>Melting_Curves/meltCurve_Q15149_3_PLEC.pdf</t>
  </si>
  <si>
    <t>Melting_Curves/meltCurve_Q15149_4_PLEC.pdf</t>
  </si>
  <si>
    <t>Melting_Curves/meltCurve_Q15154_PCM1.pdf</t>
  </si>
  <si>
    <t>Melting_Curves/meltCurve_Q15154_2_PCM1.pdf</t>
  </si>
  <si>
    <t>Melting_Curves/meltCurve_Q15170_2_TCEAL1.pdf</t>
  </si>
  <si>
    <t>Melting_Curves/meltCurve_Q15172_PPP2R5A.pdf</t>
  </si>
  <si>
    <t>Melting_Curves/meltCurve_Q15173_PPP2R5B.pdf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</si>
  <si>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</si>
  <si>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</si>
  <si>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</si>
  <si>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</si>
  <si>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Melting_Curves/meltCurve_Q15257_2_PPP2R4.pdf</t>
  </si>
  <si>
    <t>Melting_Curves/meltCurve_Q15262_PTPRK.pdf</t>
  </si>
  <si>
    <t>Melting_Curves/meltCurve_Q15269_PWP2.pdf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</si>
  <si>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</si>
  <si>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</si>
  <si>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</si>
  <si>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</si>
  <si>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</si>
  <si>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</si>
  <si>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</si>
  <si>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Melting_Curves/meltCurve_Q15323_KRT31.pdf</t>
  </si>
  <si>
    <t>Melting_Curves/meltCurve_Q15334_LLGL1.pdf</t>
  </si>
  <si>
    <t>Melting_Curves/meltCurve_Q15345_LRRC41.pdf</t>
  </si>
  <si>
    <t>Melting_Curves/meltCurve_Q15361_TTF1.pdf</t>
  </si>
  <si>
    <t>Melting_Curves/meltCurve_Q15363_TMED2.pdf</t>
  </si>
  <si>
    <t>Melting_Curves/meltCurve_Q15365_PCBP1.pdf</t>
  </si>
  <si>
    <t>Melting_Curves/meltCurve_Q15366_2_PCBP2.pdf</t>
  </si>
  <si>
    <t>Melting_Curves/meltCurve_Q15366_3_PCBP2.pdf</t>
  </si>
  <si>
    <t>Melting_Curves/meltCurve_Q15382_RHEB.pdf</t>
  </si>
  <si>
    <t>Melting_Curves/meltCurve_Q15386_UBE3C.pdf</t>
  </si>
  <si>
    <t>Melting_Curves/meltCurve_Q15393_SF3B3.pdf</t>
  </si>
  <si>
    <t>Melting_Curves/meltCurve_Q15398_DLGAP5.pdf</t>
  </si>
  <si>
    <t>Melting_Curves/meltCurve_Q15404_RSU1.pdf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</si>
  <si>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</si>
  <si>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</si>
  <si>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</si>
  <si>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</si>
  <si>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</si>
  <si>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</si>
  <si>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Melting_Curves/meltCurve_Q15464_SHB.pdf</t>
  </si>
  <si>
    <t>Melting_Curves/meltCurve_Q15506_SPA17.pdf</t>
  </si>
  <si>
    <t>Melting_Curves/meltCurve_Q15527_SURF2.pdf</t>
  </si>
  <si>
    <t>Melting_Curves/meltCurve_Q15542_2_TAF5.pdf</t>
  </si>
  <si>
    <t>Melting_Curves/meltCurve_Q15544_2_TAF11.pdf</t>
  </si>
  <si>
    <t>Melting_Curves/meltCurve_Q15545_TAF7.pdf</t>
  </si>
  <si>
    <t>Melting_Curves/meltCurve_Q15554_3_TERF2.pdf</t>
  </si>
  <si>
    <t>Melting_Curves/meltCurve_Q15555_MAPRE2.pdf</t>
  </si>
  <si>
    <t>Melting_Curves/meltCurve_Q15560_2_TCEA2.pdf</t>
  </si>
  <si>
    <t>Melting_Curves/meltCurve_Q15561_2_TEAD4.pdf</t>
  </si>
  <si>
    <t>Melting_Curves/meltCurve_Q15596_NCOA2.pdf</t>
  </si>
  <si>
    <t>Melting_Curves/meltCurve_Q15599_SLC9A3R2.pdf</t>
  </si>
  <si>
    <t>Melting_Curves/meltCurve_Q15628_TRADD.pdf</t>
  </si>
  <si>
    <t>Melting_Curves/meltCurve_Q15633_2_TARBP2.pdf</t>
  </si>
  <si>
    <t>Melting_Curves/meltCurve_Q15637_5_SF1.pdf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</si>
  <si>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</si>
  <si>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</si>
  <si>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</si>
  <si>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</si>
  <si>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</si>
  <si>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</si>
  <si>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</si>
  <si>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Melting_Curves/meltCurve_Q15652_JMJD1C.pdf</t>
  </si>
  <si>
    <t>Melting_Curves/meltCurve_Q15654_TRIP6.pdf</t>
  </si>
  <si>
    <t>Melting_Curves/meltCurve_Q15691_MAPRE1.pdf</t>
  </si>
  <si>
    <t>Melting_Curves/meltCurve_Q15695_ZRSR1.pdf</t>
  </si>
  <si>
    <t>Melting_Curves/meltCurve_Q15697_2_ZNF174.pdf</t>
  </si>
  <si>
    <t>Melting_Curves/meltCurve_Q15714_2_TSC22D1.pdf</t>
  </si>
  <si>
    <t>Melting_Curves/meltCurve_Q15717_ELAVL1.pdf</t>
  </si>
  <si>
    <t>Melting_Curves/meltCurve_Q15723_1_ELF2.pdf</t>
  </si>
  <si>
    <t>Melting_Curves/meltCurve_Q15738_NSDHL.pdf</t>
  </si>
  <si>
    <t>Melting_Curves/meltCurve_Q15742_NAB2.pdf</t>
  </si>
  <si>
    <t>Melting_Curves/meltCurve_Q15746_4_MYLK.pdf</t>
  </si>
  <si>
    <t>Melting_Curves/meltCurve_Q15750_2_TAB1.pdf</t>
  </si>
  <si>
    <t>Melting_Curves/meltCurve_Q15751_HERC1.pdf</t>
  </si>
  <si>
    <t>Melting_Curves/meltCurve_Q15758_SLC1A5.pdf</t>
  </si>
  <si>
    <t>Melting_Curves/meltCurve_Q15759_MAPK11.pdf</t>
  </si>
  <si>
    <t>Melting_Curves/meltCurve_Q15773_MLF2.pdf</t>
  </si>
  <si>
    <t>Melting_Curves/meltCurve_Q15776_ZKSCAN8.pdf</t>
  </si>
  <si>
    <t>Melting_Curves/meltCurve_Q15785_TOMM34.pdf</t>
  </si>
  <si>
    <t>Melting_Curves/meltCurve_Q15788_2_NCOA1.pdf</t>
  </si>
  <si>
    <t>Melting_Curves/meltCurve_Q15796_2_SMAD2.pdf</t>
  </si>
  <si>
    <t>Melting_Curves/meltCurve_Q15797_SMAD1.pdf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</si>
  <si>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</si>
  <si>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</si>
  <si>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</si>
  <si>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</si>
  <si>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Melting_Curves/meltCurve_Q15833_STXBP2.pdf</t>
  </si>
  <si>
    <t>Melting_Curves/meltCurve_Q15836_VAMP3.pdf</t>
  </si>
  <si>
    <t>Melting_Curves/meltCurve_Q15843_NEDD8.pdf</t>
  </si>
  <si>
    <t>Melting_Curves/meltCurve_Q15904_ATP6AP1.pdf</t>
  </si>
  <si>
    <t>Melting_Curves/meltCurve_Q15906_VPS72.pdf</t>
  </si>
  <si>
    <t>Melting_Curves/meltCurve_Q15907_RAB11B.pdf</t>
  </si>
  <si>
    <t>Melting_Curves/meltCurve_Q15910_EZH2.pdf</t>
  </si>
  <si>
    <t>Melting_Curves/meltCurve_Q15935_ZNF77.pdf</t>
  </si>
  <si>
    <t>Melting_Curves/meltCurve_Q15942_ZYX.pdf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</si>
  <si>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</si>
  <si>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</si>
  <si>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</si>
  <si>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</si>
  <si>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</si>
  <si>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Melting_Curves/meltCurve_Q16352_INA.pdf</t>
  </si>
  <si>
    <t>Melting_Curves/meltCurve_Q16401_2_PSMD5.pdf</t>
  </si>
  <si>
    <t>Melting_Curves/meltCurve_Q16512_PKN1.pdf</t>
  </si>
  <si>
    <t>Melting_Curves/meltCurve_Q16513_3_PKN2.pdf</t>
  </si>
  <si>
    <t>Melting_Curves/meltCurve_Q16514_2_TAF12.pdf</t>
  </si>
  <si>
    <t>Melting_Curves/meltCurve_Q16531_DDB1.pdf</t>
  </si>
  <si>
    <t>Melting_Curves/meltCurve_Q16539_MAPK14.pdf</t>
  </si>
  <si>
    <t>Melting_Curves/meltCurve_Q16539_2_MAPK14.pdf</t>
  </si>
  <si>
    <t>Melting_Curves/meltCurve_Q16543_CDC37.pdf</t>
  </si>
  <si>
    <t>Melting_Curves/meltCurve_Q16555_2_DPYSL2.pdf</t>
  </si>
  <si>
    <t>Melting_Curves/meltCurve_Q16576_RBBP7.pdf</t>
  </si>
  <si>
    <t>Melting_Curves/meltCurve_Q16600_ZNF239.pdf</t>
  </si>
  <si>
    <t>Melting_Curves/meltCurve_Q16610_ECM1.pdf</t>
  </si>
  <si>
    <t>Melting_Curves/meltCurve_Q16619_2_CTF1.pdf</t>
  </si>
  <si>
    <t>Melting_Curves/meltCurve_Q16626_MEA1.pdf</t>
  </si>
  <si>
    <t>Melting_Curves/meltCurve_Q16629_3_SRSF7.pdf</t>
  </si>
  <si>
    <t>Melting_Curves/meltCurve_Q16637_3_SMN1.pdf</t>
  </si>
  <si>
    <t>Melting_Curves/meltCurve_Q16643_DBN1.pdf</t>
  </si>
  <si>
    <t>Melting_Curves/meltCurve_Q16644_MAPKAPK3.pdf</t>
  </si>
  <si>
    <t>Melting_Curves/meltCurve_Q16649_NFIL3.pdf</t>
  </si>
  <si>
    <t>Melting_Curves/meltCurve_Q16656_NRF1.pdf</t>
  </si>
  <si>
    <t>Melting_Curves/meltCurve_Q16658_FSCN1.pdf</t>
  </si>
  <si>
    <t>Melting_Curves/meltCurve_Q16659_MAPK6.pdf</t>
  </si>
  <si>
    <t>Melting_Curves/meltCurve_Q16666_3_IFI16.pdf</t>
  </si>
  <si>
    <t>Melting_Curves/meltCurve_Q16670_ZSCAN26.pdf</t>
  </si>
  <si>
    <t>Melting_Curves/meltCurve_Q16719_KYNU.pdf</t>
  </si>
  <si>
    <t>Melting_Curves/meltCurve_Q16740_CLPP.pdf</t>
  </si>
  <si>
    <t>Melting_Curves/meltCurve_Q16762_TST.pdf</t>
  </si>
  <si>
    <t>Melting_Curves/meltCurve_Q16763_UBE2S.pdf</t>
  </si>
  <si>
    <t>Melting_Curves/meltCurve_Q16773_CCBL1.pdf</t>
  </si>
  <si>
    <t>Melting_Curves/meltCurve_Q16778_HIST2H2BE.pdf</t>
  </si>
  <si>
    <t>Melting_Curves/meltCurve_Q16819_MEP1A.pdf</t>
  </si>
  <si>
    <t>Melting_Curves/meltCurve_Q16822_PCK2.pdf</t>
  </si>
  <si>
    <t>Melting_Curves/meltCurve_Q16831_UPP1.pdf</t>
  </si>
  <si>
    <t>Melting_Curves/meltCurve_Q16836_HADH.pdf</t>
  </si>
  <si>
    <t>Melting_Curves/meltCurve_Q16851_UGP2.pdf</t>
  </si>
  <si>
    <t>Melting_Curves/meltCurve_Q16854_DGUOK.pdf</t>
  </si>
  <si>
    <t>Melting_Curves/meltCurve_Q16864_ATP6V1F.pdf</t>
  </si>
  <si>
    <t>Melting_Curves/meltCurve_Q16875_3_PFKFB3.pdf</t>
  </si>
  <si>
    <t>Melting_Curves/meltCurve_Q17R31_2_TATDN3.pdf</t>
  </si>
  <si>
    <t>Melting_Curves/meltCurve_Q17RN3_FAM98C.pdf</t>
  </si>
  <si>
    <t>Melting_Curves/meltCurve_Q17RU2_REL.pdf</t>
  </si>
  <si>
    <t>Melting_Curves/meltCurve_Q19AV6_ZSWIM7.pdf</t>
  </si>
  <si>
    <t>Melting_Curves/meltCurve_Q1ED39_KNOP1.pdf</t>
  </si>
  <si>
    <t>Melting_Curves/meltCurve_Q1MSJ5_1_CSPP1.pdf</t>
  </si>
  <si>
    <t>Melting_Curves/meltCurve_Q27J81_2_INF2.pdf</t>
  </si>
  <si>
    <t>Melting_Curves/meltCurve_Q29RF7_PDS5A.pdf</t>
  </si>
  <si>
    <t>Melting_Curves/meltCurve_Q2KHR3_QSER1.pdf</t>
  </si>
  <si>
    <t>Melting_Curves/meltCurve_Q2KHT3_CLEC16A.pdf</t>
  </si>
  <si>
    <t>Melting_Curves/meltCurve_Q2M296_2_MTHFSD.pdf</t>
  </si>
  <si>
    <t>Melting_Curves/meltCurve_Q2M296_4_MTHFSD.pdf</t>
  </si>
  <si>
    <t>Melting_Curves/meltCurve_Q2M2I8_AAK1.pdf</t>
  </si>
  <si>
    <t>Melting_Curves/meltCurve_Q2M2Z5_5_PLK1S1.pdf</t>
  </si>
  <si>
    <t>Melting_Curves/meltCurve_Q2M389_KIAA1033.pdf</t>
  </si>
  <si>
    <t>Melting_Curves/meltCurve_Q2M389_2_KIAA1033.pdf</t>
  </si>
  <si>
    <t>Melting_Curves/meltCurve_Q2M3G4_2_SHROOM1.pdf</t>
  </si>
  <si>
    <t>Melting_Curves/meltCurve_Q2NL82_TSR1.pdf</t>
  </si>
  <si>
    <t>Melting_Curves/meltCurve_Q2NL98_VMAC.pdf</t>
  </si>
  <si>
    <t>Melting_Curves/meltCurve_Q2PPJ7_3_RALGAPA2.pdf</t>
  </si>
  <si>
    <t>Melting_Curves/meltCurve_Q2Q1W2_TRIM71.pdf</t>
  </si>
  <si>
    <t>Melting_Curves/meltCurve_Q2TAL8_QRICH1.pdf</t>
  </si>
  <si>
    <t>Melting_Curves/meltCurve_Q2TAM5_RELA.pdf</t>
  </si>
  <si>
    <t>Melting_Curves/meltCurve_Q2TAY7_SMU1.pdf</t>
  </si>
  <si>
    <t>Melting_Curves/meltCurve_Q2TAZ0_ATG2A.pdf</t>
  </si>
  <si>
    <t>Melting_Curves/meltCurve_Q2TB10_ZNF800.pdf</t>
  </si>
  <si>
    <t>Melting_Curves/meltCurve_Q2TBE0_CWF19L2.pdf</t>
  </si>
  <si>
    <t>Melting_Curves/meltCurve_Q2TBF2_WSCD2.pdf</t>
  </si>
  <si>
    <t>Melting_Curves/meltCurve_Q2VPK5_CTU2.pdf</t>
  </si>
  <si>
    <t>Melting_Curves/meltCurve_Q2YD98_2_UVSSA.pdf</t>
  </si>
  <si>
    <t>Melting_Curves/meltCurve_Q32M88_ATHL1.pdf</t>
  </si>
  <si>
    <t>Melting_Curves/meltCurve_Q32MK0_MYLK3.pdf</t>
  </si>
  <si>
    <t>Melting_Curves/meltCurve_Q32MZ4_3_LRRFIP1.pdf</t>
  </si>
  <si>
    <t>Melting_Curves/meltCurve_Q32N00_POLD3.pdf</t>
  </si>
  <si>
    <t>Melting_Curves/meltCurve_Q32P28_LEPRE1.pdf</t>
  </si>
  <si>
    <t>Melting_Curves/meltCurve_Q32P41_TRMT5.pdf</t>
  </si>
  <si>
    <t>Melting_Curves/meltCurve_Q32P44_EML3.pdf</t>
  </si>
  <si>
    <t>Melting_Curves/meltCurve_Q3B726_TWISTNB.pdf</t>
  </si>
  <si>
    <t>Melting_Curves/meltCurve_Q3KQU3_2_MAP7D1.pdf</t>
  </si>
  <si>
    <t>Melting_Curves/meltCurve_Q3KQU3_3_MAP7D1.pdf</t>
  </si>
  <si>
    <t>Melting_Curves/meltCurve_Q3KQV3_ZNF792.pdf</t>
  </si>
  <si>
    <t>Melting_Curves/meltCurve_Q3KQV9_UAP1L1.pdf</t>
  </si>
  <si>
    <t>Melting_Curves/meltCurve_Q3KRA9_ALKBH6.pdf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</si>
  <si>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</si>
  <si>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</si>
  <si>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</si>
  <si>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</si>
  <si>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</si>
  <si>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Melting_Curves/meltCurve_Q3SY69_ALDH1L2.pdf</t>
  </si>
  <si>
    <t>Melting_Curves/meltCurve_Q3T8J9_3_GON4L.pdf</t>
  </si>
  <si>
    <t>Melting_Curves/meltCurve_Q3V6T2_2_CCDC88A.pdf</t>
  </si>
  <si>
    <t>Melting_Curves/meltCurve_Q3V6T2_5_CCDC88A.pdf</t>
  </si>
  <si>
    <t>Melting_Curves/meltCurve_Q3YEC7_RABL6.pdf</t>
  </si>
  <si>
    <t>Melting_Curves/meltCurve_Q3ZAQ7_VMA21.pdf</t>
  </si>
  <si>
    <t>Melting_Curves/meltCurve_Q3ZCM7_TUBB8.pdf</t>
  </si>
  <si>
    <t>Melting_Curves/meltCurve_Q3ZCV1_USP38.pdf</t>
  </si>
  <si>
    <t>Melting_Curves/meltCurve_Q3ZCW2_LGALSL.pdf</t>
  </si>
  <si>
    <t>Melting_Curves/meltCurve_Q499Z4_ZNF672.pdf</t>
  </si>
  <si>
    <t>Melting_Curves/meltCurve_Q49A26_2_GLYR1.pdf</t>
  </si>
  <si>
    <t>Melting_Curves/meltCurve_Q49A88_2_CCDC14.pdf</t>
  </si>
  <si>
    <t>Melting_Curves/meltCurve_Q49AN0_2_CRY2.pdf</t>
  </si>
  <si>
    <t>Melting_Curves/meltCurve_Q49AR2_C5orf22.pdf</t>
  </si>
  <si>
    <t>Melting_Curves/meltCurve_Q49B96_COX19.pdf</t>
  </si>
  <si>
    <t>Melting_Curves/meltCurve_Q4G0F5_VPS26B.pdf</t>
  </si>
  <si>
    <t>Melting_Curves/meltCurve_Q4G0J3_LARP7.pdf</t>
  </si>
  <si>
    <t>Melting_Curves/meltCurve_Q4G0M0_NAPB.pdf</t>
  </si>
  <si>
    <t>Melting_Curves/meltCurve_Q4G0N4_NADKD1.pdf</t>
  </si>
  <si>
    <t>Melting_Curves/meltCurve_Q4G176_ACSF3.pdf</t>
  </si>
  <si>
    <t>Melting_Curves/meltCurve_Q4J6C6_4_PREPL.pdf</t>
  </si>
  <si>
    <t>Melting_Curves/meltCurve_Q4KMP7_TBC1D10B.pdf</t>
  </si>
  <si>
    <t>Melting_Curves/meltCurve_Q4KWH8_3_PLCH1.pdf</t>
  </si>
  <si>
    <t>Melting_Curves/meltCurve_Q4LDG9_3_DNAL1.pdf</t>
  </si>
  <si>
    <t>Melting_Curves/meltCurve_Q4LE39_2_ARID4B.pdf</t>
  </si>
  <si>
    <t>Melting_Curves/meltCurve_Q4V328_GRIPAP1.pdf</t>
  </si>
  <si>
    <t>Melting_Curves/meltCurve_Q4VC05_BCL7A.pdf</t>
  </si>
  <si>
    <t>Melting_Curves/meltCurve_Q4VC05_2_BCL7A.pdf</t>
  </si>
  <si>
    <t>Melting_Curves/meltCurve_Q4VC44_FLYWCH1.pdf</t>
  </si>
  <si>
    <t>Melting_Curves/meltCurve_Q4W8S1_ZNF298.pdf</t>
  </si>
  <si>
    <t>Melting_Curves/meltCurve_Q504Q3_2_PAN2.pdf</t>
  </si>
  <si>
    <t>Melting_Curves/meltCurve_Q52LJ0_2_FAM98B.pdf</t>
  </si>
  <si>
    <t>Melting_Curves/meltCurve_Q52LR7_EPC2.pdf</t>
  </si>
  <si>
    <t>Melting_Curves/meltCurve_Q53EL6_2_PDCD4.pdf</t>
  </si>
  <si>
    <t>Melting_Curves/meltCurve_Q53ET0_CRTC2.pdf</t>
  </si>
  <si>
    <t>Melting_Curves/meltCurve_Q53EZ4_CEP55.pdf</t>
  </si>
  <si>
    <t>Melting_Curves/meltCurve_Q53F19_C17orf85.pdf</t>
  </si>
  <si>
    <t>Melting_Curves/meltCurve_Q53FA7_TP53I3.pdf</t>
  </si>
  <si>
    <t>Melting_Curves/meltCurve_Q53FT3_C11orf73.pdf</t>
  </si>
  <si>
    <t>Melting_Curves/meltCurve_Q53FZ2_ACSM3.pdf</t>
  </si>
  <si>
    <t>Melting_Curves/meltCurve_Q53H47_SETMAR.pdf</t>
  </si>
  <si>
    <t>Melting_Curves/meltCurve_Q53H54_TRMT12.pdf</t>
  </si>
  <si>
    <t>Melting_Curves/meltCurve_Q53H82_LACTB2.pdf</t>
  </si>
  <si>
    <t>Melting_Curves/meltCurve_Q53H96_PYCRL.pdf</t>
  </si>
  <si>
    <t>Melting_Curves/meltCurve_Q53HC5_KLHL26.pdf</t>
  </si>
  <si>
    <t>Melting_Curves/meltCurve_Q53HC9_TSSC1.pdf</t>
  </si>
  <si>
    <t>Melting_Curves/meltCurve_Q53HL2_CDCA8.pdf</t>
  </si>
  <si>
    <t>Melting_Curves/meltCurve_Q53HV7_SMUG1.pdf</t>
  </si>
  <si>
    <t>Melting_Curves/meltCurve_Q53LP3_SOWAHC.pdf</t>
  </si>
  <si>
    <t>Melting_Curves/meltCurve_Q53QZ3_ARHGAP15.pdf</t>
  </si>
  <si>
    <t>Melting_Curves/meltCurve_Q53S33_BOLA3.pdf</t>
  </si>
  <si>
    <t>Melting_Curves/meltCurve_Q53T59_HS1BP3.pdf</t>
  </si>
  <si>
    <t>Melting_Curves/meltCurve_Q53TQ3_INO80D.pdf</t>
  </si>
  <si>
    <t>Melting_Curves/meltCurve_Q562E7_WDR81.pdf</t>
  </si>
  <si>
    <t>Melting_Curves/meltCurve_Q562F6_2_SGOL2.pdf</t>
  </si>
  <si>
    <t>Melting_Curves/meltCurve_Q567Q0_PPIA.pdf</t>
  </si>
  <si>
    <t>Melting_Curves/meltCurve_Q56A73_SPIN4.pdf</t>
  </si>
  <si>
    <t>Melting_Curves/meltCurve_Q56NI9_ESCO2.pdf</t>
  </si>
  <si>
    <t>Melting_Curves/meltCurve_Q56UN5_2_MAP3K19.pdf</t>
  </si>
  <si>
    <t>Melting_Curves/meltCurve_Q587J8_KHDC3L.pdf</t>
  </si>
  <si>
    <t>Melting_Curves/meltCurve_Q58A45_3_PAN3.pdf</t>
  </si>
  <si>
    <t>Melting_Curves/meltCurve_Q58EX7_2_PLEKHG4.pdf</t>
  </si>
  <si>
    <t>Melting_Curves/meltCurve_Q58FF8_HSP90AB2P.pdf</t>
  </si>
  <si>
    <t>Melting_Curves/meltCurve_Q58FG1_HSP90AA4P.pdf</t>
  </si>
  <si>
    <t>Melting_Curves/meltCurve_Q58WW2_DCAF6.pdf</t>
  </si>
  <si>
    <t>Melting_Curves/meltCurve_Q59GN2_RPL39P5.pdf</t>
  </si>
  <si>
    <t>Melting_Curves/meltCurve_Q5BJF6_9_ODF2.pdf</t>
  </si>
  <si>
    <t>Melting_Curves/meltCurve_Q5BKU9_OXLD1.pdf</t>
  </si>
  <si>
    <t>Melting_Curves/meltCurve_Q5BKX5_C19orf54.pdf</t>
  </si>
  <si>
    <t>Melting_Curves/meltCurve_Q5BKZ1_ZNF326.pdf</t>
  </si>
  <si>
    <t>Melting_Curves/meltCurve_Q5C9Z4_NOM1.pdf</t>
  </si>
  <si>
    <t>Melting_Curves/meltCurve_Q5D0E6_2_DALRD3.pdf</t>
  </si>
  <si>
    <t>Melting_Curves/meltCurve_Q5D862_FLG2.pdf</t>
  </si>
  <si>
    <t>Melting_Curves/meltCurve_Q5EBL4_RILPL1.pdf</t>
  </si>
  <si>
    <t>Melting_Curves/meltCurve_Q5EBL8_PDZD11.pdf</t>
  </si>
  <si>
    <t>Melting_Curves/meltCurve_Q5EBM0_CMPK2.pdf</t>
  </si>
  <si>
    <t>Melting_Curves/meltCurve_Q5F1R6_DNAJC21.pdf</t>
  </si>
  <si>
    <t>Melting_Curves/meltCurve_Q5FBB7_5_SGOL1.pdf</t>
  </si>
  <si>
    <t>Melting_Curves/meltCurve_Q5FWF5_ESCO1.pdf</t>
  </si>
  <si>
    <t>Melting_Curves/meltCurve_Q5GLZ8_2_HERC4.pdf</t>
  </si>
  <si>
    <t>Melting_Curves/meltCurve_Q5H937_PKIG.pdf</t>
  </si>
  <si>
    <t>Melting_Curves/meltCurve_Q5H9A7_TIMP1.pdf</t>
  </si>
  <si>
    <t>Melting_Curves/meltCurve_Q5HYC2_2_KIAA2026.pdf</t>
  </si>
  <si>
    <t>Melting_Curves/meltCurve_Q5JP53_TUBB.pdf</t>
  </si>
  <si>
    <t>Melting_Curves/meltCurve_Q5JPE7_2_NOMO2.pdf</t>
  </si>
  <si>
    <t>Melting_Curves/meltCurve_Q5JPF3_ANKRD36C.pdf</t>
  </si>
  <si>
    <t>Melting_Curves/meltCurve_Q5JPI3_2_C3orf38.pdf</t>
  </si>
  <si>
    <t>Melting_Curves/meltCurve_Q5JPI9_METTL10.pdf</t>
  </si>
  <si>
    <t>Melting_Curves/meltCurve_Q5JR08_RHOC.pdf</t>
  </si>
  <si>
    <t>Melting_Curves/meltCurve_Q5JRA6_2_MIA3.pdf</t>
  </si>
  <si>
    <t>Melting_Curves/meltCurve_Q5JRG1_NUPL1.pdf</t>
  </si>
  <si>
    <t>Melting_Curves/meltCurve_Q5JRX3_PITRM1.pdf</t>
  </si>
  <si>
    <t>Melting_Curves/meltCurve_Q5JS37_2_NHLRC3.pdf</t>
  </si>
  <si>
    <t>Melting_Curves/meltCurve_Q5JS54_PSMG4.pdf</t>
  </si>
  <si>
    <t>Melting_Curves/meltCurve_Q5JSB5_TFDP1.pdf</t>
  </si>
  <si>
    <t>Melting_Curves/meltCurve_Q5JSH3_2_WDR44.pdf</t>
  </si>
  <si>
    <t>Melting_Curves/meltCurve_Q5JSJ4_DDX26B.pdf</t>
  </si>
  <si>
    <t>Melting_Curves/meltCurve_Q5JSL3_DOCK11.pdf</t>
  </si>
  <si>
    <t>Melting_Curves/meltCurve_Q5JSZ5_PRRC2B.pdf</t>
  </si>
  <si>
    <t>Melting_Curves/meltCurve_Q5JTD0_2_TJAP1.pdf</t>
  </si>
  <si>
    <t>Melting_Curves/meltCurve_Q5JTH9_RRP12.pdf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</si>
  <si>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</si>
  <si>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</si>
  <si>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</si>
  <si>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</si>
  <si>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Melting_Curves/meltCurve_Q5JU21_FPGS.pdf</t>
  </si>
  <si>
    <t>Melting_Curves/meltCurve_Q5JU85_3_IQSEC2.pdf</t>
  </si>
  <si>
    <t>Melting_Curves/meltCurve_Q5JUL1_PAGE5.pdf</t>
  </si>
  <si>
    <t>Melting_Curves/meltCurve_Q5JUR7_TEX30.pdf</t>
  </si>
  <si>
    <t>Melting_Curves/meltCurve_Q5JVF3_3_PCID2.pdf</t>
  </si>
  <si>
    <t>Melting_Curves/meltCurve_Q5JVZ5_ELMO2.pdf</t>
  </si>
  <si>
    <t>Melting_Curves/meltCurve_Q5JW30_STAU1.pdf</t>
  </si>
  <si>
    <t>Melting_Curves/meltCurve_Q5JXC2_MIIP.pdf</t>
  </si>
  <si>
    <t>Melting_Curves/meltCurve_Q5K4L6_2_SLC27A3.pdf</t>
  </si>
  <si>
    <t>Melting_Curves/meltCurve_Q5K651_SAMD9.pdf</t>
  </si>
  <si>
    <t>Melting_Curves/meltCurve_Q5LJA5_UCHL5.pdf</t>
  </si>
  <si>
    <t>Melting_Curves/meltCurve_Q5M775_4_SPECC1.pdf</t>
  </si>
  <si>
    <t>Melting_Curves/meltCurve_Q5M9N0_CCDC158.pdf</t>
  </si>
  <si>
    <t>Melting_Curves/meltCurve_Q5MIZ7_2_SMEK2.pdf</t>
  </si>
  <si>
    <t>Melting_Curves/meltCurve_Q5MNZ6_WDR45B.pdf</t>
  </si>
  <si>
    <t>Melting_Curves/meltCurve_Q5Q9G8_POLK.pdf</t>
  </si>
  <si>
    <t>Melting_Curves/meltCurve_Q5QJ74_TBCEL.pdf</t>
  </si>
  <si>
    <t>Melting_Curves/meltCurve_Q5QNY5_PEX19.pdf</t>
  </si>
  <si>
    <t>Melting_Curves/meltCurve_Q5QNZ2_ATP5F1.pdf</t>
  </si>
  <si>
    <t>Melting_Curves/meltCurve_Q5QP56_BCL2L1.pdf</t>
  </si>
  <si>
    <t>Melting_Curves/meltCurve_Q5QP82_DCAF10.pdf</t>
  </si>
  <si>
    <t>Melting_Curves/meltCurve_Q5QPL9_RALY.pdf</t>
  </si>
  <si>
    <t>Melting_Curves/meltCurve_Q5QPM7_PSMF1.pdf</t>
  </si>
  <si>
    <t>Melting_Curves/meltCurve_Q5R372_4_RABGAP1L.pdf</t>
  </si>
  <si>
    <t>Melting_Curves/meltCurve_Q5R372_7_RABGAP1L.pdf</t>
  </si>
  <si>
    <t>Melting_Curves/meltCurve_Q5R3I4_TTC38.pdf</t>
  </si>
  <si>
    <t>Melting_Curves/meltCurve_Q5RHP9_3_C1orf173.pdf</t>
  </si>
  <si>
    <t>Melting_Curves/meltCurve_Q5RKV6_EXOSC6.pdf</t>
  </si>
  <si>
    <t>Melting_Curves/meltCurve_Q5SNT6_FAM21B.pdf</t>
  </si>
  <si>
    <t>Melting_Curves/meltCurve_Q5SNW6_MTHFR.pdf</t>
  </si>
  <si>
    <t>Melting_Curves/meltCurve_Q5SQM6_NUDT13.pdf</t>
  </si>
  <si>
    <t>Melting_Curves/meltCurve_Q5SRE5_NUP188.pdf</t>
  </si>
  <si>
    <t>Melting_Curves/meltCurve_Q5SRN1_CDC40.pdf</t>
  </si>
  <si>
    <t>Melting_Curves/meltCurve_Q5SSJ5_HP1BP3.pdf</t>
  </si>
  <si>
    <t>Melting_Curves/meltCurve_Q5ST30_VARS2.pdf</t>
  </si>
  <si>
    <t>Melting_Curves/meltCurve_Q5SW79_CEP170.pdf</t>
  </si>
  <si>
    <t>Melting_Curves/meltCurve_Q5SW79_2_CEP170.pdf</t>
  </si>
  <si>
    <t>Melting_Curves/meltCurve_Q5SW96_LDLRAP1.pdf</t>
  </si>
  <si>
    <t>Melting_Curves/meltCurve_Q5SXM2_SNAPC4.pdf</t>
  </si>
  <si>
    <t>Melting_Curves/meltCurve_Q5SY16_NOL9.pdf</t>
  </si>
  <si>
    <t>Melting_Curves/meltCurve_Q5SY21_ZBTB48.pdf</t>
  </si>
  <si>
    <t>Melting_Curves/meltCurve_Q5T011_5_SZT2.pdf</t>
  </si>
  <si>
    <t>Melting_Curves/meltCurve_Q5T0N5_3_FNBP1L.pdf</t>
  </si>
  <si>
    <t>Melting_Curves/meltCurve_Q5T123_SH3BGRL3.pdf</t>
  </si>
  <si>
    <t>Melting_Curves/meltCurve_Q5T160_RARS2.pdf</t>
  </si>
  <si>
    <t>Melting_Curves/meltCurve_Q5T171_PYGO2.pdf</t>
  </si>
  <si>
    <t>Melting_Curves/meltCurve_Q5T1C6_THEM4.pdf</t>
  </si>
  <si>
    <t>Melting_Curves/meltCurve_Q5T1M5_FKBP15.pdf</t>
  </si>
  <si>
    <t>Melting_Curves/meltCurve_Q5T1V6_DDX59.pdf</t>
  </si>
  <si>
    <t>Melting_Curves/meltCurve_Q5T200_ZC3H13.pdf</t>
  </si>
  <si>
    <t>Melting_Curves/meltCurve_Q5T2D3_OTUD3.pdf</t>
  </si>
  <si>
    <t>Melting_Curves/meltCurve_Q5T2J3_BCKDHB.pdf</t>
  </si>
  <si>
    <t>Melting_Curves/meltCurve_Q5T321_NBEA.pdf</t>
  </si>
  <si>
    <t>Melting_Curves/meltCurve_Q5T3I0_GPATCH4.pdf</t>
  </si>
  <si>
    <t>Melting_Curves/meltCurve_Q5T3J3_LRIF1.pdf</t>
  </si>
  <si>
    <t>Melting_Curves/meltCurve_Q5T427_ZNF438.pdf</t>
  </si>
  <si>
    <t>Melting_Curves/meltCurve_Q5T440_IBA57.pdf</t>
  </si>
  <si>
    <t>Melting_Curves/meltCurve_Q5T4F4_6_ZFYVE27.pdf</t>
  </si>
  <si>
    <t>Melting_Curves/meltCurve_Q5T4P9_PLEKHO1.pdf</t>
  </si>
  <si>
    <t>Melting_Curves/meltCurve_Q5T4S7_3_UBR4.pdf</t>
  </si>
  <si>
    <t>Melting_Curves/meltCurve_Q5T4T6_SYCP2L.pdf</t>
  </si>
  <si>
    <t>Melting_Curves/meltCurve_Q5T534_BLZF1.pdf</t>
  </si>
  <si>
    <t>Melting_Curves/meltCurve_Q5T5C0_3_STXBP5.pdf</t>
  </si>
  <si>
    <t>Melting_Curves/meltCurve_Q5T5U3_ARHGAP21.pdf</t>
  </si>
  <si>
    <t>Melting_Curves/meltCurve_Q5T5X7_BEND3.pdf</t>
  </si>
  <si>
    <t>Melting_Curves/meltCurve_Q5T5Y3_CAMSAP1.pdf</t>
  </si>
  <si>
    <t>Melting_Curves/meltCurve_Q5T6F2_UBAP2.pdf</t>
  </si>
  <si>
    <t>Melting_Curves/meltCurve_Q5T6V5_C9orf64.pdf</t>
  </si>
  <si>
    <t>Melting_Curves/meltCurve_Q5T749_KPRP.pdf</t>
  </si>
  <si>
    <t>Melting_Curves/meltCurve_Q5T7A2_ADCK3.pdf</t>
  </si>
  <si>
    <t>Melting_Curves/meltCurve_Q5T7V8_GORAB.pdf</t>
  </si>
  <si>
    <t>Melting_Curves/meltCurve_Q5T8A7_PPP1R26.pdf</t>
  </si>
  <si>
    <t>Melting_Curves/meltCurve_Q5T8I3_FAM102B.pdf</t>
  </si>
  <si>
    <t>Melting_Curves/meltCurve_Q5T8P6_3_RBM26.pdf</t>
  </si>
  <si>
    <t>Melting_Curves/meltCurve_Q5T985_.pdf</t>
  </si>
  <si>
    <t>Melting_Curves/meltCurve_Q5TA31_RNF187.pdf</t>
  </si>
  <si>
    <t>Melting_Curves/meltCurve_Q5TA45_3_CPSF3L.pdf</t>
  </si>
  <si>
    <t>Melting_Curves/meltCurve_Q5TA50_GLTPD1.pdf</t>
  </si>
  <si>
    <t>Melting_Curves/meltCurve_Q5TA58_AGO1.pdf</t>
  </si>
  <si>
    <t>Melting_Curves/meltCurve_Q5TAP6_UTP14C.pdf</t>
  </si>
  <si>
    <t>Melting_Curves/meltCurve_Q5TAQ0_MNF1.pdf</t>
  </si>
  <si>
    <t>Melting_Curves/meltCurve_Q5TAX3_ZCCHC11.pdf</t>
  </si>
  <si>
    <t>Melting_Curves/meltCurve_Q5TB80_2_KIAA1009.pdf</t>
  </si>
  <si>
    <t>Melting_Curves/meltCurve_Q5TBB1_RNASEH2B.pdf</t>
  </si>
  <si>
    <t>Melting_Curves/meltCurve_Q5TBP9_LSM14B.pdf</t>
  </si>
  <si>
    <t>Melting_Curves/meltCurve_Q5TC12_ATPAF1.pdf</t>
  </si>
  <si>
    <t>Melting_Curves/meltCurve_Q5TC79_ZBTB37.pdf</t>
  </si>
  <si>
    <t>Melting_Curves/meltCurve_Q5TC82_RC3H1.pdf</t>
  </si>
  <si>
    <t>Melting_Curves/meltCurve_Q5TCQ9_3_MAGI3.pdf</t>
  </si>
  <si>
    <t>Melting_Curves/meltCurve_Q5TCU3_TPM2.pdf</t>
  </si>
  <si>
    <t>Melting_Curves/meltCurve_Q5TDH0_DDI2.pdf</t>
  </si>
  <si>
    <t>Melting_Curves/meltCurve_Q5TEC3_ZNF697.pdf</t>
  </si>
  <si>
    <t>Melting_Curves/meltCurve_Q5TEJ8_THEMIS2.pdf</t>
  </si>
  <si>
    <t>Melting_Curves/meltCurve_Q5TEU4_2_NDUFAF5.pdf</t>
  </si>
  <si>
    <t>Melting_Curves/meltCurve_Q5TFE4_NT5DC1.pdf</t>
  </si>
  <si>
    <t>Melting_Curves/meltCurve_Q5TGY1_TMCO4.pdf</t>
  </si>
  <si>
    <t>Melting_Curves/meltCurve_Q5TGY3_AHDC1.pdf</t>
  </si>
  <si>
    <t>Melting_Curves/meltCurve_Q5THJ1_PRDM2.pdf</t>
  </si>
  <si>
    <t>Melting_Curves/meltCurve_Q5THJ4_2_VPS13D.pdf</t>
  </si>
  <si>
    <t>Melting_Curves/meltCurve_Q5THK1_PRR14L.pdf</t>
  </si>
  <si>
    <t>Melting_Curves/meltCurve_Q5TZA2_CROCC.pdf</t>
  </si>
  <si>
    <t>Melting_Curves/meltCurve_Q5U5Q3_MEX3C.pdf</t>
  </si>
  <si>
    <t>Melting_Curves/meltCurve_Q5U5X0_LYRM7.pdf</t>
  </si>
  <si>
    <t>Melting_Curves/meltCurve_Q5U623_ATF7IP2.pdf</t>
  </si>
  <si>
    <t>Melting_Curves/meltCurve_Q5UIP0_2_RIF1.pdf</t>
  </si>
  <si>
    <t>Melting_Curves/meltCurve_Q5VIR6_4_VPS53.pdf</t>
  </si>
  <si>
    <t>Melting_Curves/meltCurve_Q5VSL9_STRIP1.pdf</t>
  </si>
  <si>
    <t>Melting_Curves/meltCurve_Q5VSY0_2_GKAP1.pdf</t>
  </si>
  <si>
    <t>Melting_Curves/meltCurve_Q5VT06_CEP350.pdf</t>
  </si>
  <si>
    <t>Melting_Curves/meltCurve_Q5VT25_4_CDC42BPA.pdf</t>
  </si>
  <si>
    <t>Melting_Curves/meltCurve_Q5VT52_RPRD2.pdf</t>
  </si>
  <si>
    <t>Melting_Curves/meltCurve_Q5VTD9_2_GFI1B.pdf</t>
  </si>
  <si>
    <t>Melting_Curves/meltCurve_Q5VTL8_PRPF38B.pdf</t>
  </si>
  <si>
    <t>Melting_Curves/meltCurve_Q5VTR2_RNF20.pdf</t>
  </si>
  <si>
    <t>Melting_Curves/meltCurve_Q5VTU3_DYNLT1.pdf</t>
  </si>
  <si>
    <t>Melting_Curves/meltCurve_Q5VU43_3_PDE4DIP.pdf</t>
  </si>
  <si>
    <t>Melting_Curves/meltCurve_Q5VU58_TPM3.pdf</t>
  </si>
  <si>
    <t>Melting_Curves/meltCurve_Q5VUA4_ZNF318.pdf</t>
  </si>
  <si>
    <t>Melting_Curves/meltCurve_Q5VV41_ARHGEF16.pdf</t>
  </si>
  <si>
    <t>Melting_Curves/meltCurve_Q5VV42_CDKAL1.pdf</t>
  </si>
  <si>
    <t>Melting_Curves/meltCurve_Q5VV52_2_ZNF691.pdf</t>
  </si>
  <si>
    <t>Melting_Curves/meltCurve_Q5VV67_2_PPRC1.pdf</t>
  </si>
  <si>
    <t>Melting_Curves/meltCurve_Q5VVD7_PLEKHM2.pdf</t>
  </si>
  <si>
    <t>Melting_Curves/meltCurve_Q5VVJ2_MYSM1.pdf</t>
  </si>
  <si>
    <t>Melting_Curves/meltCurve_Q5VVL7_DBT.pdf</t>
  </si>
  <si>
    <t>Melting_Curves/meltCurve_Q5VVQ6_YOD1.pdf</t>
  </si>
  <si>
    <t>Melting_Curves/meltCurve_Q5VW00_DCAF12L2.pdf</t>
  </si>
  <si>
    <t>Melting_Curves/meltCurve_Q5VW32_BROX.pdf</t>
  </si>
  <si>
    <t>Melting_Curves/meltCurve_Q5VWG9_TAF3.pdf</t>
  </si>
  <si>
    <t>Melting_Curves/meltCurve_Q5VWJ9_SNX30.pdf</t>
  </si>
  <si>
    <t>Melting_Curves/meltCurve_Q5VWN6_FAM208B.pdf</t>
  </si>
  <si>
    <t>Melting_Curves/meltCurve_Q5VWP2_FAM46C.pdf</t>
  </si>
  <si>
    <t>Melting_Curves/meltCurve_Q5VWQ0_RSBN1.pdf</t>
  </si>
  <si>
    <t>Melting_Curves/meltCurve_Q5VWZ2_LYPLAL1.pdf</t>
  </si>
  <si>
    <t>Melting_Curves/meltCurve_Q5VXM9_RPF2.pdf</t>
  </si>
  <si>
    <t>Melting_Curves/meltCurve_Q5VYK3_ECM29.pdf</t>
  </si>
  <si>
    <t>Melting_Curves/meltCurve_Q5VYS8_6_ZCCHC6.pdf</t>
  </si>
  <si>
    <t>Melting_Curves/meltCurve_Q5VYV7_SLX4IP.pdf</t>
  </si>
  <si>
    <t>Melting_Curves/meltCurve_Q5VZE5_NAA35.pdf</t>
  </si>
  <si>
    <t>Melting_Curves/meltCurve_Q5VZK9_LRRC16A.pdf</t>
  </si>
  <si>
    <t>Melting_Curves/meltCurve_Q5VZL5_4_ZMYM4.pdf</t>
  </si>
  <si>
    <t>Melting_Curves/meltCurve_Q5VZM2_2_RRAGB.pdf</t>
  </si>
  <si>
    <t>Melting_Curves/meltCurve_Q5W0B1_RNF219.pdf</t>
  </si>
  <si>
    <t>Melting_Curves/meltCurve_Q5W0V3_FAM160B1.pdf</t>
  </si>
  <si>
    <t>Melting_Curves/meltCurve_Q5XLC2_PFKFB4.pdf</t>
  </si>
  <si>
    <t>Melting_Curves/meltCurve_Q5XPI4_RNF123.pdf</t>
  </si>
  <si>
    <t>Melting_Curves/meltCurve_Q5XUX1_3_FBXW9.pdf</t>
  </si>
  <si>
    <t>Melting_Curves/meltCurve_Q63HM1_AFMID.pdf</t>
  </si>
  <si>
    <t>Melting_Curves/meltCurve_Q63HN8_RNF213.pdf</t>
  </si>
  <si>
    <t>Melting_Curves/meltCurve_Q63HQ0_AP1AR.pdf</t>
  </si>
  <si>
    <t>Melting_Curves/meltCurve_Q658Y4_FAM91A1.pdf</t>
  </si>
  <si>
    <t>Melting_Curves/meltCurve_Q659A1_NARG2.pdf</t>
  </si>
  <si>
    <t>Melting_Curves/meltCurve_Q659C4_LARP1B.pdf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</si>
  <si>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</si>
  <si>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</si>
  <si>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</si>
  <si>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</si>
  <si>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</si>
  <si>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Melting_Curves/meltCurve_Q676U5_2_ATG16L1.pdf</t>
  </si>
  <si>
    <t>Melting_Curves/meltCurve_Q68CP9_ARID2.pdf</t>
  </si>
  <si>
    <t>Melting_Curves/meltCurve_Q68CQ4_DIEXF.pdf</t>
  </si>
  <si>
    <t>Melting_Curves/meltCurve_Q68CZ6_HAUS3.pdf</t>
  </si>
  <si>
    <t>Melting_Curves/meltCurve_Q68D10_SPTY2D1.pdf</t>
  </si>
  <si>
    <t>Melting_Curves/meltCurve_Q68D20_PMS2CL.pdf</t>
  </si>
  <si>
    <t>Melting_Curves/meltCurve_Q68DC2_ANKS6.pdf</t>
  </si>
  <si>
    <t>Melting_Curves/meltCurve_Q68DK2_2_ZFYVE26.pdf</t>
  </si>
  <si>
    <t>Melting_Curves/meltCurve_Q68DQ2_CRYBG3.pdf</t>
  </si>
  <si>
    <t>Melting_Curves/meltCurve_Q68E01_2_INTS3.pdf</t>
  </si>
  <si>
    <t>Melting_Curves/meltCurve_Q68EM7_ARHGAP17.pdf</t>
  </si>
  <si>
    <t>Melting_Curves/meltCurve_Q69YN2_CWF19L1.pdf</t>
  </si>
  <si>
    <t>Melting_Curves/meltCurve_Q69YN4_3_KIAA1429.pdf</t>
  </si>
  <si>
    <t>Melting_Curves/meltCurve_Q69YQ0_2_SPECC1L.pdf</t>
  </si>
  <si>
    <t>Melting_Curves/meltCurve_Q6AHZ1_ZNF518A.pdf</t>
  </si>
  <si>
    <t>Melting_Curves/meltCurve_Q6AI08_HEATR6.pdf</t>
  </si>
  <si>
    <t>Melting_Curves/meltCurve_Q6AI12_ANKRD40.pdf</t>
  </si>
  <si>
    <t>Melting_Curves/meltCurve_Q6AI39_GLTSCR1L.pdf</t>
  </si>
  <si>
    <t>Melting_Curves/meltCurve_Q6AWC2_3_WWC2.pdf</t>
  </si>
  <si>
    <t>Melting_Curves/meltCurve_Q6AZZ1_TRIM68.pdf</t>
  </si>
  <si>
    <t>Melting_Curves/meltCurve_Q6BCY4_CYB5R2.pdf</t>
  </si>
  <si>
    <t>Melting_Curves/meltCurve_Q6BDS2_UHRF1BP1.pdf</t>
  </si>
  <si>
    <t>Melting_Curves/meltCurve_Q6DD87_ZNF787.pdf</t>
  </si>
  <si>
    <t>Melting_Curves/meltCurve_Q6DHV7_3_ADAL.pdf</t>
  </si>
  <si>
    <t>Melting_Curves/meltCurve_Q6DKI1_RPL7L1.pdf</t>
  </si>
  <si>
    <t>Melting_Curves/meltCurve_Q6DKJ4_NXN.pdf</t>
  </si>
  <si>
    <t>Melting_Curves/meltCurve_Q6DKK2_TTC19.pdf</t>
  </si>
  <si>
    <t>Melting_Curves/meltCurve_Q6DN90_2_IQSEC1.pdf</t>
  </si>
  <si>
    <t>Melting_Curves/meltCurve_Q6DT37_CDC42BPG.pdf</t>
  </si>
  <si>
    <t>Melting_Curves/meltCurve_Q6EEV4_2_POLR2M.pdf</t>
  </si>
  <si>
    <t>Melting_Curves/meltCurve_Q6EMK4_VASN.pdf</t>
  </si>
  <si>
    <t>Melting_Curves/meltCurve_Q6F5E8_RLTPR.pdf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</si>
  <si>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</si>
  <si>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</si>
  <si>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</si>
  <si>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</si>
  <si>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</si>
  <si>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Melting_Curves/meltCurve_Q6GYQ0_RALGAPA1.pdf</t>
  </si>
  <si>
    <t>Melting_Curves/meltCurve_Q6I9Y2_THOC7.pdf</t>
  </si>
  <si>
    <t>Melting_Curves/meltCurve_Q6IA69_NADSYN1.pdf</t>
  </si>
  <si>
    <t>Melting_Curves/meltCurve_Q6IA86_3_ELP2.pdf</t>
  </si>
  <si>
    <t>Melting_Curves/meltCurve_Q6IAA8_LAMTOR1.pdf</t>
  </si>
  <si>
    <t>Melting_Curves/meltCurve_Q6IBS0_TWF2.pdf</t>
  </si>
  <si>
    <t>Melting_Curves/meltCurve_Q6IBW4_NCAPH2.pdf</t>
  </si>
  <si>
    <t>Melting_Curves/meltCurve_Q6ICB0_DESI1.pdf</t>
  </si>
  <si>
    <t>Melting_Curves/meltCurve_Q6ICL3_3_TANGO2.pdf</t>
  </si>
  <si>
    <t>Melting_Curves/meltCurve_Q6IE81_2_PHF17.pdf</t>
  </si>
  <si>
    <t>Melting_Curves/meltCurve_Q6IN84_MRM1.pdf</t>
  </si>
  <si>
    <t>Melting_Curves/meltCurve_Q6IN85_SMEK1.pdf</t>
  </si>
  <si>
    <t>Melting_Curves/meltCurve_Q6IPR1_LYRM5.pdf</t>
  </si>
  <si>
    <t>Melting_Curves/meltCurve_Q6IPR3_TYW3.pdf</t>
  </si>
  <si>
    <t>Melting_Curves/meltCurve_Q6IQ22_RAB12.pdf</t>
  </si>
  <si>
    <t>Melting_Curves/meltCurve_Q6IQ26_2_DENND5A.pdf</t>
  </si>
  <si>
    <t>Melting_Curves/meltCurve_Q6IQ32_ADNP2.pdf</t>
  </si>
  <si>
    <t>Melting_Curves/meltCurve_Q6IQ49_2_SDE2.pdf</t>
  </si>
  <si>
    <t>Melting_Curves/meltCurve_Q6JBY9_RCSD1.pdf</t>
  </si>
  <si>
    <t>Melting_Curves/meltCurve_Q6KC79_2_NIPBL.pdf</t>
  </si>
  <si>
    <t>Melting_Curves/meltCurve_Q6L8Q7_2_PDE12.pdf</t>
  </si>
  <si>
    <t>Melting_Curves/meltCurve_Q6MZP7_LIN54.pdf</t>
  </si>
  <si>
    <t>Melting_Curves/meltCurve_Q6MZP7_4_LIN54.pdf</t>
  </si>
  <si>
    <t>Melting_Curves/meltCurve_Q6N021_2_TET2.pdf</t>
  </si>
  <si>
    <t>Melting_Curves/meltCurve_Q6N043_2_ZNF280D.pdf</t>
  </si>
  <si>
    <t>Melting_Curves/meltCurve_Q6N063_OGFOD2.pdf</t>
  </si>
  <si>
    <t>Melting_Curves/meltCurve_Q6N069_NAA16.pdf</t>
  </si>
  <si>
    <t>Melting_Curves/meltCurve_Q6NS38_ALKBH2.pdf</t>
  </si>
  <si>
    <t>Melting_Curves/meltCurve_Q6NSB6_MKRN3.pdf</t>
  </si>
  <si>
    <t>Melting_Curves/meltCurve_Q6NSH3_CT45A5.pdf</t>
  </si>
  <si>
    <t>Melting_Curves/meltCurve_Q6NSJ2_PHLDB3.pdf</t>
  </si>
  <si>
    <t>Melting_Curves/meltCurve_Q6NSZ9_ZSCAN25.pdf</t>
  </si>
  <si>
    <t>Melting_Curves/meltCurve_Q6NT76_2_HMBOX1.pdf</t>
  </si>
  <si>
    <t>Melting_Curves/meltCurve_Q6NTE8_C5orf45.pdf</t>
  </si>
  <si>
    <t>Melting_Curves/meltCurve_Q6NUM6_TYW1B.pdf</t>
  </si>
  <si>
    <t>Melting_Curves/meltCurve_Q6NUQ1_RINT1.pdf</t>
  </si>
  <si>
    <t>Melting_Curves/meltCurve_Q6NUQ4_2_TMEM214.pdf</t>
  </si>
  <si>
    <t>Melting_Curves/meltCurve_Q6NVY1_HIBCH.pdf</t>
  </si>
  <si>
    <t>Melting_Curves/meltCurve_Q6NW34_2_C3orf17.pdf</t>
  </si>
  <si>
    <t>Melting_Curves/meltCurve_Q6NXE6_2_ARMC6.pdf</t>
  </si>
  <si>
    <t>Melting_Curves/meltCurve_Q6NXT1_ANKRD54.pdf</t>
  </si>
  <si>
    <t>Melting_Curves/meltCurve_Q6NYC8_PPP1R18.pdf</t>
  </si>
  <si>
    <t>Melting_Curves/meltCurve_Q6NZ36_3_FAAP20.pdf</t>
  </si>
  <si>
    <t>Melting_Curves/meltCurve_Q6NZI2_PTRF.pdf</t>
  </si>
  <si>
    <t>Melting_Curves/meltCurve_Q6NZY4_ZCCHC8.pdf</t>
  </si>
  <si>
    <t>Melting_Curves/meltCurve_Q6P052_MAN1A1.pdf</t>
  </si>
  <si>
    <t>Melting_Curves/meltCurve_Q6P0N0_MIS18BP1.pdf</t>
  </si>
  <si>
    <t>Melting_Curves/meltCurve_Q6P158_DHX57.pdf</t>
  </si>
  <si>
    <t>Melting_Curves/meltCurve_Q6P161_MRPL54.pdf</t>
  </si>
  <si>
    <t>Melting_Curves/meltCurve_Q6P1J9_CDC73.pdf</t>
  </si>
  <si>
    <t>Melting_Curves/meltCurve_Q6P1K2_PMF1.pdf</t>
  </si>
  <si>
    <t>Melting_Curves/meltCurve_Q6P1K8_GTF2H2C.pdf</t>
  </si>
  <si>
    <t>Melting_Curves/meltCurve_Q6P1L5_FAM117B.pdf</t>
  </si>
  <si>
    <t>Melting_Curves/meltCurve_Q6P1L8_MRPL14.pdf</t>
  </si>
  <si>
    <t>Melting_Curves/meltCurve_Q6P1M0_SLC27A4.pdf</t>
  </si>
  <si>
    <t>Melting_Curves/meltCurve_Q6P1M9_ARMCX5.pdf</t>
  </si>
  <si>
    <t>Melting_Curves/meltCurve_Q6P1N0_2_CC2D1A.pdf</t>
  </si>
  <si>
    <t>Melting_Curves/meltCurve_Q6P1N9_TATDN1.pdf</t>
  </si>
  <si>
    <t>Melting_Curves/meltCurve_Q6P1Q9_METTL2B.pdf</t>
  </si>
  <si>
    <t>Melting_Curves/meltCurve_Q6P1R4_DUS1L.pdf</t>
  </si>
  <si>
    <t>Melting_Curves/meltCurve_Q6P1X5_TAF2.pdf</t>
  </si>
  <si>
    <t>Melting_Curves/meltCurve_Q6P1X6_C8orf82.pdf</t>
  </si>
  <si>
    <t>Melting_Curves/meltCurve_Q6P275_STAG1.pdf</t>
  </si>
  <si>
    <t>Melting_Curves/meltCurve_Q6P2C8_MED27.pdf</t>
  </si>
  <si>
    <t>Melting_Curves/meltCurve_Q6P2E9_EDC4.pdf</t>
  </si>
  <si>
    <t>Melting_Curves/meltCurve_Q6P2H3_2_CEP85.pdf</t>
  </si>
  <si>
    <t>Melting_Curves/meltCurve_Q6P2I3_FAHD2B.pdf</t>
  </si>
  <si>
    <t>Melting_Curves/meltCurve_Q6P2P2_PRMT10.pdf</t>
  </si>
  <si>
    <t>Melting_Curves/meltCurve_Q6P2Q9_PRPF8.pdf</t>
  </si>
  <si>
    <t>Melting_Curves/meltCurve_Q6P3S1_5_DENND1B.pdf</t>
  </si>
  <si>
    <t>Melting_Curves/meltCurve_Q6P3S6_FBXO42.pdf</t>
  </si>
  <si>
    <t>Melting_Curves/meltCurve_Q6P3W7_SCYL2.pdf</t>
  </si>
  <si>
    <t>Melting_Curves/meltCurve_Q6P3X3_TTC27.pdf</t>
  </si>
  <si>
    <t>Melting_Curves/meltCurve_Q6P4A8_PLBD1.pdf</t>
  </si>
  <si>
    <t>Melting_Curves/meltCurve_Q6P4F2_FDX1L.pdf</t>
  </si>
  <si>
    <t>Melting_Curves/meltCurve_Q6P4I2_WDR73.pdf</t>
  </si>
  <si>
    <t>Melting_Curves/meltCurve_Q6P582_MZT2A.pdf</t>
  </si>
  <si>
    <t>Melting_Curves/meltCurve_Q6P587_FAHD1.pdf</t>
  </si>
  <si>
    <t>Melting_Curves/meltCurve_Q6P5Z2_PKN3.pdf</t>
  </si>
  <si>
    <t>Melting_Curves/meltCurve_Q6P6B7_2_ANKRD16.pdf</t>
  </si>
  <si>
    <t>Melting_Curves/meltCurve_Q6P6C2_ALKBH5.pdf</t>
  </si>
  <si>
    <t>Melting_Curves/meltCurve_Q6P9B6_KIAA1609.pdf</t>
  </si>
  <si>
    <t>Melting_Curves/meltCurve_Q6P9B9_INTS5.pdf</t>
  </si>
  <si>
    <t>Melting_Curves/meltCurve_Q6PCB5_RSBN1L.pdf</t>
  </si>
  <si>
    <t>Melting_Curves/meltCurve_Q6PCE3_PGM2L1.pdf</t>
  </si>
  <si>
    <t>Melting_Curves/meltCurve_Q6PCT2_2_FBXL19.pdf</t>
  </si>
  <si>
    <t>Melting_Curves/meltCurve_Q6PD62_CTR9.pdf</t>
  </si>
  <si>
    <t>Melting_Curves/meltCurve_Q6PD74_AAGAB.pdf</t>
  </si>
  <si>
    <t>Melting_Curves/meltCurve_Q6PEV8_2_FAM199X.pdf</t>
  </si>
  <si>
    <t>Melting_Curves/meltCurve_Q6PFW1_7_PPIP5K1.pdf</t>
  </si>
  <si>
    <t>Melting_Curves/meltCurve_Q6PGN9_2_PSRC1.pdf</t>
  </si>
  <si>
    <t>Melting_Curves/meltCurve_Q6PH81_2_C16orf87.pdf</t>
  </si>
  <si>
    <t>Melting_Curves/meltCurve_Q6PHR2_3_ULK3.pdf</t>
  </si>
  <si>
    <t>Melting_Curves/meltCurve_Q6PI47_2_KCTD18.pdf</t>
  </si>
  <si>
    <t>Melting_Curves/meltCurve_Q6PI48_DARS2.pdf</t>
  </si>
  <si>
    <t>Melting_Curves/meltCurve_Q6PI57_TLE3.pdf</t>
  </si>
  <si>
    <t>Melting_Curves/meltCurve_Q6PID6_TTC33.pdf</t>
  </si>
  <si>
    <t>Melting_Curves/meltCurve_Q6PII3_CCDC174.pdf</t>
  </si>
  <si>
    <t>Melting_Curves/meltCurve_Q6PII5_2_HAGHL.pdf</t>
  </si>
  <si>
    <t>Melting_Curves/meltCurve_Q6PIJ6_FBXO38.pdf</t>
  </si>
  <si>
    <t>Melting_Curves/meltCurve_Q6PIW4_2_FIGNL1.pdf</t>
  </si>
  <si>
    <t>Melting_Curves/meltCurve_Q6PJ61_FBXO46.pdf</t>
  </si>
  <si>
    <t>Melting_Curves/meltCurve_Q6PJ69_TRIM65.pdf</t>
  </si>
  <si>
    <t>Melting_Curves/meltCurve_Q6PJG2_ELMSAN1.pdf</t>
  </si>
  <si>
    <t>Melting_Curves/meltCurve_Q6PJG6_BRAT1.pdf</t>
  </si>
  <si>
    <t>Melting_Curves/meltCurve_Q6PJI9_WDR59.pdf</t>
  </si>
  <si>
    <t>Melting_Curves/meltCurve_Q6PJT7_3_ZC3H14.pdf</t>
  </si>
  <si>
    <t>Melting_Curves/meltCurve_Q6PJT7_5_ZC3H14.pdf</t>
  </si>
  <si>
    <t>Melting_Curves/meltCurve_Q6PJW8_2_CNST.pdf</t>
  </si>
  <si>
    <t>Melting_Curves/meltCurve_Q6PK04_CCDC137.pdf</t>
  </si>
  <si>
    <t>Melting_Curves/meltCurve_Q6PKG0_LARP1.pdf</t>
  </si>
  <si>
    <t>Melting_Curves/meltCurve_Q6PL18_ATAD2.pdf</t>
  </si>
  <si>
    <t>Melting_Curves/meltCurve_Q6PL24_TMED8.pdf</t>
  </si>
  <si>
    <t>Melting_Curves/meltCurve_Q6QNY0_BLOC1S3.pdf</t>
  </si>
  <si>
    <t>Melting_Curves/meltCurve_Q6QNY1_BLOC1S2.pdf</t>
  </si>
  <si>
    <t>Melting_Curves/meltCurve_Q6R327_RICTOR.pdf</t>
  </si>
  <si>
    <t>Melting_Curves/meltCurve_Q6RI45_5_BRWD3.pdf</t>
  </si>
  <si>
    <t>Melting_Curves/meltCurve_Q6RW13_2_AGTRAP.pdf</t>
  </si>
  <si>
    <t>Melting_Curves/meltCurve_Q6SPF0_SAMD1.pdf</t>
  </si>
  <si>
    <t>Melting_Curves/meltCurve_Q6STE5_2_SMARCD3.pdf</t>
  </si>
  <si>
    <t>Melting_Curves/meltCurve_Q6T4P5_4_LPPR3.pdf</t>
  </si>
  <si>
    <t>Melting_Curves/meltCurve_Q6UB35_MTHFD1L.pdf</t>
  </si>
  <si>
    <t>Melting_Curves/meltCurve_Q6UB99_ANKRD11.pdf</t>
  </si>
  <si>
    <t>Melting_Curves/meltCurve_Q6ULP2_5_AFTPH.pdf</t>
  </si>
  <si>
    <t>Melting_Curves/meltCurve_Q6UN15_FIP1L1.pdf</t>
  </si>
  <si>
    <t>Melting_Curves/meltCurve_Q6UN15_3_FIP1L1.pdf</t>
  </si>
  <si>
    <t>Melting_Curves/meltCurve_Q6UUV7_3_CRTC3.pdf</t>
  </si>
  <si>
    <t>Melting_Curves/meltCurve_Q6UUV9_3_CRTC1.pdf</t>
  </si>
  <si>
    <t>Melting_Curves/meltCurve_Q6UVJ0_SASS6.pdf</t>
  </si>
  <si>
    <t>Melting_Curves/meltCurve_Q6UW63_KDELC1.pdf</t>
  </si>
  <si>
    <t>Melting_Curves/meltCurve_Q6UWE0_LRSAM1.pdf</t>
  </si>
  <si>
    <t>Melting_Curves/meltCurve_Q6UWP2_DHRS11.pdf</t>
  </si>
  <si>
    <t>Melting_Curves/meltCurve_Q6UWP8_SBSN.pdf</t>
  </si>
  <si>
    <t>Melting_Curves/meltCurve_Q6UX04_CWC27.pdf</t>
  </si>
  <si>
    <t>Melting_Curves/meltCurve_Q6UXH1_4_CRELD2.pdf</t>
  </si>
  <si>
    <t>Melting_Curves/meltCurve_Q6UXN9_WDR82.pdf</t>
  </si>
  <si>
    <t>Melting_Curves/meltCurve_Q6UXV4_APOOL.pdf</t>
  </si>
  <si>
    <t>Melting_Curves/meltCurve_Q6VY07_PACS1.pdf</t>
  </si>
  <si>
    <t>Melting_Curves/meltCurve_Q6W2J9_4_BCOR.pdf</t>
  </si>
  <si>
    <t>Melting_Curves/meltCurve_Q6WCQ1_MPRIP.pdf</t>
  </si>
  <si>
    <t>Melting_Curves/meltCurve_Q6WKZ4_RAB11FIP1.pdf</t>
  </si>
  <si>
    <t>Melting_Curves/meltCurve_Q6WRI0_IGSF10.pdf</t>
  </si>
  <si>
    <t>Melting_Curves/meltCurve_Q6XQN6_NAPRT1.pdf</t>
  </si>
  <si>
    <t>Melting_Curves/meltCurve_Q6XZF7_DNMBP.pdf</t>
  </si>
  <si>
    <t>Melting_Curves/meltCurve_Q6Y7W6_GIGYF2.pdf</t>
  </si>
  <si>
    <t>Melting_Curves/meltCurve_Q6YHU6_3_THADA.pdf</t>
  </si>
  <si>
    <t>Melting_Curves/meltCurve_Q6YN16_HSDL2.pdf</t>
  </si>
  <si>
    <t>Melting_Curves/meltCurve_Q6YP21_3_CCBL2.pdf</t>
  </si>
  <si>
    <t>Melting_Curves/meltCurve_Q6ZMI0_PPP1R21.pdf</t>
  </si>
  <si>
    <t>Melting_Curves/meltCurve_Q6ZN04_MEX3B.pdf</t>
  </si>
  <si>
    <t>Melting_Curves/meltCurve_Q6ZN06_ZNF813.pdf</t>
  </si>
  <si>
    <t>Melting_Curves/meltCurve_Q6ZN17_LIN28B.pdf</t>
  </si>
  <si>
    <t>Melting_Curves/meltCurve_Q6ZN18_2_AEBP2.pdf</t>
  </si>
  <si>
    <t>Melting_Curves/meltCurve_Q6ZN28_MACC1.pdf</t>
  </si>
  <si>
    <t>Melting_Curves/meltCurve_Q6ZN55_ZNF574.pdf</t>
  </si>
  <si>
    <t>Melting_Curves/meltCurve_Q6ZNB6_NFXL1.pdf</t>
  </si>
  <si>
    <t>Melting_Curves/meltCurve_Q6ZNG1_ZNF600.pdf</t>
  </si>
  <si>
    <t>Melting_Curves/meltCurve_Q6ZNJ1_2_NBEAL2.pdf</t>
  </si>
  <si>
    <t>Melting_Curves/meltCurve_Q6ZNW5_GDPGP1.pdf</t>
  </si>
  <si>
    <t>Melting_Curves/meltCurve_Q6ZQN7_SLCO4C1.pdf</t>
  </si>
  <si>
    <t>Melting_Curves/meltCurve_Q6ZRP7_QSOX2.pdf</t>
  </si>
  <si>
    <t>Melting_Curves/meltCurve_Q6ZRS2_2_SRCAP.pdf</t>
  </si>
  <si>
    <t>Melting_Curves/meltCurve_Q6ZS11_RINL.pdf</t>
  </si>
  <si>
    <t>Melting_Curves/meltCurve_Q6ZS17_2_FAM65A.pdf</t>
  </si>
  <si>
    <t>Melting_Curves/meltCurve_Q6ZSJ8_C1orf122.pdf</t>
  </si>
  <si>
    <t>Melting_Curves/meltCurve_Q6ZSZ5_2_ARHGEF18.pdf</t>
  </si>
  <si>
    <t>Melting_Curves/meltCurve_Q6ZT12_UBR3.pdf</t>
  </si>
  <si>
    <t>Melting_Curves/meltCurve_Q6ZT62_SH3BP1.pdf</t>
  </si>
  <si>
    <t>Melting_Curves/meltCurve_Q6ZTN6_ANKRD13D.pdf</t>
  </si>
  <si>
    <t>Melting_Curves/meltCurve_Q6ZU65_UBN2.pdf</t>
  </si>
  <si>
    <t>Melting_Curves/meltCurve_Q6ZUT1_3_C11orf57.pdf</t>
  </si>
  <si>
    <t>Melting_Curves/meltCurve_Q6ZV70_2_LANCL3.pdf</t>
  </si>
  <si>
    <t>Melting_Curves/meltCurve_Q6ZVK8_NUDT18.pdf</t>
  </si>
  <si>
    <t>Melting_Curves/meltCurve_Q6ZVM7_TOM1L2.pdf</t>
  </si>
  <si>
    <t>Melting_Curves/meltCurve_Q6ZW49_4_PAXIP1.pdf</t>
  </si>
  <si>
    <t>Melting_Curves/meltCurve_Q6ZYL4_GTF2H5.pdf</t>
  </si>
  <si>
    <t>Melting_Curves/meltCurve_Q709C8_3_VPS13C.pdf</t>
  </si>
  <si>
    <t>Melting_Curves/meltCurve_Q70CQ2_USP34.pdf</t>
  </si>
  <si>
    <t>Melting_Curves/meltCurve_Q70EK8_USP53.pdf</t>
  </si>
  <si>
    <t>Melting_Curves/meltCurve_Q70EL1_7_USP54.pdf</t>
  </si>
  <si>
    <t>Melting_Curves/meltCurve_Q70IA6_MOB2.pdf</t>
  </si>
  <si>
    <t>Melting_Curves/meltCurve_Q70J99_UNC13D.pdf</t>
  </si>
  <si>
    <t>Melting_Curves/meltCurve_Q70UQ0_4_IKBIP.pdf</t>
  </si>
  <si>
    <t>Melting_Curves/meltCurve_Q70Z53_FRA10AC1.pdf</t>
  </si>
  <si>
    <t>Melting_Curves/meltCurve_Q711Q0_C10orf71.pdf</t>
  </si>
  <si>
    <t>Melting_Curves/meltCurve_Q712K3_UBE2R2.pdf</t>
  </si>
  <si>
    <t>Melting_Curves/meltCurve_Q71F56_MED13L.pdf</t>
  </si>
  <si>
    <t>Melting_Curves/meltCurve_Q71RC2_3_LARP4.pdf</t>
  </si>
  <si>
    <t>Melting_Curves/meltCurve_Q71SY5_4_MED25.pdf</t>
  </si>
  <si>
    <t>Melting_Curves/meltCurve_Q71U36_2_TUBA1A.pdf</t>
  </si>
  <si>
    <t>Melting_Curves/meltCurve_Q71UI9_H2AFV.pdf</t>
  </si>
  <si>
    <t>Melting_Curves/meltCurve_Q71UM5_RPS27L.pdf</t>
  </si>
  <si>
    <t>Melting_Curves/meltCurve_Q75N03_CBLL1.pdf</t>
  </si>
  <si>
    <t>Melting_Curves/meltCurve_Q75QN2_2_INTS8.pdf</t>
  </si>
  <si>
    <t>Melting_Curves/meltCurve_Q765P7_MTSS1L.pdf</t>
  </si>
  <si>
    <t>Melting_Curves/meltCurve_Q76FK4_4_NOL8.pdf</t>
  </si>
  <si>
    <t>Melting_Curves/meltCurve_Q76I76_SSH2.pdf</t>
  </si>
  <si>
    <t>Melting_Curves/meltCurve_Q76N32_2_CEP68.pdf</t>
  </si>
  <si>
    <t>Melting_Curves/meltCurve_Q7KZ85_SUPT6H.pdf</t>
  </si>
  <si>
    <t>Melting_Curves/meltCurve_Q7KZF4_SND1.pdf</t>
  </si>
  <si>
    <t>Melting_Curves/meltCurve_Q7KZI7_14_MARK2.pdf</t>
  </si>
  <si>
    <t>Melting_Curves/meltCurve_Q7KZJ0_RAD51C.pdf</t>
  </si>
  <si>
    <t>Melting_Curves/meltCurve_Q7L014_DDX46.pdf</t>
  </si>
  <si>
    <t>Melting_Curves/meltCurve_Q7L099_2_RUFY3.pdf</t>
  </si>
  <si>
    <t>Melting_Curves/meltCurve_Q7L099_4_RUFY3.pdf</t>
  </si>
  <si>
    <t>Melting_Curves/meltCurve_Q7L0Y3_TRMT10C.pdf</t>
  </si>
  <si>
    <t>Melting_Curves/meltCurve_Q7L1Q6_BZW1.pdf</t>
  </si>
  <si>
    <t>Melting_Curves/meltCurve_Q7L1T6_CYB5R4.pdf</t>
  </si>
  <si>
    <t>Melting_Curves/meltCurve_Q7L1V2_MON1B.pdf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</si>
  <si>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</si>
  <si>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</si>
  <si>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</si>
  <si>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</si>
  <si>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</si>
  <si>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Melting_Curves/meltCurve_Q7L3T8_PARS2.pdf</t>
  </si>
  <si>
    <t>Melting_Curves/meltCurve_Q7L3V2_BOP.pdf</t>
  </si>
  <si>
    <t>Melting_Curves/meltCurve_Q7L4I2_RSRC2.pdf</t>
  </si>
  <si>
    <t>Melting_Curves/meltCurve_Q7L523_RRAGA.pdf</t>
  </si>
  <si>
    <t>Melting_Curves/meltCurve_Q7L576_CYFIP1.pdf</t>
  </si>
  <si>
    <t>Melting_Curves/meltCurve_Q7L590_2_MCM10.pdf</t>
  </si>
  <si>
    <t>Melting_Curves/meltCurve_Q7L5D6_GET4.pdf</t>
  </si>
  <si>
    <t>Melting_Curves/meltCurve_Q7L5Y1_ENOSF1.pdf</t>
  </si>
  <si>
    <t>Melting_Curves/meltCurve_Q7L5Y9_MAEA.pdf</t>
  </si>
  <si>
    <t>Melting_Curves/meltCurve_Q7L775_EPM2AIP1.pdf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</si>
  <si>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</si>
  <si>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</si>
  <si>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</si>
  <si>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</si>
  <si>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Melting_Curves/meltCurve_Q7L945_ZNF627.pdf</t>
  </si>
  <si>
    <t>Melting_Curves/meltCurve_Q7LBC6_KDM3B.pdf</t>
  </si>
  <si>
    <t>Melting_Curves/meltCurve_Q7LBR1_CHMP1B.pdf</t>
  </si>
  <si>
    <t>Melting_Curves/meltCurve_Q7LDG7_RASGRP2.pdf</t>
  </si>
  <si>
    <t>Melting_Curves/meltCurve_Q7LG56_RRM2B.pdf</t>
  </si>
  <si>
    <t>Melting_Curves/meltCurve_Q7RTN6_6_STRADA.pdf</t>
  </si>
  <si>
    <t>Melting_Curves/meltCurve_Q7RTP6_MICAL3.pdf</t>
  </si>
  <si>
    <t>Melting_Curves/meltCurve_Q7RTS7_KRT74.pdf</t>
  </si>
  <si>
    <t>Melting_Curves/meltCurve_Q7RTS9_DYM.pdf</t>
  </si>
  <si>
    <t>Melting_Curves/meltCurve_Q7RTV0_PHF5A.pdf</t>
  </si>
  <si>
    <t>Melting_Curves/meltCurve_Q7Z2E3_3_APTX.pdf</t>
  </si>
  <si>
    <t>Melting_Curves/meltCurve_Q7Z2K8_GPRIN1.pdf</t>
  </si>
  <si>
    <t>Melting_Curves/meltCurve_Q7Z2T5_TRMT1L.pdf</t>
  </si>
  <si>
    <t>Melting_Curves/meltCurve_Q7Z2W4_ZC3HAV1.pdf</t>
  </si>
  <si>
    <t>Melting_Curves/meltCurve_Q7Z2Z1_2_TICRR.pdf</t>
  </si>
  <si>
    <t>Melting_Curves/meltCurve_Q7Z2Z2_EFTUD1.pdf</t>
  </si>
  <si>
    <t>Melting_Curves/meltCurve_Q7Z309_FAM122B.pdf</t>
  </si>
  <si>
    <t>Melting_Curves/meltCurve_Q7Z333_3_SETX.pdf</t>
  </si>
  <si>
    <t>Melting_Curves/meltCurve_Q7Z392_TRAPPC11.pdf</t>
  </si>
  <si>
    <t>Melting_Curves/meltCurve_Q7Z3B3_KANSL1.pdf</t>
  </si>
  <si>
    <t>Melting_Curves/meltCurve_Q7Z3D4_LYSMD3.pdf</t>
  </si>
  <si>
    <t>Melting_Curves/meltCurve_Q7Z3E2_C10orf118.pdf</t>
  </si>
  <si>
    <t>Melting_Curves/meltCurve_Q7Z3J2_C16orf62.pdf</t>
  </si>
  <si>
    <t>Melting_Curves/meltCurve_Q7Z3K3_5_POGZ.pdf</t>
  </si>
  <si>
    <t>Melting_Curves/meltCurve_Q7Z3K6_4_MIER3.pdf</t>
  </si>
  <si>
    <t>Melting_Curves/meltCurve_Q7Z3T8_ZFYVE16.pdf</t>
  </si>
  <si>
    <t>Melting_Curves/meltCurve_Q7Z3V4_UBE3B.pdf</t>
  </si>
  <si>
    <t>Melting_Curves/meltCurve_Q7Z3Z2_RD3.pdf</t>
  </si>
  <si>
    <t>Melting_Curves/meltCurve_Q7Z401_DENND4A.pdf</t>
  </si>
  <si>
    <t>Melting_Curves/meltCurve_Q7Z406_MYH14.pdf</t>
  </si>
  <si>
    <t>Melting_Curves/meltCurve_Q7Z417_NUFIP2.pdf</t>
  </si>
  <si>
    <t>Melting_Curves/meltCurve_Q7Z422_2_SZRD1.pdf</t>
  </si>
  <si>
    <t>Melting_Curves/meltCurve_Q7Z434_MAVS.pdf</t>
  </si>
  <si>
    <t>Melting_Curves/meltCurve_Q7Z460_CLASP1.pdf</t>
  </si>
  <si>
    <t>Melting_Curves/meltCurve_Q7Z478_DHX29.pdf</t>
  </si>
  <si>
    <t>Melting_Curves/meltCurve_Q7Z494_2_NPHP3.pdf</t>
  </si>
  <si>
    <t>Melting_Curves/meltCurve_Q7Z4G1_COMMD6.pdf</t>
  </si>
  <si>
    <t>Melting_Curves/meltCurve_Q7Z4H3_HDDC2.pdf</t>
  </si>
  <si>
    <t>Melting_Curves/meltCurve_Q7Z4H7_HAUS6.pdf</t>
  </si>
  <si>
    <t>Melting_Curves/meltCurve_Q7Z4H8_KDELC2.pdf</t>
  </si>
  <si>
    <t>Melting_Curves/meltCurve_Q7Z4I7_4_LIMS2.pdf</t>
  </si>
  <si>
    <t>Melting_Curves/meltCurve_Q7Z4Q2_HEATR3.pdf</t>
  </si>
  <si>
    <t>Melting_Curves/meltCurve_Q7Z4S6_3_KIF21A.pdf</t>
  </si>
  <si>
    <t>Melting_Curves/meltCurve_Q7Z4V5_HDGFRP2.pdf</t>
  </si>
  <si>
    <t>Melting_Curves/meltCurve_Q7Z4W1_DCXR.pdf</t>
  </si>
  <si>
    <t>Melting_Curves/meltCurve_Q7Z591_AKNA.pdf</t>
  </si>
  <si>
    <t>Melting_Curves/meltCurve_Q7Z5J4_3_RAI1.pdf</t>
  </si>
  <si>
    <t>Melting_Curves/meltCurve_Q7Z5K2_WAPAL.pdf</t>
  </si>
  <si>
    <t>Melting_Curves/meltCurve_Q7Z5L2_2_R3HCC1L.pdf</t>
  </si>
  <si>
    <t>Melting_Curves/meltCurve_Q7Z5L9_2_IRF2BP2.pdf</t>
  </si>
  <si>
    <t>Melting_Curves/meltCurve_Q7Z5W3_BCDIN3D.pdf</t>
  </si>
  <si>
    <t>Melting_Curves/meltCurve_Q7Z5Y7_KCTD20.pdf</t>
  </si>
  <si>
    <t>Melting_Curves/meltCurve_Q7Z624_CAMKMT.pdf</t>
  </si>
  <si>
    <t>Melting_Curves/meltCurve_Q7Z6B0_2_CCDC91.pdf</t>
  </si>
  <si>
    <t>Melting_Curves/meltCurve_Q7Z6E9_RBBP6.pdf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</si>
  <si>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</si>
  <si>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</si>
  <si>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</si>
  <si>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</si>
  <si>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Melting_Curves/meltCurve_Q7Z6V5_ADAT2.pdf</t>
  </si>
  <si>
    <t>Melting_Curves/meltCurve_Q7Z794_KRT77.pdf</t>
  </si>
  <si>
    <t>Melting_Curves/meltCurve_Q7Z7A1_5_CNTRL.pdf</t>
  </si>
  <si>
    <t>Melting_Curves/meltCurve_Q7Z7A3_CTU1.pdf</t>
  </si>
  <si>
    <t>Melting_Curves/meltCurve_Q7Z7A4_PXK.pdf</t>
  </si>
  <si>
    <t>Melting_Curves/meltCurve_Q7Z7C8_TAF8.pdf</t>
  </si>
  <si>
    <t>Melting_Curves/meltCurve_Q7Z7E8_UBE2Q1.pdf</t>
  </si>
  <si>
    <t>Melting_Curves/meltCurve_Q7Z7F0_KIAA0907.pdf</t>
  </si>
  <si>
    <t>Melting_Curves/meltCurve_Q7Z7G8_2_VPS13B.pdf</t>
  </si>
  <si>
    <t>Melting_Curves/meltCurve_Q7Z7H5_3_TMED4.pdf</t>
  </si>
  <si>
    <t>Melting_Curves/meltCurve_Q7Z7K0_CMC1.pdf</t>
  </si>
  <si>
    <t>Melting_Curves/meltCurve_Q7Z7K6_3_CENPV.pdf</t>
  </si>
  <si>
    <t>Melting_Curves/meltCurve_Q86SE9_PCGF5.pdf</t>
  </si>
  <si>
    <t>Melting_Curves/meltCurve_Q86SG6_NEK8.pdf</t>
  </si>
  <si>
    <t>Melting_Curves/meltCurve_Q86SJ2_AMIGO2.pdf</t>
  </si>
  <si>
    <t>Melting_Curves/meltCurve_Q86SQ7_SDCCAG8.pdf</t>
  </si>
  <si>
    <t>Melting_Curves/meltCurve_Q86SX6_GLRX5.pdf</t>
  </si>
  <si>
    <t>Melting_Curves/meltCurve_Q86SZ2_TRAPPC6B.pdf</t>
  </si>
  <si>
    <t>Melting_Curves/meltCurve_Q86T24_ZBTB33.pdf</t>
  </si>
  <si>
    <t>Melting_Curves/meltCurve_Q86TA1_MOB3B.pdf</t>
  </si>
  <si>
    <t>Melting_Curves/meltCurve_Q86TB9_4_PATL1.pdf</t>
  </si>
  <si>
    <t>Melting_Curves/meltCurve_Q86TI0_TBC1D1.pdf</t>
  </si>
  <si>
    <t>Melting_Curves/meltCurve_Q86TI2_DPP9.pdf</t>
  </si>
  <si>
    <t>Melting_Curves/meltCurve_Q86TJ2_3_TADA2B.pdf</t>
  </si>
  <si>
    <t>Melting_Curves/meltCurve_Q86TN4_2_TRPT1.pdf</t>
  </si>
  <si>
    <t>Melting_Curves/meltCurve_Q86TP1_PRUNE.pdf</t>
  </si>
  <si>
    <t>Melting_Curves/meltCurve_Q86TU7_SETD3.pdf</t>
  </si>
  <si>
    <t>Melting_Curves/meltCurve_Q86TV2_LGMN.pdf</t>
  </si>
  <si>
    <t>Melting_Curves/meltCurve_Q86U28_ISCA2.pdf</t>
  </si>
  <si>
    <t>Melting_Curves/meltCurve_Q86U44_METTL3.pdf</t>
  </si>
  <si>
    <t>Melting_Curves/meltCurve_Q86U70_3_LDB1.pdf</t>
  </si>
  <si>
    <t>Melting_Curves/meltCurve_Q86U86_8_PBRM1.pdf</t>
  </si>
  <si>
    <t>Melting_Curves/meltCurve_Q86U90_YRDC.pdf</t>
  </si>
  <si>
    <t>Melting_Curves/meltCurve_Q86UA1_PRPF39.pdf</t>
  </si>
  <si>
    <t>Melting_Curves/meltCurve_Q86UE4_MTDH.pdf</t>
  </si>
  <si>
    <t>Melting_Curves/meltCurve_Q86UE8_2_TLK2.pdf</t>
  </si>
  <si>
    <t>Melting_Curves/meltCurve_Q86UK7_3_ZNF598.pdf</t>
  </si>
  <si>
    <t>Melting_Curves/meltCurve_Q86UP2_KTN1.pdf</t>
  </si>
  <si>
    <t>Melting_Curves/meltCurve_Q86US8_SMG6.pdf</t>
  </si>
  <si>
    <t>Melting_Curves/meltCurve_Q86UU0_3_BCL9L.pdf</t>
  </si>
  <si>
    <t>Melting_Curves/meltCurve_Q86UU1_2_PHLDB1.pdf</t>
  </si>
  <si>
    <t>Melting_Curves/meltCurve_Q86UV5_USP48.pdf</t>
  </si>
  <si>
    <t>Melting_Curves/meltCurve_Q86UW6_2_N4BP2.pdf</t>
  </si>
  <si>
    <t>Melting_Curves/meltCurve_Q86UX3_ABCC5.pdf</t>
  </si>
  <si>
    <t>Melting_Curves/meltCurve_Q86UX6_STK32C.pdf</t>
  </si>
  <si>
    <t>Melting_Curves/meltCurve_Q86UY0_TXNDC5.pdf</t>
  </si>
  <si>
    <t>Melting_Curves/meltCurve_Q86UY5_FAM83A.pdf</t>
  </si>
  <si>
    <t>Melting_Curves/meltCurve_Q86UY8_2_NT5DC3.pdf</t>
  </si>
  <si>
    <t>Melting_Curves/meltCurve_Q86V21_AACS.pdf</t>
  </si>
  <si>
    <t>Melting_Curves/meltCurve_Q86V48_LUZP1.pdf</t>
  </si>
  <si>
    <t>Melting_Curves/meltCurve_Q86V59_PNMAL1.pdf</t>
  </si>
  <si>
    <t>Melting_Curves/meltCurve_Q86V87_FAM160B2.pdf</t>
  </si>
  <si>
    <t>Melting_Curves/meltCurve_Q86VG3_C11orf74.pdf</t>
  </si>
  <si>
    <t>Melting_Curves/meltCurve_Q86VH3_hCG_1980662.pdf</t>
  </si>
  <si>
    <t>Melting_Curves/meltCurve_Q86VM9_ZC3H18.pdf</t>
  </si>
  <si>
    <t>Melting_Curves/meltCurve_Q86VN1_VPS36.pdf</t>
  </si>
  <si>
    <t>Melting_Curves/meltCurve_Q86VP1_2_TAX1BP1.pdf</t>
  </si>
  <si>
    <t>Melting_Curves/meltCurve_Q86VP6_CAND1.pdf</t>
  </si>
  <si>
    <t>Melting_Curves/meltCurve_Q86VQ1_GLCCI1.pdf</t>
  </si>
  <si>
    <t>Melting_Curves/meltCurve_Q86VQ6_TXNRD3.pdf</t>
  </si>
  <si>
    <t>Melting_Curves/meltCurve_Q86VR2_FAM134C.pdf</t>
  </si>
  <si>
    <t>Melting_Curves/meltCurve_Q86VS8_HOOK3.pdf</t>
  </si>
  <si>
    <t>Melting_Curves/meltCurve_Q86VU3_MAP4K2.pdf</t>
  </si>
  <si>
    <t>Melting_Curves/meltCurve_Q86VV8_3_RTTN.pdf</t>
  </si>
  <si>
    <t>Melting_Curves/meltCurve_Q86VX2_2_COMMD7.pdf</t>
  </si>
  <si>
    <t>Melting_Curves/meltCurve_Q86VX9_MON1A.pdf</t>
  </si>
  <si>
    <t>Melting_Curves/meltCurve_Q86VY4_TSPYL5.pdf</t>
  </si>
  <si>
    <t>Melting_Curves/meltCurve_Q86W11_ZSCAN30.pdf</t>
  </si>
  <si>
    <t>Melting_Curves/meltCurve_Q86W34_AMZ2.pdf</t>
  </si>
  <si>
    <t>Melting_Curves/meltCurve_Q86W42_THOC6.pdf</t>
  </si>
  <si>
    <t>Melting_Curves/meltCurve_Q86W50_METTL16.pdf</t>
  </si>
  <si>
    <t>Melting_Curves/meltCurve_Q86W56_2_PARG.pdf</t>
  </si>
  <si>
    <t>Melting_Curves/meltCurve_Q86W92_4_PPFIBP1.pdf</t>
  </si>
  <si>
    <t>Melting_Curves/meltCurve_Q86WA6_2_BPHL.pdf</t>
  </si>
  <si>
    <t>Melting_Curves/meltCurve_Q86WH2_RASSF3.pdf</t>
  </si>
  <si>
    <t>Melting_Curves/meltCurve_Q86WJ1_2_CHD1L.pdf</t>
  </si>
  <si>
    <t>Melting_Curves/meltCurve_Q86WN1_FCHSD1.pdf</t>
  </si>
  <si>
    <t>Melting_Curves/meltCurve_Q86WP2_3_GPBP1.pdf</t>
  </si>
  <si>
    <t>Melting_Curves/meltCurve_Q86WQ0_NR2C2AP.pdf</t>
  </si>
  <si>
    <t>Melting_Curves/meltCurve_Q86WR0_CCDC25.pdf</t>
  </si>
  <si>
    <t>Melting_Curves/meltCurve_Q86WR7_PROSER2.pdf</t>
  </si>
  <si>
    <t>Melting_Curves/meltCurve_Q86WX3_RPS19BP1.pdf</t>
  </si>
  <si>
    <t>Melting_Curves/meltCurve_Q86X10_3_RALGAPB.pdf</t>
  </si>
  <si>
    <t>Melting_Curves/meltCurve_Q86X27_RALGPS2.pdf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</si>
  <si>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</si>
  <si>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</si>
  <si>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</si>
  <si>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</si>
  <si>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</si>
  <si>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Melting_Curves/meltCurve_Q86XN6_2_ZNF761.pdf</t>
  </si>
  <si>
    <t>Melting_Curves/meltCurve_Q86XN8_MEX3D.pdf</t>
  </si>
  <si>
    <t>Melting_Curves/meltCurve_Q86XP3_DDX42.pdf</t>
  </si>
  <si>
    <t>Melting_Curves/meltCurve_Q86Y07_5_VRK2.pdf</t>
  </si>
  <si>
    <t>Melting_Curves/meltCurve_Q86Y22_COL23A1.pdf</t>
  </si>
  <si>
    <t>Melting_Curves/meltCurve_Q86Y37_CACUL1.pdf</t>
  </si>
  <si>
    <t>Melting_Curves/meltCurve_Q86Y56_HEATR2.pdf</t>
  </si>
  <si>
    <t>Melting_Curves/meltCurve_Q86Y79_PTRH1.pdf</t>
  </si>
  <si>
    <t>Melting_Curves/meltCurve_Q86Y82_STX12.pdf</t>
  </si>
  <si>
    <t>Melting_Curves/meltCurve_Q86Y91_2_KIF18B.pdf</t>
  </si>
  <si>
    <t>Melting_Curves/meltCurve_Q86YB8_ERO1LB.pdf</t>
  </si>
  <si>
    <t>Melting_Curves/meltCurve_Q86YH2_ZNF280B.pdf</t>
  </si>
  <si>
    <t>Melting_Curves/meltCurve_Q86YH6_PDSS2.pdf</t>
  </si>
  <si>
    <t>Melting_Curves/meltCurve_Q86YM7_HOMER1.pdf</t>
  </si>
  <si>
    <t>Melting_Curves/meltCurve_Q86YP4_GATAD2A.pdf</t>
  </si>
  <si>
    <t>Melting_Curves/meltCurve_Q86YR5_4_GPSM1.pdf</t>
  </si>
  <si>
    <t>Melting_Curves/meltCurve_Q86YS7_C2CD5.pdf</t>
  </si>
  <si>
    <t>Melting_Curves/meltCurve_Q86YV5_SGK223.pdf</t>
  </si>
  <si>
    <t>Melting_Curves/meltCurve_Q86YV9_HPS6.pdf</t>
  </si>
  <si>
    <t>Melting_Curves/meltCurve_Q86YZ3_HRNR.pdf</t>
  </si>
  <si>
    <t>Melting_Curves/meltCurve_Q8IU60_2_DCP2.pdf</t>
  </si>
  <si>
    <t>Melting_Curves/meltCurve_Q8IU81_IRF2BP1.pdf</t>
  </si>
  <si>
    <t>Melting_Curves/meltCurve_Q8IUC4_RHPN2.pdf</t>
  </si>
  <si>
    <t>Melting_Curves/meltCurve_Q8IUD2_ERC1.pdf</t>
  </si>
  <si>
    <t>Melting_Curves/meltCurve_Q8IUE1_TGIF2LX.pdf</t>
  </si>
  <si>
    <t>Melting_Curves/meltCurve_Q8IUF8_MINA.pdf</t>
  </si>
  <si>
    <t>Melting_Curves/meltCurve_Q8IUG5_MYO18B.pdf</t>
  </si>
  <si>
    <t>Melting_Curves/meltCurve_Q8IUH3_2_RBM45.pdf</t>
  </si>
  <si>
    <t>Melting_Curves/meltCurve_Q8IUI8_CRLF3.pdf</t>
  </si>
  <si>
    <t>Melting_Curves/meltCurve_Q8IUR0_TRAPPC5.pdf</t>
  </si>
  <si>
    <t>Melting_Curves/meltCurve_Q8IUW1_ANKRD10.pdf</t>
  </si>
  <si>
    <t>Melting_Curves/meltCurve_Q8IUZ5_AGXT2L2.pdf</t>
  </si>
  <si>
    <t>Melting_Curves/meltCurve_Q8IV08_PLD3.pdf</t>
  </si>
  <si>
    <t>Melting_Curves/meltCurve_Q8IV32_CCDC71.pdf</t>
  </si>
  <si>
    <t>Melting_Curves/meltCurve_Q8IV38_ANKMY2.pdf</t>
  </si>
  <si>
    <t>Melting_Curves/meltCurve_Q8IV48_ERI1.pdf</t>
  </si>
  <si>
    <t>Melting_Curves/meltCurve_Q8IV50_LYSMD2.pdf</t>
  </si>
  <si>
    <t>Melting_Curves/meltCurve_Q8IV63_3_VRK3.pdf</t>
  </si>
  <si>
    <t>Melting_Curves/meltCurve_Q8IVD9_NUDCD3.pdf</t>
  </si>
  <si>
    <t>Melting_Curves/meltCurve_Q8IVL1_10_NAV2.pdf</t>
  </si>
  <si>
    <t>Melting_Curves/meltCurve_Q8IVM0_CCDC50.pdf</t>
  </si>
  <si>
    <t>Melting_Curves/meltCurve_Q8IVV2_LOXHD1.pdf</t>
  </si>
  <si>
    <t>Melting_Curves/meltCurve_Q8IVW6_4_ARID3B.pdf</t>
  </si>
  <si>
    <t>Melting_Curves/meltCurve_Q8IW45_CARKD.pdf</t>
  </si>
  <si>
    <t>Melting_Curves/meltCurve_Q8IWB7_WDFY1.pdf</t>
  </si>
  <si>
    <t>Melting_Curves/meltCurve_Q8IWC1_2_MAP7D3.pdf</t>
  </si>
  <si>
    <t>Melting_Curves/meltCurve_Q8IWD4_CCDC117.pdf</t>
  </si>
  <si>
    <t>Melting_Curves/meltCurve_Q8IWF6_DENND6A.pdf</t>
  </si>
  <si>
    <t>Melting_Curves/meltCurve_Q8IWG1_2_WDR63.pdf</t>
  </si>
  <si>
    <t>Melting_Curves/meltCurve_Q8IWI9_MGA.pdf</t>
  </si>
  <si>
    <t>Melting_Curves/meltCurve_Q8IWJ2_GCC2.pdf</t>
  </si>
  <si>
    <t>Melting_Curves/meltCurve_Q8IWL3_HSCB.pdf</t>
  </si>
  <si>
    <t>Melting_Curves/meltCurve_Q8IWR0_ZC3H7A.pdf</t>
  </si>
  <si>
    <t>Melting_Curves/meltCurve_Q8IWT0_ZBTB8OS.pdf</t>
  </si>
  <si>
    <t>Melting_Curves/meltCurve_Q8IWU2_LMTK2.pdf</t>
  </si>
  <si>
    <t>Melting_Curves/meltCurve_Q8IWV7_UBR1.pdf</t>
  </si>
  <si>
    <t>Melting_Curves/meltCurve_Q8IWV8_UBR2.pdf</t>
  </si>
  <si>
    <t>Melting_Curves/meltCurve_Q8IWW6_2_ARHGAP12.pdf</t>
  </si>
  <si>
    <t>Melting_Curves/meltCurve_Q8IWX8_CHERP.pdf</t>
  </si>
  <si>
    <t>Melting_Curves/meltCurve_Q8IWY9_1_CDAN1.pdf</t>
  </si>
  <si>
    <t>Melting_Curves/meltCurve_Q8IWZ3_6_ANKHD1.pdf</t>
  </si>
  <si>
    <t>Melting_Curves/meltCurve_Q8IWZ8_SUGP1.pdf</t>
  </si>
  <si>
    <t>Melting_Curves/meltCurve_Q8IX01_4_SUGP2.pdf</t>
  </si>
  <si>
    <t>Melting_Curves/meltCurve_Q8IX04_6_UEVLD.pdf</t>
  </si>
  <si>
    <t>Melting_Curves/meltCurve_Q8IX07_ZFPM1.pdf</t>
  </si>
  <si>
    <t>Melting_Curves/meltCurve_Q8IX12_2_CCAR1.pdf</t>
  </si>
  <si>
    <t>Melting_Curves/meltCurve_Q8IX15_HOMEZ.pdf</t>
  </si>
  <si>
    <t>Melting_Curves/meltCurve_Q8IX18_3_DHX40.pdf</t>
  </si>
  <si>
    <t>Melting_Curves/meltCurve_Q8IX90_SKA3.pdf</t>
  </si>
  <si>
    <t>Melting_Curves/meltCurve_Q8IXB1_2_DNAJC10.pdf</t>
  </si>
  <si>
    <t>Melting_Curves/meltCurve_Q8IXH7_4_NELFCD.pdf</t>
  </si>
  <si>
    <t>Melting_Curves/meltCurve_Q8IXJ6_2_SIRT2.pdf</t>
  </si>
  <si>
    <t>Melting_Curves/meltCurve_Q8IXJ9_ASXL1.pdf</t>
  </si>
  <si>
    <t>Melting_Curves/meltCurve_Q8IXK0_2_PHC2.pdf</t>
  </si>
  <si>
    <t>Melting_Curves/meltCurve_Q8IXM3_MRPL41.pdf</t>
  </si>
  <si>
    <t>Melting_Curves/meltCurve_Q8IXQ3_C9orf40.pdf</t>
  </si>
  <si>
    <t>Melting_Curves/meltCurve_Q8IXQ4_KIAA1704.pdf</t>
  </si>
  <si>
    <t>Melting_Curves/meltCurve_Q8IXS8_FAM126B.pdf</t>
  </si>
  <si>
    <t>Melting_Curves/meltCurve_Q8IXW5_RPAP2.pdf</t>
  </si>
  <si>
    <t>Melting_Curves/meltCurve_Q8IXZ2_ZC3H3.pdf</t>
  </si>
  <si>
    <t>Melting_Curves/meltCurve_Q8IY18_SMC5.pdf</t>
  </si>
  <si>
    <t>Melting_Curves/meltCurve_Q8IY22_CMIP.pdf</t>
  </si>
  <si>
    <t>Melting_Curves/meltCurve_Q8IY31_IFT20.pdf</t>
  </si>
  <si>
    <t>Melting_Curves/meltCurve_Q8IY33_MICALL2.pdf</t>
  </si>
  <si>
    <t>Melting_Curves/meltCurve_Q8IY37_DHX37.pdf</t>
  </si>
  <si>
    <t>Melting_Curves/meltCurve_Q8IY47_KBTBD2.pdf</t>
  </si>
  <si>
    <t>Melting_Curves/meltCurve_Q8IY63_2_AMOTL1.pdf</t>
  </si>
  <si>
    <t>Melting_Curves/meltCurve_Q8IY81_FTSJ3.pdf</t>
  </si>
  <si>
    <t>Melting_Curves/meltCurve_Q8IY92_SLX4.pdf</t>
  </si>
  <si>
    <t>Melting_Curves/meltCurve_Q8IYA6_CKAP2L.pdf</t>
  </si>
  <si>
    <t>Melting_Curves/meltCurve_Q8IYB5_3_SMAP1.pdf</t>
  </si>
  <si>
    <t>Melting_Curves/meltCurve_Q8IYB7_DIS3L2.pdf</t>
  </si>
  <si>
    <t>Melting_Curves/meltCurve_Q8IYB8_SUPV3L1.pdf</t>
  </si>
  <si>
    <t>Melting_Curves/meltCurve_Q8IYB9_ZNF595.pdf</t>
  </si>
  <si>
    <t>Melting_Curves/meltCurve_Q8IYD1_GSPT2.pdf</t>
  </si>
  <si>
    <t>Melting_Curves/meltCurve_Q8IYE0_CCDC146.pdf</t>
  </si>
  <si>
    <t>Melting_Curves/meltCurve_Q8IYH5_4_ZZZ3.pdf</t>
  </si>
  <si>
    <t>Melting_Curves/meltCurve_Q8IYI6_EXOC8.pdf</t>
  </si>
  <si>
    <t>Melting_Curves/meltCurve_Q8IYK4_COLGALT2.pdf</t>
  </si>
  <si>
    <t>Melting_Curves/meltCurve_Q8IYL3_C1orf174.pdf</t>
  </si>
  <si>
    <t>Melting_Curves/meltCurve_Q8IYN2_TCEAL8.pdf</t>
  </si>
  <si>
    <t>Melting_Curves/meltCurve_Q8IYN6_UBALD2.pdf</t>
  </si>
  <si>
    <t>Melting_Curves/meltCurve_Q8IYN9_PTK2.pdf</t>
  </si>
  <si>
    <t>Melting_Curves/meltCurve_Q8IYQ7_THNSL1.pdf</t>
  </si>
  <si>
    <t>Melting_Curves/meltCurve_Q8IYT2_FTSJD1.pdf</t>
  </si>
  <si>
    <t>Melting_Curves/meltCurve_Q8IYU2_HACE1.pdf</t>
  </si>
  <si>
    <t>Melting_Curves/meltCurve_Q8IYU8_MICU2.pdf</t>
  </si>
  <si>
    <t>Melting_Curves/meltCurve_Q8IYW5_RNF168.pdf</t>
  </si>
  <si>
    <t>Melting_Curves/meltCurve_Q8IZ07_ANKRD13A.pdf</t>
  </si>
  <si>
    <t>Melting_Curves/meltCurve_Q8IZ13_C5orf54.pdf</t>
  </si>
  <si>
    <t>Melting_Curves/meltCurve_Q8IZ21_3_PHACTR4.pdf</t>
  </si>
  <si>
    <t>Melting_Curves/meltCurve_Q8IZ69_TRMT2A.pdf</t>
  </si>
  <si>
    <t>Melting_Curves/meltCurve_Q8IZ73_RPUSD2.pdf</t>
  </si>
  <si>
    <t>Melting_Curves/meltCurve_Q8IZ83_ALDH16A1.pdf</t>
  </si>
  <si>
    <t>Melting_Curves/meltCurve_Q8IZD2_6_MLL5.pdf</t>
  </si>
  <si>
    <t>Melting_Curves/meltCurve_Q8IZE3_2_SCYL3.pdf</t>
  </si>
  <si>
    <t>Melting_Curves/meltCurve_Q8IZH2_2_XRN1.pdf</t>
  </si>
  <si>
    <t>Melting_Curves/meltCurve_Q8IZJ1_2_UNC5B.pdf</t>
  </si>
  <si>
    <t>Melting_Curves/meltCurve_Q8IZL2_MAML2.pdf</t>
  </si>
  <si>
    <t>Melting_Curves/meltCurve_Q8IZL8_PELP1.pdf</t>
  </si>
  <si>
    <t>Melting_Curves/meltCurve_Q8IZP0_10_ABI1.pdf</t>
  </si>
  <si>
    <t>Melting_Curves/meltCurve_Q8IZQ1_2_WDFY3.pdf</t>
  </si>
  <si>
    <t>Melting_Curves/meltCurve_Q8IZT6_2_ASPM.pdf</t>
  </si>
  <si>
    <t>Melting_Curves/meltCurve_Q8IZV5_RDH10.pdf</t>
  </si>
  <si>
    <t>Melting_Curves/meltCurve_Q8N0S2_SYCE1.pdf</t>
  </si>
  <si>
    <t>Melting_Curves/meltCurve_Q8N0T1_C8orf59.pdf</t>
  </si>
  <si>
    <t>Melting_Curves/meltCurve_Q8N0W3_FUK.pdf</t>
  </si>
  <si>
    <t>Melting_Curves/meltCurve_Q8N0X7_SPG20.pdf</t>
  </si>
  <si>
    <t>Melting_Curves/meltCurve_Q8N0Y2_2_ZNF444.pdf</t>
  </si>
  <si>
    <t>Melting_Curves/meltCurve_Q8N0Y7_PGAM4.pdf</t>
  </si>
  <si>
    <t>Melting_Curves/meltCurve_Q8N0Z3_SPICE1.pdf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</si>
  <si>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</si>
  <si>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</si>
  <si>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</si>
  <si>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</si>
  <si>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Melting_Curves/meltCurve_Q8N137_5_CNTROB.pdf</t>
  </si>
  <si>
    <t>Melting_Curves/meltCurve_Q8N142_ADSSL1.pdf</t>
  </si>
  <si>
    <t>Melting_Curves/meltCurve_Q8N163_KIAA1967.pdf</t>
  </si>
  <si>
    <t>Melting_Curves/meltCurve_Q8N196_SIX5.pdf</t>
  </si>
  <si>
    <t>Melting_Curves/meltCurve_Q8N1A6_C4orf33.pdf</t>
  </si>
  <si>
    <t>Melting_Curves/meltCurve_Q8N1B4_VPS52.pdf</t>
  </si>
  <si>
    <t>Melting_Curves/meltCurve_Q8N1F7_NUP93.pdf</t>
  </si>
  <si>
    <t>Melting_Curves/meltCurve_Q8N1G0_ZNF687.pdf</t>
  </si>
  <si>
    <t>Melting_Curves/meltCurve_Q8N1G1_REXO1.pdf</t>
  </si>
  <si>
    <t>Melting_Curves/meltCurve_Q8N1G2_FTSJD2.pdf</t>
  </si>
  <si>
    <t>Melting_Curves/meltCurve_Q8N1G4_LRRC47.pdf</t>
  </si>
  <si>
    <t>Melting_Curves/meltCurve_Q8N1I1_FAM115C.pdf</t>
  </si>
  <si>
    <t>Melting_Curves/meltCurve_Q8N1N4_KRT78.pdf</t>
  </si>
  <si>
    <t>Melting_Curves/meltCurve_Q8N1Q1_CA13.pdf</t>
  </si>
  <si>
    <t>Melting_Curves/meltCurve_Q8N1W2_ZNF710.pdf</t>
  </si>
  <si>
    <t>Melting_Curves/meltCurve_Q8N201_INTS1.pdf</t>
  </si>
  <si>
    <t>Melting_Curves/meltCurve_Q8N2F6_3_ARMC10.pdf</t>
  </si>
  <si>
    <t>Melting_Curves/meltCurve_Q8N2I9_3_STK40.pdf</t>
  </si>
  <si>
    <t>Melting_Curves/meltCurve_Q8N2W9_PIAS4.pdf</t>
  </si>
  <si>
    <t>Melting_Curves/meltCurve_Q8N300_CCDC23.pdf</t>
  </si>
  <si>
    <t>Melting_Curves/meltCurve_Q8N302_AGGF1.pdf</t>
  </si>
  <si>
    <t>Melting_Curves/meltCurve_Q8N335_GPD1L.pdf</t>
  </si>
  <si>
    <t>Melting_Curves/meltCurve_Q8N344_MIER2.pdf</t>
  </si>
  <si>
    <t>Melting_Curves/meltCurve_Q8N350_DOS.pdf</t>
  </si>
  <si>
    <t>Melting_Curves/meltCurve_Q8N371_KDM8.pdf</t>
  </si>
  <si>
    <t>Melting_Curves/meltCurve_Q8N392_ARHGAP18.pdf</t>
  </si>
  <si>
    <t>Melting_Curves/meltCurve_Q8N3C0_ASCC3.pdf</t>
  </si>
  <si>
    <t>Melting_Curves/meltCurve_Q8N3D4_EHBP1L1.pdf</t>
  </si>
  <si>
    <t>Melting_Curves/meltCurve_Q8N3F8_MICALL1.pdf</t>
  </si>
  <si>
    <t>Melting_Curves/meltCurve_Q8N3J3_3_C17orf53.pdf</t>
  </si>
  <si>
    <t>Melting_Curves/meltCurve_Q8N3P4_3_VPS8.pdf</t>
  </si>
  <si>
    <t>Melting_Curves/meltCurve_Q8N3R9_MPP5.pdf</t>
  </si>
  <si>
    <t>Melting_Curves/meltCurve_Q8N3X1_FNBP4.pdf</t>
  </si>
  <si>
    <t>Melting_Curves/meltCurve_Q8N3Y1_2_FBXW8.pdf</t>
  </si>
  <si>
    <t>Melting_Curves/meltCurve_Q8N465_2_D2HGDH.pdf</t>
  </si>
  <si>
    <t>Melting_Curves/meltCurve_Q8N488_RYBP.pdf</t>
  </si>
  <si>
    <t>Melting_Curves/meltCurve_Q8N4C8_4_MINK1.pdf</t>
  </si>
  <si>
    <t>Melting_Curves/meltCurve_Q8N4J0_C9orf41.pdf</t>
  </si>
  <si>
    <t>Melting_Curves/meltCurve_Q8N4N3_2_KLHL36.pdf</t>
  </si>
  <si>
    <t>Melting_Curves/meltCurve_Q8N4P3_HDDC3.pdf</t>
  </si>
  <si>
    <t>Melting_Curves/meltCurve_Q8N4Q0_ZADH2.pdf</t>
  </si>
  <si>
    <t>Melting_Curves/meltCurve_Q8N4Q1_CHCHD4.pdf</t>
  </si>
  <si>
    <t>Melting_Curves/meltCurve_Q8N4T8_CBR4.pdf</t>
  </si>
  <si>
    <t>Melting_Curves/meltCurve_Q8N4W9_2_ZNF808.pdf</t>
  </si>
  <si>
    <t>Melting_Curves/meltCurve_Q8N556_AFAP1.pdf</t>
  </si>
  <si>
    <t>Melting_Curves/meltCurve_Q8N567_ZCCHC9.pdf</t>
  </si>
  <si>
    <t>Melting_Curves/meltCurve_Q8N573_8_OXR1.pdf</t>
  </si>
  <si>
    <t>Melting_Curves/meltCurve_Q8N5A5_3_ZGPAT.pdf</t>
  </si>
  <si>
    <t>Melting_Curves/meltCurve_Q8N5C6_SRBD1.pdf</t>
  </si>
  <si>
    <t>Melting_Curves/meltCurve_Q8N5C7_DTWD1.pdf</t>
  </si>
  <si>
    <t>Melting_Curves/meltCurve_Q8N5C8_2_TAB3.pdf</t>
  </si>
  <si>
    <t>Melting_Curves/meltCurve_Q8N5D0_4_WDTC1.pdf</t>
  </si>
  <si>
    <t>Melting_Curves/meltCurve_Q8N5F7_NKAP.pdf</t>
  </si>
  <si>
    <t>Melting_Curves/meltCurve_Q8N5G2_TMEM57.pdf</t>
  </si>
  <si>
    <t>Melting_Curves/meltCurve_Q8N5I9_C12orf45.pdf</t>
  </si>
  <si>
    <t>Melting_Curves/meltCurve_Q8N5J2_FAM63A.pdf</t>
  </si>
  <si>
    <t>Melting_Curves/meltCurve_Q8N5L8_RPP25L.pdf</t>
  </si>
  <si>
    <t>Melting_Curves/meltCurve_Q8N5M1_ATPAF2.pdf</t>
  </si>
  <si>
    <t>Melting_Curves/meltCurve_Q8N5N7_MRPL50.pdf</t>
  </si>
  <si>
    <t>Melting_Curves/meltCurve_Q8N5P1_ZC3H8.pdf</t>
  </si>
  <si>
    <t>Melting_Curves/meltCurve_Q8N5U6_RNF10.pdf</t>
  </si>
  <si>
    <t>Melting_Curves/meltCurve_Q8N5Y2_4_MSL3.pdf</t>
  </si>
  <si>
    <t>Melting_Curves/meltCurve_Q8N612_3_FAM160A2.pdf</t>
  </si>
  <si>
    <t>Melting_Curves/meltCurve_Q8N653_LZTR1.pdf</t>
  </si>
  <si>
    <t>Melting_Curves/meltCurve_Q8N655_C10orf12.pdf</t>
  </si>
  <si>
    <t>Melting_Curves/meltCurve_Q8N668_COMMD1.pdf</t>
  </si>
  <si>
    <t>Melting_Curves/meltCurve_Q8N680_ZBTB2.pdf</t>
  </si>
  <si>
    <t>Melting_Curves/meltCurve_Q8N684_CPSF7.pdf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</si>
  <si>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</si>
  <si>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</si>
  <si>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</si>
  <si>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</si>
  <si>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Melting_Curves/meltCurve_Q8N6T7_2_SIRT6.pdf</t>
  </si>
  <si>
    <t>Melting_Curves/meltCurve_Q8N720_3_ZNF655.pdf</t>
  </si>
  <si>
    <t>Melting_Curves/meltCurve_Q8N7R7_3_CCNYL1.pdf</t>
  </si>
  <si>
    <t>Melting_Curves/meltCurve_Q8N7X4_MAGEB6.pdf</t>
  </si>
  <si>
    <t>Melting_Curves/meltCurve_Q8N806_UBR7.pdf</t>
  </si>
  <si>
    <t>Melting_Curves/meltCurve_Q8N819_2_PPM1N.pdf</t>
  </si>
  <si>
    <t>Melting_Curves/meltCurve_Q8N8A6_DDX51.pdf</t>
  </si>
  <si>
    <t>Melting_Curves/meltCurve_Q8N8N7_PTGR2.pdf</t>
  </si>
  <si>
    <t>Melting_Curves/meltCurve_Q8N8R5_C2orf69.pdf</t>
  </si>
  <si>
    <t>Melting_Curves/meltCurve_Q8N8R7_ARL14EP.pdf</t>
  </si>
  <si>
    <t>Melting_Curves/meltCurve_Q8N8S7_2_ENAH.pdf</t>
  </si>
  <si>
    <t>Melting_Curves/meltCurve_Q8N8Z6_2_DCBLD1.pdf</t>
  </si>
  <si>
    <t>Melting_Curves/meltCurve_Q8N954_GPATCH11.pdf</t>
  </si>
  <si>
    <t>Melting_Curves/meltCurve_Q8N960_CEP120.pdf</t>
  </si>
  <si>
    <t>Melting_Curves/meltCurve_Q8N998_CCDC89.pdf</t>
  </si>
  <si>
    <t>Melting_Curves/meltCurve_Q8N999_C12orf29.pdf</t>
  </si>
  <si>
    <t>Melting_Curves/meltCurve_Q8N9B5_2_JMY.pdf</t>
  </si>
  <si>
    <t>Melting_Curves/meltCurve_Q8N9M1_C19orf47.pdf</t>
  </si>
  <si>
    <t>Melting_Curves/meltCurve_Q8N9M5_TMEM102.pdf</t>
  </si>
  <si>
    <t>Melting_Curves/meltCurve_Q8N9N5_7_BANP.pdf</t>
  </si>
  <si>
    <t>Melting_Curves/meltCurve_Q8N9N7_LRRC57.pdf</t>
  </si>
  <si>
    <t>Melting_Curves/meltCurve_Q8N9N8_EIF1AD.pdf</t>
  </si>
  <si>
    <t>Melting_Curves/meltCurve_Q8N9R8_SCAI.pdf</t>
  </si>
  <si>
    <t>Melting_Curves/meltCurve_Q8N9V3_WDSUB1.pdf</t>
  </si>
  <si>
    <t>Melting_Curves/meltCurve_Q8N9Z2_CCDC71L.pdf</t>
  </si>
  <si>
    <t>Melting_Curves/meltCurve_Q8NAF0_ZNF579.pdf</t>
  </si>
  <si>
    <t>Melting_Curves/meltCurve_Q8NAP3_ZBTB38.pdf</t>
  </si>
  <si>
    <t>Melting_Curves/meltCurve_Q8NAT2_TDRD5.pdf</t>
  </si>
  <si>
    <t>Melting_Curves/meltCurve_Q8NAV1_PRPF38A.pdf</t>
  </si>
  <si>
    <t>Melting_Curves/meltCurve_Q8NAX2_C1orf172.pdf</t>
  </si>
  <si>
    <t>Melting_Curves/meltCurve_Q8NB16_MLKL.pdf</t>
  </si>
  <si>
    <t>Melting_Curves/meltCurve_Q8NB37_3_PDDC1.pdf</t>
  </si>
  <si>
    <t>Melting_Curves/meltCurve_Q8NB46_ANKRD52.pdf</t>
  </si>
  <si>
    <t>Melting_Curves/meltCurve_Q8NB78_KDM1B.pdf</t>
  </si>
  <si>
    <t>Melting_Curves/meltCurve_Q8NB90_SPATA5.pdf</t>
  </si>
  <si>
    <t>Melting_Curves/meltCurve_Q8NBA8_DTWD2.pdf</t>
  </si>
  <si>
    <t>Melting_Curves/meltCurve_Q8NBF2_NHLRC2.pdf</t>
  </si>
  <si>
    <t>Melting_Curves/meltCurve_Q8NBF6_2_AVL9.pdf</t>
  </si>
  <si>
    <t>Melting_Curves/meltCurve_Q8NBJ5_COLGALT1.pdf</t>
  </si>
  <si>
    <t>Melting_Curves/meltCurve_Q8NBJ7_SUMF2.pdf</t>
  </si>
  <si>
    <t>Melting_Curves/meltCurve_Q8NBK3_2_SUMF1.pdf</t>
  </si>
  <si>
    <t>Melting_Curves/meltCurve_Q8NBL1_POGLUT1.pdf</t>
  </si>
  <si>
    <t>Melting_Curves/meltCurve_Q8NBN7_RDH13.pdf</t>
  </si>
  <si>
    <t>Melting_Curves/meltCurve_Q8NBX0_SCCPDH.pdf</t>
  </si>
  <si>
    <t>Melting_Curves/meltCurve_Q8NBZ0_INO80E.pdf</t>
  </si>
  <si>
    <t>Melting_Curves/meltCurve_Q8NC51_2_SERBP1.pdf</t>
  </si>
  <si>
    <t>Melting_Curves/meltCurve_Q8NC56_LEMD2.pdf</t>
  </si>
  <si>
    <t>Melting_Curves/meltCurve_Q8NC60_NOA1.pdf</t>
  </si>
  <si>
    <t>Melting_Curves/meltCurve_Q8NC81_CARD10.pdf</t>
  </si>
  <si>
    <t>Melting_Curves/meltCurve_Q8NC96_NECAP1.pdf</t>
  </si>
  <si>
    <t>Melting_Curves/meltCurve_Q8NCA5_2_FAM98A.pdf</t>
  </si>
  <si>
    <t>Melting_Curves/meltCurve_Q8NCA9_ZNF784.pdf</t>
  </si>
  <si>
    <t>Melting_Curves/meltCurve_Q8NCC3_PLA2G15.pdf</t>
  </si>
  <si>
    <t>Melting_Curves/meltCurve_Q8NCD3_HJURP.pdf</t>
  </si>
  <si>
    <t>Melting_Curves/meltCurve_Q8NCE0_4_TSEN2.pdf</t>
  </si>
  <si>
    <t>Melting_Curves/meltCurve_Q8NCE2_2_MTMR14.pdf</t>
  </si>
  <si>
    <t>Melting_Curves/meltCurve_Q8NCF5_NFATC2IP.pdf</t>
  </si>
  <si>
    <t>Melting_Curves/meltCurve_Q8NCN2_ZBTB34.pdf</t>
  </si>
  <si>
    <t>Melting_Curves/meltCurve_Q8NCN4_RNF169.pdf</t>
  </si>
  <si>
    <t>Melting_Curves/meltCurve_Q8NCN5_PDPR.pdf</t>
  </si>
  <si>
    <t>Melting_Curves/meltCurve_Q8NCP5_3_ZBTB44.pdf</t>
  </si>
  <si>
    <t>Melting_Curves/meltCurve_Q8NCW5_APOA1BP.pdf</t>
  </si>
  <si>
    <t>Melting_Curves/meltCurve_Q8NCY6_MSANTD4.pdf</t>
  </si>
  <si>
    <t>Melting_Curves/meltCurve_Q8ND04_SMG8.pdf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</si>
  <si>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</si>
  <si>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</si>
  <si>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</si>
  <si>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</si>
  <si>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Melting_Curves/meltCurve_Q8NDC0_MAPK1IP1L.pdf</t>
  </si>
  <si>
    <t>Melting_Curves/meltCurve_Q8NDD1_3_C1orf131.pdf</t>
  </si>
  <si>
    <t>Melting_Curves/meltCurve_Q8NDF8_PAPD5.pdf</t>
  </si>
  <si>
    <t>Melting_Curves/meltCurve_Q8NDI1_3_EHBP1.pdf</t>
  </si>
  <si>
    <t>Melting_Curves/meltCurve_Q8NDV3_2_SMC1B.pdf</t>
  </si>
  <si>
    <t>Melting_Curves/meltCurve_Q8NDV7_2_TNRC6A.pdf</t>
  </si>
  <si>
    <t>Melting_Curves/meltCurve_Q8NDX1_PSD4.pdf</t>
  </si>
  <si>
    <t>Melting_Curves/meltCurve_Q8NDX5_7_PHC3.pdf</t>
  </si>
  <si>
    <t>Melting_Curves/meltCurve_Q8NDX6_ZNF740.pdf</t>
  </si>
  <si>
    <t>Melting_Curves/meltCurve_Q8NE71_ABCF1.pdf</t>
  </si>
  <si>
    <t>Melting_Curves/meltCurve_Q8NEB9_PIK3C3.pdf</t>
  </si>
  <si>
    <t>Melting_Curves/meltCurve_Q8NEC7_GSTCD.pdf</t>
  </si>
  <si>
    <t>Melting_Curves/meltCurve_Q8NEF9_SRFBP1.pdf</t>
  </si>
  <si>
    <t>Melting_Curves/meltCurve_Q8NEJ9_2_NGDN.pdf</t>
  </si>
  <si>
    <t>Melting_Curves/meltCurve_Q8NEM0_2_MCPH1.pdf</t>
  </si>
  <si>
    <t>Melting_Curves/meltCurve_Q8NEM2_SHCBP1.pdf</t>
  </si>
  <si>
    <t>Melting_Curves/meltCurve_Q8NEN9_PDZD8.pdf</t>
  </si>
  <si>
    <t>Melting_Curves/meltCurve_Q8NEU8_2_APPL2.pdf</t>
  </si>
  <si>
    <t>Melting_Curves/meltCurve_Q8NEY1_2_NAV1.pdf</t>
  </si>
  <si>
    <t>Melting_Curves/meltCurve_Q8NEY8_PPHLN1.pdf</t>
  </si>
  <si>
    <t>Melting_Curves/meltCurve_Q8NEY8_2_PPHLN1.pdf</t>
  </si>
  <si>
    <t>Melting_Curves/meltCurve_Q8NEY8_3_PPHLN1.pdf</t>
  </si>
  <si>
    <t>Melting_Curves/meltCurve_Q8NEZ2_VPS37A.pdf</t>
  </si>
  <si>
    <t>Melting_Curves/meltCurve_Q8NEZ4_MLL3.pdf</t>
  </si>
  <si>
    <t>Melting_Curves/meltCurve_Q8NEZ5_FBXO22.pdf</t>
  </si>
  <si>
    <t>Melting_Curves/meltCurve_Q8NF37_LPCAT1.pdf</t>
  </si>
  <si>
    <t>Melting_Curves/meltCurve_Q8NF50_4_DOCK8.pdf</t>
  </si>
  <si>
    <t>Melting_Curves/meltCurve_Q8NF64_3_ZMIZ2.pdf</t>
  </si>
  <si>
    <t>Melting_Curves/meltCurve_Q8NFA0_USP32.pdf</t>
  </si>
  <si>
    <t>Melting_Curves/meltCurve_Q8NFC6_BOD1L1.pdf</t>
  </si>
  <si>
    <t>Melting_Curves/meltCurve_Q8NFF5_3_FLAD1.pdf</t>
  </si>
  <si>
    <t>Melting_Curves/meltCurve_Q8NFG4_FLCN.pdf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</si>
  <si>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</si>
  <si>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</si>
  <si>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</si>
  <si>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</si>
  <si>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Melting_Curves/meltCurve_Q8NFV4_ABHD11.pdf</t>
  </si>
  <si>
    <t>Melting_Curves/meltCurve_Q8NFW8_CMAS.pdf</t>
  </si>
  <si>
    <t>Melting_Curves/meltCurve_Q8NFY9_KBTBD8.pdf</t>
  </si>
  <si>
    <t>Melting_Curves/meltCurve_Q8NFZ0_FBXO18.pdf</t>
  </si>
  <si>
    <t>Melting_Curves/meltCurve_Q8NG08_HELB.pdf</t>
  </si>
  <si>
    <t>Melting_Curves/meltCurve_Q8NG31_2_CASC5.pdf</t>
  </si>
  <si>
    <t>Melting_Curves/meltCurve_Q8NG68_TTL.pdf</t>
  </si>
  <si>
    <t>Melting_Curves/meltCurve_Q8NHG7_SVIP.pdf</t>
  </si>
  <si>
    <t>Melting_Curves/meltCurve_Q8NHG8_ZNRF2.pdf</t>
  </si>
  <si>
    <t>Melting_Curves/meltCurve_Q8NHM5_4_KDM2B.pdf</t>
  </si>
  <si>
    <t>Melting_Curves/meltCurve_Q8NHP8_PLBD2.pdf</t>
  </si>
  <si>
    <t>Melting_Curves/meltCurve_Q8NHQ8_2_RASSF8.pdf</t>
  </si>
  <si>
    <t>Melting_Curves/meltCurve_Q8NHU6_TDRD7.pdf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</si>
  <si>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</si>
  <si>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</si>
  <si>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</si>
  <si>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</si>
  <si>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</si>
  <si>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</si>
  <si>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Melting_Curves/meltCurve_Q8NI51_8_CTCFL.pdf</t>
  </si>
  <si>
    <t>Melting_Curves/meltCurve_Q8TA86_RP9.pdf</t>
  </si>
  <si>
    <t>Melting_Curves/meltCurve_Q8TAC1_RFESD.pdf</t>
  </si>
  <si>
    <t>Melting_Curves/meltCurve_Q8TAD8_SNIP1.pdf</t>
  </si>
  <si>
    <t>Melting_Curves/meltCurve_Q8TAE6_PPP1R14C.pdf</t>
  </si>
  <si>
    <t>Melting_Curves/meltCurve_Q8TAE8_GADD45GIP1.pdf</t>
  </si>
  <si>
    <t>Melting_Curves/meltCurve_Q8TAF3_WDR48.pdf</t>
  </si>
  <si>
    <t>Melting_Curves/meltCurve_Q8TAP6_CEP76.pdf</t>
  </si>
  <si>
    <t>Melting_Curves/meltCurve_Q8TAP8_PPP1R35.pdf</t>
  </si>
  <si>
    <t>Melting_Curves/meltCurve_Q8TAP9_MPLKIP.pdf</t>
  </si>
  <si>
    <t>Melting_Curves/meltCurve_Q8TAQ2_SMARCC2.pdf</t>
  </si>
  <si>
    <t>Melting_Curves/meltCurve_Q8TAQ2_2_SMARCC2.pdf</t>
  </si>
  <si>
    <t>Melting_Curves/meltCurve_Q8TAT6_NPLOC4.pdf</t>
  </si>
  <si>
    <t>Melting_Curves/meltCurve_Q8TAV0_2_FAM76A.pdf</t>
  </si>
  <si>
    <t>Melting_Curves/meltCurve_Q8TB03_CXorf38.pdf</t>
  </si>
  <si>
    <t>Melting_Curves/meltCurve_Q8TB24_RIN3.pdf</t>
  </si>
  <si>
    <t>Melting_Curves/meltCurve_Q8TB52_FBXO30.pdf</t>
  </si>
  <si>
    <t>Melting_Curves/meltCurve_Q8TB70_TXNDC9.pdf</t>
  </si>
  <si>
    <t>Melting_Curves/meltCurve_Q8TB72_3_PUM2.pdf</t>
  </si>
  <si>
    <t>Melting_Curves/meltCurve_Q8TBA6_2_GOLGA5.pdf</t>
  </si>
  <si>
    <t>Melting_Curves/meltCurve_Q8TBB5_3_KLHDC4.pdf</t>
  </si>
  <si>
    <t>Melting_Curves/meltCurve_Q8TBC4_UBA3.pdf</t>
  </si>
  <si>
    <t>Melting_Curves/meltCurve_Q8TBC5_4_ZSCAN18.pdf</t>
  </si>
  <si>
    <t>Melting_Curves/meltCurve_Q8TBE0_3_BAHD1.pdf</t>
  </si>
  <si>
    <t>Melting_Curves/meltCurve_Q8TBE9_NANP.pdf</t>
  </si>
  <si>
    <t>Melting_Curves/meltCurve_Q8TBF2_4_FAM213B.pdf</t>
  </si>
  <si>
    <t>Melting_Curves/meltCurve_Q8TBF4_ZCRB1.pdf</t>
  </si>
  <si>
    <t>Melting_Curves/meltCurve_Q8TBM8_DNAJB14.pdf</t>
  </si>
  <si>
    <t>Melting_Curves/meltCurve_Q8TBN0_RAB3IL1.pdf</t>
  </si>
  <si>
    <t>Melting_Curves/meltCurve_Q8TBX8_PIP4K2C.pdf</t>
  </si>
  <si>
    <t>Melting_Curves/meltCurve_Q8TBZ6_TRMT10A.pdf</t>
  </si>
  <si>
    <t>Melting_Curves/meltCurve_Q8TC07_2_TBC1D15.pdf</t>
  </si>
  <si>
    <t>Melting_Curves/meltCurve_Q8TC76_FAM110B.pdf</t>
  </si>
  <si>
    <t>Melting_Curves/meltCurve_Q8TCA0_LRRC20.pdf</t>
  </si>
  <si>
    <t>Melting_Curves/meltCurve_Q8TCD5_NT5C.pdf</t>
  </si>
  <si>
    <t>Melting_Curves/meltCurve_Q8TCE6_2_FAM45A.pdf</t>
  </si>
  <si>
    <t>Melting_Curves/meltCurve_Q8TCG1_KIAA1524.pdf</t>
  </si>
  <si>
    <t>Melting_Curves/meltCurve_Q8TCN5_ZNF507.pdf</t>
  </si>
  <si>
    <t>Melting_Curves/meltCurve_Q8TCS8_PNPT1.pdf</t>
  </si>
  <si>
    <t>Melting_Curves/meltCurve_Q8TCU4_3_ALMS1.pdf</t>
  </si>
  <si>
    <t>Melting_Curves/meltCurve_Q8TCX1_2_DYNC2LI1.pdf</t>
  </si>
  <si>
    <t>Melting_Curves/meltCurve_Q8TD08_2_MAPK15.pdf</t>
  </si>
  <si>
    <t>Melting_Curves/meltCurve_Q8TD16_BICD2.pdf</t>
  </si>
  <si>
    <t>Melting_Curves/meltCurve_Q8TD19_NEK9.pdf</t>
  </si>
  <si>
    <t>Melting_Curves/meltCurve_Q8TD26_CHD6.pdf</t>
  </si>
  <si>
    <t>Melting_Curves/meltCurve_Q8TD30_GPT2.pdf</t>
  </si>
  <si>
    <t>Melting_Curves/meltCurve_Q8TD55_2_PLEKHO2.pdf</t>
  </si>
  <si>
    <t>Melting_Curves/meltCurve_Q8TD57_DNAH3.pdf</t>
  </si>
  <si>
    <t>Melting_Curves/meltCurve_Q8TDB6_DTX3L.pdf</t>
  </si>
  <si>
    <t>Melting_Curves/meltCurve_Q8TDD1_DDX54.pdf</t>
  </si>
  <si>
    <t>Melting_Curves/meltCurve_Q8TDD1_2_DDX54.pdf</t>
  </si>
  <si>
    <t>Melting_Curves/meltCurve_Q8TDH9_BLOC1S5.pdf</t>
  </si>
  <si>
    <t>Melting_Curves/meltCurve_Q8TDJ6_DMXL2.pdf</t>
  </si>
  <si>
    <t>Melting_Curves/meltCurve_Q8TDN4_4_CABLES1.pdf</t>
  </si>
  <si>
    <t>Melting_Curves/meltCurve_Q8TDN6_BRIX1.pdf</t>
  </si>
  <si>
    <t>Melting_Curves/meltCurve_Q8TDQ7_GNPDA2.pdf</t>
  </si>
  <si>
    <t>Melting_Curves/meltCurve_Q8TDQ7_4_GNPDA2.pdf</t>
  </si>
  <si>
    <t>Melting_Curves/meltCurve_Q8TDR0_2_TRAF3IP1.pdf</t>
  </si>
  <si>
    <t>Melting_Curves/meltCurve_Q8TDR2_STK35.pdf</t>
  </si>
  <si>
    <t>Melting_Curves/meltCurve_Q8TDX7_NEK7.pdf</t>
  </si>
  <si>
    <t>Melting_Curves/meltCurve_Q8TDY2_2_RB1CC1.pdf</t>
  </si>
  <si>
    <t>Melting_Curves/meltCurve_Q8TDZ2_MICAL1.pdf</t>
  </si>
  <si>
    <t>Melting_Curves/meltCurve_Q8TE04_PANK1.pdf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</si>
  <si>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</si>
  <si>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</si>
  <si>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</si>
  <si>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</si>
  <si>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Melting_Curves/meltCurve_Q8TED0_UTP15.pdf</t>
  </si>
  <si>
    <t>Melting_Curves/meltCurve_Q8TEH3_DENND1A.pdf</t>
  </si>
  <si>
    <t>Melting_Curves/meltCurve_Q8TEK3_2_DOT1L.pdf</t>
  </si>
  <si>
    <t>Melting_Curves/meltCurve_Q8TEM1_NUP210.pdf</t>
  </si>
  <si>
    <t>Melting_Curves/meltCurve_Q8TEQ6_GEMIN5.pdf</t>
  </si>
  <si>
    <t>Melting_Curves/meltCurve_Q8TER5_ARHGEF40.pdf</t>
  </si>
  <si>
    <t>Melting_Curves/meltCurve_Q8TES7_5_FBF1.pdf</t>
  </si>
  <si>
    <t>Melting_Curves/meltCurve_Q8TET4_GANC.pdf</t>
  </si>
  <si>
    <t>Melting_Curves/meltCurve_Q8TEU7_RAPGEF6.pdf</t>
  </si>
  <si>
    <t>Melting_Curves/meltCurve_Q8TEV9_2_SMCR8.pdf</t>
  </si>
  <si>
    <t>Melting_Curves/meltCurve_Q8TEW0_2_PARD3.pdf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</si>
  <si>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</si>
  <si>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</si>
  <si>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</si>
  <si>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</si>
  <si>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Melting_Curves/meltCurve_Q8TF46_DIS3L.pdf</t>
  </si>
  <si>
    <t>Melting_Curves/meltCurve_Q8TF50_ZNF526.pdf</t>
  </si>
  <si>
    <t>Melting_Curves/meltCurve_Q8TF61_FBXO41.pdf</t>
  </si>
  <si>
    <t>Melting_Curves/meltCurve_Q8TF64_GIPC3.pdf</t>
  </si>
  <si>
    <t>Melting_Curves/meltCurve_Q8TF74_WIPF2.pdf</t>
  </si>
  <si>
    <t>Melting_Curves/meltCurve_Q8TF76_2_GSG2.pdf</t>
  </si>
  <si>
    <t>Melting_Curves/meltCurve_Q8WTR2_2_DUSP19.pdf</t>
  </si>
  <si>
    <t>Melting_Curves/meltCurve_Q8WTS1_ABHD5.pdf</t>
  </si>
  <si>
    <t>Melting_Curves/meltCurve_Q8WTS6_SETD7.pdf</t>
  </si>
  <si>
    <t>Melting_Curves/meltCurve_Q8WTU0_DDI1.pdf</t>
  </si>
  <si>
    <t>Melting_Curves/meltCurve_Q8WTW3_COG1.pdf</t>
  </si>
  <si>
    <t>Melting_Curves/meltCurve_Q8WU10_PYROXD1.pdf</t>
  </si>
  <si>
    <t>Melting_Curves/meltCurve_Q8WU58_FAM222B.pdf</t>
  </si>
  <si>
    <t>Melting_Curves/meltCurve_Q8WU76_2_SCFD2.pdf</t>
  </si>
  <si>
    <t>Melting_Curves/meltCurve_Q8WU79_SMAP2.pdf</t>
  </si>
  <si>
    <t>Melting_Curves/meltCurve_Q8WU90_ZC3H15.pdf</t>
  </si>
  <si>
    <t>Melting_Curves/meltCurve_Q8WUA2_PPIL4.pdf</t>
  </si>
  <si>
    <t>Melting_Curves/meltCurve_Q8WUA4_GTF3C2.pdf</t>
  </si>
  <si>
    <t>Melting_Curves/meltCurve_Q8WUB8_3_PHF10.pdf</t>
  </si>
  <si>
    <t>Melting_Curves/meltCurve_Q8WUD1_RAB2B.pdf</t>
  </si>
  <si>
    <t>Melting_Curves/meltCurve_Q8WUD4_CCDC12.pdf</t>
  </si>
  <si>
    <t>Melting_Curves/meltCurve_Q8WUE5_CXorf48.pdf</t>
  </si>
  <si>
    <t>Melting_Curves/meltCurve_Q8WUF5_PPP1R13L.pdf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</si>
  <si>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</si>
  <si>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</si>
  <si>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</si>
  <si>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</si>
  <si>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Melting_Curves/meltCurve_Q8WUM4_PDCD6IP.pdf</t>
  </si>
  <si>
    <t>Melting_Curves/meltCurve_Q8WUN7_UBTD2.pdf</t>
  </si>
  <si>
    <t>Melting_Curves/meltCurve_Q8WUQ7_CACTIN.pdf</t>
  </si>
  <si>
    <t>Melting_Curves/meltCurve_Q8WUR7_C15orf40.pdf</t>
  </si>
  <si>
    <t>Melting_Curves/meltCurve_Q8WUU5_GATAD1.pdf</t>
  </si>
  <si>
    <t>Melting_Curves/meltCurve_Q8WUW1_BRK1.pdf</t>
  </si>
  <si>
    <t>Melting_Curves/meltCurve_Q8WUX2_CHAC2.pdf</t>
  </si>
  <si>
    <t>Melting_Curves/meltCurve_Q8WUX9_CHMP7.pdf</t>
  </si>
  <si>
    <t>Melting_Curves/meltCurve_Q8WUZ0_BCL7C.pdf</t>
  </si>
  <si>
    <t>Melting_Curves/meltCurve_Q8WV22_NSMCE1.pdf</t>
  </si>
  <si>
    <t>Melting_Curves/meltCurve_Q8WV41_SNX33.pdf</t>
  </si>
  <si>
    <t>Melting_Curves/meltCurve_Q8WV74_2_NUDT8.pdf</t>
  </si>
  <si>
    <t>Melting_Curves/meltCurve_Q8WV92_MITD1.pdf</t>
  </si>
  <si>
    <t>Melting_Curves/meltCurve_Q8WVB3_HEXDC.pdf</t>
  </si>
  <si>
    <t>Melting_Curves/meltCurve_Q8WVB6_CHTF18.pdf</t>
  </si>
  <si>
    <t>Melting_Curves/meltCurve_Q8WVC0_LEO1.pdf</t>
  </si>
  <si>
    <t>Melting_Curves/meltCurve_Q8WVC2_RPS21.pdf</t>
  </si>
  <si>
    <t>Melting_Curves/meltCurve_Q8WVE0_N6AMT2.pdf</t>
  </si>
  <si>
    <t>Melting_Curves/meltCurve_Q8WVJ2_NUDCD2.pdf</t>
  </si>
  <si>
    <t>Melting_Curves/meltCurve_Q8WVK2_SNRNP27.pdf</t>
  </si>
  <si>
    <t>Melting_Curves/meltCurve_Q8WVM0_TFB1M.pdf</t>
  </si>
  <si>
    <t>Melting_Curves/meltCurve_Q8WVM8_SCFD1.pdf</t>
  </si>
  <si>
    <t>Melting_Curves/meltCurve_Q8WVT3_TRAPPC12.pdf</t>
  </si>
  <si>
    <t>Melting_Curves/meltCurve_Q8WVV4_POF1B.pdf</t>
  </si>
  <si>
    <t>Melting_Curves/meltCurve_Q8WVV9_4_HNRPLL.pdf</t>
  </si>
  <si>
    <t>Melting_Curves/meltCurve_Q8WVY7_UBLCP1.pdf</t>
  </si>
  <si>
    <t>Melting_Curves/meltCurve_Q8WW01_TSEN15.pdf</t>
  </si>
  <si>
    <t>Melting_Curves/meltCurve_Q8WW12_PCNP.pdf</t>
  </si>
  <si>
    <t>Melting_Curves/meltCurve_Q8WW33_GTSF1.pdf</t>
  </si>
  <si>
    <t>Melting_Curves/meltCurve_Q8WW59_SPRYD4.pdf</t>
  </si>
  <si>
    <t>Melting_Curves/meltCurve_Q8WWH5_TRUB1.pdf</t>
  </si>
  <si>
    <t>Melting_Curves/meltCurve_Q8WWI5_3_SLC44A1.pdf</t>
  </si>
  <si>
    <t>Melting_Curves/meltCurve_Q8WWL2_4_SPIRE2.pdf</t>
  </si>
  <si>
    <t>Melting_Curves/meltCurve_Q8WWM7_ATXN2L.pdf</t>
  </si>
  <si>
    <t>Melting_Curves/meltCurve_Q8WWQ0_PHIP.pdf</t>
  </si>
  <si>
    <t>Melting_Curves/meltCurve_Q8WWV3_RTN4IP1.pdf</t>
  </si>
  <si>
    <t>Melting_Curves/meltCurve_Q8WWW0_2_RASSF5.pdf</t>
  </si>
  <si>
    <t>Melting_Curves/meltCurve_Q8WWY3_PRPF31.pdf</t>
  </si>
  <si>
    <t>Melting_Curves/meltCurve_Q8WWZ3_2_EDARADD.pdf</t>
  </si>
  <si>
    <t>Melting_Curves/meltCurve_Q8WX92_NELFB.pdf</t>
  </si>
  <si>
    <t>Melting_Curves/meltCurve_Q8WXA3_2_RUFY2.pdf</t>
  </si>
  <si>
    <t>Melting_Curves/meltCurve_Q8WXA9_2_SREK1.pdf</t>
  </si>
  <si>
    <t>Melting_Curves/meltCurve_Q8WXB1_METTL21A.pdf</t>
  </si>
  <si>
    <t>Melting_Curves/meltCurve_Q8WXD5_GEMIN6.pdf</t>
  </si>
  <si>
    <t>Melting_Curves/meltCurve_Q8WXE0_2_CASKIN2.pdf</t>
  </si>
  <si>
    <t>Melting_Curves/meltCurve_Q8WXE1_5_ATRIP.pdf</t>
  </si>
  <si>
    <t>Melting_Curves/meltCurve_Q8WXE9_STON2.pdf</t>
  </si>
  <si>
    <t>Melting_Curves/meltCurve_Q8WXF1_PSPC1.pdf</t>
  </si>
  <si>
    <t>Melting_Curves/meltCurve_Q8WXG6_8_MADD.pdf</t>
  </si>
  <si>
    <t>Melting_Curves/meltCurve_Q8WXI4_2_ACOT11.pdf</t>
  </si>
  <si>
    <t>Melting_Curves/meltCurve_Q8WXI9_GATAD2B.pdf</t>
  </si>
  <si>
    <t>Melting_Curves/meltCurve_Q8WXR4_4_MYO3B.pdf</t>
  </si>
  <si>
    <t>Melting_Curves/meltCurve_Q8WXW3_PIBF1.pdf</t>
  </si>
  <si>
    <t>Melting_Curves/meltCurve_Q8WXW3_2_PIBF1.pdf</t>
  </si>
  <si>
    <t>Melting_Curves/meltCurve_Q8WXX5_DNAJC9.pdf</t>
  </si>
  <si>
    <t>Melting_Curves/meltCurve_Q8WY91_THAP4.pdf</t>
  </si>
  <si>
    <t>Melting_Curves/meltCurve_Q8WYA6_CTNNBL1.pdf</t>
  </si>
  <si>
    <t>Melting_Curves/meltCurve_Q8WYB5_3_KAT6B.pdf</t>
  </si>
  <si>
    <t>Melting_Curves/meltCurve_Q8WYL5_4_SSH1.pdf</t>
  </si>
  <si>
    <t>Melting_Curves/meltCurve_Q8WYN0_ATG4A.pdf</t>
  </si>
  <si>
    <t>Melting_Curves/meltCurve_Q8WYP5_AHCTF1.pdf</t>
  </si>
  <si>
    <t>Melting_Curves/meltCurve_Q8WYQ0_PEX6.pdf</t>
  </si>
  <si>
    <t>Melting_Curves/meltCurve_Q8WYQ5_3_DGCR8.pdf</t>
  </si>
  <si>
    <t>Melting_Curves/meltCurve_Q8WZ19_KCTD13.pdf</t>
  </si>
  <si>
    <t>Melting_Curves/meltCurve_Q8WZ42_12_TTN.pdf</t>
  </si>
  <si>
    <t>Melting_Curves/meltCurve_Q8WZ42_5_TTN.pdf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</si>
  <si>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</si>
  <si>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</si>
  <si>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</si>
  <si>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</si>
  <si>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Melting_Curves/meltCurve_Q92481_TFAP2B.pdf</t>
  </si>
  <si>
    <t>Melting_Curves/meltCurve_Q92499_DDX1.pdf</t>
  </si>
  <si>
    <t>Melting_Curves/meltCurve_Q92502_STARD8.pdf</t>
  </si>
  <si>
    <t>Melting_Curves/meltCurve_Q92504_SLC39A7.pdf</t>
  </si>
  <si>
    <t>Melting_Curves/meltCurve_Q92506_HSD17B8.pdf</t>
  </si>
  <si>
    <t>Melting_Curves/meltCurve_Q92522_H1FX.pdf</t>
  </si>
  <si>
    <t>Melting_Curves/meltCurve_Q92526_CCT6B.pdf</t>
  </si>
  <si>
    <t>Melting_Curves/meltCurve_Q92538_GBF1.pdf</t>
  </si>
  <si>
    <t>Melting_Curves/meltCurve_Q92541_RTF1.pdf</t>
  </si>
  <si>
    <t>Melting_Curves/meltCurve_Q92544_TM9SF4.pdf</t>
  </si>
  <si>
    <t>Melting_Curves/meltCurve_Q92545_TMEM131.pdf</t>
  </si>
  <si>
    <t>Melting_Curves/meltCurve_Q92546_RGP1.pdf</t>
  </si>
  <si>
    <t>Melting_Curves/meltCurve_Q92547_TOPBP1.pdf</t>
  </si>
  <si>
    <t>Melting_Curves/meltCurve_Q92551_IP6K1.pdf</t>
  </si>
  <si>
    <t>Melting_Curves/meltCurve_Q92552_MRPS27.pdf</t>
  </si>
  <si>
    <t>Melting_Curves/meltCurve_Q92558_WASF1.pdf</t>
  </si>
  <si>
    <t>Melting_Curves/meltCurve_Q92560_BAP1.pdf</t>
  </si>
  <si>
    <t>Melting_Curves/meltCurve_Q92562_FIG4.pdf</t>
  </si>
  <si>
    <t>Melting_Curves/meltCurve_Q92567_2_FAM168A.pdf</t>
  </si>
  <si>
    <t>Melting_Curves/meltCurve_Q92572_AP3S1.pdf</t>
  </si>
  <si>
    <t>Melting_Curves/meltCurve_Q92574_2_TSC1.pdf</t>
  </si>
  <si>
    <t>Melting_Curves/meltCurve_Q92575_UBXN4.pdf</t>
  </si>
  <si>
    <t>Melting_Curves/meltCurve_Q92576_2_PHF3.pdf</t>
  </si>
  <si>
    <t>Melting_Curves/meltCurve_Q92581_3_SLC9A6.pdf</t>
  </si>
  <si>
    <t>Melting_Curves/meltCurve_Q92585_MAML1.pdf</t>
  </si>
  <si>
    <t>Melting_Curves/meltCurve_Q92598_2_HSPH1.pdf</t>
  </si>
  <si>
    <t>Melting_Curves/meltCurve_Q92599_2_SEPT8.pdf</t>
  </si>
  <si>
    <t>Melting_Curves/meltCurve_Q92600_RQCD1.pdf</t>
  </si>
  <si>
    <t>Melting_Curves/meltCurve_Q92608_DOCK2.pdf</t>
  </si>
  <si>
    <t>Melting_Curves/meltCurve_Q92609_TBC1D5.pdf</t>
  </si>
  <si>
    <t>Melting_Curves/meltCurve_Q92610_ZNF592.pdf</t>
  </si>
  <si>
    <t>Melting_Curves/meltCurve_Q92614_4_MYO18A.pdf</t>
  </si>
  <si>
    <t>Melting_Curves/meltCurve_Q92615_LARP4B.pdf</t>
  </si>
  <si>
    <t>Melting_Curves/meltCurve_Q92616_GCN1L1.pdf</t>
  </si>
  <si>
    <t>Melting_Curves/meltCurve_Q92618_ZNF516.pdf</t>
  </si>
  <si>
    <t>Melting_Curves/meltCurve_Q92619_HMHA1.pdf</t>
  </si>
  <si>
    <t>Melting_Curves/meltCurve_Q92621_NUP205.pdf</t>
  </si>
  <si>
    <t>Melting_Curves/meltCurve_Q92622_2_KIAA0226.pdf</t>
  </si>
  <si>
    <t>Melting_Curves/meltCurve_Q92625_ANKS1A.pdf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</si>
  <si>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</si>
  <si>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</si>
  <si>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</si>
  <si>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</si>
  <si>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Melting_Curves/meltCurve_Q92686_NRGN.pdf</t>
  </si>
  <si>
    <t>Melting_Curves/meltCurve_Q92688_2_ANP32B.pdf</t>
  </si>
  <si>
    <t>Melting_Curves/meltCurve_Q92692_PVRL2.pdf</t>
  </si>
  <si>
    <t>Melting_Curves/meltCurve_Q92696_RABGGTA.pdf</t>
  </si>
  <si>
    <t>Melting_Curves/meltCurve_Q92734_2_TFG.pdf</t>
  </si>
  <si>
    <t>Melting_Curves/meltCurve_Q92747_ARPC1A.pdf</t>
  </si>
  <si>
    <t>Melting_Curves/meltCurve_Q92750_TAF4B.pdf</t>
  </si>
  <si>
    <t>Melting_Curves/meltCurve_Q92759_GTF2H4.pdf</t>
  </si>
  <si>
    <t>Melting_Curves/meltCurve_Q92766_RREB1.pdf</t>
  </si>
  <si>
    <t>Melting_Curves/meltCurve_Q92769_HDAC2.pdf</t>
  </si>
  <si>
    <t>Melting_Curves/meltCurve_Q92783_2_STAM.pdf</t>
  </si>
  <si>
    <t>Melting_Curves/meltCurve_Q92784_DPF3.pdf</t>
  </si>
  <si>
    <t>Melting_Curves/meltCurve_Q92785_DPF2.pdf</t>
  </si>
  <si>
    <t>Melting_Curves/meltCurve_Q92793_CREBBP.pdf</t>
  </si>
  <si>
    <t>Melting_Curves/meltCurve_Q92796_3_DLG3.pdf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</si>
  <si>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</si>
  <si>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</si>
  <si>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</si>
  <si>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</si>
  <si>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Melting_Curves/meltCurve_Q92828_CORO2A.pdf</t>
  </si>
  <si>
    <t>Melting_Curves/meltCurve_Q92830_KAT2A.pdf</t>
  </si>
  <si>
    <t>Melting_Curves/meltCurve_Q92834_RPGR.pdf</t>
  </si>
  <si>
    <t>Melting_Curves/meltCurve_Q92841_DDX17.pdf</t>
  </si>
  <si>
    <t>Melting_Curves/meltCurve_Q92843_2_BCL2L2.pdf</t>
  </si>
  <si>
    <t>Melting_Curves/meltCurve_Q92844_TANK.pdf</t>
  </si>
  <si>
    <t>Melting_Curves/meltCurve_Q92845_4_KIFAP3.pdf</t>
  </si>
  <si>
    <t>Melting_Curves/meltCurve_Q92851_6_CASP10.pdf</t>
  </si>
  <si>
    <t>Melting_Curves/meltCurve_Q92854_SEMA4D.pdf</t>
  </si>
  <si>
    <t>Melting_Curves/meltCurve_Q92871_PMM1.pdf</t>
  </si>
  <si>
    <t>Melting_Curves/meltCurve_Q92878_RAD50.pdf</t>
  </si>
  <si>
    <t>Melting_Curves/meltCurve_Q92879_2_CELF1.pdf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</si>
  <si>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</si>
  <si>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</si>
  <si>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</si>
  <si>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</si>
  <si>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</si>
  <si>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Melting_Curves/meltCurve_Q92900_UPF1.pdf</t>
  </si>
  <si>
    <t>Melting_Curves/meltCurve_Q92902_2_HPS1.pdf</t>
  </si>
  <si>
    <t>Melting_Curves/meltCurve_Q92905_COPS5.pdf</t>
  </si>
  <si>
    <t>Melting_Curves/meltCurve_Q92917_GPKOW.pdf</t>
  </si>
  <si>
    <t>Melting_Curves/meltCurve_Q92922_SMARCC1.pdf</t>
  </si>
  <si>
    <t>Melting_Curves/meltCurve_Q92925_SMARCD2.pdf</t>
  </si>
  <si>
    <t>Melting_Curves/meltCurve_Q92945_KHSRP.pdf</t>
  </si>
  <si>
    <t>Melting_Curves/meltCurve_Q92947_2_GCDH.pdf</t>
  </si>
  <si>
    <t>Melting_Curves/meltCurve_Q92973_2_TNPO1.pdf</t>
  </si>
  <si>
    <t>Melting_Curves/meltCurve_Q92974_3_ARHGEF2.pdf</t>
  </si>
  <si>
    <t>Melting_Curves/meltCurve_Q92979_EMG1.pdf</t>
  </si>
  <si>
    <t>Melting_Curves/meltCurve_Q92989_CLP1.pdf</t>
  </si>
  <si>
    <t>Melting_Curves/meltCurve_Q92990_GLMN.pdf</t>
  </si>
  <si>
    <t>Melting_Curves/meltCurve_Q92993_KAT5.pdf</t>
  </si>
  <si>
    <t>Melting_Curves/meltCurve_Q92994_5_BRF1.pdf</t>
  </si>
  <si>
    <t>Melting_Curves/meltCurve_Q92995_2_USP13.pdf</t>
  </si>
  <si>
    <t>Melting_Curves/meltCurve_Q93008_USP9X.pdf</t>
  </si>
  <si>
    <t>Melting_Curves/meltCurve_Q93015_2_NAT6.pdf</t>
  </si>
  <si>
    <t>Melting_Curves/meltCurve_Q93034_CUL5.pdf</t>
  </si>
  <si>
    <t>Melting_Curves/meltCurve_Q93073_2_SECISBP2L.pdf</t>
  </si>
  <si>
    <t>Melting_Curves/meltCurve_Q93074_3_MED12.pdf</t>
  </si>
  <si>
    <t>Melting_Curves/meltCurve_Q93075_TATDN2.pdf</t>
  </si>
  <si>
    <t>Melting_Curves/meltCurve_Q93096_PTP4A1.pdf</t>
  </si>
  <si>
    <t>Melting_Curves/meltCurve_Q93100_4_PHKB.pdf</t>
  </si>
  <si>
    <t>Melting_Curves/meltCurve_Q969E8_TSR2.pdf</t>
  </si>
  <si>
    <t>Melting_Curves/meltCurve_Q969F1_GTF3C6.pdf</t>
  </si>
  <si>
    <t>Melting_Curves/meltCurve_Q969F9_HPS3.pdf</t>
  </si>
  <si>
    <t>Melting_Curves/meltCurve_Q969G3_2_SMARCE1.pdf</t>
  </si>
  <si>
    <t>Melting_Curves/meltCurve_Q969G6_RFK.pdf</t>
  </si>
  <si>
    <t>Melting_Curves/meltCurve_Q969H0_FBXW7.pdf</t>
  </si>
  <si>
    <t>Melting_Curves/meltCurve_Q969H6_2_POP5.pdf</t>
  </si>
  <si>
    <t>Melting_Curves/meltCurve_Q969H8_C19orf10.pdf</t>
  </si>
  <si>
    <t>Melting_Curves/meltCurve_Q969J2_ZKSCAN4.pdf</t>
  </si>
  <si>
    <t>Melting_Curves/meltCurve_Q969J3_LOH12CR1.pdf</t>
  </si>
  <si>
    <t>Melting_Curves/meltCurve_Q969K3_RNF34.pdf</t>
  </si>
  <si>
    <t>Melting_Curves/meltCurve_Q969L4_LSM10.pdf</t>
  </si>
  <si>
    <t>Melting_Curves/meltCurve_Q969M3_YIPF5.pdf</t>
  </si>
  <si>
    <t>Melting_Curves/meltCurve_Q969R5_L3MBTL2.pdf</t>
  </si>
  <si>
    <t>Melting_Curves/meltCurve_Q969S9_2_GFM2.pdf</t>
  </si>
  <si>
    <t>Melting_Curves/meltCurve_Q969T7_2_NT5C3B.pdf</t>
  </si>
  <si>
    <t>Melting_Curves/meltCurve_Q969U6_FBXW5.pdf</t>
  </si>
  <si>
    <t>Melting_Curves/meltCurve_Q969X6_CIRH1A.pdf</t>
  </si>
  <si>
    <t>Melting_Curves/meltCurve_Q969Y2_3_GTPBP3.pdf</t>
  </si>
  <si>
    <t>Melting_Curves/meltCurve_Q969Z0_TBRG4.pdf</t>
  </si>
  <si>
    <t>Melting_Curves/meltCurve_Q96A00_2_PPP1R14A.pdf</t>
  </si>
  <si>
    <t>Melting_Curves/meltCurve_Q96A19_CCDC102A.pdf</t>
  </si>
  <si>
    <t>Melting_Curves/meltCurve_Q96A33_CCDC47.pdf</t>
  </si>
  <si>
    <t>Melting_Curves/meltCurve_Q96A37_2_RNF166.pdf</t>
  </si>
  <si>
    <t>Melting_Curves/meltCurve_Q96A49_SYAP1.pdf</t>
  </si>
  <si>
    <t>Melting_Curves/meltCurve_Q96A65_EXOC4.pdf</t>
  </si>
  <si>
    <t>Melting_Curves/meltCurve_Q96A73_KIAA1191.pdf</t>
  </si>
  <si>
    <t>Melting_Curves/meltCurve_Q96AB3_ISOC2.pdf</t>
  </si>
  <si>
    <t>Melting_Curves/meltCurve_Q96AB6_NTAN1.pdf</t>
  </si>
  <si>
    <t>Melting_Curves/meltCurve_Q96AC1_FERMT2.pdf</t>
  </si>
  <si>
    <t>Melting_Curves/meltCurve_Q96AD5_PNPLA2.pdf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</si>
  <si>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</si>
  <si>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</si>
  <si>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</si>
  <si>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</si>
  <si>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Melting_Curves/meltCurve_Q96AT1_KIAA1143.pdf</t>
  </si>
  <si>
    <t>Melting_Curves/meltCurve_Q96AT9_RPE.pdf</t>
  </si>
  <si>
    <t>Melting_Curves/meltCurve_Q96AX1_VPS33A.pdf</t>
  </si>
  <si>
    <t>Melting_Curves/meltCurve_Q96AY4_TTC28.pdf</t>
  </si>
  <si>
    <t>Melting_Curves/meltCurve_Q96B02_UBE2W.pdf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</si>
  <si>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</si>
  <si>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</si>
  <si>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</si>
  <si>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</si>
  <si>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Melting_Curves/meltCurve_Q96B54_ZNF428.pdf</t>
  </si>
  <si>
    <t>Melting_Curves/meltCurve_Q96B97_SH3KBP1.pdf</t>
  </si>
  <si>
    <t>Melting_Curves/meltCurve_Q96BD5_2_PHF21A.pdf</t>
  </si>
  <si>
    <t>Melting_Curves/meltCurve_Q96BD8_2_SKA1.pdf</t>
  </si>
  <si>
    <t>Melting_Curves/meltCurve_Q96BF6_NACC2.pdf</t>
  </si>
  <si>
    <t>Melting_Curves/meltCurve_Q96BH1_RNF25.pdf</t>
  </si>
  <si>
    <t>Melting_Curves/meltCurve_Q96BJ3_AIDA.pdf</t>
  </si>
  <si>
    <t>Melting_Curves/meltCurve_Q96BK5_PINX1.pdf</t>
  </si>
  <si>
    <t>Melting_Curves/meltCurve_Q96BM9_ARL8A.pdf</t>
  </si>
  <si>
    <t>Melting_Curves/meltCurve_Q96BN8_FAM105B.pdf</t>
  </si>
  <si>
    <t>Melting_Curves/meltCurve_Q96BP3_PPWD1.pdf</t>
  </si>
  <si>
    <t>Melting_Curves/meltCurve_Q96BR5_SELRC1.pdf</t>
  </si>
  <si>
    <t>Melting_Curves/meltCurve_Q96BS2_TESC.pdf</t>
  </si>
  <si>
    <t>Melting_Curves/meltCurve_Q96BT7_ALKBH8.pdf</t>
  </si>
  <si>
    <t>Melting_Curves/meltCurve_Q96BW5_2_PTER.pdf</t>
  </si>
  <si>
    <t>Melting_Curves/meltCurve_Q96BX8_MOB3A.pdf</t>
  </si>
  <si>
    <t>Melting_Curves/meltCurve_Q96BY7_ATG2B.pdf</t>
  </si>
  <si>
    <t>Melting_Curves/meltCurve_Q96BZ8_LENG1.pdf</t>
  </si>
  <si>
    <t>Melting_Curves/meltCurve_Q96C00_ZBTB9.pdf</t>
  </si>
  <si>
    <t>Melting_Curves/meltCurve_Q96C01_FAM136A.pdf</t>
  </si>
  <si>
    <t>Melting_Curves/meltCurve_Q96C12_3_ARMC5.pdf</t>
  </si>
  <si>
    <t>Melting_Curves/meltCurve_Q96C19_EFHD2.pdf</t>
  </si>
  <si>
    <t>Melting_Curves/meltCurve_Q96C23_GALM.pdf</t>
  </si>
  <si>
    <t>Melting_Curves/meltCurve_Q96C24_SYTL4.pdf</t>
  </si>
  <si>
    <t>Melting_Curves/meltCurve_Q96C36_PYCR2.pdf</t>
  </si>
  <si>
    <t>Melting_Curves/meltCurve_Q96C86_DCPS.pdf</t>
  </si>
  <si>
    <t>Melting_Curves/meltCurve_Q96C90_PPP1R14B.pdf</t>
  </si>
  <si>
    <t>Melting_Curves/meltCurve_Q96C92_2_SDCCAG3.pdf</t>
  </si>
  <si>
    <t>Melting_Curves/meltCurve_Q96CB8_INTS12.pdf</t>
  </si>
  <si>
    <t>Melting_Curves/meltCurve_Q96CB9_4_NSUN4.pdf</t>
  </si>
  <si>
    <t>Melting_Curves/meltCurve_Q96CD0_FBXL8.pdf</t>
  </si>
  <si>
    <t>Melting_Curves/meltCurve_Q96CD2_PPCDC.pdf</t>
  </si>
  <si>
    <t>Melting_Curves/meltCurve_Q96CF2_CHMP4C.pdf</t>
  </si>
  <si>
    <t>Melting_Curves/meltCurve_Q96CN7_ISOC1.pdf</t>
  </si>
  <si>
    <t>Melting_Curves/meltCurve_Q96CN9_GCC1.pdf</t>
  </si>
  <si>
    <t>Melting_Curves/meltCurve_Q96CP2_FLYWCH2.pdf</t>
  </si>
  <si>
    <t>Melting_Curves/meltCurve_Q96CP6_2_GRAMD1A.pdf</t>
  </si>
  <si>
    <t>Melting_Curves/meltCurve_Q96CS2_HAUS1.pdf</t>
  </si>
  <si>
    <t>Melting_Curves/meltCurve_Q96CS3_FAF2.pdf</t>
  </si>
  <si>
    <t>Melting_Curves/meltCurve_Q96CT7_CCDC124.pdf</t>
  </si>
  <si>
    <t>Melting_Curves/meltCurve_Q96CU9_3_FOXRED1.pdf</t>
  </si>
  <si>
    <t>Melting_Curves/meltCurve_Q96CV9_2_OPTN.pdf</t>
  </si>
  <si>
    <t>Melting_Curves/meltCurve_Q96CW1_2_AP2M1.pdf</t>
  </si>
  <si>
    <t>Melting_Curves/meltCurve_Q96CW5_TUBGCP3.pdf</t>
  </si>
  <si>
    <t>Melting_Curves/meltCurve_Q96CW6_SLC7A6OS.pdf</t>
  </si>
  <si>
    <t>Melting_Curves/meltCurve_Q96D46_NMD3.pdf</t>
  </si>
  <si>
    <t>Melting_Curves/meltCurve_Q96D71_3_REPS1.pdf</t>
  </si>
  <si>
    <t>Melting_Curves/meltCurve_Q96DA6_2_DNAJC19.pdf</t>
  </si>
  <si>
    <t>Melting_Curves/meltCurve_Q96DB5_RMDN1.pdf</t>
  </si>
  <si>
    <t>Melting_Curves/meltCurve_Q96DC7_TMCO6.pdf</t>
  </si>
  <si>
    <t>Melting_Curves/meltCurve_Q96DC8_ECHDC3.pdf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</si>
  <si>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</si>
  <si>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</si>
  <si>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</si>
  <si>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</si>
  <si>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Melting_Curves/meltCurve_Q96DH6_2_MSI2.pdf</t>
  </si>
  <si>
    <t>Melting_Curves/meltCurve_Q96DI7_SNRNP40.pdf</t>
  </si>
  <si>
    <t>Melting_Curves/meltCurve_Q96DN5_2_WDR67.pdf</t>
  </si>
  <si>
    <t>Melting_Curves/meltCurve_Q96DN6_MBD6.pdf</t>
  </si>
  <si>
    <t>Melting_Curves/meltCurve_Q96DT0_3_LGALS12.pdf</t>
  </si>
  <si>
    <t>Melting_Curves/meltCurve_Q96DT5_DNAH11.pdf</t>
  </si>
  <si>
    <t>Melting_Curves/meltCurve_Q96DT6_ATG4C.pdf</t>
  </si>
  <si>
    <t>Melting_Curves/meltCurve_Q96DT7_ZBTB10.pdf</t>
  </si>
  <si>
    <t>Melting_Curves/meltCurve_Q96DU7_ITPKC.pdf</t>
  </si>
  <si>
    <t>Melting_Curves/meltCurve_Q96DX4_RSPRY1.pdf</t>
  </si>
  <si>
    <t>Melting_Curves/meltCurve_Q96DX7_TRIM44.pdf</t>
  </si>
  <si>
    <t>Melting_Curves/meltCurve_Q96E09_FAM122A.pdf</t>
  </si>
  <si>
    <t>Melting_Curves/meltCurve_Q96E11_8_MRRF.pdf</t>
  </si>
  <si>
    <t>Melting_Curves/meltCurve_Q96E14_RMI2.pdf</t>
  </si>
  <si>
    <t>Melting_Curves/meltCurve_Q96E39_RBMXL1.pdf</t>
  </si>
  <si>
    <t>Melting_Curves/meltCurve_Q96EA4_SPDL1.pdf</t>
  </si>
  <si>
    <t>Melting_Curves/meltCurve_Q96EB1_ELP4.pdf</t>
  </si>
  <si>
    <t>Melting_Curves/meltCurve_Q96EB6_SIRT1.pdf</t>
  </si>
  <si>
    <t>Melting_Curves/meltCurve_Q96ED9_2_HOOK2.pdf</t>
  </si>
  <si>
    <t>Melting_Curves/meltCurve_Q96EE3_SEH1L.pdf</t>
  </si>
  <si>
    <t>Melting_Curves/meltCurve_Q96EH3_MALSU1.pdf</t>
  </si>
  <si>
    <t>Melting_Curves/meltCurve_Q96EK4_THAP11.pdf</t>
  </si>
  <si>
    <t>Melting_Curves/meltCurve_Q96EK5_KIAA1279.pdf</t>
  </si>
  <si>
    <t>Melting_Curves/meltCurve_Q96EK6_GNPNAT1.pdf</t>
  </si>
  <si>
    <t>Melting_Curves/meltCurve_Q96EK9_KTI12.pdf</t>
  </si>
  <si>
    <t>Melting_Curves/meltCurve_Q96EM0_L3HYPDH.pdf</t>
  </si>
  <si>
    <t>Melting_Curves/meltCurve_Q96EN8_MOCOS.pdf</t>
  </si>
  <si>
    <t>Melting_Curves/meltCurve_Q96EP0_RNF31.pdf</t>
  </si>
  <si>
    <t>Melting_Curves/meltCurve_Q96EP1_2_CHFR.pdf</t>
  </si>
  <si>
    <t>Melting_Curves/meltCurve_Q96EP5_DAZAP1.pdf</t>
  </si>
  <si>
    <t>Melting_Curves/meltCurve_Q96EQ0_SGTB.pdf</t>
  </si>
  <si>
    <t>Melting_Curves/meltCurve_Q96ER3_SAAL1.pdf</t>
  </si>
  <si>
    <t>Melting_Curves/meltCurve_Q96ES7_CCDC101.pdf</t>
  </si>
  <si>
    <t>Melting_Curves/meltCurve_Q96EU6_2_RRP36.pdf</t>
  </si>
  <si>
    <t>Melting_Curves/meltCurve_Q96EV2_RBM33.pdf</t>
  </si>
  <si>
    <t>Melting_Curves/meltCurve_Q96EV8_DTNBP1.pdf</t>
  </si>
  <si>
    <t>Melting_Curves/meltCurve_Q96EW2_HSPBAP1.pdf</t>
  </si>
  <si>
    <t>Melting_Curves/meltCurve_Q96EY1_2_DNAJA3.pdf</t>
  </si>
  <si>
    <t>Melting_Curves/meltCurve_Q96EY4_TMA16.pdf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</si>
  <si>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</si>
  <si>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</si>
  <si>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</si>
  <si>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</si>
  <si>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Melting_Curves/meltCurve_Q96EZ8_3_MCRS1.pdf</t>
  </si>
  <si>
    <t>Melting_Curves/meltCurve_Q96F24_2_NRBF2.pdf</t>
  </si>
  <si>
    <t>Melting_Curves/meltCurve_Q96F44_3_TRIM11.pdf</t>
  </si>
  <si>
    <t>Melting_Curves/meltCurve_Q96F63_CCDC97.pdf</t>
  </si>
  <si>
    <t>Melting_Curves/meltCurve_Q96F85_2_CNRIP1.pdf</t>
  </si>
  <si>
    <t>Melting_Curves/meltCurve_Q96F86_EDC3.pdf</t>
  </si>
  <si>
    <t>Melting_Curves/meltCurve_Q96FC9_4_DDX11.pdf</t>
  </si>
  <si>
    <t>Melting_Curves/meltCurve_Q96FF9_CDCA5.pdf</t>
  </si>
  <si>
    <t>Melting_Curves/meltCurve_Q96FJ2_DYNLL2.pdf</t>
  </si>
  <si>
    <t>Melting_Curves/meltCurve_Q96FK6_WDR89.pdf</t>
  </si>
  <si>
    <t>Melting_Curves/meltCurve_Q96FN4_CPNE2.pdf</t>
  </si>
  <si>
    <t>Melting_Curves/meltCurve_Q96FS4_SIPA1.pdf</t>
  </si>
  <si>
    <t>Melting_Curves/meltCurve_Q96FT9_IFT43.pdf</t>
  </si>
  <si>
    <t>Melting_Curves/meltCurve_Q96FV2_2_SCRN2.pdf</t>
  </si>
  <si>
    <t>Melting_Curves/meltCurve_Q96FV9_THOC1.pdf</t>
  </si>
  <si>
    <t>Melting_Curves/meltCurve_Q96FX2_DPH3.pdf</t>
  </si>
  <si>
    <t>Melting_Curves/meltCurve_Q96FX7_TRMT61A.pdf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</si>
  <si>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</si>
  <si>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</si>
  <si>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</si>
  <si>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</si>
  <si>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</si>
  <si>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</si>
  <si>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</si>
  <si>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</si>
  <si>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Melting_Curves/meltCurve_Q96GD3_6_SCMH1.pdf</t>
  </si>
  <si>
    <t>Melting_Curves/meltCurve_Q96GE4_CEP95.pdf</t>
  </si>
  <si>
    <t>Melting_Curves/meltCurve_Q96GG9_DCUN1D1.pdf</t>
  </si>
  <si>
    <t>Melting_Curves/meltCurve_Q96GJ1_3_TRMT2B.pdf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</si>
  <si>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</si>
  <si>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</si>
  <si>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</si>
  <si>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</si>
  <si>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</si>
  <si>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Melting_Curves/meltCurve_Q96GV9_C5orf30.pdf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</si>
  <si>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</si>
  <si>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</si>
  <si>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</si>
  <si>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</si>
  <si>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Melting_Curves/meltCurve_Q96GY0_ZC2HC1A.pdf</t>
  </si>
  <si>
    <t>Melting_Curves/meltCurve_Q96GY3_LIN37.pdf</t>
  </si>
  <si>
    <t>Melting_Curves/meltCurve_Q96H20_SNF8.pdf</t>
  </si>
  <si>
    <t>Melting_Curves/meltCurve_Q96H35_RBM18.pdf</t>
  </si>
  <si>
    <t>Melting_Curves/meltCurve_Q96H79_ZC3HAV1L.pdf</t>
  </si>
  <si>
    <t>Melting_Curves/meltCurve_Q96HA7_2_TONSL.pdf</t>
  </si>
  <si>
    <t>Melting_Curves/meltCurve_Q96HC4_PDLIM5.pdf</t>
  </si>
  <si>
    <t>Melting_Curves/meltCurve_Q96HE7_ERO1L.pdf</t>
  </si>
  <si>
    <t>Melting_Curves/meltCurve_Q96HJ9_C7orf55.pdf</t>
  </si>
  <si>
    <t>Melting_Curves/meltCurve_Q96HN2_2_AHCYL2.pdf</t>
  </si>
  <si>
    <t>Melting_Curves/meltCurve_Q96HP0_DOCK6.pdf</t>
  </si>
  <si>
    <t>Melting_Curves/meltCurve_Q96HP4_OXNAD1.pdf</t>
  </si>
  <si>
    <t>Melting_Curves/meltCurve_Q96HR8_2_NAF1.pdf</t>
  </si>
  <si>
    <t>Melting_Curves/meltCurve_Q96HS1_PGAM5.pdf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</si>
  <si>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</si>
  <si>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</si>
  <si>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</si>
  <si>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</si>
  <si>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Melting_Curves/meltCurve_Q96I23_PYURF.pdf</t>
  </si>
  <si>
    <t>Melting_Curves/meltCurve_Q96I24_FUBP3.pdf</t>
  </si>
  <si>
    <t>Melting_Curves/meltCurve_Q96I25_RBM17.pdf</t>
  </si>
  <si>
    <t>Melting_Curves/meltCurve_Q96I51_WBSCR16.pdf</t>
  </si>
  <si>
    <t>Melting_Curves/meltCurve_Q96I59_NARS2.pdf</t>
  </si>
  <si>
    <t>Melting_Curves/meltCurve_Q96I76_GPATCH3.pdf</t>
  </si>
  <si>
    <t>Melting_Curves/meltCurve_Q96I99_SUCLG2.pdf</t>
  </si>
  <si>
    <t>Melting_Curves/meltCurve_Q96II8_LRCH3.pdf</t>
  </si>
  <si>
    <t>Melting_Curves/meltCurve_Q96IJ6_GMPPA.pdf</t>
  </si>
  <si>
    <t>Melting_Curves/meltCurve_Q96IK1_BOD1.pdf</t>
  </si>
  <si>
    <t>Melting_Curves/meltCurve_Q96IQ9_ZNF414.pdf</t>
  </si>
  <si>
    <t>Melting_Curves/meltCurve_Q96IR2_ZNF845.pdf</t>
  </si>
  <si>
    <t>Melting_Curves/meltCurve_Q96IU4_ABHD14B.pdf</t>
  </si>
  <si>
    <t>Melting_Curves/meltCurve_Q96IV0_2_NGLY1.pdf</t>
  </si>
  <si>
    <t>Melting_Curves/meltCurve_Q96IY1_NSL1.pdf</t>
  </si>
  <si>
    <t>Melting_Curves/meltCurve_Q96IZ0_PAWR.pdf</t>
  </si>
  <si>
    <t>Melting_Curves/meltCurve_Q96IZ5_2_RBM41.pdf</t>
  </si>
  <si>
    <t>Melting_Curves/meltCurve_Q96IZ7_2_RSRC1.pdf</t>
  </si>
  <si>
    <t>Melting_Curves/meltCurve_Q96J01_THOC3.pdf</t>
  </si>
  <si>
    <t>Melting_Curves/meltCurve_Q96J02_2_ITCH.pdf</t>
  </si>
  <si>
    <t>Melting_Curves/meltCurve_Q96J92_WNK4.pdf</t>
  </si>
  <si>
    <t>Melting_Curves/meltCurve_Q96JB2_COG3.pdf</t>
  </si>
  <si>
    <t>Melting_Curves/meltCurve_Q96JB3_2_HIC2.pdf</t>
  </si>
  <si>
    <t>Melting_Curves/meltCurve_Q96JB5_CDK5RAP3.pdf</t>
  </si>
  <si>
    <t>Melting_Curves/meltCurve_Q96JC1_2_VPS39.pdf</t>
  </si>
  <si>
    <t>Melting_Curves/meltCurve_Q96JC9_EAF1.pdf</t>
  </si>
  <si>
    <t>Melting_Curves/meltCurve_Q96JG6_CCDC132.pdf</t>
  </si>
  <si>
    <t>Melting_Curves/meltCurve_Q96JH7_VCPIP1.pdf</t>
  </si>
  <si>
    <t>Melting_Curves/meltCurve_Q96JI7_2_SPG11.pdf</t>
  </si>
  <si>
    <t>Melting_Curves/meltCurve_Q96JK2_2_DCAF5.pdf</t>
  </si>
  <si>
    <t>Melting_Curves/meltCurve_Q96JK9_MAML3.pdf</t>
  </si>
  <si>
    <t>Melting_Curves/meltCurve_Q96JM3_CHAMP1.pdf</t>
  </si>
  <si>
    <t>Melting_Curves/meltCurve_Q96JM7_2_L3MBTL3.pdf</t>
  </si>
  <si>
    <t>Melting_Curves/meltCurve_Q96JN2_2_CCDC136.pdf</t>
  </si>
  <si>
    <t>Melting_Curves/meltCurve_Q96JP5_ZFP91.pdf</t>
  </si>
  <si>
    <t>Melting_Curves/meltCurve_Q96JS3_PGBD1.pdf</t>
  </si>
  <si>
    <t>Melting_Curves/meltCurve_Q96K17_BTF3L4.pdf</t>
  </si>
  <si>
    <t>Melting_Curves/meltCurve_Q96K31_C8orf76.pdf</t>
  </si>
  <si>
    <t>Melting_Curves/meltCurve_Q96K58_ZNF668.pdf</t>
  </si>
  <si>
    <t>Melting_Curves/meltCurve_Q96K83_ZNF521.pdf</t>
  </si>
  <si>
    <t>Melting_Curves/meltCurve_Q96KB5_PBK.pdf</t>
  </si>
  <si>
    <t>Melting_Curves/meltCurve_Q96KC8_DNAJC1.pdf</t>
  </si>
  <si>
    <t>Melting_Curves/meltCurve_Q96KG9_3_SCYL1.pdf</t>
  </si>
  <si>
    <t>Melting_Curves/meltCurve_Q96KM6_ZNF512B.pdf</t>
  </si>
  <si>
    <t>Melting_Curves/meltCurve_Q96KN8_2_HRASLS5.pdf</t>
  </si>
  <si>
    <t>Melting_Curves/meltCurve_Q96KP1_EXOC2.pdf</t>
  </si>
  <si>
    <t>Melting_Curves/meltCurve_Q96KP4_CNDP2.pdf</t>
  </si>
  <si>
    <t>Melting_Curves/meltCurve_Q96KR1_ZFR.pdf</t>
  </si>
  <si>
    <t>Melting_Curves/meltCurve_Q96L91_3_EP400.pdf</t>
  </si>
  <si>
    <t>Melting_Curves/meltCurve_Q96L92_SNX27.pdf</t>
  </si>
  <si>
    <t>Melting_Curves/meltCurve_Q96L93_6_KIF16B.pdf</t>
  </si>
  <si>
    <t>Melting_Curves/meltCurve_Q96LA8_PRMT6.pdf</t>
  </si>
  <si>
    <t>Melting_Curves/meltCurve_Q96LB3_IFT74.pdf</t>
  </si>
  <si>
    <t>Melting_Curves/meltCurve_Q96LD4_TRIM47.pdf</t>
  </si>
  <si>
    <t>Melting_Curves/meltCurve_Q96LD8_SENP8.pdf</t>
  </si>
  <si>
    <t>Melting_Curves/meltCurve_Q96LJ8_UBXN10.pdf</t>
  </si>
  <si>
    <t>Melting_Curves/meltCurve_Q96LR5_UBE2E2.pdf</t>
  </si>
  <si>
    <t>Melting_Curves/meltCurve_Q96LZ7_RMDN2.pdf</t>
  </si>
  <si>
    <t>Melting_Curves/meltCurve_Q96M27_PRRC1.pdf</t>
  </si>
  <si>
    <t>Melting_Curves/meltCurve_Q96ME1_4_FBXL18.pdf</t>
  </si>
  <si>
    <t>Melting_Curves/meltCurve_Q96ME7_2_ZNF512.pdf</t>
  </si>
  <si>
    <t>Melting_Curves/meltCurve_Q96MG7_NDNL2.pdf</t>
  </si>
  <si>
    <t>Melting_Curves/meltCurve_Q96MH2_HEXIM2.pdf</t>
  </si>
  <si>
    <t>Melting_Curves/meltCurve_Q96MT0_.pdf</t>
  </si>
  <si>
    <t>Melting_Curves/meltCurve_Q96MT8_3_CEP63.pdf</t>
  </si>
  <si>
    <t>Melting_Curves/meltCurve_Q96MU7_YTHDC1.pdf</t>
  </si>
  <si>
    <t>Melting_Curves/meltCurve_Q96MW1_CCDC43.pdf</t>
  </si>
  <si>
    <t>Melting_Curves/meltCurve_Q96MW5_COG8.pdf</t>
  </si>
  <si>
    <t>Melting_Curves/meltCurve_Q96MX6_WDR92.pdf</t>
  </si>
  <si>
    <t>Melting_Curves/meltCurve_Q96MY1_C20orf112.pdf</t>
  </si>
  <si>
    <t>Melting_Curves/meltCurve_Q96N06_C16orf55.pdf</t>
  </si>
  <si>
    <t>Melting_Curves/meltCurve_Q96N21_2_ENTHD2.pdf</t>
  </si>
  <si>
    <t>Melting_Curves/meltCurve_Q96N66_2_MBOAT7.pdf</t>
  </si>
  <si>
    <t>Melting_Curves/meltCurve_Q96N67_4_DOCK7.pdf</t>
  </si>
  <si>
    <t>Melting_Curves/meltCurve_Q96NA2_RILP.pdf</t>
  </si>
  <si>
    <t>Melting_Curves/meltCurve_Q96NB1_FOPNL.pdf</t>
  </si>
  <si>
    <t>Melting_Curves/meltCurve_Q96NB3_ZNF830.pdf</t>
  </si>
  <si>
    <t>Melting_Curves/meltCurve_Q96NC0_ZMAT2.pdf</t>
  </si>
  <si>
    <t>Melting_Curves/meltCurve_Q96NL8_C8orf37.pdf</t>
  </si>
  <si>
    <t>Melting_Curves/meltCurve_Q96NT1_NAP1L5.pdf</t>
  </si>
  <si>
    <t>Melting_Curves/meltCurve_Q96P11_2_NSUN5.pdf</t>
  </si>
  <si>
    <t>Melting_Curves/meltCurve_Q96P16_RPRD1A.pdf</t>
  </si>
  <si>
    <t>Melting_Curves/meltCurve_Q96P47_AGAP3.pdf</t>
  </si>
  <si>
    <t>Melting_Curves/meltCurve_Q96P48_ARAP1.pdf</t>
  </si>
  <si>
    <t>Melting_Curves/meltCurve_Q96P70_IPO9.pdf</t>
  </si>
  <si>
    <t>Melting_Curves/meltCurve_Q96PC3_3_AP1S3.pdf</t>
  </si>
  <si>
    <t>Melting_Curves/meltCurve_Q96PG8_BBC3.pdf</t>
  </si>
  <si>
    <t>Melting_Curves/meltCurve_Q96PK6_RBM14.pdf</t>
  </si>
  <si>
    <t>Melting_Curves/meltCurve_Q96PM5_RCHY1.pdf</t>
  </si>
  <si>
    <t>Melting_Curves/meltCurve_Q96PM9_ZNF385A.pdf</t>
  </si>
  <si>
    <t>Melting_Curves/meltCurve_Q96PQ6_4_ZNF317.pdf</t>
  </si>
  <si>
    <t>Melting_Curves/meltCurve_Q96PU4_UHRF2.pdf</t>
  </si>
  <si>
    <t>Melting_Curves/meltCurve_Q96PU5_6_NEDD4L.pdf</t>
  </si>
  <si>
    <t>Melting_Curves/meltCurve_Q96PU8_9_QKI.pdf</t>
  </si>
  <si>
    <t>Melting_Curves/meltCurve_Q96PV6_2_LENG8.pdf</t>
  </si>
  <si>
    <t>Melting_Curves/meltCurve_Q96PY5_FMNL2.pdf</t>
  </si>
  <si>
    <t>Melting_Curves/meltCurve_Q96PY6_2_NEK1.pdf</t>
  </si>
  <si>
    <t>Melting_Curves/meltCurve_Q96PZ0_PUS7.pdf</t>
  </si>
  <si>
    <t>Melting_Curves/meltCurve_Q96Q05_3_TRAPPC9.pdf</t>
  </si>
  <si>
    <t>Melting_Curves/meltCurve_Q96Q11_2_TRNT1.pdf</t>
  </si>
  <si>
    <t>Melting_Curves/meltCurve_Q96Q15_SMG1.pdf</t>
  </si>
  <si>
    <t>Melting_Curves/meltCurve_Q96Q45_2_TMEM237.pdf</t>
  </si>
  <si>
    <t>Melting_Curves/meltCurve_Q96Q89_4_KIF20B.pdf</t>
  </si>
  <si>
    <t>Melting_Curves/meltCurve_Q96QC0_PPP1R10.pdf</t>
  </si>
  <si>
    <t>Melting_Curves/meltCurve_Q96QD9_FYTTD1.pdf</t>
  </si>
  <si>
    <t>Melting_Curves/meltCurve_Q96QE3_2_ATAD5.pdf</t>
  </si>
  <si>
    <t>Melting_Curves/meltCurve_Q96QF0_2_RAB3IP.pdf</t>
  </si>
  <si>
    <t>Melting_Curves/meltCurve_Q96QG7_MTMR9.pdf</t>
  </si>
  <si>
    <t>Melting_Curves/meltCurve_Q96QK1_VPS35.pdf</t>
  </si>
  <si>
    <t>Melting_Curves/meltCurve_Q96QR8_PURB.pdf</t>
  </si>
  <si>
    <t>Melting_Curves/meltCurve_Q96QT6_4_PHF12.pdf</t>
  </si>
  <si>
    <t>Melting_Curves/meltCurve_Q96QU6_ACCS.pdf</t>
  </si>
  <si>
    <t>Melting_Curves/meltCurve_Q96QU8_XPO6.pdf</t>
  </si>
  <si>
    <t>Melting_Curves/meltCurve_Q96QZ7_7_MAGI1.pdf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</si>
  <si>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</si>
  <si>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</si>
  <si>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</si>
  <si>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</si>
  <si>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Melting_Curves/meltCurve_Q96RL1_UIMC1.pdf</t>
  </si>
  <si>
    <t>Melting_Curves/meltCurve_Q96RL7_4_VPS13A.pdf</t>
  </si>
  <si>
    <t>Melting_Curves/meltCurve_Q96RN5_MED15.pdf</t>
  </si>
  <si>
    <t>Melting_Curves/meltCurve_Q96RP9_GFM1.pdf</t>
  </si>
  <si>
    <t>Melting_Curves/meltCurve_Q96RQ3_MCCC1.pdf</t>
  </si>
  <si>
    <t>Melting_Curves/meltCurve_Q96RR4_6_CAMKK2.pdf</t>
  </si>
  <si>
    <t>Melting_Curves/meltCurve_Q96RS0_TGS1.pdf</t>
  </si>
  <si>
    <t>Melting_Curves/meltCurve_Q96RS6_NUDCD1.pdf</t>
  </si>
  <si>
    <t>Melting_Curves/meltCurve_Q96RT1_9_ERBB2IP.pdf</t>
  </si>
  <si>
    <t>Melting_Curves/meltCurve_Q96RU2_2_USP28.pdf</t>
  </si>
  <si>
    <t>Melting_Curves/meltCurve_Q96RU3_2_FNBP1.pdf</t>
  </si>
  <si>
    <t>Melting_Curves/meltCurve_Q96S15_2_WDR24.pdf</t>
  </si>
  <si>
    <t>Melting_Curves/meltCurve_Q96S19_C16orf13.pdf</t>
  </si>
  <si>
    <t>Melting_Curves/meltCurve_Q96S38_RPS6KC1.pdf</t>
  </si>
  <si>
    <t>Melting_Curves/meltCurve_Q96S44_TP53RK.pdf</t>
  </si>
  <si>
    <t>Melting_Curves/meltCurve_Q96S52_2_PIGS.pdf</t>
  </si>
  <si>
    <t>Melting_Curves/meltCurve_Q96S55_2_WRNIP1.pdf</t>
  </si>
  <si>
    <t>Melting_Curves/meltCurve_Q96S59_RANBP9.pdf</t>
  </si>
  <si>
    <t>Melting_Curves/meltCurve_Q96S66_4_CLCC1.pdf</t>
  </si>
  <si>
    <t>Melting_Curves/meltCurve_Q96S82_UBL7.pdf</t>
  </si>
  <si>
    <t>Melting_Curves/meltCurve_Q96S90_LYSMD1.pdf</t>
  </si>
  <si>
    <t>Melting_Curves/meltCurve_Q96S94_CCNL2.pdf</t>
  </si>
  <si>
    <t>Melting_Curves/meltCurve_Q96S99_PLEKHF1.pdf</t>
  </si>
  <si>
    <t>Melting_Curves/meltCurve_Q96SB3_PPP1R9B.pdf</t>
  </si>
  <si>
    <t>Melting_Curves/meltCurve_Q96SB8_SMC6.pdf</t>
  </si>
  <si>
    <t>Melting_Curves/meltCurve_Q96SI9_STRBP.pdf</t>
  </si>
  <si>
    <t>Melting_Curves/meltCurve_Q96SK2_2_TMEM209.pdf</t>
  </si>
  <si>
    <t>Melting_Curves/meltCurve_Q96SL8_FIZ1.pdf</t>
  </si>
  <si>
    <t>Melting_Curves/meltCurve_Q96SN8_4_CDK5RAP2.pdf</t>
  </si>
  <si>
    <t>Melting_Curves/meltCurve_Q96ST2_IWS1.pdf</t>
  </si>
  <si>
    <t>Melting_Curves/meltCurve_Q96ST3_SIN3A.pdf</t>
  </si>
  <si>
    <t>Melting_Curves/meltCurve_Q96SU4_7_OSBPL9.pdf</t>
  </si>
  <si>
    <t>Melting_Curves/meltCurve_Q96SW2_2_CRBN.pdf</t>
  </si>
  <si>
    <t>Melting_Curves/meltCurve_Q96SY0_4_VWA9.pdf</t>
  </si>
  <si>
    <t>Melting_Curves/meltCurve_Q96SZ5_ADO.pdf</t>
  </si>
  <si>
    <t>Melting_Curves/meltCurve_Q96T21_SECISBP2.pdf</t>
  </si>
  <si>
    <t>Melting_Curves/meltCurve_Q96T23_2_RSF1.pdf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</si>
  <si>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</si>
  <si>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</si>
  <si>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</si>
  <si>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</si>
  <si>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</si>
  <si>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Melting_Curves/meltCurve_Q96T88_UHRF1.pdf</t>
  </si>
  <si>
    <t>Melting_Curves/meltCurve_Q96TA1_2_FAM129B.pdf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</si>
  <si>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</si>
  <si>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</si>
  <si>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</si>
  <si>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</si>
  <si>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</si>
  <si>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Melting_Curves/meltCurve_Q99447_PCYT2.pdf</t>
  </si>
  <si>
    <t>Melting_Curves/meltCurve_Q99456_KRT12.pdf</t>
  </si>
  <si>
    <t>Melting_Curves/meltCurve_Q99459_CDC5L.pdf</t>
  </si>
  <si>
    <t>Melting_Curves/meltCurve_Q99460_PSMD1.pdf</t>
  </si>
  <si>
    <t>Melting_Curves/meltCurve_Q99471_PFDN5.pdf</t>
  </si>
  <si>
    <t>Melting_Curves/meltCurve_Q99496_RNF2.pdf</t>
  </si>
  <si>
    <t>Melting_Curves/meltCurve_Q99497_PARK7.pdf</t>
  </si>
  <si>
    <t>Melting_Curves/meltCurve_Q99501_GAS2L1.pdf</t>
  </si>
  <si>
    <t>Melting_Curves/meltCurve_Q99519_NEU1.pdf</t>
  </si>
  <si>
    <t>Melting_Curves/meltCurve_Q99523_SORT1.pdf</t>
  </si>
  <si>
    <t>Melting_Curves/meltCurve_Q99536_VAT1.pdf</t>
  </si>
  <si>
    <t>Melting_Curves/meltCurve_Q99541_PLIN2.pdf</t>
  </si>
  <si>
    <t>Melting_Curves/meltCurve_Q99543_DNAJC2.pdf</t>
  </si>
  <si>
    <t>Melting_Curves/meltCurve_Q99543_2_DNAJC2.pdf</t>
  </si>
  <si>
    <t>Melting_Curves/meltCurve_Q99549_MPHOSPH8.pdf</t>
  </si>
  <si>
    <t>Melting_Curves/meltCurve_Q99550_MPHOSPH9.pdf</t>
  </si>
  <si>
    <t>Melting_Curves/meltCurve_Q99567_NUP88.pdf</t>
  </si>
  <si>
    <t>Melting_Curves/meltCurve_Q99570_PIK3R4.pdf</t>
  </si>
  <si>
    <t>Melting_Curves/meltCurve_Q99575_POP1.pdf</t>
  </si>
  <si>
    <t>Melting_Curves/meltCurve_Q99576_3_TSC22D3.pdf</t>
  </si>
  <si>
    <t>Melting_Curves/meltCurve_Q99583_MNT.pdf</t>
  </si>
  <si>
    <t>Melting_Curves/meltCurve_Q99584_S100A13.pdf</t>
  </si>
  <si>
    <t>Melting_Curves/meltCurve_Q99590_2_SCAF11.pdf</t>
  </si>
  <si>
    <t>Melting_Curves/meltCurve_Q99598_TSNAX.pdf</t>
  </si>
  <si>
    <t>Melting_Curves/meltCurve_Q99607_ELF4.pdf</t>
  </si>
  <si>
    <t>Melting_Curves/meltCurve_Q99611_SEPHS2.pdf</t>
  </si>
  <si>
    <t>Melting_Curves/meltCurve_Q99614_TTC1.pdf</t>
  </si>
  <si>
    <t>Melting_Curves/meltCurve_Q99615_DNAJC7.pdf</t>
  </si>
  <si>
    <t>Melting_Curves/meltCurve_Q99622_C12orf57.pdf</t>
  </si>
  <si>
    <t>Melting_Curves/meltCurve_Q99633_PRPF18.pdf</t>
  </si>
  <si>
    <t>Melting_Curves/meltCurve_Q99638_RAD9A.pdf</t>
  </si>
  <si>
    <t>Melting_Curves/meltCurve_Q99640_4_PKMYT1.pdf</t>
  </si>
  <si>
    <t>Melting_Curves/meltCurve_Q99653_CHP1.pdf</t>
  </si>
  <si>
    <t>Melting_Curves/meltCurve_Q99661_KIF2C.pdf</t>
  </si>
  <si>
    <t>Melting_Curves/meltCurve_Q99700_4_ATXN2.pdf</t>
  </si>
  <si>
    <t>Melting_Curves/meltCurve_Q99704_DOK1.pdf</t>
  </si>
  <si>
    <t>Melting_Curves/meltCurve_Q99707_MTR.pdf</t>
  </si>
  <si>
    <t>Melting_Curves/meltCurve_Q99708_RBBP8.pdf</t>
  </si>
  <si>
    <t>Melting_Curves/meltCurve_Q99714_HSD17B10.pdf</t>
  </si>
  <si>
    <t>Melting_Curves/meltCurve_Q99728_BARD1.pdf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</si>
  <si>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</si>
  <si>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</si>
  <si>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</si>
  <si>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</si>
  <si>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</si>
  <si>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</si>
  <si>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Melting_Curves/meltCurve_Q99798_ACO2.pdf</t>
  </si>
  <si>
    <t>Melting_Curves/meltCurve_Q99832_CCT7.pdf</t>
  </si>
  <si>
    <t>Melting_Curves/meltCurve_Q99836_MYD88.pdf</t>
  </si>
  <si>
    <t>Melting_Curves/meltCurve_Q99848_EBNA1BP2.pdf</t>
  </si>
  <si>
    <t>Melting_Curves/meltCurve_Q99856_ARID3A.pdf</t>
  </si>
  <si>
    <t>Melting_Curves/meltCurve_Q99878_HIST1H2AJ.pdf</t>
  </si>
  <si>
    <t>Melting_Curves/meltCurve_Q99879_HIST1H2BM.pdf</t>
  </si>
  <si>
    <t>Melting_Curves/meltCurve_Q99933_4_BAG1.pdf</t>
  </si>
  <si>
    <t>Melting_Curves/meltCurve_Q99941_2_ATF6B.pdf</t>
  </si>
  <si>
    <t>Melting_Curves/meltCurve_Q99942_RNF5.pdf</t>
  </si>
  <si>
    <t>Melting_Curves/meltCurve_Q99952_PTPN18.pdf</t>
  </si>
  <si>
    <t>Melting_Curves/meltCurve_Q99956_DUSP9.pdf</t>
  </si>
  <si>
    <t>Melting_Curves/meltCurve_Q99961_SH3GL1.pdf</t>
  </si>
  <si>
    <t>Melting_Curves/meltCurve_Q99963_4_SH3GL3.pdf</t>
  </si>
  <si>
    <t>Melting_Curves/meltCurve_Q99986_VRK1.pdf</t>
  </si>
  <si>
    <t>Melting_Curves/meltCurve_Q99996_2_AKAP9.pdf</t>
  </si>
  <si>
    <t>Melting_Curves/meltCurve_Q9BPW8_NIPSNAP1.pdf</t>
  </si>
  <si>
    <t>Melting_Curves/meltCurve_Q9BPX3_NCAPG.pdf</t>
  </si>
  <si>
    <t>Melting_Curves/meltCurve_Q9BPX5_ARPC5L.pdf</t>
  </si>
  <si>
    <t>Melting_Curves/meltCurve_Q9BPX6_2_MICU1.pdf</t>
  </si>
  <si>
    <t>Melting_Curves/meltCurve_Q9BPX7_C7orf25.pdf</t>
  </si>
  <si>
    <t>Melting_Curves/meltCurve_Q9BPZ3_PAIP2.pdf</t>
  </si>
  <si>
    <t>Melting_Curves/meltCurve_Q9BPZ7_3_MAPKAP1.pdf</t>
  </si>
  <si>
    <t>Melting_Curves/meltCurve_Q9BQ04_RBM4B.pdf</t>
  </si>
  <si>
    <t>Melting_Curves/meltCurve_Q9BQ39_DDX50.pdf</t>
  </si>
  <si>
    <t>Melting_Curves/meltCurve_Q9BQ48_MRPL34.pdf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</si>
  <si>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</si>
  <si>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</si>
  <si>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</si>
  <si>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</si>
  <si>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</si>
  <si>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Melting_Curves/meltCurve_Q9BQ90_KLHDC3.pdf</t>
  </si>
  <si>
    <t>Melting_Curves/meltCurve_Q9BQA1_WDR77.pdf</t>
  </si>
  <si>
    <t>Melting_Curves/meltCurve_Q9BQB6_3_VKORC1.pdf</t>
  </si>
  <si>
    <t>Melting_Curves/meltCurve_Q9BQC3_DPH2.pdf</t>
  </si>
  <si>
    <t>Melting_Curves/meltCurve_Q9BQE3_TUBA1C.pdf</t>
  </si>
  <si>
    <t>Melting_Curves/meltCurve_Q9BQE5_APOL2.pdf</t>
  </si>
  <si>
    <t>Melting_Curves/meltCurve_Q9BQE9_4_BCL7B.pdf</t>
  </si>
  <si>
    <t>Melting_Curves/meltCurve_Q9BQF6_4_SENP7.pdf</t>
  </si>
  <si>
    <t>Melting_Curves/meltCurve_Q9BQG0_MYBBP1A.pdf</t>
  </si>
  <si>
    <t>Melting_Curves/meltCurve_Q9BQG2_NUDT12.pdf</t>
  </si>
  <si>
    <t>Melting_Curves/meltCurve_Q9BQI0_3_AIF1L.pdf</t>
  </si>
  <si>
    <t>Melting_Curves/meltCurve_Q9BQP7_MGME1.pdf</t>
  </si>
  <si>
    <t>Melting_Curves/meltCurve_Q9BQS8_FYCO1.pdf</t>
  </si>
  <si>
    <t>Melting_Curves/meltCurve_Q9BQY4_RHOXF2.pdf</t>
  </si>
  <si>
    <t>Melting_Curves/meltCurve_Q9BR61_ACBD6.pdf</t>
  </si>
  <si>
    <t>Melting_Curves/meltCurve_Q9BR76_CORO1B.pdf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</si>
  <si>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</si>
  <si>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</si>
  <si>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</si>
  <si>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</si>
  <si>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</si>
  <si>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</si>
  <si>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</si>
  <si>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</si>
  <si>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Melting_Curves/meltCurve_Q9BRR0_ZKSCAN3.pdf</t>
  </si>
  <si>
    <t>Melting_Curves/meltCurve_Q9BRR6_2_ADPGK.pdf</t>
  </si>
  <si>
    <t>Melting_Curves/meltCurve_Q9BRS2_RIOK1.pdf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</si>
  <si>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</si>
  <si>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</si>
  <si>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</si>
  <si>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</si>
  <si>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</si>
  <si>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Melting_Curves/meltCurve_Q9BRX9_WDR83.pdf</t>
  </si>
  <si>
    <t>Melting_Curves/meltCurve_Q9BRZ2_TRIM56.pdf</t>
  </si>
  <si>
    <t>Melting_Curves/meltCurve_Q9BS18_ANAPC13.pdf</t>
  </si>
  <si>
    <t>Melting_Curves/meltCurve_Q9BS26_ERP44.pdf</t>
  </si>
  <si>
    <t>Melting_Curves/meltCurve_Q9BSB4_ATG101.pdf</t>
  </si>
  <si>
    <t>Melting_Curves/meltCurve_Q9BSC4_NOL10.pdf</t>
  </si>
  <si>
    <t>Melting_Curves/meltCurve_Q9BSD7_NTPCR.pdf</t>
  </si>
  <si>
    <t>Melting_Curves/meltCurve_Q9BSE4_HERPUD2.pdf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</si>
  <si>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</si>
  <si>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</si>
  <si>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</si>
  <si>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</si>
  <si>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Melting_Curves/meltCurve_Q9BSJ8_ESYT1.pdf</t>
  </si>
  <si>
    <t>Melting_Curves/meltCurve_Q9BSL1_UBAC1.pdf</t>
  </si>
  <si>
    <t>Melting_Curves/meltCurve_Q9BSQ5_CCM2.pdf</t>
  </si>
  <si>
    <t>Melting_Curves/meltCurve_Q9BSR8_YIPF4.pdf</t>
  </si>
  <si>
    <t>Melting_Curves/meltCurve_Q9BST9_3_RTKN.pdf</t>
  </si>
  <si>
    <t>Melting_Curves/meltCurve_Q9BSU1_C16orf70.pdf</t>
  </si>
  <si>
    <t>Melting_Curves/meltCurve_Q9BSU3_NAA11.pdf</t>
  </si>
  <si>
    <t>Melting_Curves/meltCurve_Q9BSV6_TSEN34.pdf</t>
  </si>
  <si>
    <t>Melting_Curves/meltCurve_Q9BSW2_2_EFCAB4B.pdf</t>
  </si>
  <si>
    <t>Melting_Curves/meltCurve_Q9BSY4_CHCHD5.pdf</t>
  </si>
  <si>
    <t>Melting_Curves/meltCurve_Q9BT09_CNPY3.pdf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</si>
  <si>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</si>
  <si>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</si>
  <si>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</si>
  <si>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</si>
  <si>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Melting_Curves/meltCurve_Q9BT92_TCHP.pdf</t>
  </si>
  <si>
    <t>Melting_Curves/meltCurve_Q9BTA9_2_WAC.pdf</t>
  </si>
  <si>
    <t>Melting_Curves/meltCurve_Q9BTC0_DIDO1.pdf</t>
  </si>
  <si>
    <t>Melting_Curves/meltCurve_Q9BTD8_4_RBM42.pdf</t>
  </si>
  <si>
    <t>Melting_Curves/meltCurve_Q9BTE1_2_DCTN5.pdf</t>
  </si>
  <si>
    <t>Melting_Curves/meltCurve_Q9BTE3_2_MCMBP.pdf</t>
  </si>
  <si>
    <t>Melting_Curves/meltCurve_Q9BTE6_3_AARSD1.pdf</t>
  </si>
  <si>
    <t>Melting_Curves/meltCurve_Q9BTE7_DCUN1D5.pdf</t>
  </si>
  <si>
    <t>Melting_Curves/meltCurve_Q9BTF0_THUMPD2.pdf</t>
  </si>
  <si>
    <t>Melting_Curves/meltCurve_Q9BTK6_PAGR1.pdf</t>
  </si>
  <si>
    <t>Melting_Curves/meltCurve_Q9BTL3_FAM103A1.pdf</t>
  </si>
  <si>
    <t>Melting_Curves/meltCurve_Q9BTM9_URM1.pdf</t>
  </si>
  <si>
    <t>Melting_Curves/meltCurve_Q9BTT0_ANP32E.pdf</t>
  </si>
  <si>
    <t>Melting_Curves/meltCurve_Q9BTT4_MED10.pdf</t>
  </si>
  <si>
    <t>Melting_Curves/meltCurve_Q9BTV6_WDR85.pdf</t>
  </si>
  <si>
    <t>Melting_Curves/meltCurve_Q9BTW9_TBCD.pdf</t>
  </si>
  <si>
    <t>Melting_Curves/meltCurve_Q9BTX7_TTPAL.pdf</t>
  </si>
  <si>
    <t>Melting_Curves/meltCurve_Q9BTY2_FUCA2.pdf</t>
  </si>
  <si>
    <t>Melting_Curves/meltCurve_Q9BTY7_FAM203A.pdf</t>
  </si>
  <si>
    <t>Melting_Curves/meltCurve_Q9BU02_THTPA.pdf</t>
  </si>
  <si>
    <t>Melting_Curves/meltCurve_Q9BU61_2_NDUFAF3.pdf</t>
  </si>
  <si>
    <t>Melting_Curves/meltCurve_Q9BU64_CENPO.pdf</t>
  </si>
  <si>
    <t>Melting_Curves/meltCurve_Q9BU76_MMTAG2.pdf</t>
  </si>
  <si>
    <t>Melting_Curves/meltCurve_Q9BU89_DOHH.pdf</t>
  </si>
  <si>
    <t>Melting_Curves/meltCurve_Q9BUA3_C11orf84.pdf</t>
  </si>
  <si>
    <t>Melting_Curves/meltCurve_Q9BUB4_ADAT1.pdf</t>
  </si>
  <si>
    <t>Melting_Curves/meltCurve_Q9BUB5_2_MKNK1.pdf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</si>
  <si>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</si>
  <si>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</si>
  <si>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</si>
  <si>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</si>
  <si>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</si>
  <si>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Melting_Curves/meltCurve_Q9BUK6_2_MSTO1.pdf</t>
  </si>
  <si>
    <t>Melting_Curves/meltCurve_Q9BUL9_RPP25.pdf</t>
  </si>
  <si>
    <t>Melting_Curves/meltCurve_Q9BUN5_CCDC28B.pdf</t>
  </si>
  <si>
    <t>Melting_Curves/meltCurve_Q9BUP0_EFHD1.pdf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</si>
  <si>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</si>
  <si>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</si>
  <si>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</si>
  <si>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</si>
  <si>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</si>
  <si>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Melting_Curves/meltCurve_Q9BV19_C1orf50.pdf</t>
  </si>
  <si>
    <t>Melting_Curves/meltCurve_Q9BV20_MRI1.pdf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</si>
  <si>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</si>
  <si>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</si>
  <si>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</si>
  <si>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</si>
  <si>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</si>
  <si>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Melting_Curves/meltCurve_Q9BV73_CEP250.pdf</t>
  </si>
  <si>
    <t>Melting_Curves/meltCurve_Q9BV79_MECR.pdf</t>
  </si>
  <si>
    <t>Melting_Curves/meltCurve_Q9BV86_NTMT1.pdf</t>
  </si>
  <si>
    <t>Melting_Curves/meltCurve_Q9BVA0_KATNB1.pdf</t>
  </si>
  <si>
    <t>Melting_Curves/meltCurve_Q9BVC3_DSCC1.pdf</t>
  </si>
  <si>
    <t>Melting_Curves/meltCurve_Q9BVC6_TMEM109.pdf</t>
  </si>
  <si>
    <t>Melting_Curves/meltCurve_Q9BVG4_PBDC1.pdf</t>
  </si>
  <si>
    <t>Melting_Curves/meltCurve_Q9BVI0_PHF20.pdf</t>
  </si>
  <si>
    <t>Melting_Curves/meltCurve_Q9BVI4_NOC4L.pdf</t>
  </si>
  <si>
    <t>Melting_Curves/meltCurve_Q9BVJ6_UTP14A.pdf</t>
  </si>
  <si>
    <t>Melting_Curves/meltCurve_Q9BVJ7_DUSP23.pdf</t>
  </si>
  <si>
    <t>Melting_Curves/meltCurve_Q9BVK6_TMED9.pdf</t>
  </si>
  <si>
    <t>Melting_Curves/meltCurve_Q9BVL4_SELO.pdf</t>
  </si>
  <si>
    <t>Melting_Curves/meltCurve_Q9BVM2_DPCD.pdf</t>
  </si>
  <si>
    <t>Melting_Curves/meltCurve_Q9BVM4_GGACT.pdf</t>
  </si>
  <si>
    <t>Melting_Curves/meltCurve_Q9BVP2_2_GNL3.pdf</t>
  </si>
  <si>
    <t>Melting_Curves/meltCurve_Q9BVQ7_SPATA5L1.pdf</t>
  </si>
  <si>
    <t>Melting_Curves/meltCurve_Q9BVR6_TUBGCP4.pdf</t>
  </si>
  <si>
    <t>Melting_Curves/meltCurve_Q9BVS4_RIOK2.pdf</t>
  </si>
  <si>
    <t>Melting_Curves/meltCurve_Q9BW04_SARG.pdf</t>
  </si>
  <si>
    <t>Melting_Curves/meltCurve_Q9BW19_KIFC1.pdf</t>
  </si>
  <si>
    <t>Melting_Curves/meltCurve_Q9BW27_NUP85.pdf</t>
  </si>
  <si>
    <t>Melting_Curves/meltCurve_Q9BW61_DDA1.pdf</t>
  </si>
  <si>
    <t>Melting_Curves/meltCurve_Q9BW62_KATNAL1.pdf</t>
  </si>
  <si>
    <t>Melting_Curves/meltCurve_Q9BW66_CINP.pdf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</si>
  <si>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</si>
  <si>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</si>
  <si>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</si>
  <si>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</si>
  <si>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</si>
  <si>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</si>
  <si>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</si>
  <si>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</si>
  <si>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Melting_Curves/meltCurve_Q9BWH2_FUNDC2.pdf</t>
  </si>
  <si>
    <t>Melting_Curves/meltCurve_Q9BWH6_RPAP1.pdf</t>
  </si>
  <si>
    <t>Melting_Curves/meltCurve_Q9BWJ5_SF3B5.pdf</t>
  </si>
  <si>
    <t>Melting_Curves/meltCurve_Q9BWN1_PRR14.pdf</t>
  </si>
  <si>
    <t>Melting_Curves/meltCurve_Q9BWS9_3_CHID1.pdf</t>
  </si>
  <si>
    <t>Melting_Curves/meltCurve_Q9BWT3_PAPOLG.pdf</t>
  </si>
  <si>
    <t>Melting_Curves/meltCurve_Q9BWT7_CARD10.pdf</t>
  </si>
  <si>
    <t>Melting_Curves/meltCurve_Q9BWU0_SLC4A1AP.pdf</t>
  </si>
  <si>
    <t>Melting_Curves/meltCurve_Q9BWW4_2_SSBP3.pdf</t>
  </si>
  <si>
    <t>Melting_Curves/meltCurve_Q9BWW5_SSDP4.pdf</t>
  </si>
  <si>
    <t>Melting_Curves/meltCurve_Q9BWW8_APOL6.pdf</t>
  </si>
  <si>
    <t>Melting_Curves/meltCurve_Q9BX10_2_GTPBP2.pdf</t>
  </si>
  <si>
    <t>Melting_Curves/meltCurve_Q9BX40_LSM14B.pdf</t>
  </si>
  <si>
    <t>Melting_Curves/meltCurve_Q9BX63_BRIP1.pdf</t>
  </si>
  <si>
    <t>Melting_Curves/meltCurve_Q9BX66_6_SORBS1.pdf</t>
  </si>
  <si>
    <t>Melting_Curves/meltCurve_Q9BX66_9_SORBS1.pdf</t>
  </si>
  <si>
    <t>Melting_Curves/meltCurve_Q9BX68_HINT2.pdf</t>
  </si>
  <si>
    <t>Melting_Curves/meltCurve_Q9BX69_CARD6.pdf</t>
  </si>
  <si>
    <t>Melting_Curves/meltCurve_Q9BXB4_OSBPL11.pdf</t>
  </si>
  <si>
    <t>Melting_Curves/meltCurve_Q9BXD5_NPL.pdf</t>
  </si>
  <si>
    <t>Melting_Curves/meltCurve_Q9BXF6_RAB11FIP5.pdf</t>
  </si>
  <si>
    <t>Melting_Curves/meltCurve_Q9BXH1_BBC3.pdf</t>
  </si>
  <si>
    <t>Melting_Curves/meltCurve_Q9BXI6_TBC1D10A.pdf</t>
  </si>
  <si>
    <t>Melting_Curves/meltCurve_Q9BXJ9_NAA15.pdf</t>
  </si>
  <si>
    <t>Melting_Curves/meltCurve_Q9BXK1_KLF16.pdf</t>
  </si>
  <si>
    <t>Melting_Curves/meltCurve_Q9BXK5_BCL2L13.pdf</t>
  </si>
  <si>
    <t>Melting_Curves/meltCurve_Q9BXL5_HEMGN.pdf</t>
  </si>
  <si>
    <t>Melting_Curves/meltCurve_Q9BXL7_CARD11.pdf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</si>
  <si>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</si>
  <si>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</si>
  <si>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</si>
  <si>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</si>
  <si>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Melting_Curves/meltCurve_Q9BXV9_C14orf142.pdf</t>
  </si>
  <si>
    <t>Melting_Curves/meltCurve_Q9BXW7_2_CECR5.pdf</t>
  </si>
  <si>
    <t>Melting_Curves/meltCurve_Q9BXW9_2_FANCD2.pdf</t>
  </si>
  <si>
    <t>Melting_Curves/meltCurve_Q9BXY0_MAK16.pdf</t>
  </si>
  <si>
    <t>Melting_Curves/meltCurve_Q9BY12_2_SCAPER.pdf</t>
  </si>
  <si>
    <t>Melting_Curves/meltCurve_Q9BY32_ITPA.pdf</t>
  </si>
  <si>
    <t>Melting_Curves/meltCurve_Q9BY42_RTFDC1.pdf</t>
  </si>
  <si>
    <t>Melting_Curves/meltCurve_Q9BY43_CHMP4A.pdf</t>
  </si>
  <si>
    <t>Melting_Curves/meltCurve_Q9BY44_EIF2A.pdf</t>
  </si>
  <si>
    <t>Melting_Curves/meltCurve_Q9BY77_POLDIP3.pdf</t>
  </si>
  <si>
    <t>Melting_Curves/meltCurve_Q9BYB4_GNB1L.pdf</t>
  </si>
  <si>
    <t>Melting_Curves/meltCurve_Q9BYD6_MRPL1.pdf</t>
  </si>
  <si>
    <t>Melting_Curves/meltCurve_Q9BYE2_3_.pdf</t>
  </si>
  <si>
    <t>Melting_Curves/meltCurve_Q9BYE7_PCGF6.pdf</t>
  </si>
  <si>
    <t>Melting_Curves/meltCurve_Q9BYG3_MKI67IP.pdf</t>
  </si>
  <si>
    <t>Melting_Curves/meltCurve_Q9BYG5_PARD6B.pdf</t>
  </si>
  <si>
    <t>Melting_Curves/meltCurve_Q9BYI3_FAM126A.pdf</t>
  </si>
  <si>
    <t>Melting_Curves/meltCurve_Q9BYM8_RBCK1.pdf</t>
  </si>
  <si>
    <t>Melting_Curves/meltCurve_Q9BYN0_SRXN1.pdf</t>
  </si>
  <si>
    <t>Melting_Curves/meltCurve_Q9BYN8_MRPS26.pdf</t>
  </si>
  <si>
    <t>Melting_Curves/meltCurve_Q9BYT8_NLN.pdf</t>
  </si>
  <si>
    <t>Melting_Curves/meltCurve_Q9BYV8_CEP41.pdf</t>
  </si>
  <si>
    <t>Melting_Curves/meltCurve_Q9BYV9_BACH2.pdf</t>
  </si>
  <si>
    <t>Melting_Curves/meltCurve_Q9BYW2_SETD2.pdf</t>
  </si>
  <si>
    <t>Melting_Curves/meltCurve_Q9BZ29_3_DOCK9.pdf</t>
  </si>
  <si>
    <t>Melting_Curves/meltCurve_Q9BZ95_4_WHSC1L1.pdf</t>
  </si>
  <si>
    <t>Melting_Curves/meltCurve_Q9BZD4_NUF2.pdf</t>
  </si>
  <si>
    <t>Melting_Curves/meltCurve_Q9BZE2_PUS3.pdf</t>
  </si>
  <si>
    <t>Melting_Curves/meltCurve_Q9BZE9_ASPSCR1.pdf</t>
  </si>
  <si>
    <t>Melting_Curves/meltCurve_Q9BZF1_3_OSBPL8.pdf</t>
  </si>
  <si>
    <t>Melting_Curves/meltCurve_Q9BZF2_OSBPL7.pdf</t>
  </si>
  <si>
    <t>Melting_Curves/meltCurve_Q9BZH6_WDR11.pdf</t>
  </si>
  <si>
    <t>Melting_Curves/meltCurve_Q9BZI7_2_UPF3B.pdf</t>
  </si>
  <si>
    <t>Melting_Curves/meltCurve_Q9BZJ0_2_CRNKL1.pdf</t>
  </si>
  <si>
    <t>Melting_Curves/meltCurve_Q9BZK7_TBL1XR1.pdf</t>
  </si>
  <si>
    <t>Melting_Curves/meltCurve_Q9BZL1_UBL5.pdf</t>
  </si>
  <si>
    <t>Melting_Curves/meltCurve_Q9BZL4_PPP1R12C.pdf</t>
  </si>
  <si>
    <t>Melting_Curves/meltCurve_Q9BZL6_PRKD2.pdf</t>
  </si>
  <si>
    <t>Melting_Curves/meltCurve_Q9BZM1_PLA2G12A.pdf</t>
  </si>
  <si>
    <t>Melting_Curves/meltCurve_Q9BZQ8_FAM129A.pdf</t>
  </si>
  <si>
    <t>Melting_Curves/meltCurve_Q9BZV1_UBXN6.pdf</t>
  </si>
  <si>
    <t>Melting_Curves/meltCurve_Q9BZX2_UCK2.pdf</t>
  </si>
  <si>
    <t>Melting_Curves/meltCurve_Q9BZZ5_2_API5.pdf</t>
  </si>
  <si>
    <t>Melting_Curves/meltCurve_Q9C004_2_SPRY4.pdf</t>
  </si>
  <si>
    <t>Melting_Curves/meltCurve_Q9C005_DPY30.pdf</t>
  </si>
  <si>
    <t>Melting_Curves/meltCurve_Q9C010_PKIB.pdf</t>
  </si>
  <si>
    <t>Melting_Curves/meltCurve_Q9C073_FAM117A.pdf</t>
  </si>
  <si>
    <t>Melting_Curves/meltCurve_Q9C099_2_LRRCC1.pdf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</si>
  <si>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</si>
  <si>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</si>
  <si>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</si>
  <si>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</si>
  <si>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</si>
  <si>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</si>
  <si>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Melting_Curves/meltCurve_Q9C0C7_4_AMBRA1.pdf</t>
  </si>
  <si>
    <t>Melting_Curves/meltCurve_Q9C0C9_UBE2O.pdf</t>
  </si>
  <si>
    <t>Melting_Curves/meltCurve_Q9C0D2_KIAA1731.pdf</t>
  </si>
  <si>
    <t>Melting_Curves/meltCurve_Q9C0D3_ZYG11B.pdf</t>
  </si>
  <si>
    <t>Melting_Curves/meltCurve_Q9C0D5_TANC1.pdf</t>
  </si>
  <si>
    <t>Melting_Curves/meltCurve_Q9C0F1_CEP44.pdf</t>
  </si>
  <si>
    <t>Melting_Curves/meltCurve_Q9C0G0_ZNF407.pdf</t>
  </si>
  <si>
    <t>Melting_Curves/meltCurve_Q9C0I1_MTMR12.pdf</t>
  </si>
  <si>
    <t>Melting_Curves/meltCurve_Q9C0J8_WDR33.pdf</t>
  </si>
  <si>
    <t>Melting_Curves/meltCurve_Q9GZL7_WDR12.pdf</t>
  </si>
  <si>
    <t>Melting_Curves/meltCurve_Q9GZN2_TGIF2.pdf</t>
  </si>
  <si>
    <t>Melting_Curves/meltCurve_Q9GZN8_C20orf27.pdf</t>
  </si>
  <si>
    <t>Melting_Curves/meltCurve_Q9GZP4_PITHD1.pdf</t>
  </si>
  <si>
    <t>Melting_Curves/meltCurve_Q9GZQ3_COMMD5.pdf</t>
  </si>
  <si>
    <t>Melting_Curves/meltCurve_Q9GZR1_2_SENP6.pdf</t>
  </si>
  <si>
    <t>Melting_Curves/meltCurve_Q9GZR2_REXO4.pdf</t>
  </si>
  <si>
    <t>Melting_Curves/meltCurve_Q9GZS1_2_POLR1E.pdf</t>
  </si>
  <si>
    <t>Melting_Curves/meltCurve_Q9GZS3_WDR61.pdf</t>
  </si>
  <si>
    <t>Melting_Curves/meltCurve_Q9GZT3_2_SLIRP.pdf</t>
  </si>
  <si>
    <t>Melting_Curves/meltCurve_Q9GZT4_SRR.pdf</t>
  </si>
  <si>
    <t>Melting_Curves/meltCurve_Q9GZT8_2_NIF3L1.pdf</t>
  </si>
  <si>
    <t>Melting_Curves/meltCurve_Q9GZT9_EGLN1.pdf</t>
  </si>
  <si>
    <t>Melting_Curves/meltCurve_Q9GZU8_FAM192A.pdf</t>
  </si>
  <si>
    <t>Melting_Curves/meltCurve_Q9GZY8_MFF.pdf</t>
  </si>
  <si>
    <t>Melting_Curves/meltCurve_Q9GZY8_2_MFF.pdf</t>
  </si>
  <si>
    <t>Melting_Curves/meltCurve_Q9GZZ9_UBA5.pdf</t>
  </si>
  <si>
    <t>Melting_Curves/meltCurve_Q9H008_LHPP.pdf</t>
  </si>
  <si>
    <t>Melting_Curves/meltCurve_Q9H074_PAIP1.pdf</t>
  </si>
  <si>
    <t>Melting_Curves/meltCurve_Q9H079_KATNBL1.pdf</t>
  </si>
  <si>
    <t>Melting_Curves/meltCurve_Q9H081_MIS12.pdf</t>
  </si>
  <si>
    <t>Melting_Curves/meltCurve_Q9H082_RAB33B.pdf</t>
  </si>
  <si>
    <t>Melting_Curves/meltCurve_Q9H094_2_NBPF3.pdf</t>
  </si>
  <si>
    <t>Melting_Curves/meltCurve_Q9H098_FAM107B.pdf</t>
  </si>
  <si>
    <t>Melting_Curves/meltCurve_Q9H0A0_NAT10.pdf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</si>
  <si>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</si>
  <si>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</si>
  <si>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</si>
  <si>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</si>
  <si>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</si>
  <si>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</si>
  <si>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Melting_Curves/meltCurve_Q9H0F6_SHARPIN.pdf</t>
  </si>
  <si>
    <t>Melting_Curves/meltCurve_Q9H0F7_ARL6.pdf</t>
  </si>
  <si>
    <t>Melting_Curves/meltCurve_Q9H0G5_NSRP1.pdf</t>
  </si>
  <si>
    <t>Melting_Curves/meltCurve_Q9H0H5_RACGAP1.pdf</t>
  </si>
  <si>
    <t>Melting_Curves/meltCurve_Q9H0I2_2_ENKD1.pdf</t>
  </si>
  <si>
    <t>Melting_Curves/meltCurve_Q9H0J9_PARP12.pdf</t>
  </si>
  <si>
    <t>Melting_Curves/meltCurve_Q9H0K1_SIK2.pdf</t>
  </si>
  <si>
    <t>Melting_Curves/meltCurve_Q9H0K6_PUS7L.pdf</t>
  </si>
  <si>
    <t>Melting_Curves/meltCurve_Q9H0L4_CSTF2T.pdf</t>
  </si>
  <si>
    <t>Melting_Curves/meltCurve_Q9H0P0_NT5C3A.pdf</t>
  </si>
  <si>
    <t>Melting_Curves/meltCurve_Q9H0P0_3_NT5C3A.pdf</t>
  </si>
  <si>
    <t>Melting_Curves/meltCurve_Q9H0R4_HDHD2.pdf</t>
  </si>
  <si>
    <t>Melting_Curves/meltCurve_Q9H0R6_QRSL1.pdf</t>
  </si>
  <si>
    <t>Melting_Curves/meltCurve_Q9H0S4_2_DDX47.pdf</t>
  </si>
  <si>
    <t>Melting_Curves/meltCurve_Q9H0U4_RAB1B.pdf</t>
  </si>
  <si>
    <t>Melting_Curves/meltCurve_Q9H0U9_TSPYL1.pdf</t>
  </si>
  <si>
    <t>Melting_Curves/meltCurve_Q9H0W5_CCDC8.pdf</t>
  </si>
  <si>
    <t>Melting_Curves/meltCurve_Q9H0W8_2_SMG9.pdf</t>
  </si>
  <si>
    <t>Melting_Curves/meltCurve_Q9H0W9_C11orf54.pdf</t>
  </si>
  <si>
    <t>Melting_Curves/meltCurve_Q9H0X4_ITFG3.pdf</t>
  </si>
  <si>
    <t>Melting_Curves/meltCurve_Q9H173_SIL1.pdf</t>
  </si>
  <si>
    <t>Melting_Curves/meltCurve_Q9H175_CSRNP2.pdf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</si>
  <si>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</si>
  <si>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</si>
  <si>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</si>
  <si>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</si>
  <si>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Melting_Curves/meltCurve_Q9H1I8_ASCC2.pdf</t>
  </si>
  <si>
    <t>Melting_Curves/meltCurve_Q9H1J1_2_UPF3A.pdf</t>
  </si>
  <si>
    <t>Melting_Curves/meltCurve_Q9H1K1_ISCU.pdf</t>
  </si>
  <si>
    <t>Melting_Curves/meltCurve_Q9H1P3_2_OSBPL2.pdf</t>
  </si>
  <si>
    <t>Melting_Curves/meltCurve_Q9H1Y0_ATG5.pdf</t>
  </si>
  <si>
    <t>Melting_Curves/meltCurve_Q9H1Z4_WDR13.pdf</t>
  </si>
  <si>
    <t>Melting_Curves/meltCurve_Q9H204_MED28.pdf</t>
  </si>
  <si>
    <t>Melting_Curves/meltCurve_Q9H211_CDT1.pdf</t>
  </si>
  <si>
    <t>Melting_Curves/meltCurve_Q9H223_EHD4.pdf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</si>
  <si>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</si>
  <si>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</si>
  <si>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</si>
  <si>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</si>
  <si>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Melting_Curves/meltCurve_Q9H2D6_5_TRIOBP.pdf</t>
  </si>
  <si>
    <t>Melting_Curves/meltCurve_Q9H2F5_2_EPC1.pdf</t>
  </si>
  <si>
    <t>Melting_Curves/meltCurve_Q9H2G2_2_SLK.pdf</t>
  </si>
  <si>
    <t>Melting_Curves/meltCurve_Q9H2H8_PPIL3.pdf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</si>
  <si>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</si>
  <si>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</si>
  <si>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</si>
  <si>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</si>
  <si>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</si>
  <si>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Melting_Curves/meltCurve_Q9H2P9_DPH5.pdf</t>
  </si>
  <si>
    <t>Melting_Curves/meltCurve_Q9H2U1_3_DHX36.pdf</t>
  </si>
  <si>
    <t>Melting_Curves/meltCurve_Q9H2U2_PPA2.pdf</t>
  </si>
  <si>
    <t>Melting_Curves/meltCurve_Q9H2W6_MRPL46.pdf</t>
  </si>
  <si>
    <t>Melting_Curves/meltCurve_Q9H2Y7_ZNF106.pdf</t>
  </si>
  <si>
    <t>Melting_Curves/meltCurve_Q9H307_PNN.pdf</t>
  </si>
  <si>
    <t>Melting_Curves/meltCurve_Q9H344_OR51I2.pdf</t>
  </si>
  <si>
    <t>Melting_Curves/meltCurve_Q9H3C7_GGNBP2.pdf</t>
  </si>
  <si>
    <t>Melting_Curves/meltCurve_Q9H3F6_KCTD10.pdf</t>
  </si>
  <si>
    <t>Melting_Curves/meltCurve_Q9H3G5_CPVL.pdf</t>
  </si>
  <si>
    <t>Melting_Curves/meltCurve_Q9H3H1_4_TRIT1.pdf</t>
  </si>
  <si>
    <t>Melting_Curves/meltCurve_Q9H3H3_2_C11orf68.pdf</t>
  </si>
  <si>
    <t>Melting_Curves/meltCurve_Q9H3K6_BOLA2.pdf</t>
  </si>
  <si>
    <t>Melting_Curves/meltCurve_Q9H3L0_MMADHC.pdf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</si>
  <si>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</si>
  <si>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</si>
  <si>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</si>
  <si>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</si>
  <si>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</si>
  <si>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</si>
  <si>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Melting_Curves/meltCurve_Q9H3Y8_PPDPF.pdf</t>
  </si>
  <si>
    <t>Melting_Curves/meltCurve_Q9H410_DSN1.pdf</t>
  </si>
  <si>
    <t>Melting_Curves/meltCurve_Q9H425_3_C1orf198.pdf</t>
  </si>
  <si>
    <t>Melting_Curves/meltCurve_Q9H444_CHMP4B.pdf</t>
  </si>
  <si>
    <t>Melting_Curves/meltCurve_Q9H467_CUEDC2.pdf</t>
  </si>
  <si>
    <t>Melting_Curves/meltCurve_Q9H469_FBXL15.pdf</t>
  </si>
  <si>
    <t>Melting_Curves/meltCurve_Q9H479_FN3K.pdf</t>
  </si>
  <si>
    <t>Melting_Curves/meltCurve_Q9H488_POFUT1.pdf</t>
  </si>
  <si>
    <t>Melting_Curves/meltCurve_Q9H496_IFRG15.pdf</t>
  </si>
  <si>
    <t>Melting_Curves/meltCurve_Q9H4A4_RNPEP.pdf</t>
  </si>
  <si>
    <t>Melting_Curves/meltCurve_Q9H4A5_GOLPH3L.pdf</t>
  </si>
  <si>
    <t>Melting_Curves/meltCurve_Q9H4A6_GOLPH3.pdf</t>
  </si>
  <si>
    <t>Melting_Curves/meltCurve_Q9H4E7_DEF6.pdf</t>
  </si>
  <si>
    <t>Melting_Curves/meltCurve_Q9H4G0_2_EPB41L1.pdf</t>
  </si>
  <si>
    <t>Melting_Curves/meltCurve_Q9H4H8_2_FAM83D.pdf</t>
  </si>
  <si>
    <t>Melting_Curves/meltCurve_Q9H4I2_ZHX3.pdf</t>
  </si>
  <si>
    <t>Melting_Curves/meltCurve_Q9H4L5_OSBPL3.pdf</t>
  </si>
  <si>
    <t>Melting_Curves/meltCurve_Q9H4L7_SMARCAD1.pdf</t>
  </si>
  <si>
    <t>Melting_Curves/meltCurve_Q9H4M3_2_FBXO44.pdf</t>
  </si>
  <si>
    <t>Melting_Curves/meltCurve_Q9H4M7_2_PLEKHA4.pdf</t>
  </si>
  <si>
    <t>Melting_Curves/meltCurve_Q9H4M9_EHD1.pdf</t>
  </si>
  <si>
    <t>Melting_Curves/meltCurve_Q9H4P4_2_RNF41.pdf</t>
  </si>
  <si>
    <t>Melting_Curves/meltCurve_Q9H4Z2_2_ZNF335.pdf</t>
  </si>
  <si>
    <t>Melting_Curves/meltCurve_Q9H4Z3_PCIF1.pdf</t>
  </si>
  <si>
    <t>Melting_Curves/meltCurve_Q9H501_ESF1.pdf</t>
  </si>
  <si>
    <t>Melting_Curves/meltCurve_Q9H568_ACTL8.pdf</t>
  </si>
  <si>
    <t>Melting_Curves/meltCurve_Q9H582_2_ZNF644.pdf</t>
  </si>
  <si>
    <t>Melting_Curves/meltCurve_Q9H583_HEATR1.pdf</t>
  </si>
  <si>
    <t>Melting_Curves/meltCurve_Q9H5H4_ZNF768.pdf</t>
  </si>
  <si>
    <t>Melting_Curves/meltCurve_Q9H5J8_TAF1D.pdf</t>
  </si>
  <si>
    <t>Melting_Curves/meltCurve_Q9H5N1_RABEP2.pdf</t>
  </si>
  <si>
    <t>Melting_Curves/meltCurve_Q9H5Q4_TFB2M.pdf</t>
  </si>
  <si>
    <t>Melting_Curves/meltCurve_Q9H5V7_IKZF5.pdf</t>
  </si>
  <si>
    <t>Melting_Curves/meltCurve_Q9H5V9_2_CXorf56.pdf</t>
  </si>
  <si>
    <t>Melting_Curves/meltCurve_Q9H5X1_FAM96A.pdf</t>
  </si>
  <si>
    <t>Melting_Curves/meltCurve_Q9H633_3_RPP21.pdf</t>
  </si>
  <si>
    <t>Melting_Curves/meltCurve_Q9H6D7_HAUS4.pdf</t>
  </si>
  <si>
    <t>Melting_Curves/meltCurve_Q9H6E4_CCDC134.pdf</t>
  </si>
  <si>
    <t>Melting_Curves/meltCurve_Q9H6E5_TUT1.pdf</t>
  </si>
  <si>
    <t>Melting_Curves/meltCurve_Q9H6F5_CCDC86.pdf</t>
  </si>
  <si>
    <t>Melting_Curves/meltCurve_Q9H6K1_C6orf106.pdf</t>
  </si>
  <si>
    <t>Melting_Curves/meltCurve_Q9H6L4_ARMC7.pdf</t>
  </si>
  <si>
    <t>Melting_Curves/meltCurve_Q9H6Q4_NARFL.pdf</t>
  </si>
  <si>
    <t>Melting_Curves/meltCurve_Q9H6R4_4_NOL6.pdf</t>
  </si>
  <si>
    <t>Melting_Curves/meltCurve_Q9H6R7_C2orf44.pdf</t>
  </si>
  <si>
    <t>Melting_Curves/meltCurve_Q9H6S0_YTHDC2.pdf</t>
  </si>
  <si>
    <t>Melting_Curves/meltCurve_Q9H6S1_AZI2.pdf</t>
  </si>
  <si>
    <t>Melting_Curves/meltCurve_Q9H6S3_2_EPS8L2.pdf</t>
  </si>
  <si>
    <t>Melting_Curves/meltCurve_Q9H6T3_2_RPAP3.pdf</t>
  </si>
  <si>
    <t>Melting_Curves/meltCurve_Q9H6U6_2_BCAS3.pdf</t>
  </si>
  <si>
    <t>Melting_Curves/meltCurve_Q9H6V9_C2orf43.pdf</t>
  </si>
  <si>
    <t>Melting_Curves/meltCurve_Q9H6W3_NO66.pdf</t>
  </si>
  <si>
    <t>Melting_Curves/meltCurve_Q9H6Y2_WDR55.pdf</t>
  </si>
  <si>
    <t>Melting_Curves/meltCurve_Q9H6Z4_2_RANBP3.pdf</t>
  </si>
  <si>
    <t>Melting_Curves/meltCurve_Q9H773_DCTPP1.pdf</t>
  </si>
  <si>
    <t>Melting_Curves/meltCurve_Q9H777_ELAC1.pdf</t>
  </si>
  <si>
    <t>Melting_Curves/meltCurve_Q9H7B4_SMYD3.pdf</t>
  </si>
  <si>
    <t>Melting_Curves/meltCurve_Q9H7C9_AAMDC.pdf</t>
  </si>
  <si>
    <t>Melting_Curves/meltCurve_Q9H7D7_2_WDR26.pdf</t>
  </si>
  <si>
    <t>Melting_Curves/meltCurve_Q9H7E2_3_TDRD3.pdf</t>
  </si>
  <si>
    <t>Melting_Curves/meltCurve_Q9H7E9_C8orf33.pdf</t>
  </si>
  <si>
    <t>Melting_Curves/meltCurve_Q9H7L9_SUDS3.pdf</t>
  </si>
  <si>
    <t>Melting_Curves/meltCurve_Q9H7N4_SCAF1.pdf</t>
  </si>
  <si>
    <t>Melting_Curves/meltCurve_Q9H7P9_PLEKHG2.pdf</t>
  </si>
  <si>
    <t>Melting_Curves/meltCurve_Q9H7R5_2_ZNF665.pdf</t>
  </si>
  <si>
    <t>Melting_Curves/meltCurve_Q9H7U1_2_CCSER2.pdf</t>
  </si>
  <si>
    <t>Melting_Curves/meltCurve_Q9H7X3_ZNF696.pdf</t>
  </si>
  <si>
    <t>Melting_Curves/meltCurve_Q9H7Z6_KAT8.pdf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</si>
  <si>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</si>
  <si>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</si>
  <si>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</si>
  <si>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</si>
  <si>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</si>
  <si>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</si>
  <si>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Melting_Curves/meltCurve_Q9H869_5_YY1AP1.pdf</t>
  </si>
  <si>
    <t>Melting_Curves/meltCurve_Q9H871_RMND5A.pdf</t>
  </si>
  <si>
    <t>Melting_Curves/meltCurve_Q9H875_PRKRIP1.pdf</t>
  </si>
  <si>
    <t>Melting_Curves/meltCurve_Q9H8E8_CSRP2BP.pdf</t>
  </si>
  <si>
    <t>Melting_Curves/meltCurve_Q9H8G2_CAAP1.pdf</t>
  </si>
  <si>
    <t>Melting_Curves/meltCurve_Q9H8H0_NOL11.pdf</t>
  </si>
  <si>
    <t>Melting_Curves/meltCurve_Q9H8M2_BRD9.pdf</t>
  </si>
  <si>
    <t>Melting_Curves/meltCurve_Q9H8M7_FAM188A.pdf</t>
  </si>
  <si>
    <t>Melting_Curves/meltCurve_Q9H8S9_MOB1A.pdf</t>
  </si>
  <si>
    <t>Melting_Curves/meltCurve_Q9H8U3_ZFAND3.pdf</t>
  </si>
  <si>
    <t>Melting_Curves/meltCurve_Q9H8V3_ECT2.pdf</t>
  </si>
  <si>
    <t>Melting_Curves/meltCurve_Q9H8W4_PLEKHF2.pdf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</si>
  <si>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</si>
  <si>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</si>
  <si>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</si>
  <si>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</si>
  <si>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Melting_Curves/meltCurve_Q9H939_PSTPIP2.pdf</t>
  </si>
  <si>
    <t>Melting_Curves/meltCurve_Q9H944_MED20.pdf</t>
  </si>
  <si>
    <t>Melting_Curves/meltCurve_Q9H967_WDR76.pdf</t>
  </si>
  <si>
    <t>Melting_Curves/meltCurve_Q9H974_QTRTD1.pdf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</si>
  <si>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</si>
  <si>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</si>
  <si>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</si>
  <si>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</si>
  <si>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</si>
  <si>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</si>
  <si>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Melting_Curves/meltCurve_Q9H9B4_SFXN1.pdf</t>
  </si>
  <si>
    <t>Melting_Curves/meltCurve_Q9H9C1_2_VIPAS39.pdf</t>
  </si>
  <si>
    <t>Melting_Curves/meltCurve_Q9H9D4_ZNF408.pdf</t>
  </si>
  <si>
    <t>Melting_Curves/meltCurve_Q9H9E3_COG4.pdf</t>
  </si>
  <si>
    <t>Melting_Curves/meltCurve_Q9H9F9_ACTR5.pdf</t>
  </si>
  <si>
    <t>Melting_Curves/meltCurve_Q9H9G7_AGO3.pdf</t>
  </si>
  <si>
    <t>Melting_Curves/meltCurve_Q9H9H4_VPS37B.pdf</t>
  </si>
  <si>
    <t>Melting_Curves/meltCurve_Q9H9J2_MRPL44.pdf</t>
  </si>
  <si>
    <t>Melting_Curves/meltCurve_Q9H9L3_ISG20L2.pdf</t>
  </si>
  <si>
    <t>Melting_Curves/meltCurve_Q9H9Q4_NHEJ1.pdf</t>
  </si>
  <si>
    <t>Melting_Curves/meltCurve_Q9H9S4_CAB39L.pdf</t>
  </si>
  <si>
    <t>Melting_Curves/meltCurve_Q9H9T3_2_ELP3.pdf</t>
  </si>
  <si>
    <t>Melting_Curves/meltCurve_Q9H9V9_2_JMJD4.pdf</t>
  </si>
  <si>
    <t>Melting_Curves/meltCurve_Q9H9Y4_GPN2.pdf</t>
  </si>
  <si>
    <t>Melting_Curves/meltCurve_Q9H9Y6_2_POLR1B.pdf</t>
  </si>
  <si>
    <t>Melting_Curves/meltCurve_Q9HA38_2_ZMAT3.pdf</t>
  </si>
  <si>
    <t>Melting_Curves/meltCurve_Q9HA47_3_UCK1.pdf</t>
  </si>
  <si>
    <t>Melting_Curves/meltCurve_Q9HA64_FN3KRP.pdf</t>
  </si>
  <si>
    <t>Melting_Curves/meltCurve_Q9HA65_2_TBC1D17.pdf</t>
  </si>
  <si>
    <t>Melting_Curves/meltCurve_Q9HA77_CARS2.pdf</t>
  </si>
  <si>
    <t>Melting_Curves/meltCurve_Q9HAB8_PPCS.pdf</t>
  </si>
  <si>
    <t>Melting_Curves/meltCurve_Q9HAF1_2_MEAF6.pdf</t>
  </si>
  <si>
    <t>Melting_Curves/meltCurve_Q9HAJ7_SAP30L.pdf</t>
  </si>
  <si>
    <t>Melting_Curves/meltCurve_Q9HAN9_NMNAT1.pdf</t>
  </si>
  <si>
    <t>Melting_Curves/meltCurve_Q9HAP2_MLXIP.pdf</t>
  </si>
  <si>
    <t>Melting_Curves/meltCurve_Q9HAR2_3_LPHN3.pdf</t>
  </si>
  <si>
    <t>Melting_Curves/meltCurve_Q9HAT2_SIAE.pdf</t>
  </si>
  <si>
    <t>Melting_Curves/meltCurve_Q9HAU0_PLEKHA5.pdf</t>
  </si>
  <si>
    <t>Melting_Curves/meltCurve_Q9HAU5_UPF2.pdf</t>
  </si>
  <si>
    <t>Melting_Curves/meltCurve_Q9HAV4_XPO5.pdf</t>
  </si>
  <si>
    <t>Melting_Curves/meltCurve_Q9HAV7_GRPEL1.pdf</t>
  </si>
  <si>
    <t>Melting_Curves/meltCurve_Q9HAW4_2_CLSPN.pdf</t>
  </si>
  <si>
    <t>Melting_Curves/meltCurve_Q9HB19_PLEKHA2.pdf</t>
  </si>
  <si>
    <t>Melting_Curves/meltCurve_Q9HB21_PLEKHA1.pdf</t>
  </si>
  <si>
    <t>Melting_Curves/meltCurve_Q9HB40_SCPEP1.pdf</t>
  </si>
  <si>
    <t>Melting_Curves/meltCurve_Q9HB58_6_SP110.pdf</t>
  </si>
  <si>
    <t>Melting_Curves/meltCurve_Q9HB71_CACYBP.pdf</t>
  </si>
  <si>
    <t>Melting_Curves/meltCurve_Q9HB90_RRAGC.pdf</t>
  </si>
  <si>
    <t>Melting_Curves/meltCurve_Q9HB96_FANCE.pdf</t>
  </si>
  <si>
    <t>Melting_Curves/meltCurve_Q9HBE1_4_PATZ1.pdf</t>
  </si>
  <si>
    <t>Melting_Curves/meltCurve_Q9HBE4_2_IL21.pdf</t>
  </si>
  <si>
    <t>Melting_Curves/meltCurve_Q9HBI1_PARVB.pdf</t>
  </si>
  <si>
    <t>Melting_Curves/meltCurve_Q9HBL8_NMRAL1.pdf</t>
  </si>
  <si>
    <t>Melting_Curves/meltCurve_Q9HBM1_SPC25.pdf</t>
  </si>
  <si>
    <t>Melting_Curves/meltCurve_Q9HBM6_TAF9B.pdf</t>
  </si>
  <si>
    <t>Melting_Curves/meltCurve_Q9HBR0_SLC38A10.pdf</t>
  </si>
  <si>
    <t>Melting_Curves/meltCurve_Q9HBU6_ETNK1.pdf</t>
  </si>
  <si>
    <t>Melting_Curves/meltCurve_Q9HC35_EML4.pdf</t>
  </si>
  <si>
    <t>Melting_Curves/meltCurve_Q9HC38_2_GLOD4.pdf</t>
  </si>
  <si>
    <t>Melting_Curves/meltCurve_Q9HC44_GPBP1L1.pdf</t>
  </si>
  <si>
    <t>Melting_Curves/meltCurve_Q9HC52_CBX8.pdf</t>
  </si>
  <si>
    <t>Melting_Curves/meltCurve_Q9HC77_CENPJ.pdf</t>
  </si>
  <si>
    <t>Melting_Curves/meltCurve_Q9HCC0_MCCC2.pdf</t>
  </si>
  <si>
    <t>Melting_Curves/meltCurve_Q9HCC9_2_ZFYVE28.pdf</t>
  </si>
  <si>
    <t>Melting_Curves/meltCurve_Q9HCC9_5_ZFYVE28.pdf</t>
  </si>
  <si>
    <t>Melting_Curves/meltCurve_Q9HCD5_NCOA5.pdf</t>
  </si>
  <si>
    <t>Melting_Curves/meltCurve_Q9HCE0_2_EPG5.pdf</t>
  </si>
  <si>
    <t>Melting_Curves/meltCurve_Q9HCE1_MOV10.pdf</t>
  </si>
  <si>
    <t>Melting_Curves/meltCurve_Q9HCE5_METTL14.pdf</t>
  </si>
  <si>
    <t>Melting_Curves/meltCurve_Q9HCH0_3_NCKAP5L.pdf</t>
  </si>
  <si>
    <t>Melting_Curves/meltCurve_Q9HCI7_MSL2.pdf</t>
  </si>
  <si>
    <t>Melting_Curves/meltCurve_Q9HCJ0_TNRC6C.pdf</t>
  </si>
  <si>
    <t>Melting_Curves/meltCurve_Q9HCJ3_2_RAVER2.pdf</t>
  </si>
  <si>
    <t>Melting_Curves/meltCurve_Q9HCK8_CHD8.pdf</t>
  </si>
  <si>
    <t>Melting_Curves/meltCurve_Q9HCM4_4_EPB41L5.pdf</t>
  </si>
  <si>
    <t>Melting_Curves/meltCurve_Q9HCN4_2_GPN1.pdf</t>
  </si>
  <si>
    <t>Melting_Curves/meltCurve_Q9HCN8_SDF2L1.pdf</t>
  </si>
  <si>
    <t>Melting_Curves/meltCurve_Q9HCU8_POLD4.pdf</t>
  </si>
  <si>
    <t>Melting_Curves/meltCurve_Q9HD15_SRA1.pdf</t>
  </si>
  <si>
    <t>Melting_Curves/meltCurve_Q9HD20_2_ATP13A1.pdf</t>
  </si>
  <si>
    <t>Melting_Curves/meltCurve_Q9HD26_GOPC.pdf</t>
  </si>
  <si>
    <t>Melting_Curves/meltCurve_Q9HD40_SEPSECS.pdf</t>
  </si>
  <si>
    <t>Melting_Curves/meltCurve_Q9HD42_CHMP1A.pdf</t>
  </si>
  <si>
    <t>Melting_Curves/meltCurve_Q9HD45_TM9SF3.pdf</t>
  </si>
  <si>
    <t>Melting_Curves/meltCurve_Q9HD47_2_RANGRF.pdf</t>
  </si>
  <si>
    <t>Melting_Curves/meltCurve_Q9HDC5_JPH1.pdf</t>
  </si>
  <si>
    <t>Melting_Curves/meltCurve_Q9NNW5_WDR6.pdf</t>
  </si>
  <si>
    <t>Melting_Curves/meltCurve_Q9NNX1_3_TUFT1.pdf</t>
  </si>
  <si>
    <t>Melting_Curves/meltCurve_Q9NP50_FAM60A.pdf</t>
  </si>
  <si>
    <t>Melting_Curves/meltCurve_Q9NP64_2_ZCCHC17.pdf</t>
  </si>
  <si>
    <t>Melting_Curves/meltCurve_Q9NP66_HMG20A.pdf</t>
  </si>
  <si>
    <t>Melting_Curves/meltCurve_Q9NP72_RAB18.pdf</t>
  </si>
  <si>
    <t>Melting_Curves/meltCurve_Q9NP73_ALG13.pdf</t>
  </si>
  <si>
    <t>Melting_Curves/meltCurve_Q9NP74_PALMD.pdf</t>
  </si>
  <si>
    <t>Melting_Curves/meltCurve_Q9NP77_SSU72.pdf</t>
  </si>
  <si>
    <t>Melting_Curves/meltCurve_Q9NP79_VTA1.pdf</t>
  </si>
  <si>
    <t>Melting_Curves/meltCurve_Q9NP97_DYNLRB1.pdf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</si>
  <si>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</si>
  <si>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</si>
  <si>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</si>
  <si>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</si>
  <si>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</si>
  <si>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Melting_Curves/meltCurve_Q9NPE3_NOP10.pdf</t>
  </si>
  <si>
    <t>Melting_Curves/meltCurve_Q9NPF4_OSGEP.pdf</t>
  </si>
  <si>
    <t>Melting_Curves/meltCurve_Q9NPF5_DMAP1.pdf</t>
  </si>
  <si>
    <t>Melting_Curves/meltCurve_Q9NPG3_2_UBN1.pdf</t>
  </si>
  <si>
    <t>Melting_Curves/meltCurve_Q9NPH3_5_IL1RAP.pdf</t>
  </si>
  <si>
    <t>Melting_Curves/meltCurve_Q9NPI1_BRD7.pdf</t>
  </si>
  <si>
    <t>Melting_Curves/meltCurve_Q9NPI6_DCP1A.pdf</t>
  </si>
  <si>
    <t>Melting_Curves/meltCurve_Q9NPJ3_ACOT13.pdf</t>
  </si>
  <si>
    <t>Melting_Curves/meltCurve_Q9NPJ6_MED4.pdf</t>
  </si>
  <si>
    <t>Melting_Curves/meltCurve_Q9NPJ8_NXT2.pdf</t>
  </si>
  <si>
    <t>Melting_Curves/meltCurve_Q9NPQ8_RIC8A.pdf</t>
  </si>
  <si>
    <t>Melting_Curves/meltCurve_Q9NQ29_LUC7L.pdf</t>
  </si>
  <si>
    <t>Melting_Curves/meltCurve_Q9NQ55_2_PPAN.pdf</t>
  </si>
  <si>
    <t>Melting_Curves/meltCurve_Q9NQ88_TIGAR.pdf</t>
  </si>
  <si>
    <t>Melting_Curves/meltCurve_Q9NQ92_COPRS.pdf</t>
  </si>
  <si>
    <t>Melting_Curves/meltCurve_Q9NQA3_WASH6P.pdf</t>
  </si>
  <si>
    <t>Melting_Curves/meltCurve_Q9NQC3_RTN4.pdf</t>
  </si>
  <si>
    <t>Melting_Curves/meltCurve_Q9NQE9_HINT3.pdf</t>
  </si>
  <si>
    <t>Melting_Curves/meltCurve_Q9NQG5_RPRD1B.pdf</t>
  </si>
  <si>
    <t>Melting_Curves/meltCurve_Q9NQG6_SMCR7L.pdf</t>
  </si>
  <si>
    <t>Melting_Curves/meltCurve_Q9NQL2_RRAGD.pdf</t>
  </si>
  <si>
    <t>Melting_Curves/meltCurve_Q9NQP4_PFDN4.pdf</t>
  </si>
  <si>
    <t>Melting_Curves/meltCurve_Q9NQR1_2_SETD8.pdf</t>
  </si>
  <si>
    <t>Melting_Curves/meltCurve_Q9NQR4_NIT2.pdf</t>
  </si>
  <si>
    <t>Melting_Curves/meltCurve_Q9NQS1_AVEN.pdf</t>
  </si>
  <si>
    <t>Melting_Curves/meltCurve_Q9NQS7_2_INCENP.pdf</t>
  </si>
  <si>
    <t>Melting_Curves/meltCurve_Q9NQT4_EXOSC5.pdf</t>
  </si>
  <si>
    <t>Melting_Curves/meltCurve_Q9NQT5_EXOSC3.pdf</t>
  </si>
  <si>
    <t>Melting_Curves/meltCurve_Q9NQT8_KIF13B.pdf</t>
  </si>
  <si>
    <t>Melting_Curves/meltCurve_Q9NQV6_2_PRDM10.pdf</t>
  </si>
  <si>
    <t>Melting_Curves/meltCurve_Q9NQW6_ANLN.pdf</t>
  </si>
  <si>
    <t>Melting_Curves/meltCurve_Q9NQW7_3_XPNPEP1.pdf</t>
  </si>
  <si>
    <t>Melting_Curves/meltCurve_Q9NQX3_GPHN.pdf</t>
  </si>
  <si>
    <t>Melting_Curves/meltCurve_Q9NQY0_BIN3.pdf</t>
  </si>
  <si>
    <t>Melting_Curves/meltCurve_Q9NQZ2_UTP3.pdf</t>
  </si>
  <si>
    <t>Melting_Curves/meltCurve_Q9NQZ5_STARD7.pdf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</si>
  <si>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</si>
  <si>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</si>
  <si>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</si>
  <si>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</si>
  <si>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</si>
  <si>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</si>
  <si>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</si>
  <si>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</si>
  <si>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Melting_Curves/meltCurve_Q9NR46_SH3GLB2.pdf</t>
  </si>
  <si>
    <t>Melting_Curves/meltCurve_Q9NR50_EIF2B3.pdf</t>
  </si>
  <si>
    <t>Melting_Curves/meltCurve_Q9NR82_4_KCNQ5.pdf</t>
  </si>
  <si>
    <t>Melting_Curves/meltCurve_Q9NRD1_FBXO6.pdf</t>
  </si>
  <si>
    <t>Melting_Curves/meltCurve_Q9NRD5_PICK1.pdf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</si>
  <si>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</si>
  <si>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</si>
  <si>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</si>
  <si>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</si>
  <si>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</si>
  <si>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</si>
  <si>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Melting_Curves/meltCurve_Q9NRH1_YAE1D1.pdf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</si>
  <si>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</si>
  <si>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</si>
  <si>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</si>
  <si>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</si>
  <si>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Melting_Curves/meltCurve_Q9NRR5_UBQLN4.pdf</t>
  </si>
  <si>
    <t>Melting_Curves/meltCurve_Q9NRS6_SNX15.pdf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</si>
  <si>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</si>
  <si>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</si>
  <si>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</si>
  <si>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</si>
  <si>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Melting_Curves/meltCurve_Q9NRX4_PHPT1.pdf</t>
  </si>
  <si>
    <t>Melting_Curves/meltCurve_Q9NRY2_INIP.pdf</t>
  </si>
  <si>
    <t>Melting_Curves/meltCurve_Q9NRY4_ARHGAP35.pdf</t>
  </si>
  <si>
    <t>Melting_Curves/meltCurve_Q9NRY5_FAM114A2.pdf</t>
  </si>
  <si>
    <t>Melting_Curves/meltCurve_Q9NRZ9_6_HELLS.pdf</t>
  </si>
  <si>
    <t>Melting_Curves/meltCurve_Q9NS18_GLRX2.pdf</t>
  </si>
  <si>
    <t>Melting_Curves/meltCurve_Q9NS56_TOPORS.pdf</t>
  </si>
  <si>
    <t>Melting_Curves/meltCurve_Q9NS73_2_MBIP.pdf</t>
  </si>
  <si>
    <t>Melting_Curves/meltCurve_Q9NS86_LANCL2.pdf</t>
  </si>
  <si>
    <t>Melting_Curves/meltCurve_Q9NS87_2_KIF15.pdf</t>
  </si>
  <si>
    <t>Melting_Curves/meltCurve_Q9NS91_RAD18.pdf</t>
  </si>
  <si>
    <t>Melting_Curves/meltCurve_Q9NSA3_CTNNBIP1.pdf</t>
  </si>
  <si>
    <t>Melting_Curves/meltCurve_Q9NSC5_5_HOMER3.pdf</t>
  </si>
  <si>
    <t>Melting_Curves/meltCurve_Q9NSD9_FARSB.pdf</t>
  </si>
  <si>
    <t>Melting_Curves/meltCurve_Q9NSE2_CISH.pdf</t>
  </si>
  <si>
    <t>Melting_Curves/meltCurve_Q9NSE4_IARS2.pdf</t>
  </si>
  <si>
    <t>Melting_Curves/meltCurve_Q9NSG2_C1orf112.pdf</t>
  </si>
  <si>
    <t>Melting_Curves/meltCurve_Q9NSI2_2_FAM207A.pdf</t>
  </si>
  <si>
    <t>Melting_Curves/meltCurve_Q9NSI6_3_BRWD1.pdf</t>
  </si>
  <si>
    <t>Melting_Curves/meltCurve_Q9NSI8_SAMSN1.pdf</t>
  </si>
  <si>
    <t>Melting_Curves/meltCurve_Q9NSK0_KLC4.pdf</t>
  </si>
  <si>
    <t>Melting_Curves/meltCurve_Q9NSQ0_RRP7B.pdf</t>
  </si>
  <si>
    <t>Melting_Curves/meltCurve_Q9NSY0_NRBP2.pdf</t>
  </si>
  <si>
    <t>Melting_Curves/meltCurve_Q9NSY1_BMP2K.pdf</t>
  </si>
  <si>
    <t>Melting_Curves/meltCurve_Q9NT62_ATG3.pdf</t>
  </si>
  <si>
    <t>Melting_Curves/meltCurve_Q9NT99_LRRC4B.pdf</t>
  </si>
  <si>
    <t>Melting_Curves/meltCurve_Q9NTG7_SIRT3.pdf</t>
  </si>
  <si>
    <t>Melting_Curves/meltCurve_Q9NTI5_2_PDS5B.pdf</t>
  </si>
  <si>
    <t>Melting_Curves/meltCurve_Q9NTJ3_SMC4.pdf</t>
  </si>
  <si>
    <t>Melting_Curves/meltCurve_Q9NTJ4_3_MAN2C1.pdf</t>
  </si>
  <si>
    <t>Melting_Curves/meltCurve_Q9NTK5_OLA1.pdf</t>
  </si>
  <si>
    <t>Melting_Curves/meltCurve_Q9NTK5_2_OLA1.pdf</t>
  </si>
  <si>
    <t>Melting_Curves/meltCurve_Q9NTM9_CUTC.pdf</t>
  </si>
  <si>
    <t>Melting_Curves/meltCurve_Q9NTX5_2_ECHDC1.pdf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</si>
  <si>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</si>
  <si>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</si>
  <si>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</si>
  <si>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</si>
  <si>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Melting_Curves/meltCurve_Q9NUB1_3_ACSS1.pdf</t>
  </si>
  <si>
    <t>Melting_Curves/meltCurve_Q9NUD5_ZCCHC3.pdf</t>
  </si>
  <si>
    <t>Melting_Curves/meltCurve_Q9NUG6_PDRG1.pdf</t>
  </si>
  <si>
    <t>Melting_Curves/meltCurve_Q9NUJ1_ABHD10.pdf</t>
  </si>
  <si>
    <t>Melting_Curves/meltCurve_Q9NUJ3_TCP11L1.pdf</t>
  </si>
  <si>
    <t>Melting_Curves/meltCurve_Q9NUL3_7_STAU2.pdf</t>
  </si>
  <si>
    <t>Melting_Curves/meltCurve_Q9NUM4_TMEM106B.pdf</t>
  </si>
  <si>
    <t>Melting_Curves/meltCurve_Q9NUP1_BLOC1S4.pdf</t>
  </si>
  <si>
    <t>Melting_Curves/meltCurve_Q9NUP7_TRMT13.pdf</t>
  </si>
  <si>
    <t>Melting_Curves/meltCurve_Q9NUQ3_TXLNG.pdf</t>
  </si>
  <si>
    <t>Melting_Curves/meltCurve_Q9NUQ6_2_SPATS2L.pdf</t>
  </si>
  <si>
    <t>Melting_Curves/meltCurve_Q9NUQ8_2_ABCF3.pdf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</si>
  <si>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</si>
  <si>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</si>
  <si>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</si>
  <si>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</si>
  <si>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Melting_Curves/meltCurve_Q9NUX5_2_POT1.pdf</t>
  </si>
  <si>
    <t>Melting_Curves/meltCurve_Q9NUY8_2_TBC1D23.pdf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</si>
  <si>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</si>
  <si>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</si>
  <si>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</si>
  <si>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</si>
  <si>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Melting_Curves/meltCurve_Q9NV70_2_EXOC1.pdf</t>
  </si>
  <si>
    <t>Melting_Curves/meltCurve_Q9NV88_3_INTS9.pdf</t>
  </si>
  <si>
    <t>Melting_Curves/meltCurve_Q9NVA4_TMEM184C.pdf</t>
  </si>
  <si>
    <t>Melting_Curves/meltCurve_Q9NVC6_MED17.pdf</t>
  </si>
  <si>
    <t>Melting_Curves/meltCurve_Q9NVE5_USP40.pdf</t>
  </si>
  <si>
    <t>Melting_Curves/meltCurve_Q9NVE7_PANK4.pdf</t>
  </si>
  <si>
    <t>Melting_Curves/meltCurve_Q9NVF7_FBXO28.pdf</t>
  </si>
  <si>
    <t>Melting_Curves/meltCurve_Q9NVG8_TBC1D13.pdf</t>
  </si>
  <si>
    <t>Melting_Curves/meltCurve_Q9NVH0_2_EXD2.pdf</t>
  </si>
  <si>
    <t>Melting_Curves/meltCurve_Q9NVH2_3_INTS7.pdf</t>
  </si>
  <si>
    <t>Melting_Curves/meltCurve_Q9NVH6_TMLHE.pdf</t>
  </si>
  <si>
    <t>Melting_Curves/meltCurve_Q9NVI1_FANCI.pdf</t>
  </si>
  <si>
    <t>Melting_Curves/meltCurve_Q9NVI7_2_ATAD3A.pdf</t>
  </si>
  <si>
    <t>Melting_Curves/meltCurve_Q9NVJ2_ARL8B.pdf</t>
  </si>
  <si>
    <t>Melting_Curves/meltCurve_Q9NVM4_3_PRMT7.pdf</t>
  </si>
  <si>
    <t>Melting_Curves/meltCurve_Q9NVM6_DNAJC17.pdf</t>
  </si>
  <si>
    <t>Melting_Curves/meltCurve_Q9NVM9_ASUN.pdf</t>
  </si>
  <si>
    <t>Melting_Curves/meltCurve_Q9NVN3_3_RIC8B.pdf</t>
  </si>
  <si>
    <t>Melting_Curves/meltCurve_Q9NVN8_GNL3L.pdf</t>
  </si>
  <si>
    <t>Melting_Curves/meltCurve_Q9NVP1_DDX18.pdf</t>
  </si>
  <si>
    <t>Melting_Curves/meltCurve_Q9NVP2_ASF1B.pdf</t>
  </si>
  <si>
    <t>Melting_Curves/meltCurve_Q9NVR0_KLHL11.pdf</t>
  </si>
  <si>
    <t>Melting_Curves/meltCurve_Q9NVR2_INTS10.pdf</t>
  </si>
  <si>
    <t>Melting_Curves/meltCurve_Q9NVR5_DNAAF2.pdf</t>
  </si>
  <si>
    <t>Melting_Curves/meltCurve_Q9NVT9_ARMC1.pdf</t>
  </si>
  <si>
    <t>Melting_Curves/meltCurve_Q9NVU0_5_POLR3E.pdf</t>
  </si>
  <si>
    <t>Melting_Curves/meltCurve_Q9NVU7_2_SDAD1.pdf</t>
  </si>
  <si>
    <t>Melting_Curves/meltCurve_Q9NVX0_HAUS2.pdf</t>
  </si>
  <si>
    <t>Melting_Curves/meltCurve_Q9NVX2_NLE1.pdf</t>
  </si>
  <si>
    <t>Melting_Curves/meltCurve_Q9NVZ3_NECAP2.pdf</t>
  </si>
  <si>
    <t>Melting_Curves/meltCurve_Q9NW08_2_POLR3B.pdf</t>
  </si>
  <si>
    <t>Melting_Curves/meltCurve_Q9NW13_RBM28.pdf</t>
  </si>
  <si>
    <t>Melting_Curves/meltCurve_Q9NW64_RBM22.pdf</t>
  </si>
  <si>
    <t>Melting_Curves/meltCurve_Q9NW68_4_BSDC1.pdf</t>
  </si>
  <si>
    <t>Melting_Curves/meltCurve_Q9NW75_2_GPATCH2.pdf</t>
  </si>
  <si>
    <t>Melting_Curves/meltCurve_Q9NW82_WDR70.pdf</t>
  </si>
  <si>
    <t>Melting_Curves/meltCurve_Q9NWA0_MED9.pdf</t>
  </si>
  <si>
    <t>Melting_Curves/meltCurve_Q9NWB6_ARGLU1.pdf</t>
  </si>
  <si>
    <t>Melting_Curves/meltCurve_Q9NWD9_BEX4.pdf</t>
  </si>
  <si>
    <t>Melting_Curves/meltCurve_Q9NWH9_SLTM.pdf</t>
  </si>
  <si>
    <t>Melting_Curves/meltCurve_Q9NWK9_ZNHIT6.pdf</t>
  </si>
  <si>
    <t>Melting_Curves/meltCurve_Q9NWM3_CUEDC1.pdf</t>
  </si>
  <si>
    <t>Melting_Curves/meltCurve_Q9NWM8_FKBP14.pdf</t>
  </si>
  <si>
    <t>Melting_Curves/meltCurve_Q9NWS0_PIH1D1.pdf</t>
  </si>
  <si>
    <t>Melting_Curves/meltCurve_Q9NWS6_FAM118A.pdf</t>
  </si>
  <si>
    <t>Melting_Curves/meltCurve_Q9NWT1_PAK1IP1.pdf</t>
  </si>
  <si>
    <t>Melting_Curves/meltCurve_Q9NWT6_HIF1AN.pdf</t>
  </si>
  <si>
    <t>Melting_Curves/meltCurve_Q9NWT8_AURKAIP1.pdf</t>
  </si>
  <si>
    <t>Melting_Curves/meltCurve_Q9NWU1_OXSM.pdf</t>
  </si>
  <si>
    <t>Melting_Curves/meltCurve_Q9NWU2_GID8.pdf</t>
  </si>
  <si>
    <t>Melting_Curves/meltCurve_Q9NWV4_C1orf123.pdf</t>
  </si>
  <si>
    <t>Melting_Curves/meltCurve_Q9NWW7_C2orf42.pdf</t>
  </si>
  <si>
    <t>Melting_Curves/meltCurve_Q9NWX6_THG1L.pdf</t>
  </si>
  <si>
    <t>Melting_Curves/meltCurve_Q9NWY4_C4orf27.pdf</t>
  </si>
  <si>
    <t>Melting_Curves/meltCurve_Q9NWZ3_IRAK4.pdf</t>
  </si>
  <si>
    <t>Melting_Curves/meltCurve_Q9NWZ5_3_UCKL1.pdf</t>
  </si>
  <si>
    <t>Melting_Curves/meltCurve_Q9NWZ8_GEMIN8.pdf</t>
  </si>
  <si>
    <t>Melting_Curves/meltCurve_Q9NX01_TXNL4B.pdf</t>
  </si>
  <si>
    <t>Melting_Curves/meltCurve_Q9NX02_5_NLRP2.pdf</t>
  </si>
  <si>
    <t>Melting_Curves/meltCurve_Q9NX07_TRNAU1AP.pdf</t>
  </si>
  <si>
    <t>Melting_Curves/meltCurve_Q9NX08_COMMD8.pdf</t>
  </si>
  <si>
    <t>Melting_Curves/meltCurve_Q9NX09_DDIT4.pdf</t>
  </si>
  <si>
    <t>Melting_Curves/meltCurve_Q9NX24_NHP2.pdf</t>
  </si>
  <si>
    <t>Melting_Curves/meltCurve_Q9NX38_FAM206A.pdf</t>
  </si>
  <si>
    <t>Melting_Curves/meltCurve_Q9NX46_ADPRHL2.pdf</t>
  </si>
  <si>
    <t>Melting_Curves/meltCurve_Q9NX55_HYPK.pdf</t>
  </si>
  <si>
    <t>Melting_Curves/meltCurve_Q9NX58_LYAR.pdf</t>
  </si>
  <si>
    <t>Melting_Curves/meltCurve_Q9NX63_CHCHD3.pdf</t>
  </si>
  <si>
    <t>Melting_Curves/meltCurve_Q9NX70_MED29.pdf</t>
  </si>
  <si>
    <t>Melting_Curves/meltCurve_Q9NX74_DUS2L.pdf</t>
  </si>
  <si>
    <t>Melting_Curves/meltCurve_Q9NXA8_SIRT5.pdf</t>
  </si>
  <si>
    <t>Melting_Curves/meltCurve_Q9NXC5_MIOS.pdf</t>
  </si>
  <si>
    <t>Melting_Curves/meltCurve_Q9NXE8_CWC25.pdf</t>
  </si>
  <si>
    <t>Melting_Curves/meltCurve_Q9NXF1_2_TEX10.pdf</t>
  </si>
  <si>
    <t>Melting_Curves/meltCurve_Q9NXF7_DCAF16.pdf</t>
  </si>
  <si>
    <t>Melting_Curves/meltCurve_Q9NXG2_THUMPD1.pdf</t>
  </si>
  <si>
    <t>Melting_Curves/meltCurve_Q9NXH9_TRMT1.pdf</t>
  </si>
  <si>
    <t>Melting_Curves/meltCurve_Q9NXJ5_PGPEP1.pdf</t>
  </si>
  <si>
    <t>Melting_Curves/meltCurve_Q9NXK8_FBXL12.pdf</t>
  </si>
  <si>
    <t>Melting_Curves/meltCurve_Q9NXR1_2_NDE1.pdf</t>
  </si>
  <si>
    <t>Melting_Curves/meltCurve_Q9NXR7_BRE.pdf</t>
  </si>
  <si>
    <t>Melting_Curves/meltCurve_Q9NXU5_ARL15.pdf</t>
  </si>
  <si>
    <t>Melting_Curves/meltCurve_Q9NXV2_KCTD5.pdf</t>
  </si>
  <si>
    <t>Melting_Curves/meltCurve_Q9NXV6_CDKN2AIP.pdf</t>
  </si>
  <si>
    <t>Melting_Curves/meltCurve_Q9NXW2_DNAJB12.pdf</t>
  </si>
  <si>
    <t>Melting_Curves/meltCurve_Q9NXW9_ALKBH4.pdf</t>
  </si>
  <si>
    <t>Melting_Curves/meltCurve_Q9NXZ1_SAGE1.pdf</t>
  </si>
  <si>
    <t>Melting_Curves/meltCurve_Q9NY12_2_GAR1.pdf</t>
  </si>
  <si>
    <t>Melting_Curves/meltCurve_Q9NY27_PPP4R2.pdf</t>
  </si>
  <si>
    <t>Melting_Curves/meltCurve_Q9NY33_DPP3.pdf</t>
  </si>
  <si>
    <t>Melting_Curves/meltCurve_Q9NY61_AATF.pdf</t>
  </si>
  <si>
    <t>Melting_Curves/meltCurve_Q9NY93_DDX56.pdf</t>
  </si>
  <si>
    <t>Melting_Curves/meltCurve_Q9NYB0_TERF2IP.pdf</t>
  </si>
  <si>
    <t>Melting_Curves/meltCurve_Q9NYB9_3_ABI2.pdf</t>
  </si>
  <si>
    <t>Melting_Curves/meltCurve_Q9NYF3_FAM53C.pdf</t>
  </si>
  <si>
    <t>Melting_Curves/meltCurve_Q9NYF8_2_BCLAF1.pdf</t>
  </si>
  <si>
    <t>Melting_Curves/meltCurve_Q9NYG5_ANAPC11.pdf</t>
  </si>
  <si>
    <t>Melting_Curves/meltCurve_Q9NYJ1_COA4.pdf</t>
  </si>
  <si>
    <t>Melting_Curves/meltCurve_Q9NYJ8_TAB2.pdf</t>
  </si>
  <si>
    <t>Melting_Curves/meltCurve_Q9NYK6_3_EURL.pdf</t>
  </si>
  <si>
    <t>Melting_Curves/meltCurve_Q9NYL2_MLTK.pdf</t>
  </si>
  <si>
    <t>Melting_Curves/meltCurve_Q9NYL2_2_MLTK.pdf</t>
  </si>
  <si>
    <t>Melting_Curves/meltCurve_Q9NYL9_TMOD3.pdf</t>
  </si>
  <si>
    <t>Melting_Curves/meltCurve_Q9NYP9_MIS18A.pdf</t>
  </si>
  <si>
    <t>Melting_Curves/meltCurve_Q9NYU2_2_UGGT1.pdf</t>
  </si>
  <si>
    <t>Melting_Curves/meltCurve_Q9NYV4_CDK12.pdf</t>
  </si>
  <si>
    <t>Melting_Curves/meltCurve_Q9NYV4_2_CDK12.pdf</t>
  </si>
  <si>
    <t>Melting_Curves/meltCurve_Q9NYW8_RBAK.pdf</t>
  </si>
  <si>
    <t>Melting_Curves/meltCurve_Q9NYY8_2_FASTKD2.pdf</t>
  </si>
  <si>
    <t>Melting_Curves/meltCurve_Q9NYZ3_GTSE1.pdf</t>
  </si>
  <si>
    <t>Melting_Curves/meltCurve_Q9NZ08_ERAP1.pdf</t>
  </si>
  <si>
    <t>Melting_Curves/meltCurve_Q9NZ09_2_UBAP1.pdf</t>
  </si>
  <si>
    <t>Melting_Curves/meltCurve_Q9NZ32_ACTR10.pdf</t>
  </si>
  <si>
    <t>Melting_Curves/meltCurve_Q9NZ52_GGA3.pdf</t>
  </si>
  <si>
    <t>Melting_Curves/meltCurve_Q9NZ53_PODXL2.pdf</t>
  </si>
  <si>
    <t>Melting_Curves/meltCurve_Q9NZ63_C9orf78.pdf</t>
  </si>
  <si>
    <t>Melting_Curves/meltCurve_Q9NZA1_3_CLIC5.pdf</t>
  </si>
  <si>
    <t>Melting_Curves/meltCurve_Q9NZB2_FAM120A.pdf</t>
  </si>
  <si>
    <t>Melting_Curves/meltCurve_Q9NZC9_SMARCAL1.pdf</t>
  </si>
  <si>
    <t>Melting_Curves/meltCurve_Q9NZD2_GLTP.pdf</t>
  </si>
  <si>
    <t>Melting_Curves/meltCurve_Q9NZD4_AHSP.pdf</t>
  </si>
  <si>
    <t>Melting_Curves/meltCurve_Q9NZI8_IGF2BP1.pdf</t>
  </si>
  <si>
    <t>Melting_Curves/meltCurve_Q9NZJ6_COQ3.pdf</t>
  </si>
  <si>
    <t>Melting_Curves/meltCurve_Q9NZJ9_NUDT4.pdf</t>
  </si>
  <si>
    <t>Melting_Curves/meltCurve_Q9NZJ9_2_NUDT4.pdf</t>
  </si>
  <si>
    <t>Melting_Curves/meltCurve_Q9NZL4_HSPBP1.pdf</t>
  </si>
  <si>
    <t>Melting_Curves/meltCurve_Q9NZL9_MAT2B.pdf</t>
  </si>
  <si>
    <t>Melting_Curves/meltCurve_Q9NZL9_2_MAT2B.pdf</t>
  </si>
  <si>
    <t>Melting_Curves/meltCurve_Q9NZM3_2_ITSN2.pdf</t>
  </si>
  <si>
    <t>Melting_Curves/meltCurve_Q9NZM4_2_GLTSCR1.pdf</t>
  </si>
  <si>
    <t>Melting_Curves/meltCurve_Q9NZM5_GLTSCR2.pdf</t>
  </si>
  <si>
    <t>Melting_Curves/meltCurve_Q9NZN4_EHD2.pdf</t>
  </si>
  <si>
    <t>Melting_Curves/meltCurve_Q9NZN5_2_ARHGEF12.pdf</t>
  </si>
  <si>
    <t>Melting_Curves/meltCurve_Q9NZQ3_3_NCKIPSD.pdf</t>
  </si>
  <si>
    <t>Melting_Curves/meltCurve_Q9NZR2_LRP1B.pdf</t>
  </si>
  <si>
    <t>Melting_Curves/meltCurve_Q9NZT2_2_OGFR.pdf</t>
  </si>
  <si>
    <t>Melting_Curves/meltCurve_Q9NZV6_MSRB1.pdf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</si>
  <si>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</si>
  <si>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</si>
  <si>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</si>
  <si>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</si>
  <si>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</si>
  <si>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Melting_Curves/meltCurve_Q9P031_CCDC59.pdf</t>
  </si>
  <si>
    <t>Melting_Curves/meltCurve_Q9P032_NDUFAF4.pdf</t>
  </si>
  <si>
    <t>Melting_Curves/meltCurve_Q9P035_PTPLAD1.pdf</t>
  </si>
  <si>
    <t>Melting_Curves/meltCurve_Q9P0J7_KCMF1.pdf</t>
  </si>
  <si>
    <t>Melting_Curves/meltCurve_Q9P0K7_3_RAI14.pdf</t>
  </si>
  <si>
    <t>Melting_Curves/meltCurve_Q9P0L0_VAPA.pdf</t>
  </si>
  <si>
    <t>Melting_Curves/meltCurve_Q9P0N9_3_TBC1D7.pdf</t>
  </si>
  <si>
    <t>Melting_Curves/meltCurve_Q9P0R6_GSKIP.pdf</t>
  </si>
  <si>
    <t>Melting_Curves/meltCurve_Q9P0U3_2_SENP1.pdf</t>
  </si>
  <si>
    <t>Melting_Curves/meltCurve_Q9P0U4_CXXC1.pdf</t>
  </si>
  <si>
    <t>Melting_Curves/meltCurve_Q9P0W2_HMG20B.pdf</t>
  </si>
  <si>
    <t>Melting_Curves/meltCurve_Q9P107_GMIP.pdf</t>
  </si>
  <si>
    <t>Melting_Curves/meltCurve_Q9P1F3_ABRACL.pdf</t>
  </si>
  <si>
    <t>Melting_Curves/meltCurve_Q9P1Q0_3_VPS54.pdf</t>
  </si>
  <si>
    <t>Melting_Curves/meltCurve_Q9P1U0_ZNRD1.pdf</t>
  </si>
  <si>
    <t>Melting_Curves/meltCurve_Q9P1U1_ACTR3B.pdf</t>
  </si>
  <si>
    <t>Melting_Curves/meltCurve_Q9P1Z2_2_CALCOCO1.pdf</t>
  </si>
  <si>
    <t>Melting_Curves/meltCurve_Q9P206_2_KIAA1522.pdf</t>
  </si>
  <si>
    <t>Melting_Curves/meltCurve_Q9P209_CEP72.pdf</t>
  </si>
  <si>
    <t>Melting_Curves/meltCurve_Q9P219_CCDC88C.pdf</t>
  </si>
  <si>
    <t>Melting_Curves/meltCurve_Q9P244_LRFN1.pdf</t>
  </si>
  <si>
    <t>Melting_Curves/meltCurve_Q9P246_STIM2.pdf</t>
  </si>
  <si>
    <t>Melting_Curves/meltCurve_Q9P253_VPS18.pdf</t>
  </si>
  <si>
    <t>Melting_Curves/meltCurve_Q9P258_RCC2.pdf</t>
  </si>
  <si>
    <t>Melting_Curves/meltCurve_Q9P260_KIAA1468.pdf</t>
  </si>
  <si>
    <t>Melting_Curves/meltCurve_Q9P265_DIP2B.pdf</t>
  </si>
  <si>
    <t>Melting_Curves/meltCurve_Q9P270_SLAIN2.pdf</t>
  </si>
  <si>
    <t>Melting_Curves/meltCurve_Q9P275_USP36.pdf</t>
  </si>
  <si>
    <t>Melting_Curves/meltCurve_Q9P287_BCCIP.pdf</t>
  </si>
  <si>
    <t>Melting_Curves/meltCurve_Q9P289_MST4.pdf</t>
  </si>
  <si>
    <t>Melting_Curves/meltCurve_Q9P2B4_CTTNBP2NL.pdf</t>
  </si>
  <si>
    <t>Melting_Curves/meltCurve_Q9P2B7_2_KIAA1430.pdf</t>
  </si>
  <si>
    <t>Melting_Curves/meltCurve_Q9P2D1_CHD7.pdf</t>
  </si>
  <si>
    <t>Melting_Curves/meltCurve_Q9P2D3_HEATR5B.pdf</t>
  </si>
  <si>
    <t>Melting_Curves/meltCurve_Q9P2E3_ZNFX1.pdf</t>
  </si>
  <si>
    <t>Melting_Curves/meltCurve_Q9P2E9_RRBP1.pdf</t>
  </si>
  <si>
    <t>Melting_Curves/meltCurve_Q9P2F9_ZNF319.pdf</t>
  </si>
  <si>
    <t>Melting_Curves/meltCurve_Q9P2I0_CPSF2.pdf</t>
  </si>
  <si>
    <t>Melting_Curves/meltCurve_Q9P2J5_LARS.pdf</t>
  </si>
  <si>
    <t>Melting_Curves/meltCurve_Q9P2K3_RCOR3.pdf</t>
  </si>
  <si>
    <t>Melting_Curves/meltCurve_Q9P2K5_2_MYEF2.pdf</t>
  </si>
  <si>
    <t>Melting_Curves/meltCurve_Q9P2K6_KLHL42.pdf</t>
  </si>
  <si>
    <t>Melting_Curves/meltCurve_Q9P2K8_2_EIF2AK4.pdf</t>
  </si>
  <si>
    <t>Melting_Curves/meltCurve_Q9P2M4_TBC1D14.pdf</t>
  </si>
  <si>
    <t>Melting_Curves/meltCurve_Q9P2N2_3_ARHGAP28.pdf</t>
  </si>
  <si>
    <t>Melting_Curves/meltCurve_Q9P2N5_RBM27.pdf</t>
  </si>
  <si>
    <t>Melting_Curves/meltCurve_Q9P2N6_3_KANSL3.pdf</t>
  </si>
  <si>
    <t>Melting_Curves/meltCurve_Q9P2P1_NYNRIN.pdf</t>
  </si>
  <si>
    <t>Melting_Curves/meltCurve_Q9P2R3_ANKFY1.pdf</t>
  </si>
  <si>
    <t>Melting_Curves/meltCurve_Q9P2R6_RERE.pdf</t>
  </si>
  <si>
    <t>Melting_Curves/meltCurve_Q9P2S5_WRAP73.pdf</t>
  </si>
  <si>
    <t>Melting_Curves/meltCurve_Q9P2W1_PSMC3IP.pdf</t>
  </si>
  <si>
    <t>Melting_Curves/meltCurve_Q9P2X3_IMPACT.pdf</t>
  </si>
  <si>
    <t>Melting_Curves/meltCurve_Q9P2Y5_UVRAG.pdf</t>
  </si>
  <si>
    <t>Melting_Curves/meltCurve_Q9UBB4_ATXN10.pdf</t>
  </si>
  <si>
    <t>Melting_Curves/meltCurve_Q9UBB5_MBD2.pdf</t>
  </si>
  <si>
    <t>Melting_Curves/meltCurve_Q9UBB6_NCDN.pdf</t>
  </si>
  <si>
    <t>Melting_Curves/meltCurve_Q9UBB9_TFIP11.pdf</t>
  </si>
  <si>
    <t>Melting_Curves/meltCurve_Q9UBC2_2_EPS15L1.pdf</t>
  </si>
  <si>
    <t>Melting_Curves/meltCurve_Q9UBC3_6_DNMT3B.pdf</t>
  </si>
  <si>
    <t>Melting_Curves/meltCurve_Q9UBD5_ORC3.pdf</t>
  </si>
  <si>
    <t>Melting_Curves/meltCurve_Q9UBE0_SAE1.pdf</t>
  </si>
  <si>
    <t>Melting_Curves/meltCurve_Q9UBF1_MAGEC2.pdf</t>
  </si>
  <si>
    <t>Melting_Curves/meltCurve_Q9UBF2_COPG2.pdf</t>
  </si>
  <si>
    <t>Melting_Curves/meltCurve_Q9UBF6_RNF7.pdf</t>
  </si>
  <si>
    <t>Melting_Curves/meltCurve_Q9UBF8_2_PI4KB.pdf</t>
  </si>
  <si>
    <t>Melting_Curves/meltCurve_Q9UBI1_COMMD3.pdf</t>
  </si>
  <si>
    <t>Melting_Curves/meltCurve_Q9UBI9_HECA.pdf</t>
  </si>
  <si>
    <t>Melting_Curves/meltCurve_Q9UBK8_2_MTRR.pdf</t>
  </si>
  <si>
    <t>Melting_Curves/meltCurve_Q9UBK9_UXT.pdf</t>
  </si>
  <si>
    <t>Melting_Curves/meltCurve_Q9UBL3_3_ASH2L.pdf</t>
  </si>
  <si>
    <t>Melting_Curves/meltCurve_Q9UBL6_2_CPNE7.pdf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</si>
  <si>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</si>
  <si>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</si>
  <si>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</si>
  <si>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</si>
  <si>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</si>
  <si>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</si>
  <si>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</si>
  <si>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</si>
  <si>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</si>
  <si>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Melting_Curves/meltCurve_Q9UBT7_3_CTNNAL1.pdf</t>
  </si>
  <si>
    <t>Melting_Curves/meltCurve_Q9UBU7_DBF4.pdf</t>
  </si>
  <si>
    <t>Melting_Curves/meltCurve_Q9UBU8_2_MORF4L1.pdf</t>
  </si>
  <si>
    <t>Melting_Curves/meltCurve_Q9UBU9_NXF1.pdf</t>
  </si>
  <si>
    <t>Melting_Curves/meltCurve_Q9UBV8_PEF1.pdf</t>
  </si>
  <si>
    <t>Melting_Curves/meltCurve_Q9UBW7_ZMYM2.pdf</t>
  </si>
  <si>
    <t>Melting_Curves/meltCurve_Q9UBW8_COPS7A.pdf</t>
  </si>
  <si>
    <t>Melting_Curves/meltCurve_Q9UDT6_2_CLIP2.pdf</t>
  </si>
  <si>
    <t>Melting_Curves/meltCurve_Q9UDV7_ZNF282.pdf</t>
  </si>
  <si>
    <t>Melting_Curves/meltCurve_Q9UDY2_TJP2.pdf</t>
  </si>
  <si>
    <t>Melting_Curves/meltCurve_Q9UDY4_DNAJB4.pdf</t>
  </si>
  <si>
    <t>Melting_Curves/meltCurve_Q9UDY8_MALT1.pdf</t>
  </si>
  <si>
    <t>Melting_Curves/meltCurve_Q9UEE9_CFDP1.pdf</t>
  </si>
  <si>
    <t>Melting_Curves/meltCurve_Q9UEG4_ZNF629.pdf</t>
  </si>
  <si>
    <t>Melting_Curves/meltCurve_Q9UER7_DAXX.pdf</t>
  </si>
  <si>
    <t>Melting_Curves/meltCurve_Q9UET6_2_FTSJ1.pdf</t>
  </si>
  <si>
    <t>Melting_Curves/meltCurve_Q9UEU0_VTI1B.pdf</t>
  </si>
  <si>
    <t>Melting_Curves/meltCurve_Q9UEY8_2_ADD3.pdf</t>
  </si>
  <si>
    <t>Melting_Curves/meltCurve_Q9UFC0_LRWD1.pdf</t>
  </si>
  <si>
    <t>Melting_Curves/meltCurve_Q9UFG5_C19orf25.pdf</t>
  </si>
  <si>
    <t>Melting_Curves/meltCurve_Q9UFN0_NIPSNAP3A.pdf</t>
  </si>
  <si>
    <t>Melting_Curves/meltCurve_Q9UFW8_CGGBP1.pdf</t>
  </si>
  <si>
    <t>Melting_Curves/meltCurve_Q9UG01_IFT172.pdf</t>
  </si>
  <si>
    <t>Melting_Curves/meltCurve_Q9UG63_ABCF2.pdf</t>
  </si>
  <si>
    <t>Melting_Curves/meltCurve_Q9UGI8_TES.pdf</t>
  </si>
  <si>
    <t>Melting_Curves/meltCurve_Q9UGI8_2_TES.pdf</t>
  </si>
  <si>
    <t>Melting_Curves/meltCurve_Q9UGK8_SERGEF.pdf</t>
  </si>
  <si>
    <t>Melting_Curves/meltCurve_Q9UGP4_LIMD1.pdf</t>
  </si>
  <si>
    <t>Melting_Curves/meltCurve_Q9UGP8_SEC63.pdf</t>
  </si>
  <si>
    <t>Melting_Curves/meltCurve_Q9UGR2_2_ZC3H7B.pdf</t>
  </si>
  <si>
    <t>Melting_Curves/meltCurve_Q9UGU0_2_TCF20.pdf</t>
  </si>
  <si>
    <t>Melting_Curves/meltCurve_Q9UGU5_HMGXB4.pdf</t>
  </si>
  <si>
    <t>Melting_Curves/meltCurve_Q9UGV2_NDRG3.pdf</t>
  </si>
  <si>
    <t>Melting_Curves/meltCurve_Q9UH62_ARMCX3.pdf</t>
  </si>
  <si>
    <t>Melting_Curves/meltCurve_Q9UH65_SWAP70.pdf</t>
  </si>
  <si>
    <t>Melting_Curves/meltCurve_Q9UH90_FBXO40.pdf</t>
  </si>
  <si>
    <t>Melting_Curves/meltCurve_Q9UH92_2_MLX.pdf</t>
  </si>
  <si>
    <t>Melting_Curves/meltCurve_Q9UHA3_RSL24D1.pdf</t>
  </si>
  <si>
    <t>Melting_Curves/meltCurve_Q9UHA4_LAMTOR3.pdf</t>
  </si>
  <si>
    <t>Melting_Curves/meltCurve_Q9UHB6_LIMA1.pdf</t>
  </si>
  <si>
    <t>Melting_Curves/meltCurve_Q9UHB6_4_LIMA1.pdf</t>
  </si>
  <si>
    <t>Melting_Curves/meltCurve_Q9UHB7_AFF4.pdf</t>
  </si>
  <si>
    <t>Melting_Curves/meltCurve_Q9UHB9_SRP68.pdf</t>
  </si>
  <si>
    <t>Melting_Curves/meltCurve_Q9UHD1_CHORDC1.pdf</t>
  </si>
  <si>
    <t>Melting_Curves/meltCurve_Q9UHD2_TBK1.pdf</t>
  </si>
  <si>
    <t>Melting_Curves/meltCurve_Q9UHD8_7_SEPT9.pdf</t>
  </si>
  <si>
    <t>Melting_Curves/meltCurve_Q9UHD9_UBQLN2.pdf</t>
  </si>
  <si>
    <t>Melting_Curves/meltCurve_Q9UHF1_EGFL7.pdf</t>
  </si>
  <si>
    <t>Melting_Curves/meltCurve_Q9UHI6_DDX20.pdf</t>
  </si>
  <si>
    <t>Melting_Curves/meltCurve_Q9UHJ3_2_SFMBT1.pdf</t>
  </si>
  <si>
    <t>Melting_Curves/meltCurve_Q9UHJ6_SHPK.pdf</t>
  </si>
  <si>
    <t>Melting_Curves/meltCurve_Q9UHK0_NUFIP1.pdf</t>
  </si>
  <si>
    <t>Melting_Curves/meltCurve_Q9UHL4_DPP7.pdf</t>
  </si>
  <si>
    <t>Melting_Curves/meltCurve_Q9UHN1_POLG2.pdf</t>
  </si>
  <si>
    <t>Melting_Curves/meltCurve_Q9UHP3_USP25.pdf</t>
  </si>
  <si>
    <t>Melting_Curves/meltCurve_Q9UHQ1_4_NARF.pdf</t>
  </si>
  <si>
    <t>Melting_Curves/meltCurve_Q9UHR4_BAIAP2L1.pdf</t>
  </si>
  <si>
    <t>Melting_Curves/meltCurve_Q9UHR5_SAP30BP.pdf</t>
  </si>
  <si>
    <t>Melting_Curves/meltCurve_Q9UHR6_ZNHIT2.pdf</t>
  </si>
  <si>
    <t>Melting_Curves/meltCurve_Q9UHV7_MED13.pdf</t>
  </si>
  <si>
    <t>Melting_Curves/meltCurve_Q9UHV9_PFDN2.pdf</t>
  </si>
  <si>
    <t>Melting_Curves/meltCurve_Q9UHW5_GPN3.pdf</t>
  </si>
  <si>
    <t>Melting_Curves/meltCurve_Q9UHX1_2_PUF60.pdf</t>
  </si>
  <si>
    <t>Melting_Curves/meltCurve_Q9UHY1_NRBP1.pdf</t>
  </si>
  <si>
    <t>Melting_Curves/meltCurve_Q9UHY7_ENOPH1.pdf</t>
  </si>
  <si>
    <t>Melting_Curves/meltCurve_Q9UI08_EVL.pdf</t>
  </si>
  <si>
    <t>Melting_Curves/meltCurve_Q9UI10_EIF2B4.pdf</t>
  </si>
  <si>
    <t>Melting_Curves/meltCurve_Q9UI10_3_EIF2B4.pdf</t>
  </si>
  <si>
    <t>Melting_Curves/meltCurve_Q9UI12_ATP6V1H.pdf</t>
  </si>
  <si>
    <t>Melting_Curves/meltCurve_Q9UI26_IPO11.pdf</t>
  </si>
  <si>
    <t>Melting_Curves/meltCurve_Q9UI30_TRMT112.pdf</t>
  </si>
  <si>
    <t>Melting_Curves/meltCurve_Q9UI95_MAD2L2.pdf</t>
  </si>
  <si>
    <t>Melting_Curves/meltCurve_Q9UIA9_XPO7.pdf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</si>
  <si>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</si>
  <si>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</si>
  <si>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</si>
  <si>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</si>
  <si>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Melting_Curves/meltCurve_Q9UIL1_3_SCOC.pdf</t>
  </si>
  <si>
    <t>Melting_Curves/meltCurve_Q9UIM3_FKBPL.pdf</t>
  </si>
  <si>
    <t>Melting_Curves/meltCurve_Q9UIQ6_3_LNPEP.pdf</t>
  </si>
  <si>
    <t>Melting_Curves/meltCurve_Q9UIU6_SIX4.pdf</t>
  </si>
  <si>
    <t>Melting_Curves/meltCurve_Q9UIV1_CNOT7.pdf</t>
  </si>
  <si>
    <t>Melting_Curves/meltCurve_Q9UJ04_TSPYL4.pdf</t>
  </si>
  <si>
    <t>Melting_Curves/meltCurve_Q9UJ41_2_RABGEF1.pdf</t>
  </si>
  <si>
    <t>Melting_Curves/meltCurve_Q9UJ68_2_MSRA.pdf</t>
  </si>
  <si>
    <t>Melting_Curves/meltCurve_Q9UJ70_NAGK.pdf</t>
  </si>
  <si>
    <t>Melting_Curves/meltCurve_Q9UJA5_TRMT6.pdf</t>
  </si>
  <si>
    <t>Melting_Curves/meltCurve_Q9UJC5_SH3BGRL2.pdf</t>
  </si>
  <si>
    <t>Melting_Curves/meltCurve_Q9UJJ2_ZNF280C.pdf</t>
  </si>
  <si>
    <t>Melting_Curves/meltCurve_Q9UJK0_TSR3.pdf</t>
  </si>
  <si>
    <t>Melting_Curves/meltCurve_Q9UJM3_ERRFI1.pdf</t>
  </si>
  <si>
    <t>Melting_Curves/meltCurve_Q9UJN7_ZNF391.pdf</t>
  </si>
  <si>
    <t>Melting_Curves/meltCurve_Q9UJT0_TUBE1.pdf</t>
  </si>
  <si>
    <t>Melting_Curves/meltCurve_Q9UJT2_2_TSKS.pdf</t>
  </si>
  <si>
    <t>Melting_Curves/meltCurve_Q9UJU6_DBNL.pdf</t>
  </si>
  <si>
    <t>Melting_Curves/meltCurve_Q9UJU6_2_DBNL.pdf</t>
  </si>
  <si>
    <t>Melting_Curves/meltCurve_Q9UJV9_DDX41.pdf</t>
  </si>
  <si>
    <t>Melting_Curves/meltCurve_Q9UJW0_DCTN4.pdf</t>
  </si>
  <si>
    <t>Melting_Curves/meltCurve_Q9UJX2_3_CDC23.pdf</t>
  </si>
  <si>
    <t>Melting_Curves/meltCurve_Q9UJX3_2_ANAPC7.pdf</t>
  </si>
  <si>
    <t>Melting_Curves/meltCurve_Q9UJX6_ANAPC2.pdf</t>
  </si>
  <si>
    <t>Melting_Curves/meltCurve_Q9UJY4_GGA2.pdf</t>
  </si>
  <si>
    <t>Melting_Curves/meltCurve_Q9UJY5_4_GGA1.pdf</t>
  </si>
  <si>
    <t>Melting_Curves/meltCurve_Q9UK33_ZNF580.pdf</t>
  </si>
  <si>
    <t>Melting_Curves/meltCurve_Q9UK41_VPS28.pdf</t>
  </si>
  <si>
    <t>Melting_Curves/meltCurve_Q9UK45_LSM7.pdf</t>
  </si>
  <si>
    <t>Melting_Curves/meltCurve_Q9UK59_DBR1.pdf</t>
  </si>
  <si>
    <t>Melting_Curves/meltCurve_Q9UK61_3_FAM208A.pdf</t>
  </si>
  <si>
    <t>Melting_Curves/meltCurve_Q9UK73_FEM1B.pdf</t>
  </si>
  <si>
    <t>Melting_Curves/meltCurve_Q9UK80_2_USP21.pdf</t>
  </si>
  <si>
    <t>Melting_Curves/meltCurve_Q9UK97_3_FBXO9.pdf</t>
  </si>
  <si>
    <t>Melting_Curves/meltCurve_Q9UK99_2_FBXO3.pdf</t>
  </si>
  <si>
    <t>Melting_Curves/meltCurve_Q9UKA4_AKAP11.pdf</t>
  </si>
  <si>
    <t>Melting_Curves/meltCurve_Q9UKA9_PTBP2.pdf</t>
  </si>
  <si>
    <t>Melting_Curves/meltCurve_Q9UKB1_2_FBXW11.pdf</t>
  </si>
  <si>
    <t>Melting_Curves/meltCurve_Q9UKB3_DNAJC12.pdf</t>
  </si>
  <si>
    <t>Melting_Curves/meltCurve_Q9UKB5_AJAP1.pdf</t>
  </si>
  <si>
    <t>Melting_Curves/meltCurve_Q9UKD2_MRTO4.pdf</t>
  </si>
  <si>
    <t>Melting_Curves/meltCurve_Q9UKE5_TNIK.pdf</t>
  </si>
  <si>
    <t>Melting_Curves/meltCurve_Q9UKF6_CPSF3.pdf</t>
  </si>
  <si>
    <t>Melting_Curves/meltCurve_Q9UKG1_APPL1.pdf</t>
  </si>
  <si>
    <t>Melting_Curves/meltCurve_Q9UKI8_TLK1.pdf</t>
  </si>
  <si>
    <t>Melting_Curves/meltCurve_Q9UKJ3_GPATCH8.pdf</t>
  </si>
  <si>
    <t>Melting_Curves/meltCurve_Q9UKK3_PARP4.pdf</t>
  </si>
  <si>
    <t>Melting_Curves/meltCurve_Q9UKL0_RCOR1.pdf</t>
  </si>
  <si>
    <t>Melting_Curves/meltCurve_Q9UKL3_CASP8AP2.pdf</t>
  </si>
  <si>
    <t>Melting_Curves/meltCurve_Q9UKL6_PCTP.pdf</t>
  </si>
  <si>
    <t>Melting_Curves/meltCurve_Q9UKN8_GTF3C4.pdf</t>
  </si>
  <si>
    <t>Melting_Curves/meltCurve_Q9UKS6_PACSIN3.pdf</t>
  </si>
  <si>
    <t>Melting_Curves/meltCurve_Q9UKT5_FBXO4.pdf</t>
  </si>
  <si>
    <t>Melting_Curves/meltCurve_Q9UKT9_7_IKZF3.pdf</t>
  </si>
  <si>
    <t>Melting_Curves/meltCurve_Q9UKU7_ACAD8.pdf</t>
  </si>
  <si>
    <t>Melting_Curves/meltCurve_Q9UKV3_ACIN1.pdf</t>
  </si>
  <si>
    <t>Melting_Curves/meltCurve_Q9UKV3_5_ACIN1.pdf</t>
  </si>
  <si>
    <t>Melting_Curves/meltCurve_Q9UKV8_AGO2.pdf</t>
  </si>
  <si>
    <t>Melting_Curves/meltCurve_Q9UKX7_NUP50.pdf</t>
  </si>
  <si>
    <t>Melting_Curves/meltCurve_Q9UKY1_ZHX1.pdf</t>
  </si>
  <si>
    <t>Melting_Curves/meltCurve_Q9UKY7_CDV3.pdf</t>
  </si>
  <si>
    <t>Melting_Curves/meltCurve_Q9UKZ1_CNOT11.pdf</t>
  </si>
  <si>
    <t>Melting_Curves/meltCurve_Q9UL03_3_INTS6.pdf</t>
  </si>
  <si>
    <t>Melting_Curves/meltCurve_Q9UL15_BAG5.pdf</t>
  </si>
  <si>
    <t>Melting_Curves/meltCurve_Q9UL25_RAB21.pdf</t>
  </si>
  <si>
    <t>Melting_Curves/meltCurve_Q9UL26_RAB22A.pdf</t>
  </si>
  <si>
    <t>Melting_Curves/meltCurve_Q9UL46_PSME2.pdf</t>
  </si>
  <si>
    <t>Melting_Curves/meltCurve_Q9UL54_2_TAOK2.pdf</t>
  </si>
  <si>
    <t>Melting_Curves/meltCurve_Q9UL63_MKLN1.pdf</t>
  </si>
  <si>
    <t>Melting_Curves/meltCurve_Q9ULA0_DNPEP.pdf</t>
  </si>
  <si>
    <t>Melting_Curves/meltCurve_Q9ULC3_RAB23.pdf</t>
  </si>
  <si>
    <t>Melting_Curves/meltCurve_Q9ULC4_MCTS1.pdf</t>
  </si>
  <si>
    <t>Melting_Curves/meltCurve_Q9ULD2_4_MTUS1.pdf</t>
  </si>
  <si>
    <t>Melting_Curves/meltCurve_Q9ULD5_ZNF777.pdf</t>
  </si>
  <si>
    <t>Melting_Curves/meltCurve_Q9ULD9_ZNF608.pdf</t>
  </si>
  <si>
    <t>Melting_Curves/meltCurve_Q9ULE0_WWC3.pdf</t>
  </si>
  <si>
    <t>Melting_Curves/meltCurve_Q9ULE6_PALD1.pdf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</si>
  <si>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</si>
  <si>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</si>
  <si>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</si>
  <si>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</si>
  <si>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</si>
  <si>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</si>
  <si>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Melting_Curves/meltCurve_Q9ULK4_4_MED23.pdf</t>
  </si>
  <si>
    <t>Melting_Curves/meltCurve_Q9ULL5_3_PRR12.pdf</t>
  </si>
  <si>
    <t>Melting_Curves/meltCurve_Q9ULM3_YEATS2.pdf</t>
  </si>
  <si>
    <t>Melting_Curves/meltCurve_Q9ULM6_CNOT6.pdf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</si>
  <si>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</si>
  <si>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</si>
  <si>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</si>
  <si>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</si>
  <si>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Melting_Curves/meltCurve_Q9ULU4_12_ZMYND8.pdf</t>
  </si>
  <si>
    <t>Melting_Curves/meltCurve_Q9ULV3_5_CIZ1.pdf</t>
  </si>
  <si>
    <t>Melting_Curves/meltCurve_Q9ULV4_CORO1C.pdf</t>
  </si>
  <si>
    <t>Melting_Curves/meltCurve_Q9ULW0_TPX2.pdf</t>
  </si>
  <si>
    <t>Melting_Curves/meltCurve_Q9ULW3_ABT1.pdf</t>
  </si>
  <si>
    <t>Melting_Curves/meltCurve_Q9ULX3_NOB1.pdf</t>
  </si>
  <si>
    <t>Melting_Curves/meltCurve_Q9ULX6_AKAP8L.pdf</t>
  </si>
  <si>
    <t>Melting_Curves/meltCurve_Q9ULZ2_STAP1.pdf</t>
  </si>
  <si>
    <t>Melting_Curves/meltCurve_Q9ULZ3_PYCARD.pdf</t>
  </si>
  <si>
    <t>Melting_Curves/meltCurve_Q9ULZ3_2_PYCARD.pdf</t>
  </si>
  <si>
    <t>Melting_Curves/meltCurve_Q9UM13_ANAPC10.pdf</t>
  </si>
  <si>
    <t>Melting_Curves/meltCurve_Q9UM54_6_MYO6.pdf</t>
  </si>
  <si>
    <t>Melting_Curves/meltCurve_Q9UMF0_ICAM5.pdf</t>
  </si>
  <si>
    <t>Melting_Curves/meltCurve_Q9UMN6_WBP7.pdf</t>
  </si>
  <si>
    <t>Melting_Curves/meltCurve_Q9UMR2_DDX19B.pdf</t>
  </si>
  <si>
    <t>Melting_Curves/meltCurve_Q9UMS0_3_NFU1.pdf</t>
  </si>
  <si>
    <t>Melting_Curves/meltCurve_Q9UMS4_PRPF19.pdf</t>
  </si>
  <si>
    <t>Melting_Curves/meltCurve_Q9UMX0_UBQLN1.pdf</t>
  </si>
  <si>
    <t>Melting_Curves/meltCurve_Q9UMX5_NENF.pdf</t>
  </si>
  <si>
    <t>Melting_Curves/meltCurve_Q9UMY1_NOL7.pdf</t>
  </si>
  <si>
    <t>Melting_Curves/meltCurve_Q9UMY4_2_SNX12.pdf</t>
  </si>
  <si>
    <t>Melting_Curves/meltCurve_Q9UMZ2_5_SYNRG.pdf</t>
  </si>
  <si>
    <t>Melting_Curves/meltCurve_Q9UN36_2_NDRG2.pdf</t>
  </si>
  <si>
    <t>Melting_Curves/meltCurve_Q9UN37_VPS4A.pdf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</si>
  <si>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</si>
  <si>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</si>
  <si>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</si>
  <si>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</si>
  <si>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Melting_Curves/meltCurve_Q9UNH7_SNX6.pdf</t>
  </si>
  <si>
    <t>Melting_Curves/meltCurve_Q9UNL4_8_ING4.pdf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</si>
  <si>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</si>
  <si>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</si>
  <si>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</si>
  <si>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</si>
  <si>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</si>
  <si>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</si>
  <si>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</si>
  <si>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Melting_Curves/meltCurve_Q9UNW1_MINPP1.pdf</t>
  </si>
  <si>
    <t>Melting_Curves/meltCurve_Q9UNY4_2_TTF2.pdf</t>
  </si>
  <si>
    <t>Melting_Curves/meltCurve_Q9UNZ2_NSFL1C.pdf</t>
  </si>
  <si>
    <t>Melting_Curves/meltCurve_Q9UNZ5_C19orf53.pdf</t>
  </si>
  <si>
    <t>Melting_Curves/meltCurve_Q9UP83_COG5.pdf</t>
  </si>
  <si>
    <t>Melting_Curves/meltCurve_Q9UPA5_BSN.pdf</t>
  </si>
  <si>
    <t>Melting_Curves/meltCurve_Q9UPM8_AP4E1.pdf</t>
  </si>
  <si>
    <t>Melting_Curves/meltCurve_Q9UPN4_3_AZI1.pdf</t>
  </si>
  <si>
    <t>Melting_Curves/meltCurve_Q9UPN6_SCAF8.pdf</t>
  </si>
  <si>
    <t>Melting_Curves/meltCurve_Q9UPN7_PPP6R1.pdf</t>
  </si>
  <si>
    <t>Melting_Curves/meltCurve_Q9UPN9_TRIM33.pdf</t>
  </si>
  <si>
    <t>Melting_Curves/meltCurve_Q9UPP5_2_KIAA1107.pdf</t>
  </si>
  <si>
    <t>Melting_Curves/meltCurve_Q9UPQ3_2_AGAP1.pdf</t>
  </si>
  <si>
    <t>Melting_Curves/meltCurve_Q9UPQ9_1_TNRC6B.pdf</t>
  </si>
  <si>
    <t>Melting_Curves/meltCurve_Q9UPR0_PLCL2.pdf</t>
  </si>
  <si>
    <t>Melting_Curves/meltCurve_Q9UPR3_SMG5.pdf</t>
  </si>
  <si>
    <t>Melting_Curves/meltCurve_Q9UPS6_SETD1B.pdf</t>
  </si>
  <si>
    <t>Melting_Curves/meltCurve_Q9UPT5_2_EXOC7.pdf</t>
  </si>
  <si>
    <t>Melting_Curves/meltCurve_Q9UPT8_ZC3H4.pdf</t>
  </si>
  <si>
    <t>Melting_Curves/meltCurve_Q9UPT9_USP22.pdf</t>
  </si>
  <si>
    <t>Melting_Curves/meltCurve_Q9UPU3_SORCS3.pdf</t>
  </si>
  <si>
    <t>Melting_Curves/meltCurve_Q9UPU5_USP24.pdf</t>
  </si>
  <si>
    <t>Melting_Curves/meltCurve_Q9UPU7_TBC1D2B.pdf</t>
  </si>
  <si>
    <t>Melting_Curves/meltCurve_Q9UPV0_2_CEP164.pdf</t>
  </si>
  <si>
    <t>Melting_Curves/meltCurve_Q9UPW5_AGTPBP1.pdf</t>
  </si>
  <si>
    <t>Melting_Curves/meltCurve_Q9UPY3_DICER1.pdf</t>
  </si>
  <si>
    <t>Melting_Curves/meltCurve_Q9UPY8_MAPRE3.pdf</t>
  </si>
  <si>
    <t>Melting_Curves/meltCurve_Q9UPY8_2_MAPRE3.pdf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</si>
  <si>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</si>
  <si>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</si>
  <si>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</si>
  <si>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</si>
  <si>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Melting_Curves/meltCurve_Q9UQ84_4_EXO1.pdf</t>
  </si>
  <si>
    <t>Melting_Curves/meltCurve_Q9UQB8_3_BAIAP2.pdf</t>
  </si>
  <si>
    <t>Melting_Curves/meltCurve_Q9UQC2_2_GAB2.pdf</t>
  </si>
  <si>
    <t>Melting_Curves/meltCurve_Q9UQE7_SMC3.pdf</t>
  </si>
  <si>
    <t>Melting_Curves/meltCurve_Q9UQL6_HDAC5.pdf</t>
  </si>
  <si>
    <t>Melting_Curves/meltCurve_Q9UQQ2_SH2B3.pdf</t>
  </si>
  <si>
    <t>Melting_Curves/meltCurve_Q9UQR0_SCML2.pdf</t>
  </si>
  <si>
    <t>Melting_Curves/meltCurve_Q9UQR1_ZNF148.pdf</t>
  </si>
  <si>
    <t>Melting_Curves/meltCurve_Q9Y217_MTMR6.pdf</t>
  </si>
  <si>
    <t>Melting_Curves/meltCurve_Q9Y221_2_NIP7.pdf</t>
  </si>
  <si>
    <t>Melting_Curves/meltCurve_Q9Y222_5_DMTF1.pdf</t>
  </si>
  <si>
    <t>Melting_Curves/meltCurve_Q9Y223_GNE.pdf</t>
  </si>
  <si>
    <t>Melting_Curves/meltCurve_Q9Y224_C14orf166.pdf</t>
  </si>
  <si>
    <t>Melting_Curves/meltCurve_Q9Y230_RUVBL2.pdf</t>
  </si>
  <si>
    <t>Melting_Curves/meltCurve_Q9Y232_2_CDYL.pdf</t>
  </si>
  <si>
    <t>Melting_Curves/meltCurve_Q9Y232_3_CDYL.pdf</t>
  </si>
  <si>
    <t>Melting_Curves/meltCurve_Q9Y237_PIN4.pdf</t>
  </si>
  <si>
    <t>Melting_Curves/meltCurve_Q9Y244_POMP.pdf</t>
  </si>
  <si>
    <t>Melting_Curves/meltCurve_Q9Y248_GINS2.pdf</t>
  </si>
  <si>
    <t>Melting_Curves/meltCurve_Q9Y259_CHKB.pdf</t>
  </si>
  <si>
    <t>Melting_Curves/meltCurve_Q9Y262_EIF3L.pdf</t>
  </si>
  <si>
    <t>Melting_Curves/meltCurve_Q9Y263_PLAA.pdf</t>
  </si>
  <si>
    <t>Melting_Curves/meltCurve_Q9Y265_RUVBL1.pdf</t>
  </si>
  <si>
    <t>Melting_Curves/meltCurve_Q9Y266_NUDC.pdf</t>
  </si>
  <si>
    <t>Melting_Curves/meltCurve_Q9Y277_VDAC3.pdf</t>
  </si>
  <si>
    <t>Melting_Curves/meltCurve_Q9Y281_3_CFL2.pdf</t>
  </si>
  <si>
    <t>Melting_Curves/meltCurve_Q9Y285_FARSA.pdf</t>
  </si>
  <si>
    <t>Melting_Curves/meltCurve_Q9Y289_SLC5A6.pdf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</si>
  <si>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</si>
  <si>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</si>
  <si>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</si>
  <si>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</si>
  <si>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</si>
  <si>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Melting_Curves/meltCurve_Q9Y2F5_KIAA0947.pdf</t>
  </si>
  <si>
    <t>Melting_Curves/meltCurve_Q9Y2G2_4_CARD8.pdf</t>
  </si>
  <si>
    <t>Melting_Curves/meltCurve_Q9Y2H0_3_DLGAP4.pdf</t>
  </si>
  <si>
    <t>Melting_Curves/meltCurve_Q9Y2H1_STK38L.pdf</t>
  </si>
  <si>
    <t>Melting_Curves/meltCurve_Q9Y2H5_PLEKHA6.pdf</t>
  </si>
  <si>
    <t>Melting_Curves/meltCurve_Q9Y2I1_NISCH.pdf</t>
  </si>
  <si>
    <t>Melting_Curves/meltCurve_Q9Y2I7_PIKFYVE.pdf</t>
  </si>
  <si>
    <t>Melting_Curves/meltCurve_Q9Y2I8_WDR37.pdf</t>
  </si>
  <si>
    <t>Melting_Curves/meltCurve_Q9Y2J2_2_EPB41L3.pdf</t>
  </si>
  <si>
    <t>Melting_Curves/meltCurve_Q9Y2K1_2_ZBTB1.pdf</t>
  </si>
  <si>
    <t>Melting_Curves/meltCurve_Q9Y2K2_SIK3.pdf</t>
  </si>
  <si>
    <t>Melting_Curves/meltCurve_Q9Y2K7_KDM2A.pdf</t>
  </si>
  <si>
    <t>Melting_Curves/meltCurve_Q9Y2L1_DIS3.pdf</t>
  </si>
  <si>
    <t>Melting_Curves/meltCurve_Q9Y2L9_2_LRCH1.pdf</t>
  </si>
  <si>
    <t>Melting_Curves/meltCurve_Q9Y2P8_RCL1.pdf</t>
  </si>
  <si>
    <t>Melting_Curves/meltCurve_Q9Y2Q3_GSTK1.pdf</t>
  </si>
  <si>
    <t>Melting_Curves/meltCurve_Q9Y2Q5_LAMTOR2.pdf</t>
  </si>
  <si>
    <t>Melting_Curves/meltCurve_Q9Y2R4_DDX52.pdf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</si>
  <si>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</si>
  <si>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</si>
  <si>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</si>
  <si>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</si>
  <si>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</si>
  <si>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Melting_Curves/meltCurve_Q9Y2T7_YBX2.pdf</t>
  </si>
  <si>
    <t>Melting_Curves/meltCurve_Q9Y2U5_MAP3K2.pdf</t>
  </si>
  <si>
    <t>Melting_Curves/meltCurve_Q9Y2U8_LEMD3.pdf</t>
  </si>
  <si>
    <t>Melting_Curves/meltCurve_Q9Y2V0_2_C15orf41.pdf</t>
  </si>
  <si>
    <t>Melting_Curves/meltCurve_Q9Y2V2_CARHSP1.pdf</t>
  </si>
  <si>
    <t>Melting_Curves/meltCurve_Q9Y2V7_COG6.pdf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</si>
  <si>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</si>
  <si>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</si>
  <si>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</si>
  <si>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</si>
  <si>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Melting_Curves/meltCurve_Q9Y2Y1_POLR3K.pdf</t>
  </si>
  <si>
    <t>Melting_Curves/meltCurve_Q9Y2Y9_KLF13.pdf</t>
  </si>
  <si>
    <t>Melting_Curves/meltCurve_Q9Y2Z0_SUGT1.pdf</t>
  </si>
  <si>
    <t>Melting_Curves/meltCurve_Q9Y2Z0_2_SUGT1.pdf</t>
  </si>
  <si>
    <t>Melting_Curves/meltCurve_Q9Y2Z4_YARS2.pdf</t>
  </si>
  <si>
    <t>Melting_Curves/meltCurve_Q9Y303_AMDHD2.pdf</t>
  </si>
  <si>
    <t>Melting_Curves/meltCurve_Q9Y312_AAR2.pdf</t>
  </si>
  <si>
    <t>Melting_Curves/meltCurve_Q9Y314_NOSIP.pdf</t>
  </si>
  <si>
    <t>Melting_Curves/meltCurve_Q9Y315_DERA.pdf</t>
  </si>
  <si>
    <t>Melting_Curves/meltCurve_Q9Y316_MEMO1.pdf</t>
  </si>
  <si>
    <t>Melting_Curves/meltCurve_Q9Y330_ZBTB12.pdf</t>
  </si>
  <si>
    <t>Melting_Curves/meltCurve_Q9Y333_LSM2.pdf</t>
  </si>
  <si>
    <t>Melting_Curves/meltCurve_Q9Y343_2_SNX24.pdf</t>
  </si>
  <si>
    <t>Melting_Curves/meltCurve_Q9Y371_SH3GLB1.pdf</t>
  </si>
  <si>
    <t>Melting_Curves/meltCurve_Q9Y376_CAB39.pdf</t>
  </si>
  <si>
    <t>Melting_Curves/meltCurve_Q9Y383_LUC7L2.pdf</t>
  </si>
  <si>
    <t>Melting_Curves/meltCurve_Q9Y385_UBE2J1.pdf</t>
  </si>
  <si>
    <t>Melting_Curves/meltCurve_Q9Y388_RBMX2.pdf</t>
  </si>
  <si>
    <t>Melting_Curves/meltCurve_Q9Y399_MRPS2.pdf</t>
  </si>
  <si>
    <t>Melting_Curves/meltCurve_Q9Y3A2_UTP11L.pdf</t>
  </si>
  <si>
    <t>Melting_Curves/meltCurve_Q9Y3A3_2_MOB4.pdf</t>
  </si>
  <si>
    <t>Melting_Curves/meltCurve_Q9Y3A5_SBDS.pdf</t>
  </si>
  <si>
    <t>Melting_Curves/meltCurve_Q9Y3B2_EXOSC1.pdf</t>
  </si>
  <si>
    <t>Melting_Curves/meltCurve_Q9Y3B3_2_TMED7.pdf</t>
  </si>
  <si>
    <t>Melting_Curves/meltCurve_Q9Y3B4_SF3B14.pdf</t>
  </si>
  <si>
    <t>Melting_Curves/meltCurve_Q9Y3B7_MRPL11.pdf</t>
  </si>
  <si>
    <t>Melting_Curves/meltCurve_Q9Y3B9_RRP15.pdf</t>
  </si>
  <si>
    <t>Melting_Curves/meltCurve_Q9Y3C1_NOP16.pdf</t>
  </si>
  <si>
    <t>Melting_Curves/meltCurve_Q9Y3C4_2_TPRKB.pdf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</si>
  <si>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</si>
  <si>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</si>
  <si>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</si>
  <si>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</si>
  <si>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</si>
  <si>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</si>
  <si>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</si>
  <si>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</si>
  <si>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</si>
  <si>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Melting_Curves/meltCurve_Q9Y3E5_PTRH2.pdf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</si>
  <si>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</si>
  <si>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</si>
  <si>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</si>
  <si>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</si>
  <si>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</si>
  <si>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Melting_Curves/meltCurve_Q9Y3P9_RABGAP1.pdf</t>
  </si>
  <si>
    <t>Melting_Curves/meltCurve_Q9Y3Q8_TSC22D4.pdf</t>
  </si>
  <si>
    <t>Melting_Curves/meltCurve_Q9Y3R5_2_DOPEY2.pdf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</si>
  <si>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</si>
  <si>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</si>
  <si>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</si>
  <si>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</si>
  <si>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Melting_Curves/meltCurve_Q9Y3V2_2_RWDD3.pdf</t>
  </si>
  <si>
    <t>Melting_Curves/meltCurve_Q9Y3X0_CCDC9.pdf</t>
  </si>
  <si>
    <t>Melting_Curves/meltCurve_Q9Y3Y2_4_CHTOP.pdf</t>
  </si>
  <si>
    <t>Melting_Curves/meltCurve_Q9Y3Z3_4_SAMHD1.pdf</t>
  </si>
  <si>
    <t>Melting_Curves/meltCurve_Q9Y446_PKP3.pdf</t>
  </si>
  <si>
    <t>Melting_Curves/meltCurve_Q9Y448_KNSTRN.pdf</t>
  </si>
  <si>
    <t>Melting_Curves/meltCurve_Q9Y450_HBS1L.pdf</t>
  </si>
  <si>
    <t>Melting_Curves/meltCurve_Q9Y450_2_HBS1L.pdf</t>
  </si>
  <si>
    <t>Melting_Curves/meltCurve_Q9Y478_PRKAB1.pdf</t>
  </si>
  <si>
    <t>Melting_Curves/meltCurve_Q9Y483_3_MTF2.pdf</t>
  </si>
  <si>
    <t>Melting_Curves/meltCurve_Q9Y485_DMXL1.pdf</t>
  </si>
  <si>
    <t>Melting_Curves/meltCurve_Q9Y490_TLN1.pdf</t>
  </si>
  <si>
    <t>Melting_Curves/meltCurve_Q9Y496_KIF3A.pdf</t>
  </si>
  <si>
    <t>Melting_Curves/meltCurve_Q9Y4A5_2_TRRAP.pdf</t>
  </si>
  <si>
    <t>Melting_Curves/meltCurve_Q9Y4B4_RAD54L2.pdf</t>
  </si>
  <si>
    <t>Melting_Curves/meltCurve_Q9Y4B6_VPRBP.pdf</t>
  </si>
  <si>
    <t>Melting_Curves/meltCurve_Q9Y4C1_KDM3A.pdf</t>
  </si>
  <si>
    <t>Melting_Curves/meltCurve_Q9Y4C2_2_FAM115A.pdf</t>
  </si>
  <si>
    <t>Melting_Curves/meltCurve_Q9Y4E5_2_ZNF451.pdf</t>
  </si>
  <si>
    <t>Melting_Curves/meltCurve_Q9Y4E5_4_ZNF451.pdf</t>
  </si>
  <si>
    <t>Melting_Curves/meltCurve_Q9Y4E8_USP15.pdf</t>
  </si>
  <si>
    <t>Melting_Curves/meltCurve_Q9Y4F3_3_KIAA0430.pdf</t>
  </si>
  <si>
    <t>Melting_Curves/meltCurve_Q9Y4G6_TLN2.pdf</t>
  </si>
  <si>
    <t>Melting_Curves/meltCurve_Q9Y4G8_RAPGEF2.pdf</t>
  </si>
  <si>
    <t>Melting_Curves/meltCurve_Q9Y4H2_IRS2.pdf</t>
  </si>
  <si>
    <t>Melting_Curves/meltCurve_Q9Y4I1_2_MYO5A.pdf</t>
  </si>
  <si>
    <t>Melting_Curves/meltCurve_Q9Y4I5_MTL5.pdf</t>
  </si>
  <si>
    <t>Melting_Curves/meltCurve_Q9Y4K1_AIM1.pdf</t>
  </si>
  <si>
    <t>Melting_Curves/meltCurve_Q9Y4K3_TRAF6.pdf</t>
  </si>
  <si>
    <t>Melting_Curves/meltCurve_Q9Y4K4_MAP4K5.pdf</t>
  </si>
  <si>
    <t>Melting_Curves/meltCurve_Q9Y4L1_HYOU1.pdf</t>
  </si>
  <si>
    <t>Melting_Curves/meltCurve_Q9Y4P1_6_ATG4B.pdf</t>
  </si>
  <si>
    <t>Melting_Curves/meltCurve_Q9Y4P8_3_WIPI2.pdf</t>
  </si>
  <si>
    <t>Melting_Curves/meltCurve_Q9Y4R8_TELO2.pdf</t>
  </si>
  <si>
    <t>Melting_Curves/meltCurve_Q9Y4U1_MMACHC.pdf</t>
  </si>
  <si>
    <t>Melting_Curves/meltCurve_Q9Y4W2_2_LAS1L.pdf</t>
  </si>
  <si>
    <t>Melting_Curves/meltCurve_Q9Y4W6_AFG3L2.pdf</t>
  </si>
  <si>
    <t>Melting_Curves/meltCurve_Q9Y4X0_AMMECR1.pdf</t>
  </si>
  <si>
    <t>Melting_Curves/meltCurve_Q9Y4X5_ARIH1.pdf</t>
  </si>
  <si>
    <t>Melting_Curves/meltCurve_Q9Y4Z0_LSM4.pdf</t>
  </si>
  <si>
    <t>Melting_Curves/meltCurve_Q9Y508_RNF114.pdf</t>
  </si>
  <si>
    <t>Melting_Curves/meltCurve_Q9Y520_4_PRRC2C.pdf</t>
  </si>
  <si>
    <t>Melting_Curves/meltCurve_Q9Y535_POLR3H.pdf</t>
  </si>
  <si>
    <t>Melting_Curves/meltCurve_Q9Y547_HSPB11.pdf</t>
  </si>
  <si>
    <t>Melting_Curves/meltCurve_Q9Y570_PPME1.pdf</t>
  </si>
  <si>
    <t>Melting_Curves/meltCurve_Q9Y580_RBM7.pdf</t>
  </si>
  <si>
    <t>Melting_Curves/meltCurve_Q9Y592_2_CCDC41.pdf</t>
  </si>
  <si>
    <t>Melting_Curves/meltCurve_Q9Y597_2_KCTD3.pdf</t>
  </si>
  <si>
    <t>Melting_Curves/meltCurve_Q9Y5A6_ZSCAN21.pdf</t>
  </si>
  <si>
    <t>Melting_Curves/meltCurve_Q9Y5A7_2_NUB1.pdf</t>
  </si>
  <si>
    <t>Melting_Curves/meltCurve_Q9Y5A9_YTHDF2.pdf</t>
  </si>
  <si>
    <t>Melting_Curves/meltCurve_Q9Y5B0_CTDP1.pdf</t>
  </si>
  <si>
    <t>Melting_Curves/meltCurve_Q9Y5B6_PAXBP1.pdf</t>
  </si>
  <si>
    <t>Melting_Curves/meltCurve_Q9Y5B8_NME7.pdf</t>
  </si>
  <si>
    <t>Melting_Curves/meltCurve_Q9Y5B9_SUPT16H.pdf</t>
  </si>
  <si>
    <t>Melting_Curves/meltCurve_Q9Y5J1_UTP18.pdf</t>
  </si>
  <si>
    <t>Melting_Curves/meltCurve_Q9Y5J6_TIMM10B.pdf</t>
  </si>
  <si>
    <t>Melting_Curves/meltCurve_Q9Y5J7_TIMM9.pdf</t>
  </si>
  <si>
    <t>Melting_Curves/meltCurve_Q9Y5J9_TIMM8B.pdf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</si>
  <si>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</si>
  <si>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</si>
  <si>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</si>
  <si>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</si>
  <si>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</si>
  <si>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Melting_Curves/meltCurve_Q9Y5M8_SRPRB.pdf</t>
  </si>
  <si>
    <t>Melting_Curves/meltCurve_Q9Y5N5_N6AMT1.pdf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</si>
  <si>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</si>
  <si>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</si>
  <si>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</si>
  <si>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</si>
  <si>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</si>
  <si>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Melting_Curves/meltCurve_Q9Y5S1_TRPV2.pdf</t>
  </si>
  <si>
    <t>Melting_Curves/meltCurve_Q9Y5S2_CDC42BPB.pdf</t>
  </si>
  <si>
    <t>Melting_Curves/meltCurve_Q9Y5S9_RBM8A.pdf</t>
  </si>
  <si>
    <t>Melting_Curves/meltCurve_Q9Y5U2_2_TSSC4.pdf</t>
  </si>
  <si>
    <t>Melting_Curves/meltCurve_Q9Y5V0_ZNF706.pdf</t>
  </si>
  <si>
    <t>Melting_Curves/meltCurve_Q9Y5X1_SNX9.pdf</t>
  </si>
  <si>
    <t>Melting_Curves/meltCurve_Q9Y5X2_SNX8.pdf</t>
  </si>
  <si>
    <t>Melting_Curves/meltCurve_Q9Y5X3_SNX5.pdf</t>
  </si>
  <si>
    <t>Melting_Curves/meltCurve_Q9Y5Y2_NUBP2.pdf</t>
  </si>
  <si>
    <t>Melting_Curves/meltCurve_Q9Y5Z4_HEBP2.pdf</t>
  </si>
  <si>
    <t>Melting_Curves/meltCurve_Q9Y600_CSAD.pdf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</si>
  <si>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</si>
  <si>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</si>
  <si>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</si>
  <si>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</si>
  <si>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Melting_Curves/meltCurve_Q9Y646_CPQ.pdf</t>
  </si>
  <si>
    <t>Melting_Curves/meltCurve_Q9Y651_SOX21.pdf</t>
  </si>
  <si>
    <t>Melting_Curves/meltCurve_Q9Y657_SPIN1.pdf</t>
  </si>
  <si>
    <t>Melting_Curves/meltCurve_Q9Y678_COPG1.pdf</t>
  </si>
  <si>
    <t>Melting_Curves/meltCurve_Q9Y679_AUP1.pdf</t>
  </si>
  <si>
    <t>Melting_Curves/meltCurve_Q9Y680_3_FKBP7.pdf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</si>
  <si>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</si>
  <si>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</si>
  <si>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</si>
  <si>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</si>
  <si>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</si>
  <si>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</si>
  <si>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Melting_Curves/meltCurve_Q9Y6B7_AP4B1.pdf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</si>
  <si>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</si>
  <si>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</si>
  <si>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</si>
  <si>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</si>
  <si>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</si>
  <si>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Melting_Curves/meltCurve_Q9Y6G5_COMMD10.pdf</t>
  </si>
  <si>
    <t>Melting_Curves/meltCurve_Q9Y6G9_DYNC1LI1.pdf</t>
  </si>
  <si>
    <t>Melting_Curves/meltCurve_Q9Y6H1_CHCHD2.pdf</t>
  </si>
  <si>
    <t>Melting_Curves/meltCurve_Q9Y6I3_EPN1.pdf</t>
  </si>
  <si>
    <t>Melting_Curves/meltCurve_Q9Y6I4_USP3.pdf</t>
  </si>
  <si>
    <t>Melting_Curves/meltCurve_Q9Y6I9_TEX264.pdf</t>
  </si>
  <si>
    <t>Melting_Curves/meltCurve_Q9Y6J9_TAF6L.pdf</t>
  </si>
  <si>
    <t>Melting_Curves/meltCurve_Q9Y6K0_CEPT1.pdf</t>
  </si>
  <si>
    <t>Melting_Curves/meltCurve_Q9Y6K1_DNMT3A.pdf</t>
  </si>
  <si>
    <t>Melting_Curves/meltCurve_Q9Y6K9_IKBKG.pdf</t>
  </si>
  <si>
    <t>Melting_Curves/meltCurve_Q9Y6M1_1_IGF2BP2.pdf</t>
  </si>
  <si>
    <t>Melting_Curves/meltCurve_Q9Y6M4_3_CSNK1G3.pdf</t>
  </si>
  <si>
    <t>Melting_Curves/meltCurve_Q9Y6M5_SLC30A1.pdf</t>
  </si>
  <si>
    <t>Melting_Curves/meltCurve_Q9Y6M7_6_SLC4A7.pdf</t>
  </si>
  <si>
    <t>Melting_Curves/meltCurve_Q9Y6Q9_5_NCOA3.pdf</t>
  </si>
  <si>
    <t>Melting_Curves/meltCurve_Q9Y6V7_DDX49.pdf</t>
  </si>
  <si>
    <t>Melting_Curves/meltCurve_Q9Y6W3_CAPN7.pdf</t>
  </si>
  <si>
    <t>Melting_Curves/meltCurve_Q9Y6W5_WASF2.pdf</t>
  </si>
  <si>
    <t>Melting_Curves/meltCurve_Q9Y6X9_MORC2.pdf</t>
  </si>
  <si>
    <t>Melting_Curves/meltCurve_R4GMN1_MOSPD2.pdf</t>
  </si>
  <si>
    <t>Melting_Curves/meltCurve_R4GMR5_PSMD8.pdf</t>
  </si>
  <si>
    <t>Melting_Curves/meltCurve_R4GMX3_BMI1.pdf</t>
  </si>
  <si>
    <t>Melting_Curves/meltCurve_R4GN55_YTHDF3.pdf</t>
  </si>
  <si>
    <t>Melting_Curves/meltCurve_R4GNB1_AASDH.pdf</t>
  </si>
  <si>
    <t>Melting_Curves/meltCurve_R4GNB2_DENND4C.pdf</t>
  </si>
  <si>
    <t>Melting_Curves/meltCurve_R4GNG2_AMFR.pdf</t>
  </si>
  <si>
    <t>Melting_Curves/meltCurve_R4GNH2_FBXO2.pdf</t>
  </si>
  <si>
    <t>Melting_Curves/meltCurve_R4GNH3_PSMC3.pdf</t>
  </si>
  <si>
    <t>Melting_Curves/meltCurve_R4GNJ5_ACD.pdf</t>
  </si>
  <si>
    <t>Yes</t>
  </si>
  <si>
    <t>No</t>
  </si>
  <si>
    <t>Ubiquitin-like modifier-activating enzyme 6</t>
  </si>
  <si>
    <t>Isoform 2 of Mediator of RNA polymerase II transcription subunit 19</t>
  </si>
  <si>
    <t>UHRF1-binding protein 1-like</t>
  </si>
  <si>
    <t>Shootin-1</t>
  </si>
  <si>
    <t>Uncharacterized protein C17orf89</t>
  </si>
  <si>
    <t>Neuroblastoma-amplified sequence</t>
  </si>
  <si>
    <t>tRNA wybutosine-synthesizing protein 5</t>
  </si>
  <si>
    <t>Isoform 2 of Fucose mutarotase</t>
  </si>
  <si>
    <t>Isoform 2 of Protein strawberry notch homolog 1</t>
  </si>
  <si>
    <t>Metallo-beta-lactamase domain-containing protein 1</t>
  </si>
  <si>
    <t>Isoform 3 of Protein KRBA1</t>
  </si>
  <si>
    <t>Isoform 2 of Trafficking protein particle complex subunit 13</t>
  </si>
  <si>
    <t>Isoform 2 of CCR4-NOT transcription complex subunit 1</t>
  </si>
  <si>
    <t>Isoform 7 of Transcription factor TFIIIB component B homolog</t>
  </si>
  <si>
    <t>Phosphoglycolate phosphatase</t>
  </si>
  <si>
    <t>UPF0600 protein C5orf51</t>
  </si>
  <si>
    <t>HCG2039464</t>
  </si>
  <si>
    <t>RCC1 domain-containing protein 1</t>
  </si>
  <si>
    <t>Oral-facial-digital syndrome 1 protein</t>
  </si>
  <si>
    <t>Zinc finger protein 281</t>
  </si>
  <si>
    <t>Zinc finger protein 316</t>
  </si>
  <si>
    <t>ADP-sugar pyrophosphatase</t>
  </si>
  <si>
    <t>Succinate dehydrogenase assembly factor 1, mitochondrial</t>
  </si>
  <si>
    <t>Charged multivesicular body protein 1a</t>
  </si>
  <si>
    <t>Spectrin alpha chain, non-erythrocytic 1</t>
  </si>
  <si>
    <t>Proline-rich protein PRCC</t>
  </si>
  <si>
    <t>WAS/WASL-interacting protein family member 3</t>
  </si>
  <si>
    <t>Coiled-coil domain-containing protein 160</t>
  </si>
  <si>
    <t>Hematological and neurological-expressed 1-like protein</t>
  </si>
  <si>
    <t>Obscurin</t>
  </si>
  <si>
    <t>Putative gamma-glutamyltranspeptidase 3</t>
  </si>
  <si>
    <t>DNA-directed RNA polymerase III subunit RPC7-like</t>
  </si>
  <si>
    <t>Biotinidase</t>
  </si>
  <si>
    <t>Structural maintenance of chromosomes flexible hinge domain-containing protein 1</t>
  </si>
  <si>
    <t>GATS-like protein 2</t>
  </si>
  <si>
    <t>Protein unc-119 homolog B</t>
  </si>
  <si>
    <t>Coiled-coil-helix-coiled-coil-helix domain-containing protein 1</t>
  </si>
  <si>
    <t>Nucleolar complex protein 3 homolog</t>
  </si>
  <si>
    <t>Coiled-coil domain-containing protein 85C</t>
  </si>
  <si>
    <t>Diaphanous homolog 2 (Drosophila), isoform CRA_c</t>
  </si>
  <si>
    <t>Annexin</t>
  </si>
  <si>
    <t>Protein FAM127A</t>
  </si>
  <si>
    <t>TANK-binding kinase 1-binding protein 1</t>
  </si>
  <si>
    <t>Isoform 2 of Nuclear envelope pore membrane protein POM 121C</t>
  </si>
  <si>
    <t>Intersectin 1 long form variant 3</t>
  </si>
  <si>
    <t>EGF domain-specific O-linked N-acetylglucosamine transferase</t>
  </si>
  <si>
    <t>Isoform 5 of Protein SFI1 homolog</t>
  </si>
  <si>
    <t>UPF0249 protein ydjC homolog</t>
  </si>
  <si>
    <t>Putative uncharacterized protein ENSP00000344348</t>
  </si>
  <si>
    <t>Fragile X mental retardation protein 1</t>
  </si>
  <si>
    <t>LYR motif-containing protein 9</t>
  </si>
  <si>
    <t>Glycogen synthase kinase-3 alpha</t>
  </si>
  <si>
    <t>Down syndrome critical region protein 3</t>
  </si>
  <si>
    <t>S100P-binding protein</t>
  </si>
  <si>
    <t>Protein Hook homolog 1</t>
  </si>
  <si>
    <t>Influenza virus NS1A-binding protein</t>
  </si>
  <si>
    <t>Protein FAM171A2</t>
  </si>
  <si>
    <t>Rho guanine nucleotide exchange factor 33</t>
  </si>
  <si>
    <t>BICD1 protein</t>
  </si>
  <si>
    <t>TFIIH basal transcription factor complex helicase XPD subunit (Fragment)</t>
  </si>
  <si>
    <t>Reticulocalbin-2</t>
  </si>
  <si>
    <t>Matrin-3</t>
  </si>
  <si>
    <t>Nucleoside diphosphate-linked moiety X motif 19, mitochondrial</t>
  </si>
  <si>
    <t>Ribonuclease P protein subunit p29</t>
  </si>
  <si>
    <t>Serine/arginine repetitive matrix protein 1</t>
  </si>
  <si>
    <t>6-phosphofructo-2-kinase/fructose-2, 6-bisphosphatase 2 transcript variant 3</t>
  </si>
  <si>
    <t>Dynein light chain 4, axonemal</t>
  </si>
  <si>
    <t>Chromobox protein homolog 6</t>
  </si>
  <si>
    <t>Uncharacterized protein KIAA0930 (Fragment)</t>
  </si>
  <si>
    <t>TBC1 domain family member 22A</t>
  </si>
  <si>
    <t>HLA-B associated transcript 3, isoform CRA_a</t>
  </si>
  <si>
    <t>Histone-lysine N-methyltransferase EHMT2</t>
  </si>
  <si>
    <t>Protein-tyrosine sulfotransferase 2 (Fragment)</t>
  </si>
  <si>
    <t>Centromere protein M</t>
  </si>
  <si>
    <t>26S proteasome non-ATPase regulatory subunit 10</t>
  </si>
  <si>
    <t>3-hydroxymethyl-3-methylglutaryl-Coenzyme A lyase (Hydroxymethylglutaricaciduria), isoform CRA_b</t>
  </si>
  <si>
    <t>GPI-anchor transamidase</t>
  </si>
  <si>
    <t>Capping protein (Actin filament) muscle Z-line, beta, isoform CRA_a</t>
  </si>
  <si>
    <t>Rootletin (Fragment)</t>
  </si>
  <si>
    <t>Eukaryotic translation initiation factor 4E transporter</t>
  </si>
  <si>
    <t>Nuclear factor 1 A-type</t>
  </si>
  <si>
    <t>Protein FAM178A</t>
  </si>
  <si>
    <t>Hsp90 co-chaperone Cdc37-like 1</t>
  </si>
  <si>
    <t>Probable palmitoyltransferase ZDHHC16 (Fragment)</t>
  </si>
  <si>
    <t>Eukaryotic translation initiation factor 4 gamma 3</t>
  </si>
  <si>
    <t>Trypsin-3 (Fragment)</t>
  </si>
  <si>
    <t>Guanylate kinase (Fragment)</t>
  </si>
  <si>
    <t>Receptor tyrosine kinase-like orphan receptor 2, isoform CRA_b</t>
  </si>
  <si>
    <t>Fibroblast growth factor 13 (Fragment)</t>
  </si>
  <si>
    <t>Thioredoxin reductase 1, cytoplasmic</t>
  </si>
  <si>
    <t>Actinin, alpha 2, isoform CRA_b</t>
  </si>
  <si>
    <t>Zinc finger CCHC domain-containing protein 2</t>
  </si>
  <si>
    <t>Bifunctional arginine demethylase and lysyl-hydroxylase JMJD6</t>
  </si>
  <si>
    <t>Nucleoporin GLE1</t>
  </si>
  <si>
    <t>Coiled-coil domain-containing protein 92</t>
  </si>
  <si>
    <t>Tripartite motif-containing protein 16</t>
  </si>
  <si>
    <t>AMSH-like protease</t>
  </si>
  <si>
    <t>Leucine zipper transcription factor-like 1, isoform CRA_b</t>
  </si>
  <si>
    <t>Protein artemis</t>
  </si>
  <si>
    <t>Solute carrier family 30 (Zinc transporter), member 6, isoform CRA_c</t>
  </si>
  <si>
    <t>Superoxide dismutase</t>
  </si>
  <si>
    <t>PHD finger protein 23</t>
  </si>
  <si>
    <t>Centromere protein H</t>
  </si>
  <si>
    <t>Probable ATP-dependent RNA helicase DDX58</t>
  </si>
  <si>
    <t>Retinoic acid receptor RXR-alpha</t>
  </si>
  <si>
    <t>Calponin-2</t>
  </si>
  <si>
    <t>NADH dehydrogenase [ubiquinone] flavoprotein 1, mitochondrial</t>
  </si>
  <si>
    <t>Vesicle-fusing ATPase</t>
  </si>
  <si>
    <t>Protein DEK</t>
  </si>
  <si>
    <t>28S ribosomal protein S18b, mitochondrial</t>
  </si>
  <si>
    <t>Isocitrate dehydrogenase [NADP]</t>
  </si>
  <si>
    <t>Catenin beta-1</t>
  </si>
  <si>
    <t>Phosphatidylinositol 5-phosphate 4-kinase type-2 alpha</t>
  </si>
  <si>
    <t>MAP1S light chain</t>
  </si>
  <si>
    <t>Eukaryotic translation initiation factor 2-alpha kinase 1</t>
  </si>
  <si>
    <t>Nuclear receptor corepressor 1</t>
  </si>
  <si>
    <t>Tudor and KH domain-containing protein</t>
  </si>
  <si>
    <t>Ras-related protein Rab-5A</t>
  </si>
  <si>
    <t>Small nuclear ribonucleoprotein Sm D3</t>
  </si>
  <si>
    <t>Citrate synthase</t>
  </si>
  <si>
    <t>DNA topoisomerase</t>
  </si>
  <si>
    <t>Zinc finger protein 286A</t>
  </si>
  <si>
    <t>Lipolysis-stimulated lipoprotein receptor</t>
  </si>
  <si>
    <t>Epidermal growth factor receptor kinase substrate 8-like protein 1</t>
  </si>
  <si>
    <t>Protein CHURC1-FNTB</t>
  </si>
  <si>
    <t>Beta/gamma crystallin domain-containing protein 3 (Fragment)</t>
  </si>
  <si>
    <t>NAD(P)H dehydrogenase [quinone] 1</t>
  </si>
  <si>
    <t>Ribosomal protein S6 kinase beta-1</t>
  </si>
  <si>
    <t>Serine hydroxymethyltransferase</t>
  </si>
  <si>
    <t>E3 ubiquitin-protein ligase RNF220</t>
  </si>
  <si>
    <t>E3 ubiquitin-protein ligase RNF185</t>
  </si>
  <si>
    <t>Eyes absent homolog 3</t>
  </si>
  <si>
    <t>Prostaglandin E synthase 3</t>
  </si>
  <si>
    <t>Makorin, ring finger protein, 2, isoform CRA_b</t>
  </si>
  <si>
    <t>TOX high mobility group box family member 4</t>
  </si>
  <si>
    <t>Short/branched chain-specific acyl-CoA dehydrogenase, mitochondrial</t>
  </si>
  <si>
    <t>Histone deacetylase 8</t>
  </si>
  <si>
    <t>Ran-binding protein 10</t>
  </si>
  <si>
    <t>6-phosphogluconate dehydrogenase, decarboxylating</t>
  </si>
  <si>
    <t>N-alpha-acetyltransferase 40</t>
  </si>
  <si>
    <t>Dolichyl-phosphate beta-glucosyltransferase</t>
  </si>
  <si>
    <t>Ankyrin repeat and SOCS box protein 6</t>
  </si>
  <si>
    <t>cDNA FLJ59742, highly similar to mRNA decapping enzyme 1B (EC 3.-.-.-)</t>
  </si>
  <si>
    <t>Semaphorin-3C</t>
  </si>
  <si>
    <t>Rab proteins geranylgeranyltransferase component A 1</t>
  </si>
  <si>
    <t>SUMO-interacting motif-containing protein 1</t>
  </si>
  <si>
    <t>SH2 domain-containing protein 3A</t>
  </si>
  <si>
    <t>SFRS protein kinase 1, isoform CRA_f</t>
  </si>
  <si>
    <t>Mitogen-activated protein kinase kinase kinase 11</t>
  </si>
  <si>
    <t>Uncharacterized protein KIAA0513</t>
  </si>
  <si>
    <t>WD repeat-containing protein 41</t>
  </si>
  <si>
    <t>DNA ligase</t>
  </si>
  <si>
    <t>Sodium/hydrogen exchanger</t>
  </si>
  <si>
    <t>Citrate lyase subunit beta-like protein, mitochondrial</t>
  </si>
  <si>
    <t>Eukaryotic translation initiation factor 3 subunit J</t>
  </si>
  <si>
    <t>Ribokinase</t>
  </si>
  <si>
    <t>Eukaryotic translation initiation factor 3 subunit D</t>
  </si>
  <si>
    <t>Iron-sulfur protein NUBPL</t>
  </si>
  <si>
    <t>ADP-ribosylation factor-like protein 1</t>
  </si>
  <si>
    <t>Caseinolytic peptidase B protein homolog</t>
  </si>
  <si>
    <t>Fragile X mental retardation syndrome-related protein 1</t>
  </si>
  <si>
    <t>Sentrin-specific protease 5</t>
  </si>
  <si>
    <t>Nucleoporin NUP53</t>
  </si>
  <si>
    <t>Histone deacetylase 6</t>
  </si>
  <si>
    <t>Thymidine kinase 2, mitochondrial</t>
  </si>
  <si>
    <t>PHD finger protein 6</t>
  </si>
  <si>
    <t>Pyridoxine-5-phosphate oxidase</t>
  </si>
  <si>
    <t>Myb/SANT-like DNA-binding domain-containing protein 2</t>
  </si>
  <si>
    <t>Serine/threonine-protein kinase RIO3</t>
  </si>
  <si>
    <t>Serine/arginine-rich-splicing factor 3</t>
  </si>
  <si>
    <t>Lysosome-associated membrane glycoprotein 2</t>
  </si>
  <si>
    <t>Erythrocyte band 7 integral membrane protein</t>
  </si>
  <si>
    <t>3-ketoacyl-CoA thiolase</t>
  </si>
  <si>
    <t>Methyltransferase-like protein 13</t>
  </si>
  <si>
    <t>Insulin-like growth factor-binding protein 4</t>
  </si>
  <si>
    <t>Segment polarity protein dishevelled homolog DVL-3</t>
  </si>
  <si>
    <t>RNA polymerase I-specific transcription initiation factor RRN3</t>
  </si>
  <si>
    <t>Elongator complex protein 4</t>
  </si>
  <si>
    <t>JmjC domain-containing protein 7</t>
  </si>
  <si>
    <t>LIM domain kinase 2</t>
  </si>
  <si>
    <t>Pescadillo homolog</t>
  </si>
  <si>
    <t>Transcriptional enhancer factor TEF-5</t>
  </si>
  <si>
    <t>Protein DGCR6L</t>
  </si>
  <si>
    <t>R3H domain-containing protein 2</t>
  </si>
  <si>
    <t>DNA excision repair protein ERCC-6-like</t>
  </si>
  <si>
    <t>Pre-mRNA-splicing factor CWC22 homolog</t>
  </si>
  <si>
    <t>Cat eye syndrome critical region protein 2</t>
  </si>
  <si>
    <t>GPI transamidase component PIG-T</t>
  </si>
  <si>
    <t>Protein disulfide-isomerase A6</t>
  </si>
  <si>
    <t>Kelch-like protein 22</t>
  </si>
  <si>
    <t>B-cell receptor-associated protein 29</t>
  </si>
  <si>
    <t>Tetratricopeptide repeat protein 26</t>
  </si>
  <si>
    <t>Enolase</t>
  </si>
  <si>
    <t>Zinc finger protein 346</t>
  </si>
  <si>
    <t>Calcium/calmodulin-dependent 3,5-cyclic nucleotide phosphodiesterase 1A</t>
  </si>
  <si>
    <t>GRB2-associated-binding protein 1</t>
  </si>
  <si>
    <t>Delta-aminolevulinic acid dehydratase</t>
  </si>
  <si>
    <t>Deoxyribonuclease-2-alpha</t>
  </si>
  <si>
    <t>ETS domain-containing transcription factor ERF</t>
  </si>
  <si>
    <t>Tumor necrosis factor receptor superfamily member 10B</t>
  </si>
  <si>
    <t>Stathmin</t>
  </si>
  <si>
    <t>KRAB domain-containing protein ZNF747</t>
  </si>
  <si>
    <t>Tryptophan--tRNA ligase, mitochondrial</t>
  </si>
  <si>
    <t>Armadillo repeat containing 8, isoform CRA_g</t>
  </si>
  <si>
    <t>2,4-dienoyl-CoA reductase, mitochondrial</t>
  </si>
  <si>
    <t>Diacylglycerol kinase zeta</t>
  </si>
  <si>
    <t>Calponin-1</t>
  </si>
  <si>
    <t>3-phosphoinositide-dependent protein kinase 1</t>
  </si>
  <si>
    <t>Ubiquitin carboxyl-terminal hydrolase</t>
  </si>
  <si>
    <t>Solute carrier family 2, facilitated glucose transporter member 14</t>
  </si>
  <si>
    <t>Galactosylgalactosylxylosylprotein 3-beta-glucuronosyltransferase 3</t>
  </si>
  <si>
    <t>N-acetylgalactosamine kinase</t>
  </si>
  <si>
    <t>PPP2R5E protein</t>
  </si>
  <si>
    <t>UBX domain-containing protein 2A</t>
  </si>
  <si>
    <t>AP-3 complex subunit beta-2</t>
  </si>
  <si>
    <t>SOS2 protein</t>
  </si>
  <si>
    <t>CPEB4 protein</t>
  </si>
  <si>
    <t>Protein Wiz</t>
  </si>
  <si>
    <t>Coiled-coil domain-containing protein 115</t>
  </si>
  <si>
    <t>U6 snRNA-associated Sm-like protein LSm5</t>
  </si>
  <si>
    <t>Eukaryotic translation initiation factor 4E member 2, isoform CRA_b</t>
  </si>
  <si>
    <t>60S ribosomal protein L31</t>
  </si>
  <si>
    <t>Thymosin alpha-1</t>
  </si>
  <si>
    <t>Cyclic AMP-dependent transcription factor ATF-2</t>
  </si>
  <si>
    <t>Transcription elongation factor B (SIII), polypeptide 2 (18kDa, elongin B), isoform CRA_b</t>
  </si>
  <si>
    <t>UPF0452 protein C7orf41</t>
  </si>
  <si>
    <t>U4/U6.U5 tri-snRNP-associated protein 2</t>
  </si>
  <si>
    <t>Cytochrome c oxidase assembly factor 5</t>
  </si>
  <si>
    <t>1-phosphatidylinositol 4,5-bisphosphate phosphodiesterase beta-2</t>
  </si>
  <si>
    <t>RNA-binding protein 12B</t>
  </si>
  <si>
    <t>Aspartyl aminopeptidase (Fragment)</t>
  </si>
  <si>
    <t>Putative WAS protein family homolog 3</t>
  </si>
  <si>
    <t>Myc-associated zinc finger protein</t>
  </si>
  <si>
    <t>Mediator of RNA polymerase II transcription subunit 30</t>
  </si>
  <si>
    <t>Asparagine synthetase domain-containing protein 1 (Fragment)</t>
  </si>
  <si>
    <t>26S proteasome non-ATPase regulatory subunit 6</t>
  </si>
  <si>
    <t>Rho GTPase-activating protein 19</t>
  </si>
  <si>
    <t>Charged multivesicular body protein 2b</t>
  </si>
  <si>
    <t>Nuclear-interacting partner of ALK</t>
  </si>
  <si>
    <t>Sorcin</t>
  </si>
  <si>
    <t>E3 ubiquitin-protein ligase RNF181</t>
  </si>
  <si>
    <t>Adenylate cyclase 1 (Brain), isoform CRA_e</t>
  </si>
  <si>
    <t>Uncharacterized protein</t>
  </si>
  <si>
    <t>NEDD8-conjugating enzyme UBE2F</t>
  </si>
  <si>
    <t>Ubiquitin-conjugating enzyme E2 E1 (Fragment)</t>
  </si>
  <si>
    <t>DNA-directed RNA polymerase</t>
  </si>
  <si>
    <t>Protein CMSS1 (Fragment)</t>
  </si>
  <si>
    <t>Translocon-associated protein subunit alpha</t>
  </si>
  <si>
    <t>Regulator of chromosome condensation (Fragment)</t>
  </si>
  <si>
    <t>Zinc finger protein 639 (Fragment)</t>
  </si>
  <si>
    <t>Ashwin</t>
  </si>
  <si>
    <t>Cyclic AMP-responsive element-binding protein 1 (Fragment)</t>
  </si>
  <si>
    <t>Programmed cell death protein 10 (Fragment)</t>
  </si>
  <si>
    <t>Protein lin-9 homolog</t>
  </si>
  <si>
    <t>Transgelin-3</t>
  </si>
  <si>
    <t>Fanconi anemia group B protein (Fragment)</t>
  </si>
  <si>
    <t>Ubiquitin fusion degradation protein 1 homolog (Fragment)</t>
  </si>
  <si>
    <t>Histone deacetylase 10</t>
  </si>
  <si>
    <t>Cell division cycle-associated 7-like protein</t>
  </si>
  <si>
    <t>GTP-binding protein 10 (Fragment)</t>
  </si>
  <si>
    <t>40S ribosomal protein SA (Fragment)</t>
  </si>
  <si>
    <t>HMG box transcription factor BBX</t>
  </si>
  <si>
    <t>Zinc finger protein 467</t>
  </si>
  <si>
    <t>BSD domain-containing protein 1</t>
  </si>
  <si>
    <t>Protein diaphanous homolog 3</t>
  </si>
  <si>
    <t>Transmembrane and ubiquitin-like domain-containing protein 1 (Fragment)</t>
  </si>
  <si>
    <t>Nuclear receptor corepressor 2</t>
  </si>
  <si>
    <t>COP9 signalosome complex subunit 1</t>
  </si>
  <si>
    <t>BAG family molecular chaperone regulator 3 (Fragment)</t>
  </si>
  <si>
    <t>Actin, gamma-enteric smooth muscle (Fragment)</t>
  </si>
  <si>
    <t>Syntaxin-4 (Fragment)</t>
  </si>
  <si>
    <t>Cytochrome c (Fragment)</t>
  </si>
  <si>
    <t>ATPase family AAA domain-containing protein 2B (Fragment)</t>
  </si>
  <si>
    <t>Angio-associated migratory cell protein</t>
  </si>
  <si>
    <t>Negative elongation factor A (Fragment)</t>
  </si>
  <si>
    <t>EP400 N-terminal-like protein</t>
  </si>
  <si>
    <t>Guanine nucleotide-binding protein G(I)/G(S)/G(T) subunit beta-2 (Fragment)</t>
  </si>
  <si>
    <t>Myeloid-associated differentiation marker (Fragment)</t>
  </si>
  <si>
    <t>DNA-directed RNA polymerases I, II, and III subunit RPABC3 (Fragment)</t>
  </si>
  <si>
    <t>AP-4 complex subunit mu-1 (Fragment)</t>
  </si>
  <si>
    <t>O-acetyl-ADP-ribose deacetylase 1 (Fragment)</t>
  </si>
  <si>
    <t>Hsp70-binding protein 1</t>
  </si>
  <si>
    <t>Zinc finger protein 746</t>
  </si>
  <si>
    <t>Muscleblind-like protein 1</t>
  </si>
  <si>
    <t>Ubiquitin carboxyl-terminal hydrolase 42 (Fragment)</t>
  </si>
  <si>
    <t>DNA replication licensing factor MCM2</t>
  </si>
  <si>
    <t>NF-kappa-B inhibitor-interacting Ras-like protein 2</t>
  </si>
  <si>
    <t>Coiled-coil domain-containing protein 58</t>
  </si>
  <si>
    <t>Nucleoside diphosphate kinase</t>
  </si>
  <si>
    <t>Serine/threonine-protein kinase 11-interacting protein</t>
  </si>
  <si>
    <t>DNA-binding protein SATB2</t>
  </si>
  <si>
    <t>NADH dehydrogenase [ubiquinone] complex I, assembly factor 7 (Fragment)</t>
  </si>
  <si>
    <t>SOSS complex subunit B1 (Fragment)</t>
  </si>
  <si>
    <t>Zinc finger protein Helios</t>
  </si>
  <si>
    <t>Probable histidine--tRNA ligase, mitochondrial</t>
  </si>
  <si>
    <t>Phosphatidylinositide phosphatase SAC1 (Fragment)</t>
  </si>
  <si>
    <t>Forkhead box J3, isoform CRA_b (Fragment)</t>
  </si>
  <si>
    <t>E3 ubiquitin-protein ligase TRIM22 (Fragment)</t>
  </si>
  <si>
    <t>60S ribosomal protein L24</t>
  </si>
  <si>
    <t>DnaJ homolog subfamily B member 2 (Fragment)</t>
  </si>
  <si>
    <t>Ran-specific GTPase-activating protein (Fragment)</t>
  </si>
  <si>
    <t>Nucleoside diphosphate-linked moiety X motif 22</t>
  </si>
  <si>
    <t>Filamin A-interacting protein 1-like (Fragment)</t>
  </si>
  <si>
    <t>Ribonuclease P protein subunit p20 (Fragment)</t>
  </si>
  <si>
    <t>ADP-sugar pyrophosphatase (Fragment)</t>
  </si>
  <si>
    <t>ADP-ribosylation factor GTPase-activating protein 3</t>
  </si>
  <si>
    <t>Poly(rC)-binding protein 4 (Fragment)</t>
  </si>
  <si>
    <t>Ras association (RalGDS/AF-6) and pleckstrin homology domains 1, isoform CRA_b</t>
  </si>
  <si>
    <t>60S ribosomal protein L32 (Fragment)</t>
  </si>
  <si>
    <t>Protein KRI1 homolog</t>
  </si>
  <si>
    <t>PHD finger protein 20-like protein 1</t>
  </si>
  <si>
    <t>NADPH-dependent diflavin oxidoreductase 1</t>
  </si>
  <si>
    <t>28S ribosomal protein S36, mitochondrial</t>
  </si>
  <si>
    <t>Transcription factor RelB</t>
  </si>
  <si>
    <t>Meiotic nuclear division protein 1 homolog</t>
  </si>
  <si>
    <t>Myocyte-specific enhancer factor 2C</t>
  </si>
  <si>
    <t>Heterogeneous nuclear ribonucleoprotein A/B</t>
  </si>
  <si>
    <t>Centromere protein U (Fragment)</t>
  </si>
  <si>
    <t>DNA-directed RNA polymerase III subunit RPC7 (Fragment)</t>
  </si>
  <si>
    <t>Microtubule-associated protein 1B (Fragment)</t>
  </si>
  <si>
    <t>E3 ubiquitin-protein ligase SH3RF1 (Fragment)</t>
  </si>
  <si>
    <t>Docking protein 3</t>
  </si>
  <si>
    <t>60S ribosomal protein L9 (Fragment)</t>
  </si>
  <si>
    <t>Endonuclease 8-like 3</t>
  </si>
  <si>
    <t>CXXC-type zinc finger protein 5 (Fragment)</t>
  </si>
  <si>
    <t>OCIA domain-containing protein 1</t>
  </si>
  <si>
    <t>Syntaxin-18 (Fragment)</t>
  </si>
  <si>
    <t>Estradiol 17-beta-dehydrogenase 11</t>
  </si>
  <si>
    <t>E3 ubiquitin-protein ligase E3D</t>
  </si>
  <si>
    <t>40S ribosomal protein S23</t>
  </si>
  <si>
    <t>Ubiquitin-like-conjugating enzyme ATG10</t>
  </si>
  <si>
    <t>Alpha-L-iduronidase</t>
  </si>
  <si>
    <t>BRCA1-A complex subunit Abraxas</t>
  </si>
  <si>
    <t>Zinc finger protein 652</t>
  </si>
  <si>
    <t>Cytochrome b5 type B</t>
  </si>
  <si>
    <t>Septin 11, isoform CRA_b</t>
  </si>
  <si>
    <t>Ufm1-specific protease 2</t>
  </si>
  <si>
    <t>Centromere protein K</t>
  </si>
  <si>
    <t>Ribonuclease T2 (Fragment)</t>
  </si>
  <si>
    <t>Transcription initiation factor TFIID subunit 9 (Fragment)</t>
  </si>
  <si>
    <t>Major facilitator superfamily domain-containing protein 10</t>
  </si>
  <si>
    <t>Sorting nexin-14 (Fragment)</t>
  </si>
  <si>
    <t>Short transient receptor potential channel 4-associated protein</t>
  </si>
  <si>
    <t>Protein MMS22-like</t>
  </si>
  <si>
    <t>Geminin (Fragment)</t>
  </si>
  <si>
    <t>39S ribosomal protein L13, mitochondrial</t>
  </si>
  <si>
    <t>E3 SUMO-protein ligase NSE2</t>
  </si>
  <si>
    <t>Inositol monophosphatase 1 (Fragment)</t>
  </si>
  <si>
    <t>Transmembrane protein 232</t>
  </si>
  <si>
    <t>Copper transport protein ATOX1</t>
  </si>
  <si>
    <t>RWD domain-containing protein 1 (Fragment)</t>
  </si>
  <si>
    <t>Transcription elongation factor B polypeptide 1 (Fragment)</t>
  </si>
  <si>
    <t>Vinexin (Fragment)</t>
  </si>
  <si>
    <t>DNA repair and recombination protein RAD54B (Fragment)</t>
  </si>
  <si>
    <t>Presenilin-2 CTF subunit (Fragment)</t>
  </si>
  <si>
    <t>t-SNARE domain-containing protein 1</t>
  </si>
  <si>
    <t>Erlin-2 (Fragment)</t>
  </si>
  <si>
    <t>60S ribosomal protein L30 (Fragment)</t>
  </si>
  <si>
    <t>TELO2-interacting protein 2</t>
  </si>
  <si>
    <t>Coiled-coil-helix-coiled-coil-helix domain-containing protein 7 (Fragment)</t>
  </si>
  <si>
    <t>AP-3 complex subunit beta-1</t>
  </si>
  <si>
    <t>AN1-type zinc finger protein 1</t>
  </si>
  <si>
    <t>S-phase kinase-associated protein 1</t>
  </si>
  <si>
    <t>Serine/threonine-protein kinase Sgk3 (Fragment)</t>
  </si>
  <si>
    <t>Centrin-3</t>
  </si>
  <si>
    <t>COP9 signalosome complex subunit 6</t>
  </si>
  <si>
    <t>A-kinase anchor protein 10, mitochondrial (Fragment)</t>
  </si>
  <si>
    <t>Acid ceramidase</t>
  </si>
  <si>
    <t>UPF0361 protein C3orf37</t>
  </si>
  <si>
    <t>E3 ubiquitin-protein ligase UBR5</t>
  </si>
  <si>
    <t>Nicastrin</t>
  </si>
  <si>
    <t>Uncharacterized protein C12orf43</t>
  </si>
  <si>
    <t>Calcium-binding and coiled-coil domain-containing protein 2</t>
  </si>
  <si>
    <t>Nesprin-1</t>
  </si>
  <si>
    <t>E3 ubiquitin-protein ligase CBL-B</t>
  </si>
  <si>
    <t>Dynein heavy chain 9, axonemal</t>
  </si>
  <si>
    <t>60S ribosomal protein L14</t>
  </si>
  <si>
    <t>Target of Myb protein 1</t>
  </si>
  <si>
    <t>Inhibitor of Bruton tyrosine kinase</t>
  </si>
  <si>
    <t>Pyridoxal-dependent decarboxylase domain-containing protein 1</t>
  </si>
  <si>
    <t>Syntaxin-binding protein 4</t>
  </si>
  <si>
    <t>N-alpha-acetyltransferase 50</t>
  </si>
  <si>
    <t>Eukaryotic initiation factor 4A-II</t>
  </si>
  <si>
    <t>Gamma-tubulin complex component 6</t>
  </si>
  <si>
    <t>MKL/myocardin-like protein 1</t>
  </si>
  <si>
    <t>Endoplasmic reticulum metallopeptidase 1</t>
  </si>
  <si>
    <t>Microtubule-associated serine/threonine-protein kinase 2</t>
  </si>
  <si>
    <t>High mobility group protein B3 (Fragment)</t>
  </si>
  <si>
    <t>Exportin-7</t>
  </si>
  <si>
    <t>Ankyrin repeat domain-containing protein 26</t>
  </si>
  <si>
    <t>Protein NDRG1</t>
  </si>
  <si>
    <t>Inhibitor of growth protein 3</t>
  </si>
  <si>
    <t>U2 snRNP-associated SURP motif-containing protein</t>
  </si>
  <si>
    <t>TNFAIP3-interacting protein 1</t>
  </si>
  <si>
    <t>Methyl-CpG-binding domain protein 1</t>
  </si>
  <si>
    <t>Uncharacterized protein C1orf112</t>
  </si>
  <si>
    <t>RNA-binding motif, single-stranded-interacting protein 1</t>
  </si>
  <si>
    <t>Procollagen-lysine,2-oxoglutarate 5-dioxygenase 2</t>
  </si>
  <si>
    <t>Basic leucine zipper and W2 domain-containing protein 2 (Fragment)</t>
  </si>
  <si>
    <t>Protein CBFA2T3</t>
  </si>
  <si>
    <t>Casein kinase II subunit alpha</t>
  </si>
  <si>
    <t>Condensin-2 complex subunit G2</t>
  </si>
  <si>
    <t>Glucose-6-phosphate 1-dehydrogenase (Fragment)</t>
  </si>
  <si>
    <t>Nucleoporin p54</t>
  </si>
  <si>
    <t>Metastasis-associated protein MTA3</t>
  </si>
  <si>
    <t>ADP-ribosylation factor GTPase-activating protein 1</t>
  </si>
  <si>
    <t>Methyl-CpG-binding domain protein 1 (Fragment)</t>
  </si>
  <si>
    <t>Microtubule-associated protein</t>
  </si>
  <si>
    <t>Cytoplasmic FMR1-interacting protein 2</t>
  </si>
  <si>
    <t>NADPH--cytochrome P450 reductase</t>
  </si>
  <si>
    <t>Sal-like protein 2</t>
  </si>
  <si>
    <t>Septin-10</t>
  </si>
  <si>
    <t>Exocyst complex component 6</t>
  </si>
  <si>
    <t>Putative Polycomb group protein ASXL2</t>
  </si>
  <si>
    <t>Serine/threonine-protein kinase Nek4 (Fragment)</t>
  </si>
  <si>
    <t>Ribosomal protein L15 (Fragment)</t>
  </si>
  <si>
    <t>Ribonucleoprotein PTB-binding 1</t>
  </si>
  <si>
    <t>Pyruvate dehydrogenase protein X component, mitochondrial</t>
  </si>
  <si>
    <t>THO complex subunit 4</t>
  </si>
  <si>
    <t>Protein AF-10</t>
  </si>
  <si>
    <t>NACHT and WD repeat domain-containing protein 1</t>
  </si>
  <si>
    <t>CUGBP Elav-like family member 2</t>
  </si>
  <si>
    <t>Translation initiation factor eIF-2B subunit epsilon</t>
  </si>
  <si>
    <t>Protein SMG7</t>
  </si>
  <si>
    <t>Anaphase-promoting complex subunit 4</t>
  </si>
  <si>
    <t>Beta-glucuronidase</t>
  </si>
  <si>
    <t>Golgi SNAP receptor complex member 1</t>
  </si>
  <si>
    <t>Structural maintenance of chromosomes protein</t>
  </si>
  <si>
    <t>Cytoskeleton-associated protein 2</t>
  </si>
  <si>
    <t>Armadillo repeat protein deleted in velo-cardio-facial syndrome</t>
  </si>
  <si>
    <t>DNA-directed RNA polymerase I subunit RPA34</t>
  </si>
  <si>
    <t>Intraflagellar transport protein 122 homolog</t>
  </si>
  <si>
    <t>Putative E3 ubiquitin-protein ligase UNKL</t>
  </si>
  <si>
    <t>Islet cell autoantigen 1</t>
  </si>
  <si>
    <t>Nucleosome-remodeling factor subunit BPTF (Fragment)</t>
  </si>
  <si>
    <t>Cell division cycle-associated protein 2</t>
  </si>
  <si>
    <t>Protein diaphanous homolog 1</t>
  </si>
  <si>
    <t>Protein FAM193B</t>
  </si>
  <si>
    <t>Nuclear pore complex protein Nup155</t>
  </si>
  <si>
    <t>Acyl-CoA synthetase family member 2, mitochondrial</t>
  </si>
  <si>
    <t>Transducin beta-like protein 2</t>
  </si>
  <si>
    <t>Centrosomal protein of 192 kDa</t>
  </si>
  <si>
    <t>Nucleolar protein 14</t>
  </si>
  <si>
    <t>Serine/threonine-protein phosphatase 2A 56 kDa regulatory subunit delta isoform</t>
  </si>
  <si>
    <t>Centrosomal protein of 97 kDa</t>
  </si>
  <si>
    <t>Translin</t>
  </si>
  <si>
    <t>COP9 signalosome complex subunit 8</t>
  </si>
  <si>
    <t>Mediator of RNA polymerase II transcription subunit 22 (Fragment)</t>
  </si>
  <si>
    <t>Thioredoxin-dependent peroxide reductase, mitochondrial</t>
  </si>
  <si>
    <t>Tubulin polyglutamylase TTLL4</t>
  </si>
  <si>
    <t>Double-stranded RNA-binding protein Staufen homolog 2</t>
  </si>
  <si>
    <t>Tetranectin</t>
  </si>
  <si>
    <t>Probable leucine--tRNA ligase, mitochondrial</t>
  </si>
  <si>
    <t>Sperm-specific antigen 2</t>
  </si>
  <si>
    <t>Tyrosine-protein kinase Mer</t>
  </si>
  <si>
    <t>Band 4.1-like protein 2</t>
  </si>
  <si>
    <t>Transforming growth factor beta regulator 1</t>
  </si>
  <si>
    <t>Oxidoreductase HTATIP2</t>
  </si>
  <si>
    <t>G-protein-signaling modulator 3</t>
  </si>
  <si>
    <t>Splicing factor 3B subunit 2 (Fragment)</t>
  </si>
  <si>
    <t>Erythroid differentiation-related factor 1</t>
  </si>
  <si>
    <t>PHD and RING finger domain-containing protein 1</t>
  </si>
  <si>
    <t>UBX domain-containing protein 1 (Fragment)</t>
  </si>
  <si>
    <t>Cysteine and histidine-rich protein 1</t>
  </si>
  <si>
    <t>Breast cancer metastasis-suppressor 1 (Fragment)</t>
  </si>
  <si>
    <t>CD81 antigen</t>
  </si>
  <si>
    <t>C2 domain-containing protein 2-like</t>
  </si>
  <si>
    <t>Transcriptional enhancer factor TEF-1</t>
  </si>
  <si>
    <t>Sorting nexin-19</t>
  </si>
  <si>
    <t>Eukaryotic translation initiation factor 4 gamma 2 (Fragment)</t>
  </si>
  <si>
    <t>Protein arginine N-methyltransferase 1</t>
  </si>
  <si>
    <t>Tetratricopeptide repeat protein 9C (Fragment)</t>
  </si>
  <si>
    <t>60S ribosomal protein L8 (Fragment)</t>
  </si>
  <si>
    <t>Signal peptidase complex subunit 2</t>
  </si>
  <si>
    <t>Protein NEDD8-MDP1 (Fragment)</t>
  </si>
  <si>
    <t>Mitochondrial fission regulator 1-like</t>
  </si>
  <si>
    <t>Puromycin-sensitive aminopeptidase</t>
  </si>
  <si>
    <t>60S ribosomal protein L27a</t>
  </si>
  <si>
    <t>RING finger protein 141 (Fragment)</t>
  </si>
  <si>
    <t>Microtubule-actin cross-linking factor 1, isoforms 1/2/3/5 (Fragment)</t>
  </si>
  <si>
    <t>Small acidic protein (Fragment)</t>
  </si>
  <si>
    <t>Protein EMSY</t>
  </si>
  <si>
    <t>Upstream stimulatory factor 1 (Fragment)</t>
  </si>
  <si>
    <t>Baculoviral IAP repeat-containing protein 2</t>
  </si>
  <si>
    <t>Methylosome subunit pICln</t>
  </si>
  <si>
    <t>Protein FAM118B (Fragment)</t>
  </si>
  <si>
    <t>LIM domain only protein 7</t>
  </si>
  <si>
    <t>Receptor-binding cancer antigen-expressed on SiSo cells</t>
  </si>
  <si>
    <t>Malic enzyme (Fragment)</t>
  </si>
  <si>
    <t>CD59 glycoprotein</t>
  </si>
  <si>
    <t>Exophilin-5 (Fragment)</t>
  </si>
  <si>
    <t>Ribosomal RNA-processing protein 8</t>
  </si>
  <si>
    <t>Kelch repeat and BTB domain-containing protein 4</t>
  </si>
  <si>
    <t>Zinc finger protein-like 1 (Fragment)</t>
  </si>
  <si>
    <t>Growth arrest-specific protein 2 (Fragment)</t>
  </si>
  <si>
    <t>Lysosomal acid phosphatase</t>
  </si>
  <si>
    <t>Repressor of RNA polymerase III transcription MAF1 homolog (Fragment)</t>
  </si>
  <si>
    <t>Ribosomal protein S6 kinase</t>
  </si>
  <si>
    <t>WD repeat-containing protein 74</t>
  </si>
  <si>
    <t>Alpha-ketoglutarate-dependent dioxygenase alkB homolog 3 (Fragment)</t>
  </si>
  <si>
    <t>SCL-interrupting locus protein</t>
  </si>
  <si>
    <t>Constitutive coactivator of peroxisome proliferator-activated receptor gamma</t>
  </si>
  <si>
    <t>Ras GTPase-activating-like protein IQGAP3</t>
  </si>
  <si>
    <t>tRNA (guanine(10)-N2)-methyltransferase homolog</t>
  </si>
  <si>
    <t>Copine-1 (Fragment)</t>
  </si>
  <si>
    <t>FGGY carbohydrate kinase domain-containing protein</t>
  </si>
  <si>
    <t>Exportin-4</t>
  </si>
  <si>
    <t>Arrestin domain-containing protein 1</t>
  </si>
  <si>
    <t>General transcription factor IIH subunit 3 (Fragment)</t>
  </si>
  <si>
    <t>WASH complex subunit CCDC53</t>
  </si>
  <si>
    <t>Phosphatidylinositol 4-phosphate 3-kinase C2 domain-containing subunit beta</t>
  </si>
  <si>
    <t>Junction plakoglobin</t>
  </si>
  <si>
    <t>Serine/threonine-protein kinase WNK1</t>
  </si>
  <si>
    <t>Mothers against decapentaplegic homolog 5</t>
  </si>
  <si>
    <t>Protein FAM76B</t>
  </si>
  <si>
    <t>Calcium-binding mitochondrial carrier protein Aralar2</t>
  </si>
  <si>
    <t>Cell division cycle-associated protein 3</t>
  </si>
  <si>
    <t>Cytosine-specific methyltransferase</t>
  </si>
  <si>
    <t>Protein furry homolog-like</t>
  </si>
  <si>
    <t>Succinyl-CoA ligase [ADP-forming] subunit beta, mitochondrial</t>
  </si>
  <si>
    <t>A-kinase anchor protein 7 isoform gamma</t>
  </si>
  <si>
    <t>Arginyl-tRNA--protein transferase 1</t>
  </si>
  <si>
    <t>Tumor necrosis factor receptor superfamily member 3</t>
  </si>
  <si>
    <t>PCTP-like protein</t>
  </si>
  <si>
    <t>Prohibitin-2</t>
  </si>
  <si>
    <t>Low affinity immunoglobulin gamma Fc region receptor II-a</t>
  </si>
  <si>
    <t>Polypeptide N-acetylgalactosaminyltransferase 1 soluble form</t>
  </si>
  <si>
    <t>Uracil-DNA glycosylase</t>
  </si>
  <si>
    <t>Ribosomal protein S6 kinase alpha-3</t>
  </si>
  <si>
    <t>Ubiquitin thioesterase OTUB1</t>
  </si>
  <si>
    <t>Maestro heat-like repeat-containing protein family member 2B</t>
  </si>
  <si>
    <t>Paxillin</t>
  </si>
  <si>
    <t>FERM, RhoGEF and pleckstrin domain-containing protein 2</t>
  </si>
  <si>
    <t>Denticleless protein homolog</t>
  </si>
  <si>
    <t>Thiamin pyrophosphokinase 1</t>
  </si>
  <si>
    <t>L-lactate dehydrogenase A chain (Fragment)</t>
  </si>
  <si>
    <t>Sperm-associated antigen 5 (Fragment)</t>
  </si>
  <si>
    <t>Rho GTPase-activating protein 4</t>
  </si>
  <si>
    <t>Amyloid-like protein 2</t>
  </si>
  <si>
    <t>E3 ubiquitin-protein ligase TRIM21</t>
  </si>
  <si>
    <t>Steroid hormone receptor ERR1 (Fragment)</t>
  </si>
  <si>
    <t>Anaphase-promoting complex subunit 5</t>
  </si>
  <si>
    <t>Kinase suppressor of Ras 1</t>
  </si>
  <si>
    <t>SEC23-interacting protein</t>
  </si>
  <si>
    <t>CLK4-associating serine/arginine-rich protein</t>
  </si>
  <si>
    <t>Zinc finger protein 384 (Fragment)</t>
  </si>
  <si>
    <t>Thioredoxin reductase 2, mitochondrial</t>
  </si>
  <si>
    <t>Uncharacterized protein KIAA1211</t>
  </si>
  <si>
    <t>Malectin (Fragment)</t>
  </si>
  <si>
    <t>Lipopolysaccharide-responsive and beige-like anchor protein</t>
  </si>
  <si>
    <t>RAD51-associated protein 1</t>
  </si>
  <si>
    <t>Cyclin-dependent kinase inhibitor 3</t>
  </si>
  <si>
    <t>Glucosylceramidase</t>
  </si>
  <si>
    <t>Ankyrin repeat and LEM domain-containing protein 2</t>
  </si>
  <si>
    <t>Protein lunapark</t>
  </si>
  <si>
    <t>Pre-mRNA-splicing factor SYF1</t>
  </si>
  <si>
    <t>Protein transport protein Sec23A</t>
  </si>
  <si>
    <t>Protein AMN1 homolog</t>
  </si>
  <si>
    <t>Receptor-type tyrosine-protein phosphatase beta</t>
  </si>
  <si>
    <t>RPA-interacting protein</t>
  </si>
  <si>
    <t>Tumor susceptibility gene 101 protein</t>
  </si>
  <si>
    <t>Protein angel homolog 2</t>
  </si>
  <si>
    <t>Melanoma antigen preferentially-expressed in tumors</t>
  </si>
  <si>
    <t>Importin subunit alpha</t>
  </si>
  <si>
    <t>Peroxisomal membrane protein PEX14</t>
  </si>
  <si>
    <t>Vacuolar protein sorting-associated protein 37C (Fragment)</t>
  </si>
  <si>
    <t>Tight junction protein ZO-3</t>
  </si>
  <si>
    <t>Long-chain-fatty-acid--CoA ligase ACSBG1</t>
  </si>
  <si>
    <t>Zinc finger protein ZFPM2</t>
  </si>
  <si>
    <t>Protein Jumonji</t>
  </si>
  <si>
    <t>Mitogen-activated protein kinase kinase kinase kinase</t>
  </si>
  <si>
    <t>Nuclear pore complex protein Nup133</t>
  </si>
  <si>
    <t>NADH dehydrogenase [ubiquinone] iron-sulfur protein 7, mitochondrial</t>
  </si>
  <si>
    <t>ATP-dependent RNA helicase DDX55</t>
  </si>
  <si>
    <t>CLIP-associating protein 2</t>
  </si>
  <si>
    <t>Atlastin-3</t>
  </si>
  <si>
    <t>Bromodomain-containing protein 1</t>
  </si>
  <si>
    <t>Cyclin-dependent kinase 17</t>
  </si>
  <si>
    <t>39S ribosomal protein L48, mitochondrial</t>
  </si>
  <si>
    <t>Axin interactor, dorsalization-associated protein</t>
  </si>
  <si>
    <t>WW domain-binding protein 11</t>
  </si>
  <si>
    <t>Coiled-coil domain-containing protein 82 (Fragment)</t>
  </si>
  <si>
    <t>Microsomal glutathione S-transferase 1 (Fragment)</t>
  </si>
  <si>
    <t>GA-binding protein subunit beta-1</t>
  </si>
  <si>
    <t>2-oxoglutarate dehydrogenase, mitochondrial</t>
  </si>
  <si>
    <t>Type I inositol 3,4-bisphosphate 4-phosphatase</t>
  </si>
  <si>
    <t>Heat shock protein 75 kDa, mitochondrial</t>
  </si>
  <si>
    <t>Mevalonate kinase</t>
  </si>
  <si>
    <t>Epsin-2 (Fragment)</t>
  </si>
  <si>
    <t>Nuclear pore complex protein Nup153</t>
  </si>
  <si>
    <t>Probable global transcription activator SNF2L1 (Fragment)</t>
  </si>
  <si>
    <t>Large proline-rich protein BAG6 (Fragment)</t>
  </si>
  <si>
    <t>Calcineurin subunit B type 1</t>
  </si>
  <si>
    <t>Galectin-8</t>
  </si>
  <si>
    <t>Tumor protein D53</t>
  </si>
  <si>
    <t>Integrin-alpha FG-GAP repeat-containing protein 2</t>
  </si>
  <si>
    <t>Eukaryotic translation initiation factor 4B (Fragment)</t>
  </si>
  <si>
    <t>DNA fragmentation factor subunit beta</t>
  </si>
  <si>
    <t>Zinc finger protein Eos</t>
  </si>
  <si>
    <t>Methyltransferase-like protein 7A (Fragment)</t>
  </si>
  <si>
    <t>Spermatogenesis-associated serine-rich protein 2</t>
  </si>
  <si>
    <t>Serine/threonine-protein kinase Nek3</t>
  </si>
  <si>
    <t>Nuclear transcription factor Y subunit beta (Fragment)</t>
  </si>
  <si>
    <t>Plexin-A1</t>
  </si>
  <si>
    <t>DAZ-associated protein 2</t>
  </si>
  <si>
    <t>CCR4-NOT transcription complex subunit 2 (Fragment)</t>
  </si>
  <si>
    <t>Nucleosome assembly protein 1-like 1</t>
  </si>
  <si>
    <t>Protein MON2 homolog</t>
  </si>
  <si>
    <t>Dystrophin</t>
  </si>
  <si>
    <t>Nucleosome assembly protein 1-like 1 (Fragment)</t>
  </si>
  <si>
    <t>Nascent polypeptide-associated complex subunit alpha</t>
  </si>
  <si>
    <t>Chromatin complexes subunit BAP18</t>
  </si>
  <si>
    <t>Adenylate kinase 2, mitochondrial</t>
  </si>
  <si>
    <t>Acyl-CoA dehydrogenase family member 10</t>
  </si>
  <si>
    <t>Transcription factor NF-E2 45 kDa subunit (Fragment)</t>
  </si>
  <si>
    <t>TGF-beta receptor type-1</t>
  </si>
  <si>
    <t>Pleckstrin homology domain-containing family M member 1</t>
  </si>
  <si>
    <t>E3 ubiquitin-protein ligase RNF216</t>
  </si>
  <si>
    <t>Transducin-like enhancer protein 4</t>
  </si>
  <si>
    <t>Golgi integral membrane protein 4</t>
  </si>
  <si>
    <t>60S ribosomal protein L10</t>
  </si>
  <si>
    <t>YTH domain family protein 1</t>
  </si>
  <si>
    <t>Ras-related protein Rab-24</t>
  </si>
  <si>
    <t>Nucleolysin TIA-1 isoform p40</t>
  </si>
  <si>
    <t>Transducin-like enhancer protein 3</t>
  </si>
  <si>
    <t>Serine/threonine-protein kinase WNK2</t>
  </si>
  <si>
    <t>Mediator of RNA polymerase II transcription subunit 24</t>
  </si>
  <si>
    <t>G protein-coupled receptor kinase 6</t>
  </si>
  <si>
    <t>Coiled-coil domain-containing protein 93</t>
  </si>
  <si>
    <t>Probable E3 ubiquitin-protein ligase MYCBP2</t>
  </si>
  <si>
    <t>Calponin-3</t>
  </si>
  <si>
    <t>Cohesin subunit SA-2</t>
  </si>
  <si>
    <t>Reticulon-4</t>
  </si>
  <si>
    <t>NADH dehydrogenase [ubiquinone] 1 alpha subcomplex subunit 5</t>
  </si>
  <si>
    <t>Ataxin-2</t>
  </si>
  <si>
    <t>RNA-binding protein PNO1</t>
  </si>
  <si>
    <t>39S ribosomal protein L40, mitochondrial</t>
  </si>
  <si>
    <t>60S ribosomal protein L35a</t>
  </si>
  <si>
    <t>Protein SFI1 homolog</t>
  </si>
  <si>
    <t>SAC3 domain-containing protein 1</t>
  </si>
  <si>
    <t>E3 ubiquitin-protein ligase RNF149</t>
  </si>
  <si>
    <t>Helicase SKI2W</t>
  </si>
  <si>
    <t>AN1-type zinc finger protein 2B</t>
  </si>
  <si>
    <t>COBW domain-containing protein 2</t>
  </si>
  <si>
    <t>Interferon-inducible double stranded RNA-dependent protein kinase activator A</t>
  </si>
  <si>
    <t>Translocation protein SEC62</t>
  </si>
  <si>
    <t>Cleavage and polyadenylation-specificity factor subunit 6</t>
  </si>
  <si>
    <t>ALS2 C-terminal like, isoform CRA_b</t>
  </si>
  <si>
    <t>Processed sterol regulatory element-binding protein 2</t>
  </si>
  <si>
    <t>Lin-7 homolog C (C. elegans), isoform CRA_b</t>
  </si>
  <si>
    <t>Transcription factor 8 (Represses interleukin 2 expression), isoform CRA_b</t>
  </si>
  <si>
    <t>Inositol-3-phosphate synthase 1</t>
  </si>
  <si>
    <t>Activating transcription factor 7 interacting protein, isoform CRA_f</t>
  </si>
  <si>
    <t>ARP6 actin-related protein 6 homolog (Yeast), isoform CRA_d</t>
  </si>
  <si>
    <t>60S ribosomal protein L18</t>
  </si>
  <si>
    <t>C-1-tetrahydrofolate synthase, cytoplasmic</t>
  </si>
  <si>
    <t>Acylphosphatase</t>
  </si>
  <si>
    <t>Zinc finger protein 410 (Fragment)</t>
  </si>
  <si>
    <t>Alpha-1-antichymotrypsin</t>
  </si>
  <si>
    <t>SNW domain-containing protein 1</t>
  </si>
  <si>
    <t>DDB1- and CUL4-associated factor 8</t>
  </si>
  <si>
    <t>NF-kappa-B inhibitor alpha</t>
  </si>
  <si>
    <t>Ataxin-3 (Fragment)</t>
  </si>
  <si>
    <t>Heterogeneous nuclear ribonucleoproteins C1/C2</t>
  </si>
  <si>
    <t>Protein farnesyltransferase subunit beta</t>
  </si>
  <si>
    <t>AP-4 complex subunit sigma-1 (Fragment)</t>
  </si>
  <si>
    <t>Heterogeneous nuclear ribonucleoproteins C1/C2 (Fragment)</t>
  </si>
  <si>
    <t>ATP-dependent RNA helicase DDX24</t>
  </si>
  <si>
    <t>cTAGE family member 5</t>
  </si>
  <si>
    <t>Maleylacetoacetate isomerase</t>
  </si>
  <si>
    <t>Nuclear export mediator factor NEMF (Fragment)</t>
  </si>
  <si>
    <t>Methionine aminopeptidase</t>
  </si>
  <si>
    <t>AT rich interactive domain 1B (SWI1-like), isoform CRA_a</t>
  </si>
  <si>
    <t>HCG2002594, isoform CRA_c</t>
  </si>
  <si>
    <t>Protein FAM133B</t>
  </si>
  <si>
    <t>Solute carrier family 12 (Sodium/potassium/chloride transporters), member 2, isoform CRA_a</t>
  </si>
  <si>
    <t>Mitogen-activated protein kinase kinase kinase kinase 4</t>
  </si>
  <si>
    <t>Myotubularin related protein 3, isoform CRA_e</t>
  </si>
  <si>
    <t>Dystrophia myotonica WD repeat-containing protein</t>
  </si>
  <si>
    <t>TCF3 (E2A) fusion partner (In childhood Leukemia), isoform CRA_b</t>
  </si>
  <si>
    <t>Son of sevenless homolog 1</t>
  </si>
  <si>
    <t>Calcineurin binding protein 1, isoform CRA_b</t>
  </si>
  <si>
    <t>HCG21296, isoform CRA_c</t>
  </si>
  <si>
    <t>HCG1647660, isoform CRA_a</t>
  </si>
  <si>
    <t>Protein disulfide isomerase family A, member 3, isoform CRA_b</t>
  </si>
  <si>
    <t>Cordon-bleu protein-like 1</t>
  </si>
  <si>
    <t>MAU2 chromatid cohesion factor homolog</t>
  </si>
  <si>
    <t>G/T mismatch-specific thymine DNA glycosylase</t>
  </si>
  <si>
    <t>tRNA pseudouridine synthase (Fragment)</t>
  </si>
  <si>
    <t>TIMELESS-interacting protein</t>
  </si>
  <si>
    <t>M-phase inducer phosphatase 2</t>
  </si>
  <si>
    <t>WD repeat domain phosphoinositide-interacting protein 4</t>
  </si>
  <si>
    <t>Vesicle transport protein USE1</t>
  </si>
  <si>
    <t>Phosphofurin acidic cluster sorting protein 2</t>
  </si>
  <si>
    <t>Lysosomal thioesterase PPT2 (Fragment)</t>
  </si>
  <si>
    <t>Myosin phosphatase Rho-interacting protein (Fragment)</t>
  </si>
  <si>
    <t>60S ribosomal protein L35 (Fragment)</t>
  </si>
  <si>
    <t>Actin-binding LIM protein 1</t>
  </si>
  <si>
    <t>Histone lysine demethylase PHF8 (Fragment)</t>
  </si>
  <si>
    <t>Eukaryotic translation initiation factor 4 gamma 2</t>
  </si>
  <si>
    <t>SET domain-containing protein 5 (Fragment)</t>
  </si>
  <si>
    <t>Uncharacterized protein C7orf43 (Fragment)</t>
  </si>
  <si>
    <t>Nuclear receptor corepressor 1 (Fragment)</t>
  </si>
  <si>
    <t>ER degradation-enhancing alpha-mannosidase-like protein 3 (Fragment)</t>
  </si>
  <si>
    <t>Inosine-5-monophosphate dehydrogenase 2 (Fragment)</t>
  </si>
  <si>
    <t>La-related protein 4B (Fragment)</t>
  </si>
  <si>
    <t>Probable phospholipid-transporting ATPase IH (Fragment)</t>
  </si>
  <si>
    <t>Arginyl-tRNA--protein transferase 1 (Fragment)</t>
  </si>
  <si>
    <t>Prolyl endopeptidase (Fragment)</t>
  </si>
  <si>
    <t>Pyrroline-5-carboxylate reductase 3 (Fragment)</t>
  </si>
  <si>
    <t>U3 small nucleolar ribonucleoprotein protein IMP4 (Fragment)</t>
  </si>
  <si>
    <t>AT-rich interactive domain-containing protein 1B (Fragment)</t>
  </si>
  <si>
    <t>Ugl-Y3 (Fragment)</t>
  </si>
  <si>
    <t>Probable E3 ubiquitin-protein ligase HERC3 (Fragment)</t>
  </si>
  <si>
    <t>2-deoxynucleoside 5-phosphate N-hydrolase 1 (Fragment)</t>
  </si>
  <si>
    <t>Rap guanine nucleotide exchange factor 2 (Fragment)</t>
  </si>
  <si>
    <t>Inositol hexakisphosphate and diphosphoinositol-pentakisphosphate kinase 2 (Fragment)</t>
  </si>
  <si>
    <t>Pterin-4-alpha-carbinolamine dehydratase 2 (Fragment)</t>
  </si>
  <si>
    <t>RNA-binding protein 24 (Fragment)</t>
  </si>
  <si>
    <t>Epididymis-specific alpha-mannosidase (Fragment)</t>
  </si>
  <si>
    <t>Ubiquitin-conjugating enzyme E2 B (Fragment)</t>
  </si>
  <si>
    <t>Treacle protein (Fragment)</t>
  </si>
  <si>
    <t>Spermatogenesis-associated protein 24 (Fragment)</t>
  </si>
  <si>
    <t>UPF0461 protein C5orf24 (Fragment)</t>
  </si>
  <si>
    <t>Amyloid beta A4 precursor protein-binding family B member 2 (Fragment)</t>
  </si>
  <si>
    <t>Cadherin-18 (Fragment)</t>
  </si>
  <si>
    <t>Putative hydroxypyruvate isomerase (Fragment)</t>
  </si>
  <si>
    <t>Myc proto-oncogene protein (Fragment)</t>
  </si>
  <si>
    <t>Protein LYRIC (Fragment)</t>
  </si>
  <si>
    <t>Cyclin-C (Fragment)</t>
  </si>
  <si>
    <t>39S ribosomal protein L43, mitochondrial (Fragment)</t>
  </si>
  <si>
    <t>Mitochondrial fission regulator 1 (Fragment)</t>
  </si>
  <si>
    <t>Transgelin (Fragment)</t>
  </si>
  <si>
    <t>Pleckstrin homology domain-containing family A member 7 (Fragment)</t>
  </si>
  <si>
    <t>Protein scribble homolog (Fragment)</t>
  </si>
  <si>
    <t>Probable tRNA (uracil-O(2)-)-methyltransferase (Fragment)</t>
  </si>
  <si>
    <t>Serine/threonine-protein phosphatase (Fragment)</t>
  </si>
  <si>
    <t>Selenoprotein H (Fragment)</t>
  </si>
  <si>
    <t>7-dehydrocholesterol reductase (Fragment)</t>
  </si>
  <si>
    <t>Activating signal cointegrator 1 complex subunit 1 (Fragment)</t>
  </si>
  <si>
    <t>Sjoegren syndrome/scleroderma autoantigen 1 (Fragment)</t>
  </si>
  <si>
    <t>RNA-binding protein 40 (Fragment)</t>
  </si>
  <si>
    <t>Ribonuclease H2 subunit C (Fragment)</t>
  </si>
  <si>
    <t>Gem-associated protein 2 (Fragment)</t>
  </si>
  <si>
    <t>Plakophilin-4 (Fragment)</t>
  </si>
  <si>
    <t>Nuclear mitotic apparatus protein 1 (Fragment)</t>
  </si>
  <si>
    <t>Oligoribonuclease, mitochondrial (Fragment)</t>
  </si>
  <si>
    <t>F-box only protein 21 (Fragment)</t>
  </si>
  <si>
    <t>Uncharacterized protein C14orf142 (Fragment)</t>
  </si>
  <si>
    <t>Centrosomal protein of 128 kDa (Fragment)</t>
  </si>
  <si>
    <t>PCNA-associated factor</t>
  </si>
  <si>
    <t>Protein regulator of cytokinesis 1 (Fragment)</t>
  </si>
  <si>
    <t>POU domain, class 2, transcription factor 1</t>
  </si>
  <si>
    <t>Beta-2-microglobulin form pI 5.3 (Fragment)</t>
  </si>
  <si>
    <t>Transient receptor potential cation channel subfamily M member 7</t>
  </si>
  <si>
    <t>DNA-binding protein RFX7</t>
  </si>
  <si>
    <t>Ankyrin repeat domain-containing protein 17 (Fragment)</t>
  </si>
  <si>
    <t>GMP reductase 2</t>
  </si>
  <si>
    <t>Glycine amidinotransferase, mitochondrial (Fragment)</t>
  </si>
  <si>
    <t>Uncharacterized protein C15orf57 (Fragment)</t>
  </si>
  <si>
    <t>Ras-related protein Rab-8B (Fragment)</t>
  </si>
  <si>
    <t>Signal peptidase complex catalytic subunit SEC11A</t>
  </si>
  <si>
    <t>Uveal autoantigen with coiled-coil domains and ankyrin repeats</t>
  </si>
  <si>
    <t>Bloom syndrome protein</t>
  </si>
  <si>
    <t>Complement decay-accelerating factor (Fragment)</t>
  </si>
  <si>
    <t>Nucleolar protein 3 (Fragment)</t>
  </si>
  <si>
    <t>AKT-interacting protein (Fragment)</t>
  </si>
  <si>
    <t>Uncharacterized protein C15orf39 (Fragment)</t>
  </si>
  <si>
    <t>M-phase phosphoprotein 6</t>
  </si>
  <si>
    <t>Mannose-6-phosphate isomerase</t>
  </si>
  <si>
    <t>Microtubule-actin cross-linking factor 1, isoforms 1/2/3/5</t>
  </si>
  <si>
    <t>Zinc finger protein 276 (Fragment)</t>
  </si>
  <si>
    <t>Hydroxyacylglutathione hydrolase, mitochondrial (Fragment)</t>
  </si>
  <si>
    <t>Oral cancer-overexpressed protein 1 (Fragment)</t>
  </si>
  <si>
    <t>Fructose-bisphosphate aldolase A (Fragment)</t>
  </si>
  <si>
    <t>snRNA-activating protein complex subunit 5</t>
  </si>
  <si>
    <t>HCG2044799</t>
  </si>
  <si>
    <t>Zinc finger FYVE domain-containing protein 19</t>
  </si>
  <si>
    <t>Ubiquitin domain-containing protein UBFD1</t>
  </si>
  <si>
    <t>Eukaryotic translation initiation factor 3 subunit C</t>
  </si>
  <si>
    <t>Ubiquitin carboxyl-terminal hydrolase CYLD</t>
  </si>
  <si>
    <t>Ras-related protein Rab-11A</t>
  </si>
  <si>
    <t>Biogenesis of lysosome-related organelles complex 1 subunit 6</t>
  </si>
  <si>
    <t>Target of rapamycin complex subunit LST8 (Fragment)</t>
  </si>
  <si>
    <t>Cyclin-dependent kinase 10 (Fragment)</t>
  </si>
  <si>
    <t>Probable glutamate--tRNA ligase, mitochondrial</t>
  </si>
  <si>
    <t>Microtubule-associated protein 1 light chain 3 beta, isoform CRA_f</t>
  </si>
  <si>
    <t>Homocysteine-responsive endoplasmic reticulum-resident ubiquitin-like domain member 1 protein (Fragment)</t>
  </si>
  <si>
    <t>ADP-ribosylation factor-like protein 2-binding protein</t>
  </si>
  <si>
    <t>Neuroplastin</t>
  </si>
  <si>
    <t>Ataxin-2-like protein</t>
  </si>
  <si>
    <t>Transcription factor E4F1</t>
  </si>
  <si>
    <t>2-oxoglutarate and iron-dependent oxygenase domain-containing protein 1</t>
  </si>
  <si>
    <t>RNA-binding protein with serine-rich domain 1</t>
  </si>
  <si>
    <t>GABARAP-a</t>
  </si>
  <si>
    <t>Grancalcin</t>
  </si>
  <si>
    <t>Histone deacetylase complex subunit SAP130</t>
  </si>
  <si>
    <t>Nitrogen permease regulator 3-like protein</t>
  </si>
  <si>
    <t>Serine/threonine-protein phosphatase 6 regulatory subunit 3</t>
  </si>
  <si>
    <t>Extended synaptotagmin-2 (Fragment)</t>
  </si>
  <si>
    <t>DNA excision repair protein ERCC-6-like 2 (Fragment)</t>
  </si>
  <si>
    <t>Fibroblast growth factor receptor 2 (Fragment)</t>
  </si>
  <si>
    <t>Kalirin (Fragment)</t>
  </si>
  <si>
    <t>RNA-binding protein EWS (Fragment)</t>
  </si>
  <si>
    <t>Cohesin subunit SA-3</t>
  </si>
  <si>
    <t>Kinesin-like protein KIF23</t>
  </si>
  <si>
    <t>Tropomyosin 1 (Alpha), isoform CRA_m</t>
  </si>
  <si>
    <t>Thioredoxin (Fragment)</t>
  </si>
  <si>
    <t>DnaJ homolog subfamily B member 14 (Fragment)</t>
  </si>
  <si>
    <t>Uncharacterized protein (Fragment)</t>
  </si>
  <si>
    <t>Chromodomain-helicase-DNA-binding protein 3 (Fragment)</t>
  </si>
  <si>
    <t>Tripartite motif-containing protein 5 (Fragment)</t>
  </si>
  <si>
    <t>Alpha-actinin-4 (Fragment)</t>
  </si>
  <si>
    <t>Protein downstream neighbor of Son (Fragment)</t>
  </si>
  <si>
    <t>E3 ubiquitin-protein ligase FANCL (Fragment)</t>
  </si>
  <si>
    <t>Deoxynucleotidyltransferase terminal-interacting protein 1 (Fragment)</t>
  </si>
  <si>
    <t>Protein cordon-bleu (Fragment)</t>
  </si>
  <si>
    <t>Coiled-coil and C2 domain-containing protein 1B (Fragment)</t>
  </si>
  <si>
    <t>Isocitrate dehydrogenase [NAD] subunit gamma, mitochondrial (Fragment)</t>
  </si>
  <si>
    <t>Major facilitator superfamily domain-containing protein 6 (Fragment)</t>
  </si>
  <si>
    <t>Ecto-ADP-ribosyltransferase 4 (Fragment)</t>
  </si>
  <si>
    <t>Renin receptor (Fragment)</t>
  </si>
  <si>
    <t>Glucosamine (N-acetyl)-6-sulfatase (Sanfilippo disease IIID), isoform CRA_b</t>
  </si>
  <si>
    <t>Mitochondrial inner membrane protein (Fragment)</t>
  </si>
  <si>
    <t>Glycosylphosphatidylinositol-anchored high density lipoprotein-binding protein 1 (Fragment)</t>
  </si>
  <si>
    <t>Fragile X mental retardation syndrome-related protein 1 (Fragment)</t>
  </si>
  <si>
    <t>Poly [ADP-ribose] polymerase 14 (Fragment)</t>
  </si>
  <si>
    <t>Steroidogenic factor 1 (Fragment)</t>
  </si>
  <si>
    <t>Frataxin, mitochondrial (Fragment)</t>
  </si>
  <si>
    <t>Leucine-rich repeat and calponin homology domain-containing protein 4 (Fragment)</t>
  </si>
  <si>
    <t>Transcription factor SPT20 homolog (Fragment)</t>
  </si>
  <si>
    <t>Probable E3 ubiquitin-protein ligase RNF217</t>
  </si>
  <si>
    <t>PWWP domain-containing protein 2B</t>
  </si>
  <si>
    <t>Trinucleotide repeat-containing gene 18 protein</t>
  </si>
  <si>
    <t>GA binding protein transcription factor beta subunit 1 transcript variant gamma-2</t>
  </si>
  <si>
    <t>Neuralized-like protein 4 (Fragment)</t>
  </si>
  <si>
    <t>Diphthamide biosynthesis protein 1 (Fragment)</t>
  </si>
  <si>
    <t>Myosin light chain 4 (Fragment)</t>
  </si>
  <si>
    <t>Elongator complex protein 5 (Fragment)</t>
  </si>
  <si>
    <t>HCG30384, isoform CRA_d</t>
  </si>
  <si>
    <t>Clustered mitochondria protein homolog</t>
  </si>
  <si>
    <t>Gem-associated protein 4</t>
  </si>
  <si>
    <t>Protein capicua homolog</t>
  </si>
  <si>
    <t>Protein FAM195B</t>
  </si>
  <si>
    <t>Segment polarity protein dishevelled homolog DVL-2</t>
  </si>
  <si>
    <t>Charged multivesicular body protein 6 (Fragment)</t>
  </si>
  <si>
    <t>40S ribosomal protein S15a</t>
  </si>
  <si>
    <t>Trafficking protein particle complex subunit 1 (Fragment)</t>
  </si>
  <si>
    <t>G1/S-specific cyclin-E1 (Fragment)</t>
  </si>
  <si>
    <t>Heme oxygenase 2</t>
  </si>
  <si>
    <t>Sperm-associated antigen 7</t>
  </si>
  <si>
    <t>NF-kappa-B inhibitor beta (Fragment)</t>
  </si>
  <si>
    <t>Acyl carrier protein (Fragment)</t>
  </si>
  <si>
    <t>TOM1-like protein 1</t>
  </si>
  <si>
    <t>Ankyrin-2</t>
  </si>
  <si>
    <t>Epididymal secretory protein E1</t>
  </si>
  <si>
    <t>Integrator complex subunit 2</t>
  </si>
  <si>
    <t>Afadin</t>
  </si>
  <si>
    <t>Galactocerebrosidase</t>
  </si>
  <si>
    <t>Fibrosin-1-like protein</t>
  </si>
  <si>
    <t>26S proteasome non-ATPase regulatory subunit 9</t>
  </si>
  <si>
    <t>Centlein</t>
  </si>
  <si>
    <t>Torsin-1A-interacting protein 1</t>
  </si>
  <si>
    <t>Transcription cofactor vestigial-like protein 4</t>
  </si>
  <si>
    <t>Serine/threonine-protein phosphatase 6 regulatory ankyrin repeat subunit B</t>
  </si>
  <si>
    <t>Mitogen-activated protein kinase kinase kinase 4</t>
  </si>
  <si>
    <t>Protein SAAL1</t>
  </si>
  <si>
    <t>Copper chaperone for superoxide dismutase</t>
  </si>
  <si>
    <t>Folliculin-interacting protein 1</t>
  </si>
  <si>
    <t>Sentrin-specific protease 3</t>
  </si>
  <si>
    <t>Serine/threonine-protein kinase BRSK1</t>
  </si>
  <si>
    <t>Protein transport protein Sec16A</t>
  </si>
  <si>
    <t>Zinc finger FYVE domain-containing protein 1</t>
  </si>
  <si>
    <t>YY1-associated factor 2</t>
  </si>
  <si>
    <t>BRCA1-associated protein</t>
  </si>
  <si>
    <t>Methylmalonate-semialdehyde dehydrogenase [acylating], mitochondrial</t>
  </si>
  <si>
    <t>Zinc finger protein 292</t>
  </si>
  <si>
    <t>PWWP domain-containing protein MUM1</t>
  </si>
  <si>
    <t>Probable fibrosin-1</t>
  </si>
  <si>
    <t>Signal-induced proliferation-associated 1-like protein 1</t>
  </si>
  <si>
    <t>Receptor-type tyrosine-protein phosphatase alpha</t>
  </si>
  <si>
    <t>Deoxynucleotidyltransferase terminal-interacting protein 2</t>
  </si>
  <si>
    <t>WASH complex subunit FAM21C</t>
  </si>
  <si>
    <t>Prospero homeobox protein 1</t>
  </si>
  <si>
    <t>Synaptojanin-1</t>
  </si>
  <si>
    <t>Protein FAM83H (Fragment)</t>
  </si>
  <si>
    <t>Dipeptidyl peptidase 8</t>
  </si>
  <si>
    <t>Sulfurtransferase</t>
  </si>
  <si>
    <t>COP9 signalosome complex subunit 7b</t>
  </si>
  <si>
    <t>Sentrin-specific protease 2</t>
  </si>
  <si>
    <t>Cell division cycle 7-related protein kinase</t>
  </si>
  <si>
    <t>BRISC and BRCA1-A complex member 1</t>
  </si>
  <si>
    <t>Protein cramped-like</t>
  </si>
  <si>
    <t>Protein SSXT</t>
  </si>
  <si>
    <t>MIF4G domain-containing protein</t>
  </si>
  <si>
    <t>DNA polymerase iota</t>
  </si>
  <si>
    <t>Mitochondrial Rho GTPase 1</t>
  </si>
  <si>
    <t>Hematological and neurological-expressed 1 protein</t>
  </si>
  <si>
    <t>Rho GDP-dissociation inhibitor 1 (Fragment)</t>
  </si>
  <si>
    <t>Bromodomain adjacent to zinc finger domain protein 2A</t>
  </si>
  <si>
    <t>28S ribosomal protein S7, mitochondrial</t>
  </si>
  <si>
    <t>V-type proton ATPase subunit d 1 (Fragment)</t>
  </si>
  <si>
    <t>Protein SCO1 homolog, mitochondrial</t>
  </si>
  <si>
    <t>Flotillin-2</t>
  </si>
  <si>
    <t>Dynein heavy chain 9, axonemal (Fragment)</t>
  </si>
  <si>
    <t>Aurora kinase B (Fragment)</t>
  </si>
  <si>
    <t>Trafficking protein particle complex subunit 8</t>
  </si>
  <si>
    <t>60S ribosomal protein L17 (Fragment)</t>
  </si>
  <si>
    <t>Polycomb protein SUZ12</t>
  </si>
  <si>
    <t>Male-specific lethal 1 homolog</t>
  </si>
  <si>
    <t>Ribosomal protein L19</t>
  </si>
  <si>
    <t>Myotubularin-related protein 4</t>
  </si>
  <si>
    <t>Unconventional myosin-Id</t>
  </si>
  <si>
    <t>Vascular endothelial zinc finger 1</t>
  </si>
  <si>
    <t>Mitotic checkpoint protein BUB3 (Fragment)</t>
  </si>
  <si>
    <t>Nuclear distribution protein nudE-like 1</t>
  </si>
  <si>
    <t>Microtubule-associated serine/threonine-protein kinase 4</t>
  </si>
  <si>
    <t>Stimulator of interferon genes protein (Fragment)</t>
  </si>
  <si>
    <t>Coiled-coil-helix-coiled-coil-helix domain-containing protein 6, mitochondrial</t>
  </si>
  <si>
    <t>Dynein heavy chain 12, axonemal</t>
  </si>
  <si>
    <t>RANBP2-like and GRIP domain-containing protein 2</t>
  </si>
  <si>
    <t>Protein Njmu-R1</t>
  </si>
  <si>
    <t>RWD domain containing 4A</t>
  </si>
  <si>
    <t>WW domain-binding protein 2 (Fragment)</t>
  </si>
  <si>
    <t>Protein syndesmos (Fragment)</t>
  </si>
  <si>
    <t>Tartrate-resistant acid phosphatase type 5 (Fragment)</t>
  </si>
  <si>
    <t>Mothers against decapentaplegic homolog 4</t>
  </si>
  <si>
    <t>SEC14-like protein 1 (Fragment)</t>
  </si>
  <si>
    <t>Sphingosine kinase 1 (Fragment)</t>
  </si>
  <si>
    <t>Cysteine protease ATG4D (Fragment)</t>
  </si>
  <si>
    <t>Signal peptidase complex catalytic subunit SEC11C</t>
  </si>
  <si>
    <t>Kunitz-type protease inhibitor 2 (Fragment)</t>
  </si>
  <si>
    <t>Histone H3 (Fragment)</t>
  </si>
  <si>
    <t>Signal transducer and activator of transcription 5A</t>
  </si>
  <si>
    <t>Lon protease homolog, mitochondrial</t>
  </si>
  <si>
    <t>Ataxin-7-like protein 3 (Fragment)</t>
  </si>
  <si>
    <t>Dedicator of cytokinesis protein 6 (Fragment)</t>
  </si>
  <si>
    <t>Hsp90 co-chaperone Cdc37 (Fragment)</t>
  </si>
  <si>
    <t>Protein phosphatase 1 regulatory subunit 12C (Fragment)</t>
  </si>
  <si>
    <t>40S ribosomal protein S15</t>
  </si>
  <si>
    <t>Polypyrimidine tract-binding protein 1 (Fragment)</t>
  </si>
  <si>
    <t>WD repeat domain phosphoinositide-interacting protein 1 (Fragment)</t>
  </si>
  <si>
    <t>Katanin p60 ATPase-containing subunit A-like 2 (Fragment)</t>
  </si>
  <si>
    <t>Transmembrane protein 205 (Fragment)</t>
  </si>
  <si>
    <t>UBA-like domain-containing protein 1</t>
  </si>
  <si>
    <t>Nicalin</t>
  </si>
  <si>
    <t>Kinetochore protein Spc24 (Fragment)</t>
  </si>
  <si>
    <t>Uncharacterized protein C19orf57</t>
  </si>
  <si>
    <t>Transcription elongation factor 1 homolog</t>
  </si>
  <si>
    <t>HCG2039718, isoform CRA_g</t>
  </si>
  <si>
    <t>Asparagine--tRNA ligase, cytoplasmic</t>
  </si>
  <si>
    <t>UV excision repair protein RAD23 homolog A</t>
  </si>
  <si>
    <t>Uncharacterized protein C18orf8</t>
  </si>
  <si>
    <t>DNA (cytosine-5)-methyltransferase 1 (Fragment)</t>
  </si>
  <si>
    <t>ETS domain-containing protein Elk-1</t>
  </si>
  <si>
    <t>Proteasome assembly chaperone 2</t>
  </si>
  <si>
    <t>Uncharacterized protein C19orf55</t>
  </si>
  <si>
    <t>Protein C19orf12 (Fragment)</t>
  </si>
  <si>
    <t>Nuclear factor 1 X-type</t>
  </si>
  <si>
    <t>Glutaminyl-peptide cyclotransferase-like protein (Fragment)</t>
  </si>
  <si>
    <t>Scaffold attachment factor B2 (Fragment)</t>
  </si>
  <si>
    <t>Zinc finger protein 700</t>
  </si>
  <si>
    <t>Tropomyosin alpha-4 chain (Fragment)</t>
  </si>
  <si>
    <t>Matrix-remodeling-associated protein 7</t>
  </si>
  <si>
    <t>CpG-binding protein (Fragment)</t>
  </si>
  <si>
    <t>Eukaryotic translation initiation factor 3 subunit K</t>
  </si>
  <si>
    <t>Truncated apolipoprotein C-I (Fragment)</t>
  </si>
  <si>
    <t>Ubiquitin-conjugating enzyme E2 O (Fragment)</t>
  </si>
  <si>
    <t>Protein FAM86A</t>
  </si>
  <si>
    <t>Dynamin-2</t>
  </si>
  <si>
    <t>Serine--tRNA ligase, mitochondrial</t>
  </si>
  <si>
    <t>Paf1, RNA polymerase II associated factor, homolog (S. cerevisiae), isoform CRA_c</t>
  </si>
  <si>
    <t>Kaptin (Fragment)</t>
  </si>
  <si>
    <t>Epidermal growth factor receptor substrate 15-like 1 (Fragment)</t>
  </si>
  <si>
    <t>Upstream stimulatory factor 2 (Fragment)</t>
  </si>
  <si>
    <t>Protein SMG9 (Fragment)</t>
  </si>
  <si>
    <t>Protein Smaug homolog 2</t>
  </si>
  <si>
    <t>Dystrobrevin alpha</t>
  </si>
  <si>
    <t>Sarcoplasmic reticulum histidine-rich calcium-binding protein</t>
  </si>
  <si>
    <t>Zinc finger and BTB domain-containing protein 45 (Fragment)</t>
  </si>
  <si>
    <t>Reticulocalbin-3 (Fragment)</t>
  </si>
  <si>
    <t>Heterogeneous nuclear ribonucleoprotein M (Fragment)</t>
  </si>
  <si>
    <t>Rho guanine nucleotide exchange factor 1</t>
  </si>
  <si>
    <t>Protein KASH5 (Fragment)</t>
  </si>
  <si>
    <t>MPN domain-containing protein</t>
  </si>
  <si>
    <t>KxDL motif-containing protein 1 (Fragment)</t>
  </si>
  <si>
    <t>40S ribosomal protein S5 (Fragment)</t>
  </si>
  <si>
    <t>Zinc finger protein 414 (Fragment)</t>
  </si>
  <si>
    <t>Acetolactate synthase-like protein (Fragment)</t>
  </si>
  <si>
    <t>Charged multivesicular body protein 2a (Fragment)</t>
  </si>
  <si>
    <t>rRNA 2-O-methyltransferase fibrillarin (Fragment)</t>
  </si>
  <si>
    <t>SH3KBP1 binding protein 1, isoform CRA_c</t>
  </si>
  <si>
    <t>Coiled-coil domain-containing protein 94 (Fragment)</t>
  </si>
  <si>
    <t>Unconventional myosin-IXb (Fragment)</t>
  </si>
  <si>
    <t>Prenylated Rab acceptor protein 1</t>
  </si>
  <si>
    <t>Alkyldihydroxyacetonephosphate synthase, peroxisomal</t>
  </si>
  <si>
    <t>Isoform 2 of UBX domain-containing protein 8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</si>
  <si>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</si>
  <si>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</si>
  <si>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</si>
  <si>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</si>
  <si>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6 of Cytosolic acyl coenzyme A thioester hydrolase</t>
  </si>
  <si>
    <t>Unconventional myosin-Ic</t>
  </si>
  <si>
    <t>Unconventional myosin-If</t>
  </si>
  <si>
    <t>Synaptosomal-associated protein 23</t>
  </si>
  <si>
    <t>Isoform 5 of HCLS1-associated protein X-1</t>
  </si>
  <si>
    <t>AH receptor-interacting protein</t>
  </si>
  <si>
    <t>GTP-binding protein 1</t>
  </si>
  <si>
    <t>Syntaxin-binding protein 3</t>
  </si>
  <si>
    <t>Isoform 3 of Amyloid beta A4 precursor protein-binding family B member 1</t>
  </si>
  <si>
    <t>NF-kappa-B inhibitor epsilon</t>
  </si>
  <si>
    <t>26S proteasome non-ATPase regulatory subunit 11</t>
  </si>
  <si>
    <t>26S proteasome non-ATPase regulatory subunit 12</t>
  </si>
  <si>
    <t>Isoform 2 of Menin</t>
  </si>
  <si>
    <t>E3 SUMO-protein ligase CBX4</t>
  </si>
  <si>
    <t>Membrane-associated progesterone receptor component 1</t>
  </si>
  <si>
    <t>Transcription initiation factor TFIID subunit 4</t>
  </si>
  <si>
    <t>DNA fragmentation factor subunit alpha</t>
  </si>
  <si>
    <t>Isoform DFF35 of DNA fragmentation factor subunit alpha</t>
  </si>
  <si>
    <t>Regulatory factor X-associated protein</t>
  </si>
  <si>
    <t>Isoform 3 of Huntingtin-interacting protein 1</t>
  </si>
  <si>
    <t>Chloride intracellular channel protein 1</t>
  </si>
  <si>
    <t>Eukaryotic translation initiation factor 3 subunit F</t>
  </si>
  <si>
    <t>NEDD4-like E3 ubiquitin-protein ligase WWP2</t>
  </si>
  <si>
    <t>Phosphatidylinositol 4,5-bisphosphate 3-kinase catalytic subunit delta isoform</t>
  </si>
  <si>
    <t>Dynactin subunit 6</t>
  </si>
  <si>
    <t>Neural Wiskott-Aldrich syndrome protein</t>
  </si>
  <si>
    <t>Importin-5</t>
  </si>
  <si>
    <t>DNA-directed RNA polymerase, mitochondrial</t>
  </si>
  <si>
    <t>Eukaryotic elongation factor 2 kinase</t>
  </si>
  <si>
    <t>Histone deacetylase complex subunit SAP18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</si>
  <si>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</si>
  <si>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</si>
  <si>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</si>
  <si>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</si>
  <si>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4-phosphate 3-kinase C2 domain-containing subunit alpha</t>
  </si>
  <si>
    <t>Phosphatidylinositol 3-kinase regulatory subunit beta</t>
  </si>
  <si>
    <t>Beta-mannosidase</t>
  </si>
  <si>
    <t>Isoform 2 of Agrin</t>
  </si>
  <si>
    <t>Exocyst complex component 5</t>
  </si>
  <si>
    <t>High mobility group nucleosome-binding domain-containing protein 4</t>
  </si>
  <si>
    <t>26S proteasome non-ATPase regulatory subunit 14</t>
  </si>
  <si>
    <t>Isoform II2 of Myc box-dependent-interacting protein 1</t>
  </si>
  <si>
    <t>Importin subunit alpha-3</t>
  </si>
  <si>
    <t>Serine/threonine-protein kinase 25</t>
  </si>
  <si>
    <t>B-cell CLL/lymphoma 9 protein</t>
  </si>
  <si>
    <t>Isoform 3 of Krev interaction trapped protein 1</t>
  </si>
  <si>
    <t>von Willebrand factor A domain-containing protein 5A</t>
  </si>
  <si>
    <t>Isoform 3 of Syntenin-1</t>
  </si>
  <si>
    <t>U3 small nucleolar ribonucleoprotein protein MPP10</t>
  </si>
  <si>
    <t>Nucleolar protein 56</t>
  </si>
  <si>
    <t>Transcription factor SOX-1</t>
  </si>
  <si>
    <t>ATP-dependent RNA helicase DDX3X</t>
  </si>
  <si>
    <t>Pirin</t>
  </si>
  <si>
    <t>Importin subunit alpha-4</t>
  </si>
  <si>
    <t>Serine/threonine-protein phosphatase 6 catalytic subunit</t>
  </si>
  <si>
    <t>Cocaine esterase</t>
  </si>
  <si>
    <t>Isoform 2 of Lysosomal alpha-mannosidase</t>
  </si>
  <si>
    <t>Pyridoxal kinase</t>
  </si>
  <si>
    <t>AT-rich interactive domain-containing protein 1A</t>
  </si>
  <si>
    <t>Class E basic helix-loop-helix protein 40</t>
  </si>
  <si>
    <t>Suppressor of cytokine signaling 2</t>
  </si>
  <si>
    <t>Isoform 2 of Cyclin-dependent kinase 2-associated protein 1</t>
  </si>
  <si>
    <t>Isoform 2 of FCH domain only protein 1</t>
  </si>
  <si>
    <t>TRAF-type zinc finger domain-containing protein 1</t>
  </si>
  <si>
    <t>Acyl carrier protein, mitochondrial</t>
  </si>
  <si>
    <t>Isoform 4 of Citron Rho-interacting kinase</t>
  </si>
  <si>
    <t>Coatomer subunit epsilon</t>
  </si>
  <si>
    <t>AP-3 complex subunit delta-1</t>
  </si>
  <si>
    <t>Isoform 2 of Chromodomain-helicase-DNA-binding protein 1</t>
  </si>
  <si>
    <t>Chromodomain-helicase-DNA-binding protein 2</t>
  </si>
  <si>
    <t>Potassium channel subfamily K member 3</t>
  </si>
  <si>
    <t>Isoform 3 of Golgi SNAP receptor complex member 2</t>
  </si>
  <si>
    <t>Insulin receptor substrate 4</t>
  </si>
  <si>
    <t>Torsin-1A</t>
  </si>
  <si>
    <t>Torsin-1B</t>
  </si>
  <si>
    <t>Histone-lysine N-methyltransferase MLL2</t>
  </si>
  <si>
    <t>Isoform 2 of Integrin beta-1-binding protein 1</t>
  </si>
  <si>
    <t>Dual specificity mitogen-activated protein kinase kinase 7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</si>
  <si>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</si>
  <si>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</si>
  <si>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</si>
  <si>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</si>
  <si>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6 of Homeobox protein Meis2</t>
  </si>
  <si>
    <t>Fucose-1-phosphate guanylyltransferase</t>
  </si>
  <si>
    <t>Isoform 2 of Tripeptidyl-peptidase 1</t>
  </si>
  <si>
    <t>Isoform 2 of Transcription elongation regulator 1</t>
  </si>
  <si>
    <t>Kinetochore protein NDC80 homolog</t>
  </si>
  <si>
    <t>Isoform 2 of Transportin-2</t>
  </si>
  <si>
    <t>Protein unc-13 homolog B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</si>
  <si>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</si>
  <si>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</si>
  <si>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</si>
  <si>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</si>
  <si>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</si>
  <si>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Tax1-binding protein 3</t>
  </si>
  <si>
    <t>PDZ domain-containing protein GIPC1</t>
  </si>
  <si>
    <t>Inhibitor of nuclear factor kappa-B kinase subunit beta</t>
  </si>
  <si>
    <t>Isoform 2 of Regulator of G-protein signaling 12</t>
  </si>
  <si>
    <t>Histone acetyltransferase type B catalytic subunit</t>
  </si>
  <si>
    <t>Ubiquitin/ISG15-conjugating enzyme E2 L6</t>
  </si>
  <si>
    <t>Hepatocyte growth factor-regulated tyrosine kinase substrate</t>
  </si>
  <si>
    <t>Aurora kinase A</t>
  </si>
  <si>
    <t>Protein phosphatase 1 regulatory subunit 12A</t>
  </si>
  <si>
    <t>Isoform 4 of Protein phosphatase 1 regulatory subunit 12A</t>
  </si>
  <si>
    <t>Cyclin-G-associated kinase</t>
  </si>
  <si>
    <t>Isoform 3 of Heterogeneous nuclear ribonucleoprotein D-like</t>
  </si>
  <si>
    <t>Exportin-1</t>
  </si>
  <si>
    <t>TATA-binding protein-associated factor 172</t>
  </si>
  <si>
    <t>Isoform 3 of Rho guanine nucleotide exchange factor 10</t>
  </si>
  <si>
    <t>Zinc finger protein 609</t>
  </si>
  <si>
    <t>Zinc finger protein 646</t>
  </si>
  <si>
    <t>Spectrin beta chain, non-erythrocytic 2</t>
  </si>
  <si>
    <t>Isoform 2 of Spectrin beta chain, non-erythrocytic 2</t>
  </si>
  <si>
    <t>Protein KHNYN</t>
  </si>
  <si>
    <t>Histone-lysine N-methyltransferase SETD1A</t>
  </si>
  <si>
    <t>TPR and ankyrin repeat-containing protein 1</t>
  </si>
  <si>
    <t>Lysine-specific demethylase 6B</t>
  </si>
  <si>
    <t>Synaptojanin-2</t>
  </si>
  <si>
    <t>Zinc finger and BTB domain-containing protein 39</t>
  </si>
  <si>
    <t>Uncharacterized protein KIAA0355</t>
  </si>
  <si>
    <t>Kinesin-like protein KIF3B</t>
  </si>
  <si>
    <t>Phosphoribosylformylglycinamidine synthase</t>
  </si>
  <si>
    <t>Centrosomal protein of 290 kDa</t>
  </si>
  <si>
    <t>Serine/threonine-protein phosphatase 6 regulatory ankyrin repeat subunit A</t>
  </si>
  <si>
    <t>Isoform 2 of Rho guanine nucleotide exchange factor 11</t>
  </si>
  <si>
    <t>Inhibitor of nuclear factor kappa-B kinase subunit alpha</t>
  </si>
  <si>
    <t>U6 snRNA-associated Sm-like protein LSm1</t>
  </si>
  <si>
    <t>FYN-binding protein</t>
  </si>
  <si>
    <t>Niemann-Pick C1 protein</t>
  </si>
  <si>
    <t>Importin subunit alpha-6</t>
  </si>
  <si>
    <t>Actin-related protein 2/3 complex subunit 1B</t>
  </si>
  <si>
    <t>Actin-related protein 2/3 complex subunit 2</t>
  </si>
  <si>
    <t>Actin-related protein 2/3 complex subunit 3</t>
  </si>
  <si>
    <t>Isoform 5 of Protein Mdm4</t>
  </si>
  <si>
    <t>Zinc finger and BTB domain-containing protein 7B</t>
  </si>
  <si>
    <t>Isoform 2 of DNA-directed RNA polymerases I and III subunit RPAC1</t>
  </si>
  <si>
    <t>Transcription intermediary factor 1-alpha</t>
  </si>
  <si>
    <t>Isoform 2 of Axin-1</t>
  </si>
  <si>
    <t>Membrane-associated progesterone receptor component 2</t>
  </si>
  <si>
    <t>Ral guanine nucleotide dissociation stimulator-like 2</t>
  </si>
  <si>
    <t>Prefoldin subunit 6</t>
  </si>
  <si>
    <t>WD repeat-containing protein 46</t>
  </si>
  <si>
    <t>NF-kappa-B-repressing factor</t>
  </si>
  <si>
    <t>Isoform 4 of Zinc finger protein 185</t>
  </si>
  <si>
    <t>Protein CASC3</t>
  </si>
  <si>
    <t>Neurosecretory protein VGF</t>
  </si>
  <si>
    <t>Chloride intracellular channel protein 2</t>
  </si>
  <si>
    <t>Isoform 2 of Surfeit locus protein 4</t>
  </si>
  <si>
    <t>Ataxin-7</t>
  </si>
  <si>
    <t>UDP-N-acetylglucosamine--peptide N-acetylglucosaminyltransferase 110 kDa subunit</t>
  </si>
  <si>
    <t>Phosphomannomutase 2</t>
  </si>
  <si>
    <t>Isoform 5 of DNA repair protein RAD51 homolog 2</t>
  </si>
  <si>
    <t>Midline-1</t>
  </si>
  <si>
    <t>Protein phosphatase 1G</t>
  </si>
  <si>
    <t>Phosphatidylinositol 3,4,5-trisphosphate 5-phosphatase 2</t>
  </si>
  <si>
    <t>Eukaryotic translation initiation factor 3 subunit H</t>
  </si>
  <si>
    <t>Histone deacetylase 3</t>
  </si>
  <si>
    <t>Nuclear valosin-containing protein-like</t>
  </si>
  <si>
    <t>Branched-chain-amino-acid aminotransferase, mitochondrial</t>
  </si>
  <si>
    <t>Isoform 5 of Baculoviral IAP repeat-containing protein 5</t>
  </si>
  <si>
    <t>Importin-8</t>
  </si>
  <si>
    <t>Isoform 2 of Syntaxin-7</t>
  </si>
  <si>
    <t>Melanoma-associated antigen B2</t>
  </si>
  <si>
    <t>Isoform Delta of Glycogenin-2</t>
  </si>
  <si>
    <t>Synaptobrevin homolog YKT6</t>
  </si>
  <si>
    <t>Nucleoporin-like protein 2</t>
  </si>
  <si>
    <t>Actin-related protein 2/3 complex subunit 5</t>
  </si>
  <si>
    <t>DNA-directed RNA polymerase II subunit RPB4</t>
  </si>
  <si>
    <t>Suppressor of cytokine signaling 1</t>
  </si>
  <si>
    <t>RING finger protein 113A</t>
  </si>
  <si>
    <t>Lysine-specific demethylase 6A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</si>
  <si>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</si>
  <si>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</si>
  <si>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</si>
  <si>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</si>
  <si>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E3 ubiquitin-protein ligase Praja-2</t>
  </si>
  <si>
    <t>Zinc finger and BTB domain-containing protein 24</t>
  </si>
  <si>
    <t>Isoform 2 of U4/U6 small nuclear ribonucleoprotein Prp4</t>
  </si>
  <si>
    <t>D-3-phosphoglycerate dehydrogenase</t>
  </si>
  <si>
    <t>Isoform 4 of Rho GTPase-activating protein 6</t>
  </si>
  <si>
    <t>Cytoplasmic dynein 1 light intermediate chain 2</t>
  </si>
  <si>
    <t>26S proteasome non-ATPase regulatory subunit 3</t>
  </si>
  <si>
    <t>Isoform 6 of RNA binding protein fox-1 homolog 2</t>
  </si>
  <si>
    <t>Bifunctional 3-phosphoadenosine 5-phosphosulfate synthase 1</t>
  </si>
  <si>
    <t>Centromere/kinetochore protein zw10 homolog</t>
  </si>
  <si>
    <t>U4/U6.U5 tri-snRNP-associated protein 1</t>
  </si>
  <si>
    <t>Death-associated protein kinase 3</t>
  </si>
  <si>
    <t>Zinc finger and BTB domain-containing protein 43</t>
  </si>
  <si>
    <t>AP-5 complex subunit zeta-1</t>
  </si>
  <si>
    <t>Isoform 2 of Centriolar coiled-coil protein of 110 kDa</t>
  </si>
  <si>
    <t>CBP80/20-dependent translation initiation factor</t>
  </si>
  <si>
    <t>Isoform 2 of Inositol hexakisphosphate and diphosphoinositol-pentakisphosphate kinase 2</t>
  </si>
  <si>
    <t>Mitogen-activated protein kinase kinase kinase 7</t>
  </si>
  <si>
    <t>Eukaryotic translation elongation factor 1 epsilon-1</t>
  </si>
  <si>
    <t>LYR motif-containing protein 1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</si>
  <si>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</si>
  <si>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</si>
  <si>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</si>
  <si>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</si>
  <si>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</si>
  <si>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</si>
  <si>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</si>
  <si>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Isoform 3 of ERI1 exoribonuclease 3</t>
  </si>
  <si>
    <t>52 kDa repressor of the inhibitor of the protein kinase</t>
  </si>
  <si>
    <t>Isoform Short of Acidic fibroblast growth factor intracellular-binding protein</t>
  </si>
  <si>
    <t>Isoform C of T-box transcription factor TBX1</t>
  </si>
  <si>
    <t>Peptidyl-prolyl cis-trans isomerase H</t>
  </si>
  <si>
    <t>Serine protease HTRA2, mitochondrial</t>
  </si>
  <si>
    <t>Protein Mis18-beta</t>
  </si>
  <si>
    <t>Aflatoxin B1 aldehyde reductase member 2</t>
  </si>
  <si>
    <t>Ragulator complex protein LAMTOR5</t>
  </si>
  <si>
    <t>Mediator of RNA polymerase II transcription subunit 7</t>
  </si>
  <si>
    <t>WAS/WASL-interacting protein family member 1</t>
  </si>
  <si>
    <t>Isoform Bim-alpha3 of Bcl-2-like protein 11</t>
  </si>
  <si>
    <t>DNA repair protein XRCC3</t>
  </si>
  <si>
    <t>Regulator of G-protein signaling 14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</si>
  <si>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</si>
  <si>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</si>
  <si>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</si>
  <si>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</si>
  <si>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</si>
  <si>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</si>
  <si>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</si>
  <si>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Isoform 2 of Pleiotropic regulator 1</t>
  </si>
  <si>
    <t>Protein regulator of cytokinesis 1</t>
  </si>
  <si>
    <t>Isoform 2 of Regulator of G-protein signaling 10</t>
  </si>
  <si>
    <t>Isoform 2 of Zinc finger protein 207</t>
  </si>
  <si>
    <t>Isoform 2 of NADH dehydrogenase [ubiquinone] 1 beta subcomplex subunit 5, mitochondrial</t>
  </si>
  <si>
    <t>NADH dehydrogenase [ubiquinone] 1 alpha subcomplex subunit 2</t>
  </si>
  <si>
    <t>ATPase ASNA1</t>
  </si>
  <si>
    <t>Alpha-actinin-4</t>
  </si>
  <si>
    <t>Uncharacterized methyltransferase WBSCR22</t>
  </si>
  <si>
    <t>TP53-regulated inhibitor of apoptosis 1</t>
  </si>
  <si>
    <t>Glutamyl-tRNA(Gln) amidotransferase subunit C, mitochondrial</t>
  </si>
  <si>
    <t>HIV Tat-specific factor 1</t>
  </si>
  <si>
    <t>Isoform 5 of Adapter protein CIKS</t>
  </si>
  <si>
    <t>Isoform 2 of Cytohesin-3</t>
  </si>
  <si>
    <t>AP-1 complex subunit gamma-1</t>
  </si>
  <si>
    <t>Syntaxin-6</t>
  </si>
  <si>
    <t>Small glutamine-rich tetratricopeptide repeat-containing protein alpha</t>
  </si>
  <si>
    <t>Lipoyl synthase, mitochondrial</t>
  </si>
  <si>
    <t>Isoform 2 of Alpha-endosulfine</t>
  </si>
  <si>
    <t>Speckle-type POZ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</si>
  <si>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</si>
  <si>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</si>
  <si>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</si>
  <si>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</si>
  <si>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</si>
  <si>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Isoform Short of Protein C21orf2</t>
  </si>
  <si>
    <t>A-kinase anchor protein 8</t>
  </si>
  <si>
    <t>Zinc finger and BTB domain-containing protein 14</t>
  </si>
  <si>
    <t>Isocitrate dehydrogenase [NAD] subunit beta, mitochondrial</t>
  </si>
  <si>
    <t>Nardilysin</t>
  </si>
  <si>
    <t>Calumenin</t>
  </si>
  <si>
    <t>Putative adenosylhomocysteinase 2</t>
  </si>
  <si>
    <t>Kinesin-like protein KIF1C</t>
  </si>
  <si>
    <t>Origin recognition complex subunit 5</t>
  </si>
  <si>
    <t>Retinal rod rhodopsin-sensitive cGMP 3,5-cyclic phosphodiesterase subunit delta</t>
  </si>
  <si>
    <t>Origin recognition complex subunit 4</t>
  </si>
  <si>
    <t>Putative serine/threonine-protein kinase PRKY</t>
  </si>
  <si>
    <t>Peroxisome biogenesis factor 1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</si>
  <si>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</si>
  <si>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</si>
  <si>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</si>
  <si>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Glia maturation factor gamma</t>
  </si>
  <si>
    <t>Isoform 2 of SH3 domain-binding protein 5</t>
  </si>
  <si>
    <t>Mediator of RNA polymerase II transcription subunit 14</t>
  </si>
  <si>
    <t>Phosphoribosyl pyrophosphate synthase-associated protein 2</t>
  </si>
  <si>
    <t>SWI/SNF-related matrix-associated actin-dependent regulator of chromatin subfamily A member 5</t>
  </si>
  <si>
    <t>C-Jun-amino-terminal kinase-interacting protein 4</t>
  </si>
  <si>
    <t>Isoform 4 of C-Jun-amino-terminal kinase-interacting protein 4</t>
  </si>
  <si>
    <t>Signal-induced proliferation-associated 1-like protein 3</t>
  </si>
  <si>
    <t>Isoform 2 of Zinc finger C3H1 domain-containing protein</t>
  </si>
  <si>
    <t>Leucine carboxyl methyltransferase 2</t>
  </si>
  <si>
    <t>Trafficking kinesin-binding protein 2</t>
  </si>
  <si>
    <t>Intron-binding protein aquarius</t>
  </si>
  <si>
    <t>Dynamin-like 120 kDa protein, mitochondrial</t>
  </si>
  <si>
    <t>Isoform 2 of Zinc finger E-box-binding homeobox 2</t>
  </si>
  <si>
    <t>80 kDa MCM3-associated protein</t>
  </si>
  <si>
    <t>Isoform 3 of Kinesin-like protein KIF1B</t>
  </si>
  <si>
    <t>Isoform 4 of Mitogen-activated protein kinase-binding protein 1</t>
  </si>
  <si>
    <t>Lysine-specific histone demethylase 1A</t>
  </si>
  <si>
    <t>Isoform 2 of TBC1 domain family member 4</t>
  </si>
  <si>
    <t>Isoform D of Endothelin-converting enzyme 2</t>
  </si>
  <si>
    <t>PH domain leucine-rich repeat-containing protein phosphatase 1</t>
  </si>
  <si>
    <t>TBC1 domain family member 12</t>
  </si>
  <si>
    <t>Isoform 2 of Frizzled-6</t>
  </si>
  <si>
    <t>Putative nucleoside diphosphate kinase</t>
  </si>
  <si>
    <t>Non-syndromic hearing impairment protein 5</t>
  </si>
  <si>
    <t>Ecotropic viral integration site 5 protein homolog</t>
  </si>
  <si>
    <t>Sorting nexin-3</t>
  </si>
  <si>
    <t>Bifunctional protein NCOAT</t>
  </si>
  <si>
    <t>Isoform 2 of Heterogeneous nuclear ribonucleoprotein Q</t>
  </si>
  <si>
    <t>Isoform 2 of 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</si>
  <si>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</si>
  <si>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</si>
  <si>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</si>
  <si>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</si>
  <si>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</si>
  <si>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</si>
  <si>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Isoform 2 of Exocyst complex component 3</t>
  </si>
  <si>
    <t>Isoform 4 of Perilipin-3</t>
  </si>
  <si>
    <t>Cell cycle checkpoint protein RAD1</t>
  </si>
  <si>
    <t>Protein arginine N-methyltransferase 3</t>
  </si>
  <si>
    <t>UDP-glucose 6-dehydrogenase</t>
  </si>
  <si>
    <t>Isoform 1A of Catenin delta-1</t>
  </si>
  <si>
    <t>Melanoma-associated antigen C1</t>
  </si>
  <si>
    <t>Sorting nexin-2</t>
  </si>
  <si>
    <t>Dolichol-phosphate mannosyltransferase</t>
  </si>
  <si>
    <t>General vesicular transport factor p115</t>
  </si>
  <si>
    <t>Coiled-coil domain-containing protein 22</t>
  </si>
  <si>
    <t>Isoform 2 of Polyglutamine-binding protein 1</t>
  </si>
  <si>
    <t>P antigen family member 4</t>
  </si>
  <si>
    <t>H/ACA ribonucleoprotein complex subunit 4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</si>
  <si>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</si>
  <si>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</si>
  <si>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</si>
  <si>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</si>
  <si>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</si>
  <si>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</si>
  <si>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Isoform 2 of F-box-like/WD repeat-containing protein TBL1X</t>
  </si>
  <si>
    <t>Checkpoint protein HUS1</t>
  </si>
  <si>
    <t>Prefoldin subunit 1</t>
  </si>
  <si>
    <t>Protein phosphatase 1 regulatory subunit 11</t>
  </si>
  <si>
    <t>Nibrin</t>
  </si>
  <si>
    <t>mRNA-capping enzyme</t>
  </si>
  <si>
    <t>Isoform 12 of Microphthalmia-associated transcription factor</t>
  </si>
  <si>
    <t>Isoform 3 of Kinesin-like protein KIF21B</t>
  </si>
  <si>
    <t>SLIT-ROBO Rho GTPase-activating protein 2</t>
  </si>
  <si>
    <t>Isoform 4 of Putative tyrosine-protein phosphatase auxilin</t>
  </si>
  <si>
    <t>Glycosaminoglycan xylosylkinase</t>
  </si>
  <si>
    <t>DENN domain-containing protein 4B</t>
  </si>
  <si>
    <t>WD repeat-containing protein 1</t>
  </si>
  <si>
    <t>Isoform Short of Probable phospholipid-transporting ATPase IIA</t>
  </si>
  <si>
    <t>NEDD4-binding protein 1</t>
  </si>
  <si>
    <t>Rho-associated protein kinase 2</t>
  </si>
  <si>
    <t>Copine-3</t>
  </si>
  <si>
    <t>Zinc finger BED domain-containing protein 4</t>
  </si>
  <si>
    <t>Isoform 2 of Autophagy-related protein 13</t>
  </si>
  <si>
    <t>ICOS ligand</t>
  </si>
  <si>
    <t>Isoform 2 of Liprin-alpha-3</t>
  </si>
  <si>
    <t>Huntingtin-interacting protein 1-related protein</t>
  </si>
  <si>
    <t>Isoform 2 of Obscurin-like protein 1</t>
  </si>
  <si>
    <t>E3 ubiquitin-protein ligase BRE1B</t>
  </si>
  <si>
    <t>Lysine-specific demethylase PHF2</t>
  </si>
  <si>
    <t>Zinc finger CCCH domain-containing protein 11A</t>
  </si>
  <si>
    <t>Rab11 family-interacting protein 3</t>
  </si>
  <si>
    <t>Cullin-associated NEDD8-dissociated protein 2</t>
  </si>
  <si>
    <t>Isoform 2 of TSC22 domain family protein 2</t>
  </si>
  <si>
    <t>Lysine-specific demethylase 4A</t>
  </si>
  <si>
    <t>Isoform 5 of Phosphatase and actin regulator 2</t>
  </si>
  <si>
    <t>Isoform 2 of Serine/threonine-protein phosphatase 6 regulatory subunit 2</t>
  </si>
  <si>
    <t>CCR4-NOT transcription complex subunit 3</t>
  </si>
  <si>
    <t>Calcium-responsive transactivator</t>
  </si>
  <si>
    <t>Isoform 2 of Paired amphipathic helix protein Sin3b</t>
  </si>
  <si>
    <t>DnaJ homolog subfamily B member 6</t>
  </si>
  <si>
    <t>Xylulose kinase</t>
  </si>
  <si>
    <t>Gamma-glutamylcyclotransferase</t>
  </si>
  <si>
    <t>Isoform 2 of NADH dehydrogenase [ubiquinone] iron-sulfur protein 2, mitochondrial</t>
  </si>
  <si>
    <t>Zinc finger protein ZPR1</t>
  </si>
  <si>
    <t>RNA/RNP complex-1-interacting phosphatase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</si>
  <si>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</si>
  <si>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</si>
  <si>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</si>
  <si>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</si>
  <si>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</si>
  <si>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</si>
  <si>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Ectonucleoside triphosphate diphosphohydrolase 5</t>
  </si>
  <si>
    <t>Zinc finger protein 217</t>
  </si>
  <si>
    <t>Isoform 1 of Core histone macro-H2A.1</t>
  </si>
  <si>
    <t>SH3 domain-binding glutamic acid-rich-like protein</t>
  </si>
  <si>
    <t>Isoform 8 of Filamin-B</t>
  </si>
  <si>
    <t>NADH dehydrogenase [ubiquinone] iron-sulfur protein 6, mitochondrial</t>
  </si>
  <si>
    <t>Serine/threonine-protein kinase ULK1</t>
  </si>
  <si>
    <t>Vesicle-trafficking protein SEC22b</t>
  </si>
  <si>
    <t>Isoform 3 of Deformed epidermal autoregulatory factor 1 homolog</t>
  </si>
  <si>
    <t>Isoform 3 of Pre-mRNA-processing factor 40 homolog A</t>
  </si>
  <si>
    <t>Isoform 7 of Transforming acidic coiled-coil-containing protein 1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</si>
  <si>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</si>
  <si>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</si>
  <si>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</si>
  <si>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</si>
  <si>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Mitochondrial-processing peptidase subunit beta</t>
  </si>
  <si>
    <t>Histone deacetylase complex subunit SAP30</t>
  </si>
  <si>
    <t>Katanin p60 ATPase-containing subunit A1</t>
  </si>
  <si>
    <t>PC4 and SFRS1-interacting protein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</si>
  <si>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</si>
  <si>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</si>
  <si>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</si>
  <si>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</si>
  <si>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Transcriptional adapter 3</t>
  </si>
  <si>
    <t>TAF5-like RNA polymerase II p300/CBP-associated factor-associated factor 65 kDa subunit 5L</t>
  </si>
  <si>
    <t>Isoform 3 of Polycomb protein EED</t>
  </si>
  <si>
    <t>Barrier-to-autointegration factor</t>
  </si>
  <si>
    <t>Splicing factor 3B subunit 1</t>
  </si>
  <si>
    <t>Isoform Short of Cold shock domain-containing protein E1</t>
  </si>
  <si>
    <t>WW domain-binding protein 4</t>
  </si>
  <si>
    <t>DNA-directed RNA polymerase III subunit RPC9</t>
  </si>
  <si>
    <t>Mediator of RNA polymerase II transcription subunit 6</t>
  </si>
  <si>
    <t>2-amino-3-ketobutyrate coenzyme A ligase, mitochondrial</t>
  </si>
  <si>
    <t>Nucleoplasmin-3</t>
  </si>
  <si>
    <t>Isoform 2 of Acyl-protein thioesterase 1</t>
  </si>
  <si>
    <t>Protein CREG1</t>
  </si>
  <si>
    <t>Isoform 2 of Serpin B7</t>
  </si>
  <si>
    <t>U5 small nuclear ribonucleoprotein 200 kDa helicase</t>
  </si>
  <si>
    <t>TIP41-like protein</t>
  </si>
  <si>
    <t>Surfeit locus protein 6</t>
  </si>
  <si>
    <t>Protein phosphatase 1B</t>
  </si>
  <si>
    <t>Protein XRP2</t>
  </si>
  <si>
    <t>WD repeat and HMG-box DNA-binding protein 1</t>
  </si>
  <si>
    <t>Isoform 3 of DNA repair protein RAD51 homolog 4</t>
  </si>
  <si>
    <t>Paralemmin-1</t>
  </si>
  <si>
    <t>GRB2-related adapter protein 2</t>
  </si>
  <si>
    <t>Ribonuclease H2 subunit A</t>
  </si>
  <si>
    <t>Cell division cycle protein 123 homolog</t>
  </si>
  <si>
    <t>Protein phosphatase 1 regulatory subunit 15A</t>
  </si>
  <si>
    <t>Calpain-15</t>
  </si>
  <si>
    <t>Isoform 2 of Ribonuclease P protein subunit p40</t>
  </si>
  <si>
    <t>Eukaryotic translation initiation factor 3 subunit G</t>
  </si>
  <si>
    <t>Carbonyl reductase [NADPH] 3</t>
  </si>
  <si>
    <t>AP-1 complex subunit gamma-like 2</t>
  </si>
  <si>
    <t>CAAX prenyl protease 1 homolog</t>
  </si>
  <si>
    <t>Isoform 2 of Protein phosphatase 1 regulatory subunit 37</t>
  </si>
  <si>
    <t>Isoform 2 of Trafficking protein particle complex subunit 6A</t>
  </si>
  <si>
    <t>Isocitrate dehydrogenase [NADP] cytoplasmic</t>
  </si>
  <si>
    <t>Putative hydrolase RBBP9</t>
  </si>
  <si>
    <t>Signal transducing adapter molecule 2</t>
  </si>
  <si>
    <t>Cyclin-K</t>
  </si>
  <si>
    <t>E3 SUMO-protein ligase PIAS1</t>
  </si>
  <si>
    <t>Isoform PIAS2-alpha of E3 SUMO-protein ligase PIAS2</t>
  </si>
  <si>
    <t>Pre-mRNA-splicing factor SPF27</t>
  </si>
  <si>
    <t>Isoform 3 of Dynactin subunit 3</t>
  </si>
  <si>
    <t>DnaJ homolog subfamily C member 8</t>
  </si>
  <si>
    <t>Survival of motor neuron-related-splicing factor 30</t>
  </si>
  <si>
    <t>Isoform 3 of Cell cycle checkpoint protein RAD17</t>
  </si>
  <si>
    <t>Isoform 2 of ATP synthase subunit d, mitochondrial</t>
  </si>
  <si>
    <t>Flotillin-1</t>
  </si>
  <si>
    <t>Isoform 5 of Triple functional domain protein</t>
  </si>
  <si>
    <t>Glutaredoxin-3</t>
  </si>
  <si>
    <t>Keratin, type I cuticular Ha4</t>
  </si>
  <si>
    <t>Ribosomal L1 domain-containing protein 1</t>
  </si>
  <si>
    <t>ATP-dependent Clp protease ATP-binding subunit clpX-like, mitochondrial</t>
  </si>
  <si>
    <t>Secretagogin</t>
  </si>
  <si>
    <t>Isoform 2 of Nebulette</t>
  </si>
  <si>
    <t>E3 ubiquitin-protein ligase RNF8</t>
  </si>
  <si>
    <t>Probable cytosolic iron-sulfur protein assembly protein CIAO1</t>
  </si>
  <si>
    <t>AN1-type zinc finger protein 5</t>
  </si>
  <si>
    <t>Signal recognition particle subunit SRP72</t>
  </si>
  <si>
    <t>Decapping and exoribonuclease protein</t>
  </si>
  <si>
    <t>ATP-dependent DNA helicase Q4</t>
  </si>
  <si>
    <t>ATP-dependent DNA helicase Q5</t>
  </si>
  <si>
    <t>Unconventional prefoldin RPB5 interactor 1</t>
  </si>
  <si>
    <t>Isoform 4 of Unconventional prefoldin RPB5 interactor 1</t>
  </si>
  <si>
    <t>Metastasis-associated protein MTA2</t>
  </si>
  <si>
    <t>Ubiquitin carboxyl-terminal hydrolase 1</t>
  </si>
  <si>
    <t>Retinal dehydrogenase 2</t>
  </si>
  <si>
    <t>Serine/threonine-protein kinase 10</t>
  </si>
  <si>
    <t>Serine/threonine-protein kinase D3</t>
  </si>
  <si>
    <t>Glutamine--fructose-6-phosphate aminotransferase [isomerizing] 2</t>
  </si>
  <si>
    <t>Ubiquitin-like protein ATG12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</si>
  <si>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</si>
  <si>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</si>
  <si>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</si>
  <si>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</si>
  <si>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</si>
  <si>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Isoform 5 of Protein-methionine sulfoxide oxidase MICAL2</t>
  </si>
  <si>
    <t>Uncharacterized protein KIAA0754</t>
  </si>
  <si>
    <t>Protein transport protein Sec24D</t>
  </si>
  <si>
    <t>Isoform 2 of STAGA complex 65 subunit gamma</t>
  </si>
  <si>
    <t>E3 UFM1-protein ligase 1</t>
  </si>
  <si>
    <t>Transmembrane and coiled-coil domains protein 1</t>
  </si>
  <si>
    <t>PHD finger protein 14</t>
  </si>
  <si>
    <t>UBX domain-containing protein 7</t>
  </si>
  <si>
    <t>Kelch-like protein 18</t>
  </si>
  <si>
    <t>Proline synthase co-transcribed bacterial homolog protein</t>
  </si>
  <si>
    <t>Isoform 2 of Pre-mRNA-processing factor 6</t>
  </si>
  <si>
    <t>Pre-mRNA cleavage complex 2 protein Pcf11</t>
  </si>
  <si>
    <t>Isoform 3 of Glutaminase kidney isoform, mitochondrial</t>
  </si>
  <si>
    <t>HAUS augmin-like complex subunit 5</t>
  </si>
  <si>
    <t>Isoform 2 of RING finger protein 37</t>
  </si>
  <si>
    <t>Lysine-specific demethylase 4B</t>
  </si>
  <si>
    <t>Isoform 2 of Protein SOGA1</t>
  </si>
  <si>
    <t>Isoform 7 of Ubiquitin carboxyl-terminal hydrolase 19</t>
  </si>
  <si>
    <t>Isoform 2 of WD repeat-containing protein 47</t>
  </si>
  <si>
    <t>AP-2 complex subunit alpha-2</t>
  </si>
  <si>
    <t>Protein transport protein Sec31A</t>
  </si>
  <si>
    <t>Isoform 5 of Protein FAM13A</t>
  </si>
  <si>
    <t>Protein HEXIM1</t>
  </si>
  <si>
    <t>Ribonuclease P protein subunit p14</t>
  </si>
  <si>
    <t>G2/mitotic-specific cyclin-B2</t>
  </si>
  <si>
    <t>Isoform 2 of Arf-GAP domain and FG repeat-containing protein 2</t>
  </si>
  <si>
    <t>Splicing factor, arginine/serine-rich 15</t>
  </si>
  <si>
    <t>Snurportin-1</t>
  </si>
  <si>
    <t>Isoform 2 of Ubiquitin conjugation factor E4 B</t>
  </si>
  <si>
    <t>Elongator complex protein 1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</si>
  <si>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</si>
  <si>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</si>
  <si>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</si>
  <si>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</si>
  <si>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Homeobox protein VENTX</t>
  </si>
  <si>
    <t>Luc7-like protein 3</t>
  </si>
  <si>
    <t>Chromosome-associated kinesin KIF4A</t>
  </si>
  <si>
    <t>Isoform 2 of Methyl-CpG-binding domain protein 4</t>
  </si>
  <si>
    <t>Myotubularin-related protein 5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</si>
  <si>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</si>
  <si>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</si>
  <si>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</si>
  <si>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</si>
  <si>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</si>
  <si>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</si>
  <si>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</si>
  <si>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</si>
  <si>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</si>
  <si>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Acyl-protein thioesterase 2</t>
  </si>
  <si>
    <t>Importin-7</t>
  </si>
  <si>
    <t>E3 ubiquitin-protein ligase ARIH2</t>
  </si>
  <si>
    <t>Tumor necrosis factor alpha-induced protein 8</t>
  </si>
  <si>
    <t>Pre-mRNA-splicing factor SLU7</t>
  </si>
  <si>
    <t>Phosphoacetylglucosamine mutase</t>
  </si>
  <si>
    <t>Adenylyltransferase and sulfurtransferase MOCS3</t>
  </si>
  <si>
    <t>Putative protein PLEKHA9</t>
  </si>
  <si>
    <t>Urotensin-2</t>
  </si>
  <si>
    <t>CD2 antigen cytoplasmic tail-binding protein 2</t>
  </si>
  <si>
    <t>Mediator of RNA polymerase II transcription subunit 26</t>
  </si>
  <si>
    <t>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</si>
  <si>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</si>
  <si>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</si>
  <si>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</si>
  <si>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</si>
  <si>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Formin-like protein 1</t>
  </si>
  <si>
    <t>GDH/6PGL endoplasmic bifunctional protein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</si>
  <si>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</si>
  <si>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</si>
  <si>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</si>
  <si>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</si>
  <si>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</si>
  <si>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</si>
  <si>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Long-chain-fatty-acid--CoA ligase 3</t>
  </si>
  <si>
    <t>DNA-directed RNA polymerase I subunit RPA1</t>
  </si>
  <si>
    <t>Pericentrin</t>
  </si>
  <si>
    <t>YEATS domain-containing protein 4</t>
  </si>
  <si>
    <t>tRNA-dihydrouridine(20a/20b) synthase [NAD(P)+]-like</t>
  </si>
  <si>
    <t>Zinc finger and BTB domain-containing protein 11</t>
  </si>
  <si>
    <t>Isoform 9 of CCR4-NOT transcription complex subunit 4</t>
  </si>
  <si>
    <t>STAM-binding protein</t>
  </si>
  <si>
    <t>Cleavage and polyadenylation specificity factor subunit 4</t>
  </si>
  <si>
    <t>Isoform B-beta of Nuclear factor of activated T-cells, cytoplasmic 1</t>
  </si>
  <si>
    <t>Isoform 2 of N-acetylserotonin O-methyltransferase-like protein</t>
  </si>
  <si>
    <t>Isoform 2 of FGFR1 oncogene partner</t>
  </si>
  <si>
    <t>Synaptosomal-associated protein 29</t>
  </si>
  <si>
    <t>Serine/threonine-protein kinase OSR1</t>
  </si>
  <si>
    <t>Geranylgeranyl pyrophosphate synthase</t>
  </si>
  <si>
    <t>Heat shock 70 kDa protein 4L</t>
  </si>
  <si>
    <t>Isoform 1 of Polypyrimidine tract-binding protein 3</t>
  </si>
  <si>
    <t>N-alpha-acetyltransferase 38, NatC auxiliary subunit</t>
  </si>
  <si>
    <t>Isoform B of AP-2 complex subunit alpha-1</t>
  </si>
  <si>
    <t>Tetratricopeptide repeat protein 4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</si>
  <si>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</si>
  <si>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</si>
  <si>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</si>
  <si>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</si>
  <si>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</si>
  <si>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Isoform 2 of Echinoderm microtubule-associated protein-like 2</t>
  </si>
  <si>
    <t>Isoform 2 of Serine/threonine-protein kinase LATS1</t>
  </si>
  <si>
    <t>3(2),5-bisphosphate nucleotidase 1</t>
  </si>
  <si>
    <t>N(G),N(G)-dimethylarginine dimethylaminohydrolase 2</t>
  </si>
  <si>
    <t>Thioredoxin domain-containing protein 12</t>
  </si>
  <si>
    <t>Protein SGT1</t>
  </si>
  <si>
    <t>Pre-mRNA-splicing factor SYF2</t>
  </si>
  <si>
    <t>Methyl-CpG-binding domain protein 3</t>
  </si>
  <si>
    <t>DNA topoisomerase 3-beta-1</t>
  </si>
  <si>
    <t>Diphosphoinositol polyphosphate phosphohydrolase 1</t>
  </si>
  <si>
    <t>B-cell lymphoma/leukemia 10</t>
  </si>
  <si>
    <t>Molybdopterin synthase catalytic subunit</t>
  </si>
  <si>
    <t>Mitochondrial import receptor subunit TOM40 homolog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</si>
  <si>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</si>
  <si>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</si>
  <si>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</si>
  <si>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</si>
  <si>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Histone-lysine N-methyltransferase NSD2</t>
  </si>
  <si>
    <t>Molybdopterin synthase sulfur carrier subunit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</si>
  <si>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</si>
  <si>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</si>
  <si>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</si>
  <si>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</si>
  <si>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</si>
  <si>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</si>
  <si>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</si>
  <si>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</si>
  <si>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</si>
  <si>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</si>
  <si>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</si>
  <si>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</si>
  <si>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</si>
  <si>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Adenylate kinase isoenzyme 1</t>
  </si>
  <si>
    <t>Adenosine deaminase</t>
  </si>
  <si>
    <t>Carbonic anhydrase 2</t>
  </si>
  <si>
    <t>Argininosuccinate synthase</t>
  </si>
  <si>
    <t>Alpha-1-antitrypsin</t>
  </si>
  <si>
    <t>Cystatin-C</t>
  </si>
  <si>
    <t>GTPase NRas</t>
  </si>
  <si>
    <t>Isoform 2B of GTPase KRas</t>
  </si>
  <si>
    <t>Transforming growth factor beta-1</t>
  </si>
  <si>
    <t>Hemoglobin subunit zeta</t>
  </si>
  <si>
    <t>Hemoglobin subunit delta</t>
  </si>
  <si>
    <t>Hemoglobin subunit epsilon</t>
  </si>
  <si>
    <t>Keratin, type I cytoskeletal 14</t>
  </si>
  <si>
    <t>Keratin, type II cytoskeletal 6A</t>
  </si>
  <si>
    <t>Prelamin-A/C</t>
  </si>
  <si>
    <t>Spectrin alpha chain, erythrocytic 1</t>
  </si>
  <si>
    <t>Apolipoprotein E</t>
  </si>
  <si>
    <t>Apolipoprotein C-III</t>
  </si>
  <si>
    <t>Serum albumin</t>
  </si>
  <si>
    <t>Transferrin receptor protein 1</t>
  </si>
  <si>
    <t>Ferritin heavy chain</t>
  </si>
  <si>
    <t>Catalase</t>
  </si>
  <si>
    <t>Tissue alpha-L-fucosidase</t>
  </si>
  <si>
    <t>Fructose-bisphosphate aldolase A</t>
  </si>
  <si>
    <t>Cystatin-B</t>
  </si>
  <si>
    <t>Annexin A1</t>
  </si>
  <si>
    <t>Isoform Beta of Glucocorticoid receptor</t>
  </si>
  <si>
    <t>Ornithine aminotransferase, mitochondrial</t>
  </si>
  <si>
    <t>Thymidine kinase, cytosolic</t>
  </si>
  <si>
    <t>Keratin, type II cytoskeletal 6B</t>
  </si>
  <si>
    <t>Keratin, type II cytoskeletal 1</t>
  </si>
  <si>
    <t>Tubulin beta-4A chain</t>
  </si>
  <si>
    <t>Glyceraldehyde-3-phosphate dehydrogenase</t>
  </si>
  <si>
    <t>Argininosuccinate lyase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</si>
  <si>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</si>
  <si>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</si>
  <si>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</si>
  <si>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</si>
  <si>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</si>
  <si>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</si>
  <si>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</si>
  <si>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4 of Sodium/potassium-transporting ATPase subunit alpha-1</t>
  </si>
  <si>
    <t>Aldehyde dehydrogenase, mitochondrial</t>
  </si>
  <si>
    <t>Non-histone chromosomal protein HMG-14</t>
  </si>
  <si>
    <t>ADP/ATP translocase 2</t>
  </si>
  <si>
    <t>Ubiquitin-like protein ISG15</t>
  </si>
  <si>
    <t>Isoform 3 of Propionyl-CoA carboxylase alpha chain, mitochondrial</t>
  </si>
  <si>
    <t>Propionyl-CoA carboxylase beta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</si>
  <si>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</si>
  <si>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</si>
  <si>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</si>
  <si>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</si>
  <si>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</si>
  <si>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</si>
  <si>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DNA-directed RNA polymerase III subunit RPC4</t>
  </si>
  <si>
    <t>Lupus La protein</t>
  </si>
  <si>
    <t>Isoform Beta-1B of Integrin beta-1</t>
  </si>
  <si>
    <t>Isoform Beta-II of Protein kinase C beta type</t>
  </si>
  <si>
    <t>Keratin, type I cytoskeletal 18</t>
  </si>
  <si>
    <t>Keratin, type II cytoskeletal 8</t>
  </si>
  <si>
    <t>Calbindin</t>
  </si>
  <si>
    <t>Uroporphyrinogen decarboxylase</t>
  </si>
  <si>
    <t>Alpha-galactosidase A</t>
  </si>
  <si>
    <t>Isoform 2 of Gelsolin</t>
  </si>
  <si>
    <t>Retinoblastoma-associated protein</t>
  </si>
  <si>
    <t>Cyclin-dependent kinase 1</t>
  </si>
  <si>
    <t>ATP synthase subunit beta, mitochondrial</t>
  </si>
  <si>
    <t>Eukaryotic translation initiation factor 4E</t>
  </si>
  <si>
    <t>Alpha-enolase</t>
  </si>
  <si>
    <t>Isoform MBP-1 of Alpha-enolase</t>
  </si>
  <si>
    <t>Isoform 2 of Glycogen phosphorylase, liver form</t>
  </si>
  <si>
    <t>Glucose-6-phosphate isomerase</t>
  </si>
  <si>
    <t>DNA polymerase beta</t>
  </si>
  <si>
    <t>Nucleophosmin</t>
  </si>
  <si>
    <t>Isoform 2 of Tropomyosin alpha-3 chain</t>
  </si>
  <si>
    <t>Isoform 3 of Tropomyosin alpha-3 chain</t>
  </si>
  <si>
    <t>Isoform 5 of Tropomyosin alpha-3 chain</t>
  </si>
  <si>
    <t>Beta-hexosaminidase subunit alpha</t>
  </si>
  <si>
    <t>Acyl-CoA-binding protein</t>
  </si>
  <si>
    <t>L-lactate dehydrogenase B chain</t>
  </si>
  <si>
    <t>Phosphoglycerate kinase 2</t>
  </si>
  <si>
    <t>Protein disulfide-isomerase</t>
  </si>
  <si>
    <t>Cathepsin D</t>
  </si>
  <si>
    <t>Annexin A2</t>
  </si>
  <si>
    <t>Calpain-1 catalytic subunit</t>
  </si>
  <si>
    <t>Proactivator polypeptide</t>
  </si>
  <si>
    <t>Beta-hexosaminidase subunit beta</t>
  </si>
  <si>
    <t>Cathepsin L1</t>
  </si>
  <si>
    <t>Profilin-1</t>
  </si>
  <si>
    <t>Bisphosphoglycerate mutase</t>
  </si>
  <si>
    <t>Adenine phosphoribosyltransferase</t>
  </si>
  <si>
    <t>Cathepsin B</t>
  </si>
  <si>
    <t>Heat shock protein HSP 90-alpha</t>
  </si>
  <si>
    <t>Galactose-1-phosphate uridylyltransferase</t>
  </si>
  <si>
    <t>Cytochrome b-c1 complex subunit 6, mitochondrial</t>
  </si>
  <si>
    <t>Laminin subunit beta-1</t>
  </si>
  <si>
    <t>Tyrosine-protein kinase Yes</t>
  </si>
  <si>
    <t>Tyrosine-protein kinase Lyn</t>
  </si>
  <si>
    <t>Isoform Cytoplasmic of Fumarate hydratase, mitochondrial</t>
  </si>
  <si>
    <t>DNA excision repair protein ERCC-1</t>
  </si>
  <si>
    <t>Transcription factor Sp1</t>
  </si>
  <si>
    <t>Heat shock 70 kDa protein 1A/1B</t>
  </si>
  <si>
    <t>Annexin A6</t>
  </si>
  <si>
    <t>Isoform 2 of 4F2 cell-surface antigen heavy chain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</si>
  <si>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</si>
  <si>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</si>
  <si>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</si>
  <si>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</si>
  <si>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</si>
  <si>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</si>
  <si>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Isoform 2 of Receptor-type tyrosine-protein phosphatase C</t>
  </si>
  <si>
    <t>U2 small nuclear ribonucleoprotein B</t>
  </si>
  <si>
    <t>Myosin light chain 3</t>
  </si>
  <si>
    <t>U1 small nuclear ribonucleoprotein 70 kDa</t>
  </si>
  <si>
    <t>Integrin alpha-5</t>
  </si>
  <si>
    <t>Isoform 1 of Nuclear factor 1 C-type</t>
  </si>
  <si>
    <t>Vimentin</t>
  </si>
  <si>
    <t>Keratin, type I cytoskeletal 19</t>
  </si>
  <si>
    <t>Guanine nucleotide-binding protein G(k) subunit alpha</t>
  </si>
  <si>
    <t>Annexin A5</t>
  </si>
  <si>
    <t>Keratin, type I cytoskeletal 16</t>
  </si>
  <si>
    <t>U1 small nuclear ribonucleoprotein A</t>
  </si>
  <si>
    <t>Isoform 3 of Fibroblast growth factor 2</t>
  </si>
  <si>
    <t>Hemoglobin subunit theta-1</t>
  </si>
  <si>
    <t>3-ketoacyl-CoA thiolase, peroxisomal</t>
  </si>
  <si>
    <t>Signal recognition particle 19 kDa protein</t>
  </si>
  <si>
    <t>Glutathione S-transferase P</t>
  </si>
  <si>
    <t>U1 small nuclear ribonucleoprotein C</t>
  </si>
  <si>
    <t>Villin-1</t>
  </si>
  <si>
    <t>Galectin-1</t>
  </si>
  <si>
    <t>Dihydropteridine reductase</t>
  </si>
  <si>
    <t>High mobility group protein B1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</si>
  <si>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</si>
  <si>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</si>
  <si>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</si>
  <si>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</si>
  <si>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Dihydrolipoyl dehydrogenase, mitochondrial</t>
  </si>
  <si>
    <t>Isoform 2 of Heterogeneous nuclear ribonucleoprotein A1</t>
  </si>
  <si>
    <t>U2 small nuclear ribonucleoprotein A</t>
  </si>
  <si>
    <t>Pro-cathepsin H</t>
  </si>
  <si>
    <t>Poly [ADP-ribose] polymerase 1</t>
  </si>
  <si>
    <t>DNA polymerase alpha catalytic subunit</t>
  </si>
  <si>
    <t>Arachidonate 5-lipoxygenase</t>
  </si>
  <si>
    <t>Leukotriene A-4 hydrolase</t>
  </si>
  <si>
    <t>Fructose-bisphosphate aldolase C</t>
  </si>
  <si>
    <t>Ataxin-1-like</t>
  </si>
  <si>
    <t>DNA-directed RNA polymerase II subunit GRINL1A</t>
  </si>
  <si>
    <t>Chromosome transmission fidelity protein 8 homolog isoform 2</t>
  </si>
  <si>
    <t>Chromosome transmission fidelity protein 8 homolog</t>
  </si>
  <si>
    <t>Zinc finger protein 888</t>
  </si>
  <si>
    <t>G antigen 12I</t>
  </si>
  <si>
    <t>40S ribosomal protein S17-like</t>
  </si>
  <si>
    <t>Trafficking protein particle complex subunit 2 protein TRAPPC2P1</t>
  </si>
  <si>
    <t>Zinc finger and SCAN domain-containing protein 22</t>
  </si>
  <si>
    <t>Adrenodoxin, mitochondrial</t>
  </si>
  <si>
    <t>60 kDa SS-A/Ro ribonucleoprotein</t>
  </si>
  <si>
    <t>Isoform 11 of Transcriptional activator Myb</t>
  </si>
  <si>
    <t>Myb-related protein B</t>
  </si>
  <si>
    <t>Lysosomal alpha-glucosidase</t>
  </si>
  <si>
    <t>Serine/threonine-protein kinase A-Raf</t>
  </si>
  <si>
    <t>Dihydrolipoyllysine-residue acetyltransferase component of pyruvate dehydrogenase complex, mitochondrial</t>
  </si>
  <si>
    <t>Nuclear receptor subfamily 2 group F member 6</t>
  </si>
  <si>
    <t>Thioredoxin</t>
  </si>
  <si>
    <t>Cytochrome c oxidase subunit 5B, mitochondrial</t>
  </si>
  <si>
    <t>Lysosomal protective protein</t>
  </si>
  <si>
    <t>Isoform Fetal-tau of Microtubule-associated protein tau</t>
  </si>
  <si>
    <t>cAMP-dependent protein kinase type I-alpha regulatory subunit</t>
  </si>
  <si>
    <t>Isoform Beta of Tissue factor pathway inhibitor</t>
  </si>
  <si>
    <t>Uroporphyrinogen-III synthase</t>
  </si>
  <si>
    <t>S-formylglutathione hydrolase</t>
  </si>
  <si>
    <t>60 kDa heat shock protein, mitochondrial</t>
  </si>
  <si>
    <t>78 kDa glucose-regulated protein</t>
  </si>
  <si>
    <t>Phenylethanolamine N-methyltransferase</t>
  </si>
  <si>
    <t>Isoform 3 of Microtubule-associated protein 2</t>
  </si>
  <si>
    <t>Heat shock cognate 71 kDa protein</t>
  </si>
  <si>
    <t>Protein 4.1</t>
  </si>
  <si>
    <t>Isoform 2 of Protein 4.1</t>
  </si>
  <si>
    <t>Isoform 4 of Protein 4.1</t>
  </si>
  <si>
    <t>Uridine 5-monophosphate synthase</t>
  </si>
  <si>
    <t>Isoform 3 of Pyruvate dehydrogenase E1 component subunit beta, mitochondrial</t>
  </si>
  <si>
    <t>Glycogen phosphorylase, brain form</t>
  </si>
  <si>
    <t>Ras-related protein Ral-A</t>
  </si>
  <si>
    <t>Ras-related protein Ral-B</t>
  </si>
  <si>
    <t>Breakpoint cluster region protein</t>
  </si>
  <si>
    <t>Isoform 3 of Spectrin beta chain, erythrocytic</t>
  </si>
  <si>
    <t>Lysosome-associated membrane glycoprotein 1</t>
  </si>
  <si>
    <t>Medium-chain specific acyl-CoA dehydrogenase, mitochondrial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</si>
  <si>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</si>
  <si>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</si>
  <si>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</si>
  <si>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</si>
  <si>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</si>
  <si>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Isoform 2 of Dystrophin</t>
  </si>
  <si>
    <t>Cation-independent mannose-6-phosphate receptor</t>
  </si>
  <si>
    <t>Alcohol dehydrogenase class-3</t>
  </si>
  <si>
    <t>Cyclin-dependent kinase 4</t>
  </si>
  <si>
    <t>Ribose-phosphate pyrophosphokinase 2</t>
  </si>
  <si>
    <t>Polyadenylate-binding protein 1</t>
  </si>
  <si>
    <t>Proliferating cell nuclear antigen</t>
  </si>
  <si>
    <t>Neurofilament heavy polypeptide</t>
  </si>
  <si>
    <t>Histidine--tRNA ligase, cytoplasmic</t>
  </si>
  <si>
    <t>ADP/ATP translocase 3</t>
  </si>
  <si>
    <t>Nucleoprotein TPR</t>
  </si>
  <si>
    <t>Creatine kinase B-type</t>
  </si>
  <si>
    <t>Annexin A3</t>
  </si>
  <si>
    <t>Creatine kinase U-type, mitochondrial</t>
  </si>
  <si>
    <t>2-oxoisovalerate dehydrogenase subunit alpha, mitochondrial</t>
  </si>
  <si>
    <t>Isoform SNON2 of Ski-like protein</t>
  </si>
  <si>
    <t>Alpha-actinin-1</t>
  </si>
  <si>
    <t>Myosin-1</t>
  </si>
  <si>
    <t>Xaa-Pro dipeptidase</t>
  </si>
  <si>
    <t>X-ray repair cross-complementing protein 6</t>
  </si>
  <si>
    <t>Protein lyl-1</t>
  </si>
  <si>
    <t>X-ray repair cross-complementing protein 5</t>
  </si>
  <si>
    <t>Cytochrome c oxidase subunit 4 isoform 1, mitochondrial</t>
  </si>
  <si>
    <t>Gamma-interferon-inducible lysosomal thiol reductase</t>
  </si>
  <si>
    <t>Ribonuclease inhibitor</t>
  </si>
  <si>
    <t>Cytochrome b-245 light chain</t>
  </si>
  <si>
    <t>Elongation factor 2</t>
  </si>
  <si>
    <t>Keratin, type I cytoskeletal 10</t>
  </si>
  <si>
    <t>Keratin, type II cytoskeletal 5</t>
  </si>
  <si>
    <t>Protein disulfide-isomerase A4</t>
  </si>
  <si>
    <t>Isoform 2 of Prolyl 4-hydroxylase subunit alpha-1</t>
  </si>
  <si>
    <t>Zinc finger protein 35</t>
  </si>
  <si>
    <t>Translationally-controlled tumor protein</t>
  </si>
  <si>
    <t>Plastin-2</t>
  </si>
  <si>
    <t>Acylamino-acid-releasing enzyme</t>
  </si>
  <si>
    <t>Electron transfer flavoprotein subunit alpha, mitochondrial</t>
  </si>
  <si>
    <t>cAMP-dependent protein kinase type II-alpha regulatory subunit</t>
  </si>
  <si>
    <t>Isoform 3 of 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</si>
  <si>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</si>
  <si>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</si>
  <si>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</si>
  <si>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</si>
  <si>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Glucosidase 2 subunit beta</t>
  </si>
  <si>
    <t>Hematopoietic lineage cell-specific protein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</si>
  <si>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</si>
  <si>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</si>
  <si>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</si>
  <si>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</si>
  <si>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</si>
  <si>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</si>
  <si>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</si>
  <si>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</si>
  <si>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</si>
  <si>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</si>
  <si>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</si>
  <si>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</si>
  <si>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</si>
  <si>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Cytochrome b-c1 complex subunit 7</t>
  </si>
  <si>
    <t>Serine/threonine-protein kinase B-raf</t>
  </si>
  <si>
    <t>Glutamine synthetase</t>
  </si>
  <si>
    <t>Isoform Gamma of Poliovirus receptor</t>
  </si>
  <si>
    <t>Ras-related C3 botulinum toxin substrate 2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</si>
  <si>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</si>
  <si>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</si>
  <si>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</si>
  <si>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</si>
  <si>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Fos-related antigen 1</t>
  </si>
  <si>
    <t>Proto-oncogene vav</t>
  </si>
  <si>
    <t>Isoform K of Membrane cofactor protein</t>
  </si>
  <si>
    <t>Nucleoside diphosphate kinase A</t>
  </si>
  <si>
    <t>Isoform 2 of Phosphorylase b kinase gamma catalytic chain, liver/testis isoform</t>
  </si>
  <si>
    <t>Zinc finger protein 40</t>
  </si>
  <si>
    <t>Arylsulfatase B</t>
  </si>
  <si>
    <t>40S ribosomal protein S2</t>
  </si>
  <si>
    <t>Isoform B-delta of Transcription factor 4</t>
  </si>
  <si>
    <t>Isoform E47 of Transcription factor E2-alpha</t>
  </si>
  <si>
    <t>Desmoplakin</t>
  </si>
  <si>
    <t>Replication protein A 32 kDa subunit</t>
  </si>
  <si>
    <t>Isoform 3 of Erythroid transcription factor</t>
  </si>
  <si>
    <t>Ribosyldihydronicotinamide dehydrogenase [quinone]</t>
  </si>
  <si>
    <t>Leukosialin</t>
  </si>
  <si>
    <t>Carbonyl reductase [NADPH] 1</t>
  </si>
  <si>
    <t>Isoform Er9 of Ankyrin-1</t>
  </si>
  <si>
    <t>Short-chain specific acyl-CoA dehydrogenase, mitochondrial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</si>
  <si>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</si>
  <si>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</si>
  <si>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</si>
  <si>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</si>
  <si>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</si>
  <si>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</si>
  <si>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</si>
  <si>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</si>
  <si>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</si>
  <si>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</si>
  <si>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</si>
  <si>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Zinc finger protein 14</t>
  </si>
  <si>
    <t>Zinc finger protein 22</t>
  </si>
  <si>
    <t>Zinc finger protein 24</t>
  </si>
  <si>
    <t>Zinc finger protein with KRAB and SCAN domains 1</t>
  </si>
  <si>
    <t>Alpha-N-acetylgalactosaminidase</t>
  </si>
  <si>
    <t>Heat shock 70 kDa protein 6</t>
  </si>
  <si>
    <t>Isoform HMG-Y of High mobility group protein HMG-I/HMG-Y</t>
  </si>
  <si>
    <t>Zinc finger protein 8</t>
  </si>
  <si>
    <t>Transmembrane protein 11, mitochondrial</t>
  </si>
  <si>
    <t>Aspartate aminotransferase, cytoplasmic</t>
  </si>
  <si>
    <t>Protein kinase C alpha type</t>
  </si>
  <si>
    <t>Transcription factor jun-B</t>
  </si>
  <si>
    <t>Isoform UBF2 of Nucleolar transcription factor 1</t>
  </si>
  <si>
    <t>Homeobox protein Hox-B9</t>
  </si>
  <si>
    <t>Homeobox protein Hox-B4</t>
  </si>
  <si>
    <t>Transcription factor jun-D</t>
  </si>
  <si>
    <t>T-cell acute lymphocytic leukemia protein 1</t>
  </si>
  <si>
    <t>Isoform 4 of Cyclic AMP-dependent transcription factor ATF-7</t>
  </si>
  <si>
    <t>cAMP-dependent protein kinase catalytic subunit alpha</t>
  </si>
  <si>
    <t>Calpain-2 catalytic subunit</t>
  </si>
  <si>
    <t>Desmin</t>
  </si>
  <si>
    <t>CCAAT/enhancer-binding protein beta</t>
  </si>
  <si>
    <t>Isoform PTPA of Tyrosine-protein phosphatase non-receptor type 2</t>
  </si>
  <si>
    <t>S-adenosylmethionine decarboxylase proenzyme</t>
  </si>
  <si>
    <t>CTP synthase 1</t>
  </si>
  <si>
    <t>Probable ATP-dependent RNA helicase DDX5</t>
  </si>
  <si>
    <t>6-phosphofructokinase, liver type</t>
  </si>
  <si>
    <t>X-box-binding protein 1</t>
  </si>
  <si>
    <t>Ganglioside GM2 activator</t>
  </si>
  <si>
    <t>Galectin-3</t>
  </si>
  <si>
    <t>T-complex protein 1 subunit alpha</t>
  </si>
  <si>
    <t>Tyrosine-protein phosphatase non-receptor type 1</t>
  </si>
  <si>
    <t>Insulin-like growth factor-binding protein 2</t>
  </si>
  <si>
    <t>ADP-ribosylation factor 4</t>
  </si>
  <si>
    <t>60S ribosomal protein L7</t>
  </si>
  <si>
    <t>Early growth response protein 1</t>
  </si>
  <si>
    <t>Isoform 1 of Vinculin</t>
  </si>
  <si>
    <t>Arylamine N-acetyltransferase 1</t>
  </si>
  <si>
    <t>Isoform G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</si>
  <si>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</si>
  <si>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</si>
  <si>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</si>
  <si>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</si>
  <si>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Cyclic AMP-dependent transcription factor ATF-6 alpha</t>
  </si>
  <si>
    <t>ATP synthase-coupling factor 6, mitochondrial</t>
  </si>
  <si>
    <t>DNA repair protein XRCC1</t>
  </si>
  <si>
    <t>Myosin regulatory light chain 12A</t>
  </si>
  <si>
    <t>Isoform 2 of 1-phosphatidylinositol 4,5-bisphosphate phosphodiesterase gamma-1</t>
  </si>
  <si>
    <t>Nucleolin</t>
  </si>
  <si>
    <t>Isoform 2 of Hexokinase-1</t>
  </si>
  <si>
    <t>Isoform 4 of Hexokinase-1</t>
  </si>
  <si>
    <t>DNA-directed RNA polymerase II subunit RPB3</t>
  </si>
  <si>
    <t>DNA-directed RNA polymerases I, II, and III subunit RPABC1</t>
  </si>
  <si>
    <t>NADH dehydrogenase [ubiquinone] flavoprotein 2, mitochondrial</t>
  </si>
  <si>
    <t>TFIIH basal transcription factor complex helicase XPB subunit</t>
  </si>
  <si>
    <t>Interferon-induced, double-stranded RNA-activated protein kinase</t>
  </si>
  <si>
    <t>Transcription factor E3</t>
  </si>
  <si>
    <t>Isoform 2 of Wilms tumor protein</t>
  </si>
  <si>
    <t>Spermidine synthase</t>
  </si>
  <si>
    <t>Nuclear factor NF-kappa-B p105 subunit</t>
  </si>
  <si>
    <t>Eukaryotic translation initiation factor 2 subunit 2</t>
  </si>
  <si>
    <t>Isoform 3 of Myeloid cell surface antigen CD33</t>
  </si>
  <si>
    <t>Isoform 2 of TATA-box-binding protein</t>
  </si>
  <si>
    <t>Cyclin-A2</t>
  </si>
  <si>
    <t>Transcription factor BTF3</t>
  </si>
  <si>
    <t>Tumor necrosis factor receptor superfamily member 1B</t>
  </si>
  <si>
    <t>Ras-related protein Rab-3B</t>
  </si>
  <si>
    <t>Ras-related protein Rab-4A</t>
  </si>
  <si>
    <t>Isoform 2 of Ras-related protein Rab-6A</t>
  </si>
  <si>
    <t>DNA mismatch repair protein Msh3</t>
  </si>
  <si>
    <t>Proteasome subunit beta type-1</t>
  </si>
  <si>
    <t>Cytochrome c oxidase subunit 5A, mitochondrial</t>
  </si>
  <si>
    <t>Lamin-B1</t>
  </si>
  <si>
    <t>B-cell lymphoma 3 protein</t>
  </si>
  <si>
    <t>N(4)-(beta-N-acetylglucosaminyl)-L-asparaginase</t>
  </si>
  <si>
    <t>Isoform 2 of Ras GTPase-activating protein 1</t>
  </si>
  <si>
    <t>Parathymosin</t>
  </si>
  <si>
    <t>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</si>
  <si>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</si>
  <si>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</si>
  <si>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</si>
  <si>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</si>
  <si>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</si>
  <si>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</si>
  <si>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Cytoplasmic aconitate hydratase</t>
  </si>
  <si>
    <t>Transcription initiation factor TFIID subunit 1</t>
  </si>
  <si>
    <t>Voltage-dependent anion-selective channel protein 1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</si>
  <si>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</si>
  <si>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</si>
  <si>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</si>
  <si>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</si>
  <si>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Isoform 2 of Protein-L-isoaspartate(D-aspartate) O-methyltransferase</t>
  </si>
  <si>
    <t>Trifunctional purine biosynthetic protein adenosine-3</t>
  </si>
  <si>
    <t>Multifunctional protein ADE2</t>
  </si>
  <si>
    <t>Isoform 6 of Non-specific lipid-transfer protein</t>
  </si>
  <si>
    <t>Ubiquitin-like modifier-activating enzyme 1</t>
  </si>
  <si>
    <t>Isoform 3 of Nucleoside diphosphate kinase B</t>
  </si>
  <si>
    <t>Small proline-rich protein 2D</t>
  </si>
  <si>
    <t>NADPH:adrenodoxin oxidoreductase, mitochondrial</t>
  </si>
  <si>
    <t>Heterogeneous nuclear ribonucleoproteins A2/B1</t>
  </si>
  <si>
    <t>MHC class II regulatory factor RFX1</t>
  </si>
  <si>
    <t>E3 ubiquitin-protein ligase CBL</t>
  </si>
  <si>
    <t>Isoform 4 of cAMP-dependent protein kinase catalytic subunit beta</t>
  </si>
  <si>
    <t>Ferrochelatase, mitochondrial</t>
  </si>
  <si>
    <t>DNA repair protein complementing XP-A cells</t>
  </si>
  <si>
    <t>Isoform B of Fibulin-1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</si>
  <si>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</si>
  <si>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</si>
  <si>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</si>
  <si>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</si>
  <si>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Protein S100-A1</t>
  </si>
  <si>
    <t>NAD-dependent malic enzyme, mitochondrial</t>
  </si>
  <si>
    <t>Tryptophan--tRNA ligase, cytoplasmic</t>
  </si>
  <si>
    <t>40S ribosomal protein S3</t>
  </si>
  <si>
    <t>Myogenic factor 6</t>
  </si>
  <si>
    <t>Glycine cleavage system H protein, mitochondrial</t>
  </si>
  <si>
    <t>Isoform 2 of Receptor-type tyrosine-protein phosphatase gamma</t>
  </si>
  <si>
    <t>Nuclear autoantigen Sp-100</t>
  </si>
  <si>
    <t>Isoform Short of Nuclear transcription factor Y subunit alpha</t>
  </si>
  <si>
    <t>Adenosylhomocysteinase</t>
  </si>
  <si>
    <t>Cofilin-1</t>
  </si>
  <si>
    <t>Eukaryotic translation initiation factor 4B</t>
  </si>
  <si>
    <t>Factor VIII intron 22 protein</t>
  </si>
  <si>
    <t>Isoform ZB of Plasma membrane calcium-transporting ATPase 4</t>
  </si>
  <si>
    <t>Inositol-trisphosphate 3-kinase A</t>
  </si>
  <si>
    <t>Isoform 2 of Endothelial transcription factor GATA-2</t>
  </si>
  <si>
    <t>Carnitine O-palmitoyltransferase 2, mitochondrial</t>
  </si>
  <si>
    <t>Thymidylate kinase</t>
  </si>
  <si>
    <t>Ribonucleoside-diphosphate reductase large subunit</t>
  </si>
  <si>
    <t>Elongation factor 1-beta</t>
  </si>
  <si>
    <t>Low molecular weight phosphotyrosine protein phosphatase</t>
  </si>
  <si>
    <t>Acetyl-CoA acetyltransferase, mitochondrial</t>
  </si>
  <si>
    <t>DNA-directed RNA polymerase II subunit RPB1</t>
  </si>
  <si>
    <t>Cyclin-dependent kinase 2</t>
  </si>
  <si>
    <t>Isoform Short of Adenomatous polyposis coli protein</t>
  </si>
  <si>
    <t>Beta-adrenergic receptor kinase 1</t>
  </si>
  <si>
    <t>DNA replication licensing factor MCM3</t>
  </si>
  <si>
    <t>40S ribosomal protein S12</t>
  </si>
  <si>
    <t>Bromodomain-containing protein 2</t>
  </si>
  <si>
    <t>DnaJ homolog subfamily B member 1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</si>
  <si>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</si>
  <si>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</si>
  <si>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</si>
  <si>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</si>
  <si>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</si>
  <si>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</si>
  <si>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Rhombotin-2</t>
  </si>
  <si>
    <t>Protein S100-P</t>
  </si>
  <si>
    <t>Moesin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</si>
  <si>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</si>
  <si>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</si>
  <si>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</si>
  <si>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</si>
  <si>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</si>
  <si>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</si>
  <si>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</si>
  <si>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</si>
  <si>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</si>
  <si>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</si>
  <si>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</si>
  <si>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Tristetraprolin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</si>
  <si>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</si>
  <si>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</si>
  <si>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</si>
  <si>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</si>
  <si>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7 of MAP/microtubule affinity-regulating kinase 3</t>
  </si>
  <si>
    <t>Isoform 2 of Aryl hydrocarbon receptor nuclear translocator</t>
  </si>
  <si>
    <t>Replication protein A 70 kDa DNA-binding subunit</t>
  </si>
  <si>
    <t>DNA-(apurinic or apyrimidinic site) lyase</t>
  </si>
  <si>
    <t>Deoxycytidine kinase</t>
  </si>
  <si>
    <t>Calreticulin</t>
  </si>
  <si>
    <t>Isoform 6 of cAMP-specific 3,5-cyclic phosphodiesterase 4A</t>
  </si>
  <si>
    <t>Microtubule-associated protein 4</t>
  </si>
  <si>
    <t>Calnexin</t>
  </si>
  <si>
    <t>Phosphatidylinositol 3-kinase regulatory subunit alpha</t>
  </si>
  <si>
    <t>Isoform 2 of Proteasome subunit beta type-8</t>
  </si>
  <si>
    <t>Proteasome subunit alpha type-5</t>
  </si>
  <si>
    <t>Proteasome subunit beta type-4</t>
  </si>
  <si>
    <t>Proteasome subunit beta type-6</t>
  </si>
  <si>
    <t>Proteasome subunit beta type-5</t>
  </si>
  <si>
    <t>Isoform 2 of Glutathione S-transferase Mu 2</t>
  </si>
  <si>
    <t>Tropomodulin-1</t>
  </si>
  <si>
    <t>Isoform 4 of NADH-ubiquinone oxidoreductase 75 kDa subunit, mitochondrial</t>
  </si>
  <si>
    <t>DNA polymerase delta catalytic subunit</t>
  </si>
  <si>
    <t>Mitogen-activated protein kinase 1</t>
  </si>
  <si>
    <t>Retinoic acid receptor RXR-beta</t>
  </si>
  <si>
    <t>DNA repair protein complementing XP-G cells</t>
  </si>
  <si>
    <t>Retinoblastoma-like protein 1</t>
  </si>
  <si>
    <t>Granulins</t>
  </si>
  <si>
    <t>Isoform 2 of Cytosol aminopeptidase</t>
  </si>
  <si>
    <t>Tumor necrosis factor receptor superfamily member 8</t>
  </si>
  <si>
    <t>General transcription factor IIE subunit 1</t>
  </si>
  <si>
    <t>Transcription initiation factor IIE subunit beta</t>
  </si>
  <si>
    <t>Tripeptidyl-peptidase 2</t>
  </si>
  <si>
    <t>Inositol monophosphatase 1</t>
  </si>
  <si>
    <t>Tyrosine-protein phosphatase non-receptor type 6</t>
  </si>
  <si>
    <t>Isoform p52Shc of SHC-transforming protein 1</t>
  </si>
  <si>
    <t>Isoform 7 of SHC-transforming protein 1</t>
  </si>
  <si>
    <t>Isoform 4 of DNA-3-methyladenine glycosylase</t>
  </si>
  <si>
    <t>Isoform III of AT-rich interactive domain-containing protein 4A</t>
  </si>
  <si>
    <t>Lysine-specific demethylase 5A</t>
  </si>
  <si>
    <t>Transketolase</t>
  </si>
  <si>
    <t>Protein PML</t>
  </si>
  <si>
    <t>Isoform PML-2 of Protein PML</t>
  </si>
  <si>
    <t>Elongation factor 1-delta</t>
  </si>
  <si>
    <t>Isoform 2 of Elongation factor 1-delta</t>
  </si>
  <si>
    <t>Isoform 3 of Elongation factor 1-delta</t>
  </si>
  <si>
    <t>Myristoylated alanine-rich C-kinase substrate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</si>
  <si>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</si>
  <si>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</si>
  <si>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</si>
  <si>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</si>
  <si>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</si>
  <si>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</si>
  <si>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</si>
  <si>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GTP cyclohydrolase 1 feedback regulatory protein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</si>
  <si>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</si>
  <si>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</si>
  <si>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</si>
  <si>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</si>
  <si>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</si>
  <si>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</si>
  <si>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</si>
  <si>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</si>
  <si>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G1/S-specific cyclin-D2</t>
  </si>
  <si>
    <t>G1/S-specific cyclin-D3</t>
  </si>
  <si>
    <t>Wee1-like protein kinase</t>
  </si>
  <si>
    <t>M-phase inducer phosphatase 3</t>
  </si>
  <si>
    <t>Peptidyl-prolyl cis-trans isomerase F, mitochondrial</t>
  </si>
  <si>
    <t>NK-tumor recognition protein</t>
  </si>
  <si>
    <t>Glycylpeptide N-tetradecanoyltransferase 1</t>
  </si>
  <si>
    <t>Adenylosuccinate synthetase isozyme 2</t>
  </si>
  <si>
    <t>Alpha-2-macroglobulin receptor-associated protein</t>
  </si>
  <si>
    <t>Adenylosuccinate lyase</t>
  </si>
  <si>
    <t>Pyruvate kinase isozymes R/L</t>
  </si>
  <si>
    <t>Isoform 3 of CAP-Gly domain-containing linker protein 1</t>
  </si>
  <si>
    <t>Glutathione S-transferase theta-1</t>
  </si>
  <si>
    <t>Leukocyte elastase inhibitor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</si>
  <si>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</si>
  <si>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</si>
  <si>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</si>
  <si>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</si>
  <si>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</si>
  <si>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</si>
  <si>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</si>
  <si>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Carbamoyl-phosphate synthase [ammonia], mitochondrial</t>
  </si>
  <si>
    <t>Ribonucleoside-diphosphate reductase subunit M2</t>
  </si>
  <si>
    <t>Transcription factor HIVEP2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</si>
  <si>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</si>
  <si>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</si>
  <si>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</si>
  <si>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</si>
  <si>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</si>
  <si>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</si>
  <si>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</si>
  <si>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Heterogeneous nuclear ribonucleoprotein H</t>
  </si>
  <si>
    <t>Caspase-14</t>
  </si>
  <si>
    <t>Isoform Short of 14-3-3 protein beta/alpha</t>
  </si>
  <si>
    <t>Isoform 2 of 14-3-3 protein sigma</t>
  </si>
  <si>
    <t>Stress-induced-phosphoprotein 1</t>
  </si>
  <si>
    <t>Protein S100-A11</t>
  </si>
  <si>
    <t>Isoform 2 of Type II inositol 1,4,5-trisphosphate 5-phosphatase</t>
  </si>
  <si>
    <t>Peroxiredoxin-2</t>
  </si>
  <si>
    <t>Isoform 5 of Beta-arrestin-2</t>
  </si>
  <si>
    <t>Deoxycytidylate deaminase</t>
  </si>
  <si>
    <t>Pyrroline-5-carboxylate reductase 1, mitochondrial</t>
  </si>
  <si>
    <t>Interferon-induced guanylate-binding protein 2</t>
  </si>
  <si>
    <t>Isoform 2 of ETS-related transcription factor Elf-1</t>
  </si>
  <si>
    <t>General transcription factor IIH subunit 1</t>
  </si>
  <si>
    <t>Cystathionine gamma-lyase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</si>
  <si>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</si>
  <si>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</si>
  <si>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</si>
  <si>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</si>
  <si>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</si>
  <si>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</si>
  <si>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</si>
  <si>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</si>
  <si>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</si>
  <si>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</si>
  <si>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</si>
  <si>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</si>
  <si>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</si>
  <si>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Protein EVI2B</t>
  </si>
  <si>
    <t>Bifunctional epoxide hydrolase 2</t>
  </si>
  <si>
    <t>Heat shock 70 kDa protein 4</t>
  </si>
  <si>
    <t>Carbonic anhydrase-related protein</t>
  </si>
  <si>
    <t>Catenin alpha-1</t>
  </si>
  <si>
    <t>Polycomb group RING finger protein 2</t>
  </si>
  <si>
    <t>Prohibitin</t>
  </si>
  <si>
    <t>Tyrosine-protein phosphatase non-receptor type 7</t>
  </si>
  <si>
    <t>Serpin B6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</si>
  <si>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</si>
  <si>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</si>
  <si>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</si>
  <si>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</si>
  <si>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</si>
  <si>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</si>
  <si>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</si>
  <si>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</si>
  <si>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Homeobox protein Hox-D13</t>
  </si>
  <si>
    <t>Cystathionine beta-synthase</t>
  </si>
  <si>
    <t>Keratin, type I cytoskeletal 9</t>
  </si>
  <si>
    <t>Insulin receptor substrate 1</t>
  </si>
  <si>
    <t>Isoform 5 of Glycogen debranching enzyme</t>
  </si>
  <si>
    <t>Myosin-9</t>
  </si>
  <si>
    <t>Isoform 2 of Myosin-9</t>
  </si>
  <si>
    <t>Myosin-10</t>
  </si>
  <si>
    <t>Coatomer subunit beta</t>
  </si>
  <si>
    <t>Alpha-adducin</t>
  </si>
  <si>
    <t>Beta-adducin</t>
  </si>
  <si>
    <t>Isoform 2 of Basigin</t>
  </si>
  <si>
    <t>Isoform Short of RNA-binding protein FUS</t>
  </si>
  <si>
    <t>Isoform 4 of Nuclear pore complex protein Nup214</t>
  </si>
  <si>
    <t>Transcription factor SOX-6</t>
  </si>
  <si>
    <t>Glutaredoxin-1</t>
  </si>
  <si>
    <t>Isoform 2 of Choline kinase alpha</t>
  </si>
  <si>
    <t>Protein phosphatase 1A</t>
  </si>
  <si>
    <t>Aryl hydrocarbon receptor</t>
  </si>
  <si>
    <t>Keratin, type II cytoskeletal 2 epidermal</t>
  </si>
  <si>
    <t>26S protease regulatory subunit 7</t>
  </si>
  <si>
    <t>ADP-ribosylation factor-like protein 2</t>
  </si>
  <si>
    <t>ADP-ribosylation factor-like protein 3</t>
  </si>
  <si>
    <t>Isoform Gamma of E3 ubiquitin-protein ligase TRIM23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</si>
  <si>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</si>
  <si>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</si>
  <si>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</si>
  <si>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</si>
  <si>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</si>
  <si>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Serine/threonine-protein phosphatase PP1-gamma catalytic subunit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</si>
  <si>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</si>
  <si>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</si>
  <si>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</si>
  <si>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</si>
  <si>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</si>
  <si>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</si>
  <si>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</si>
  <si>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</si>
  <si>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Transgelin-2</t>
  </si>
  <si>
    <t>Transaldolase</t>
  </si>
  <si>
    <t>Isoform 2-4 of Alpha-synuclein</t>
  </si>
  <si>
    <t>Electron transfer flavoprotein subunit beta</t>
  </si>
  <si>
    <t>RNA-binding motif protein, X chromosome</t>
  </si>
  <si>
    <t>Isoform 4 of Breast cancer type 1 susceptibility protein</t>
  </si>
  <si>
    <t>Coilin</t>
  </si>
  <si>
    <t>V-type proton ATPase catalytic subunit A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</si>
  <si>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</si>
  <si>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</si>
  <si>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</si>
  <si>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</si>
  <si>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</si>
  <si>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</si>
  <si>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</si>
  <si>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</si>
  <si>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</si>
  <si>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</si>
  <si>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Isoform 3 of Interleukin-6 receptor subunit beta</t>
  </si>
  <si>
    <t>Alpha-taxilin</t>
  </si>
  <si>
    <t>T-complex protein 1 subunit zeta</t>
  </si>
  <si>
    <t>Proteasome subunit beta type-10</t>
  </si>
  <si>
    <t>Isoform 3 of Von Hippel-Lindau disease tumor suppressor</t>
  </si>
  <si>
    <t>Pre-B-cell leukemia transcription factor 2</t>
  </si>
  <si>
    <t>60S ribosomal protein L13a</t>
  </si>
  <si>
    <t>DNA mismatch repair protein Mlh1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</si>
  <si>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</si>
  <si>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</si>
  <si>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</si>
  <si>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</si>
  <si>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</si>
  <si>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</si>
  <si>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</si>
  <si>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</si>
  <si>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</si>
  <si>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ETS translocation variant 3</t>
  </si>
  <si>
    <t>Centrin-2</t>
  </si>
  <si>
    <t>Transcription factor ETV6</t>
  </si>
  <si>
    <t>Eukaryotic translation initiation factor 2D</t>
  </si>
  <si>
    <t>Protein BUD31 homolog</t>
  </si>
  <si>
    <t>Ubiquitin-like modifier-activating enzyme 7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</si>
  <si>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</si>
  <si>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</si>
  <si>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</si>
  <si>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</si>
  <si>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</si>
  <si>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</si>
  <si>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</si>
  <si>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</si>
  <si>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</si>
  <si>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</si>
  <si>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</si>
  <si>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</si>
  <si>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</si>
  <si>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</si>
  <si>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</si>
  <si>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</si>
  <si>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6 of Rho GTPase-activating protein 25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</si>
  <si>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</si>
  <si>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</si>
  <si>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</si>
  <si>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Phosphatidylinositol 4-kinase alpha</t>
  </si>
  <si>
    <t>Epidermal growth factor receptor substrate 15</t>
  </si>
  <si>
    <t>Caspase-3</t>
  </si>
  <si>
    <t>Caspase-2</t>
  </si>
  <si>
    <t>40S ribosomal protein S27</t>
  </si>
  <si>
    <t>Isoform 3 of Megakaryocyte-associated tyrosine-protein kinase</t>
  </si>
  <si>
    <t>Tyrosine-protein kinase Tec</t>
  </si>
  <si>
    <t>Isoform 6 of Abelson tyrosine-protein kinase 2</t>
  </si>
  <si>
    <t>Probable helicase with zinc finger domain</t>
  </si>
  <si>
    <t>Condensin-2 complex subunit D3</t>
  </si>
  <si>
    <t>Isoform 2 of RNA-binding protein 34</t>
  </si>
  <si>
    <t>Leucine-rich PPR motif-containing protein, mitochondrial</t>
  </si>
  <si>
    <t>3-ketoacyl-CoA thiolase, mitochondrial</t>
  </si>
  <si>
    <t>Wiskott-Aldrich syndrome protein</t>
  </si>
  <si>
    <t>Cyclin-dependent kinase 4 inhibitor C</t>
  </si>
  <si>
    <t>Lysosomal Pro-X carboxypeptidase</t>
  </si>
  <si>
    <t>Huntingtin</t>
  </si>
  <si>
    <t>Platelet-activating factor acetylhydrolase IB subunit alpha</t>
  </si>
  <si>
    <t>Isoform 3 of Carnitine O-acetyltransferase</t>
  </si>
  <si>
    <t>DNA mismatch repair protein Msh2</t>
  </si>
  <si>
    <t>Melanoma-associated antigen 1</t>
  </si>
  <si>
    <t>Melanoma-associated antigen 2</t>
  </si>
  <si>
    <t>Melanoma-associated antigen 4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</si>
  <si>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</si>
  <si>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</si>
  <si>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</si>
  <si>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</si>
  <si>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</si>
  <si>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</si>
  <si>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</si>
  <si>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</si>
  <si>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</si>
  <si>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</si>
  <si>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</si>
  <si>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</si>
  <si>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Antigen KI-67</t>
  </si>
  <si>
    <t>Isoform 3 of Phosphorylase b kinase regulatory subunit alpha, skeletal muscle isoform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</si>
  <si>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</si>
  <si>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</si>
  <si>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</si>
  <si>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</si>
  <si>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</si>
  <si>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</si>
  <si>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</si>
  <si>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</si>
  <si>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</si>
  <si>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Isoform 1 of Dual specificity mitogen-activated protein kinase kinase 3</t>
  </si>
  <si>
    <t>Isoform 1 of Lys-63-specific deubiquitinase BRCC36</t>
  </si>
  <si>
    <t>60S ribosomal protein L5</t>
  </si>
  <si>
    <t>Isoform 4 of 60S ribosomal protein L28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</si>
  <si>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</si>
  <si>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</si>
  <si>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</si>
  <si>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</si>
  <si>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</si>
  <si>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</si>
  <si>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</si>
  <si>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</si>
  <si>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</si>
  <si>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</si>
  <si>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</si>
  <si>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Rap1 GTPase-activating protein 1</t>
  </si>
  <si>
    <t>F-actin-capping protein subunit alpha-2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</si>
  <si>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</si>
  <si>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</si>
  <si>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</si>
  <si>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</si>
  <si>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</si>
  <si>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LIM and senescent cell antigen-like-containing domain protein 1</t>
  </si>
  <si>
    <t>Prolyl endopeptidase</t>
  </si>
  <si>
    <t>NADP-dependent malic enzyme</t>
  </si>
  <si>
    <t>Iron-responsive element-binding protein 2</t>
  </si>
  <si>
    <t>Isoform 2 of DNA-binding protein RFX2</t>
  </si>
  <si>
    <t>DNA-binding protein RFX5</t>
  </si>
  <si>
    <t>Coatomer subunit delta</t>
  </si>
  <si>
    <t>Serine/threonine-protein phosphatase 2B catalytic subunit gamma isoform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</si>
  <si>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</si>
  <si>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</si>
  <si>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</si>
  <si>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</si>
  <si>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</si>
  <si>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Phosphatidylserine synthase 1</t>
  </si>
  <si>
    <t>Nestin</t>
  </si>
  <si>
    <t>Heat shock 70 kDa protein 13</t>
  </si>
  <si>
    <t>Casein kinase I isoform alpha</t>
  </si>
  <si>
    <t>Casein kinase I isoform delta</t>
  </si>
  <si>
    <t>Phosphatidylinositol 4,5-bisphosphate 3-kinase catalytic subunit gamma isoform</t>
  </si>
  <si>
    <t>Phosphatidylinositol transfer protein beta isoform</t>
  </si>
  <si>
    <t>DNA polymerase delta subunit 2</t>
  </si>
  <si>
    <t>MARCKS-related protein</t>
  </si>
  <si>
    <t>Nuclear receptor subfamily 2 group C member 2</t>
  </si>
  <si>
    <t>Isoform 2 of 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</si>
  <si>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</si>
  <si>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</si>
  <si>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</si>
  <si>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</si>
  <si>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</si>
  <si>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</si>
  <si>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</si>
  <si>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</si>
  <si>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</si>
  <si>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</si>
  <si>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</si>
  <si>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Beta-arrestin-1</t>
  </si>
  <si>
    <t>Isoform 1B of Beta-arrestin-1</t>
  </si>
  <si>
    <t>Elongation factor Tu, mitochondrial</t>
  </si>
  <si>
    <t>Ubiquitin-conjugating enzyme E2 R1</t>
  </si>
  <si>
    <t>Inositol polyphosphate 1-phosphatase</t>
  </si>
  <si>
    <t>Glutamate dehydrogenase 2, mitochondrial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</si>
  <si>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</si>
  <si>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</si>
  <si>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</si>
  <si>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</si>
  <si>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</si>
  <si>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</si>
  <si>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</si>
  <si>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Protein phosphatase 1F</t>
  </si>
  <si>
    <t>DNA primase small subunit</t>
  </si>
  <si>
    <t>DNA primase large subunit</t>
  </si>
  <si>
    <t>Isoform 2 of Caspase-4</t>
  </si>
  <si>
    <t>Casein kinase I isoform epsilon</t>
  </si>
  <si>
    <t>Transcriptional repressor CTCF</t>
  </si>
  <si>
    <t>CCAAT/enhancer-binding protein delta</t>
  </si>
  <si>
    <t>Proteasome subunit beta type-3</t>
  </si>
  <si>
    <t>Proteasome subunit beta type-2</t>
  </si>
  <si>
    <t>Very long-chain specific acyl-CoA dehydrogenase, mitochondrial</t>
  </si>
  <si>
    <t>Isoform 4 of YLP motif-containing protein 1</t>
  </si>
  <si>
    <t>Transmembrane emp24 domain-containing protein 10</t>
  </si>
  <si>
    <t>RNA-binding protein 25</t>
  </si>
  <si>
    <t>Isoform 3 of Protein numb homolog</t>
  </si>
  <si>
    <t>Translation initiation factor eIF-2B subunit beta</t>
  </si>
  <si>
    <t>Histidine triad nucleotide-binding protein 1</t>
  </si>
  <si>
    <t>Bis(5-adenosyl)-triphosphatase</t>
  </si>
  <si>
    <t>E3 SUMO-protein ligase RanBP2</t>
  </si>
  <si>
    <t>Isoform 4 of Regulator of G-protein signaling 3</t>
  </si>
  <si>
    <t>Glycogen synthase kinase-3 beta</t>
  </si>
  <si>
    <t>Isoform 2 of Transcription initiation factor TFIID subunit 6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</si>
  <si>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</si>
  <si>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</si>
  <si>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</si>
  <si>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</si>
  <si>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</si>
  <si>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Isoform Short of Cyclin-dependent kinase inhibitor 1C</t>
  </si>
  <si>
    <t>Double-strand break repair protein MRE11A</t>
  </si>
  <si>
    <t>Ketohexokinase</t>
  </si>
  <si>
    <t>Histamine N-methyltransferase</t>
  </si>
  <si>
    <t>Isocitrate dehydrogenase [NAD] subunit alpha, mitochondrial</t>
  </si>
  <si>
    <t>Motor neuron and pancreas homeobox protein 1</t>
  </si>
  <si>
    <t>Sulfotransferase 1A3/1A4</t>
  </si>
  <si>
    <t>Sulfotransferase 1A1</t>
  </si>
  <si>
    <t>Cysteine-rich protein 1</t>
  </si>
  <si>
    <t>Rab GDP dissociation inhibitor beta</t>
  </si>
  <si>
    <t>Emerin</t>
  </si>
  <si>
    <t>Serpin B9</t>
  </si>
  <si>
    <t>Serpin H1</t>
  </si>
  <si>
    <t>PDZ and LIM domain protein 4</t>
  </si>
  <si>
    <t>Hsc70-interacting protein</t>
  </si>
  <si>
    <t>Isoform 3 of Peroxisomal targeting signal 1 receptor</t>
  </si>
  <si>
    <t>Vasodilator-stimulated phosphoprotein</t>
  </si>
  <si>
    <t>Isoform 4 of Dynamin-2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</si>
  <si>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</si>
  <si>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</si>
  <si>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</si>
  <si>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</si>
  <si>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</si>
  <si>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Cyclin-dependent kinase 9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</si>
  <si>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</si>
  <si>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</si>
  <si>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</si>
  <si>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</si>
  <si>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</si>
  <si>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</si>
  <si>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</si>
  <si>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</si>
  <si>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Rab-28</t>
  </si>
  <si>
    <t>Isoform Short of Ras-related protein Rab-27A</t>
  </si>
  <si>
    <t>Gastrotropin</t>
  </si>
  <si>
    <t>1-phosphatidylinositol 4,5-bisphosphate phosphodiesterase delta-1</t>
  </si>
  <si>
    <t>Dual specificity protein phosphatase 3</t>
  </si>
  <si>
    <t>Matrix metalloproteinase-15</t>
  </si>
  <si>
    <t>Isoform Short of Probable global transcription activator SNF2L2</t>
  </si>
  <si>
    <t>Isoform 5 of Transcription activator BRG1</t>
  </si>
  <si>
    <t>Galactokinase</t>
  </si>
  <si>
    <t>Translocon-associated protein subunit delta</t>
  </si>
  <si>
    <t>B-cell receptor-associated protein 31</t>
  </si>
  <si>
    <t>Thiopurine S-methyltransferase</t>
  </si>
  <si>
    <t>Breast cancer type 2 susceptibility protein</t>
  </si>
  <si>
    <t>N-acylglucosamine 2-epimerase</t>
  </si>
  <si>
    <t>Methyl-CpG-binding protein 2</t>
  </si>
  <si>
    <t>Host cell factor 1</t>
  </si>
  <si>
    <t>Isoform 4 of Host cell factor 1</t>
  </si>
  <si>
    <t>Interleukin-1 receptor-associated kinase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</si>
  <si>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</si>
  <si>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</si>
  <si>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</si>
  <si>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</si>
  <si>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</si>
  <si>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</si>
  <si>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Signal transducer and activator of transcription 5B</t>
  </si>
  <si>
    <t>Vesicle-associated membrane protein 7</t>
  </si>
  <si>
    <t>Isoform 3 of AF4/FMR2 family member 1</t>
  </si>
  <si>
    <t>Isoform 2 of 3-oxo-5-beta-steroid 4-dehydrogenase</t>
  </si>
  <si>
    <t>Hepatoma-derived growth factor</t>
  </si>
  <si>
    <t>Cyclin-H</t>
  </si>
  <si>
    <t>CDK-activating kinase assembly factor MAT1</t>
  </si>
  <si>
    <t>Heterogeneous nuclear ribonucleoprotein A3</t>
  </si>
  <si>
    <t>Isoform 2 of Myomesin-1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</si>
  <si>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</si>
  <si>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</si>
  <si>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</si>
  <si>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</si>
  <si>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</si>
  <si>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Rho GDP-dissociation inhibitor 2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</si>
  <si>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</si>
  <si>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</si>
  <si>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</si>
  <si>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</si>
  <si>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</si>
  <si>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</si>
  <si>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</si>
  <si>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</si>
  <si>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Isoform 2 of Zinc finger protein 131</t>
  </si>
  <si>
    <t>Isoform 2 of Zinc finger protein 143</t>
  </si>
  <si>
    <t>RNA-binding protein 5</t>
  </si>
  <si>
    <t>Ribonuclease UK114</t>
  </si>
  <si>
    <t>Spermine synthase</t>
  </si>
  <si>
    <t>Hexokinase-2</t>
  </si>
  <si>
    <t>39S ribosomal protein L12, mitochondrial</t>
  </si>
  <si>
    <t>Diacylglycerol kinase theta</t>
  </si>
  <si>
    <t>Thimet oligopeptidase</t>
  </si>
  <si>
    <t>F-actin-capping protein subunit alpha-1</t>
  </si>
  <si>
    <t>Isoform 5 of Nuclear pore complex protein Nup98-Nup96</t>
  </si>
  <si>
    <t>Biliverdin reductase A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</si>
  <si>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</si>
  <si>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</si>
  <si>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</si>
  <si>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</si>
  <si>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</si>
  <si>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CCAAT/enhancer-binding protein gamma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</si>
  <si>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</si>
  <si>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</si>
  <si>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</si>
  <si>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</si>
  <si>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</si>
  <si>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</si>
  <si>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</si>
  <si>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2 of Clathrin heavy chain 2</t>
  </si>
  <si>
    <t>AP-3 complex subunit mu-2</t>
  </si>
  <si>
    <t>AP-2 complex subunit sigma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</si>
  <si>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</si>
  <si>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</si>
  <si>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</si>
  <si>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</si>
  <si>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Calcipressin-1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</si>
  <si>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</si>
  <si>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</si>
  <si>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</si>
  <si>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</si>
  <si>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</si>
  <si>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</si>
  <si>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Protein HIRA</t>
  </si>
  <si>
    <t>Atrophin-1</t>
  </si>
  <si>
    <t>Isoform 2 of Telomeric repeat-binding factor 1</t>
  </si>
  <si>
    <t>Isoform 3 of PMS1 protein homolog 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</si>
  <si>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</si>
  <si>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</si>
  <si>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</si>
  <si>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</si>
  <si>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Isoform 4 of Branched-chain-amino-acid aminotransferase, cytosolic</t>
  </si>
  <si>
    <t>UV excision repair protein RAD23 homolog B</t>
  </si>
  <si>
    <t>Alpha-N-acetylglucosaminidase</t>
  </si>
  <si>
    <t>Isoform Short of Delta-1-pyrroline-5-carboxylate synthase</t>
  </si>
  <si>
    <t>Alpha-soluble NSF attachment protein</t>
  </si>
  <si>
    <t>[Protein ADP-ribosylarginine] hydrolase</t>
  </si>
  <si>
    <t>Allograft inflammatory factor 1</t>
  </si>
  <si>
    <t>Eukaryotic translation initiation factor 5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</si>
  <si>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</si>
  <si>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</si>
  <si>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</si>
  <si>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</si>
  <si>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</si>
  <si>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Mesencephalic astrocyte-derived neurotrophic factor</t>
  </si>
  <si>
    <t>Nck-associated protein 1-like</t>
  </si>
  <si>
    <t>Isoform 3 of Afadin</t>
  </si>
  <si>
    <t>Protein AF-17</t>
  </si>
  <si>
    <t>RNA polymerase II elongation factor ELL</t>
  </si>
  <si>
    <t>Caspase-9</t>
  </si>
  <si>
    <t>Caspase-6</t>
  </si>
  <si>
    <t>Adenosine kinase</t>
  </si>
  <si>
    <t>Isoform 5 of Double-stranded RNA-specific adenosine deaminase</t>
  </si>
  <si>
    <t>Isoform 2 of Tumor protein D52</t>
  </si>
  <si>
    <t>Protein arginine N-methyltransferase 2</t>
  </si>
  <si>
    <t>Isoform 2 of Homeobox protein PKNOX1</t>
  </si>
  <si>
    <t>Protein SEC13 homolog</t>
  </si>
  <si>
    <t>NHP2-like protein 1</t>
  </si>
  <si>
    <t>Paired box protein Pax-9</t>
  </si>
  <si>
    <t>FAD-linked sulfhydryl oxidase ALR</t>
  </si>
  <si>
    <t>Heterogeneous nuclear ribonucleoprotein H2</t>
  </si>
  <si>
    <t>Small ubiquitin-related modifier 3</t>
  </si>
  <si>
    <t>Eukaryotic translation initiation factor 3 subunit B</t>
  </si>
  <si>
    <t>BH3-interacting domain death agonist</t>
  </si>
  <si>
    <t>Isoform 2 of NADH dehydrogenase [ubiquinone] flavoprotein 3, mitochondrial</t>
  </si>
  <si>
    <t>Ribosomal RNA processing protein 1 homolog A</t>
  </si>
  <si>
    <t>Methionine--tRNA ligase, cytoplasmic</t>
  </si>
  <si>
    <t>cAMP-regulated phosphoprotein 19</t>
  </si>
  <si>
    <t>Cx9C motif-containing protein 4</t>
  </si>
  <si>
    <t>Isoform 3 of DNA polymerase epsilon subunit 2</t>
  </si>
  <si>
    <t>AP-1 complex subunit sigma-2</t>
  </si>
  <si>
    <t>Histone deacetylase 4</t>
  </si>
  <si>
    <t>Eukaryotic translation initiation factor 6</t>
  </si>
  <si>
    <t>Nucleoside diphosphate kinase homolog 5</t>
  </si>
  <si>
    <t>Period circadian protein homolog 3</t>
  </si>
  <si>
    <t>Isoform 5 of Breast cancer anti-estrogen resistance protein 1</t>
  </si>
  <si>
    <t>RWD domain-containing protein 2B</t>
  </si>
  <si>
    <t>Isoform 3 of Ubiquitin-associated and SH3 domain-containing protein A</t>
  </si>
  <si>
    <t>Uncharacterized protein C21orf59</t>
  </si>
  <si>
    <t>tRNA (guanine-N(7)-)-methyltransferase subunit WDR4</t>
  </si>
  <si>
    <t>Transmembrane protein 33</t>
  </si>
  <si>
    <t>Synaptojanin-2-binding protein</t>
  </si>
  <si>
    <t>Krueppel-like factor 3</t>
  </si>
  <si>
    <t>Isoform 3 of Coronin-7</t>
  </si>
  <si>
    <t>Nuclear pore complex protein Nup107</t>
  </si>
  <si>
    <t>Gasdermin-D</t>
  </si>
  <si>
    <t>Sorting nexin-16</t>
  </si>
  <si>
    <t>Selenocysteine-specific elongation factor</t>
  </si>
  <si>
    <t>Sestrin-2</t>
  </si>
  <si>
    <t>Epiplakin</t>
  </si>
  <si>
    <t>Isoform 2 of Anthrax toxin receptor 2</t>
  </si>
  <si>
    <t>Myotrophin</t>
  </si>
  <si>
    <t>AP-3 complex subunit sigma-2</t>
  </si>
  <si>
    <t>Zinc finger protein 280A</t>
  </si>
  <si>
    <t>Zinc finger protein 445</t>
  </si>
  <si>
    <t>Actin-related protein 2/3 complex subunit 4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</si>
  <si>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</si>
  <si>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</si>
  <si>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</si>
  <si>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</si>
  <si>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</si>
  <si>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Isoform 2 of Ubiquitin-conjugating enzyme E2 G2</t>
  </si>
  <si>
    <t>Isoform Smooth muscle of Myosin light polypeptide 6</t>
  </si>
  <si>
    <t>Ras-related C3 botulinum toxin substrate 3</t>
  </si>
  <si>
    <t>Eukaryotic initiation factor 4A-I</t>
  </si>
  <si>
    <t>40S ribosomal protein S20</t>
  </si>
  <si>
    <t>Ribose-phosphate pyrophosphokinase 1</t>
  </si>
  <si>
    <t>Proteasome subunit alpha type-6</t>
  </si>
  <si>
    <t>Cell division control protein 42 homolog</t>
  </si>
  <si>
    <t>Isoform 1 of Cell division control protein 42 homolog</t>
  </si>
  <si>
    <t>Isoform 2 of 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</si>
  <si>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</si>
  <si>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</si>
  <si>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</si>
  <si>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</si>
  <si>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</si>
  <si>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</si>
  <si>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</si>
  <si>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</si>
  <si>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</si>
  <si>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</si>
  <si>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</si>
  <si>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</si>
  <si>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</si>
  <si>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</si>
  <si>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</si>
  <si>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</si>
  <si>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</si>
  <si>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</si>
  <si>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</si>
  <si>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</si>
  <si>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</si>
  <si>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</si>
  <si>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40S ribosomal protein S3a</t>
  </si>
  <si>
    <t>60S ribosomal protein L26</t>
  </si>
  <si>
    <t>Proteasome activator complex subunit 3</t>
  </si>
  <si>
    <t>Protein mago nashi homolog</t>
  </si>
  <si>
    <t>60S ribosomal protein L27</t>
  </si>
  <si>
    <t>Pterin-4-alpha-carbinolamine dehydratase</t>
  </si>
  <si>
    <t>Transforming protein RhoA</t>
  </si>
  <si>
    <t>N-alpha-acetyltransferase 20</t>
  </si>
  <si>
    <t>10 kDa heat shock protein, mitochondrial</t>
  </si>
  <si>
    <t>Protein transport protein Sec61 subunit alpha isoform 1</t>
  </si>
  <si>
    <t>Lysozyme C</t>
  </si>
  <si>
    <t>Prefoldin subunit 3</t>
  </si>
  <si>
    <t>Syntaxin-binding protein 1</t>
  </si>
  <si>
    <t>Coatomer subunit zeta-1</t>
  </si>
  <si>
    <t>Isoform 2 of Small ubiquitin-related modifier 2</t>
  </si>
  <si>
    <t>Ubiquitin-fold modifier 1</t>
  </si>
  <si>
    <t>DDB1- and CUL4-associated factor 7</t>
  </si>
  <si>
    <t>WD repeat-containing protein 5</t>
  </si>
  <si>
    <t>AP-1 complex subunit sigma-1A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</si>
  <si>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</si>
  <si>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</si>
  <si>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</si>
  <si>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</si>
  <si>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</si>
  <si>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</si>
  <si>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</si>
  <si>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</si>
  <si>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Calmodulin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</si>
  <si>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</si>
  <si>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</si>
  <si>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</si>
  <si>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</si>
  <si>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</si>
  <si>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</si>
  <si>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Ubiquitin-conjugating enzyme E2 H</t>
  </si>
  <si>
    <t>14-3-3 protein epsilon</t>
  </si>
  <si>
    <t>40S ribosomal protein S14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</si>
  <si>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</si>
  <si>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</si>
  <si>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</si>
  <si>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</si>
  <si>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</si>
  <si>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</si>
  <si>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</si>
  <si>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</si>
  <si>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</si>
  <si>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</si>
  <si>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</si>
  <si>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</si>
  <si>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</si>
  <si>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</si>
  <si>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</si>
  <si>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</si>
  <si>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</si>
  <si>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</si>
  <si>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</si>
  <si>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</si>
  <si>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Isoform 4 of Cellular nucleic acid-binding protein</t>
  </si>
  <si>
    <t>Isoform 5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</si>
  <si>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</si>
  <si>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</si>
  <si>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</si>
  <si>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</si>
  <si>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</si>
  <si>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</si>
  <si>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</si>
  <si>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GTP-binding nuclear protein Ran</t>
  </si>
  <si>
    <t>60S ribosomal protein L23</t>
  </si>
  <si>
    <t>Ras-related protein Rap-1A</t>
  </si>
  <si>
    <t>Ubiquitin-conjugating enzyme E2 D2</t>
  </si>
  <si>
    <t>Isoform 2 of 40S ribosomal protein S24</t>
  </si>
  <si>
    <t>40S ribosomal protein S25</t>
  </si>
  <si>
    <t>40S ribosomal protein S26</t>
  </si>
  <si>
    <t>40S ribosomal protein S28</t>
  </si>
  <si>
    <t>40S ribosomal protein S30</t>
  </si>
  <si>
    <t>Guanine nucleotide-binding protein G(I)/G(S)/G(T) subunit beta-1</t>
  </si>
  <si>
    <t>E3 ubiquitin-protein ligase RBX1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</si>
  <si>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</si>
  <si>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</si>
  <si>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</si>
  <si>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</si>
  <si>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</si>
  <si>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</si>
  <si>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</si>
  <si>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</si>
  <si>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14-3-3 protein zeta/delta</t>
  </si>
  <si>
    <t>Serine/threonine-protein phosphatase 2A 55 kDa regulatory subunit B alpha isoform</t>
  </si>
  <si>
    <t>Small ubiquitin-related modifier 1</t>
  </si>
  <si>
    <t>Dynein light chain 1, cytoplasmic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</si>
  <si>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</si>
  <si>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</si>
  <si>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</si>
  <si>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</si>
  <si>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SUMO-conjugating enzyme UBC9</t>
  </si>
  <si>
    <t>Selenoprotein W</t>
  </si>
  <si>
    <t>Thymosin beta-10</t>
  </si>
  <si>
    <t>Serine/threonine-protein phosphatase 2A catalytic subunit alpha isoform</t>
  </si>
  <si>
    <t>Nuclease-sensitive element-binding protein 1</t>
  </si>
  <si>
    <t>Casein kinase II subunit beta</t>
  </si>
  <si>
    <t>Tropomyosin alpha-4 chain</t>
  </si>
  <si>
    <t>Actin, alpha cardiac muscle 1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</si>
  <si>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</si>
  <si>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</si>
  <si>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</si>
  <si>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</si>
  <si>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</si>
  <si>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</si>
  <si>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gamma-1</t>
  </si>
  <si>
    <t>Hemoglobin subunit gamma-2</t>
  </si>
  <si>
    <t>Hemoglobin subunit alpha</t>
  </si>
  <si>
    <t>Isoform 6 of Protein FAM193A</t>
  </si>
  <si>
    <t>SH3 domain-binding protein 2</t>
  </si>
  <si>
    <t>Immunoglobulin-binding protein 1</t>
  </si>
  <si>
    <t>Phosphoserine phosphatase</t>
  </si>
  <si>
    <t>RNA-binding protein 6</t>
  </si>
  <si>
    <t>Pituitary homeobox 1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</si>
  <si>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</si>
  <si>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</si>
  <si>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</si>
  <si>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</si>
  <si>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Polyhomeotic-like protein 1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</si>
  <si>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</si>
  <si>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</si>
  <si>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</si>
  <si>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</si>
  <si>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</si>
  <si>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Biogenesis of lysosome-related organelles complex 1 subunit 1</t>
  </si>
  <si>
    <t>Endonuclease III-like protein 1</t>
  </si>
  <si>
    <t>Microtubule-associated protein 1A</t>
  </si>
  <si>
    <t>Death domain-containing protein CRADD</t>
  </si>
  <si>
    <t>Interferon-induced 35 kDa protein</t>
  </si>
  <si>
    <t>Metallothionein-1X</t>
  </si>
  <si>
    <t>Isoform 2 of Nucleobindin-2</t>
  </si>
  <si>
    <t>Dermcidin</t>
  </si>
  <si>
    <t>Isoform 4 of Single-stranded DNA-binding protein 2</t>
  </si>
  <si>
    <t>TATA element modulatory factor</t>
  </si>
  <si>
    <t>28S ribosomal protein S35, mitochondrial</t>
  </si>
  <si>
    <t>28S ribosomal protein S34, mitochondrial</t>
  </si>
  <si>
    <t>28S ribosomal protein S9, mitochondrial</t>
  </si>
  <si>
    <t>High mobility group nucleosome-binding domain-containing protein 5</t>
  </si>
  <si>
    <t>SAP domain-containing ribonucleoprotein</t>
  </si>
  <si>
    <t>Retinol-binding protein 5</t>
  </si>
  <si>
    <t>U7 snRNA-associated Sm-like protein LSm11</t>
  </si>
  <si>
    <t>Conserved oligomeric Golgi complex subunit 7</t>
  </si>
  <si>
    <t>60S ribosomal protein L36a</t>
  </si>
  <si>
    <t>Chromobox protein homolog 1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</si>
  <si>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</si>
  <si>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</si>
  <si>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</si>
  <si>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</si>
  <si>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</si>
  <si>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</si>
  <si>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Forkhead box protein K1</t>
  </si>
  <si>
    <t>Isoform 2 of Proline-rich protein 5</t>
  </si>
  <si>
    <t>Vacuolar fusion protein CCZ1 homolog</t>
  </si>
  <si>
    <t>Isoform 3 of Disabled homolog 2</t>
  </si>
  <si>
    <t>E3 ubiquitin-protein ligase XIAP</t>
  </si>
  <si>
    <t>FYVE, RhoGEF and PH domain-containing protein 1</t>
  </si>
  <si>
    <t>Isoform 2 of RNA-binding protein 10</t>
  </si>
  <si>
    <t>Forkhead box protein O4</t>
  </si>
  <si>
    <t>Putative RNA-binding protein 3</t>
  </si>
  <si>
    <t>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</si>
  <si>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</si>
  <si>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</si>
  <si>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</si>
  <si>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</si>
  <si>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</si>
  <si>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</si>
  <si>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</si>
  <si>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</si>
  <si>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</si>
  <si>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</si>
  <si>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</si>
  <si>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Short of Heat shock factor protein 1</t>
  </si>
  <si>
    <t>Isoform 4 of Nuclear factor NF-kappa-B p100 subunit</t>
  </si>
  <si>
    <t>Peptidyl-prolyl cis-trans isomerase FKBP3</t>
  </si>
  <si>
    <t>Sorbitol dehydrogenase</t>
  </si>
  <si>
    <t>Heterogeneous nuclear ribonucleoprotein U</t>
  </si>
  <si>
    <t>Isoform Short of Heterogeneous nuclear ribonucleoprotein U</t>
  </si>
  <si>
    <t>Interferon regulatory factor 9</t>
  </si>
  <si>
    <t>Splicing factor U2AF 35 kDa subunit</t>
  </si>
  <si>
    <t>Spectrin beta chain, non-erythrocytic 1</t>
  </si>
  <si>
    <t>Isoform 2 of Spectrin beta chain, non-erythrocytic 1</t>
  </si>
  <si>
    <t>Nucleolysin TIAR</t>
  </si>
  <si>
    <t>Isoform 2 of Nucleolysin TIAR</t>
  </si>
  <si>
    <t>Isoform 2 of Protein SET</t>
  </si>
  <si>
    <t>Serine/arginine-rich splicing factor 2</t>
  </si>
  <si>
    <t>Forkhead box protein K2</t>
  </si>
  <si>
    <t>Runt-related transcription factor 1</t>
  </si>
  <si>
    <t>AMP deaminase 3</t>
  </si>
  <si>
    <t>Isoform Ex1A-2-3 of AMP deaminase 2</t>
  </si>
  <si>
    <t>Di-N-acetylchitobiase</t>
  </si>
  <si>
    <t>Fatty acid-binding protein, epidermal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</si>
  <si>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</si>
  <si>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</si>
  <si>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</si>
  <si>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</si>
  <si>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</si>
  <si>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</si>
  <si>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OTU domain-containing protein 4</t>
  </si>
  <si>
    <t>6-phosphofructokinase type C</t>
  </si>
  <si>
    <t>Isoform 2 of DNA repair protein complementing XP-C cells</t>
  </si>
  <si>
    <t>Isoform 6 of RNA-binding protein EWS</t>
  </si>
  <si>
    <t>Cerebellar degeneration-related protein 2</t>
  </si>
  <si>
    <t>Isoform B of Inositol polyphosphate 5-phosphatase OCRL-1</t>
  </si>
  <si>
    <t>1-phosphatidylinositol 4,5-bisphosphate phosphodiesterase beta-3</t>
  </si>
  <si>
    <t>A-kinase anchor protein 17A</t>
  </si>
  <si>
    <t>Isoform 2 of Transcription factor Sp2</t>
  </si>
  <si>
    <t>Protein kinase C epsilon type</t>
  </si>
  <si>
    <t>Centromere-associated protein E</t>
  </si>
  <si>
    <t>Isoform 2 of Kinesin-like protein KIF23</t>
  </si>
  <si>
    <t>Transcription factor Sp4</t>
  </si>
  <si>
    <t>Isoform 4 of Transcription factor Sp3</t>
  </si>
  <si>
    <t>60S ribosomal protein L18a</t>
  </si>
  <si>
    <t>Isoform 2 of Voltage-dependent L-type calcium channel subunit beta-1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</si>
  <si>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</si>
  <si>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</si>
  <si>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</si>
  <si>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</si>
  <si>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</si>
  <si>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60S ribosomal protein L6</t>
  </si>
  <si>
    <t>Isoform Beta-1 of DNA topoisomerase 2-beta</t>
  </si>
  <si>
    <t>Isoform 3 of A-kinase anchor protein 12</t>
  </si>
  <si>
    <t>Dystonin</t>
  </si>
  <si>
    <t>Hematopoietically-expressed homeobox protein HHEX</t>
  </si>
  <si>
    <t>Isoform 22 of cAMP-responsive element modulator</t>
  </si>
  <si>
    <t>Protein ENL</t>
  </si>
  <si>
    <t>Aminoacylase-1</t>
  </si>
  <si>
    <t>Isoform 2 of Histone-lysine N-methyltransferase MLL</t>
  </si>
  <si>
    <t>Tumor necrosis factor alpha-induced protein 2</t>
  </si>
  <si>
    <t>Centromere protein C 1</t>
  </si>
  <si>
    <t>Lamin-B2</t>
  </si>
  <si>
    <t>DNA excision repair protein ERCC-6</t>
  </si>
  <si>
    <t>CCAAT/enhancer-binding protein zeta</t>
  </si>
  <si>
    <t>Isoform 2 of Heat shock factor protein 2</t>
  </si>
  <si>
    <t>1,4-alpha-glucan-branching enzyme</t>
  </si>
  <si>
    <t>Isoform D of Eukaryotic translation initiation factor 4 gamma 1</t>
  </si>
  <si>
    <t>Isoform 5 of Copper-transporting ATPase 1</t>
  </si>
  <si>
    <t>Transducin-like enhancer protein 2</t>
  </si>
  <si>
    <t>Protein kinase C theta type</t>
  </si>
  <si>
    <t>Lactoylglutathione lyase</t>
  </si>
  <si>
    <t>Aldo-keto reductase family 1 member C1</t>
  </si>
  <si>
    <t>Single-stranded DNA-binding protein, mitochondrial</t>
  </si>
  <si>
    <t>14-3-3 protein eta</t>
  </si>
  <si>
    <t>Cleavage stimulation factor subunit 1</t>
  </si>
  <si>
    <t>Isoform III of Ubiquitin-protein ligase E3A</t>
  </si>
  <si>
    <t>Dynamin-1</t>
  </si>
  <si>
    <t>Tyrosine-protein phosphatase non-receptor type 12</t>
  </si>
  <si>
    <t>Protein kinase C zeta type</t>
  </si>
  <si>
    <t>Isoform 2 of Serine/arginine-rich splicing factor 11</t>
  </si>
  <si>
    <t>Elongation factor 1-alpha 2</t>
  </si>
  <si>
    <t>Protein kinase C delta type</t>
  </si>
  <si>
    <t>Isoform 5 of Caldesmon</t>
  </si>
  <si>
    <t>2-5A-dependent ribonuclease</t>
  </si>
  <si>
    <t>MBT domain-containing protein 1</t>
  </si>
  <si>
    <t>Isoform 2 of CTD small phosphatase-like protein 2</t>
  </si>
  <si>
    <t>ZNF394 protein</t>
  </si>
  <si>
    <t>Isoform 2 of Tyrosine-protein phosphatase non-receptor type 11</t>
  </si>
  <si>
    <t>Tyrosine-protein kinase BTK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</si>
  <si>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</si>
  <si>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</si>
  <si>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</si>
  <si>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</si>
  <si>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</si>
  <si>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Isoform 5 of Amyloid-like protein 2</t>
  </si>
  <si>
    <t>GA-binding protein alpha chain</t>
  </si>
  <si>
    <t>E3 ubiquitin-protein ligase RING1</t>
  </si>
  <si>
    <t>Isoform 3 of DNA repair protein RAD51 homolog 1</t>
  </si>
  <si>
    <t>Peroxiredoxin-1</t>
  </si>
  <si>
    <t>Complement component 1 Q subcomponent-binding protein, mitochondrial</t>
  </si>
  <si>
    <t>Tight junction protein ZO-1</t>
  </si>
  <si>
    <t>Isoform Short of Tight junction protein ZO-1</t>
  </si>
  <si>
    <t>KH domain-containing, RNA-binding, signal transduction-associated protein 1</t>
  </si>
  <si>
    <t>Isoform Epsilon of Apoptosis regulator BAX</t>
  </si>
  <si>
    <t>DNA polymerase epsilon catalytic subunit A</t>
  </si>
  <si>
    <t>Isoform G of Kinesin light chain 1</t>
  </si>
  <si>
    <t>Isoform N of Kinesin light chain 1</t>
  </si>
  <si>
    <t>Activated CDC42 kinase 1</t>
  </si>
  <si>
    <t>Serine/arginine-rich splicing factor 1</t>
  </si>
  <si>
    <t>Rho GTPase-activating protein 1</t>
  </si>
  <si>
    <t>Amino-terminal enhancer of split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</si>
  <si>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</si>
  <si>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</si>
  <si>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</si>
  <si>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</si>
  <si>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Golgin subfamily A member 3</t>
  </si>
  <si>
    <t>Golgin subfamily A member 2</t>
  </si>
  <si>
    <t>Galectin-3-binding protein</t>
  </si>
  <si>
    <t>Dematin</t>
  </si>
  <si>
    <t>Pseudouridine-5-monophosphatase</t>
  </si>
  <si>
    <t>Peptidyl-prolyl cis-trans isomerase D</t>
  </si>
  <si>
    <t>FACT complex subunit SSRP1</t>
  </si>
  <si>
    <t>Isoform 2 of Calmodulin-regulated spectrin-associated protein 2</t>
  </si>
  <si>
    <t>Isoform 2 of Protein spire homolog 1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</si>
  <si>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</si>
  <si>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</si>
  <si>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</si>
  <si>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</si>
  <si>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</si>
  <si>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</si>
  <si>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</si>
  <si>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FCH domain only protein 2</t>
  </si>
  <si>
    <t>Elongator complex protein 6</t>
  </si>
  <si>
    <t>Apolipoprotein B receptor</t>
  </si>
  <si>
    <t>Heat shock 70 kDa protein 14</t>
  </si>
  <si>
    <t>Secernin-3</t>
  </si>
  <si>
    <t>Fanconi anemia-associated protein of 100 kDa</t>
  </si>
  <si>
    <t>Ragulator complex protein LAMTOR4</t>
  </si>
  <si>
    <t>Alpha-1,6-mannosyl-glycoprotein 2-beta-N-acetylglucosaminyltransferase</t>
  </si>
  <si>
    <t>Isoform B of AP-1 complex subunit beta-1</t>
  </si>
  <si>
    <t>Isoform C of AP-1 complex subunit beta-1</t>
  </si>
  <si>
    <t>Cleavage and polyadenylation specificity factor subunit 1</t>
  </si>
  <si>
    <t>Mitochondrial-processing peptidase subunit alpha</t>
  </si>
  <si>
    <t>Kinesin-like protein KIF1A</t>
  </si>
  <si>
    <t>Isoform 2 of HMG domain-containing protein 3</t>
  </si>
  <si>
    <t>WASH complex subunit strumpellin</t>
  </si>
  <si>
    <t>Nuclear pore complex protein Nup160</t>
  </si>
  <si>
    <t>Transducin beta-like protein 3</t>
  </si>
  <si>
    <t>General transcription factor 3C polypeptide 1</t>
  </si>
  <si>
    <t>Twinfilin-1</t>
  </si>
  <si>
    <t>Isoform 10 of Aspartyl/asparaginyl beta-hydroxylase</t>
  </si>
  <si>
    <t>Isoform 2 of Alpha-globin transcription factor CP2</t>
  </si>
  <si>
    <t>A-kinase anchor protein 13</t>
  </si>
  <si>
    <t>Isoform 2 of Potassium voltage-gated channel subfamily H member 2</t>
  </si>
  <si>
    <t>Isoform B of SWI/SNF-related matrix-associated actin-dependent regulator of chromatin subfamily B member 1</t>
  </si>
  <si>
    <t>Isoform 2 of Nucleosome-remodeling factor subunit BPTF</t>
  </si>
  <si>
    <t>Cell division cycle protein 20 homolog</t>
  </si>
  <si>
    <t>Kinesin heavy chain isoform 5A</t>
  </si>
  <si>
    <t>G-rich sequence factor 1</t>
  </si>
  <si>
    <t>Splicing factor, suppressor of white-apricot homolog</t>
  </si>
  <si>
    <t>Chromodomain-helicase-DNA-binding protein 3</t>
  </si>
  <si>
    <t>Splicing factor 3A subunit 3</t>
  </si>
  <si>
    <t>Tumor suppressor p53-binding protein 1</t>
  </si>
  <si>
    <t>Aminoacyl tRNA synthase complex-interacting multifunctional protein 1</t>
  </si>
  <si>
    <t>Interleukin enhancer-binding factor 2</t>
  </si>
  <si>
    <t>Isoform 7 of Interleukin enhancer-binding factor 3</t>
  </si>
  <si>
    <t>Vesicular integral-membrane protein VIP36</t>
  </si>
  <si>
    <t>Isoform 2 of Lymphoid-restricted membrane protein</t>
  </si>
  <si>
    <t>Isoform 3 of TNF receptor-associated factor 2</t>
  </si>
  <si>
    <t>Ankyrin-3</t>
  </si>
  <si>
    <t>Isoform 5 of Disks large homolog 1</t>
  </si>
  <si>
    <t>Transcription initiation factor TFIID subunit 10</t>
  </si>
  <si>
    <t>Nuclear factor of activated T-cells, cytoplasmic 3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</si>
  <si>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</si>
  <si>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</si>
  <si>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</si>
  <si>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</si>
  <si>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BCL2/adenovirus E1B 19 kDa protein-interacting protein 2</t>
  </si>
  <si>
    <t>Isoform 2 of Transcriptional repressor NF-X1</t>
  </si>
  <si>
    <t>Cleavage stimulation factor subunit 3</t>
  </si>
  <si>
    <t>Delta(3,5)-Delta(2,4)-dienoyl-CoA isomerase, mitochondrial</t>
  </si>
  <si>
    <t>Isoform 2 of Rho GTPase-activating protein 5</t>
  </si>
  <si>
    <t>Striatin-3</t>
  </si>
  <si>
    <t>Isoform Alpha of Striatin-3</t>
  </si>
  <si>
    <t>Isoform 3 of Cell division cycle protein 16 homolog</t>
  </si>
  <si>
    <t>Serine/threonine-protein kinase 4</t>
  </si>
  <si>
    <t>Protein flightless-1 homolog</t>
  </si>
  <si>
    <t>E3 ubiquitin-protein ligase TRIM32</t>
  </si>
  <si>
    <t>Bifunctional coenzyme A synthase</t>
  </si>
  <si>
    <t>Triadin</t>
  </si>
  <si>
    <t>Acetyl-CoA carboxylase 1</t>
  </si>
  <si>
    <t>Lymphocyte cytosolic protein 2</t>
  </si>
  <si>
    <t>Zinc finger and BTB domain-containing protein 17</t>
  </si>
  <si>
    <t>Isoform 2 of Ubiquitin carboxyl-terminal hydrolase 4</t>
  </si>
  <si>
    <t>Chromatin assembly factor 1 subunit A</t>
  </si>
  <si>
    <t>Chromatin assembly factor 1 subunit B</t>
  </si>
  <si>
    <t>Protein Red</t>
  </si>
  <si>
    <t>Isoform 4 of RE1-silencing transcription factor</t>
  </si>
  <si>
    <t>Zinc finger protein Rlf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</si>
  <si>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</si>
  <si>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</si>
  <si>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</si>
  <si>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</si>
  <si>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</si>
  <si>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</si>
  <si>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</si>
  <si>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</si>
  <si>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</si>
  <si>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Isoform 2 of Mitogen-activated protein kinase 7</t>
  </si>
  <si>
    <t>Serine/threonine-protein kinase PAK 2</t>
  </si>
  <si>
    <t>Chromobox protein homolog 3</t>
  </si>
  <si>
    <t>Serine/threonine-protein kinase 3</t>
  </si>
  <si>
    <t>Isoform 3 of Syntaxin-5</t>
  </si>
  <si>
    <t>26S proteasome non-ATPase regulatory subunit 2</t>
  </si>
  <si>
    <t>Probable ATP-dependent RNA helicase DDX10</t>
  </si>
  <si>
    <t>DNA excision repair protein ERCC-8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</si>
  <si>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</si>
  <si>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</si>
  <si>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</si>
  <si>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</si>
  <si>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</si>
  <si>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</si>
  <si>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</si>
  <si>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</si>
  <si>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</si>
  <si>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</si>
  <si>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</si>
  <si>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</si>
  <si>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Isoform 2 of Voltage-gated potassium channel subunit beta-2</t>
  </si>
  <si>
    <t>Isoform 3 of Inactive tyrosine-protein kinase 7</t>
  </si>
  <si>
    <t>Isoform 2 of S-phase kinase-associated protein 2</t>
  </si>
  <si>
    <t>Isoform 3 of Polyadenylate-binding protein 4</t>
  </si>
  <si>
    <t>Serine-protein kinase ATM</t>
  </si>
  <si>
    <t>Isoform 1 of Growth factor receptor-bound protein 10</t>
  </si>
  <si>
    <t>Isoform 3 of Metastasis-associated protein MTA1</t>
  </si>
  <si>
    <t>Isoform 2 of Receptor-type tyrosine-protein phosphatase S</t>
  </si>
  <si>
    <t>Eukaryotic translation initiation factor 3 subunit I</t>
  </si>
  <si>
    <t>Krueppel-like factor 1</t>
  </si>
  <si>
    <t>Peptidyl-prolyl cis-trans isomerase-like 2</t>
  </si>
  <si>
    <t>Isoform 4 of Serine/threonine-protein phosphatase 2A 56 kDa regulatory subunit gamma isoform</t>
  </si>
  <si>
    <t>Isoform 2 of C-terminal-binding protein 1</t>
  </si>
  <si>
    <t>Phosducin-like protein</t>
  </si>
  <si>
    <t>Probable methyltransferase TARBP1</t>
  </si>
  <si>
    <t>Ubiquitin-conjugating enzyme E2 variant 1</t>
  </si>
  <si>
    <t>Isoform 2F of Cytoplasmic dynein 1 intermediate chain 2</t>
  </si>
  <si>
    <t>Origin recognition complex subunit 1</t>
  </si>
  <si>
    <t>Origin recognition complex subunit 2</t>
  </si>
  <si>
    <t>Integrin-linked protein kinase</t>
  </si>
  <si>
    <t>Isoform Ik2 of DNA-binding protein Ikaros</t>
  </si>
  <si>
    <t>Isoform Ik7 of DNA-binding protein Ikaros</t>
  </si>
  <si>
    <t>NAD(P) transhydrogenase, mitochondrial</t>
  </si>
  <si>
    <t>Alpha-1-syntrophin</t>
  </si>
  <si>
    <t>Beta-2-syntrophin</t>
  </si>
  <si>
    <t>DNA repair protein XRCC4</t>
  </si>
  <si>
    <t>Peptidyl-prolyl cis-trans isomerase G</t>
  </si>
  <si>
    <t>Isoform 3 of Treacle protein</t>
  </si>
  <si>
    <t>Isoform 4 of Treacle protein</t>
  </si>
  <si>
    <t>Isoform B of Protein unc-119 homolog A</t>
  </si>
  <si>
    <t>Splicing factor 3B subunit 2</t>
  </si>
  <si>
    <t>Isoform 4 of Protein OS-9</t>
  </si>
  <si>
    <t>Isoform 3 of Golgin subfamily A member 4</t>
  </si>
  <si>
    <t>28 kDa heat- and acid-stable phosphoprotein</t>
  </si>
  <si>
    <t>Peptidyl-prolyl cis-trans isomerase FKBP5</t>
  </si>
  <si>
    <t>Rho-associated protein kinase 1</t>
  </si>
  <si>
    <t>Nuclear factor of activated T-cells, cytoplasmic 2</t>
  </si>
  <si>
    <t>Isoform 3 of Phosphatidylinositol-binding clathrin assembly protein</t>
  </si>
  <si>
    <t>Myotubularin</t>
  </si>
  <si>
    <t>Sequestosome-1</t>
  </si>
  <si>
    <t>Mediator of RNA polymerase II transcription subunit 21</t>
  </si>
  <si>
    <t>Isoform 3 of Metaxin-1</t>
  </si>
  <si>
    <t>NGFI-A-binding protein 1</t>
  </si>
  <si>
    <t>Tubulin beta-3 chain</t>
  </si>
  <si>
    <t>Serine/threonine-protein kinase PRP4 homolog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</si>
  <si>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</si>
  <si>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</si>
  <si>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</si>
  <si>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</si>
  <si>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</si>
  <si>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Isoform 10 of Calcium/calmodulin-dependent protein kinase type II subunit gamma</t>
  </si>
  <si>
    <t>Isoform Delta 6 of Calcium/calmodulin-dependent protein kinase type II subunit delta</t>
  </si>
  <si>
    <t>Dynactin subunit 2</t>
  </si>
  <si>
    <t>Isoform 2 of NEDD8-activating enzyme E1 regulatory subunit</t>
  </si>
  <si>
    <t>Inositol-tetrakisphosphate 1-kinase</t>
  </si>
  <si>
    <t>Ras GTPase-activating-like protein IQGAP2</t>
  </si>
  <si>
    <t>Stromal interaction molecule 1</t>
  </si>
  <si>
    <t>Sorting nexin-1</t>
  </si>
  <si>
    <t>Isoform 2 of KRR1 small subunit processome component homolog</t>
  </si>
  <si>
    <t>Periodic tryptophan protein 1 homolog</t>
  </si>
  <si>
    <t>Myotubularin-related protein 1</t>
  </si>
  <si>
    <t>Myotubularin-related protein 2</t>
  </si>
  <si>
    <t>Cullin-1</t>
  </si>
  <si>
    <t>Cullin-2</t>
  </si>
  <si>
    <t>Cullin-3</t>
  </si>
  <si>
    <t>Cullin-4A</t>
  </si>
  <si>
    <t>Isoform 2 of Cullin-4B</t>
  </si>
  <si>
    <t>Apoptosis-stimulating of p53 protein 2</t>
  </si>
  <si>
    <t>Isoform 2 of Dual specificity tyrosine-phosphorylation-regulated kinase 1A</t>
  </si>
  <si>
    <t>GDP-L-fucose synthase</t>
  </si>
  <si>
    <t>Ras-related protein Rab-31</t>
  </si>
  <si>
    <t>Ras-related protein Rab-32</t>
  </si>
  <si>
    <t>Four and a half LIM domains protein 3</t>
  </si>
  <si>
    <t>Alkylated DNA repair protein alkB homolog 1</t>
  </si>
  <si>
    <t>Mannosyl-oligosaccharide glucosidase</t>
  </si>
  <si>
    <t>THO complex subunit 5 homolog</t>
  </si>
  <si>
    <t>Isoform 2 of Spectrin alpha chain, non-erythrocytic 1</t>
  </si>
  <si>
    <t>Nucleolar GTP-binding protein 2</t>
  </si>
  <si>
    <t>Methylglutaconyl-CoA hydratase, mitochondrial</t>
  </si>
  <si>
    <t>Isoform 1 of Plakophilin-1</t>
  </si>
  <si>
    <t>Spliceosome RNA helicase DDX39B</t>
  </si>
  <si>
    <t>Bleomycin hydrolase</t>
  </si>
  <si>
    <t>Exosome complex component RRP4</t>
  </si>
  <si>
    <t>Tubulin beta-2A chain</t>
  </si>
  <si>
    <t>Bystin</t>
  </si>
  <si>
    <t>Nuclear nucleic acid-binding protein C1D</t>
  </si>
  <si>
    <t>Rap guanine nucleotide exchange factor 1</t>
  </si>
  <si>
    <t>Isopentenyl-diphosphate Delta-isomerase 1</t>
  </si>
  <si>
    <t>Core-binding factor subunit beta</t>
  </si>
  <si>
    <t>Isoform 2 of Core-binding factor subunit beta</t>
  </si>
  <si>
    <t>Isoform 2 of Nuclear transcription factor Y subunit gamma</t>
  </si>
  <si>
    <t>Cyclin-dependent kinase 13</t>
  </si>
  <si>
    <t>Cytoskeleton-associated protein 5</t>
  </si>
  <si>
    <t>Cold-inducible RNA-binding protein</t>
  </si>
  <si>
    <t>Calcium/calmodulin-dependent protein kinase type 1</t>
  </si>
  <si>
    <t>Coactosin-like protein</t>
  </si>
  <si>
    <t>Cytochrome c oxidase copper chaperone</t>
  </si>
  <si>
    <t>Isoform 3 of Heterogeneous nuclear ribonucleoprotein D0</t>
  </si>
  <si>
    <t>Isoform 4 of Heterogeneous nuclear ribonucleoprotein D0</t>
  </si>
  <si>
    <t>Dystroglycan</t>
  </si>
  <si>
    <t>Desmoglein-2</t>
  </si>
  <si>
    <t>Ribosome biogenesis protein BOP1</t>
  </si>
  <si>
    <t>Ubiquitin conjugation factor E4 A</t>
  </si>
  <si>
    <t>Isoform I of Septin-6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</si>
  <si>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</si>
  <si>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</si>
  <si>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</si>
  <si>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</si>
  <si>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</si>
  <si>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Protein FAM53B</t>
  </si>
  <si>
    <t>Isoform 1 of Rho guanine nucleotide exchange factor 7</t>
  </si>
  <si>
    <t>Ubiquitin-associated protein 2-like</t>
  </si>
  <si>
    <t>Protein scribble homolog</t>
  </si>
  <si>
    <t>Isoform 4 of ARF GTPase-activating protein GIT2</t>
  </si>
  <si>
    <t>Tubulin--tyrosine ligase-like protein 12</t>
  </si>
  <si>
    <t>DNA polymerase alpha subunit B</t>
  </si>
  <si>
    <t>Werner syndrome ATP-dependent helicase</t>
  </si>
  <si>
    <t>Four and a half LIM domains protein 2</t>
  </si>
  <si>
    <t>Isoform 2 of Zinc finger MYM-type protein 3</t>
  </si>
  <si>
    <t>Isoform 6 of Dynactin subunit 1</t>
  </si>
  <si>
    <t>Cytoplasmic dynein 1 heavy chain 1</t>
  </si>
  <si>
    <t>Protein NPAT</t>
  </si>
  <si>
    <t>Translation initiation factor eIF-2B subunit alpha</t>
  </si>
  <si>
    <t>Transcription elongation factor B polypeptide 3</t>
  </si>
  <si>
    <t>Isoform 2 of Ensconsin</t>
  </si>
  <si>
    <t>Src substrate cortactin</t>
  </si>
  <si>
    <t>Isoform 3 of Src substrate cortactin</t>
  </si>
  <si>
    <t>Endonuclease G, mitochondrial</t>
  </si>
  <si>
    <t>E3 ubiquitin/ISG15 ligase TRIM25</t>
  </si>
  <si>
    <t>Isoform 2 of Protein-tyrosine kinase 2-beta</t>
  </si>
  <si>
    <t>Filamin-C</t>
  </si>
  <si>
    <t>Isoform 2 of Peptidyl-prolyl cis-trans isomerase FKBP8</t>
  </si>
  <si>
    <t>Protein FAM50A</t>
  </si>
  <si>
    <t>Protein FRG1</t>
  </si>
  <si>
    <t>Guanidinoacetate N-methyltransferase</t>
  </si>
  <si>
    <t>UDP-glucose 4-epimerase</t>
  </si>
  <si>
    <t>Isoform 2 of Caprin-1</t>
  </si>
  <si>
    <t>Beclin-1</t>
  </si>
  <si>
    <t>Histone RNA hairpin-binding protein</t>
  </si>
  <si>
    <t>Isoform 2 of RNA-binding protein 39</t>
  </si>
  <si>
    <t>Isoform 2 of Hyaluronan-binding protein 2</t>
  </si>
  <si>
    <t>Helicase-like transcription factor</t>
  </si>
  <si>
    <t>Protein disulfide-isomerase A5</t>
  </si>
  <si>
    <t>Phosphoribosyl pyrophosphate synthase-associated protein 1</t>
  </si>
  <si>
    <t>ATP-dependent RNA helicase DHX8</t>
  </si>
  <si>
    <t>DNA replication licensing factor MCM6</t>
  </si>
  <si>
    <t>Isoform 2 of Next to BRCA1 gene 1 protein</t>
  </si>
  <si>
    <t>Plastin-1</t>
  </si>
  <si>
    <t>Interferon regulatory factor 3</t>
  </si>
  <si>
    <t>L antigen family member 3</t>
  </si>
  <si>
    <t>Isoform 2 of E3 ubiquitin-protein ligase TRIP12</t>
  </si>
  <si>
    <t>Isoform 3 of E3 ubiquitin-protein ligase TRIP12</t>
  </si>
  <si>
    <t>Isoform 2 of Pumilio homolog 1</t>
  </si>
  <si>
    <t>Separin</t>
  </si>
  <si>
    <t>Mediator of DNA damage checkpoint protein 1</t>
  </si>
  <si>
    <t>Clathrin interactor 1</t>
  </si>
  <si>
    <t>Structural maintenance of chromosomes protein 1A</t>
  </si>
  <si>
    <t>Ribosomal RNA processing protein 1 homolog B</t>
  </si>
  <si>
    <t>Nuclear receptor coactivator 6</t>
  </si>
  <si>
    <t>Genetic suppressor element 1</t>
  </si>
  <si>
    <t>Isoform 6 of Disco-interacting protein 2 homolog A</t>
  </si>
  <si>
    <t>Protein RRP5 homolog</t>
  </si>
  <si>
    <t>DNA replication complex GINS protein PSF1</t>
  </si>
  <si>
    <t>Ribosome biogenesis protein BMS1 homolog</t>
  </si>
  <si>
    <t>Ubiquitin carboxyl-terminal hydrolase 10</t>
  </si>
  <si>
    <t>LDLR chaperone MESD</t>
  </si>
  <si>
    <t>Neutral alpha-glucosidase AB</t>
  </si>
  <si>
    <t>Isoform 2 of Neutral alpha-glucosidase AB</t>
  </si>
  <si>
    <t>Lamin-B receptor</t>
  </si>
  <si>
    <t>Isoform 2 of Conserved oligomeric Golgi complex subunit 2</t>
  </si>
  <si>
    <t>Chromobox protein homolog 2</t>
  </si>
  <si>
    <t>Golgin subfamily B member 1</t>
  </si>
  <si>
    <t>Isoform 9 of Caspase-8</t>
  </si>
  <si>
    <t>N-alpha-acetyltransferase 30</t>
  </si>
  <si>
    <t>Kinesin-like protein KIF22</t>
  </si>
  <si>
    <t>Isoform MEF2DA0 of Myocyte-specific enhancer factor 2D</t>
  </si>
  <si>
    <t>Isoform 2 of Chromodomain-helicase-DNA-binding protein 4</t>
  </si>
  <si>
    <t>LIM and SH3 domain protein 1</t>
  </si>
  <si>
    <t>Isoform 2 of StAR-related lipid transfer protein 3</t>
  </si>
  <si>
    <t>Isoform 2 of Prostaglandin reductase 1</t>
  </si>
  <si>
    <t>Dr1-associated corepressor</t>
  </si>
  <si>
    <t>Isoform 8 of Nuclear factor of activated T-cells, cytoplasmic 4</t>
  </si>
  <si>
    <t>Zinc finger protein 638</t>
  </si>
  <si>
    <t>Importin subunit beta-1</t>
  </si>
  <si>
    <t>Isoform 3 of Nucleolar and coiled-body phosphoprotein 1</t>
  </si>
  <si>
    <t>Nuclear mitotic apparatus protein 1</t>
  </si>
  <si>
    <t>Isoform 2 of Nuclear mitotic apparatus protein 1</t>
  </si>
  <si>
    <t>Isoform Numa-s of Nuclear mitotic apparatus protein 1</t>
  </si>
  <si>
    <t>Proteasome activator complex subunit 4</t>
  </si>
  <si>
    <t>Cullin-7</t>
  </si>
  <si>
    <t>Isoform 2 of Sarcolemmal membrane-associated protein</t>
  </si>
  <si>
    <t>Isoform 6 of GTPase-activating protein and VPS9 domain-containing protein 1</t>
  </si>
  <si>
    <t>UBX domain-containing protein 2B</t>
  </si>
  <si>
    <t>N-alpha-acetyltransferase 25, NatB auxiliary subunit</t>
  </si>
  <si>
    <t>Condensin complex subunit 2</t>
  </si>
  <si>
    <t>Pre-mRNA-splicing regulator WTAP</t>
  </si>
  <si>
    <t>MAD2L1-binding protein</t>
  </si>
  <si>
    <t>Mortality factor 4-like protein 2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</si>
  <si>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</si>
  <si>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</si>
  <si>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</si>
  <si>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</si>
  <si>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</si>
  <si>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</si>
  <si>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</si>
  <si>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</si>
  <si>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Rab3 GTPase-activating protein catalytic subunit</t>
  </si>
  <si>
    <t>Lysine--tRNA ligase</t>
  </si>
  <si>
    <t>Isoform 3 of Histone-lysine N-methyltransferase SETDB1</t>
  </si>
  <si>
    <t>Leucine-rich repeat-containing protein 14</t>
  </si>
  <si>
    <t>Ribosome biogenesis regulatory protein homolog</t>
  </si>
  <si>
    <t>IQ calmodulin-binding motif-containing protein 1</t>
  </si>
  <si>
    <t>Rho guanine nucleotide exchange factor 6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</si>
  <si>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</si>
  <si>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</si>
  <si>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</si>
  <si>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</si>
  <si>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</si>
  <si>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</si>
  <si>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</si>
  <si>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</si>
  <si>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</si>
  <si>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</si>
  <si>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Astrocytic phosphoprotein PEA-15</t>
  </si>
  <si>
    <t>Phosphomevalonate kinase</t>
  </si>
  <si>
    <t>Isoform 1 of 1-phosphatidylinositol 4,5-bisphosphate phosphodiesterase beta-4</t>
  </si>
  <si>
    <t>Isoform 3 of Plectin</t>
  </si>
  <si>
    <t>Isoform 4 of Plectin</t>
  </si>
  <si>
    <t>Pericentriolar material 1 protein</t>
  </si>
  <si>
    <t>Isoform 2 of Pericentriolar material 1 protein</t>
  </si>
  <si>
    <t>Isoform 2 of Transcription elongation factor A protein-like 1</t>
  </si>
  <si>
    <t>Serine/threonine-protein phosphatase 2A 56 kDa regulatory subunit alpha isoform</t>
  </si>
  <si>
    <t>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</si>
  <si>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</si>
  <si>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</si>
  <si>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</si>
  <si>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</si>
  <si>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Isoform 1 of Serine/threonine-protein phosphatase 2A activator</t>
  </si>
  <si>
    <t>Receptor-type tyrosine-protein phosphatase kappa</t>
  </si>
  <si>
    <t>Periodic tryptophan protein 2 homolog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</si>
  <si>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</si>
  <si>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</si>
  <si>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</si>
  <si>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</si>
  <si>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</si>
  <si>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</si>
  <si>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</si>
  <si>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Keratin, type I cuticular Ha1</t>
  </si>
  <si>
    <t>Lethal(2) giant larvae protein homolog 1</t>
  </si>
  <si>
    <t>Leucine-rich repeat-containing protein 41</t>
  </si>
  <si>
    <t>Transcription termination factor 1</t>
  </si>
  <si>
    <t>Transmembrane emp24 domain-containing protein 2</t>
  </si>
  <si>
    <t>Poly(rC)-binding protein 1</t>
  </si>
  <si>
    <t>Isoform 2 of Poly(rC)-binding protein 2</t>
  </si>
  <si>
    <t>Isoform 3 of Poly(rC)-binding protein 2</t>
  </si>
  <si>
    <t>GTP-binding protein Rheb</t>
  </si>
  <si>
    <t>Ubiquitin-protein ligase E3C</t>
  </si>
  <si>
    <t>Splicing factor 3B subunit 3</t>
  </si>
  <si>
    <t>Disks large-associated protein 5</t>
  </si>
  <si>
    <t>Ras suppressor protein 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</si>
  <si>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</si>
  <si>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</si>
  <si>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</si>
  <si>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</si>
  <si>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</si>
  <si>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</si>
  <si>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SH2 domain-containing adapter protein B</t>
  </si>
  <si>
    <t>Sperm surface protein Sp17</t>
  </si>
  <si>
    <t>Surfeit locus protein 2</t>
  </si>
  <si>
    <t>Isoform Short of Transcription initiation factor TFIID subunit 5</t>
  </si>
  <si>
    <t>Isoform 2 of Transcription initiation factor TFIID subunit 11</t>
  </si>
  <si>
    <t>Transcription initiation factor TFIID subunit 7</t>
  </si>
  <si>
    <t>Isoform 3 of Telomeric repeat-binding factor 2</t>
  </si>
  <si>
    <t>Microtubule-associated protein RP/EB family member 2</t>
  </si>
  <si>
    <t>Isoform 2 of Transcription elongation factor A protein 2</t>
  </si>
  <si>
    <t>Isoform 2 of Transcriptional enhancer factor TEF-3</t>
  </si>
  <si>
    <t>Nuclear receptor coactivator 2</t>
  </si>
  <si>
    <t>Na(+)/H(+) exchange regulatory cofactor NHE-RF2</t>
  </si>
  <si>
    <t>Tumor necrosis factor receptor type 1-associated DEATH domain protein</t>
  </si>
  <si>
    <t>Isoform 2 of RISC-loading complex subunit TARBP2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</si>
  <si>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</si>
  <si>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</si>
  <si>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</si>
  <si>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</si>
  <si>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</si>
  <si>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</si>
  <si>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</si>
  <si>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</si>
  <si>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Probable JmjC domain-containing histone demethylation protein 2C</t>
  </si>
  <si>
    <t>Thyroid receptor-interacting protein 6</t>
  </si>
  <si>
    <t>Microtubule-associated protein RP/EB family member 1</t>
  </si>
  <si>
    <t>U2 small nuclear ribonucleoprotein auxiliary factor 35 kDa subunit-related protein 1</t>
  </si>
  <si>
    <t>Isoform 2 of Zinc finger protein 174</t>
  </si>
  <si>
    <t>Isoform 2 of TSC22 domain family protein 1</t>
  </si>
  <si>
    <t>ELAV-like protein 1</t>
  </si>
  <si>
    <t>Isoform 1 of ETS-related transcription factor Elf-2</t>
  </si>
  <si>
    <t>Sterol-4-alpha-carboxylate 3-dehydrogenase, decarboxylating</t>
  </si>
  <si>
    <t>NGFI-A-binding protein 2</t>
  </si>
  <si>
    <t>Isoform 3B of Myosin light chain kinase, smooth muscle</t>
  </si>
  <si>
    <t>Isoform 2 of TGF-beta-activated kinase 1 and MAP3K7-binding protein 1</t>
  </si>
  <si>
    <t>Probable E3 ubiquitin-protein ligase HERC1</t>
  </si>
  <si>
    <t>Neutral amino acid transporter B(0)</t>
  </si>
  <si>
    <t>Mitogen-activated protein kinase 11</t>
  </si>
  <si>
    <t>Myeloid leukemia factor 2</t>
  </si>
  <si>
    <t>Zinc finger protein with KRAB and SCAN domains 8</t>
  </si>
  <si>
    <t>Mitochondrial import receptor subunit TOM34</t>
  </si>
  <si>
    <t>Isoform 2 of Nuclear receptor coactivator 1</t>
  </si>
  <si>
    <t>Isoform Short of Mothers against decapentaplegic homolog 2</t>
  </si>
  <si>
    <t>Mothers against decapentaplegic homolog 1</t>
  </si>
  <si>
    <t>Tubulin-specific chaperone E</t>
  </si>
  <si>
    <t>Tubulin-specific chaperone C</t>
  </si>
  <si>
    <t>Ubiquitin-conjugating enzyme E2 variant 2</t>
  </si>
  <si>
    <t>Isoform 2 of Serine/threonine-protein kinase STK11</t>
  </si>
  <si>
    <t>Syntaxin-binding protein 2</t>
  </si>
  <si>
    <t>Vesicle-associated membrane protein 3</t>
  </si>
  <si>
    <t>NEDD8</t>
  </si>
  <si>
    <t>V-type proton ATPase subunit S1</t>
  </si>
  <si>
    <t>Vacuolar protein sorting-associated protein 72 homolog</t>
  </si>
  <si>
    <t>Ras-related protein Rab-11B</t>
  </si>
  <si>
    <t>Histone-lysine N-methyltransferase EZH2</t>
  </si>
  <si>
    <t>Zinc finger protein 77</t>
  </si>
  <si>
    <t>Zyxin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</si>
  <si>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</si>
  <si>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</si>
  <si>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</si>
  <si>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</si>
  <si>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</si>
  <si>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Alpha-internexin</t>
  </si>
  <si>
    <t>Isoform 2 of 26S proteasome non-ATPase regulatory subunit 5</t>
  </si>
  <si>
    <t>Serine/threonine-protein kinase N1</t>
  </si>
  <si>
    <t>Isoform 3 of Serine/threonine-protein kinase N2</t>
  </si>
  <si>
    <t>Isoform TAFII15 of Transcription initiation factor TFIID subunit 12</t>
  </si>
  <si>
    <t>DNA damage-binding protein 1</t>
  </si>
  <si>
    <t>Mitogen-activated protein kinase 14</t>
  </si>
  <si>
    <t>Isoform CSBP1 of Mitogen-activated protein kinase 14</t>
  </si>
  <si>
    <t>Hsp90 co-chaperone Cdc37</t>
  </si>
  <si>
    <t>Isoform 2 of Dihydropyrimidinase-related protein 2</t>
  </si>
  <si>
    <t>Histone-binding protein RBBP7</t>
  </si>
  <si>
    <t>Zinc finger protein 239</t>
  </si>
  <si>
    <t>Extracellular matrix protein 1</t>
  </si>
  <si>
    <t>Isoform 2 of Cardiotrophin-1</t>
  </si>
  <si>
    <t>Male-enhanced antigen 1</t>
  </si>
  <si>
    <t>Isoform 3 of Serine/arginine-rich splicing factor 7</t>
  </si>
  <si>
    <t>Isoform SMN-delta7 of Survival motor neuron protein</t>
  </si>
  <si>
    <t>Drebrin</t>
  </si>
  <si>
    <t>MAP kinase-activated protein kinase 3</t>
  </si>
  <si>
    <t>Nuclear factor interleukin-3-regulated protein</t>
  </si>
  <si>
    <t>Nuclear respiratory factor 1</t>
  </si>
  <si>
    <t>Fascin</t>
  </si>
  <si>
    <t>Mitogen-activated protein kinase 6</t>
  </si>
  <si>
    <t>Isoform 3 of Gamma-interferon-inducible protein 16</t>
  </si>
  <si>
    <t>Zinc finger and SCAN domain-containing protein 26</t>
  </si>
  <si>
    <t>Kynureninase</t>
  </si>
  <si>
    <t>Putative ATP-dependent Clp protease proteolytic subunit, mitochondrial</t>
  </si>
  <si>
    <t>Thiosulfate sulfurtransferase</t>
  </si>
  <si>
    <t>Ubiquitin-conjugating enzyme E2 S</t>
  </si>
  <si>
    <t>Kynurenine--oxoglutarate transaminase 1</t>
  </si>
  <si>
    <t>Histone H2B type 2-E</t>
  </si>
  <si>
    <t>Meprin A subunit alpha</t>
  </si>
  <si>
    <t>Phosphoenolpyruvate carboxykinase [GTP], mitochondrial</t>
  </si>
  <si>
    <t>Uridine phosphorylase 1</t>
  </si>
  <si>
    <t>Hydroxyacyl-coenzyme A dehydrogenase, mitochondrial</t>
  </si>
  <si>
    <t>UTP--glucose-1-phosphate uridylyltransferase</t>
  </si>
  <si>
    <t>Deoxyguanosine kinase, mitochondrial</t>
  </si>
  <si>
    <t>V-type proton ATPase subunit F</t>
  </si>
  <si>
    <t>Isoform 3 of 6-phosphofructo-2-kinase/fructose-2,6-bisphosphatase 3</t>
  </si>
  <si>
    <t>Isoform 2 of Putative deoxyribonuclease TATDN3</t>
  </si>
  <si>
    <t>Protein FAM98C</t>
  </si>
  <si>
    <t>Proto-oncogene c-Rel</t>
  </si>
  <si>
    <t>Zinc finger SWIM domain-containing protein 7</t>
  </si>
  <si>
    <t>Lysine-rich nucleolar protein 1</t>
  </si>
  <si>
    <t>Isoform 1 of Centrosome and spindle pole-associated protein 1</t>
  </si>
  <si>
    <t>Isoform 2 of Inverted formin-2</t>
  </si>
  <si>
    <t>Sister chromatid cohesion protein PDS5 homolog A</t>
  </si>
  <si>
    <t>Glutamine and serine-rich protein 1</t>
  </si>
  <si>
    <t>Protein CLEC16A</t>
  </si>
  <si>
    <t>Isoform 2 of Methenyltetrahydrofolate synthase domain-containing protein</t>
  </si>
  <si>
    <t>Isoform 4 of Methenyltetrahydrofolate synthase domain-containing protein</t>
  </si>
  <si>
    <t>AP2-associated protein kinase 1</t>
  </si>
  <si>
    <t>Isoform 5 of Centrosomal protein kizuna</t>
  </si>
  <si>
    <t>WASH complex subunit 7</t>
  </si>
  <si>
    <t>Isoform 2 of WASH complex subunit 7</t>
  </si>
  <si>
    <t>Isoform 2 of Protein Shroom1</t>
  </si>
  <si>
    <t>Pre-rRNA-processing protein TSR1 homolog</t>
  </si>
  <si>
    <t>Vimentin-type intermediate filament-associated coiled-coil protein</t>
  </si>
  <si>
    <t>Isoform 3 of Ral GTPase-activating protein subunit alpha-2</t>
  </si>
  <si>
    <t>E3 ubiquitin-protein ligase TRIM71</t>
  </si>
  <si>
    <t>Glutamine-rich protein 1</t>
  </si>
  <si>
    <t>RELA protein</t>
  </si>
  <si>
    <t>WD40 repeat-containing protein SMU1</t>
  </si>
  <si>
    <t>Autophagy-related protein 2 homolog A</t>
  </si>
  <si>
    <t>Zinc finger protein 800</t>
  </si>
  <si>
    <t>CWF19-like protein 2</t>
  </si>
  <si>
    <t>WSC domain-containing protein 2</t>
  </si>
  <si>
    <t>Cytoplasmic tRNA 2-thiolation protein 2</t>
  </si>
  <si>
    <t>Isoform 2 of UV-stimulated scaffold protein A</t>
  </si>
  <si>
    <t>Acid trehalase-like protein 1</t>
  </si>
  <si>
    <t>Myosin light chain kinase 3</t>
  </si>
  <si>
    <t>Isoform 3 of Leucine-rich repeat flightless-interacting protein 1</t>
  </si>
  <si>
    <t>DNA polymerase delta subunit 3</t>
  </si>
  <si>
    <t>Prolyl 3-hydroxylase 1</t>
  </si>
  <si>
    <t>tRNA (guanine(37)-N1)-methyltransferase</t>
  </si>
  <si>
    <t>Echinoderm microtubule-associated protein-like 3</t>
  </si>
  <si>
    <t>DNA-directed RNA polymerase I subunit RPA43</t>
  </si>
  <si>
    <t>Isoform 2 of MAP7 domain-containing protein 1</t>
  </si>
  <si>
    <t>Isoform 3 of MAP7 domain-containing protein 1</t>
  </si>
  <si>
    <t>Zinc finger protein 792</t>
  </si>
  <si>
    <t>UDP-N-acetylhexosamine pyrophosphorylase-like protein 1</t>
  </si>
  <si>
    <t>Alpha-ketoglutarate-dependent dioxygenase alkB homolog 6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</si>
  <si>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</si>
  <si>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</si>
  <si>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</si>
  <si>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</si>
  <si>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</si>
  <si>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Mitochondrial 10-formyltetrahydrofolate dehydrogenase</t>
  </si>
  <si>
    <t>Isoform 3 of GON-4-like protein</t>
  </si>
  <si>
    <t>Isoform 2 of Girdin</t>
  </si>
  <si>
    <t>Isoform 5 of Girdin</t>
  </si>
  <si>
    <t>Rab-like protein 6</t>
  </si>
  <si>
    <t>Vacuolar ATPase assembly integral membrane protein VMA21</t>
  </si>
  <si>
    <t>Tubulin beta-8 chain</t>
  </si>
  <si>
    <t>Galectin-related protein</t>
  </si>
  <si>
    <t>Zinc finger protein 672</t>
  </si>
  <si>
    <t>Isoform 2 of Putative oxidoreductase GLYR1</t>
  </si>
  <si>
    <t>Isoform 2 of Coiled-coil domain-containing protein 14</t>
  </si>
  <si>
    <t>Isoform 2 of Cryptochrome-2</t>
  </si>
  <si>
    <t>UPF0489 protein C5orf22</t>
  </si>
  <si>
    <t>Cytochrome c oxidase assembly protein COX19</t>
  </si>
  <si>
    <t>Vacuolar protein sorting-associated protein 26B</t>
  </si>
  <si>
    <t>La-related protein 7</t>
  </si>
  <si>
    <t>Beta-soluble NSF attachment protein</t>
  </si>
  <si>
    <t>NAD kinase domain-containing protein 1, mitochondrial</t>
  </si>
  <si>
    <t>Acyl-CoA synthetase family member 3, mitochondrial</t>
  </si>
  <si>
    <t>Isoform 4 of Prolyl endopeptidase-like</t>
  </si>
  <si>
    <t>TBC1 domain family member 10B</t>
  </si>
  <si>
    <t>Isoform 3 of 1-phosphatidylinositol 4,5-bisphosphate phosphodiesterase eta-1</t>
  </si>
  <si>
    <t>Isoform 3 of Dynein light chain 1, axonemal</t>
  </si>
  <si>
    <t>Isoform 2 of AT-rich interactive domain-containing protein 4B</t>
  </si>
  <si>
    <t>GRIP1-associated protein 1</t>
  </si>
  <si>
    <t>B-cell CLL/lymphoma 7 protein family member A</t>
  </si>
  <si>
    <t>Isoform 2 of B-cell CLL/lymphoma 7 protein family member A</t>
  </si>
  <si>
    <t>FLYWCH-type zinc finger-containing protein 1</t>
  </si>
  <si>
    <t>PR domain zinc finger protein 15</t>
  </si>
  <si>
    <t>Isoform 2 of PAB-dependent poly(A)-specific ribonuclease subunit 2</t>
  </si>
  <si>
    <t>Isoform 2 of Protein FAM98B</t>
  </si>
  <si>
    <t>Enhancer of polycomb homolog 2</t>
  </si>
  <si>
    <t>Isoform 2 of Programmed cell death protein 4</t>
  </si>
  <si>
    <t>CREB-regulated transcription coactivator 2</t>
  </si>
  <si>
    <t>Centrosomal protein of 55 kDa</t>
  </si>
  <si>
    <t>Uncharacterized protein C17orf85</t>
  </si>
  <si>
    <t>Quinone oxidoreductase PIG3</t>
  </si>
  <si>
    <t>Protein Hikeshi</t>
  </si>
  <si>
    <t>Acyl-coenzyme A synthetase ACSM3, mitochondrial</t>
  </si>
  <si>
    <t>Histone-lysine N-methyltransferase SETMAR</t>
  </si>
  <si>
    <t>tRNA wybutosine-synthesizing protein 2 homolog</t>
  </si>
  <si>
    <t>Beta-lactamase-like protein 2</t>
  </si>
  <si>
    <t>Pyrroline-5-carboxylate reductase 3</t>
  </si>
  <si>
    <t>Kelch-like protein 26</t>
  </si>
  <si>
    <t>Protein TSSC1</t>
  </si>
  <si>
    <t>Borealin</t>
  </si>
  <si>
    <t>Single-strand selective monofunctional uracil DNA glycosylase</t>
  </si>
  <si>
    <t>Ankyrin repeat domain-containing protein SOWAHC</t>
  </si>
  <si>
    <t>Rho GTPase-activating protein 15</t>
  </si>
  <si>
    <t>BolA-like protein 3</t>
  </si>
  <si>
    <t>HCLS1-binding protein 3</t>
  </si>
  <si>
    <t>INO80 complex subunit D</t>
  </si>
  <si>
    <t>WD repeat-containing protein 81</t>
  </si>
  <si>
    <t>Isoform 2 of Shugoshin-like 2</t>
  </si>
  <si>
    <t>Spindlin-4</t>
  </si>
  <si>
    <t>N-acetyltransferase ESCO2</t>
  </si>
  <si>
    <t>Isoform 2 of Mitogen-activated protein kinase kinase kinase 19</t>
  </si>
  <si>
    <t>KHDC3-like protein</t>
  </si>
  <si>
    <t>Isoform 3 of PAB-dependent poly(A)-specific ribonuclease subunit 3</t>
  </si>
  <si>
    <t>Isoform 2 of Puratrophin-1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</si>
  <si>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</si>
  <si>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</si>
  <si>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</si>
  <si>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</si>
  <si>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Isoform 9 of Outer dense fiber protein 2</t>
  </si>
  <si>
    <t>Oxidoreductase-like domain-containing protein 1</t>
  </si>
  <si>
    <t>UPF0692 protein C19orf54</t>
  </si>
  <si>
    <t>DBIRD complex subunit ZNF326</t>
  </si>
  <si>
    <t>Nucleolar MIF4G domain-containing protein 1</t>
  </si>
  <si>
    <t>Isoform 2 of DALR anticodon-binding domain-containing protein 3</t>
  </si>
  <si>
    <t>Filaggrin-2</t>
  </si>
  <si>
    <t>RILP-like protein 1</t>
  </si>
  <si>
    <t>PDZ domain-containing protein 11</t>
  </si>
  <si>
    <t>UMP-CMP kinase 2, mitochondrial</t>
  </si>
  <si>
    <t>DnaJ homolog subfamily C member 21</t>
  </si>
  <si>
    <t>Isoform 5 of Shugoshin-like 1</t>
  </si>
  <si>
    <t>N-acetyltransferase ESCO1</t>
  </si>
  <si>
    <t>Isoform 2 of Probable E3 ubiquitin-protein ligase HERC4</t>
  </si>
  <si>
    <t>cAMP-dependent protein kinase inhibitor gamma</t>
  </si>
  <si>
    <t>Metalloproteinase inhibitor 1</t>
  </si>
  <si>
    <t>Isoform 2 of Uncharacterized protein KIAA2026</t>
  </si>
  <si>
    <t>Tubulin beta chain</t>
  </si>
  <si>
    <t>Isoform 2 of Nodal modulator 2</t>
  </si>
  <si>
    <t>Ankyrin repeat domain-containing protein 36C</t>
  </si>
  <si>
    <t>Isoform 2 of Uncharacterized protein C3orf38</t>
  </si>
  <si>
    <t>Methyltransferase-like protein 10</t>
  </si>
  <si>
    <t>Rho-related GTP-binding protein RhoC (Fragment)</t>
  </si>
  <si>
    <t>Isoform 2 of Melanoma inhibitory activity protein 3</t>
  </si>
  <si>
    <t>Nucleoporin p58/p45 (Fragment)</t>
  </si>
  <si>
    <t>Presequence protease, mitochondrial</t>
  </si>
  <si>
    <t>Isoform 2 of NHL repeat-containing protein 3</t>
  </si>
  <si>
    <t>Proteasome assembly chaperone 4</t>
  </si>
  <si>
    <t>Transcription factor Dp-1 (Fragment)</t>
  </si>
  <si>
    <t>Isoform 2 of WD repeat-containing protein 44</t>
  </si>
  <si>
    <t>Protein DDX26B</t>
  </si>
  <si>
    <t>Dedicator of cytokinesis protein 11</t>
  </si>
  <si>
    <t>Protein PRRC2B</t>
  </si>
  <si>
    <t>Isoform 2 of Tight junction-associated protein 1</t>
  </si>
  <si>
    <t>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</si>
  <si>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</si>
  <si>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</si>
  <si>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</si>
  <si>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Folylpolyglutamate synthase, mitochondrial (Fragment)</t>
  </si>
  <si>
    <t>Isoform 3 of IQ motif and SEC7 domain-containing protein 2</t>
  </si>
  <si>
    <t>P antigen family member 5</t>
  </si>
  <si>
    <t>Testis-expressed sequence 30 protein</t>
  </si>
  <si>
    <t>Isoform 3 of PCI domain-containing protein 2</t>
  </si>
  <si>
    <t>Engulfment and cell motility protein 2</t>
  </si>
  <si>
    <t>Double-stranded RNA-binding protein Staufen homolog 1</t>
  </si>
  <si>
    <t>Migration and invasion-inhibitory protein</t>
  </si>
  <si>
    <t>Isoform 2 of Long-chain fatty acid transport protein 3</t>
  </si>
  <si>
    <t>Sterile alpha motif domain-containing protein 9</t>
  </si>
  <si>
    <t>Ubiquitin carboxyl-terminal hydrolase isozyme L5</t>
  </si>
  <si>
    <t>Isoform 4 of Cytospin-B</t>
  </si>
  <si>
    <t>Coiled-coil domain-containing protein 158</t>
  </si>
  <si>
    <t>Isoform 2 of Serine/threonine-protein phosphatase 4 regulatory subunit 3B</t>
  </si>
  <si>
    <t>WD repeat domain phosphoinositide-interacting protein 3</t>
  </si>
  <si>
    <t>DNA polymerase kappa</t>
  </si>
  <si>
    <t>Tubulin-specific chaperone cofactor E-like protein</t>
  </si>
  <si>
    <t>Peroxisomal biogenesis factor 19 (Fragment)</t>
  </si>
  <si>
    <t>ATP synthase subunit b, mitochondrial</t>
  </si>
  <si>
    <t>Bcl-2-like protein 1 (Fragment)</t>
  </si>
  <si>
    <t>DDB1- and CUL4-associated factor 10</t>
  </si>
  <si>
    <t>RNA-binding protein Raly (Fragment)</t>
  </si>
  <si>
    <t>Proteasome inhibitor PI31 subunit</t>
  </si>
  <si>
    <t>Isoform 4 of Rab GTPase-activating protein 1-like</t>
  </si>
  <si>
    <t>Isoform 7 of Rab GTPase-activating protein 1-like</t>
  </si>
  <si>
    <t>Tetratricopeptide repeat protein 38</t>
  </si>
  <si>
    <t>Isoform 3 of Uncharacterized protein C1orf173</t>
  </si>
  <si>
    <t>Exosome complex component MTR3</t>
  </si>
  <si>
    <t>WASH complex subunit FAM21B</t>
  </si>
  <si>
    <t>Methylenetetrahydrofolate reductase</t>
  </si>
  <si>
    <t>Nucleoside diphosphate-linked moiety X motif 13</t>
  </si>
  <si>
    <t>Nucleoporin NUP188 homolog</t>
  </si>
  <si>
    <t>Pre-mRNA-processing factor 17</t>
  </si>
  <si>
    <t>Heterochromatin protein 1-binding protein 3</t>
  </si>
  <si>
    <t>Valine--tRNA ligase, mitochondrial</t>
  </si>
  <si>
    <t>Centrosomal protein of 170 kDa</t>
  </si>
  <si>
    <t>Isoform 2 of Centrosomal protein of 170 kDa</t>
  </si>
  <si>
    <t>Low density lipoprotein receptor adapter protein 1</t>
  </si>
  <si>
    <t>snRNA-activating protein complex subunit 4</t>
  </si>
  <si>
    <t>Polynucleotide 5-hydroxyl-kinase NOL9</t>
  </si>
  <si>
    <t>Zinc finger and BTB domain-containing protein 48 (Fragment)</t>
  </si>
  <si>
    <t>Isoform 3 of Protein SZT2</t>
  </si>
  <si>
    <t>Isoform 3 of Formin-binding protein 1-like</t>
  </si>
  <si>
    <t>SH3 domain-binding glutamic acid-rich-like protein 3</t>
  </si>
  <si>
    <t>Probable arginine--tRNA ligase, mitochondrial</t>
  </si>
  <si>
    <t>Pygopus homolog 2</t>
  </si>
  <si>
    <t>Acyl-coenzyme A thioesterase THEM4</t>
  </si>
  <si>
    <t>FK506-binding protein 15</t>
  </si>
  <si>
    <t>Probable ATP-dependent RNA helicase DDX59</t>
  </si>
  <si>
    <t>Zinc finger CCCH domain-containing protein 13</t>
  </si>
  <si>
    <t>OTU domain-containing protein 3</t>
  </si>
  <si>
    <t>2-oxoisovalerate dehydrogenase subunit beta, mitochondrial</t>
  </si>
  <si>
    <t>Neurobeachin</t>
  </si>
  <si>
    <t>G patch domain-containing protein 4</t>
  </si>
  <si>
    <t>Ligand-dependent nuclear receptor-interacting factor 1</t>
  </si>
  <si>
    <t>Zinc finger protein 438</t>
  </si>
  <si>
    <t>Putative transferase CAF17, mitochondrial</t>
  </si>
  <si>
    <t>Isoform 6 of Protrudin</t>
  </si>
  <si>
    <t>Pleckstrin homology domain containing, family O member 1</t>
  </si>
  <si>
    <t>Isoform 3 of E3 ubiquitin-protein ligase UBR4</t>
  </si>
  <si>
    <t>Synaptonemal complex protein 2-like</t>
  </si>
  <si>
    <t>Golgin-45 (Fragment)</t>
  </si>
  <si>
    <t>Isoform 3 of Syntaxin-binding protein 5</t>
  </si>
  <si>
    <t>Rho GTPase-activating protein 21</t>
  </si>
  <si>
    <t>BEN domain-containing protein 3</t>
  </si>
  <si>
    <t>Calmodulin-regulated spectrin-associated protein 1</t>
  </si>
  <si>
    <t>Ubiquitin-associated protein 2</t>
  </si>
  <si>
    <t>UPF0553 protein C9orf64</t>
  </si>
  <si>
    <t>Keratinocyte proline-rich protein</t>
  </si>
  <si>
    <t>Chaperone activity of bc1 complex-like, mitochondrial</t>
  </si>
  <si>
    <t>RAB6-interacting golgin</t>
  </si>
  <si>
    <t>Protein phosphatase 1 regulatory subunit 26</t>
  </si>
  <si>
    <t>Protein FAM102B</t>
  </si>
  <si>
    <t>Isoform 3 of RNA-binding protein 26</t>
  </si>
  <si>
    <t>E3 ubiquitin-protein ligase RNF187</t>
  </si>
  <si>
    <t>Isoform 3 of Integrator complex subunit 11</t>
  </si>
  <si>
    <t>Glycolipid transfer protein domain-containing protein 1</t>
  </si>
  <si>
    <t>Protein argonaute-1</t>
  </si>
  <si>
    <t>U3 small nucleolar RNA-associated protein 14 homolog C</t>
  </si>
  <si>
    <t>Mitochondrial nucleoid factor 1</t>
  </si>
  <si>
    <t>Terminal uridylyltransferase 4</t>
  </si>
  <si>
    <t>Isoform 2 of Centrosomal protein of 162 kDa</t>
  </si>
  <si>
    <t>Ribonuclease H2 subunit B</t>
  </si>
  <si>
    <t>Protein LSM14 homolog B (Fragment)</t>
  </si>
  <si>
    <t>ATP synthase mitochondrial F1 complex assembly factor 1</t>
  </si>
  <si>
    <t>Zinc finger and BTB domain-containing protein 37</t>
  </si>
  <si>
    <t>Probable E3 ubiquitin-protein ligase Roquin</t>
  </si>
  <si>
    <t>Isoform 3 of Membrane-associated guanylate kinase, WW and PDZ domain-containing protein 3</t>
  </si>
  <si>
    <t>Tropomyosin beta chain</t>
  </si>
  <si>
    <t>Protein DDI1 homolog 2</t>
  </si>
  <si>
    <t>Zinc finger protein 697</t>
  </si>
  <si>
    <t>Protein THEMIS2</t>
  </si>
  <si>
    <t>Isoform 2 of NADH dehydrogenase [ubiquinone] 1 alpha subcomplex assembly factor 5</t>
  </si>
  <si>
    <t>5-nucleotidase domain-containing protein 1</t>
  </si>
  <si>
    <t>Transmembrane and coiled-coil domain-containing protein 4</t>
  </si>
  <si>
    <t>AT-hook DNA-binding motif-containing protein 1</t>
  </si>
  <si>
    <t>PR domain zinc finger protein 2</t>
  </si>
  <si>
    <t>Isoform 2 of Vacuolar protein sorting-associated protein 13D</t>
  </si>
  <si>
    <t>Protein PRR14L</t>
  </si>
  <si>
    <t>Rootletin</t>
  </si>
  <si>
    <t>RNA-binding E3 ubiquitin-protein ligase MEX3C</t>
  </si>
  <si>
    <t>Complex III assembly factor LYRM7</t>
  </si>
  <si>
    <t>Activating transcription factor 7-interacting protein 2</t>
  </si>
  <si>
    <t>Isoform 2 of Telomere-associated protein RIF1</t>
  </si>
  <si>
    <t>Isoform 4 of Vacuolar protein sorting-associated protein 53 homolog</t>
  </si>
  <si>
    <t>Striatin-interacting protein 1</t>
  </si>
  <si>
    <t>Isoform 2 of G kinase-anchoring protein 1</t>
  </si>
  <si>
    <t>Centrosome-associated protein 350</t>
  </si>
  <si>
    <t>Isoform 4 of Serine/threonine-protein kinase MRCK alpha</t>
  </si>
  <si>
    <t>Regulation of nuclear pre-mRNA domain-containing protein 2</t>
  </si>
  <si>
    <t>Isoform 2 of Zinc finger protein Gfi-1b</t>
  </si>
  <si>
    <t>Pre-mRNA-splicing factor 38B</t>
  </si>
  <si>
    <t>E3 ubiquitin-protein ligase BRE1A</t>
  </si>
  <si>
    <t>Dynein light chain Tctex-type 1</t>
  </si>
  <si>
    <t>Isoform 3 of Myomegalin</t>
  </si>
  <si>
    <t>Tropomyosin 3, isoform CRA_b</t>
  </si>
  <si>
    <t>Zinc finger protein 318</t>
  </si>
  <si>
    <t>Rho guanine nucleotide exchange factor 16</t>
  </si>
  <si>
    <t>Threonylcarbamoyladenosine tRNA methylthiotransferase</t>
  </si>
  <si>
    <t>Isoform 2 of Zinc finger protein 691</t>
  </si>
  <si>
    <t>Isoform 2 of Peroxisome proliferator-activated receptor gamma coactivator-related protein 1</t>
  </si>
  <si>
    <t>Pleckstrin homology domain-containing family M member 2</t>
  </si>
  <si>
    <t>Histone H2A deubiquitinase MYSM1</t>
  </si>
  <si>
    <t>Lipoamide acyltransferase component of branched-chain alpha-keto acid dehydrogenase complex, mitochondrial</t>
  </si>
  <si>
    <t>Ubiquitin thioesterase OTU1</t>
  </si>
  <si>
    <t>DDB1- and CUL4-associated factor 12-like protein 2</t>
  </si>
  <si>
    <t>BRO1 domain-containing protein BROX</t>
  </si>
  <si>
    <t>Transcription initiation factor TFIID subunit 3</t>
  </si>
  <si>
    <t>Sorting nexin-30</t>
  </si>
  <si>
    <t>Protein FAM208B</t>
  </si>
  <si>
    <t>Protein FAM46C</t>
  </si>
  <si>
    <t>Round spermatid basic protein 1</t>
  </si>
  <si>
    <t>Lysophospholipase-like protein 1</t>
  </si>
  <si>
    <t>Ribosome production factor 2 homolog (Fragment)</t>
  </si>
  <si>
    <t>Proteasome-associated protein ECM29 homolog</t>
  </si>
  <si>
    <t>Isoform 6 of Terminal uridylyltransferase 7</t>
  </si>
  <si>
    <t>Protein SLX4IP</t>
  </si>
  <si>
    <t>N-alpha-acetyltransferase 35, NatC auxiliary subunit</t>
  </si>
  <si>
    <t>Leucine-rich repeat-containing protein 16A</t>
  </si>
  <si>
    <t>Isoform 4 of Zinc finger MYM-type protein 4</t>
  </si>
  <si>
    <t>Isoform 2 of Ras-related GTP-binding protein B</t>
  </si>
  <si>
    <t>RING finger protein 219</t>
  </si>
  <si>
    <t>Protein FAM160B1</t>
  </si>
  <si>
    <t>6-phosphofructo-2-kinase/fructose-2, 6-biphosphatase 4 splice isoform 5</t>
  </si>
  <si>
    <t>E3 ubiquitin-protein ligase RNF123</t>
  </si>
  <si>
    <t>Isoform 3 of F-box/WD repeat-containing protein 9</t>
  </si>
  <si>
    <t>Kynurenine formamidase</t>
  </si>
  <si>
    <t>E3 ubiquitin-protein ligase RNF213</t>
  </si>
  <si>
    <t>AP-1 complex-associated regulatory protein</t>
  </si>
  <si>
    <t>Protein FAM91A1</t>
  </si>
  <si>
    <t>NMDA receptor-regulated protein 2</t>
  </si>
  <si>
    <t>La-related protein 1B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</si>
  <si>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</si>
  <si>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</si>
  <si>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</si>
  <si>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</si>
  <si>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</si>
  <si>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Isoform 2 of Autophagy-related protein 16-1</t>
  </si>
  <si>
    <t>AT-rich interactive domain-containing protein 2</t>
  </si>
  <si>
    <t>Digestive organ expansion factor homolog</t>
  </si>
  <si>
    <t>HAUS augmin-like complex subunit 3</t>
  </si>
  <si>
    <t>Protein SPT2 homolog</t>
  </si>
  <si>
    <t>Protein PMS2CL</t>
  </si>
  <si>
    <t>Ankyrin repeat and SAM domain-containing protein 6</t>
  </si>
  <si>
    <t>Isoform 2 of Zinc finger FYVE domain-containing protein 26</t>
  </si>
  <si>
    <t>Beta/gamma crystallin domain-containing protein 3</t>
  </si>
  <si>
    <t>Isoform 2 of Integrator complex subunit 3</t>
  </si>
  <si>
    <t>Rho GTPase-activating protein 17</t>
  </si>
  <si>
    <t>CWF19-like protein 1</t>
  </si>
  <si>
    <t>Isoform 3 of Protein virilizer homolog</t>
  </si>
  <si>
    <t>Isoform 2 of Cytospin-A</t>
  </si>
  <si>
    <t>Zinc finger protein 518A</t>
  </si>
  <si>
    <t>HEAT repeat-containing protein 6</t>
  </si>
  <si>
    <t>Ankyrin repeat domain-containing protein 40</t>
  </si>
  <si>
    <t>GLTSCR1-like protein</t>
  </si>
  <si>
    <t>Isoform 3 of Protein WWC2</t>
  </si>
  <si>
    <t>E3 ubiquitin-protein ligase TRIM68</t>
  </si>
  <si>
    <t>NADH-cytochrome b5 reductase 2</t>
  </si>
  <si>
    <t>UHRF1-binding protein 1</t>
  </si>
  <si>
    <t>Zinc finger protein 787</t>
  </si>
  <si>
    <t>Isoform 3 of Adenosine deaminase-like protein</t>
  </si>
  <si>
    <t>60S ribosomal protein L7-like 1</t>
  </si>
  <si>
    <t>Nucleoredoxin</t>
  </si>
  <si>
    <t>Tetratricopeptide repeat protein 19, mitochondrial</t>
  </si>
  <si>
    <t>Isoform 2 of IQ motif and SEC7 domain-containing protein 1</t>
  </si>
  <si>
    <t>Serine/threonine-protein kinase MRCK gamma</t>
  </si>
  <si>
    <t>Isoform 5 of DNA-directed RNA polymerase II subunit GRINL1A, isoforms 4/5</t>
  </si>
  <si>
    <t>Vasorin</t>
  </si>
  <si>
    <t>Leucine-rich repeat-containing protein 16C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</si>
  <si>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</si>
  <si>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</si>
  <si>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</si>
  <si>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</si>
  <si>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</si>
  <si>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Ral GTPase-activating protein subunit alpha-1</t>
  </si>
  <si>
    <t>THO complex subunit 7 homolog</t>
  </si>
  <si>
    <t>Glutamine-dependent NAD(+) synthetase</t>
  </si>
  <si>
    <t>Isoform 3 of Elongator complex protein 2</t>
  </si>
  <si>
    <t>Ragulator complex protein LAMTOR1</t>
  </si>
  <si>
    <t>Twinfilin-2</t>
  </si>
  <si>
    <t>Condensin-2 complex subunit H2</t>
  </si>
  <si>
    <t>Desumoylating isopeptidase 1</t>
  </si>
  <si>
    <t>Isoform 3 of Transport and Golgi organization 2 homolog</t>
  </si>
  <si>
    <t>Isoform 2 of Protein Jade-1</t>
  </si>
  <si>
    <t>rRNA methyltransferase 1, mitochondrial</t>
  </si>
  <si>
    <t>Serine/threonine-protein phosphatase 4 regulatory subunit 3A</t>
  </si>
  <si>
    <t>LYR motif-containing protein 5</t>
  </si>
  <si>
    <t>tRNA wybutosine-synthesizing protein 3 homolog</t>
  </si>
  <si>
    <t>Ras-related protein Rab-12</t>
  </si>
  <si>
    <t>Isoform 2 of DENN domain-containing protein 5A</t>
  </si>
  <si>
    <t>ADNP homeobox protein 2</t>
  </si>
  <si>
    <t>Isoform 2 of Protein SDE2 homolog</t>
  </si>
  <si>
    <t>CapZ-interacting protein</t>
  </si>
  <si>
    <t>Isoform 2 of Nipped-B-like protein</t>
  </si>
  <si>
    <t>Isoform 2 of 2,5-phosphodiesterase 12</t>
  </si>
  <si>
    <t>Protein lin-54 homolog</t>
  </si>
  <si>
    <t>Isoform 4 of Protein lin-54 homolog</t>
  </si>
  <si>
    <t>Isoform 2 of Methylcytosine dioxygenase TET2</t>
  </si>
  <si>
    <t>Isoform 2 of Zinc finger protein 280D</t>
  </si>
  <si>
    <t>2-oxoglutarate and iron-dependent oxygenase domain-containing protein 2</t>
  </si>
  <si>
    <t>N-alpha-acetyltransferase 16, NatA auxiliary subunit</t>
  </si>
  <si>
    <t>Alpha-ketoglutarate-dependent dioxygenase alkB homolog 2</t>
  </si>
  <si>
    <t>MKRN3 protein</t>
  </si>
  <si>
    <t>Cancer/testis antigen family 45 member A5</t>
  </si>
  <si>
    <t>Pleckstrin homology-like domain family B member 3</t>
  </si>
  <si>
    <t>Zinc finger and SCAN domain-containing protein 25</t>
  </si>
  <si>
    <t>Isoform 2 of Homeobox-containing protein 1</t>
  </si>
  <si>
    <t>UPF0544 protein C5orf45</t>
  </si>
  <si>
    <t>tRNA wybutosine-synthesizing protein 1 homolog B</t>
  </si>
  <si>
    <t>RAD50-interacting protein 1</t>
  </si>
  <si>
    <t>Isoform 2 of Transmembrane protein 214</t>
  </si>
  <si>
    <t>3-hydroxyisobutyryl-CoA hydrolase, mitochondrial</t>
  </si>
  <si>
    <t>Isoform 2 of Uncharacterized protein C3orf17</t>
  </si>
  <si>
    <t>Isoform 2 of Armadillo repeat-containing protein 6</t>
  </si>
  <si>
    <t>Ankyrin repeat domain-containing protein 54</t>
  </si>
  <si>
    <t>Phostensin</t>
  </si>
  <si>
    <t>Isoform 3 of Fanconi anemia-associated protein of 20 kDa</t>
  </si>
  <si>
    <t>Polymerase I and transcript release factor</t>
  </si>
  <si>
    <t>Zinc finger CCHC domain-containing protein 8</t>
  </si>
  <si>
    <t>MAN1A1 protein</t>
  </si>
  <si>
    <t>Mis18-binding protein 1</t>
  </si>
  <si>
    <t>Putative ATP-dependent RNA helicase DHX57</t>
  </si>
  <si>
    <t>39S ribosomal protein L54, mitochondrial</t>
  </si>
  <si>
    <t>Parafibromin</t>
  </si>
  <si>
    <t>Polyamine-modulated factor 1</t>
  </si>
  <si>
    <t>General transcription factor IIH subunit 2-like protein</t>
  </si>
  <si>
    <t>Protein FAM117B</t>
  </si>
  <si>
    <t>39S ribosomal protein L14, mitochondrial</t>
  </si>
  <si>
    <t>Long-chain fatty acid transport protein 4</t>
  </si>
  <si>
    <t>Armadillo repeat-containing X-linked protein 5</t>
  </si>
  <si>
    <t>Isoform 2 of Coiled-coil and C2 domain-containing protein 1A</t>
  </si>
  <si>
    <t>Putative deoxyribonuclease TATDN1</t>
  </si>
  <si>
    <t>Methyltransferase-like protein 2B</t>
  </si>
  <si>
    <t>tRNA-dihydrouridine(16/17) synthase [NAD(P)(+)]-like</t>
  </si>
  <si>
    <t>Transcription initiation factor TFIID subunit 2</t>
  </si>
  <si>
    <t>UPF0598 protein C8orf82</t>
  </si>
  <si>
    <t>Cohesin subunit SA-1</t>
  </si>
  <si>
    <t>Mediator of RNA polymerase II transcription subunit 27</t>
  </si>
  <si>
    <t>Enhancer of mRNA-decapping protein 4</t>
  </si>
  <si>
    <t>Isoform 2 of Centrosomal protein of 85 kDa</t>
  </si>
  <si>
    <t>Fumarylacetoacetate hydrolase domain-containing protein 2B</t>
  </si>
  <si>
    <t>Putative protein arginine N-methyltransferase 10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</si>
  <si>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</si>
  <si>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</si>
  <si>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</si>
  <si>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</si>
  <si>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</si>
  <si>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Phospholipase B-like 1</t>
  </si>
  <si>
    <t>Adrenodoxin-like protein, mitochondrial</t>
  </si>
  <si>
    <t>WD repeat-containing protein 73</t>
  </si>
  <si>
    <t>Mitotic-spindle organizing protein 2A</t>
  </si>
  <si>
    <t>Acylpyruvase FAHD1, mitochondrial</t>
  </si>
  <si>
    <t>Serine/threonine-protein kinase N3</t>
  </si>
  <si>
    <t>Isoform 2 of Ankyrin repeat domain-containing protein 16</t>
  </si>
  <si>
    <t>RNA demethylase ALKBH5</t>
  </si>
  <si>
    <t>TLD domain-containing protein KIAA1609</t>
  </si>
  <si>
    <t>Integrator complex subunit 5</t>
  </si>
  <si>
    <t>Round spermatid basic protein 1-like protein</t>
  </si>
  <si>
    <t>Glucose 1,6-bisphosphate synthase</t>
  </si>
  <si>
    <t>Isoform 2 of F-box/LRR-repeat protein 19</t>
  </si>
  <si>
    <t>RNA polymerase-associated protein CTR9 homolog</t>
  </si>
  <si>
    <t>Alpha- and gamma-adaptin-binding protein p34</t>
  </si>
  <si>
    <t>Isoform 2 of Protein FAM199X</t>
  </si>
  <si>
    <t>Isoform 7 of Inositol hexakisphosphate and diphosphoinositol-pentakisphosphate kinase 1</t>
  </si>
  <si>
    <t>Isoform A of Proline/serine-rich coiled-coil protein 1</t>
  </si>
  <si>
    <t>Isoform 2 of UPF0547 protein C16orf87</t>
  </si>
  <si>
    <t>Isoform 3 of Serine/threonine-protein kinase ULK3</t>
  </si>
  <si>
    <t>Isoform 2 of BTB/POZ domain-containing protein KCTD18</t>
  </si>
  <si>
    <t>Aspartate--tRNA ligase, mitochondrial</t>
  </si>
  <si>
    <t>TLE3 protein</t>
  </si>
  <si>
    <t>Tetratricopeptide repeat protein 33</t>
  </si>
  <si>
    <t>Coiled-coil domain-containing protein 174</t>
  </si>
  <si>
    <t>Isoform 2 of Hydroxyacylglutathione hydrolase-like protein</t>
  </si>
  <si>
    <t>F-box only protein 38</t>
  </si>
  <si>
    <t>Isoform 2 of Fidgetin-like protein 1</t>
  </si>
  <si>
    <t>F-box only protein 46</t>
  </si>
  <si>
    <t>Tripartite motif-containing protein 65</t>
  </si>
  <si>
    <t>ELM2 and SANT domain-containing protein 1</t>
  </si>
  <si>
    <t>BRCA1-associated ATM activator 1</t>
  </si>
  <si>
    <t>WD repeat-containing protein 59</t>
  </si>
  <si>
    <t>Isoform 3 of Zinc finger CCCH domain-containing protein 14</t>
  </si>
  <si>
    <t>Isoform 5 of Zinc finger CCCH domain-containing protein 14</t>
  </si>
  <si>
    <t>Isoform 2 of Consortin</t>
  </si>
  <si>
    <t>Coiled-coil domain-containing protein 137</t>
  </si>
  <si>
    <t>La-related protein 1</t>
  </si>
  <si>
    <t>ATPase family AAA domain-containing protein 2</t>
  </si>
  <si>
    <t>Protein TMED8</t>
  </si>
  <si>
    <t>Biogenesis of lysosome-related organelles complex 1 subunit 3</t>
  </si>
  <si>
    <t>Biogenesis of lysosome-related organelles complex 1 subunit 2</t>
  </si>
  <si>
    <t>Rapamycin-insensitive companion of mTOR</t>
  </si>
  <si>
    <t>Isoform 5 of Bromodomain and WD repeat-containing protein 3</t>
  </si>
  <si>
    <t>Isoform 2 of Type-1 angiotensin II receptor-associated protein</t>
  </si>
  <si>
    <t>Atherin</t>
  </si>
  <si>
    <t>Isoform 2 of SWI/SNF-related matrix-associated actin-dependent regulator of chromatin subfamily D member 3</t>
  </si>
  <si>
    <t>Isoform 4 of Lipid phosphate phosphatase-related protein type 3</t>
  </si>
  <si>
    <t>Monofunctional C1-tetrahydrofolate synthase, mitochondrial</t>
  </si>
  <si>
    <t>Ankyrin repeat domain-containing protein 11</t>
  </si>
  <si>
    <t>Isoform 5 of Aftiphilin</t>
  </si>
  <si>
    <t>Pre-mRNA 3-end-processing factor FIP1</t>
  </si>
  <si>
    <t>Isoform 3 of Pre-mRNA 3-end-processing factor FIP1</t>
  </si>
  <si>
    <t>Isoform 3 of CREB-regulated transcription coactivator 3</t>
  </si>
  <si>
    <t>Isoform 3 of CREB-regulated transcription coactivator 1</t>
  </si>
  <si>
    <t>Spindle assembly abnormal protein 6 homolog</t>
  </si>
  <si>
    <t>KDEL motif-containing protein 1</t>
  </si>
  <si>
    <t>E3 ubiquitin-protein ligase LRSAM1</t>
  </si>
  <si>
    <t>Dehydrogenase/reductase SDR family member 11</t>
  </si>
  <si>
    <t>Suprabasin</t>
  </si>
  <si>
    <t>Peptidyl-prolyl cis-trans isomerase CWC27 homolog</t>
  </si>
  <si>
    <t>Isoform 4 of Cysteine-rich with EGF-like domain protein 2</t>
  </si>
  <si>
    <t>WD repeat-containing protein 82</t>
  </si>
  <si>
    <t>Apolipoprotein O-like</t>
  </si>
  <si>
    <t>Phosphofurin acidic cluster sorting protein 1</t>
  </si>
  <si>
    <t>Isoform 4 of BCL-6 corepressor</t>
  </si>
  <si>
    <t>Myosin phosphatase Rho-interacting protein</t>
  </si>
  <si>
    <t>Rab11 family-interacting protein 1</t>
  </si>
  <si>
    <t>Immunoglobulin superfamily member 10</t>
  </si>
  <si>
    <t>Nicotinate phosphoribosyltransferase</t>
  </si>
  <si>
    <t>Dynamin-binding protein</t>
  </si>
  <si>
    <t>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</si>
  <si>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</si>
  <si>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</si>
  <si>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</si>
  <si>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Protein phosphatase 1 regulatory subunit 21</t>
  </si>
  <si>
    <t>RNA-binding protein MEX3B</t>
  </si>
  <si>
    <t>Zinc finger protein 813</t>
  </si>
  <si>
    <t>Protein lin-28 homolog B</t>
  </si>
  <si>
    <t>Isoform 2 of Zinc finger protein AEBP2</t>
  </si>
  <si>
    <t>Metastasis-associated in colon cancer protein 1</t>
  </si>
  <si>
    <t>Zinc finger protein 574</t>
  </si>
  <si>
    <t>NF-X1-type zinc finger protein NFXL1</t>
  </si>
  <si>
    <t>Zinc finger protein 600</t>
  </si>
  <si>
    <t>Isoform 2 of Neurobeachin-like protein 2</t>
  </si>
  <si>
    <t>GDP-D-glucose phosphorylase 1</t>
  </si>
  <si>
    <t>Solute carrier organic anion transporter family member 4C1</t>
  </si>
  <si>
    <t>Sulfhydryl oxidase 2</t>
  </si>
  <si>
    <t>Isoform 2 of Helicase SRCAP</t>
  </si>
  <si>
    <t>Ras and Rab interactor-like protein</t>
  </si>
  <si>
    <t>Isoform 2 of Protein FAM65A</t>
  </si>
  <si>
    <t>Uncharacterized protein C1orf122</t>
  </si>
  <si>
    <t>Isoform 2 of Rho guanine nucleotide exchange factor 18</t>
  </si>
  <si>
    <t>E3 ubiquitin-protein ligase UBR3</t>
  </si>
  <si>
    <t>SH3 domain-binding protein 1</t>
  </si>
  <si>
    <t>Ankyrin repeat domain-containing protein 13D</t>
  </si>
  <si>
    <t>Ubinuclein-2</t>
  </si>
  <si>
    <t>Isoform 3 of Uncharacterized protein C11orf57</t>
  </si>
  <si>
    <t>Isoform 2 of LanC-like protein 3</t>
  </si>
  <si>
    <t>8-oxo-dGDP phosphatase NUDT18</t>
  </si>
  <si>
    <t>TOM1-like protein 2</t>
  </si>
  <si>
    <t>Isoform 5 of PAX-interacting protein 1</t>
  </si>
  <si>
    <t>General transcription factor IIH subunit 5</t>
  </si>
  <si>
    <t>Isoform 3 of Vacuolar protein sorting-associated protein 13C</t>
  </si>
  <si>
    <t>Ubiquitin carboxyl-terminal hydrolase 34</t>
  </si>
  <si>
    <t>Inactive ubiquitin carboxyl-terminal hydrolase 53</t>
  </si>
  <si>
    <t>Isoform 4 of Inactive ubiquitin carboxyl-terminal hydrolase 54</t>
  </si>
  <si>
    <t>MOB kinase activator 2</t>
  </si>
  <si>
    <t>Protein unc-13 homolog D</t>
  </si>
  <si>
    <t>Isoform 4 of Inhibitor of nuclear factor kappa-B kinase-interacting protein</t>
  </si>
  <si>
    <t>Protein FRA10AC1</t>
  </si>
  <si>
    <t>Uncharacterized protein C10orf71</t>
  </si>
  <si>
    <t>Ubiquitin-conjugating enzyme E2 R2</t>
  </si>
  <si>
    <t>Mediator of RNA polymerase II transcription subunit 13-like</t>
  </si>
  <si>
    <t>Isoform 3 of La-related protein 4</t>
  </si>
  <si>
    <t>Isoform 4 of Mediator of RNA polymerase II transcription subunit 25</t>
  </si>
  <si>
    <t>Isoform 2 of Tubulin alpha-1A chain</t>
  </si>
  <si>
    <t>Histone H2A.V</t>
  </si>
  <si>
    <t>40S ribosomal protein S27-like</t>
  </si>
  <si>
    <t>E3 ubiquitin-protein ligase Hakai</t>
  </si>
  <si>
    <t>Isoform 2 of Integrator complex subunit 8</t>
  </si>
  <si>
    <t>MTSS1-like protein</t>
  </si>
  <si>
    <t>Isoform 4 of Nucleolar protein 8</t>
  </si>
  <si>
    <t>Protein phosphatase Slingshot homolog 2</t>
  </si>
  <si>
    <t>Isoform 2 of Centrosomal protein of 68 kDa</t>
  </si>
  <si>
    <t>Transcription elongation factor SPT6</t>
  </si>
  <si>
    <t>Staphylococcal nuclease domain-containing protein 1</t>
  </si>
  <si>
    <t>Isoform 14 of Serine/threonine-protein kinase MARK2</t>
  </si>
  <si>
    <t>DNA repair protein RAD51 homolog 3</t>
  </si>
  <si>
    <t>Probable ATP-dependent RNA helicase DDX46</t>
  </si>
  <si>
    <t>Isoform 2 of Protein RUFY3</t>
  </si>
  <si>
    <t>Isoform 4 of Protein RUFY3</t>
  </si>
  <si>
    <t>Mitochondrial ribonuclease P protein 1</t>
  </si>
  <si>
    <t>Basic leucine zipper and W2 domain-containing protein 1</t>
  </si>
  <si>
    <t>Cytochrome b5 reductase 4</t>
  </si>
  <si>
    <t>Vacuolar fusion protein MON1 homolog B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</si>
  <si>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</si>
  <si>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</si>
  <si>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</si>
  <si>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</si>
  <si>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</si>
  <si>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Probable proline--tRNA ligase, mitochondrial</t>
  </si>
  <si>
    <t>Protein Bop</t>
  </si>
  <si>
    <t>Arginine/serine-rich coiled-coil protein 2</t>
  </si>
  <si>
    <t>Ras-related GTP-binding protein A</t>
  </si>
  <si>
    <t>Cytoplasmic FMR1-interacting protein 1</t>
  </si>
  <si>
    <t>Isoform 2 of Protein MCM10 homolog</t>
  </si>
  <si>
    <t>Golgi to ER traffic protein 4 homolog</t>
  </si>
  <si>
    <t>Mitochondrial enolase superfamily member 1</t>
  </si>
  <si>
    <t>Macrophage erythroblast attacher</t>
  </si>
  <si>
    <t>EPM2A-interacting protein 1</t>
  </si>
  <si>
    <t>Serine/threonine-protein kinase TAO1</t>
  </si>
  <si>
    <t>SH3 domain-binding protein 5-like</t>
  </si>
  <si>
    <t>FAST kinase domain-containing protein 5</t>
  </si>
  <si>
    <t>Diphthine--ammonia ligase</t>
  </si>
  <si>
    <t>Zinc finger protein 627</t>
  </si>
  <si>
    <t>Lysine-specific demethylase 3B</t>
  </si>
  <si>
    <t>Charged multivesicular body protein 1b</t>
  </si>
  <si>
    <t>RAS guanyl-releasing protein 2</t>
  </si>
  <si>
    <t>Ribonucleoside-diphosphate reductase subunit M2 B</t>
  </si>
  <si>
    <t>Isoform 6 of STE20-related kinase adapter protein alpha</t>
  </si>
  <si>
    <t>Protein-methionine sulfoxide oxidase MICAL3</t>
  </si>
  <si>
    <t>Keratin, type II cytoskeletal 74</t>
  </si>
  <si>
    <t>Dymeclin</t>
  </si>
  <si>
    <t>PHD finger-like domain-containing protein 5A</t>
  </si>
  <si>
    <t>Isoform 3 of Aprataxin</t>
  </si>
  <si>
    <t>G protein-regulated inducer of neurite outgrowth 1</t>
  </si>
  <si>
    <t>TRMT1-like protein</t>
  </si>
  <si>
    <t>Zinc finger CCCH-type antiviral protein 1</t>
  </si>
  <si>
    <t>Isoform 2 of Treslin</t>
  </si>
  <si>
    <t>Elongation factor Tu GTP-binding domain-containing protein 1</t>
  </si>
  <si>
    <t>Protein FAM122B</t>
  </si>
  <si>
    <t>Isoform 3 of Probable helicase senataxin</t>
  </si>
  <si>
    <t>Trafficking protein particle complex subunit 11</t>
  </si>
  <si>
    <t>KAT8 regulatory NSL complex subunit 1</t>
  </si>
  <si>
    <t>LysM and putative peptidoglycan-binding domain-containing protein 3</t>
  </si>
  <si>
    <t>Uncharacterized protein C10orf118</t>
  </si>
  <si>
    <t>UPF0505 protein C16orf62</t>
  </si>
  <si>
    <t>Isoform 5 of Pogo transposable element with ZNF domain</t>
  </si>
  <si>
    <t>Isoform 4 of Mesoderm induction early response protein 3</t>
  </si>
  <si>
    <t>Zinc finger FYVE domain-containing protein 16</t>
  </si>
  <si>
    <t>Ubiquitin-protein ligase E3B</t>
  </si>
  <si>
    <t>Protein RD3</t>
  </si>
  <si>
    <t>C-myc promoter-binding protein</t>
  </si>
  <si>
    <t>Myosin-14</t>
  </si>
  <si>
    <t>Nuclear fragile X mental retardation-interacting protein 2</t>
  </si>
  <si>
    <t>Isoform 2 of SUZ domain-containing protein 1</t>
  </si>
  <si>
    <t>Mitochondrial antiviral-signaling protein</t>
  </si>
  <si>
    <t>CLIP-associating protein 1</t>
  </si>
  <si>
    <t>ATP-dependent RNA helicase DHX29</t>
  </si>
  <si>
    <t>Isoform 2 of Nephrocystin-3</t>
  </si>
  <si>
    <t>COMM domain-containing protein 6</t>
  </si>
  <si>
    <t>HD domain-containing protein 2</t>
  </si>
  <si>
    <t>HAUS augmin-like complex subunit 6</t>
  </si>
  <si>
    <t>KDEL motif-containing protein 2</t>
  </si>
  <si>
    <t>Isoform 4 of LIM and senescent cell antigen-like-containing domain protein 2</t>
  </si>
  <si>
    <t>HEAT repeat-containing protein 3</t>
  </si>
  <si>
    <t>Isoform 3 of Kinesin-like protein KIF21A</t>
  </si>
  <si>
    <t>Hepatoma-derived growth factor-related protein 2</t>
  </si>
  <si>
    <t>L-xylulose reductase</t>
  </si>
  <si>
    <t>AT-hook-containing transcription factor</t>
  </si>
  <si>
    <t>Isoform 3 of Retinoic acid-induced protein 1</t>
  </si>
  <si>
    <t>Wings apart-like protein homolog</t>
  </si>
  <si>
    <t>Isoform 2 of R3H and coiled-coil domain-containing protein 1-like</t>
  </si>
  <si>
    <t>Isoform 2 of Interferon regulatory factor 2-binding protein 2</t>
  </si>
  <si>
    <t>Pre-miRNA 5-monophosphate methyltransferase</t>
  </si>
  <si>
    <t>BTB/POZ domain-containing protein KCTD20</t>
  </si>
  <si>
    <t>Calmodulin-lysine N-methyltransferase</t>
  </si>
  <si>
    <t>Isoform 2 of Coiled-coil domain-containing protein 91</t>
  </si>
  <si>
    <t>E3 ubiquitin-protein ligase RBBP6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</si>
  <si>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</si>
  <si>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</si>
  <si>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</si>
  <si>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</si>
  <si>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tRNA-specific adenosine deaminase 2</t>
  </si>
  <si>
    <t>Keratin, type II cytoskeletal 1b</t>
  </si>
  <si>
    <t>Isoform 5 of Centriolin</t>
  </si>
  <si>
    <t>Cytoplasmic tRNA 2-thiolation protein 1</t>
  </si>
  <si>
    <t>PX domain-containing protein kinase-like protein</t>
  </si>
  <si>
    <t>Transcription initiation factor TFIID subunit 8</t>
  </si>
  <si>
    <t>Ubiquitin-conjugating enzyme E2 Q1</t>
  </si>
  <si>
    <t>UPF0469 protein KIAA0907</t>
  </si>
  <si>
    <t>Isoform 2 of Vacuolar protein sorting-associated protein 13B</t>
  </si>
  <si>
    <t>Isoform 3 of Transmembrane emp24 domain-containing protein 4</t>
  </si>
  <si>
    <t>COX assembly mitochondrial protein homolog</t>
  </si>
  <si>
    <t>Isoform 3 of Centromere protein V</t>
  </si>
  <si>
    <t>Polycomb group RING finger protein 5</t>
  </si>
  <si>
    <t>Serine/threonine-protein kinase Nek8</t>
  </si>
  <si>
    <t>Amphoterin-induced protein 2</t>
  </si>
  <si>
    <t>Serologically defined colon cancer antigen 8</t>
  </si>
  <si>
    <t>Glutaredoxin-related protein 5, mitochondrial</t>
  </si>
  <si>
    <t>Trafficking protein particle complex subunit 6B</t>
  </si>
  <si>
    <t>Transcriptional regulator Kaiso</t>
  </si>
  <si>
    <t>MOB kinase activator 3B</t>
  </si>
  <si>
    <t>Isoform 4 of Protein PAT1 homolog 1</t>
  </si>
  <si>
    <t>TBC1 domain family member 1</t>
  </si>
  <si>
    <t>Dipeptidyl peptidase 9</t>
  </si>
  <si>
    <t>Isoform 3 of Transcriptional adapter 2-beta</t>
  </si>
  <si>
    <t>Isoform 2 of tRNA 2-phosphotransferase 1</t>
  </si>
  <si>
    <t>Protein prune homolog</t>
  </si>
  <si>
    <t>Histone-lysine N-methyltransferase setd3</t>
  </si>
  <si>
    <t>Full-length cDNA clone CS0DI002YH20 of Placenta of Homo sapiens (human)</t>
  </si>
  <si>
    <t>Iron-sulfur cluster assembly 2 homolog, mitochondrial</t>
  </si>
  <si>
    <t>N6-adenosine-methyltransferase 70 kDa subunit</t>
  </si>
  <si>
    <t>Isoform 2 of LIM domain-binding protein 1</t>
  </si>
  <si>
    <t>Isoform 8 of Protein polybromo-1</t>
  </si>
  <si>
    <t>YrdC domain-containing protein, mitochondrial</t>
  </si>
  <si>
    <t>Pre-mRNA-processing factor 39</t>
  </si>
  <si>
    <t>Protein LYRIC</t>
  </si>
  <si>
    <t>Isoform 2 of Serine/threonine-protein kinase tousled-like 2</t>
  </si>
  <si>
    <t>Isoform 3 of Zinc finger protein 598</t>
  </si>
  <si>
    <t>Kinectin</t>
  </si>
  <si>
    <t>Telomerase-binding protein EST1A</t>
  </si>
  <si>
    <t>Isoform 3 of B-cell CLL/lymphoma 9-like protein</t>
  </si>
  <si>
    <t>Isoform 2 of Pleckstrin homology-like domain family B member 1</t>
  </si>
  <si>
    <t>Ubiquitin carboxyl-terminal hydrolase 48</t>
  </si>
  <si>
    <t>Isoform 2 of NEDD4-binding protein 2</t>
  </si>
  <si>
    <t>ATP-binding cassette C5 splicing variant A</t>
  </si>
  <si>
    <t>Serine/threonine-protein kinase 32C</t>
  </si>
  <si>
    <t>TXNDC5 protein</t>
  </si>
  <si>
    <t>Protein FAM83A</t>
  </si>
  <si>
    <t>Isoform 2 of 5-nucleotidase domain-containing protein 3</t>
  </si>
  <si>
    <t>Acetoacetyl-CoA synthetase</t>
  </si>
  <si>
    <t>Leucine zipper protein 1</t>
  </si>
  <si>
    <t>PNMA-like protein 1</t>
  </si>
  <si>
    <t>Protein FAM160B2</t>
  </si>
  <si>
    <t>Uncharacterized protein C11orf74</t>
  </si>
  <si>
    <t>HCG1980662</t>
  </si>
  <si>
    <t>Zinc finger CCCH domain-containing protein 18</t>
  </si>
  <si>
    <t>Vacuolar protein-sorting-associated protein 36</t>
  </si>
  <si>
    <t>Isoform 2 of Tax1-binding protein 1</t>
  </si>
  <si>
    <t>Cullin-associated NEDD8-dissociated protein 1</t>
  </si>
  <si>
    <t>Glucocorticoid-induced transcript 1 protein</t>
  </si>
  <si>
    <t>Thioredoxin reductase 3</t>
  </si>
  <si>
    <t>Protein FAM134C</t>
  </si>
  <si>
    <t>Protein Hook homolog 3</t>
  </si>
  <si>
    <t>Isoform 3 of Rotatin</t>
  </si>
  <si>
    <t>Isoform 2 of COMM domain-containing protein 7</t>
  </si>
  <si>
    <t>Vacuolar fusion protein MON1 homolog A</t>
  </si>
  <si>
    <t>Testis-specific Y-encoded-like protein 5</t>
  </si>
  <si>
    <t>Zinc finger and SCAN domain-containing protein 30</t>
  </si>
  <si>
    <t>Archaemetzincin-2</t>
  </si>
  <si>
    <t>THO complex subunit 6 homolog</t>
  </si>
  <si>
    <t>Methyltransferase-like protein 16</t>
  </si>
  <si>
    <t>Isoform 2 of Poly(ADP-ribose) glycohydrolase</t>
  </si>
  <si>
    <t>Isoform 4 of Liprin-beta-1</t>
  </si>
  <si>
    <t>Isoform 2 of Valacyclovir hydrolase</t>
  </si>
  <si>
    <t>Ras association domain-containing protein 3</t>
  </si>
  <si>
    <t>Isoform 2 of Chromodomain-helicase-DNA-binding protein 1-like</t>
  </si>
  <si>
    <t>FCH and double SH3 domains protein 1</t>
  </si>
  <si>
    <t>Isoform 3 of Vasculin</t>
  </si>
  <si>
    <t>Nuclear receptor 2C2-associated protein</t>
  </si>
  <si>
    <t>Coiled-coil domain-containing protein 25</t>
  </si>
  <si>
    <t>Proline and serine-rich protein 2</t>
  </si>
  <si>
    <t>Active regulator of SIRT1</t>
  </si>
  <si>
    <t>Isoform 3 of Ral GTPase-activating protein subunit beta</t>
  </si>
  <si>
    <t>Ras-specific guanine nucleotide-releasing factor RalGPS2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</si>
  <si>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</si>
  <si>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</si>
  <si>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</si>
  <si>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</si>
  <si>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</si>
  <si>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Isoform 2 of Zinc finger protein 761</t>
  </si>
  <si>
    <t>RNA-binding protein MEX3D</t>
  </si>
  <si>
    <t>ATP-dependent RNA helicase DDX42</t>
  </si>
  <si>
    <t>Isoform 5 of Serine/threonine-protein kinase VRK2</t>
  </si>
  <si>
    <t>Collagen alpha-1(XXIII) chain</t>
  </si>
  <si>
    <t>CDK2-associated and cullin domain-containing protein 1</t>
  </si>
  <si>
    <t>HEAT repeat-containing protein 2</t>
  </si>
  <si>
    <t>Probable peptidyl-tRNA hydrolase</t>
  </si>
  <si>
    <t>Syntaxin-12</t>
  </si>
  <si>
    <t>Isoform 2 of Kinesin-like protein KIF18B</t>
  </si>
  <si>
    <t>ERO1-like protein beta</t>
  </si>
  <si>
    <t>Zinc finger protein 280B</t>
  </si>
  <si>
    <t>Decaprenyl-diphosphate synthase subunit 2</t>
  </si>
  <si>
    <t>Homer protein homolog 1</t>
  </si>
  <si>
    <t>Transcriptional repressor p66-alpha</t>
  </si>
  <si>
    <t>Isoform 4 of G-protein-signaling modulator 1</t>
  </si>
  <si>
    <t>C2 domain-containing protein 5</t>
  </si>
  <si>
    <t>Tyrosine-protein kinase SgK223</t>
  </si>
  <si>
    <t>Hermansky-Pudlak syndrome 6 protein</t>
  </si>
  <si>
    <t>Hornerin</t>
  </si>
  <si>
    <t>Isoform 2 of m7GpppN-mRNA hydrolase</t>
  </si>
  <si>
    <t>Interferon regulatory factor 2-binding protein 1</t>
  </si>
  <si>
    <t>Rhophilin-2</t>
  </si>
  <si>
    <t>ELKS/Rab6-interacting/CAST family member 1</t>
  </si>
  <si>
    <t>Homeobox protein TGIF2LX</t>
  </si>
  <si>
    <t>Bifunctional lysine-specific demethylase and histidyl-hydroxylase MINA</t>
  </si>
  <si>
    <t>Unconventional myosin-XVIIIb</t>
  </si>
  <si>
    <t>Isoform 2 of RNA-binding protein 45</t>
  </si>
  <si>
    <t>Cytokine receptor-like factor 3</t>
  </si>
  <si>
    <t>Trafficking protein particle complex subunit 5</t>
  </si>
  <si>
    <t>ANKRD10 protein</t>
  </si>
  <si>
    <t>5-phosphohydroxy-L-lysine phospho-lyase</t>
  </si>
  <si>
    <t>Phospholipase D3</t>
  </si>
  <si>
    <t>Coiled-coil domain-containing protein 71</t>
  </si>
  <si>
    <t>Ankyrin repeat and MYND domain-containing protein 2</t>
  </si>
  <si>
    <t>3-5 exoribonuclease 1</t>
  </si>
  <si>
    <t>LysM and putative peptidoglycan-binding domain-containing protein 2</t>
  </si>
  <si>
    <t>Isoform 3 of Inactive serine/threonine-protein kinase VRK3</t>
  </si>
  <si>
    <t>NudC domain-containing protein 3</t>
  </si>
  <si>
    <t>Isoform 10 of Neuron navigator 2</t>
  </si>
  <si>
    <t>Coiled-coil domain-containing protein 50</t>
  </si>
  <si>
    <t>Lipoxygenase homology domain-containing protein 1</t>
  </si>
  <si>
    <t>Isoform 4 of AT-rich interactive domain-containing protein 3B</t>
  </si>
  <si>
    <t>ATP-dependent (S)-NAD(P)H-hydrate dehydratase</t>
  </si>
  <si>
    <t>WD repeat and FYVE domain-containing protein 1</t>
  </si>
  <si>
    <t>Isoform 2 of MAP7 domain-containing protein 3</t>
  </si>
  <si>
    <t>Coiled-coil domain-containing protein 117</t>
  </si>
  <si>
    <t>Protein DENND6A</t>
  </si>
  <si>
    <t>Isoform 2 of WD repeat-containing protein 63</t>
  </si>
  <si>
    <t>MAX gene-associated protein</t>
  </si>
  <si>
    <t>GRIP and coiled-coil domain-containing protein 2</t>
  </si>
  <si>
    <t>Iron-sulfur cluster co-chaperone protein HscB, mitochondrial</t>
  </si>
  <si>
    <t>Zinc finger CCCH domain-containing protein 7A</t>
  </si>
  <si>
    <t>Protein archease</t>
  </si>
  <si>
    <t>Serine/threonine-protein kinase LMTK2</t>
  </si>
  <si>
    <t>E3 ubiquitin-protein ligase UBR1</t>
  </si>
  <si>
    <t>E3 ubiquitin-protein ligase UBR2</t>
  </si>
  <si>
    <t>Isoform 2 of Rho GTPase-activating protein 12</t>
  </si>
  <si>
    <t>Calcium homeostasis endoplasmic reticulum protein</t>
  </si>
  <si>
    <t>Isoform 1 of Codanin-1</t>
  </si>
  <si>
    <t>Isoform 6 of Ankyrin repeat and KH domain-containing protein 1</t>
  </si>
  <si>
    <t>SURP and G-patch domain-containing protein 1</t>
  </si>
  <si>
    <t>Isoform 4 of SURP and G-patch domain-containing protein 2</t>
  </si>
  <si>
    <t>Isoform 6 of Ubiquitin-conjugating enzyme E2 variant 3</t>
  </si>
  <si>
    <t>Zinc finger protein ZFPM1</t>
  </si>
  <si>
    <t>Isoform 2 of Cell division cycle and apoptosis regulator protein 1</t>
  </si>
  <si>
    <t>Homeobox and leucine zipper protein Homez</t>
  </si>
  <si>
    <t>Isoform 3 of Probable ATP-dependent RNA helicase DHX40</t>
  </si>
  <si>
    <t>Spindle and kinetochore-associated protein 3</t>
  </si>
  <si>
    <t>Isoform 2 of DnaJ homolog subfamily C member 10</t>
  </si>
  <si>
    <t>Isoform NELF-D of Negative elongation factor C/D</t>
  </si>
  <si>
    <t>Isoform 2 of NAD-dependent protein deacetylase sirtuin-2</t>
  </si>
  <si>
    <t>Putative Polycomb group protein ASXL1</t>
  </si>
  <si>
    <t>Isoform 2 of Polyhomeotic-like protein 2</t>
  </si>
  <si>
    <t>39S ribosomal protein L41, mitochondrial</t>
  </si>
  <si>
    <t>Uncharacterized protein C9orf40</t>
  </si>
  <si>
    <t>Uncharacterized protein KIAA1704</t>
  </si>
  <si>
    <t>Protein FAM126B</t>
  </si>
  <si>
    <t>Putative RNA polymerase II subunit B1 CTD phosphatase RPAP2</t>
  </si>
  <si>
    <t>Zinc finger CCCH domain-containing protein 3</t>
  </si>
  <si>
    <t>Structural maintenance of chromosomes protein 5</t>
  </si>
  <si>
    <t>C-Maf-inducing protein</t>
  </si>
  <si>
    <t>Intraflagellar transport protein 20 homolog</t>
  </si>
  <si>
    <t>MICAL-like protein 2</t>
  </si>
  <si>
    <t>Probable ATP-dependent RNA helicase DHX37</t>
  </si>
  <si>
    <t>Kelch repeat and BTB domain-containing protein 2</t>
  </si>
  <si>
    <t>Isoform 2 of Angiomotin-like protein 1</t>
  </si>
  <si>
    <t>pre-rRNA processing protein FTSJ3</t>
  </si>
  <si>
    <t>Structure-specific endonuclease subunit SLX4</t>
  </si>
  <si>
    <t>Cytoskeleton-associated protein 2-like</t>
  </si>
  <si>
    <t>Isoform 3 of Stromal membrane-associated protein 1</t>
  </si>
  <si>
    <t>DIS3-like exonuclease 2</t>
  </si>
  <si>
    <t>ATP-dependent RNA helicase SUPV3L1, mitochondrial</t>
  </si>
  <si>
    <t>Zinc finger protein 595</t>
  </si>
  <si>
    <t>Eukaryotic peptide chain release factor GTP-binding subunit ERF3B</t>
  </si>
  <si>
    <t>Coiled-coil domain-containing protein 146</t>
  </si>
  <si>
    <t>Isoform 4 of ZZ-type zinc finger-containing protein 3</t>
  </si>
  <si>
    <t>Exocyst complex component 8</t>
  </si>
  <si>
    <t>Procollagen galactosyltransferase 2</t>
  </si>
  <si>
    <t>UPF0688 protein C1orf174</t>
  </si>
  <si>
    <t>Transcription elongation factor A protein-like 8</t>
  </si>
  <si>
    <t>UBA-like domain-containing protein 2</t>
  </si>
  <si>
    <t>Focal adhesion kinase 1</t>
  </si>
  <si>
    <t>Threonine synthase-like 1</t>
  </si>
  <si>
    <t>FtsJ methyltransferase domain-containing protein 1</t>
  </si>
  <si>
    <t>E3 ubiquitin-protein ligase HACE1</t>
  </si>
  <si>
    <t>Calcium uptake protein 2, mitochondrial</t>
  </si>
  <si>
    <t>E3 ubiquitin-protein ligase RNF168</t>
  </si>
  <si>
    <t>Ankyrin repeat domain-containing protein 13A</t>
  </si>
  <si>
    <t>Transposon-derived Buster3 transposase-like protein</t>
  </si>
  <si>
    <t>Isoform 3 of Phosphatase and actin regulator 4</t>
  </si>
  <si>
    <t>tRNA (uracil-5-)-methyltransferase homolog A</t>
  </si>
  <si>
    <t>RNA pseudouridylate synthase domain-containing protein 2</t>
  </si>
  <si>
    <t>Aldehyde dehydrogenase family 16 member A1</t>
  </si>
  <si>
    <t>Isoform 6 of Histone-lysine N-methyltransferase MLL5</t>
  </si>
  <si>
    <t>Isoform 2 of Protein-associating with the carboxyl-terminal domain of ezrin</t>
  </si>
  <si>
    <t>Isoform 2 of 5-3 exoribonuclease 1</t>
  </si>
  <si>
    <t>Isoform 2 of Netrin receptor UNC5B</t>
  </si>
  <si>
    <t>Mastermind-like protein 2</t>
  </si>
  <si>
    <t>Proline-, glutamic acid- and leucine-rich protein 1</t>
  </si>
  <si>
    <t>Isoform 10 of Abl interactor 1</t>
  </si>
  <si>
    <t>Isoform 2 of WD repeat and FYVE domain-containing protein 3</t>
  </si>
  <si>
    <t>Isoform 2 of Abnormal spindle-like microcephaly-associated protein</t>
  </si>
  <si>
    <t>Retinol dehydrogenase 10</t>
  </si>
  <si>
    <t>Synaptonemal complex central element protein 1</t>
  </si>
  <si>
    <t>Uncharacterized protein C8orf59</t>
  </si>
  <si>
    <t>L-fucose kinase</t>
  </si>
  <si>
    <t>Spartin</t>
  </si>
  <si>
    <t>Isoform 2 of Zinc finger protein 444</t>
  </si>
  <si>
    <t>Probable phosphoglycerate mutase 4</t>
  </si>
  <si>
    <t>Spindle and centriole-associated protein 1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</si>
  <si>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</si>
  <si>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</si>
  <si>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</si>
  <si>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</si>
  <si>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Isoform 5 of Centrobin</t>
  </si>
  <si>
    <t>Adenylosuccinate synthetase isozyme 1</t>
  </si>
  <si>
    <t>DBIRD complex subunit KIAA1967</t>
  </si>
  <si>
    <t>Homeobox protein SIX5</t>
  </si>
  <si>
    <t>UPF0462 protein C4orf33</t>
  </si>
  <si>
    <t>Vacuolar protein sorting-associated protein 52 homolog</t>
  </si>
  <si>
    <t>Nuclear pore complex protein Nup93</t>
  </si>
  <si>
    <t>Zinc finger protein 687</t>
  </si>
  <si>
    <t>RNA exonuclease 1 homolog</t>
  </si>
  <si>
    <t>Cap-specific mRNA (nucleoside-2-O-)-methyltransferase 1</t>
  </si>
  <si>
    <t>Leucine-rich repeat-containing protein 47</t>
  </si>
  <si>
    <t>Protein FAM115C</t>
  </si>
  <si>
    <t>Keratin, type II cytoskeletal 78</t>
  </si>
  <si>
    <t>Carbonic anhydrase 13</t>
  </si>
  <si>
    <t>Zinc finger protein 710</t>
  </si>
  <si>
    <t>Integrator complex subunit 1</t>
  </si>
  <si>
    <t>Isoform 3 of Armadillo repeat-containing protein 10</t>
  </si>
  <si>
    <t>Isoform 3 of Serine/threonine-protein kinase 40</t>
  </si>
  <si>
    <t>E3 SUMO-protein ligase PIAS4</t>
  </si>
  <si>
    <t>Coiled-coil domain-containing protein 23</t>
  </si>
  <si>
    <t>Angiogenic factor with G patch and FHA domains 1</t>
  </si>
  <si>
    <t>Glycerol-3-phosphate dehydrogenase 1-like protein</t>
  </si>
  <si>
    <t>Mesoderm induction early response protein 2</t>
  </si>
  <si>
    <t>Protein Dos</t>
  </si>
  <si>
    <t>Lysine-specific demethylase 8</t>
  </si>
  <si>
    <t>Rho GTPase-activating protein 18</t>
  </si>
  <si>
    <t>Activating signal cointegrator 1 complex subunit 3</t>
  </si>
  <si>
    <t>EH domain-binding protein 1-like protein 1</t>
  </si>
  <si>
    <t>MICAL-like protein 1</t>
  </si>
  <si>
    <t>Isoform 3 of Uncharacterized protein C17orf53</t>
  </si>
  <si>
    <t>Isoform 3 of Vacuolar protein sorting-associated protein 8 homolog</t>
  </si>
  <si>
    <t>MAGUK p55 subfamily member 5</t>
  </si>
  <si>
    <t>Formin-binding protein 4</t>
  </si>
  <si>
    <t>Isoform 2 of F-box/WD repeat-containing protein 8</t>
  </si>
  <si>
    <t>Isoform 2 of D-2-hydroxyglutarate dehydrogenase, mitochondrial</t>
  </si>
  <si>
    <t>RING1 and YY1-binding protein</t>
  </si>
  <si>
    <t>Isoform 4 of Misshapen-like kinase 1</t>
  </si>
  <si>
    <t>UPF0586 protein C9orf41</t>
  </si>
  <si>
    <t>Isoform 2 of Kelch-like protein 36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</si>
  <si>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</si>
  <si>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</si>
  <si>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</si>
  <si>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</si>
  <si>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Isoform 2 of Zinc finger protein 808</t>
  </si>
  <si>
    <t>Actin filament-associated protein 1</t>
  </si>
  <si>
    <t>Zinc finger CCHC domain-containing protein 9</t>
  </si>
  <si>
    <t>Isoform 8 of Oxidation resistance protein 1</t>
  </si>
  <si>
    <t>Isoform 3 of Zinc finger CCCH-type with G patch domain-containing protein</t>
  </si>
  <si>
    <t>S1 RNA-binding domain-containing protein 1</t>
  </si>
  <si>
    <t>DTW domain-containing protein 1</t>
  </si>
  <si>
    <t>Isoform 2 of TGF-beta-activated kinase 1 and MAP3K7-binding protein 3</t>
  </si>
  <si>
    <t>Isoform 4 of WD and tetratricopeptide repeats protein 1</t>
  </si>
  <si>
    <t>NF-kappa-B-activating protein</t>
  </si>
  <si>
    <t>Macoilin</t>
  </si>
  <si>
    <t>Uncharacterized protein C12orf45</t>
  </si>
  <si>
    <t>Protein FAM63A</t>
  </si>
  <si>
    <t>Ribonuclease P protein subunit p25-like protein</t>
  </si>
  <si>
    <t>ATP synthase mitochondrial F1 complex assembly factor 2</t>
  </si>
  <si>
    <t>39S ribosomal protein L50, mitochondrial</t>
  </si>
  <si>
    <t>Zinc finger CCCH domain-containing protein 8</t>
  </si>
  <si>
    <t>RING finger protein 10</t>
  </si>
  <si>
    <t>Isoform 4 of Male-specific lethal 3 homolog</t>
  </si>
  <si>
    <t>Isoform 3 of FTS and Hook-interacting protein</t>
  </si>
  <si>
    <t>Leucine-zipper-like transcriptional regulator 1</t>
  </si>
  <si>
    <t>Uncharacterized protein C10orf12</t>
  </si>
  <si>
    <t>COMM domain-containing protein 1</t>
  </si>
  <si>
    <t>Zinc finger and BTB domain-containing protein 2</t>
  </si>
  <si>
    <t>Cleavage and polyadenylation specificity factor subunit 7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</si>
  <si>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</si>
  <si>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</si>
  <si>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</si>
  <si>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</si>
  <si>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Isoform 2 of NAD-dependent protein deacetylase sirtuin-6</t>
  </si>
  <si>
    <t>Isoform 3 of Zinc finger protein 655</t>
  </si>
  <si>
    <t>Isoform 3 of Cyclin-Y-like protein 1</t>
  </si>
  <si>
    <t>Melanoma-associated antigen B6</t>
  </si>
  <si>
    <t>Putative E3 ubiquitin-protein ligase UBR7</t>
  </si>
  <si>
    <t>Isoform 2 of Probable protein phosphatase 1N</t>
  </si>
  <si>
    <t>ATP-dependent RNA helicase DDX51</t>
  </si>
  <si>
    <t>Prostaglandin reductase 2</t>
  </si>
  <si>
    <t>UPF0565 protein C2orf69</t>
  </si>
  <si>
    <t>ARL14 effector protein</t>
  </si>
  <si>
    <t>Isoform 2 of Protein enabled homolog</t>
  </si>
  <si>
    <t>Isoform 2 of Discoidin, CUB and LCCL domain-containing protein 1</t>
  </si>
  <si>
    <t>G patch domain-containing protein 11</t>
  </si>
  <si>
    <t>Centrosomal protein of 120 kDa</t>
  </si>
  <si>
    <t>Coiled-coil domain-containing protein 89</t>
  </si>
  <si>
    <t>Uncharacterized protein C12orf29</t>
  </si>
  <si>
    <t>Isoform 2 of Junction-mediating and -regulatory protein</t>
  </si>
  <si>
    <t>Uncharacterized protein C19orf47</t>
  </si>
  <si>
    <t>Transmembrane protein 102</t>
  </si>
  <si>
    <t>Isoform 7 of Protein BANP</t>
  </si>
  <si>
    <t>Leucine-rich repeat-containing protein 57</t>
  </si>
  <si>
    <t>Probable RNA-binding protein EIF1AD</t>
  </si>
  <si>
    <t>Protein SCAI</t>
  </si>
  <si>
    <t>WD repeat, SAM and U-box domain-containing protein 1</t>
  </si>
  <si>
    <t>Coiled-coil domain-containing protein 71L</t>
  </si>
  <si>
    <t>Zinc finger protein 579</t>
  </si>
  <si>
    <t>Zinc finger and BTB domain-containing protein 38</t>
  </si>
  <si>
    <t>Tudor domain-containing protein 5</t>
  </si>
  <si>
    <t>Pre-mRNA-splicing factor 38A</t>
  </si>
  <si>
    <t>Uncharacterized protein C1orf172</t>
  </si>
  <si>
    <t>Mixed lineage kinase domain-like protein</t>
  </si>
  <si>
    <t>Isoform 3 of Parkinson disease 7 domain-containing protein 1</t>
  </si>
  <si>
    <t>Serine/threonine-protein phosphatase 6 regulatory ankyrin repeat subunit C</t>
  </si>
  <si>
    <t>Lysine-specific histone demethylase 1B</t>
  </si>
  <si>
    <t>Spermatogenesis-associated protein 5</t>
  </si>
  <si>
    <t>DTW domain-containing protein 2</t>
  </si>
  <si>
    <t>NHL repeat-containing protein 2</t>
  </si>
  <si>
    <t>Isoform 2 of Late secretory pathway protein AVL9 homolog</t>
  </si>
  <si>
    <t>Procollagen galactosyltransferase 1</t>
  </si>
  <si>
    <t>Sulfatase-modifying factor 2</t>
  </si>
  <si>
    <t>Isoform 2 of Sulfatase-modifying factor 1</t>
  </si>
  <si>
    <t>Protein O-glucosyltransferase 1</t>
  </si>
  <si>
    <t>Retinol dehydrogenase 13</t>
  </si>
  <si>
    <t>Saccharopine dehydrogenase-like oxidoreductase</t>
  </si>
  <si>
    <t>INO80 complex subunit E</t>
  </si>
  <si>
    <t>Isoform 2 of Plasminogen activator inhibitor 1 RNA-binding protein</t>
  </si>
  <si>
    <t>LEM domain-containing protein 2</t>
  </si>
  <si>
    <t>Nitric oxide-associated protein 1</t>
  </si>
  <si>
    <t>Caspase recruitment domain-containing protein 10</t>
  </si>
  <si>
    <t>Adaptin ear-binding coat-associated protein 1</t>
  </si>
  <si>
    <t>Isoform 2 of Protein FAM98A</t>
  </si>
  <si>
    <t>Zinc finger protein 784</t>
  </si>
  <si>
    <t>Group XV phospholipase A2</t>
  </si>
  <si>
    <t>Holliday junction recognition protein</t>
  </si>
  <si>
    <t>Isoform 4 of tRNA-splicing endonuclease subunit Sen2</t>
  </si>
  <si>
    <t>Isoform 2 of Myotubularin-related protein 14</t>
  </si>
  <si>
    <t>NFATC2-interacting protein</t>
  </si>
  <si>
    <t>Zinc finger and BTB domain-containing protein 34</t>
  </si>
  <si>
    <t>E3 ubiquitin-protein ligase RNF169</t>
  </si>
  <si>
    <t>Pyruvate dehydrogenase phosphatase regulatory subunit, mitochondrial</t>
  </si>
  <si>
    <t>Isoform 3 of Zinc finger and BTB domain-containing protein 44</t>
  </si>
  <si>
    <t>NAD(P)H-hydrate epimerase</t>
  </si>
  <si>
    <t>Myb/SANT-like DNA-binding domain-containing protein 4</t>
  </si>
  <si>
    <t>Protein SMG8</t>
  </si>
  <si>
    <t>RING finger protein 214</t>
  </si>
  <si>
    <t>Liprin-beta-2</t>
  </si>
  <si>
    <t>Isoform 2 of Protein LSM14 homolog A</t>
  </si>
  <si>
    <t>Isoform 3 of Cyclin-Y</t>
  </si>
  <si>
    <t>MAPK-interacting and spindle-stabilizing protein-like</t>
  </si>
  <si>
    <t>Isoform 3 of Uncharacterized protein C1orf131</t>
  </si>
  <si>
    <t>PAP-associated domain-containing protein 5</t>
  </si>
  <si>
    <t>Isoform 3 of EH domain-binding protein 1</t>
  </si>
  <si>
    <t>Isoform 2 of Structural maintenance of chromosomes protein 1B</t>
  </si>
  <si>
    <t>Isoform 2 of Trinucleotide repeat-containing gene 6A protein</t>
  </si>
  <si>
    <t>PH and SEC7 domain-containing protein 4</t>
  </si>
  <si>
    <t>Isoform 7 of Polyhomeotic-like protein 3</t>
  </si>
  <si>
    <t>Zinc finger protein 740</t>
  </si>
  <si>
    <t>ATP-binding cassette sub-family F member 1</t>
  </si>
  <si>
    <t>Phosphatidylinositol 3-kinase catalytic subunit type 3</t>
  </si>
  <si>
    <t>Glutathione S-transferase C-terminal domain-containing protein</t>
  </si>
  <si>
    <t>Serum response factor-binding protein 1</t>
  </si>
  <si>
    <t>Isoform 2 of Neuroguidin</t>
  </si>
  <si>
    <t>Isoform 2 of Microcephalin</t>
  </si>
  <si>
    <t>SHC SH2 domain-binding protein 1</t>
  </si>
  <si>
    <t>PDZ domain-containing protein 8</t>
  </si>
  <si>
    <t>Isoform 2 of DCC-interacting protein 13-beta</t>
  </si>
  <si>
    <t>Isoform 2 of Neuron navigator 1</t>
  </si>
  <si>
    <t>Periphilin-1</t>
  </si>
  <si>
    <t>Isoform 2 of Periphilin-1</t>
  </si>
  <si>
    <t>Isoform 3 of Periphilin-1</t>
  </si>
  <si>
    <t>Vacuolar protein sorting-associated protein 37A</t>
  </si>
  <si>
    <t>Histone-lysine N-methyltransferase MLL3</t>
  </si>
  <si>
    <t>F-box only protein 22</t>
  </si>
  <si>
    <t>Lysophosphatidylcholine acyltransferase 1</t>
  </si>
  <si>
    <t>Isoform 4 of Dedicator of cytokinesis protein 8</t>
  </si>
  <si>
    <t>Isoform 3 of Zinc finger MIZ domain-containing protein 2</t>
  </si>
  <si>
    <t>Ubiquitin carboxyl-terminal hydrolase 32</t>
  </si>
  <si>
    <t>Biorientation of chromosomes in cell division protein 1-like 1</t>
  </si>
  <si>
    <t>Isoform 3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</si>
  <si>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</si>
  <si>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</si>
  <si>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</si>
  <si>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</si>
  <si>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</si>
  <si>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Alpha/beta hydrolase domain-containing protein 11</t>
  </si>
  <si>
    <t>N-acylneuraminate cytidylyltransferase</t>
  </si>
  <si>
    <t>Kelch repeat and BTB domain-containing protein 8</t>
  </si>
  <si>
    <t>F-box only protein 18</t>
  </si>
  <si>
    <t>DNA helicase B</t>
  </si>
  <si>
    <t>Isoform 2 of Protein CASC5</t>
  </si>
  <si>
    <t>Tubulin--tyrosine ligase</t>
  </si>
  <si>
    <t>Small VCP/p97-interacting protein</t>
  </si>
  <si>
    <t>E3 ubiquitin-protein ligase ZNRF2</t>
  </si>
  <si>
    <t>Isoform 4 of Lysine-specific demethylase 2B</t>
  </si>
  <si>
    <t>Putative phospholipase B-like 2</t>
  </si>
  <si>
    <t>Isoform 2 of Ras association domain-containing protein 8</t>
  </si>
  <si>
    <t>Tudor domain-containing protein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</si>
  <si>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</si>
  <si>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</si>
  <si>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</si>
  <si>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</si>
  <si>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</si>
  <si>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</si>
  <si>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Isoform 8 of Transcriptional repressor CTCFL</t>
  </si>
  <si>
    <t>Retinitis pigmentosa 9 protein</t>
  </si>
  <si>
    <t>Rieske domain-containing protein</t>
  </si>
  <si>
    <t>Smad nuclear-interacting protein 1</t>
  </si>
  <si>
    <t>Protein phosphatase 1 regulatory subunit 14C</t>
  </si>
  <si>
    <t>Growth arrest and DNA damage-inducible proteins-interacting protein 1</t>
  </si>
  <si>
    <t>WD repeat-containing protein 48</t>
  </si>
  <si>
    <t>Centrosomal protein of 76 kDa</t>
  </si>
  <si>
    <t>Protein phosphatase 1 regulatory subunit 35</t>
  </si>
  <si>
    <t>M-phase-specific PLK1-interacting protein</t>
  </si>
  <si>
    <t>SWI/SNF complex subunit SMARCC2</t>
  </si>
  <si>
    <t>Isoform 2 of SWI/SNF complex subunit SMARCC2</t>
  </si>
  <si>
    <t>Nuclear protein localization protein 4 homolog</t>
  </si>
  <si>
    <t>Isoform 2 of Protein FAM76A</t>
  </si>
  <si>
    <t>Uncharacterized protein CXorf38</t>
  </si>
  <si>
    <t>Ras and Rab interactor 3</t>
  </si>
  <si>
    <t>F-box only protein 30</t>
  </si>
  <si>
    <t>TXNDC9 protein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</si>
  <si>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</si>
  <si>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</si>
  <si>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</si>
  <si>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</si>
  <si>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Isoform 4 of Zinc finger and SCAN domain-containing protein 18</t>
  </si>
  <si>
    <t>Isoform 3 of Bromo adjacent homology domain-containing 1 protein</t>
  </si>
  <si>
    <t>N-acylneuraminate-9-phosphatase</t>
  </si>
  <si>
    <t>Isoform 4 of Prostamide/prostaglandin F synthase</t>
  </si>
  <si>
    <t>Zinc finger CCHC-type and RNA-binding motif-containing protein 1</t>
  </si>
  <si>
    <t>DnaJ homolog subfamily B member 14</t>
  </si>
  <si>
    <t>Guanine nucleotide exchange factor for Rab-3A</t>
  </si>
  <si>
    <t>Phosphatidylinositol 5-phosphate 4-kinase type-2 gamma</t>
  </si>
  <si>
    <t>tRNA methyltransferase 10 homolog A</t>
  </si>
  <si>
    <t>Isoform 2 of TBC1 domain family member 15</t>
  </si>
  <si>
    <t>Protein FAM110B</t>
  </si>
  <si>
    <t>Leucine-rich repeat-containing protein 20</t>
  </si>
  <si>
    <t>5(3)-deoxyribonucleotidase, cytosolic type</t>
  </si>
  <si>
    <t>Isoform 2 of Protein FAM45A</t>
  </si>
  <si>
    <t>Protein CIP2A</t>
  </si>
  <si>
    <t>Zinc finger protein 507</t>
  </si>
  <si>
    <t>Polyribonucleotide nucleotidyltransferase 1, mitochondrial</t>
  </si>
  <si>
    <t>Isoform 3 of Alstrom syndrome protein 1</t>
  </si>
  <si>
    <t>Isoform 2 of Cytoplasmic dynein 2 light intermediate chain 1</t>
  </si>
  <si>
    <t>Isoform 2 of Mitogen-activated protein kinase 15</t>
  </si>
  <si>
    <t>Protein bicaudal D homolog 2</t>
  </si>
  <si>
    <t>Serine/threonine-protein kinase Nek9</t>
  </si>
  <si>
    <t>Chromodomain-helicase-DNA-binding protein 6</t>
  </si>
  <si>
    <t>Alanine aminotransferase 2</t>
  </si>
  <si>
    <t>Isoform 2 of Pleckstrin homology domain-containing family O member 2</t>
  </si>
  <si>
    <t>Dynein heavy chain 3, axonemal</t>
  </si>
  <si>
    <t>E3 ubiquitin-protein ligase DTX3L</t>
  </si>
  <si>
    <t>ATP-dependent RNA helicase DDX54</t>
  </si>
  <si>
    <t>Isoform 2 of ATP-dependent RNA helicase DDX54</t>
  </si>
  <si>
    <t>Biogenesis of lysosome-related organelles complex 1 subunit 5</t>
  </si>
  <si>
    <t>DmX-like protein 2</t>
  </si>
  <si>
    <t>Isoform 4 of CDK5 and ABL1 enzyme substrate 1</t>
  </si>
  <si>
    <t>Ribosome biogenesis protein BRX1 homolog</t>
  </si>
  <si>
    <t>Glucosamine-6-phosphate isomerase 2</t>
  </si>
  <si>
    <t>Isoform 4 of Glucosamine-6-phosphate isomerase 2</t>
  </si>
  <si>
    <t>Isoform 2 of TRAF3-interacting protein 1</t>
  </si>
  <si>
    <t>Serine/threonine-protein kinase 35</t>
  </si>
  <si>
    <t>Serine/threonine-protein kinase Nek7</t>
  </si>
  <si>
    <t>Isoform 2 of RB1-inducible coiled-coil protein 1</t>
  </si>
  <si>
    <t>Protein-methionine sulfoxide oxidase MICAL1</t>
  </si>
  <si>
    <t>Pantothenate kinase 1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</si>
  <si>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</si>
  <si>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</si>
  <si>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</si>
  <si>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</si>
  <si>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U3 small nucleolar RNA-associated protein 15 homolog</t>
  </si>
  <si>
    <t>DENN domain-containing protein 1A</t>
  </si>
  <si>
    <t>Isoform 1 of Histone-lysine N-methyltransferase, H3 lysine-79 specific</t>
  </si>
  <si>
    <t>Nuclear pore membrane glycoprotein 210</t>
  </si>
  <si>
    <t>Gem-associated protein 5</t>
  </si>
  <si>
    <t>Rho guanine nucleotide exchange factor 40</t>
  </si>
  <si>
    <t>Isoform 5 of Fas-binding factor 1</t>
  </si>
  <si>
    <t>Neutral alpha-glucosidase C</t>
  </si>
  <si>
    <t>Rap guanine nucleotide exchange factor 6</t>
  </si>
  <si>
    <t>Isoform 2 of Smith-Magenis syndrome chromosomal region candidate gene 8 protein</t>
  </si>
  <si>
    <t>Isoform 2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</si>
  <si>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</si>
  <si>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</si>
  <si>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</si>
  <si>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</si>
  <si>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DIS3-like exonuclease 1</t>
  </si>
  <si>
    <t>Zinc finger protein 526</t>
  </si>
  <si>
    <t>F-box only protein 41</t>
  </si>
  <si>
    <t>PDZ domain-containing protein GIPC3</t>
  </si>
  <si>
    <t>WAS/WASL-interacting protein family member 2</t>
  </si>
  <si>
    <t>Isoform 2 of Serine/threonine-protein kinase haspin</t>
  </si>
  <si>
    <t>Isoform 2 of Dual specificity protein phosphatase 19</t>
  </si>
  <si>
    <t>1-acylglycerol-3-phosphate O-acyltransferase ABHD5</t>
  </si>
  <si>
    <t>Histone-lysine N-methyltransferase SETD7</t>
  </si>
  <si>
    <t>Protein DDI1 homolog 1</t>
  </si>
  <si>
    <t>Conserved oligomeric Golgi complex subunit 1</t>
  </si>
  <si>
    <t>Pyridine nucleotide-disulfide oxidoreductase domain-containing protein 1</t>
  </si>
  <si>
    <t>Protein FAM222B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</si>
  <si>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</si>
  <si>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</si>
  <si>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</si>
  <si>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</si>
  <si>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General transcription factor 3C polypeptide 2</t>
  </si>
  <si>
    <t>Isoform 3 of PHD finger protein 10</t>
  </si>
  <si>
    <t>Ras-related protein Rab-2B</t>
  </si>
  <si>
    <t>Coiled-coil domain-containing protein 12</t>
  </si>
  <si>
    <t>Uncharacterized protein CXorf48</t>
  </si>
  <si>
    <t>RelA-associated inhibitor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</si>
  <si>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</si>
  <si>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</si>
  <si>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</si>
  <si>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</si>
  <si>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Programmed cell death 6-interacting protein</t>
  </si>
  <si>
    <t>Ubiquitin domain-containing protein 2</t>
  </si>
  <si>
    <t>Cactin</t>
  </si>
  <si>
    <t>UPF0235 protein C15orf40</t>
  </si>
  <si>
    <t>GATA zinc finger domain-containing protein 1</t>
  </si>
  <si>
    <t>Protein BRICK1</t>
  </si>
  <si>
    <t>Cation transport regulator-like protein 2</t>
  </si>
  <si>
    <t>Charged multivesicular body protein 7</t>
  </si>
  <si>
    <t>B-cell CLL/lymphoma 7 protein family member C</t>
  </si>
  <si>
    <t>Non-structural maintenance of chromosomes element 1 homolog</t>
  </si>
  <si>
    <t>Sorting nexin-33</t>
  </si>
  <si>
    <t>Isoform 2 of Nucleoside diphosphate-linked moiety X motif 8, mitochondrial</t>
  </si>
  <si>
    <t>MIT domain-containing protein 1</t>
  </si>
  <si>
    <t>Hexosaminidase D</t>
  </si>
  <si>
    <t>Chromosome transmission fidelity protein 18 homolog</t>
  </si>
  <si>
    <t>RNA polymerase-associated protein LEO1</t>
  </si>
  <si>
    <t>40S ribosomal protein S21</t>
  </si>
  <si>
    <t>N(6)-adenine-specific DNA methyltransferase 2</t>
  </si>
  <si>
    <t>NudC domain-containing protein 2</t>
  </si>
  <si>
    <t>U4/U6.U5 small nuclear ribonucleoprotein 27 kDa protein</t>
  </si>
  <si>
    <t>Dimethyladenosine transferase 1, mitochondrial</t>
  </si>
  <si>
    <t>Sec1 family domain-containing protein 1</t>
  </si>
  <si>
    <t>Trafficking protein particle complex subunit 12</t>
  </si>
  <si>
    <t>Protein POF1B</t>
  </si>
  <si>
    <t>Isoform 4 of Heterogeneous nuclear ribonucleoprotein L-like</t>
  </si>
  <si>
    <t>Ubiquitin-like domain-containing CTD phosphatase 1</t>
  </si>
  <si>
    <t>tRNA-splicing endonuclease subunit Sen15</t>
  </si>
  <si>
    <t>PEST proteolytic signal-containing nuclear protein</t>
  </si>
  <si>
    <t>Gametocyte-specific factor 1</t>
  </si>
  <si>
    <t>SPRY domain-containing protein 4</t>
  </si>
  <si>
    <t>Probable tRNA pseudouridine synthase 1</t>
  </si>
  <si>
    <t>Isoform 3 of Choline transporter-like protein 1</t>
  </si>
  <si>
    <t>Isoform 4 of Protein spire homolog 2</t>
  </si>
  <si>
    <t>PH-interacting protein</t>
  </si>
  <si>
    <t>Reticulon-4-interacting protein 1, mitochondrial</t>
  </si>
  <si>
    <t>Isoform 2 of Ras association domain-containing protein 5</t>
  </si>
  <si>
    <t>U4/U6 small nuclear ribonucleoprotein Prp31</t>
  </si>
  <si>
    <t>Isoform B of Ectodysplasin-A receptor-associated adapter protein</t>
  </si>
  <si>
    <t>Negative elongation factor B</t>
  </si>
  <si>
    <t>Isoform 2 of RUN and FYVE domain-containing protein 2</t>
  </si>
  <si>
    <t>Isoform 2 of Splicing regulatory glutamine/lysine-rich protein 1</t>
  </si>
  <si>
    <t>Protein-lysine methyltransferase METTL21A</t>
  </si>
  <si>
    <t>Gem-associated protein 6</t>
  </si>
  <si>
    <t>Isoform 2 of Caskin-2</t>
  </si>
  <si>
    <t>Isoform 4 of ATR-interacting protein</t>
  </si>
  <si>
    <t>Stonin-2</t>
  </si>
  <si>
    <t>Paraspeckle component 1</t>
  </si>
  <si>
    <t>Isoform 8 of MAP kinase-activating death domain protein</t>
  </si>
  <si>
    <t>Isoform 2 of Acyl-coenzyme A thioesterase 11</t>
  </si>
  <si>
    <t>Transcriptional repressor p66-beta</t>
  </si>
  <si>
    <t>Isoform 4 of Myosin-IIIb</t>
  </si>
  <si>
    <t>Progesterone-induced-blocking factor 1</t>
  </si>
  <si>
    <t>Isoform 2 of Progesterone-induced-blocking factor 1</t>
  </si>
  <si>
    <t>DnaJ homolog subfamily C member 9</t>
  </si>
  <si>
    <t>THAP domain-containing protein 4</t>
  </si>
  <si>
    <t>Beta-catenin-like protein 1</t>
  </si>
  <si>
    <t>Isoform 3 of Histone acetyltransferase KAT6B</t>
  </si>
  <si>
    <t>Isoform 4 of Protein phosphatase Slingshot homolog 1</t>
  </si>
  <si>
    <t>Cysteine protease ATG4A</t>
  </si>
  <si>
    <t>Protein ELYS</t>
  </si>
  <si>
    <t>Peroxin Pex6p</t>
  </si>
  <si>
    <t>Isoform 3 of Microprocessor complex subunit DGCR8</t>
  </si>
  <si>
    <t>BTB/POZ domain-containing adapter for CUL3-mediated RhoA degradation protein 1</t>
  </si>
  <si>
    <t>Isoform 12 of Titin</t>
  </si>
  <si>
    <t>Isoform 5 of Titin</t>
  </si>
  <si>
    <t>Ovarian cancer-associated gene 2 protein</t>
  </si>
  <si>
    <t>Protein LZIC</t>
  </si>
  <si>
    <t>Immunity-related GTPase family Q protein</t>
  </si>
  <si>
    <t>DNA damage-binding protein 2</t>
  </si>
  <si>
    <t>Transcription factor AP-2-beta</t>
  </si>
  <si>
    <t>ATP-dependent RNA helicase DDX1</t>
  </si>
  <si>
    <t>StAR-related lipid transfer protein 8</t>
  </si>
  <si>
    <t>Zinc transporter SLC39A7</t>
  </si>
  <si>
    <t>Estradiol 17-beta-dehydrogenase 8</t>
  </si>
  <si>
    <t>Histone H1x</t>
  </si>
  <si>
    <t>T-complex protein 1 subunit zeta-2</t>
  </si>
  <si>
    <t>Golgi-specific brefeldin A-resistance guanine nucleotide exchange factor 1</t>
  </si>
  <si>
    <t>RNA polymerase-associated protein RTF1 homolog</t>
  </si>
  <si>
    <t>Transmembrane 9 superfamily member 4</t>
  </si>
  <si>
    <t>Transmembrane protein 131</t>
  </si>
  <si>
    <t>Retrograde Golgi transport protein RGP1 homolog</t>
  </si>
  <si>
    <t>DNA topoisomerase 2-binding protein 1</t>
  </si>
  <si>
    <t>Inositol hexakisphosphate kinase 1</t>
  </si>
  <si>
    <t>28S ribosomal protein S27, mitochondrial</t>
  </si>
  <si>
    <t>Wiskott-Aldrich syndrome protein family member 1</t>
  </si>
  <si>
    <t>Ubiquitin carboxyl-terminal hydrolase BAP1</t>
  </si>
  <si>
    <t>Polyphosphoinositide phosphatase</t>
  </si>
  <si>
    <t>Isoform 2 of Protein FAM168A</t>
  </si>
  <si>
    <t>AP-3 complex subunit sigma-1</t>
  </si>
  <si>
    <t>Isoform 2 of Hamartin</t>
  </si>
  <si>
    <t>UBX domain-containing protein 4</t>
  </si>
  <si>
    <t>Isoform 2 of PHD finger protein 3</t>
  </si>
  <si>
    <t>Isoform 3 of Sodium/hydrogen exchanger 6</t>
  </si>
  <si>
    <t>Mastermind-like protein 1</t>
  </si>
  <si>
    <t>Isoform Beta of Heat shock protein 105 kDa</t>
  </si>
  <si>
    <t>Isoform 2 of Septin-8</t>
  </si>
  <si>
    <t>Cell differentiation protein RCD1 homolog</t>
  </si>
  <si>
    <t>Dedicator of cytokinesis protein 2</t>
  </si>
  <si>
    <t>TBC1 domain family member 5</t>
  </si>
  <si>
    <t>Zinc finger protein 592</t>
  </si>
  <si>
    <t>Isoform 4 of Unconventional myosin-XVIIIa</t>
  </si>
  <si>
    <t>La-related protein 4B</t>
  </si>
  <si>
    <t>Translational activator GCN1</t>
  </si>
  <si>
    <t>Zinc finger protein 516</t>
  </si>
  <si>
    <t>Minor histocompatibility protein HA-1</t>
  </si>
  <si>
    <t>Nuclear pore complex protein Nup205</t>
  </si>
  <si>
    <t>Isoform 2 of Run domain Beclin-1 interacting and cysteine-rich containing protein</t>
  </si>
  <si>
    <t>Ankyrin repeat and SAM domain-containing protein 1A</t>
  </si>
  <si>
    <t>Protein FAN</t>
  </si>
  <si>
    <t>Isoform 2 of Transcription factor IIIA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</si>
  <si>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</si>
  <si>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</si>
  <si>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</si>
  <si>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</si>
  <si>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</si>
  <si>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Geranylgeranyl transferase type-2 subunit alpha</t>
  </si>
  <si>
    <t>Isoform 2 of Protein TFG</t>
  </si>
  <si>
    <t>Actin-related protein 2/3 complex subunit 1A</t>
  </si>
  <si>
    <t>Transcription initiation factor TFIID subunit 4B</t>
  </si>
  <si>
    <t>General transcription factor IIH subunit 4</t>
  </si>
  <si>
    <t>Ras-responsive element-binding protein 1</t>
  </si>
  <si>
    <t>Histone deacetylase 2</t>
  </si>
  <si>
    <t>Isoform 2 of Signal transducing adapter molecule 1</t>
  </si>
  <si>
    <t>Zinc finger protein DPF3</t>
  </si>
  <si>
    <t>Zinc finger protein ubi-d4</t>
  </si>
  <si>
    <t>CREB-binding protein</t>
  </si>
  <si>
    <t>Isoform 3 of Disks large homolog 3</t>
  </si>
  <si>
    <t>Symplekin</t>
  </si>
  <si>
    <t>Isoform Short of TATA-binding protein-associated factor 2N</t>
  </si>
  <si>
    <t>Golgin subfamily A member 1</t>
  </si>
  <si>
    <t>Gamma-glutamyl hydrolase</t>
  </si>
  <si>
    <t>Coronin-2A</t>
  </si>
  <si>
    <t>Histone acetyltransferase KAT2A</t>
  </si>
  <si>
    <t>X-linked retinitis pigmentosa GTPase regulator</t>
  </si>
  <si>
    <t>Probable ATP-dependent RNA helicase DDX17</t>
  </si>
  <si>
    <t>Isoform 3 of Bcl-2-like protein 2</t>
  </si>
  <si>
    <t>TRAF family member-associated NF-kappa-B activator</t>
  </si>
  <si>
    <t>Isoform 4 of Kinesin-associated protein 3</t>
  </si>
  <si>
    <t>Isoform 6 of Caspase-10</t>
  </si>
  <si>
    <t>Semaphorin-4D</t>
  </si>
  <si>
    <t>Phosphomannomutase 1</t>
  </si>
  <si>
    <t>DNA repair protein RAD50</t>
  </si>
  <si>
    <t>Isoform 2 of CUGBP Elav-like family member 1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</si>
  <si>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</si>
  <si>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</si>
  <si>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</si>
  <si>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</si>
  <si>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</si>
  <si>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Regulator of nonsense transcripts 1</t>
  </si>
  <si>
    <t>Isoform II of Hermansky-Pudlak syndrome 1 protein</t>
  </si>
  <si>
    <t>COP9 signalosome complex subunit 5</t>
  </si>
  <si>
    <t>G patch domain and KOW motifs-containing protein</t>
  </si>
  <si>
    <t>SWI/SNF complex subunit SMARCC1</t>
  </si>
  <si>
    <t>SWI/SNF-related matrix-associated actin-dependent regulator of chromatin subfamily D member 2</t>
  </si>
  <si>
    <t>Far upstream element-binding protein 2</t>
  </si>
  <si>
    <t>Isoform Short of Glutaryl-CoA dehydrogenase, mitochondrial</t>
  </si>
  <si>
    <t>Isoform 2 of Transportin-1</t>
  </si>
  <si>
    <t>Isoform 3 of Rho guanine nucleotide exchange factor 2</t>
  </si>
  <si>
    <t>Ribosomal RNA small subunit methyltransferase NEP1</t>
  </si>
  <si>
    <t>Polyribonucleotide 5-hydroxyl-kinase Clp1</t>
  </si>
  <si>
    <t>Glomulin</t>
  </si>
  <si>
    <t>Histone acetyltransferase KAT5</t>
  </si>
  <si>
    <t>Isoform 5 of Transcription factor IIIB 90 kDa subunit</t>
  </si>
  <si>
    <t>Isoform 2 of Ubiquitin carboxyl-terminal hydrolase 13</t>
  </si>
  <si>
    <t>Probable ubiquitin carboxyl-terminal hydrolase FAF-X</t>
  </si>
  <si>
    <t>Isoform 2 of N-acetyltransferase 6</t>
  </si>
  <si>
    <t>Cullin-5</t>
  </si>
  <si>
    <t>Isoform 2 of Selenocysteine insertion sequence-binding protein 2-like</t>
  </si>
  <si>
    <t>Isoform 3 of Mediator of RNA polymerase II transcription subunit 12</t>
  </si>
  <si>
    <t>Putative deoxyribonuclease TATDN2</t>
  </si>
  <si>
    <t>Protein tyrosine phosphatase type IVA 1</t>
  </si>
  <si>
    <t>Isoform 4 of Phosphorylase b kinase regulatory subunit beta</t>
  </si>
  <si>
    <t>Pre-rRNA-processing protein TSR2 homolog</t>
  </si>
  <si>
    <t>General transcription factor 3C polypeptide 6</t>
  </si>
  <si>
    <t>Hermansky-Pudlak syndrome 3 protein</t>
  </si>
  <si>
    <t>Isoform 2 of SWI/SNF-related matrix-associated actin-dependent regulator of chromatin subfamily E member 1</t>
  </si>
  <si>
    <t>Riboflavin kinase</t>
  </si>
  <si>
    <t>F-box/WD repeat-containing protein 7</t>
  </si>
  <si>
    <t>Isoform 2 of Ribonuclease P/MRP protein subunit POP5</t>
  </si>
  <si>
    <t>UPF0556 protein C19orf10</t>
  </si>
  <si>
    <t>Zinc finger protein with KRAB and SCAN domains 4</t>
  </si>
  <si>
    <t>Loss of heterozygosity 12 chromosomal region 1 protein</t>
  </si>
  <si>
    <t>E3 ubiquitin-protein ligase RNF34</t>
  </si>
  <si>
    <t>U7 snRNA-associated Sm-like protein LSm10</t>
  </si>
  <si>
    <t>Protein YIPF5</t>
  </si>
  <si>
    <t>Lethal(3)malignant brain tumor-like protein 2</t>
  </si>
  <si>
    <t>Isoform 2 of Ribosome-releasing factor 2, mitochondrial</t>
  </si>
  <si>
    <t>Isoform 2 of 7-methylguanosine phosphate-specific 5-nucleotidase</t>
  </si>
  <si>
    <t>F-box/WD repeat-containing protein 5</t>
  </si>
  <si>
    <t>Cirhin</t>
  </si>
  <si>
    <t>Isoform 3 of tRNA modification GTPase GTPBP3, mitochondrial</t>
  </si>
  <si>
    <t>Protein TBRG4</t>
  </si>
  <si>
    <t>Isoform 2 of Protein phosphatase 1 regulatory subunit 14A</t>
  </si>
  <si>
    <t>Coiled-coil domain-containing protein 102A</t>
  </si>
  <si>
    <t>Coiled-coil domain-containing protein 47</t>
  </si>
  <si>
    <t>Isoform 2 of RING finger protein 166</t>
  </si>
  <si>
    <t>Synapse-associated protein 1</t>
  </si>
  <si>
    <t>Exocyst complex component 4</t>
  </si>
  <si>
    <t>Putative monooxygenase p33MONOX</t>
  </si>
  <si>
    <t>Isochorismatase domain-containing protein 2, mitochondrial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</si>
  <si>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</si>
  <si>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</si>
  <si>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</si>
  <si>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</si>
  <si>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</si>
  <si>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</si>
  <si>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</si>
  <si>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Uncharacterized protein KIAA1143</t>
  </si>
  <si>
    <t>Ribulose-phosphate 3-epimerase</t>
  </si>
  <si>
    <t>Vacuolar protein sorting-associated protein 33A</t>
  </si>
  <si>
    <t>Tetratricopeptide repeat protein 28</t>
  </si>
  <si>
    <t>Ubiquitin-conjugating enzyme E2 W</t>
  </si>
  <si>
    <t>Isoform 2 of Uncharacterized protein C18orf25</t>
  </si>
  <si>
    <t>Exosome complex component RRP43</t>
  </si>
  <si>
    <t>Proline-rich AKT1 substrate 1</t>
  </si>
  <si>
    <t>UPF0693 protein C10orf32</t>
  </si>
  <si>
    <t>Zinc finger protein 428</t>
  </si>
  <si>
    <t>SH3 domain-containing kinase-binding protein 1</t>
  </si>
  <si>
    <t>Isoform 2 of PHD finger protein 21A</t>
  </si>
  <si>
    <t>Isoform 2 of Spindle and kinetochore-associated protein 1</t>
  </si>
  <si>
    <t>Nucleus accumbens-associated protein 2</t>
  </si>
  <si>
    <t>E3 ubiquitin-protein ligase RNF25</t>
  </si>
  <si>
    <t>PIN2/TERF1-interacting telomerase inhibitor 1</t>
  </si>
  <si>
    <t>ADP-ribosylation factor-like protein 8A</t>
  </si>
  <si>
    <t>Protein FAM105B</t>
  </si>
  <si>
    <t>Peptidylprolyl isomerase domain and WD repeat-containing protein 1</t>
  </si>
  <si>
    <t>Sel1 repeat-containing protein 1</t>
  </si>
  <si>
    <t>Calcineurin B homologous protein 3</t>
  </si>
  <si>
    <t>Alkylated DNA repair protein alkB homolog 8</t>
  </si>
  <si>
    <t>Isoform 2 of Phosphotriesterase-related protein</t>
  </si>
  <si>
    <t>MOB kinase activator 3A</t>
  </si>
  <si>
    <t>Autophagy-related protein 2 homolog B</t>
  </si>
  <si>
    <t>Leukocyte receptor cluster member 1</t>
  </si>
  <si>
    <t>Zinc finger and BTB domain-containing protein 9</t>
  </si>
  <si>
    <t>Protein FAM136A</t>
  </si>
  <si>
    <t>Isoform 3 of Armadillo repeat-containing protein 5</t>
  </si>
  <si>
    <t>EF-hand domain-containing protein D2</t>
  </si>
  <si>
    <t>Aldose 1-epimerase</t>
  </si>
  <si>
    <t>Synaptotagmin-like protein 4</t>
  </si>
  <si>
    <t>Pyrroline-5-carboxylate reductase 2</t>
  </si>
  <si>
    <t>m7GpppX diphosphatase</t>
  </si>
  <si>
    <t>Protein phosphatase 1 regulatory subunit 14B</t>
  </si>
  <si>
    <t>Isoform 2 of Serologically defined colon cancer antigen 3</t>
  </si>
  <si>
    <t>Integrator complex subunit 12</t>
  </si>
  <si>
    <t>Isoform 4 of 5-methylcytosine rRNA methyltransferase NSUN4</t>
  </si>
  <si>
    <t>F-box/LRR-repeat protein 8</t>
  </si>
  <si>
    <t>Phosphopantothenoylcysteine decarboxylase</t>
  </si>
  <si>
    <t>Charged multivesicular body protein 4c</t>
  </si>
  <si>
    <t>Isochorismatase domain-containing protein 1</t>
  </si>
  <si>
    <t>GRIP and coiled-coil domain-containing protein 1</t>
  </si>
  <si>
    <t>FLYWCH family member 2</t>
  </si>
  <si>
    <t>Isoform 2 of GRAM domain-containing protein 1A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</si>
  <si>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</si>
  <si>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</si>
  <si>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</si>
  <si>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</si>
  <si>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2 of Optineurin</t>
  </si>
  <si>
    <t>Isoform 2 of AP-2 complex subunit mu</t>
  </si>
  <si>
    <t>Gamma-tubulin complex component 3</t>
  </si>
  <si>
    <t>Probable RNA polymerase II nuclear localization protein SLC7A6OS</t>
  </si>
  <si>
    <t>60S ribosomal export protein NMD3</t>
  </si>
  <si>
    <t>Isoform 3 of RalBP1-associated Eps domain-containing protein 1</t>
  </si>
  <si>
    <t>Isoform 2 of Mitochondrial import inner membrane translocase subunit TIM14</t>
  </si>
  <si>
    <t>Regulator of microtubule dynamics protein 1</t>
  </si>
  <si>
    <t>Transmembrane and coiled-coil domain-containing protein 6</t>
  </si>
  <si>
    <t>Enoyl-CoA hydratase domain-containing protein 3, mitochondrial</t>
  </si>
  <si>
    <t>U8 snoRNA-decapping enzyme</t>
  </si>
  <si>
    <t>Anaphase-promoting complex subunit 16</t>
  </si>
  <si>
    <t>Protein DGCR14</t>
  </si>
  <si>
    <t>Carboxymethylenebutenolidase homolog</t>
  </si>
  <si>
    <t>Isoform 2 of RNA-binding protein Musashi homolog 2</t>
  </si>
  <si>
    <t>U5 small nuclear ribonucleoprotein 40 kDa protein</t>
  </si>
  <si>
    <t>Isoform 2 of WD repeat-containing protein 67</t>
  </si>
  <si>
    <t>Methyl-CpG-binding domain protein 6</t>
  </si>
  <si>
    <t>Isoform C of Galectin-12</t>
  </si>
  <si>
    <t>Dynein heavy chain 11, axonemal</t>
  </si>
  <si>
    <t>Cysteine protease ATG4C</t>
  </si>
  <si>
    <t>Zinc finger and BTB domain-containing protein 10</t>
  </si>
  <si>
    <t>Inositol-trisphosphate 3-kinase C</t>
  </si>
  <si>
    <t>RING finger and SPRY domain-containing protein 1</t>
  </si>
  <si>
    <t>Tripartite motif-containing protein 44</t>
  </si>
  <si>
    <t>Protein FAM122A</t>
  </si>
  <si>
    <t>Isoform 8 of Ribosome-recycling factor, mitochondrial</t>
  </si>
  <si>
    <t>RecQ-mediated genome instability protein 2</t>
  </si>
  <si>
    <t>RNA binding motif protein, X-linked-like-1</t>
  </si>
  <si>
    <t>Protein Spindly</t>
  </si>
  <si>
    <t>NAD-dependent protein deacetylase sirtuin-1</t>
  </si>
  <si>
    <t>Isoform 2 of Protein Hook homolog 2</t>
  </si>
  <si>
    <t>Nucleoporin SEH1</t>
  </si>
  <si>
    <t>Mitochondrial assembly of ribosomal large subunit protein 1</t>
  </si>
  <si>
    <t>THAP domain-containing protein 11</t>
  </si>
  <si>
    <t>KIF1-binding protein</t>
  </si>
  <si>
    <t>Glucosamine 6-phosphate N-acetyltransferase</t>
  </si>
  <si>
    <t>Protein KTI12 homolog</t>
  </si>
  <si>
    <t>Trans-L-3-hydroxyproline dehydratase</t>
  </si>
  <si>
    <t>Molybdenum cofactor sulfurase</t>
  </si>
  <si>
    <t>E3 ubiquitin-protein ligase RNF31</t>
  </si>
  <si>
    <t>Isoform 2 of E3 ubiquitin-protein ligase CHFR</t>
  </si>
  <si>
    <t>DAZ-associated protein 1</t>
  </si>
  <si>
    <t>Small glutamine-rich tetratricopeptide repeat-containing protein beta</t>
  </si>
  <si>
    <t>SAGA-associated factor 29 homolog</t>
  </si>
  <si>
    <t>Isoform 2 of Ribosomal RNA processing protein 36 homolog</t>
  </si>
  <si>
    <t>RNA-binding protein 33</t>
  </si>
  <si>
    <t>Dysbindin</t>
  </si>
  <si>
    <t>HSPB1-associated protein 1</t>
  </si>
  <si>
    <t>Isoform 2 of DnaJ homolog subfamily A member 3, mitochondrial</t>
  </si>
  <si>
    <t>Translation machinery-associated protein 16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</si>
  <si>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</si>
  <si>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</si>
  <si>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</si>
  <si>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</si>
  <si>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3 of Microspherule protein 1</t>
  </si>
  <si>
    <t>Isoform 2 of Nuclear receptor-binding factor 2</t>
  </si>
  <si>
    <t>Isoform 3 of E3 ubiquitin-protein ligase TRIM11</t>
  </si>
  <si>
    <t>Coiled-coil domain-containing protein 97</t>
  </si>
  <si>
    <t>Isoform 2 of CB1 cannabinoid receptor-interacting protein 1</t>
  </si>
  <si>
    <t>Enhancer of mRNA-decapping protein 3</t>
  </si>
  <si>
    <t>Isoform 4 of Probable ATP-dependent RNA helicase DDX11</t>
  </si>
  <si>
    <t>Sororin</t>
  </si>
  <si>
    <t>Dynein light chain 2, cytoplasmic</t>
  </si>
  <si>
    <t>WD repeat-containing protein 89</t>
  </si>
  <si>
    <t>Copine-2</t>
  </si>
  <si>
    <t>Signal-induced proliferation-associated protein 1</t>
  </si>
  <si>
    <t>Intraflagellar transport protein 43 homolog</t>
  </si>
  <si>
    <t>Isoform 2 of Secernin-2</t>
  </si>
  <si>
    <t>THO complex subunit 1</t>
  </si>
  <si>
    <t>DPH3 homolog</t>
  </si>
  <si>
    <t>tRNA (adenine(58)-N(1))-methyltransferase catalytic subunit TRMT61A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</si>
  <si>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</si>
  <si>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</si>
  <si>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</si>
  <si>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</si>
  <si>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Isoform 3 of OTU domain-containing protein 5</t>
  </si>
  <si>
    <t>Protein LTV1 homolog</t>
  </si>
  <si>
    <t>Serine dehydratase-like</t>
  </si>
  <si>
    <t>Pyridoxal phosphate phosphatase</t>
  </si>
  <si>
    <t>Isoform 6 of Polycomb protein SCMH1</t>
  </si>
  <si>
    <t>Centrosomal protein of 95 kDa</t>
  </si>
  <si>
    <t>DCN1-like protein 1</t>
  </si>
  <si>
    <t>Isoform 3 of tRNA (uracil(54)-C(5))-methyltransferase homolog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</si>
  <si>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</si>
  <si>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</si>
  <si>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</si>
  <si>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</si>
  <si>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</si>
  <si>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UNC119-binding protein C5orf30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</si>
  <si>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</si>
  <si>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</si>
  <si>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</si>
  <si>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</si>
  <si>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Zinc finger C2HC domain-containing protein 1A</t>
  </si>
  <si>
    <t>Protein lin-37 homolog</t>
  </si>
  <si>
    <t>Vacuolar-sorting protein SNF8</t>
  </si>
  <si>
    <t>Probable RNA-binding protein 18</t>
  </si>
  <si>
    <t>Zinc finger CCCH-type antiviral protein 1-like</t>
  </si>
  <si>
    <t>Isoform 2 of Tonsoku-like protein</t>
  </si>
  <si>
    <t>PDZ and LIM domain protein 5</t>
  </si>
  <si>
    <t>ERO1-like protein alpha</t>
  </si>
  <si>
    <t>UPF0562 protein C7orf55</t>
  </si>
  <si>
    <t>Isoform 2 of Putative adenosylhomocysteinase 3</t>
  </si>
  <si>
    <t>Dedicator of cytokinesis protein 6</t>
  </si>
  <si>
    <t>Oxidoreductase NAD-binding domain-containing protein 1</t>
  </si>
  <si>
    <t>Isoform 2 of H/ACA ribonucleoprotein complex non-core subunit NAF1</t>
  </si>
  <si>
    <t>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</si>
  <si>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</si>
  <si>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</si>
  <si>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</si>
  <si>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</si>
  <si>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Protein preY, mitochondrial</t>
  </si>
  <si>
    <t>Far upstream element-binding protein 3</t>
  </si>
  <si>
    <t>Splicing factor 45</t>
  </si>
  <si>
    <t>Williams-Beuren syndrome chromosomal region 16 protein</t>
  </si>
  <si>
    <t>Probable asparagine--tRNA ligase, mitochondrial</t>
  </si>
  <si>
    <t>G patch domain-containing protein 3</t>
  </si>
  <si>
    <t>Succinyl-CoA ligase [GDP-forming] subunit beta, mitochondrial</t>
  </si>
  <si>
    <t>Leucine-rich repeat and calponin homology domain-containing protein 3</t>
  </si>
  <si>
    <t>Mannose-1-phosphate guanyltransferase alpha</t>
  </si>
  <si>
    <t>Biorientation of chromosomes in cell division protein 1</t>
  </si>
  <si>
    <t>Zinc finger protein 414</t>
  </si>
  <si>
    <t>Zinc finger protein 845</t>
  </si>
  <si>
    <t>Alpha/beta hydrolase domain-containing protein 14B</t>
  </si>
  <si>
    <t>Isoform 2 of Peptide-N(4)-(N-acetyl-beta-glucosaminyl)asparagine amidase</t>
  </si>
  <si>
    <t>Kinetochore-associated protein NSL1 homolog</t>
  </si>
  <si>
    <t>PRKC apoptosis WT1 regulator protein</t>
  </si>
  <si>
    <t>Isoform 2 of RNA-binding protein 41</t>
  </si>
  <si>
    <t>Isoform 2 of Serine/Arginine-related protein 53</t>
  </si>
  <si>
    <t>THO complex subunit 3</t>
  </si>
  <si>
    <t>Isoform 2 of E3 ubiquitin-protein ligase Itchy homolog</t>
  </si>
  <si>
    <t>Serine/threonine-protein kinase WNK4</t>
  </si>
  <si>
    <t>Conserved oligomeric Golgi complex subunit 3</t>
  </si>
  <si>
    <t>Isoform 2 of Hypermethylated in cancer 2 protein</t>
  </si>
  <si>
    <t>CDK5 regulatory subunit-associated protein 3</t>
  </si>
  <si>
    <t>Isoform 2 of Vam6/Vps39-like protein</t>
  </si>
  <si>
    <t>ELL-associated factor 1</t>
  </si>
  <si>
    <t>Coiled-coil domain-containing protein 132</t>
  </si>
  <si>
    <t>Deubiquitinating protein VCIP135</t>
  </si>
  <si>
    <t>Isoform 2 of Spatacsin</t>
  </si>
  <si>
    <t>Isoform 2 of DDB1- and CUL4-associated factor 5</t>
  </si>
  <si>
    <t>Mastermind-like protein 3</t>
  </si>
  <si>
    <t>Chromosome alignment-maintaining phosphoprotein 1</t>
  </si>
  <si>
    <t>Isoform 2 of Lethal(3)malignant brain tumor-like protein 3</t>
  </si>
  <si>
    <t>Isoform 2 of Coiled-coil domain-containing protein 136</t>
  </si>
  <si>
    <t>E3 ubiquitin-protein ligase ZFP91</t>
  </si>
  <si>
    <t>PiggyBac transposable element-derived protein 1</t>
  </si>
  <si>
    <t>Transcription factor BTF3 homolog 4</t>
  </si>
  <si>
    <t>Uncharacterized protein C8orf76</t>
  </si>
  <si>
    <t>Zinc finger protein 668</t>
  </si>
  <si>
    <t>Zinc finger protein 521</t>
  </si>
  <si>
    <t>Lymphokine-activated killer T-cell-originated protein kinase</t>
  </si>
  <si>
    <t>DnaJ homolog subfamily C member 1</t>
  </si>
  <si>
    <t>Isoform 3 of N-terminal kinase-like protein</t>
  </si>
  <si>
    <t>Zinc finger protein 512B</t>
  </si>
  <si>
    <t>Isoform 2 of Ca(2+)-independent N-acyltransferase</t>
  </si>
  <si>
    <t>Exocyst complex component 2</t>
  </si>
  <si>
    <t>Cytosolic non-specific dipeptidase</t>
  </si>
  <si>
    <t>Zinc finger RNA-binding protein</t>
  </si>
  <si>
    <t>Isoform 3 of E1A-binding protein p400</t>
  </si>
  <si>
    <t>Sorting nexin-27</t>
  </si>
  <si>
    <t>Isoform 5 of Kinesin-like protein KIF16B</t>
  </si>
  <si>
    <t>Protein arginine N-methyltransferase 6</t>
  </si>
  <si>
    <t>Intraflagellar transport protein 74 homolog</t>
  </si>
  <si>
    <t>Tripartite motif-containing protein 47</t>
  </si>
  <si>
    <t>Sentrin-specific protease 8</t>
  </si>
  <si>
    <t>UBX domain-containing protein 10</t>
  </si>
  <si>
    <t>Ubiquitin-conjugating enzyme E2 E2</t>
  </si>
  <si>
    <t>Regulator of microtubule dynamics protein 2</t>
  </si>
  <si>
    <t>Protein PRRC1</t>
  </si>
  <si>
    <t>Isoform 4 of F-box/LRR-repeat protein 18</t>
  </si>
  <si>
    <t>Isoform 2 of Zinc finger protein 512</t>
  </si>
  <si>
    <t>Melanoma-associated antigen G1</t>
  </si>
  <si>
    <t>Protein HEXIM2</t>
  </si>
  <si>
    <t>Putative uncharacterized protein FLJ31958</t>
  </si>
  <si>
    <t>Isoform 3 of Centrosomal protein of 63 kDa</t>
  </si>
  <si>
    <t>YTH domain-containing protein 1</t>
  </si>
  <si>
    <t>Coiled-coil domain-containing protein 43</t>
  </si>
  <si>
    <t>Conserved oligomeric Golgi complex subunit 8</t>
  </si>
  <si>
    <t>WD repeat-containing protein 92</t>
  </si>
  <si>
    <t>Uncharacterized protein C20orf112</t>
  </si>
  <si>
    <t>Uncharacterized protein C16orf55</t>
  </si>
  <si>
    <t>Isoform 2 of AP-4 complex accessory subunit tepsin</t>
  </si>
  <si>
    <t>Isoform 2 of Lysophospholipid acyltransferase 7</t>
  </si>
  <si>
    <t>Isoform 4 of Dedicator of cytokinesis protein 7</t>
  </si>
  <si>
    <t>Rab-interacting lysosomal protein</t>
  </si>
  <si>
    <t>LisH domain-containing protein FOPNL</t>
  </si>
  <si>
    <t>Zinc finger protein 830</t>
  </si>
  <si>
    <t>Zinc finger matrin-type protein 2</t>
  </si>
  <si>
    <t>Protein C8orf37</t>
  </si>
  <si>
    <t>Nucleosome assembly protein 1-like 5</t>
  </si>
  <si>
    <t>Isoform 2 of Putative methyltransferase NSUN5</t>
  </si>
  <si>
    <t>Regulation of nuclear pre-mRNA domain-containing protein 1A</t>
  </si>
  <si>
    <t>Arf-GAP with GTPase, ANK repeat and PH domain-containing protein 3</t>
  </si>
  <si>
    <t>Arf-GAP with Rho-GAP domain, ANK repeat and PH domain-containing protein 1</t>
  </si>
  <si>
    <t>Importin-9</t>
  </si>
  <si>
    <t>Isoform 3 of AP-1 complex subunit sigma-3</t>
  </si>
  <si>
    <t>Bcl-2-binding component 3</t>
  </si>
  <si>
    <t>RNA-binding protein 14</t>
  </si>
  <si>
    <t>RING finger and CHY zinc finger domain-containing protein 1</t>
  </si>
  <si>
    <t>Zinc finger protein 385A</t>
  </si>
  <si>
    <t>Isoform 4 of Zinc finger protein 317</t>
  </si>
  <si>
    <t>E3 ubiquitin-protein ligase UHRF2</t>
  </si>
  <si>
    <t>Isoform 6 of E3 ubiquitin-protein ligase NEDD4-like</t>
  </si>
  <si>
    <t>Isoform 6 of Protein quaking</t>
  </si>
  <si>
    <t>Isoform 2 of Leukocyte receptor cluster member 8</t>
  </si>
  <si>
    <t>Formin-like protein 2</t>
  </si>
  <si>
    <t>Isoform 2 of Serine/threonine-protein kinase Nek1</t>
  </si>
  <si>
    <t>Pseudouridylate synthase 7 homolog</t>
  </si>
  <si>
    <t>Isoform 3 of Trafficking protein particle complex subunit 9</t>
  </si>
  <si>
    <t>Isoform 2 of CCA tRNA nucleotidyltransferase 1, mitochondrial</t>
  </si>
  <si>
    <t>Serine/threonine-protein kinase SMG1</t>
  </si>
  <si>
    <t>Isoform 2 of Transmembrane protein 237</t>
  </si>
  <si>
    <t>Isoform 4 of Kinesin-like protein KIF20B</t>
  </si>
  <si>
    <t>Serine/threonine-protein phosphatase 1 regulatory subunit 10</t>
  </si>
  <si>
    <t>UAP56-interacting factor</t>
  </si>
  <si>
    <t>Isoform 2 of ATPase family AAA domain-containing protein 5</t>
  </si>
  <si>
    <t>Isoform 1 of Rab-3A-interacting protein</t>
  </si>
  <si>
    <t>Myotubularin-related protein 9</t>
  </si>
  <si>
    <t>Vacuolar protein sorting-associated protein 35</t>
  </si>
  <si>
    <t>Transcriptional activator protein Pur-beta</t>
  </si>
  <si>
    <t>Isoform 4 of PHD finger protein 12</t>
  </si>
  <si>
    <t>1-aminocyclopropane-1-carboxylate synthase-like protein 1</t>
  </si>
  <si>
    <t>Exportin-6</t>
  </si>
  <si>
    <t>Isoform 7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</si>
  <si>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</si>
  <si>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</si>
  <si>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</si>
  <si>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</si>
  <si>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BRCA1-A complex subunit RAP80</t>
  </si>
  <si>
    <t>Isoform 4 of Vacuolar protein sorting-associated protein 13A</t>
  </si>
  <si>
    <t>Mediator of RNA polymerase II transcription subunit 15</t>
  </si>
  <si>
    <t>Elongation factor G, mitochondrial</t>
  </si>
  <si>
    <t>Methylcrotonoyl-CoA carboxylase subunit alpha, mitochondrial</t>
  </si>
  <si>
    <t>Isoform 6 of Calcium/calmodulin-dependent protein kinase kinase 2</t>
  </si>
  <si>
    <t>Trimethylguanosine synthase</t>
  </si>
  <si>
    <t>NudC domain-containing protein 1</t>
  </si>
  <si>
    <t>Isoform 9 of Protein LAP2</t>
  </si>
  <si>
    <t>Isoform 2 of Ubiquitin carboxyl-terminal hydrolase 28</t>
  </si>
  <si>
    <t>Isoform 2 of Formin-binding protein 1</t>
  </si>
  <si>
    <t>Isoform 2 of WD repeat-containing protein 24</t>
  </si>
  <si>
    <t>UPF0585 protein C16orf13</t>
  </si>
  <si>
    <t>Ribosomal protein S6 kinase delta-1</t>
  </si>
  <si>
    <t>TP53-regulating kinase</t>
  </si>
  <si>
    <t>Isoform 2 of GPI transamidase component PIG-S</t>
  </si>
  <si>
    <t>Isoform 2 of ATPase WRNIP1</t>
  </si>
  <si>
    <t>Ran-binding protein 9</t>
  </si>
  <si>
    <t>Isoform 4 of Chloride channel CLIC-like protein 1</t>
  </si>
  <si>
    <t>Ubiquitin-like protein 7</t>
  </si>
  <si>
    <t>LysM and putative peptidoglycan-binding domain-containing protein 1</t>
  </si>
  <si>
    <t>Cyclin-L2</t>
  </si>
  <si>
    <t>Pleckstrin homology domain-containing family F member 1</t>
  </si>
  <si>
    <t>Neurabin-2</t>
  </si>
  <si>
    <t>Structural maintenance of chromosomes protein 6</t>
  </si>
  <si>
    <t>Spermatid perinuclear RNA-binding protein</t>
  </si>
  <si>
    <t>Isoform 2 of Transmembrane protein 209</t>
  </si>
  <si>
    <t>Flt3-interacting zinc finger protein 1</t>
  </si>
  <si>
    <t>Isoform 4 of CDK5 regulatory subunit-associated protein 2</t>
  </si>
  <si>
    <t>Protein IWS1 homolog</t>
  </si>
  <si>
    <t>Paired amphipathic helix protein Sin3a</t>
  </si>
  <si>
    <t>Isoform 7 of Oxysterol-binding protein-related protein 9</t>
  </si>
  <si>
    <t>Isoform 2 of Protein cereblon</t>
  </si>
  <si>
    <t>Isoform 4 of von Willebrand factor A domain-containing protein 9</t>
  </si>
  <si>
    <t>2-aminoethanethiol dioxygenase</t>
  </si>
  <si>
    <t>Selenocysteine insertion sequence-binding protein 2</t>
  </si>
  <si>
    <t>Isoform 2 of Remodeling and spacing factor 1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</si>
  <si>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</si>
  <si>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</si>
  <si>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</si>
  <si>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</si>
  <si>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</si>
  <si>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E3 ubiquitin-protein ligase UHRF1</t>
  </si>
  <si>
    <t>Isoform 2 of Niban-like protein 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</si>
  <si>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</si>
  <si>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</si>
  <si>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</si>
  <si>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</si>
  <si>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</si>
  <si>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</si>
  <si>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Keratin, type I cytoskeletal 12</t>
  </si>
  <si>
    <t>Cell division cycle 5-like protein</t>
  </si>
  <si>
    <t>26S proteasome non-ATPase regulatory subunit 1</t>
  </si>
  <si>
    <t>Prefoldin subunit 5</t>
  </si>
  <si>
    <t>E3 ubiquitin-protein ligase RING2</t>
  </si>
  <si>
    <t>Protein DJ-1</t>
  </si>
  <si>
    <t>GAS2-like protein 1</t>
  </si>
  <si>
    <t>Sialidase-1</t>
  </si>
  <si>
    <t>Sortilin</t>
  </si>
  <si>
    <t>Synaptic vesicle membrane protein VAT-1 homolog</t>
  </si>
  <si>
    <t>Perilipin-2</t>
  </si>
  <si>
    <t>DnaJ homolog subfamily C member 2</t>
  </si>
  <si>
    <t>Isoform 2 of DnaJ homolog subfamily C member 2</t>
  </si>
  <si>
    <t>M-phase phosphoprotein 8</t>
  </si>
  <si>
    <t>M-phase phosphoprotein 9</t>
  </si>
  <si>
    <t>Nuclear pore complex protein Nup88</t>
  </si>
  <si>
    <t>Phosphoinositide 3-kinase regulatory subunit 4</t>
  </si>
  <si>
    <t>Ribonucleases P/MRP protein subunit POP1</t>
  </si>
  <si>
    <t>Isoform 2 of TSC22 domain family protein 3</t>
  </si>
  <si>
    <t>Max-binding protein MNT</t>
  </si>
  <si>
    <t>Protein S100-A13</t>
  </si>
  <si>
    <t>Isoform 2 of Protein SCAF11</t>
  </si>
  <si>
    <t>Translin-associated protein X</t>
  </si>
  <si>
    <t>ETS-related transcription factor Elf-4</t>
  </si>
  <si>
    <t>Selenide, water dikinase 2</t>
  </si>
  <si>
    <t>Tetratricopeptide repeat protein 1</t>
  </si>
  <si>
    <t>DnaJ homolog subfamily C member 7</t>
  </si>
  <si>
    <t>Protein C10</t>
  </si>
  <si>
    <t>Pre-mRNA-splicing factor 18</t>
  </si>
  <si>
    <t>Cell cycle checkpoint control protein RAD9A</t>
  </si>
  <si>
    <t>Isoform 4 of Membrane-associated tyrosine- and threonine-specific cdc2-inhibitory kinase</t>
  </si>
  <si>
    <t>Calcineurin B homologous protein 1</t>
  </si>
  <si>
    <t>Kinesin-like protein KIF2C</t>
  </si>
  <si>
    <t>Isoform 4 of Ataxin-2</t>
  </si>
  <si>
    <t>Docking protein 1</t>
  </si>
  <si>
    <t>Methionine synthase</t>
  </si>
  <si>
    <t>DNA endonuclease RBBP8</t>
  </si>
  <si>
    <t>3-hydroxyacyl-CoA dehydrogenase type-2</t>
  </si>
  <si>
    <t>BRCA1-associated RING domain protein 1</t>
  </si>
  <si>
    <t>Nucleosome assembly protein 1-like 4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</si>
  <si>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</si>
  <si>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</si>
  <si>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</si>
  <si>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</si>
  <si>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</si>
  <si>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Aconitate hydratase, mitochondrial</t>
  </si>
  <si>
    <t>T-complex protein 1 subunit eta</t>
  </si>
  <si>
    <t>Myeloid differentiation primary response protein MyD88</t>
  </si>
  <si>
    <t>Probable rRNA-processing protein EBP2</t>
  </si>
  <si>
    <t>AT-rich interactive domain-containing protein 3A</t>
  </si>
  <si>
    <t>Histone H2A type 1-J</t>
  </si>
  <si>
    <t>Histone H2B type 1-M</t>
  </si>
  <si>
    <t>Isoform 4 of BAG family molecular chaperone regulator 1</t>
  </si>
  <si>
    <t>Isoform 1 of Cyclic AMP-dependent transcription factor ATF-6 beta</t>
  </si>
  <si>
    <t>E3 ubiquitin-protein ligase RNF5</t>
  </si>
  <si>
    <t>Tyrosine-protein phosphatase non-receptor type 18</t>
  </si>
  <si>
    <t>Dual specificity protein phosphatase 9</t>
  </si>
  <si>
    <t>Endophilin-A2</t>
  </si>
  <si>
    <t>Isoform 4 of Endophilin-A3</t>
  </si>
  <si>
    <t>Serine/threonine-protein kinase VRK1</t>
  </si>
  <si>
    <t>Isoform 2 of A-kinase anchor protein 9</t>
  </si>
  <si>
    <t>Protein NipSnap homolog 1</t>
  </si>
  <si>
    <t>Condensin complex subunit 3</t>
  </si>
  <si>
    <t>Actin-related protein 2/3 complex subunit 5-like protein</t>
  </si>
  <si>
    <t>Isoform 2 of Calcium uptake protein 1, mitochondrial</t>
  </si>
  <si>
    <t>UPF0415 protein C7orf25</t>
  </si>
  <si>
    <t>Polyadenylate-binding protein-interacting protein 2</t>
  </si>
  <si>
    <t>Isoform 3 of Target of rapamycin complex 2 subunit MAPKAP1</t>
  </si>
  <si>
    <t>RNA-binding protein 4B</t>
  </si>
  <si>
    <t>ATP-dependent RNA helicase DDX50</t>
  </si>
  <si>
    <t>39S ribosomal protein L34, mitochondrial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</si>
  <si>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</si>
  <si>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</si>
  <si>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</si>
  <si>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</si>
  <si>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</si>
  <si>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Kelch domain-containing protein 3</t>
  </si>
  <si>
    <t>Methylosome protein 50</t>
  </si>
  <si>
    <t>Isoform 3 of Vitamin K epoxide reductase complex subunit 1</t>
  </si>
  <si>
    <t>Diphthamide biosynthesis protein 2</t>
  </si>
  <si>
    <t>Tubulin alpha-1C chain</t>
  </si>
  <si>
    <t>Apolipoprotein L2</t>
  </si>
  <si>
    <t>Isoform 4 of B-cell CLL/lymphoma 7 protein family member B</t>
  </si>
  <si>
    <t>Isoform 4 of Sentrin-specific protease 7</t>
  </si>
  <si>
    <t>Myb-binding protein 1A</t>
  </si>
  <si>
    <t>Peroxisomal NADH pyrophosphatase NUDT12</t>
  </si>
  <si>
    <t>Isoform 3 of Allograft inflammatory factor 1-like</t>
  </si>
  <si>
    <t>Mitochondrial genome maintenance exonuclease 1</t>
  </si>
  <si>
    <t>FYVE and coiled-coil domain-containing protein 1</t>
  </si>
  <si>
    <t>Rhox homeobox family member 2</t>
  </si>
  <si>
    <t>Acyl-CoA-binding domain-containing protein 6</t>
  </si>
  <si>
    <t>Coronin-1B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</si>
  <si>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</si>
  <si>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</si>
  <si>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</si>
  <si>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</si>
  <si>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45 kDa calcium-binding protein</t>
  </si>
  <si>
    <t>Programmed cell death protein 2-like</t>
  </si>
  <si>
    <t>Proteasomal ATPase-associated factor 1</t>
  </si>
  <si>
    <t>Isoform 2 of Partner of Y14 and mago</t>
  </si>
  <si>
    <t>Zinc finger protein with KRAB and SCAN domains 3</t>
  </si>
  <si>
    <t>Isoform 2 of ADP-dependent glucokinase</t>
  </si>
  <si>
    <t>Serine/threonine-protein kinase RIO1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</si>
  <si>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</si>
  <si>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</si>
  <si>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</si>
  <si>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</si>
  <si>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</si>
  <si>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WD repeat domain-containing protein 83</t>
  </si>
  <si>
    <t>E3 ubiquitin-protein ligase TRIM56</t>
  </si>
  <si>
    <t>Anaphase-promoting complex subunit 13</t>
  </si>
  <si>
    <t>Endoplasmic reticulum resident protein 44</t>
  </si>
  <si>
    <t>Autophagy-related protein 101</t>
  </si>
  <si>
    <t>Nucleolar protein 10</t>
  </si>
  <si>
    <t>Cancer-related nucleoside-triphosphatase</t>
  </si>
  <si>
    <t>Homocysteine-responsive endoplasmic reticulum-resident ubiquitin-like domain member 2 protein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</si>
  <si>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</si>
  <si>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</si>
  <si>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</si>
  <si>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</si>
  <si>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Extended synaptotagmin-1</t>
  </si>
  <si>
    <t>Ubiquitin-associated domain-containing protein 1</t>
  </si>
  <si>
    <t>Malcavernin</t>
  </si>
  <si>
    <t>Protein YIPF4</t>
  </si>
  <si>
    <t>Isoform 3 of Rhotekin</t>
  </si>
  <si>
    <t>UPF0183 protein C16orf70</t>
  </si>
  <si>
    <t>N-alpha-acetyltransferase 11</t>
  </si>
  <si>
    <t>tRNA-splicing endonuclease subunit Sen34</t>
  </si>
  <si>
    <t>Isoform 2 of EF-hand calcium-binding domain-containing protein 4B</t>
  </si>
  <si>
    <t>Coiled-coil-helix-coiled-coil-helix domain-containing protein 5</t>
  </si>
  <si>
    <t>Protein canopy homolog 3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</si>
  <si>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</si>
  <si>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</si>
  <si>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</si>
  <si>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</si>
  <si>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Trichoplein keratin filament-binding protein</t>
  </si>
  <si>
    <t>Isoform 2 of WW domain-containing adapter protein with coiled-coil</t>
  </si>
  <si>
    <t>Death-inducer obliterator 1</t>
  </si>
  <si>
    <t>Isoform 4 of RNA-binding protein 42</t>
  </si>
  <si>
    <t>Isoform 2 of Dynactin subunit 5</t>
  </si>
  <si>
    <t>Isoform 2 of Mini-chromosome maintenance complex-binding protein</t>
  </si>
  <si>
    <t>Isoform 3 of Alanyl-tRNA editing protein Aarsd1</t>
  </si>
  <si>
    <t>DCN1-like protein 5</t>
  </si>
  <si>
    <t>THUMP domain-containing protein 2</t>
  </si>
  <si>
    <t>PAXIP1-associated glutamate-rich protein 1</t>
  </si>
  <si>
    <t>RNMT-activating mini protein</t>
  </si>
  <si>
    <t>Ubiquitin-related modifier 1 homolog</t>
  </si>
  <si>
    <t>Acidic leucine-rich nuclear phosphoprotein 32 family member E</t>
  </si>
  <si>
    <t>Mediator of RNA polymerase II transcription subunit 10</t>
  </si>
  <si>
    <t>WD repeat-containing protein 85</t>
  </si>
  <si>
    <t>Tubulin-specific chaperone D</t>
  </si>
  <si>
    <t>Alpha-tocopherol transfer protein-like</t>
  </si>
  <si>
    <t>Plasma alpha-L-fucosidase</t>
  </si>
  <si>
    <t>Protein FAM203A</t>
  </si>
  <si>
    <t>Thiamine-triphosphatase</t>
  </si>
  <si>
    <t>Isoform b of NADH dehydrogenase [ubiquinone] 1 alpha subcomplex assembly factor 3</t>
  </si>
  <si>
    <t>Centromere protein O</t>
  </si>
  <si>
    <t>Multiple myeloma tumor-associated protein 2</t>
  </si>
  <si>
    <t>Deoxyhypusine hydroxylase</t>
  </si>
  <si>
    <t>Uncharacterized protein C11orf84</t>
  </si>
  <si>
    <t>tRNA-specific adenosine deaminase 1</t>
  </si>
  <si>
    <t>Isoform 2 of MAP kinase-interacting serine/threonine-protein kinase 1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</si>
  <si>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</si>
  <si>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</si>
  <si>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</si>
  <si>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</si>
  <si>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</si>
  <si>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2 of Protein misato homolog 1</t>
  </si>
  <si>
    <t>Ribonuclease P protein subunit p25</t>
  </si>
  <si>
    <t>Coiled-coil domain-containing protein 28B</t>
  </si>
  <si>
    <t>EF-hand domain-containing protein D1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</si>
  <si>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</si>
  <si>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</si>
  <si>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</si>
  <si>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</si>
  <si>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</si>
  <si>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Uncharacterized protein C1orf50</t>
  </si>
  <si>
    <t>Methylthioribose-1-phosphate isomerase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</si>
  <si>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</si>
  <si>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</si>
  <si>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</si>
  <si>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</si>
  <si>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</si>
  <si>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Centrosome-associated protein CEP250</t>
  </si>
  <si>
    <t>Trans-2-enoyl-CoA reductase, mitochondrial</t>
  </si>
  <si>
    <t>N-terminal Xaa-Pro-Lys N-methyltransferase 1</t>
  </si>
  <si>
    <t>Katanin p80 WD40 repeat-containing subunit B1</t>
  </si>
  <si>
    <t>Sister chromatid cohesion protein DCC1</t>
  </si>
  <si>
    <t>Transmembrane protein 109</t>
  </si>
  <si>
    <t>Protein PBDC1</t>
  </si>
  <si>
    <t>PHD finger protein 20</t>
  </si>
  <si>
    <t>Nucleolar complex protein 4 homolog</t>
  </si>
  <si>
    <t>U3 small nucleolar RNA-associated protein 14 homolog A</t>
  </si>
  <si>
    <t>Dual specificity protein phosphatase 23</t>
  </si>
  <si>
    <t>Transmembrane emp24 domain-containing protein 9</t>
  </si>
  <si>
    <t>Selenoprotein O</t>
  </si>
  <si>
    <t>Protein DPCD</t>
  </si>
  <si>
    <t>Gamma-glutamylaminecyclotransferase</t>
  </si>
  <si>
    <t>Isoform 2 of Guanine nucleotide-binding protein-like 3</t>
  </si>
  <si>
    <t>Spermatogenesis-associated protein 5-like protein 1</t>
  </si>
  <si>
    <t>Gamma-tubulin complex component 4</t>
  </si>
  <si>
    <t>Serine/threonine-protein kinase RIO2</t>
  </si>
  <si>
    <t>Specifically androgen-regulated gene protein</t>
  </si>
  <si>
    <t>Kinesin-like protein KIFC1</t>
  </si>
  <si>
    <t>Nuclear pore complex protein Nup85</t>
  </si>
  <si>
    <t>DET1- and DDB1-associated protein 1</t>
  </si>
  <si>
    <t>Katanin p60 ATPase-containing subunit A-like 1</t>
  </si>
  <si>
    <t>Cyclin-dependent kinase 2-interacting protein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</si>
  <si>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</si>
  <si>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</si>
  <si>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</si>
  <si>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</si>
  <si>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</si>
  <si>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</si>
  <si>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</si>
  <si>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</si>
  <si>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FUN14 domain-containing protein 2</t>
  </si>
  <si>
    <t>RNA polymerase II-associated protein 1</t>
  </si>
  <si>
    <t>Splicing factor 3B subunit 5</t>
  </si>
  <si>
    <t>Proline-rich protein 14</t>
  </si>
  <si>
    <t>Isoform 3 of Chitinase domain-containing protein 1</t>
  </si>
  <si>
    <t>Poly(A) polymerase gamma</t>
  </si>
  <si>
    <t>Kanadaptin</t>
  </si>
  <si>
    <t>Isoform 2 of Single-stranded DNA-binding protein 3</t>
  </si>
  <si>
    <t>Single stranded DNA binding protein-4</t>
  </si>
  <si>
    <t>Apolipoprotein L6</t>
  </si>
  <si>
    <t>Isoform 2 of GTP-binding protein 2</t>
  </si>
  <si>
    <t>Protein LSM14 homolog B</t>
  </si>
  <si>
    <t>Fanconi anemia group J protein</t>
  </si>
  <si>
    <t>Isoform 6 of Sorbin and SH3 domain-containing protein 1</t>
  </si>
  <si>
    <t>Isoform 9 of Sorbin and SH3 domain-containing protein 1</t>
  </si>
  <si>
    <t>Histidine triad nucleotide-binding protein 2, mitochondrial</t>
  </si>
  <si>
    <t>Caspase recruitment domain-containing protein 6</t>
  </si>
  <si>
    <t>Oxysterol-binding protein-related protein 11</t>
  </si>
  <si>
    <t>N-acetylneuraminate lyase</t>
  </si>
  <si>
    <t>Rab11 family-interacting protein 5</t>
  </si>
  <si>
    <t>TBC1 domain family member 10A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</si>
  <si>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</si>
  <si>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</si>
  <si>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</si>
  <si>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</si>
  <si>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</si>
  <si>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</si>
  <si>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</si>
  <si>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</si>
  <si>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</si>
  <si>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Uncharacterized protein C14orf142</t>
  </si>
  <si>
    <t>Isoform 1 of Cat eye syndrome critical region protein 5</t>
  </si>
  <si>
    <t>Isoform 2 of Fanconi anemia group D2 protein</t>
  </si>
  <si>
    <t>Protein MAK16 homolog</t>
  </si>
  <si>
    <t>Isoform 2 of S phase cyclin A-associated protein in the endoplasmic reticulum</t>
  </si>
  <si>
    <t>Inosine triphosphate pyrophosphatase</t>
  </si>
  <si>
    <t>Protein RTF2 homolog</t>
  </si>
  <si>
    <t>Charged multivesicular body protein 4a</t>
  </si>
  <si>
    <t>Eukaryotic translation initiation factor 2A</t>
  </si>
  <si>
    <t>Polymerase delta-interacting protein 3</t>
  </si>
  <si>
    <t>Guanine nucleotide-binding protein subunit beta-like protein 1</t>
  </si>
  <si>
    <t>39S ribosomal protein L1, mitochondrial</t>
  </si>
  <si>
    <t>Polycomb group RING finger protein 6</t>
  </si>
  <si>
    <t>MKI67 FHA domain-interacting nucleolar phosphoprotein</t>
  </si>
  <si>
    <t>Partitioning defective 6 homolog beta</t>
  </si>
  <si>
    <t>Hyccin</t>
  </si>
  <si>
    <t>RanBP-type and C3HC4-type zinc finger-containing protein 1</t>
  </si>
  <si>
    <t>Sulfiredoxin-1</t>
  </si>
  <si>
    <t>28S ribosomal protein S26, mitochondrial</t>
  </si>
  <si>
    <t>Neurolysin, mitochondrial</t>
  </si>
  <si>
    <t>Centrosomal protein of 41 kDa</t>
  </si>
  <si>
    <t>Transcription regulator protein BACH2</t>
  </si>
  <si>
    <t>Histone-lysine N-methyltransferase SETD2</t>
  </si>
  <si>
    <t>Isoform 3 of Dedicator of cytokinesis protein 9</t>
  </si>
  <si>
    <t>Isoform 4 of Histone-lysine N-methyltransferase NSD3</t>
  </si>
  <si>
    <t>Kinetochore protein Nuf2</t>
  </si>
  <si>
    <t>tRNA pseudouridine(38/39) synthase</t>
  </si>
  <si>
    <t>Tether containing UBX domain for GLUT4</t>
  </si>
  <si>
    <t>Isoform 3 of Oxysterol-binding protein-related protein 8</t>
  </si>
  <si>
    <t>Oxysterol-binding protein-related protein 7</t>
  </si>
  <si>
    <t>WD repeat-containing protein 11</t>
  </si>
  <si>
    <t>Isoform 2 of Regulator of nonsense transcripts 3B</t>
  </si>
  <si>
    <t>Isoform 2 of Crooked neck-like protein 1</t>
  </si>
  <si>
    <t>F-box-like/WD repeat-containing protein TBL1XR1</t>
  </si>
  <si>
    <t>Ubiquitin-like protein 5</t>
  </si>
  <si>
    <t>Protein phosphatase 1 regulatory subunit 12C</t>
  </si>
  <si>
    <t>Serine/threonine-protein kinase D2</t>
  </si>
  <si>
    <t>Group XIIA secretory phospholipase A2</t>
  </si>
  <si>
    <t>Protein Niban</t>
  </si>
  <si>
    <t>UBX domain-containing protein 6</t>
  </si>
  <si>
    <t>Uridine-cytidine kinase 2</t>
  </si>
  <si>
    <t>Isoform 2 of Apoptosis inhibitor 5</t>
  </si>
  <si>
    <t>Isoform C of Protein sprouty homolog 4</t>
  </si>
  <si>
    <t>Protein dpy-30 homolog</t>
  </si>
  <si>
    <t>cAMP-dependent protein kinase inhibitor beta</t>
  </si>
  <si>
    <t>Protein FAM117A</t>
  </si>
  <si>
    <t>Isoform 2 of Leucine-rich repeat and coiled-coil domain-containing protein 1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</si>
  <si>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</si>
  <si>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</si>
  <si>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</si>
  <si>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</si>
  <si>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</si>
  <si>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</si>
  <si>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</si>
  <si>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</si>
  <si>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Centrosomal protein KIAA1731</t>
  </si>
  <si>
    <t>Protein zyg-11 homolog B</t>
  </si>
  <si>
    <t>Protein TANC1</t>
  </si>
  <si>
    <t>Centrosomal protein of 44 kDa</t>
  </si>
  <si>
    <t>Zinc finger protein 407</t>
  </si>
  <si>
    <t>Myotubularin-related protein 12</t>
  </si>
  <si>
    <t>pre-mRNA 3 end processing protein WDR33</t>
  </si>
  <si>
    <t>Ribosome biogenesis protein WDR12</t>
  </si>
  <si>
    <t>Homeobox protein TGIF2</t>
  </si>
  <si>
    <t>UPF0687 protein C20orf27</t>
  </si>
  <si>
    <t>PITH domain-containing protein 1</t>
  </si>
  <si>
    <t>COMM domain-containing protein 5</t>
  </si>
  <si>
    <t>Isoform 2 of Sentrin-specific protease 6</t>
  </si>
  <si>
    <t>RNA exonuclease 4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</si>
  <si>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</si>
  <si>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</si>
  <si>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</si>
  <si>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</si>
  <si>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Isoform 2 of NIF3-like protein 1</t>
  </si>
  <si>
    <t>Egl nine homolog 1</t>
  </si>
  <si>
    <t>Protein FAM192A</t>
  </si>
  <si>
    <t>Mitochondrial fission factor</t>
  </si>
  <si>
    <t>Isoform 2 of Mitochondrial fission factor</t>
  </si>
  <si>
    <t>Ubiquitin-like modifier-activating enzyme 5</t>
  </si>
  <si>
    <t>Phospholysine phosphohistidine inorganic pyrophosphate phosphatase</t>
  </si>
  <si>
    <t>Polyadenylate-binding protein-interacting protein 1</t>
  </si>
  <si>
    <t>KATNB1-like protein 1</t>
  </si>
  <si>
    <t>Protein MIS12 homolog</t>
  </si>
  <si>
    <t>Ras-related protein Rab-33B</t>
  </si>
  <si>
    <t>Isoform 2 of Neuroblastoma breakpoint family member 3</t>
  </si>
  <si>
    <t>Protein FAM107B</t>
  </si>
  <si>
    <t>N-acetyltransferase 10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</si>
  <si>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</si>
  <si>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</si>
  <si>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</si>
  <si>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</si>
  <si>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</si>
  <si>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</si>
  <si>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Sharpin</t>
  </si>
  <si>
    <t>ADP-ribosylation factor-like protein 6</t>
  </si>
  <si>
    <t>Nuclear speckle splicing regulatory protein 1</t>
  </si>
  <si>
    <t>Rac GTPase-activating protein 1</t>
  </si>
  <si>
    <t>Isoform 2 of Enkurin domain-containing protein 1</t>
  </si>
  <si>
    <t>Poly [ADP-ribose] polymerase 12</t>
  </si>
  <si>
    <t>Serine/threonine-protein kinase SIK2</t>
  </si>
  <si>
    <t>Pseudouridylate synthase 7 homolog-like protein</t>
  </si>
  <si>
    <t>Cleavage stimulation factor subunit 2 tau variant</t>
  </si>
  <si>
    <t>Cytosolic 5-nucleotidase 3A</t>
  </si>
  <si>
    <t>Isoform 4 of Cytosolic 5-nucleotidase 3A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</si>
  <si>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</si>
  <si>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</si>
  <si>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</si>
  <si>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Ras-related protein Rab-1B</t>
  </si>
  <si>
    <t>Testis-specific Y-encoded-like protein 1</t>
  </si>
  <si>
    <t>Coiled-coil domain-containing protein 8</t>
  </si>
  <si>
    <t>Isoform 2 of Protein SMG9</t>
  </si>
  <si>
    <t>Ester hydrolase C11orf54</t>
  </si>
  <si>
    <t>Protein ITFG3</t>
  </si>
  <si>
    <t>Nucleotide exchange factor SIL1</t>
  </si>
  <si>
    <t>Cysteine/serine-rich nuclear protein 2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</si>
  <si>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</si>
  <si>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</si>
  <si>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</si>
  <si>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</si>
  <si>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Activating signal cointegrator 1 complex subunit 2</t>
  </si>
  <si>
    <t>Isoform 2 of Regulator of nonsense transcripts 3A</t>
  </si>
  <si>
    <t>Iron-sulfur cluster assembly enzyme ISCU, mitochondrial</t>
  </si>
  <si>
    <t>Isoform 2 of Oxysterol-binding protein-related protein 2</t>
  </si>
  <si>
    <t>Autophagy protein 5</t>
  </si>
  <si>
    <t>WD repeat-containing protein 13</t>
  </si>
  <si>
    <t>Mediator of RNA polymerase II transcription subunit 28</t>
  </si>
  <si>
    <t>DNA replication factor Cdt1</t>
  </si>
  <si>
    <t>EH domain-containing protein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</si>
  <si>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</si>
  <si>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</si>
  <si>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</si>
  <si>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</si>
  <si>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1 of TRIO and F-actin-binding protein</t>
  </si>
  <si>
    <t>Isoform 2 of Enhancer of polycomb homolog 1</t>
  </si>
  <si>
    <t>Isoform 2 of STE20-like serine/threonine-protein kinase</t>
  </si>
  <si>
    <t>Peptidyl-prolyl cis-trans isomerase-like 3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</si>
  <si>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</si>
  <si>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</si>
  <si>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</si>
  <si>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</si>
  <si>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</si>
  <si>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Diphthine synthase</t>
  </si>
  <si>
    <t>Isoform 3 of Probable ATP-dependent RNA helicase DHX36</t>
  </si>
  <si>
    <t>Inorganic pyrophosphatase 2, mitochondrial</t>
  </si>
  <si>
    <t>39S ribosomal protein L46, mitochondrial</t>
  </si>
  <si>
    <t>Zinc finger protein 106</t>
  </si>
  <si>
    <t>Pinin</t>
  </si>
  <si>
    <t>Olfactory receptor 51I2</t>
  </si>
  <si>
    <t>Gametogenetin-binding protein 2</t>
  </si>
  <si>
    <t>BTB/POZ domain-containing adapter for CUL3-mediated RhoA degradation protein 3</t>
  </si>
  <si>
    <t>Probable serine carboxypeptidase CPVL</t>
  </si>
  <si>
    <t>Isoform 4 of tRNA dimethylallyltransferase, mitochondrial</t>
  </si>
  <si>
    <t>Isoform 2 of UPF0696 protein C11orf68</t>
  </si>
  <si>
    <t>BolA-like protein 2</t>
  </si>
  <si>
    <t>Methylmalonic aciduria and homocystinuria type D protein, mitochondrial</t>
  </si>
  <si>
    <t>Thioredoxin-related transmembrane protein 1</t>
  </si>
  <si>
    <t>Negative elongation factor A</t>
  </si>
  <si>
    <t>Golgi resident protein GCP60</t>
  </si>
  <si>
    <t>Cdc42 effector protein 4</t>
  </si>
  <si>
    <t>Tyrosine-protein phosphatase non-receptor type 23</t>
  </si>
  <si>
    <t>Protein unc-45 homolog A</t>
  </si>
  <si>
    <t>Pancreatic progenitor cell differentiation and proliferation factor</t>
  </si>
  <si>
    <t>Kinetochore-associated protein DSN1 homolog</t>
  </si>
  <si>
    <t>Isoform 3 of Uncharacterized protein C1orf198</t>
  </si>
  <si>
    <t>Charged multivesicular body protein 4b</t>
  </si>
  <si>
    <t>CUE domain-containing protein 2</t>
  </si>
  <si>
    <t>F-box/LRR-repeat protein 15</t>
  </si>
  <si>
    <t>Fructosamine-3-kinase</t>
  </si>
  <si>
    <t>GDP-fucose protein O-fucosyltransferase 1</t>
  </si>
  <si>
    <t>15 kDa interferon-responsive protein</t>
  </si>
  <si>
    <t>Aminopeptidase B</t>
  </si>
  <si>
    <t>Golgi phosphoprotein 3-like</t>
  </si>
  <si>
    <t>Golgi phosphoprotein 3</t>
  </si>
  <si>
    <t>Differentially expressed in FDCP 6 homolog</t>
  </si>
  <si>
    <t>Isoform 2 of Band 4.1-like protein 1</t>
  </si>
  <si>
    <t>Isoform 2 of Protein FAM83D</t>
  </si>
  <si>
    <t>Zinc fingers and homeoboxes protein 3</t>
  </si>
  <si>
    <t>Oxysterol-binding protein-related protein 3</t>
  </si>
  <si>
    <t>SWI/SNF-related matrix-associated actin-dependent regulator of chromatin subfamily A containing DEAD/H box 1</t>
  </si>
  <si>
    <t>Isoform 2 of F-box only protein 44</t>
  </si>
  <si>
    <t>Isoform 2 of Pleckstrin homology domain-containing family A member 4</t>
  </si>
  <si>
    <t>EH domain-containing protein 1</t>
  </si>
  <si>
    <t>Isoform 2 of E3 ubiquitin-protein ligase NRDP1</t>
  </si>
  <si>
    <t>Isoform 2 of Zinc finger protein 335</t>
  </si>
  <si>
    <t>Phosphorylated CTD-interacting factor 1</t>
  </si>
  <si>
    <t>ESF1 homolog</t>
  </si>
  <si>
    <t>Actin-like protein 8</t>
  </si>
  <si>
    <t>Isoform 2 of Zinc finger protein 644</t>
  </si>
  <si>
    <t>HEAT repeat-containing protein 1</t>
  </si>
  <si>
    <t>Zinc finger protein 768</t>
  </si>
  <si>
    <t>TATA box-binding protein-associated factor RNA polymerase I subunit D</t>
  </si>
  <si>
    <t>Rab GTPase-binding effector protein 2</t>
  </si>
  <si>
    <t>Dimethyladenosine transferase 2, mitochondrial</t>
  </si>
  <si>
    <t>Zinc finger protein Pegasus</t>
  </si>
  <si>
    <t>Isoform 2 of UPF0428 protein CXorf56</t>
  </si>
  <si>
    <t>MIP18 family protein FAM96A</t>
  </si>
  <si>
    <t>Isoform 3 of Ribonuclease P protein subunit p21</t>
  </si>
  <si>
    <t>HAUS augmin-like complex subunit 4</t>
  </si>
  <si>
    <t>Coiled-coil domain-containing protein 134</t>
  </si>
  <si>
    <t>Speckle targeted PIP5K1A-regulated poly(A) polymerase</t>
  </si>
  <si>
    <t>Coiled-coil domain-containing protein 86</t>
  </si>
  <si>
    <t>Uncharacterized protein C6orf106</t>
  </si>
  <si>
    <t>Armadillo repeat-containing protein 7</t>
  </si>
  <si>
    <t>Cytosolic Fe-S cluster assembly factor NARFL</t>
  </si>
  <si>
    <t>Isoform 4 of Nucleolar protein 6</t>
  </si>
  <si>
    <t>WD repeat-containing protein C2orf44</t>
  </si>
  <si>
    <t>Probable ATP-dependent RNA helicase YTHDC2</t>
  </si>
  <si>
    <t>5-azacytidine-induced protein 2</t>
  </si>
  <si>
    <t>Isoform 2 of Epidermal growth factor receptor kinase substrate 8-like protein 2</t>
  </si>
  <si>
    <t>Isoform 2 of RNA polymerase II-associated protein 3</t>
  </si>
  <si>
    <t>Isoform 1 of Breast carcinoma-amplified sequence 3</t>
  </si>
  <si>
    <t>UPF0554 protein C2orf43</t>
  </si>
  <si>
    <t>Bifunctional lysine-specific demethylase and histidyl-hydroxylase NO66</t>
  </si>
  <si>
    <t>WD repeat-containing protein 55</t>
  </si>
  <si>
    <t>Isoform 2 of Ran-binding protein 3</t>
  </si>
  <si>
    <t>dCTP pyrophosphatase 1</t>
  </si>
  <si>
    <t>Zinc phosphodiesterase ELAC protein 1</t>
  </si>
  <si>
    <t>Histone-lysine N-methyltransferase SMYD3</t>
  </si>
  <si>
    <t>Mth938 domain-containing protein</t>
  </si>
  <si>
    <t>Isoform 2 of WD repeat-containing protein 26</t>
  </si>
  <si>
    <t>Isoform 3 of Tudor domain-containing protein 3</t>
  </si>
  <si>
    <t>UPF0488 protein C8orf33</t>
  </si>
  <si>
    <t>Sin3 histone deacetylase corepressor complex component SDS3</t>
  </si>
  <si>
    <t>Splicing factor, arginine/serine-rich 19</t>
  </si>
  <si>
    <t>Pleckstrin homology domain-containing family G member 2</t>
  </si>
  <si>
    <t>Isoform 2 of Zinc finger protein 665</t>
  </si>
  <si>
    <t>Isoform 2 of Serine-rich coiled-coil domain-containing protein 2</t>
  </si>
  <si>
    <t>Zinc finger protein 696</t>
  </si>
  <si>
    <t>Histone acetyltransferase KAT8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</si>
  <si>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</si>
  <si>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</si>
  <si>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</si>
  <si>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</si>
  <si>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</si>
  <si>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</si>
  <si>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Isoform 5 of YY1-associated protein 1</t>
  </si>
  <si>
    <t>Protein RMD5 homolog A</t>
  </si>
  <si>
    <t>PRKR-interacting protein 1</t>
  </si>
  <si>
    <t>Cysteine-rich protein 2-binding protein</t>
  </si>
  <si>
    <t>Caspase activity and apoptosis inhibitor 1</t>
  </si>
  <si>
    <t>Nucleolar protein 11</t>
  </si>
  <si>
    <t>Bromodomain-containing protein 9</t>
  </si>
  <si>
    <t>Protein FAM188A</t>
  </si>
  <si>
    <t>MOB kinase activator 1A</t>
  </si>
  <si>
    <t>AN1-type zinc finger protein 3</t>
  </si>
  <si>
    <t>Protein ECT2</t>
  </si>
  <si>
    <t>Pleckstrin homology domain-containing family F member 2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</si>
  <si>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</si>
  <si>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</si>
  <si>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</si>
  <si>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</si>
  <si>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Proline-serine-threonine phosphatase-interacting protein 2</t>
  </si>
  <si>
    <t>Mediator of RNA polymerase II transcription subunit 20</t>
  </si>
  <si>
    <t>WD repeat-containing protein 76</t>
  </si>
  <si>
    <t>Queuine tRNA-ribosyltransferase subunit QTRTD1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</si>
  <si>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</si>
  <si>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</si>
  <si>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</si>
  <si>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</si>
  <si>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</si>
  <si>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</si>
  <si>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Sideroflexin-1</t>
  </si>
  <si>
    <t>Isoform 2 of Spermatogenesis-defective protein 39 homolog</t>
  </si>
  <si>
    <t>Zinc finger protein 408</t>
  </si>
  <si>
    <t>Conserved oligomeric Golgi complex subunit 4</t>
  </si>
  <si>
    <t>Actin-related protein 5</t>
  </si>
  <si>
    <t>Protein argonaute-3</t>
  </si>
  <si>
    <t>Vacuolar protein sorting-associated protein 37B</t>
  </si>
  <si>
    <t>39S ribosomal protein L44, mitochondrial</t>
  </si>
  <si>
    <t>Interferon-stimulated 20 kDa exonuclease-like 2</t>
  </si>
  <si>
    <t>Non-homologous end-joining factor 1</t>
  </si>
  <si>
    <t>Calcium-binding protein 39-like</t>
  </si>
  <si>
    <t>Isoform 2 of Elongator complex protein 3</t>
  </si>
  <si>
    <t>Isoform 2 of JmjC domain-containing protein 4</t>
  </si>
  <si>
    <t>GPN-loop GTPase 2</t>
  </si>
  <si>
    <t>Isoform 2 of DNA-directed RNA polymerase I subunit RPA2</t>
  </si>
  <si>
    <t>Isoform 2 of Zinc finger matrin-type protein 3</t>
  </si>
  <si>
    <t>Isoform 3 of Uridine-cytidine kinase 1</t>
  </si>
  <si>
    <t>Ketosamine-3-kinase</t>
  </si>
  <si>
    <t>Isoform 2 of TBC1 domain family member 17</t>
  </si>
  <si>
    <t>Probable cysteine--tRNA ligase, mitochondrial</t>
  </si>
  <si>
    <t>Phosphopantothenate--cysteine ligase</t>
  </si>
  <si>
    <t>Isoform 2 of Chromatin modification-related protein MEAF6</t>
  </si>
  <si>
    <t>Histone deacetylase complex subunit SAP30L</t>
  </si>
  <si>
    <t>Nicotinamide mononucleotide adenylyltransferase 1</t>
  </si>
  <si>
    <t>MLX-interacting protein</t>
  </si>
  <si>
    <t>Isoform 3 of Latrophilin-3</t>
  </si>
  <si>
    <t>Sialate O-acetylesterase</t>
  </si>
  <si>
    <t>Pleckstrin homology domain-containing family A member 5</t>
  </si>
  <si>
    <t>Regulator of nonsense transcripts 2</t>
  </si>
  <si>
    <t>Exportin-5</t>
  </si>
  <si>
    <t>GrpE protein homolog 1, mitochondrial</t>
  </si>
  <si>
    <t>Isoform 2 of Claspin</t>
  </si>
  <si>
    <t>Pleckstrin homology domain-containing family A member 2</t>
  </si>
  <si>
    <t>Pleckstrin homology domain-containing family A member 1</t>
  </si>
  <si>
    <t>Retinoid-inducible serine carboxypeptidase</t>
  </si>
  <si>
    <t>Isoform 6 of Sp110 nuclear body protein</t>
  </si>
  <si>
    <t>Calcyclin-binding protein</t>
  </si>
  <si>
    <t>Ras-related GTP-binding protein C</t>
  </si>
  <si>
    <t>Fanconi anemia group E protein</t>
  </si>
  <si>
    <t>Isoform 4 of POZ-, AT hook-, and zinc finger-containing protein 1</t>
  </si>
  <si>
    <t>Isoform 2 of Interleukin-21</t>
  </si>
  <si>
    <t>Beta-parvin</t>
  </si>
  <si>
    <t>NmrA-like family domain-containing protein 1</t>
  </si>
  <si>
    <t>Kinetochore protein Spc25</t>
  </si>
  <si>
    <t>Transcription initiation factor TFIID subunit 9B</t>
  </si>
  <si>
    <t>Putative sodium-coupled neutral amino acid transporter 10</t>
  </si>
  <si>
    <t>Ethanolamine kinase 1</t>
  </si>
  <si>
    <t>Echinoderm microtubule-associated protein-like 4</t>
  </si>
  <si>
    <t>Isoform 2 of Glyoxalase domain-containing protein 4</t>
  </si>
  <si>
    <t>Vasculin-like protein 1</t>
  </si>
  <si>
    <t>Chromobox protein homolog 8</t>
  </si>
  <si>
    <t>Centromere protein J</t>
  </si>
  <si>
    <t>Methylcrotonoyl-CoA carboxylase beta chain, mitochondrial</t>
  </si>
  <si>
    <t>Isoform 2 of Lateral signaling target protein 2 homolog</t>
  </si>
  <si>
    <t>Isoform 5 of Lateral signaling target protein 2 homolog</t>
  </si>
  <si>
    <t>Nuclear receptor coactivator 5</t>
  </si>
  <si>
    <t>Isoform 2 of Ectopic P granules protein 5 homolog</t>
  </si>
  <si>
    <t>Putative helicase MOV-10</t>
  </si>
  <si>
    <t>Methyltransferase-like protein 14</t>
  </si>
  <si>
    <t>Isoform 3 of Nck-associated protein 5-like</t>
  </si>
  <si>
    <t>E3 ubiquitin-protein ligase MSL2</t>
  </si>
  <si>
    <t>Trinucleotide repeat-containing gene 6C protein</t>
  </si>
  <si>
    <t>Isoform 2 of Ribonucleoprotein PTB-binding 2</t>
  </si>
  <si>
    <t>Chromodomain-helicase-DNA-binding protein 8</t>
  </si>
  <si>
    <t>Isoform 4 of Band 4.1-like protein 5</t>
  </si>
  <si>
    <t>Isoform 2 of GPN-loop GTPase 1</t>
  </si>
  <si>
    <t>Stromal cell-derived factor 2-like protein 1</t>
  </si>
  <si>
    <t>DNA polymerase delta subunit 4</t>
  </si>
  <si>
    <t>Steroid receptor RNA activator 1</t>
  </si>
  <si>
    <t>Isoform B of Probable cation-transporting ATPase 13A1</t>
  </si>
  <si>
    <t>Golgi-associated PDZ and coiled-coil motif-containing protein</t>
  </si>
  <si>
    <t>O-phosphoseryl-tRNA(Sec) selenium transferase</t>
  </si>
  <si>
    <t>Transmembrane 9 superfamily member 3</t>
  </si>
  <si>
    <t>Isoform 2 of Ran guanine nucleotide release factor</t>
  </si>
  <si>
    <t>Junctophilin-1</t>
  </si>
  <si>
    <t>WD repeat-containing protein 6</t>
  </si>
  <si>
    <t>Isoform 3 of Tuftelin</t>
  </si>
  <si>
    <t>Protein FAM60A</t>
  </si>
  <si>
    <t>Isoform 2 of Nucleolar protein of 40 kDa</t>
  </si>
  <si>
    <t>High mobility group protein 20A</t>
  </si>
  <si>
    <t>Ras-related protein Rab-18</t>
  </si>
  <si>
    <t>UDP-N-acetylglucosamine transferase subunit ALG13 homolog</t>
  </si>
  <si>
    <t>Palmdelphin</t>
  </si>
  <si>
    <t>RNA polymerase II subunit A C-terminal domain phosphatase SSU72</t>
  </si>
  <si>
    <t>Vacuolar protein sorting-associated protein VTA1 homolog</t>
  </si>
  <si>
    <t>Dynein light chain roadblock-type 1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</si>
  <si>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</si>
  <si>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</si>
  <si>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</si>
  <si>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</si>
  <si>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</si>
  <si>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H/ACA ribonucleoprotein complex subunit 3</t>
  </si>
  <si>
    <t>Probable tRNA threonylcarbamoyladenosine biosynthesis protein OSGEP</t>
  </si>
  <si>
    <t>DNA methyltransferase 1-associated protein 1</t>
  </si>
  <si>
    <t>Isoform 2 of Ubinuclein-1</t>
  </si>
  <si>
    <t>Isoform 4 of Interleukin-1 receptor accessory protein</t>
  </si>
  <si>
    <t>Bromodomain-containing protein 7</t>
  </si>
  <si>
    <t>mRNA-decapping enzyme 1A</t>
  </si>
  <si>
    <t>Acyl-coenzyme A thioesterase 13</t>
  </si>
  <si>
    <t>Mediator of RNA polymerase II transcription subunit 4</t>
  </si>
  <si>
    <t>NTF2-related export protein 2</t>
  </si>
  <si>
    <t>Synembryn-A</t>
  </si>
  <si>
    <t>Putative RNA-binding protein Luc7-like 1</t>
  </si>
  <si>
    <t>Isoform 2 of Suppressor of SWI4 1 homolog</t>
  </si>
  <si>
    <t>Fructose-2,6-bisphosphatase TIGAR</t>
  </si>
  <si>
    <t>Coordinator of PRMT5 and differentiation stimulator</t>
  </si>
  <si>
    <t>WAS protein family homolog 6</t>
  </si>
  <si>
    <t>Histidine triad nucleotide-binding protein 3</t>
  </si>
  <si>
    <t>Regulation of nuclear pre-mRNA domain-containing protein 1B</t>
  </si>
  <si>
    <t>Mitochondrial dynamic protein MID51</t>
  </si>
  <si>
    <t>Ras-related GTP-binding protein D</t>
  </si>
  <si>
    <t>Prefoldin subunit 4</t>
  </si>
  <si>
    <t>Isoform 2 of N-lysine methyltransferase SETD8</t>
  </si>
  <si>
    <t>Omega-amidase NIT2</t>
  </si>
  <si>
    <t>Cell death regulator Aven</t>
  </si>
  <si>
    <t>Isoform 2 of Inner centromere protein</t>
  </si>
  <si>
    <t>Exosome complex component RRP46</t>
  </si>
  <si>
    <t>Exosome complex component RRP40</t>
  </si>
  <si>
    <t>Kinesin-like protein KIF13B</t>
  </si>
  <si>
    <t>Isoform 2 of PR domain zinc finger protein 10</t>
  </si>
  <si>
    <t>Actin-binding protein anillin</t>
  </si>
  <si>
    <t>Isoform 3 of Xaa-Pro aminopeptidase 1</t>
  </si>
  <si>
    <t>Gephyrin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</si>
  <si>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</si>
  <si>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</si>
  <si>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</si>
  <si>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</si>
  <si>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</si>
  <si>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</si>
  <si>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</si>
  <si>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</si>
  <si>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</si>
  <si>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</si>
  <si>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</si>
  <si>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Endophilin-B2</t>
  </si>
  <si>
    <t>Translation initiation factor eIF-2B subunit gamma</t>
  </si>
  <si>
    <t>Isoform 4 of Potassium voltage-gated channel subfamily KQT member 5</t>
  </si>
  <si>
    <t>F-box only protein 6</t>
  </si>
  <si>
    <t>PRKCA-binding protein</t>
  </si>
  <si>
    <t>Isoform 3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</si>
  <si>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</si>
  <si>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</si>
  <si>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</si>
  <si>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</si>
  <si>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</si>
  <si>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Yae1 domain-containing protein 1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</si>
  <si>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</si>
  <si>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</si>
  <si>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</si>
  <si>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</si>
  <si>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Ubiquilin-4</t>
  </si>
  <si>
    <t>Sorting nexin-15</t>
  </si>
  <si>
    <t>Heme-binding protein 1</t>
  </si>
  <si>
    <t>Ras-related protein Rab-6B</t>
  </si>
  <si>
    <t>Dual specificity protein phosphatase 22</t>
  </si>
  <si>
    <t>Vacuolar protein sorting-associated protein 45</t>
  </si>
  <si>
    <t>14 kDa phosphohistidine phosphatase</t>
  </si>
  <si>
    <t>SOSS complex subunit C</t>
  </si>
  <si>
    <t>Rho GTPase-activating protein 35</t>
  </si>
  <si>
    <t>Protein FAM114A2</t>
  </si>
  <si>
    <t>Isoform 6 of Lymphoid-specific helicase</t>
  </si>
  <si>
    <t>Glutaredoxin-2, mitochondrial</t>
  </si>
  <si>
    <t>E3 ubiquitin-protein ligase Topors</t>
  </si>
  <si>
    <t>Isoform 2 of MAP3K12-binding inhibitory protein 1</t>
  </si>
  <si>
    <t>LanC-like protein 2</t>
  </si>
  <si>
    <t>Isoform 2 of Kinesin-like protein KIF15</t>
  </si>
  <si>
    <t>E3 ubiquitin-protein ligase RAD18</t>
  </si>
  <si>
    <t>Beta-catenin-interacting protein 1</t>
  </si>
  <si>
    <t>Isoform 5 of Homer protein homolog 3</t>
  </si>
  <si>
    <t>Phenylalanine--tRNA ligase beta subunit</t>
  </si>
  <si>
    <t>Cytokine-inducible SH2-containing protein</t>
  </si>
  <si>
    <t>Isoleucine--tRNA ligase, mitochondrial</t>
  </si>
  <si>
    <t>Isoform B of Protein FAM207A</t>
  </si>
  <si>
    <t>Isoform C of Bromodomain and WD repeat-containing protein 1</t>
  </si>
  <si>
    <t>SAM domain-containing protein SAMSN-1</t>
  </si>
  <si>
    <t>Kinesin light chain 4</t>
  </si>
  <si>
    <t>Putative ribosomal RNA-processing protein 7 homolog B</t>
  </si>
  <si>
    <t>Nuclear receptor-binding protein 2</t>
  </si>
  <si>
    <t>BMP-2-inducible protein kinase</t>
  </si>
  <si>
    <t>Ubiquitin-like-conjugating enzyme ATG3</t>
  </si>
  <si>
    <t>Leucine-rich repeat-containing protein 4B</t>
  </si>
  <si>
    <t>NAD-dependent protein deacetylase sirtuin-3, mitochondrial</t>
  </si>
  <si>
    <t>Isoform 2 of Sister chromatid cohesion protein PDS5 homolog B</t>
  </si>
  <si>
    <t>Structural maintenance of chromosomes protein 4</t>
  </si>
  <si>
    <t>Isoform 3 of Alpha-mannosidase 2C1</t>
  </si>
  <si>
    <t>Obg-like ATPase 1</t>
  </si>
  <si>
    <t>Isoform 2 of Obg-like ATPase 1</t>
  </si>
  <si>
    <t>Copper homeostasis protein cutC homolog</t>
  </si>
  <si>
    <t>Isoform 2 of Ethylmalonyl-CoA decarboxylase</t>
  </si>
  <si>
    <t>RNA-binding protein 12</t>
  </si>
  <si>
    <t>TBC1 domain family member 22B</t>
  </si>
  <si>
    <t>Midasin</t>
  </si>
  <si>
    <t>LYR motif-containing protein 2</t>
  </si>
  <si>
    <t>Isoform 3 of Acetyl-coenzyme A synthetase 2-like, mitochondrial</t>
  </si>
  <si>
    <t>Zinc finger CCHC domain-containing protein 3</t>
  </si>
  <si>
    <t>p53 and DNA damage-regulated protein 1</t>
  </si>
  <si>
    <t>Mycophenolic acid acyl-glucuronide esterase, mitochondrial</t>
  </si>
  <si>
    <t>T-complex protein 11-like protein 1</t>
  </si>
  <si>
    <t>Isoform 7 of Double-stranded RNA-binding protein Staufen homolog 2</t>
  </si>
  <si>
    <t>Transmembrane protein 106B</t>
  </si>
  <si>
    <t>Biogenesis of lysosome-related organelles complex 1 subunit 4</t>
  </si>
  <si>
    <t>tRNA:m(4)X modification enzyme TRM13 homolog</t>
  </si>
  <si>
    <t>Gamma-taxilin</t>
  </si>
  <si>
    <t>Isoform 2 of SPATS2-like protein</t>
  </si>
  <si>
    <t>Isoform 2 of 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</si>
  <si>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</si>
  <si>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</si>
  <si>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</si>
  <si>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</si>
  <si>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Isoform 2 of Protection of telomeres protein 1</t>
  </si>
  <si>
    <t>Isoform 2 of TBC1 domain family member 23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</si>
  <si>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</si>
  <si>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</si>
  <si>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</si>
  <si>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</si>
  <si>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Isoform 2 of Exocyst complex component 1</t>
  </si>
  <si>
    <t>Isoform 3 of Integrator complex subunit 9</t>
  </si>
  <si>
    <t>Transmembrane protein 184C</t>
  </si>
  <si>
    <t>Mediator of RNA polymerase II transcription subunit 17</t>
  </si>
  <si>
    <t>Ubiquitin carboxyl-terminal hydrolase 40</t>
  </si>
  <si>
    <t>Pantothenate kinase 4</t>
  </si>
  <si>
    <t>F-box only protein 28</t>
  </si>
  <si>
    <t>TBC1 domain family member 13</t>
  </si>
  <si>
    <t>Isoform 2 of Exonuclease 3-5 domain-containing protein 2</t>
  </si>
  <si>
    <t>Isoform 3 of Integrator complex subunit 7</t>
  </si>
  <si>
    <t>Trimethyllysine dioxygenase, mitochondrial</t>
  </si>
  <si>
    <t>Fanconi anemia group I protein</t>
  </si>
  <si>
    <t>Isoform 2 of ATPase family AAA domain-containing protein 3A</t>
  </si>
  <si>
    <t>ADP-ribosylation factor-like protein 8B</t>
  </si>
  <si>
    <t>Isoform 3 of Protein arginine N-methyltransferase 7</t>
  </si>
  <si>
    <t>DnaJ homolog subfamily C member 17</t>
  </si>
  <si>
    <t>Protein asunder homolog</t>
  </si>
  <si>
    <t>Isoform 3 of Synembryn-B</t>
  </si>
  <si>
    <t>Guanine nucleotide-binding protein-like 3-like protein</t>
  </si>
  <si>
    <t>ATP-dependent RNA helicase DDX18</t>
  </si>
  <si>
    <t>Histone chaperone ASF1B</t>
  </si>
  <si>
    <t>Kelch-like protein 11</t>
  </si>
  <si>
    <t>Integrator complex subunit 10</t>
  </si>
  <si>
    <t>Protein kintoun</t>
  </si>
  <si>
    <t>Armadillo repeat-containing protein 1</t>
  </si>
  <si>
    <t>Isoform 5 of DNA-directed RNA polymerase III subunit RPC5</t>
  </si>
  <si>
    <t>Isoform 2 of Protein SDA1 homolog</t>
  </si>
  <si>
    <t>HAUS augmin-like complex subunit 2</t>
  </si>
  <si>
    <t>Notchless protein homolog 1</t>
  </si>
  <si>
    <t>Adaptin ear-binding coat-associated protein 2</t>
  </si>
  <si>
    <t>Isoform 2 of DNA-directed RNA polymerase III subunit RPC2</t>
  </si>
  <si>
    <t>RNA-binding protein 28</t>
  </si>
  <si>
    <t>Pre-mRNA-splicing factor RBM22</t>
  </si>
  <si>
    <t>Isoform 4 of BSD domain-containing protein 1</t>
  </si>
  <si>
    <t>Isoform 2 of G patch domain-containing protein 2</t>
  </si>
  <si>
    <t>WD repeat-containing protein 70</t>
  </si>
  <si>
    <t>Mediator of RNA polymerase II transcription subunit 9</t>
  </si>
  <si>
    <t>Arginine and glutamate-rich protein 1</t>
  </si>
  <si>
    <t>Protein BEX4</t>
  </si>
  <si>
    <t>SAFB-like transcription modulator</t>
  </si>
  <si>
    <t>Box C/D snoRNA protein 1</t>
  </si>
  <si>
    <t>CUE domain-containing protein 1</t>
  </si>
  <si>
    <t>Peptidyl-prolyl cis-trans isomerase FKBP14</t>
  </si>
  <si>
    <t>PIH1 domain-containing protein 1</t>
  </si>
  <si>
    <t>Protein FAM118A</t>
  </si>
  <si>
    <t>p21-activated protein kinase-interacting protein 1</t>
  </si>
  <si>
    <t>Hypoxia-inducible factor 1-alpha inhibitor</t>
  </si>
  <si>
    <t>Aurora kinase A-interacting protein</t>
  </si>
  <si>
    <t>3-oxoacyl-[acyl-carrier-protein] synthase, mitochondrial</t>
  </si>
  <si>
    <t>Glucose-induced degradation protein 8 homolog</t>
  </si>
  <si>
    <t>UPF0587 protein C1orf123</t>
  </si>
  <si>
    <t>Uncharacterized protein C2orf42</t>
  </si>
  <si>
    <t>Probable tRNA(His) guanylyltransferase</t>
  </si>
  <si>
    <t>UPF0609 protein C4orf27</t>
  </si>
  <si>
    <t>Interleukin-1 receptor-associated kinase 4</t>
  </si>
  <si>
    <t>Isoform 3 of Uridine-cytidine kinase-like 1</t>
  </si>
  <si>
    <t>Gem-associated protein 8</t>
  </si>
  <si>
    <t>Thioredoxin-like protein 4B</t>
  </si>
  <si>
    <t>Isoform 5 of NACHT, LRR and PYD domains-containing protein 2</t>
  </si>
  <si>
    <t>tRNA selenocysteine 1-associated protein 1</t>
  </si>
  <si>
    <t>COMM domain-containing protein 8</t>
  </si>
  <si>
    <t>DNA damage-inducible transcript 4 protein</t>
  </si>
  <si>
    <t>H/ACA ribonucleoprotein complex subunit 2</t>
  </si>
  <si>
    <t>Protein FAM206A</t>
  </si>
  <si>
    <t>Poly(ADP-ribose) glycohydrolase ARH3</t>
  </si>
  <si>
    <t>Huntingtin-interacting protein K</t>
  </si>
  <si>
    <t>Cell growth-regulating nucleolar protein</t>
  </si>
  <si>
    <t>Coiled-coil-helix-coiled-coil-helix domain-containing protein 3, mitochondrial</t>
  </si>
  <si>
    <t>Mediator of RNA polymerase II transcription subunit 29</t>
  </si>
  <si>
    <t>tRNA-dihydrouridine(20) synthase [NAD(P)+]-like</t>
  </si>
  <si>
    <t>NAD-dependent protein deacylase sirtuin-5, mitochondrial</t>
  </si>
  <si>
    <t>WD repeat-containing protein mio</t>
  </si>
  <si>
    <t>Pre-mRNA-splicing factor CWC25 homolog</t>
  </si>
  <si>
    <t>Isoform 2 of Testis-expressed sequence 10 protein</t>
  </si>
  <si>
    <t>DDB1- and CUL4-associated factor 16</t>
  </si>
  <si>
    <t>THUMP domain-containing protein 1</t>
  </si>
  <si>
    <t>tRNA (guanine(26)-N(2))-dimethyltransferase</t>
  </si>
  <si>
    <t>Pyroglutamyl-peptidase 1</t>
  </si>
  <si>
    <t>F-box/LRR-repeat protein 12</t>
  </si>
  <si>
    <t>Isoform 2 of Nuclear distribution protein nudE homolog 1</t>
  </si>
  <si>
    <t>BRCA1-A complex subunit BRE</t>
  </si>
  <si>
    <t>ADP-ribosylation factor-like protein 15</t>
  </si>
  <si>
    <t>BTB/POZ domain-containing protein KCTD5</t>
  </si>
  <si>
    <t>CDKN2A-interacting protein</t>
  </si>
  <si>
    <t>DnaJ homolog subfamily B member 12</t>
  </si>
  <si>
    <t>Alpha-ketoglutarate-dependent dioxygenase alkB homolog 4</t>
  </si>
  <si>
    <t>Sarcoma antigen 1</t>
  </si>
  <si>
    <t>Isoform 2 of H/ACA ribonucleoprotein complex subunit 1</t>
  </si>
  <si>
    <t>Serine/threonine-protein phosphatase 4 regulatory subunit 2</t>
  </si>
  <si>
    <t>Dipeptidyl peptidase 3</t>
  </si>
  <si>
    <t>Protein AATF</t>
  </si>
  <si>
    <t>Probable ATP-dependent RNA helicase DDX56</t>
  </si>
  <si>
    <t>Telomeric repeat-binding factor 2-interacting protein 1</t>
  </si>
  <si>
    <t>Isoform 3 of Abl interactor 2</t>
  </si>
  <si>
    <t>Protein FAM53C</t>
  </si>
  <si>
    <t>Isoform 2 of Bcl-2-associated transcription factor 1</t>
  </si>
  <si>
    <t>Anaphase-promoting complex subunit 11</t>
  </si>
  <si>
    <t>Cytochrome c oxidase assembly factor 4 homolog, mitochondrial</t>
  </si>
  <si>
    <t>TGF-beta-activated kinase 1 and MAP3K7-binding protein 2</t>
  </si>
  <si>
    <t>Isoform 3 of Protein EURL homolog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</si>
  <si>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</si>
  <si>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</si>
  <si>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</si>
  <si>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</si>
  <si>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</si>
  <si>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Cyclin-dependent kinase 12</t>
  </si>
  <si>
    <t>Isoform 2 of Cyclin-dependent kinase 12</t>
  </si>
  <si>
    <t>RB-associated KRAB zinc finger protein</t>
  </si>
  <si>
    <t>Isoform 2 of FAST kinase domain-containing protein 2</t>
  </si>
  <si>
    <t>G2 and S phase-expressed protein 1</t>
  </si>
  <si>
    <t>Endoplasmic reticulum aminopeptidase 1</t>
  </si>
  <si>
    <t>Isoform 2 of Ubiquitin-associated protein 1</t>
  </si>
  <si>
    <t>Actin-related protein 10</t>
  </si>
  <si>
    <t>ADP-ribosylation factor-binding protein GGA3</t>
  </si>
  <si>
    <t>Podocalyxin-like protein 2</t>
  </si>
  <si>
    <t>Uncharacterized protein C9orf78</t>
  </si>
  <si>
    <t>Isoform 3 of Chloride intracellular channel protein 5</t>
  </si>
  <si>
    <t>Constitutive coactivator of PPAR-gamma-like protein 1</t>
  </si>
  <si>
    <t>SWI/SNF-related matrix-associated actin-dependent regulator of chromatin subfamily A-like protein 1</t>
  </si>
  <si>
    <t>Glycolipid transfer protein</t>
  </si>
  <si>
    <t>Alpha-hemoglobin-stabilizing protein</t>
  </si>
  <si>
    <t>Insulin-like growth factor 2 mRNA-binding protein 1</t>
  </si>
  <si>
    <t>Hexaprenyldihydroxybenzoate methyltransferase, mitochondrial</t>
  </si>
  <si>
    <t>Diphosphoinositol polyphosphate phosphohydrolase 2</t>
  </si>
  <si>
    <t>Isoform 2 of Diphosphoinositol polyphosphate phosphohydrolase 2</t>
  </si>
  <si>
    <t>Methionine adenosyltransferase 2 subunit beta</t>
  </si>
  <si>
    <t>Isoform 2 of Methionine adenosyltransferase 2 subunit beta</t>
  </si>
  <si>
    <t>Isoform 2 of Intersectin-2</t>
  </si>
  <si>
    <t>Isoform 2 of Glioma tumor suppressor candidate region gene 1 protein</t>
  </si>
  <si>
    <t>Glioma tumor suppressor candidate region gene 2 protein</t>
  </si>
  <si>
    <t>EH domain-containing protein 2</t>
  </si>
  <si>
    <t>Isoform 2 of Rho guanine nucleotide exchange factor 12</t>
  </si>
  <si>
    <t>Isoform 3 of NCK-interacting protein with SH3 domain</t>
  </si>
  <si>
    <t>Low-density lipoprotein receptor-related protein 1B</t>
  </si>
  <si>
    <t>Isoform 2 of Opioid growth factor receptor</t>
  </si>
  <si>
    <t>Methionine-R-sulfoxide reductase B1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</si>
  <si>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</si>
  <si>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</si>
  <si>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</si>
  <si>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</si>
  <si>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</si>
  <si>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</si>
  <si>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</si>
  <si>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</si>
  <si>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E3 ubiquitin-protein ligase KCMF1</t>
  </si>
  <si>
    <t>Isoform 3 of Ankycorbin</t>
  </si>
  <si>
    <t>Vesicle-associated membrane protein-associated protein A</t>
  </si>
  <si>
    <t>Isoform 3 of TBC1 domain family member 7</t>
  </si>
  <si>
    <t>GSK3-beta interaction protein</t>
  </si>
  <si>
    <t>Isoform 2 of Sentrin-specific protease 1</t>
  </si>
  <si>
    <t>CpG-binding protein</t>
  </si>
  <si>
    <t>SWI/SNF-related matrix-associated actin-dependent regulator of chromatin subfamily E member 1-related</t>
  </si>
  <si>
    <t>GEM-interacting protein</t>
  </si>
  <si>
    <t>Costars family protein ABRACL</t>
  </si>
  <si>
    <t>Isoform 3 of Vacuolar protein sorting-associated protein 54</t>
  </si>
  <si>
    <t>DNA-directed RNA polymerase I subunit RPA12</t>
  </si>
  <si>
    <t>Actin-related protein 3B</t>
  </si>
  <si>
    <t>Isoform 2 of Calcium-binding and coiled-coil domain-containing protein 1</t>
  </si>
  <si>
    <t>Isoform 2 of Uncharacterized protein KIAA1522</t>
  </si>
  <si>
    <t>Centrosomal protein of 72 kDa</t>
  </si>
  <si>
    <t>Protein Daple</t>
  </si>
  <si>
    <t>Leucine-rich repeat and fibronectin type III domain-containing protein 1</t>
  </si>
  <si>
    <t>Stromal interaction molecule 2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</si>
  <si>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</si>
  <si>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</si>
  <si>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</si>
  <si>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</si>
  <si>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SLAIN motif-containing protein 2</t>
  </si>
  <si>
    <t>Ubiquitin carboxyl-terminal hydrolase 36</t>
  </si>
  <si>
    <t>BRCA2 and CDKN1A-interacting protein</t>
  </si>
  <si>
    <t>Serine/threonine-protein kinase MST4</t>
  </si>
  <si>
    <t>CTTNBP2 N-terminal-like protein</t>
  </si>
  <si>
    <t>Isoform 2 of UPF0501 protein KIAA1430</t>
  </si>
  <si>
    <t>Chromodomain-helicase-DNA-binding protein 7</t>
  </si>
  <si>
    <t>HEAT repeat-containing protein 5B</t>
  </si>
  <si>
    <t>NFX1-type zinc finger-containing protein 1</t>
  </si>
  <si>
    <t>Ribosome-binding protein 1</t>
  </si>
  <si>
    <t>Zinc finger protein 319</t>
  </si>
  <si>
    <t>Cleavage and polyadenylation specificity factor subunit 2</t>
  </si>
  <si>
    <t>Leucine--tRNA ligase, cytoplasmic</t>
  </si>
  <si>
    <t>REST corepressor 3</t>
  </si>
  <si>
    <t>Isoform 2 of Myelin expression factor 2</t>
  </si>
  <si>
    <t>Kelch-like protein 42</t>
  </si>
  <si>
    <t>Isoform 2 of Eukaryotic translation initiation factor 2-alpha kinase 4</t>
  </si>
  <si>
    <t>TBC1 domain family member 14</t>
  </si>
  <si>
    <t>Isoform 3 of Rho GTPase-activating protein 28</t>
  </si>
  <si>
    <t>RNA-binding protein 27</t>
  </si>
  <si>
    <t>Isoform 3 of KAT8 regulatory NSL complex subunit 3</t>
  </si>
  <si>
    <t>Protein NYNRIN</t>
  </si>
  <si>
    <t>Ankyrin repeat and FYVE domain-containing protein 1</t>
  </si>
  <si>
    <t>Arginine-glutamic acid dipeptide repeats protein</t>
  </si>
  <si>
    <t>WD repeat-containing protein WRAP73</t>
  </si>
  <si>
    <t>Homologous-pairing protein 2 homolog</t>
  </si>
  <si>
    <t>Protein IMPACT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</si>
  <si>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</si>
  <si>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</si>
  <si>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</si>
  <si>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</si>
  <si>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</si>
  <si>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</si>
  <si>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Isoform 6 of DNA (cytosine-5)-methyltransferase 3B</t>
  </si>
  <si>
    <t>Origin recognition complex subunit 3</t>
  </si>
  <si>
    <t>SUMO-activating enzyme subunit 1</t>
  </si>
  <si>
    <t>Melanoma-associated antigen C2</t>
  </si>
  <si>
    <t>Coatomer subunit gamma-2</t>
  </si>
  <si>
    <t>RING-box protein 2</t>
  </si>
  <si>
    <t>Isoform 2 of Phosphatidylinositol 4-kinase beta</t>
  </si>
  <si>
    <t>COMM domain-containing protein 3</t>
  </si>
  <si>
    <t>Headcase protein homolog</t>
  </si>
  <si>
    <t>Isoform B of Methionine synthase reductase</t>
  </si>
  <si>
    <t>Protein UXT</t>
  </si>
  <si>
    <t>Isoform 3 of Set1/Ash2 histone methyltransferase complex subunit ASH2</t>
  </si>
  <si>
    <t>Isoform 2 of Copine-7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</si>
  <si>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</si>
  <si>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</si>
  <si>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</si>
  <si>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</si>
  <si>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</si>
  <si>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</si>
  <si>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</si>
  <si>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</si>
  <si>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SUMO-activating enzyme subunit 2</t>
  </si>
  <si>
    <t>Isoform 3 of Alpha-catulin</t>
  </si>
  <si>
    <t>Protein DBF4 homolog A</t>
  </si>
  <si>
    <t>Isoform 2 of Mortality factor 4-like protein 1</t>
  </si>
  <si>
    <t>Nuclear RNA export factor 1</t>
  </si>
  <si>
    <t>Peflin</t>
  </si>
  <si>
    <t>Zinc finger MYM-type protein 2</t>
  </si>
  <si>
    <t>COP9 signalosome complex subunit 7a</t>
  </si>
  <si>
    <t>Isoform 2 of CAP-Gly domain-containing linker protein 2</t>
  </si>
  <si>
    <t>Zinc finger protein 282</t>
  </si>
  <si>
    <t>Tight junction protein ZO-2</t>
  </si>
  <si>
    <t>DnaJ homolog subfamily B member 4</t>
  </si>
  <si>
    <t>Mucosa-associated lymphoid tissue lymphoma translocation protein 1</t>
  </si>
  <si>
    <t>Craniofacial development protein 1</t>
  </si>
  <si>
    <t>Zinc finger protein 629</t>
  </si>
  <si>
    <t>Death domain-associated protein 6</t>
  </si>
  <si>
    <t>Isoform 2 of Putative tRNA (cytidine(32)/guanosine(34)-2-O)-methyltransferase</t>
  </si>
  <si>
    <t>Vesicle transport through interaction with t-SNAREs homolog 1B</t>
  </si>
  <si>
    <t>Isoform 1 of Gamma-adducin</t>
  </si>
  <si>
    <t>Leucine-rich repeat and WD repeat-containing protein 1</t>
  </si>
  <si>
    <t>UPF0449 protein C19orf25</t>
  </si>
  <si>
    <t>Protein NipSnap homolog 3A</t>
  </si>
  <si>
    <t>CGG triplet repeat-binding protein 1</t>
  </si>
  <si>
    <t>Intraflagellar transport protein 172 homolog</t>
  </si>
  <si>
    <t>ATP-binding cassette sub-family F member 2</t>
  </si>
  <si>
    <t>Testin</t>
  </si>
  <si>
    <t>Isoform 2 of Testin</t>
  </si>
  <si>
    <t>Secretion-regulating guanine nucleotide exchange factor</t>
  </si>
  <si>
    <t>LIM domain-containing protein 1</t>
  </si>
  <si>
    <t>Translocation protein SEC63 homolog</t>
  </si>
  <si>
    <t>Isoform 2 of Zinc finger CCCH domain-containing protein 7B</t>
  </si>
  <si>
    <t>Isoform 2 of Transcription factor 20</t>
  </si>
  <si>
    <t>HMG domain-containing protein 4</t>
  </si>
  <si>
    <t>Protein NDRG3</t>
  </si>
  <si>
    <t>Armadillo repeat-containing X-linked protein 3</t>
  </si>
  <si>
    <t>Switch-associated protein 70</t>
  </si>
  <si>
    <t>F-box only protein 40</t>
  </si>
  <si>
    <t>Isoform Alpha of Max-like protein X</t>
  </si>
  <si>
    <t>Probable ribosome biogenesis protein RLP24</t>
  </si>
  <si>
    <t>Ragulator complex protein LAMTOR3</t>
  </si>
  <si>
    <t>LIM domain and actin-binding protein 1</t>
  </si>
  <si>
    <t>Isoform 4 of LIM domain and actin-binding protein 1</t>
  </si>
  <si>
    <t>AF4/FMR2 family member 4</t>
  </si>
  <si>
    <t>Signal recognition particle subunit SRP68</t>
  </si>
  <si>
    <t>Cysteine and histidine-rich domain-containing protein 1</t>
  </si>
  <si>
    <t>Serine/threonine-protein kinase TBK1</t>
  </si>
  <si>
    <t>Isoform 7 of Septin-9</t>
  </si>
  <si>
    <t>Ubiquilin-2</t>
  </si>
  <si>
    <t>Epidermal growth factor-like protein 7</t>
  </si>
  <si>
    <t>Probable ATP-dependent RNA helicase DDX20</t>
  </si>
  <si>
    <t>Isoform 2 of Scm-like with four MBT domains protein 1</t>
  </si>
  <si>
    <t>Sedoheptulokinase</t>
  </si>
  <si>
    <t>Nuclear fragile X mental retardation-interacting protein 1</t>
  </si>
  <si>
    <t>Dipeptidyl peptidase 2</t>
  </si>
  <si>
    <t>DNA polymerase subunit gamma-2, mitochondrial</t>
  </si>
  <si>
    <t>Ubiquitin carboxyl-terminal hydrolase 25</t>
  </si>
  <si>
    <t>Isoform 4 of Nuclear prelamin A recognition factor</t>
  </si>
  <si>
    <t>Brain-specific angiogenesis inhibitor 1-associated protein 2-like protein 1</t>
  </si>
  <si>
    <t>SAP30-binding protein</t>
  </si>
  <si>
    <t>Zinc finger HIT domain-containing protein 2</t>
  </si>
  <si>
    <t>Mediator of RNA polymerase II transcription subunit 13</t>
  </si>
  <si>
    <t>Prefoldin subunit 2</t>
  </si>
  <si>
    <t>GPN-loop GTPase 3</t>
  </si>
  <si>
    <t>Isoform 2 of Poly(U)-binding-splicing factor PUF60</t>
  </si>
  <si>
    <t>Nuclear receptor-binding protein</t>
  </si>
  <si>
    <t>Enolase-phosphatase E1</t>
  </si>
  <si>
    <t>Ena/VASP-like protein</t>
  </si>
  <si>
    <t>Translation initiation factor eIF-2B subunit delta</t>
  </si>
  <si>
    <t>Isoform 3 of Translation initiation factor eIF-2B subunit delta</t>
  </si>
  <si>
    <t>V-type proton ATPase subunit H</t>
  </si>
  <si>
    <t>Importin-11</t>
  </si>
  <si>
    <t>tRNA methyltransferase 112 homolog</t>
  </si>
  <si>
    <t>Mitotic spindle assembly checkpoint protein MAD2B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</si>
  <si>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</si>
  <si>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</si>
  <si>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</si>
  <si>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</si>
  <si>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Isoform 3 of Short coiled-coil protein</t>
  </si>
  <si>
    <t>FK506-binding protein-like</t>
  </si>
  <si>
    <t>Isoform 3 of Leucyl-cystinyl aminopeptidase</t>
  </si>
  <si>
    <t>Homeobox protein SIX4</t>
  </si>
  <si>
    <t>CCR4-NOT transcription complex subunit 7</t>
  </si>
  <si>
    <t>Testis-specific Y-encoded-like protein 4</t>
  </si>
  <si>
    <t>Isoform 2 of Rab5 GDP/GTP exchange factor</t>
  </si>
  <si>
    <t>Isoform 2 of Mitochondrial peptide methionine sulfoxide reductase</t>
  </si>
  <si>
    <t>N-acetyl-D-glucosamine kinase</t>
  </si>
  <si>
    <t>tRNA (adenine(58)-N(1))-methyltransferase non-catalytic subunit TRM6</t>
  </si>
  <si>
    <t>SH3 domain-binding glutamic acid-rich-like protein 2</t>
  </si>
  <si>
    <t>Zinc finger protein 280C (Fragment)</t>
  </si>
  <si>
    <t>Ribosome biogenesis protein TSR3 homolog</t>
  </si>
  <si>
    <t>ERBB receptor feedback inhibitor 1</t>
  </si>
  <si>
    <t>Zinc finger protein 391</t>
  </si>
  <si>
    <t>Tubulin epsilon chain</t>
  </si>
  <si>
    <t>Isoform 2 of Testis-specific serine kinase substrate</t>
  </si>
  <si>
    <t>Drebrin-like protein</t>
  </si>
  <si>
    <t>Isoform 2 of Drebrin-like protein</t>
  </si>
  <si>
    <t>Probable ATP-dependent RNA helicase DDX41</t>
  </si>
  <si>
    <t>Dynactin subunit 4</t>
  </si>
  <si>
    <t>Isoform 3 of Cell division cycle protein 23 homolog</t>
  </si>
  <si>
    <t>Isoform 2 of Anaphase-promoting complex subunit 7</t>
  </si>
  <si>
    <t>Anaphase-promoting complex subunit 2</t>
  </si>
  <si>
    <t>ADP-ribosylation factor-binding protein GGA2</t>
  </si>
  <si>
    <t>Isoform 4 of ADP-ribosylation factor-binding protein GGA1</t>
  </si>
  <si>
    <t>Zinc finger protein 580</t>
  </si>
  <si>
    <t>Vacuolar protein sorting-associated protein 28 homolog</t>
  </si>
  <si>
    <t>U6 snRNA-associated Sm-like protein LSm7</t>
  </si>
  <si>
    <t>Lariat debranching enzyme</t>
  </si>
  <si>
    <t>Isoform 3 of Protein FAM208A</t>
  </si>
  <si>
    <t>Protein fem-1 homolog B</t>
  </si>
  <si>
    <t>Isoform 2 of Ubiquitin carboxyl-terminal hydrolase 21</t>
  </si>
  <si>
    <t>Isoform 3 of F-box only protein 9</t>
  </si>
  <si>
    <t>Isoform 2 of F-box only protein 3</t>
  </si>
  <si>
    <t>A-kinase anchor protein 11</t>
  </si>
  <si>
    <t>Polypyrimidine tract-binding protein 2</t>
  </si>
  <si>
    <t>Isoform A of F-box/WD repeat-containing protein 11</t>
  </si>
  <si>
    <t>DnaJ homolog subfamily C member 12</t>
  </si>
  <si>
    <t>Adherens junction-associated protein 1</t>
  </si>
  <si>
    <t>mRNA turnover protein 4 homolog</t>
  </si>
  <si>
    <t>TRAF2 and NCK-interacting protein kinase</t>
  </si>
  <si>
    <t>Cleavage and polyadenylation specificity factor subunit 3</t>
  </si>
  <si>
    <t>DCC-interacting protein 13-alpha</t>
  </si>
  <si>
    <t>Serine/threonine-protein kinase tousled-like 1</t>
  </si>
  <si>
    <t>G patch domain-containing protein 8</t>
  </si>
  <si>
    <t>Poly [ADP-ribose] polymerase 4</t>
  </si>
  <si>
    <t>REST corepressor 1</t>
  </si>
  <si>
    <t>CASP8-associated protein 2</t>
  </si>
  <si>
    <t>Phosphatidylcholine transfer protein</t>
  </si>
  <si>
    <t>General transcription factor 3C polypeptide 4</t>
  </si>
  <si>
    <t>Protein kinase C and casein kinase substrate in neurons protein 3</t>
  </si>
  <si>
    <t>F-box only protein 4</t>
  </si>
  <si>
    <t>Isoform 7 of Zinc finger protein Aiolos</t>
  </si>
  <si>
    <t>Isobutyryl-CoA dehydrogenase, mitochondrial</t>
  </si>
  <si>
    <t>Apoptotic chromatin condensation inducer in the nucleus</t>
  </si>
  <si>
    <t>Isoform 4 of Apoptotic chromatin condensation inducer in the nucleus</t>
  </si>
  <si>
    <t>Protein argonaute-2</t>
  </si>
  <si>
    <t>Nuclear pore complex protein Nup50</t>
  </si>
  <si>
    <t>Zinc fingers and homeoboxes protein 1</t>
  </si>
  <si>
    <t>Protein CDV3 homolog</t>
  </si>
  <si>
    <t>CCR4-NOT transcription complex subunit 11</t>
  </si>
  <si>
    <t>Isoform 3 of Integrator complex subunit 6</t>
  </si>
  <si>
    <t>BAG family molecular chaperone regulator 5</t>
  </si>
  <si>
    <t>Ras-related protein Rab-21</t>
  </si>
  <si>
    <t>Ras-related protein Rab-22A</t>
  </si>
  <si>
    <t>Proteasome activator complex subunit 2</t>
  </si>
  <si>
    <t>Isoform 2 of Serine/threonine-protein kinase TAO2</t>
  </si>
  <si>
    <t>Muskelin</t>
  </si>
  <si>
    <t>Aspartyl aminopeptidase</t>
  </si>
  <si>
    <t>Ras-related protein Rab-23</t>
  </si>
  <si>
    <t>Malignant T-cell-amplified sequence 1</t>
  </si>
  <si>
    <t>Isoform 4 of Microtubule-associated tumor suppressor 1</t>
  </si>
  <si>
    <t>Zinc finger protein 777</t>
  </si>
  <si>
    <t>Zinc finger protein 608</t>
  </si>
  <si>
    <t>Protein WWC3</t>
  </si>
  <si>
    <t>Paladin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</si>
  <si>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</si>
  <si>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</si>
  <si>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</si>
  <si>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</si>
  <si>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</si>
  <si>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</si>
  <si>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Isoform 4 of Mediator of RNA polymerase II transcription subunit 23</t>
  </si>
  <si>
    <t>Isoform 3 of Proline-rich protein 12</t>
  </si>
  <si>
    <t>YEATS domain-containing protein 2</t>
  </si>
  <si>
    <t>CCR4-NOT transcription complex subunit 6</t>
  </si>
  <si>
    <t>Isoform 2 of TBC1 domain family member 24</t>
  </si>
  <si>
    <t>Pre-mRNA-splicing factor ISY1 homolog</t>
  </si>
  <si>
    <t>Protein phosphatase 1H</t>
  </si>
  <si>
    <t>E3 ubiquitin-protein ligase HECTD1</t>
  </si>
  <si>
    <t>Isoform 12 of Protein kinase C-binding protein 1</t>
  </si>
  <si>
    <t>Isoform 5 of Cip1-interacting zinc finger protein</t>
  </si>
  <si>
    <t>Coronin-1C</t>
  </si>
  <si>
    <t>Targeting protein for Xklp2</t>
  </si>
  <si>
    <t>Activator of basal transcription 1</t>
  </si>
  <si>
    <t>RNA-binding protein NOB1</t>
  </si>
  <si>
    <t>A-kinase anchor protein 8-like</t>
  </si>
  <si>
    <t>Signal-transducing adaptor protein 1</t>
  </si>
  <si>
    <t>Apoptosis-associated speck-like protein containing a CARD</t>
  </si>
  <si>
    <t>Isoform 2 of Apoptosis-associated speck-like protein containing a CARD</t>
  </si>
  <si>
    <t>Anaphase-promoting complex subunit 10</t>
  </si>
  <si>
    <t>Isoform 6 of Unconventional myosin-VI</t>
  </si>
  <si>
    <t>Intercellular adhesion molecule 5</t>
  </si>
  <si>
    <t>Histone-lysine N-methyltransferase MLL4</t>
  </si>
  <si>
    <t>ATP-dependent RNA helicase DDX19B</t>
  </si>
  <si>
    <t>Isoform 3 of NFU1 iron-sulfur cluster scaffold homolog, mitochondrial</t>
  </si>
  <si>
    <t>Pre-mRNA-processing factor 19</t>
  </si>
  <si>
    <t>Ubiquilin-1</t>
  </si>
  <si>
    <t>Neudesin</t>
  </si>
  <si>
    <t>Nucleolar protein 7</t>
  </si>
  <si>
    <t>Isoform 2 of Sorting nexin-12</t>
  </si>
  <si>
    <t>Isoform 4 of Synergin gamma</t>
  </si>
  <si>
    <t>Isoform 2 of Protein NDRG2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</si>
  <si>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</si>
  <si>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</si>
  <si>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</si>
  <si>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</si>
  <si>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</si>
  <si>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</si>
  <si>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Isoform 8 of Inhibitor of growth protein 4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</si>
  <si>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</si>
  <si>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</si>
  <si>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</si>
  <si>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</si>
  <si>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</si>
  <si>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</si>
  <si>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</si>
  <si>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Multiple inositol polyphosphate phosphatase 1</t>
  </si>
  <si>
    <t>Isoform 2 of Transcription termination factor 2</t>
  </si>
  <si>
    <t>NSFL1 cofactor p47</t>
  </si>
  <si>
    <t>Leydig cell tumor 10 kDa protein homolog</t>
  </si>
  <si>
    <t>Conserved oligomeric Golgi complex subunit 5</t>
  </si>
  <si>
    <t>Protein bassoon</t>
  </si>
  <si>
    <t>AP-4 complex subunit epsilon-1</t>
  </si>
  <si>
    <t>Isoform 3 of 5-azacytidine-induced protein 1</t>
  </si>
  <si>
    <t>Protein SCAF8</t>
  </si>
  <si>
    <t>Serine/threonine-protein phosphatase 6 regulatory subunit 1</t>
  </si>
  <si>
    <t>E3 ubiquitin-protein ligase TRIM33</t>
  </si>
  <si>
    <t>Isoform 2 of Uncharacterized protein KIAA1107</t>
  </si>
  <si>
    <t>Isoform 2 of Arf-GAP with GTPase, ANK repeat and PH domain-containing protein 1</t>
  </si>
  <si>
    <t>Isoform 2 of Trinucleotide repeat-containing gene 6B protein</t>
  </si>
  <si>
    <t>Inactive phospholipase C-like protein 2</t>
  </si>
  <si>
    <t>Protein SMG5</t>
  </si>
  <si>
    <t>Histone-lysine N-methyltransferase SETD1B</t>
  </si>
  <si>
    <t>Isoform 2 of Exocyst complex component 7</t>
  </si>
  <si>
    <t>Zinc finger CCCH domain-containing protein 4</t>
  </si>
  <si>
    <t>Ubiquitin carboxyl-terminal hydrolase 22</t>
  </si>
  <si>
    <t>VPS10 domain-containing receptor SorCS3</t>
  </si>
  <si>
    <t>Ubiquitin carboxyl-terminal hydrolase 24</t>
  </si>
  <si>
    <t>TBC1 domain family member 2B</t>
  </si>
  <si>
    <t>Isoform 2 of Centrosomal protein of 164 kDa</t>
  </si>
  <si>
    <t>Cytosolic carboxypeptidase 1</t>
  </si>
  <si>
    <t>Endoribonuclease Dicer</t>
  </si>
  <si>
    <t>Microtubule-associated protein RP/EB family member 3</t>
  </si>
  <si>
    <t>Isoform 2 of Microtubule-associated protein RP/EB family member 3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</si>
  <si>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</si>
  <si>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</si>
  <si>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</si>
  <si>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</si>
  <si>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Isoform 2 of Exonuclease 1</t>
  </si>
  <si>
    <t>Isoform 3 of Brain-specific angiogenesis inhibitor 1-associated protein 2</t>
  </si>
  <si>
    <t>Isoform 2 of GRB2-associated-binding protein 2</t>
  </si>
  <si>
    <t>Structural maintenance of chromosomes protein 3</t>
  </si>
  <si>
    <t>Histone deacetylase 5</t>
  </si>
  <si>
    <t>SH2B adapter protein 3</t>
  </si>
  <si>
    <t>Sex comb on midleg-like protein 2</t>
  </si>
  <si>
    <t>Zinc finger protein 148</t>
  </si>
  <si>
    <t>Myotubularin-related protein 6</t>
  </si>
  <si>
    <t>Isoform 2 of 60S ribosome subunit biogenesis protein NIP7 homolog</t>
  </si>
  <si>
    <t>Isoform 5 of Cyclin-D-binding Myb-like transcription factor 1</t>
  </si>
  <si>
    <t>Bifunctional UDP-N-acetylglucosamine 2-epimerase/N-acetylmannosamine kinase</t>
  </si>
  <si>
    <t>UPF0568 protein C14orf166</t>
  </si>
  <si>
    <t>RuvB-like 2</t>
  </si>
  <si>
    <t>Isoform 2 of Chromodomain Y-like protein</t>
  </si>
  <si>
    <t>Isoform 3 of Chromodomain Y-like protein</t>
  </si>
  <si>
    <t>Peptidyl-prolyl cis-trans isomerase NIMA-interacting 4</t>
  </si>
  <si>
    <t>Proteasome maturation protein</t>
  </si>
  <si>
    <t>DNA replication complex GINS protein PSF2</t>
  </si>
  <si>
    <t>Choline/ethanolamine kinase</t>
  </si>
  <si>
    <t>Eukaryotic translation initiation factor 3 subunit L</t>
  </si>
  <si>
    <t>Phospholipase A-2-activating protein</t>
  </si>
  <si>
    <t>RuvB-like 1</t>
  </si>
  <si>
    <t>Nuclear migration protein nudC</t>
  </si>
  <si>
    <t>Voltage-dependent anion-selective channel protein 3</t>
  </si>
  <si>
    <t>Isoform 3 of Cofilin-2</t>
  </si>
  <si>
    <t>Phenylalanine--tRNA ligase alpha subunit</t>
  </si>
  <si>
    <t>Sodium-dependent multivitamin transporter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</si>
  <si>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</si>
  <si>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</si>
  <si>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</si>
  <si>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</si>
  <si>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</si>
  <si>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Uncharacterized protein KIAA0947</t>
  </si>
  <si>
    <t>Isoform 4 of Caspase recruitment domain-containing protein 8</t>
  </si>
  <si>
    <t>Isoform 3 of Disks large-associated protein 4</t>
  </si>
  <si>
    <t>Serine/threonine-protein kinase 38-like</t>
  </si>
  <si>
    <t>Pleckstrin homology domain-containing family A member 6</t>
  </si>
  <si>
    <t>Nischarin</t>
  </si>
  <si>
    <t>1-phosphatidylinositol 3-phosphate 5-kinase</t>
  </si>
  <si>
    <t>WD repeat-containing protein 37</t>
  </si>
  <si>
    <t>Isoform B of Band 4.1-like protein 3</t>
  </si>
  <si>
    <t>Isoform 2 of Zinc finger and BTB domain-containing protein 1</t>
  </si>
  <si>
    <t>Serine/threonine-protein kinase SIK3</t>
  </si>
  <si>
    <t>Lysine-specific demethylase 2A</t>
  </si>
  <si>
    <t>Exosome complex exonuclease RRP44</t>
  </si>
  <si>
    <t>Isoform 2 of Leucine-rich repeat and calponin homology domain-containing protein 1</t>
  </si>
  <si>
    <t>RNA 3-terminal phosphate cyclase-like protein</t>
  </si>
  <si>
    <t>Glutathione S-transferase kappa 1</t>
  </si>
  <si>
    <t>Ragulator complex protein LAMTOR2</t>
  </si>
  <si>
    <t>Probable ATP-dependent RNA helicase DDX52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</si>
  <si>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</si>
  <si>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</si>
  <si>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</si>
  <si>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</si>
  <si>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</si>
  <si>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Y-box-binding protein 2</t>
  </si>
  <si>
    <t>Mitogen-activated protein kinase kinase kinase 2</t>
  </si>
  <si>
    <t>Inner nuclear membrane protein Man1</t>
  </si>
  <si>
    <t>Isoform 2 of Uncharacterized protein C15orf41</t>
  </si>
  <si>
    <t>Calcium-regulated heat stable protein 1</t>
  </si>
  <si>
    <t>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</si>
  <si>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</si>
  <si>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</si>
  <si>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</si>
  <si>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</si>
  <si>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DNA-directed RNA polymerase III subunit RPC10</t>
  </si>
  <si>
    <t>Krueppel-like factor 13</t>
  </si>
  <si>
    <t>Suppressor of G2 allele of SKP1 homolog</t>
  </si>
  <si>
    <t>Isoform 2 of Suppressor of G2 allele of SKP1 homolog</t>
  </si>
  <si>
    <t>Tyrosine--tRNA ligase, mitochondrial</t>
  </si>
  <si>
    <t>Putative N-acetylglucosamine-6-phosphate deacetylase</t>
  </si>
  <si>
    <t>Protein AAR2 homolog</t>
  </si>
  <si>
    <t>Nitric oxide synthase-interacting protein</t>
  </si>
  <si>
    <t>Putative deoxyribose-phosphate aldolase</t>
  </si>
  <si>
    <t>Protein MEMO1</t>
  </si>
  <si>
    <t>Zinc finger and BTB domain-containing protein 12</t>
  </si>
  <si>
    <t>U6 snRNA-associated Sm-like protein LSm2</t>
  </si>
  <si>
    <t>Isoform 2 of Sorting nexin-24</t>
  </si>
  <si>
    <t>Endophilin-B1</t>
  </si>
  <si>
    <t>Calcium-binding protein 39</t>
  </si>
  <si>
    <t>Putative RNA-binding protein Luc7-like 2</t>
  </si>
  <si>
    <t>Ubiquitin-conjugating enzyme E2 J1</t>
  </si>
  <si>
    <t>RNA-binding motif protein, X-linked 2</t>
  </si>
  <si>
    <t>28S ribosomal protein S2, mitochondrial</t>
  </si>
  <si>
    <t>Probable U3 small nucleolar RNA-associated protein 11</t>
  </si>
  <si>
    <t>Isoform 2 of MOB-like protein phocein</t>
  </si>
  <si>
    <t>Ribosome maturation protein SBDS</t>
  </si>
  <si>
    <t>Exosome complex component CSL4</t>
  </si>
  <si>
    <t>Isoform 2 of Transmembrane emp24 domain-containing protein 7</t>
  </si>
  <si>
    <t>Pre-mRNA branch site protein p14</t>
  </si>
  <si>
    <t>39S ribosomal protein L11, mitochondrial</t>
  </si>
  <si>
    <t>RRP15-like protein</t>
  </si>
  <si>
    <t>Nucleolar protein 16</t>
  </si>
  <si>
    <t>Isoform 2 of TP53RK-binding protein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</si>
  <si>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</si>
  <si>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</si>
  <si>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</si>
  <si>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</si>
  <si>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</si>
  <si>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</si>
  <si>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</si>
  <si>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</si>
  <si>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</si>
  <si>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Peptidyl-tRNA hydrolase 2, mitochondrial</t>
  </si>
  <si>
    <t>Charged multivesicular body protein 3</t>
  </si>
  <si>
    <t>Serine-threonine kinase receptor-associated protein</t>
  </si>
  <si>
    <t>tRNA-splicing ligase RtcB homolog</t>
  </si>
  <si>
    <t>F-box only protein 7</t>
  </si>
  <si>
    <t>Rab GTPase-activating protein 1</t>
  </si>
  <si>
    <t>TSC22 domain family protein 4</t>
  </si>
  <si>
    <t>Isoform 2 of Protein dopey-2</t>
  </si>
  <si>
    <t>Zinc finger protein 330</t>
  </si>
  <si>
    <t>R3H and coiled-coil domain-containing protein 1</t>
  </si>
  <si>
    <t>Nucleolar complex protein 2 homolog</t>
  </si>
  <si>
    <t>60S ribosomal protein L36</t>
  </si>
  <si>
    <t>Isoform 2 of RWD domain-containing protein 3</t>
  </si>
  <si>
    <t>Coiled-coil domain-containing protein 9</t>
  </si>
  <si>
    <t>Isoform 3 of Chromatin target of PRMT1 protein</t>
  </si>
  <si>
    <t>Isoform 4 of Deoxynucleoside triphosphate triphosphohydrolase SAMHD1</t>
  </si>
  <si>
    <t>Plakophilin-3</t>
  </si>
  <si>
    <t>Small kinetochore-associated protein</t>
  </si>
  <si>
    <t>HBS1-like protein</t>
  </si>
  <si>
    <t>Isoform 2 of HBS1-like protein</t>
  </si>
  <si>
    <t>5-AMP-activated protein kinase subunit beta-1</t>
  </si>
  <si>
    <t>Isoform 3 of Metal-response element-binding transcription factor 2</t>
  </si>
  <si>
    <t>DmX-like protein 1</t>
  </si>
  <si>
    <t>Talin-1</t>
  </si>
  <si>
    <t>Kinesin-like protein KIF3A</t>
  </si>
  <si>
    <t>Isoform 2 of Transformation/transcription domain-associated protein</t>
  </si>
  <si>
    <t>Helicase ARIP4</t>
  </si>
  <si>
    <t>Protein VPRBP</t>
  </si>
  <si>
    <t>Lysine-specific demethylase 3A</t>
  </si>
  <si>
    <t>Isoform 2 of Protein FAM115A</t>
  </si>
  <si>
    <t>Isoform 2 of Zinc finger protein 451</t>
  </si>
  <si>
    <t>Isoform 3 of Zinc finger protein 451</t>
  </si>
  <si>
    <t>Ubiquitin carboxyl-terminal hydrolase 15</t>
  </si>
  <si>
    <t>Isoform 2 of Meiosis arrest female protein 1</t>
  </si>
  <si>
    <t>Talin-2</t>
  </si>
  <si>
    <t>Rap guanine nucleotide exchange factor 2</t>
  </si>
  <si>
    <t>Insulin receptor substrate 2</t>
  </si>
  <si>
    <t>Isoform 2 of Unconventional myosin-Va</t>
  </si>
  <si>
    <t>Tesmin</t>
  </si>
  <si>
    <t>Absent in melanoma 1 protein</t>
  </si>
  <si>
    <t>TNF receptor-associated factor 6</t>
  </si>
  <si>
    <t>Mitogen-activated protein kinase kinase kinase kinase 5</t>
  </si>
  <si>
    <t>Hypoxia up-regulated protein 1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</si>
  <si>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</si>
  <si>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</si>
  <si>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</si>
  <si>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</si>
  <si>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Isoform 2 of Ribosomal biogenesis protein LAS1L</t>
  </si>
  <si>
    <t>AFG3-like protein 2</t>
  </si>
  <si>
    <t>AMME syndrome candidate gene 1 protein</t>
  </si>
  <si>
    <t>E3 ubiquitin-protein ligase ARIH1</t>
  </si>
  <si>
    <t>U6 snRNA-associated Sm-like protein LSm4</t>
  </si>
  <si>
    <t>RING finger protein 114</t>
  </si>
  <si>
    <t>Isoform 4 of Protein PRRC2C</t>
  </si>
  <si>
    <t>DNA-directed RNA polymerase III subunit RPC8</t>
  </si>
  <si>
    <t>Heat shock protein beta-11</t>
  </si>
  <si>
    <t>Protein phosphatase methylesterase 1</t>
  </si>
  <si>
    <t>RNA-binding protein 7</t>
  </si>
  <si>
    <t>Isoform 2 of Centrosomal protein of 83 kDa</t>
  </si>
  <si>
    <t>Isoform 2 of BTB/POZ domain-containing protein KCTD3</t>
  </si>
  <si>
    <t>Zinc finger and SCAN domain-containing protein 21</t>
  </si>
  <si>
    <t>Isoform 2 of NEDD8 ultimate buster 1</t>
  </si>
  <si>
    <t>YTH domain family protein 2</t>
  </si>
  <si>
    <t>RNA polymerase II subunit A C-terminal domain phosphatase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</si>
  <si>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</si>
  <si>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</si>
  <si>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</si>
  <si>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</si>
  <si>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</si>
  <si>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</si>
  <si>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Mitochondrial import inner membrane translocase subunit Tim8 B</t>
  </si>
  <si>
    <t>Isoform 2 of Ubiquitin carboxyl-terminal hydrolase isozyme L5</t>
  </si>
  <si>
    <t>CD2-associated protein</t>
  </si>
  <si>
    <t>V-type proton ATPase subunit D</t>
  </si>
  <si>
    <t>Transportin-3</t>
  </si>
  <si>
    <t>Mitochondrial import inner membrane translocase subunit Tim13</t>
  </si>
  <si>
    <t>Signal recognition particle receptor subunit beta</t>
  </si>
  <si>
    <t>HemK methyltransferase family member 2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</si>
  <si>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</si>
  <si>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</si>
  <si>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</si>
  <si>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</si>
  <si>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</si>
  <si>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</si>
  <si>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</si>
  <si>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</si>
  <si>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Protein TSSC4</t>
  </si>
  <si>
    <t>Zinc finger protein 706</t>
  </si>
  <si>
    <t>Sorting nexin-9</t>
  </si>
  <si>
    <t>Sorting nexin-8</t>
  </si>
  <si>
    <t>Sorting nexin-5</t>
  </si>
  <si>
    <t>Cytosolic Fe-S cluster assembly factor NUBP2</t>
  </si>
  <si>
    <t>Heme-binding protein 2</t>
  </si>
  <si>
    <t>Cysteine sulfinic acid decarboxylase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</si>
  <si>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</si>
  <si>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</si>
  <si>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</si>
  <si>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</si>
  <si>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Carboxypeptidase Q</t>
  </si>
  <si>
    <t>Transcription factor SOX-21</t>
  </si>
  <si>
    <t>Spindlin-1</t>
  </si>
  <si>
    <t>Coatomer subunit gamma-1</t>
  </si>
  <si>
    <t>Ancient ubiquitous protein 1</t>
  </si>
  <si>
    <t>Isoform 3 of Peptidyl-prolyl cis-trans isomerase FKBP7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</si>
  <si>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</si>
  <si>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</si>
  <si>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</si>
  <si>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</si>
  <si>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</si>
  <si>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</si>
  <si>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AP-4 complex subunit beta-1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</si>
  <si>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</si>
  <si>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</si>
  <si>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</si>
  <si>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</si>
  <si>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</si>
  <si>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COMM domain-containing protein 10</t>
  </si>
  <si>
    <t>Cytoplasmic dynein 1 light intermediate chain 1</t>
  </si>
  <si>
    <t>Coiled-coil-helix-coiled-coil-helix domain-containing protein 2, mitochondrial</t>
  </si>
  <si>
    <t>Epsin-1</t>
  </si>
  <si>
    <t>Ubiquitin carboxyl-terminal hydrolase 3</t>
  </si>
  <si>
    <t>Testis-expressed sequence 264 protein</t>
  </si>
  <si>
    <t>TAF6-like RNA polymerase II p300/CBP-associated factor-associated factor 65 kDa subunit 6L</t>
  </si>
  <si>
    <t>Choline/ethanolaminephosphotransferase 1</t>
  </si>
  <si>
    <t>DNA (cytosine-5)-methyltransferase 3A</t>
  </si>
  <si>
    <t>NF-kappa-B essential modulator</t>
  </si>
  <si>
    <t>Isoform 2 of Insulin-like growth factor 2 mRNA-binding protein 2</t>
  </si>
  <si>
    <t>Isoform 3 of Casein kinase I isoform gamma-3</t>
  </si>
  <si>
    <t>Zinc transporter 1</t>
  </si>
  <si>
    <t>Isoform 6 of Sodium bicarbonate cotransporter 3</t>
  </si>
  <si>
    <t>Isoform 5 of Nuclear receptor coactivator 3</t>
  </si>
  <si>
    <t>Probable ATP-dependent RNA helicase DDX49</t>
  </si>
  <si>
    <t>Calpain-7</t>
  </si>
  <si>
    <t>Wiskott-Aldrich syndrome protein family member 2</t>
  </si>
  <si>
    <t>MORC family CW-type zinc finger protein 2</t>
  </si>
  <si>
    <t>Motile sperm domain-containing protein 2</t>
  </si>
  <si>
    <t>26S proteasome non-ATPase regulatory subunit 8</t>
  </si>
  <si>
    <t>Polycomb complex protein BMI-1</t>
  </si>
  <si>
    <t>YTH domain family protein 3</t>
  </si>
  <si>
    <t>Acyl-CoA synthetase family member 4</t>
  </si>
  <si>
    <t>DENN domain-containing protein 4C</t>
  </si>
  <si>
    <t>E3 ubiquitin-protein ligase AMFR (Fragment)</t>
  </si>
  <si>
    <t>F-box only protein 2 (Fragment)</t>
  </si>
  <si>
    <t>26S protease regulatory subunit 6A</t>
  </si>
  <si>
    <t>Adrenocortical dysplasia protein homolog (Fragment)</t>
  </si>
  <si>
    <t>UBA6</t>
  </si>
  <si>
    <t>MED19</t>
  </si>
  <si>
    <t>UHRF1BP1L</t>
  </si>
  <si>
    <t>KIAA1598</t>
  </si>
  <si>
    <t>C17orf89</t>
  </si>
  <si>
    <t>NBAS</t>
  </si>
  <si>
    <t>TYW5</t>
  </si>
  <si>
    <t>FUOM</t>
  </si>
  <si>
    <t>SBNO1</t>
  </si>
  <si>
    <t>MBLAC1</t>
  </si>
  <si>
    <t>KRBA1</t>
  </si>
  <si>
    <t>TRAPPC13</t>
  </si>
  <si>
    <t>CNOT1</t>
  </si>
  <si>
    <t>BDP1</t>
  </si>
  <si>
    <t>PGP</t>
  </si>
  <si>
    <t>C5orf51</t>
  </si>
  <si>
    <t>ZNF275</t>
  </si>
  <si>
    <t>RCCD1</t>
  </si>
  <si>
    <t>OFD1</t>
  </si>
  <si>
    <t>ZNF281</t>
  </si>
  <si>
    <t>ZNF316</t>
  </si>
  <si>
    <t>NUDT5</t>
  </si>
  <si>
    <t>SDHAF1</t>
  </si>
  <si>
    <t>CHMP1A</t>
  </si>
  <si>
    <t>SPTAN1</t>
  </si>
  <si>
    <t>PRCC</t>
  </si>
  <si>
    <t>WIPF3</t>
  </si>
  <si>
    <t>CCDC160</t>
  </si>
  <si>
    <t>HN1L</t>
  </si>
  <si>
    <t>OBSCN</t>
  </si>
  <si>
    <t>GGT3P</t>
  </si>
  <si>
    <t>POLR3GL</t>
  </si>
  <si>
    <t>BTD</t>
  </si>
  <si>
    <t>SMCHD1</t>
  </si>
  <si>
    <t>GATSL2</t>
  </si>
  <si>
    <t>UNC119B</t>
  </si>
  <si>
    <t>CHCHD1</t>
  </si>
  <si>
    <t>NOC3L</t>
  </si>
  <si>
    <t>CCDC85C</t>
  </si>
  <si>
    <t>DIAPH2</t>
  </si>
  <si>
    <t>ANXA6</t>
  </si>
  <si>
    <t>FAM127A</t>
  </si>
  <si>
    <t>TBKBP1</t>
  </si>
  <si>
    <t>POM121C</t>
  </si>
  <si>
    <t>ITSN1</t>
  </si>
  <si>
    <t>EOGT</t>
  </si>
  <si>
    <t>SFI1</t>
  </si>
  <si>
    <t>YDJC</t>
  </si>
  <si>
    <t>FMR1</t>
  </si>
  <si>
    <t>LYRM9</t>
  </si>
  <si>
    <t>GSK3A</t>
  </si>
  <si>
    <t>DSCR3</t>
  </si>
  <si>
    <t>S100PBP</t>
  </si>
  <si>
    <t>HOOK1</t>
  </si>
  <si>
    <t>IVNS1ABP</t>
  </si>
  <si>
    <t>FAM171A2</t>
  </si>
  <si>
    <t>ARHGEF33</t>
  </si>
  <si>
    <t>BICD1</t>
  </si>
  <si>
    <t>ERCC2</t>
  </si>
  <si>
    <t>RCN2</t>
  </si>
  <si>
    <t>MATR3</t>
  </si>
  <si>
    <t>NUDT19</t>
  </si>
  <si>
    <t>POP4</t>
  </si>
  <si>
    <t>SRRM1</t>
  </si>
  <si>
    <t>PFKFB2</t>
  </si>
  <si>
    <t>DNAL4</t>
  </si>
  <si>
    <t>CBX6</t>
  </si>
  <si>
    <t>KIAA0930</t>
  </si>
  <si>
    <t>TBC1D22A</t>
  </si>
  <si>
    <t>BAG6</t>
  </si>
  <si>
    <t>EHMT2</t>
  </si>
  <si>
    <t>TPST2</t>
  </si>
  <si>
    <t>CENPM</t>
  </si>
  <si>
    <t>PSMD10</t>
  </si>
  <si>
    <t>HMGCL</t>
  </si>
  <si>
    <t>PIGK</t>
  </si>
  <si>
    <t>CAPZB</t>
  </si>
  <si>
    <t>CROCC</t>
  </si>
  <si>
    <t>EIF4ENIF1</t>
  </si>
  <si>
    <t>NFIA</t>
  </si>
  <si>
    <t>FAM178A</t>
  </si>
  <si>
    <t>CDC37L1</t>
  </si>
  <si>
    <t>ZDHHC16</t>
  </si>
  <si>
    <t>EIF4G3</t>
  </si>
  <si>
    <t>PRSS3</t>
  </si>
  <si>
    <t>GUK1</t>
  </si>
  <si>
    <t>ROR2</t>
  </si>
  <si>
    <t>FGF13</t>
  </si>
  <si>
    <t>TXNRD1</t>
  </si>
  <si>
    <t>ACTN2</t>
  </si>
  <si>
    <t>ZCCHC2</t>
  </si>
  <si>
    <t>JMJD6</t>
  </si>
  <si>
    <t>GLE1</t>
  </si>
  <si>
    <t>CCDC92</t>
  </si>
  <si>
    <t>TRIM16</t>
  </si>
  <si>
    <t>STAMBPL1</t>
  </si>
  <si>
    <t>LZTFL1</t>
  </si>
  <si>
    <t>DCLRE1C</t>
  </si>
  <si>
    <t>SLC30A6</t>
  </si>
  <si>
    <t>SOD2</t>
  </si>
  <si>
    <t>PHF23</t>
  </si>
  <si>
    <t>CENPH</t>
  </si>
  <si>
    <t>DDX58</t>
  </si>
  <si>
    <t>RXRA</t>
  </si>
  <si>
    <t>CNN2</t>
  </si>
  <si>
    <t>NDUFV1</t>
  </si>
  <si>
    <t>NSF</t>
  </si>
  <si>
    <t>DEK</t>
  </si>
  <si>
    <t>MRPS18B</t>
  </si>
  <si>
    <t>IDH2</t>
  </si>
  <si>
    <t>CTNNB1</t>
  </si>
  <si>
    <t>PIP4K2A</t>
  </si>
  <si>
    <t>MAP1S</t>
  </si>
  <si>
    <t>EIF2AK1</t>
  </si>
  <si>
    <t>NCOR1</t>
  </si>
  <si>
    <t>TDRKH</t>
  </si>
  <si>
    <t>RAB5A</t>
  </si>
  <si>
    <t>SNRPD3</t>
  </si>
  <si>
    <t>CS</t>
  </si>
  <si>
    <t>TOP3A</t>
  </si>
  <si>
    <t>ZNF286A</t>
  </si>
  <si>
    <t>LSR</t>
  </si>
  <si>
    <t>EPS8L1</t>
  </si>
  <si>
    <t>CHURC1-FNTB</t>
  </si>
  <si>
    <t>CRYBG3</t>
  </si>
  <si>
    <t>NQO1</t>
  </si>
  <si>
    <t>RPS6KB1</t>
  </si>
  <si>
    <t>SHMT2</t>
  </si>
  <si>
    <t>RNF220</t>
  </si>
  <si>
    <t>RNF185</t>
  </si>
  <si>
    <t>EYA3</t>
  </si>
  <si>
    <t>PTGES3</t>
  </si>
  <si>
    <t>MKRN2</t>
  </si>
  <si>
    <t>TOX4</t>
  </si>
  <si>
    <t>ACADSB</t>
  </si>
  <si>
    <t>HDAC8</t>
  </si>
  <si>
    <t>RANBP10</t>
  </si>
  <si>
    <t>PGD</t>
  </si>
  <si>
    <t>NAA40</t>
  </si>
  <si>
    <t>ALG5</t>
  </si>
  <si>
    <t>ASB6</t>
  </si>
  <si>
    <t>DCP1B</t>
  </si>
  <si>
    <t>SEMA3C</t>
  </si>
  <si>
    <t>CHM</t>
  </si>
  <si>
    <t>SIMC1</t>
  </si>
  <si>
    <t>SH2D3A</t>
  </si>
  <si>
    <t>SRPK1</t>
  </si>
  <si>
    <t>MAP3K11</t>
  </si>
  <si>
    <t>KIAA0513</t>
  </si>
  <si>
    <t>WDR41</t>
  </si>
  <si>
    <t>ANXA7</t>
  </si>
  <si>
    <t>LIG1</t>
  </si>
  <si>
    <t>SLC9A1</t>
  </si>
  <si>
    <t>CLYBL</t>
  </si>
  <si>
    <t>EIF3J</t>
  </si>
  <si>
    <t>RBKS</t>
  </si>
  <si>
    <t>ANXA11</t>
  </si>
  <si>
    <t>EIF3D</t>
  </si>
  <si>
    <t>NUBPL</t>
  </si>
  <si>
    <t>ARL1</t>
  </si>
  <si>
    <t>CLPB</t>
  </si>
  <si>
    <t>FXR1</t>
  </si>
  <si>
    <t>SENP5</t>
  </si>
  <si>
    <t>NUP35</t>
  </si>
  <si>
    <t>HDAC6</t>
  </si>
  <si>
    <t>TK2</t>
  </si>
  <si>
    <t>PHF6</t>
  </si>
  <si>
    <t>PNPO</t>
  </si>
  <si>
    <t>MSANTD2</t>
  </si>
  <si>
    <t>RIOK3</t>
  </si>
  <si>
    <t>SFRS3</t>
  </si>
  <si>
    <t>LAMP2</t>
  </si>
  <si>
    <t>STOM</t>
  </si>
  <si>
    <t>HADHB</t>
  </si>
  <si>
    <t>METTL13</t>
  </si>
  <si>
    <t>IGFBP4</t>
  </si>
  <si>
    <t>DVL3</t>
  </si>
  <si>
    <t>RRN3</t>
  </si>
  <si>
    <t>ELP4</t>
  </si>
  <si>
    <t>JMJD7</t>
  </si>
  <si>
    <t>LIMK2</t>
  </si>
  <si>
    <t>PES1</t>
  </si>
  <si>
    <t>TEAD3</t>
  </si>
  <si>
    <t>DGCR6L</t>
  </si>
  <si>
    <t>R3HDM2</t>
  </si>
  <si>
    <t>ERCC6L</t>
  </si>
  <si>
    <t>CWC22</t>
  </si>
  <si>
    <t>CECR2</t>
  </si>
  <si>
    <t>PIGT</t>
  </si>
  <si>
    <t>PDIA6</t>
  </si>
  <si>
    <t>KLHL22</t>
  </si>
  <si>
    <t>BCAP29</t>
  </si>
  <si>
    <t>TTC26</t>
  </si>
  <si>
    <t>ENO2</t>
  </si>
  <si>
    <t>ZNF346</t>
  </si>
  <si>
    <t>PDE1A</t>
  </si>
  <si>
    <t>GAB1</t>
  </si>
  <si>
    <t>ALAD</t>
  </si>
  <si>
    <t>DNASE2</t>
  </si>
  <si>
    <t>ERF</t>
  </si>
  <si>
    <t>TNFRSF10B</t>
  </si>
  <si>
    <t>STMN3</t>
  </si>
  <si>
    <t>ZNF747</t>
  </si>
  <si>
    <t>WARS2</t>
  </si>
  <si>
    <t>ARMC8</t>
  </si>
  <si>
    <t>DECR1</t>
  </si>
  <si>
    <t>DGKZ</t>
  </si>
  <si>
    <t>CNN1</t>
  </si>
  <si>
    <t>PDK1</t>
  </si>
  <si>
    <t>USP7</t>
  </si>
  <si>
    <t>SLC2A14</t>
  </si>
  <si>
    <t>B3GAT3</t>
  </si>
  <si>
    <t>GALK2</t>
  </si>
  <si>
    <t>PPP2R5E</t>
  </si>
  <si>
    <t>UBXN2A</t>
  </si>
  <si>
    <t>AP3B2</t>
  </si>
  <si>
    <t>SOS2</t>
  </si>
  <si>
    <t>CPEB4</t>
  </si>
  <si>
    <t>WIZ</t>
  </si>
  <si>
    <t>CCDC115</t>
  </si>
  <si>
    <t>LSM5</t>
  </si>
  <si>
    <t>EIF4E2</t>
  </si>
  <si>
    <t>RPL31</t>
  </si>
  <si>
    <t>PTMA</t>
  </si>
  <si>
    <t>ATF2</t>
  </si>
  <si>
    <t>TCEB2</t>
  </si>
  <si>
    <t>C7orf41</t>
  </si>
  <si>
    <t>USP39</t>
  </si>
  <si>
    <t>COA5</t>
  </si>
  <si>
    <t>PLCB2</t>
  </si>
  <si>
    <t>RBM12B</t>
  </si>
  <si>
    <t>DNPEP</t>
  </si>
  <si>
    <t>WASH3P</t>
  </si>
  <si>
    <t>MAZ</t>
  </si>
  <si>
    <t>MED30S</t>
  </si>
  <si>
    <t>ASNSD1</t>
  </si>
  <si>
    <t>PSMD6</t>
  </si>
  <si>
    <t>ARHGAP19</t>
  </si>
  <si>
    <t>CHMP2B</t>
  </si>
  <si>
    <t>ZC3HC1</t>
  </si>
  <si>
    <t>SRI</t>
  </si>
  <si>
    <t>RNF181</t>
  </si>
  <si>
    <t>ADCY1</t>
  </si>
  <si>
    <t>WDR91</t>
  </si>
  <si>
    <t>UBE2F</t>
  </si>
  <si>
    <t>UBE2E1</t>
  </si>
  <si>
    <t>POLR2B</t>
  </si>
  <si>
    <t>CMSS1</t>
  </si>
  <si>
    <t>SSR1</t>
  </si>
  <si>
    <t>RCC1</t>
  </si>
  <si>
    <t>ZNF639</t>
  </si>
  <si>
    <t>C2orf49</t>
  </si>
  <si>
    <t>CREB1</t>
  </si>
  <si>
    <t>PDCD10</t>
  </si>
  <si>
    <t>LIN9</t>
  </si>
  <si>
    <t>TAGLN3</t>
  </si>
  <si>
    <t>FANCB</t>
  </si>
  <si>
    <t>UFD1L</t>
  </si>
  <si>
    <t>HDAC10</t>
  </si>
  <si>
    <t>CDCA7L</t>
  </si>
  <si>
    <t>GTPBP10</t>
  </si>
  <si>
    <t>RPSA</t>
  </si>
  <si>
    <t>BBX</t>
  </si>
  <si>
    <t>ZNF467</t>
  </si>
  <si>
    <t>BSDC1</t>
  </si>
  <si>
    <t>DIAPH3</t>
  </si>
  <si>
    <t>TMUB1</t>
  </si>
  <si>
    <t>NCOR2</t>
  </si>
  <si>
    <t>GPS1</t>
  </si>
  <si>
    <t>BAG3</t>
  </si>
  <si>
    <t>ACTG2</t>
  </si>
  <si>
    <t>STX4</t>
  </si>
  <si>
    <t>CYCS</t>
  </si>
  <si>
    <t>ATAD2B</t>
  </si>
  <si>
    <t>AAMP</t>
  </si>
  <si>
    <t>NELFA</t>
  </si>
  <si>
    <t>EP400NL</t>
  </si>
  <si>
    <t>GNB2</t>
  </si>
  <si>
    <t>MYADM</t>
  </si>
  <si>
    <t>POLR2H</t>
  </si>
  <si>
    <t>AP4M1</t>
  </si>
  <si>
    <t>OARD1</t>
  </si>
  <si>
    <t>HSPBP1</t>
  </si>
  <si>
    <t>ZNF746</t>
  </si>
  <si>
    <t>MBNL1</t>
  </si>
  <si>
    <t>USP42</t>
  </si>
  <si>
    <t>CCNL1</t>
  </si>
  <si>
    <t>NKIRAS2</t>
  </si>
  <si>
    <t>CCDC58</t>
  </si>
  <si>
    <t>NME6</t>
  </si>
  <si>
    <t>STK11IP</t>
  </si>
  <si>
    <t>SATB2</t>
  </si>
  <si>
    <t>NDUFAF7</t>
  </si>
  <si>
    <t>NABP2</t>
  </si>
  <si>
    <t>IKZF2</t>
  </si>
  <si>
    <t>HARS2</t>
  </si>
  <si>
    <t>SACM1L</t>
  </si>
  <si>
    <t>FOXJ3</t>
  </si>
  <si>
    <t>TRIM22</t>
  </si>
  <si>
    <t>RPL24</t>
  </si>
  <si>
    <t>DNAJB2</t>
  </si>
  <si>
    <t>RANBP1</t>
  </si>
  <si>
    <t>NUDT22</t>
  </si>
  <si>
    <t>FILIP1L</t>
  </si>
  <si>
    <t>POP7</t>
  </si>
  <si>
    <t>ARFGAP3</t>
  </si>
  <si>
    <t>PCBP4</t>
  </si>
  <si>
    <t>RAPH1</t>
  </si>
  <si>
    <t>RPL32</t>
  </si>
  <si>
    <t>KRI1</t>
  </si>
  <si>
    <t>PHF20L1</t>
  </si>
  <si>
    <t>NDOR1</t>
  </si>
  <si>
    <t>MRPS36</t>
  </si>
  <si>
    <t>RELB</t>
  </si>
  <si>
    <t>MND1</t>
  </si>
  <si>
    <t>MEF2C</t>
  </si>
  <si>
    <t>HNRNPAB</t>
  </si>
  <si>
    <t>MLF1IP</t>
  </si>
  <si>
    <t>POLR3G</t>
  </si>
  <si>
    <t>MAP1B</t>
  </si>
  <si>
    <t>SH3RF1</t>
  </si>
  <si>
    <t>DOK3</t>
  </si>
  <si>
    <t>RPL9</t>
  </si>
  <si>
    <t>NEIL3</t>
  </si>
  <si>
    <t>CXXC5</t>
  </si>
  <si>
    <t>OCIAD1</t>
  </si>
  <si>
    <t>STX18</t>
  </si>
  <si>
    <t>HSD17B11</t>
  </si>
  <si>
    <t>UBE3D</t>
  </si>
  <si>
    <t>RPS23</t>
  </si>
  <si>
    <t>ATG10</t>
  </si>
  <si>
    <t>IDUA</t>
  </si>
  <si>
    <t>FAM175A</t>
  </si>
  <si>
    <t>ZNF652</t>
  </si>
  <si>
    <t>CYB5B</t>
  </si>
  <si>
    <t>SEPT11</t>
  </si>
  <si>
    <t>UFSP2</t>
  </si>
  <si>
    <t>CENPK</t>
  </si>
  <si>
    <t>RNASET2</t>
  </si>
  <si>
    <t>TAF9</t>
  </si>
  <si>
    <t>MFSD10</t>
  </si>
  <si>
    <t>SNX14</t>
  </si>
  <si>
    <t>TRPC4AP</t>
  </si>
  <si>
    <t>MMS22L</t>
  </si>
  <si>
    <t>GMNN</t>
  </si>
  <si>
    <t>MRPL13</t>
  </si>
  <si>
    <t>NSMCE2</t>
  </si>
  <si>
    <t>IMPA1</t>
  </si>
  <si>
    <t>TMEM232</t>
  </si>
  <si>
    <t>ATOX1</t>
  </si>
  <si>
    <t>RWDD1</t>
  </si>
  <si>
    <t>STMN2</t>
  </si>
  <si>
    <t>TCEB1</t>
  </si>
  <si>
    <t>SORBS3</t>
  </si>
  <si>
    <t>RAD54B</t>
  </si>
  <si>
    <t>PSEN2</t>
  </si>
  <si>
    <t>TSNARE1</t>
  </si>
  <si>
    <t>ERLIN2</t>
  </si>
  <si>
    <t>RPL30</t>
  </si>
  <si>
    <t>TTI2</t>
  </si>
  <si>
    <t>CHCHD7</t>
  </si>
  <si>
    <t>AP3B1</t>
  </si>
  <si>
    <t>ZFAND1</t>
  </si>
  <si>
    <t>SKP1</t>
  </si>
  <si>
    <t>SGK3</t>
  </si>
  <si>
    <t>CETN3</t>
  </si>
  <si>
    <t>COPS6</t>
  </si>
  <si>
    <t>AKAP10</t>
  </si>
  <si>
    <t>ASAH1</t>
  </si>
  <si>
    <t>C3orf37</t>
  </si>
  <si>
    <t>UBR5</t>
  </si>
  <si>
    <t>NCSTN</t>
  </si>
  <si>
    <t>C12orf43</t>
  </si>
  <si>
    <t>CALCOCO2</t>
  </si>
  <si>
    <t>SYNE1</t>
  </si>
  <si>
    <t>CBLB</t>
  </si>
  <si>
    <t>DNAH9</t>
  </si>
  <si>
    <t>RPL14</t>
  </si>
  <si>
    <t>TOM1</t>
  </si>
  <si>
    <t>IBTK</t>
  </si>
  <si>
    <t>PDXDC1</t>
  </si>
  <si>
    <t>STXBP4</t>
  </si>
  <si>
    <t>NAA50</t>
  </si>
  <si>
    <t>EIF4A2</t>
  </si>
  <si>
    <t>TUBGCP6</t>
  </si>
  <si>
    <t>MKL1</t>
  </si>
  <si>
    <t>ERMP1</t>
  </si>
  <si>
    <t>MAST2</t>
  </si>
  <si>
    <t>HMGB3</t>
  </si>
  <si>
    <t>XPO7</t>
  </si>
  <si>
    <t>ANKRD26</t>
  </si>
  <si>
    <t>NDRG1</t>
  </si>
  <si>
    <t>ING3</t>
  </si>
  <si>
    <t>U2SURP</t>
  </si>
  <si>
    <t>TNIP1</t>
  </si>
  <si>
    <t>PCM1</t>
  </si>
  <si>
    <t>C1orf112</t>
  </si>
  <si>
    <t>RBMS1</t>
  </si>
  <si>
    <t>PLOD2</t>
  </si>
  <si>
    <t>BZW2</t>
  </si>
  <si>
    <t>CBFA2T3</t>
  </si>
  <si>
    <t>CSNK2A1</t>
  </si>
  <si>
    <t>NCAPG2</t>
  </si>
  <si>
    <t>G6PD</t>
  </si>
  <si>
    <t>NUP54</t>
  </si>
  <si>
    <t>MTA3</t>
  </si>
  <si>
    <t>ARFGAP1</t>
  </si>
  <si>
    <t>MAP4</t>
  </si>
  <si>
    <t>CYFIP2</t>
  </si>
  <si>
    <t>POR</t>
  </si>
  <si>
    <t>SALL2</t>
  </si>
  <si>
    <t>SEPT10</t>
  </si>
  <si>
    <t>EXOC6</t>
  </si>
  <si>
    <t>ASXL2</t>
  </si>
  <si>
    <t>NEK4</t>
  </si>
  <si>
    <t>RPL15</t>
  </si>
  <si>
    <t>RAVER1</t>
  </si>
  <si>
    <t>PDHX</t>
  </si>
  <si>
    <t>ALYREF</t>
  </si>
  <si>
    <t>MLLT10</t>
  </si>
  <si>
    <t>NWD1</t>
  </si>
  <si>
    <t>CELF2</t>
  </si>
  <si>
    <t>EIF2B5</t>
  </si>
  <si>
    <t>SMG7</t>
  </si>
  <si>
    <t>ANAPC4</t>
  </si>
  <si>
    <t>GUSB</t>
  </si>
  <si>
    <t>GOSR1</t>
  </si>
  <si>
    <t>SMC4</t>
  </si>
  <si>
    <t>CKAP2</t>
  </si>
  <si>
    <t>ARVCF</t>
  </si>
  <si>
    <t>CAST</t>
  </si>
  <si>
    <t>IFT122</t>
  </si>
  <si>
    <t>UNKL</t>
  </si>
  <si>
    <t>ICA1</t>
  </si>
  <si>
    <t>BPTF</t>
  </si>
  <si>
    <t>CDCA2</t>
  </si>
  <si>
    <t>PDPK1</t>
  </si>
  <si>
    <t>DIAPH1</t>
  </si>
  <si>
    <t>FAM193B</t>
  </si>
  <si>
    <t>NUP155</t>
  </si>
  <si>
    <t>ACSF2</t>
  </si>
  <si>
    <t>TBL2</t>
  </si>
  <si>
    <t>CEP192</t>
  </si>
  <si>
    <t>NOP14</t>
  </si>
  <si>
    <t>PPP2R5D</t>
  </si>
  <si>
    <t>CEP97</t>
  </si>
  <si>
    <t>TSN</t>
  </si>
  <si>
    <t>COPS8</t>
  </si>
  <si>
    <t>MED22</t>
  </si>
  <si>
    <t>PRDX3</t>
  </si>
  <si>
    <t>TTLL4</t>
  </si>
  <si>
    <t>STAU2</t>
  </si>
  <si>
    <t>CLEC3B</t>
  </si>
  <si>
    <t>LARS2</t>
  </si>
  <si>
    <t>SSFA2</t>
  </si>
  <si>
    <t>MERTK</t>
  </si>
  <si>
    <t>EPB41L2</t>
  </si>
  <si>
    <t>TBRG1</t>
  </si>
  <si>
    <t>HTATIP2</t>
  </si>
  <si>
    <t>GPSM3</t>
  </si>
  <si>
    <t>SF3B2</t>
  </si>
  <si>
    <t>C10orf137</t>
  </si>
  <si>
    <t>PHRF1</t>
  </si>
  <si>
    <t>UBXN1</t>
  </si>
  <si>
    <t>CYHR1</t>
  </si>
  <si>
    <t>BRMS1</t>
  </si>
  <si>
    <t>CD81</t>
  </si>
  <si>
    <t>C2CD2L</t>
  </si>
  <si>
    <t>TEAD1</t>
  </si>
  <si>
    <t>SNX19</t>
  </si>
  <si>
    <t>EIF4G2</t>
  </si>
  <si>
    <t>PRMT1</t>
  </si>
  <si>
    <t>TTC9C</t>
  </si>
  <si>
    <t>RPL8</t>
  </si>
  <si>
    <t>SPCS2</t>
  </si>
  <si>
    <t>NEDD8-MDP1</t>
  </si>
  <si>
    <t>MTFR1L</t>
  </si>
  <si>
    <t>NPEPPS</t>
  </si>
  <si>
    <t>RPL27A</t>
  </si>
  <si>
    <t>RNF141</t>
  </si>
  <si>
    <t>MACF1</t>
  </si>
  <si>
    <t>USP47</t>
  </si>
  <si>
    <t>C11orf58</t>
  </si>
  <si>
    <t>C11orf30</t>
  </si>
  <si>
    <t>USF1</t>
  </si>
  <si>
    <t>BIRC2</t>
  </si>
  <si>
    <t>CLNS1A</t>
  </si>
  <si>
    <t>FAM118B</t>
  </si>
  <si>
    <t>LMO7</t>
  </si>
  <si>
    <t>EBAG9</t>
  </si>
  <si>
    <t>ME3</t>
  </si>
  <si>
    <t>CD59</t>
  </si>
  <si>
    <t>EXPH5</t>
  </si>
  <si>
    <t>RRP8</t>
  </si>
  <si>
    <t>KBTBD4</t>
  </si>
  <si>
    <t>ZFPL1</t>
  </si>
  <si>
    <t>GAS2</t>
  </si>
  <si>
    <t>ACP2</t>
  </si>
  <si>
    <t>MAF1</t>
  </si>
  <si>
    <t>RPS6KA1</t>
  </si>
  <si>
    <t>WDR74</t>
  </si>
  <si>
    <t>ALKBH3</t>
  </si>
  <si>
    <t>STIL</t>
  </si>
  <si>
    <t>FAM120B</t>
  </si>
  <si>
    <t>IQGAP3</t>
  </si>
  <si>
    <t>TRMT11</t>
  </si>
  <si>
    <t>CPNE1</t>
  </si>
  <si>
    <t>FGGY</t>
  </si>
  <si>
    <t>XPO4</t>
  </si>
  <si>
    <t>ARRDC1</t>
  </si>
  <si>
    <t>GTF2H3</t>
  </si>
  <si>
    <t>CCDC53</t>
  </si>
  <si>
    <t>PIK3C2B</t>
  </si>
  <si>
    <t>JUP</t>
  </si>
  <si>
    <t>WNK1</t>
  </si>
  <si>
    <t>SMAD5</t>
  </si>
  <si>
    <t>FAM76B</t>
  </si>
  <si>
    <t>SLC25A13</t>
  </si>
  <si>
    <t>CDCA3</t>
  </si>
  <si>
    <t>DNMT1</t>
  </si>
  <si>
    <t>FRYL</t>
  </si>
  <si>
    <t>SUCLA2</t>
  </si>
  <si>
    <t>AKAP7</t>
  </si>
  <si>
    <t>ATE1</t>
  </si>
  <si>
    <t>LTBR</t>
  </si>
  <si>
    <t>STARD10</t>
  </si>
  <si>
    <t>PHB2</t>
  </si>
  <si>
    <t>FCGR2A</t>
  </si>
  <si>
    <t>GALNT1</t>
  </si>
  <si>
    <t>UNG</t>
  </si>
  <si>
    <t>RPS6KA3</t>
  </si>
  <si>
    <t>OTUB1</t>
  </si>
  <si>
    <t>MROH2B</t>
  </si>
  <si>
    <t>PXN</t>
  </si>
  <si>
    <t>FARP2</t>
  </si>
  <si>
    <t>DTL</t>
  </si>
  <si>
    <t>TPK1</t>
  </si>
  <si>
    <t>LDHA</t>
  </si>
  <si>
    <t>SPAG5</t>
  </si>
  <si>
    <t>ARHGAP4</t>
  </si>
  <si>
    <t>APLP2</t>
  </si>
  <si>
    <t>TRIM21</t>
  </si>
  <si>
    <t>ESRRA</t>
  </si>
  <si>
    <t>ANAPC5</t>
  </si>
  <si>
    <t>KSR1</t>
  </si>
  <si>
    <t>SEC23IP</t>
  </si>
  <si>
    <t>CLASRP</t>
  </si>
  <si>
    <t>ZNF384</t>
  </si>
  <si>
    <t>TXNRD2</t>
  </si>
  <si>
    <t>KIAA1211</t>
  </si>
  <si>
    <t>MLEC</t>
  </si>
  <si>
    <t>LRBA</t>
  </si>
  <si>
    <t>RAD51AP1</t>
  </si>
  <si>
    <t>CDKN3</t>
  </si>
  <si>
    <t>GBA</t>
  </si>
  <si>
    <t>ANKLE2</t>
  </si>
  <si>
    <t>KIAA1715</t>
  </si>
  <si>
    <t>XAB2</t>
  </si>
  <si>
    <t>SEC23A</t>
  </si>
  <si>
    <t>AMN1</t>
  </si>
  <si>
    <t>PTPRB</t>
  </si>
  <si>
    <t>RPAIN</t>
  </si>
  <si>
    <t>TSG101</t>
  </si>
  <si>
    <t>ANGEL2</t>
  </si>
  <si>
    <t>PRAME</t>
  </si>
  <si>
    <t>KPNA6</t>
  </si>
  <si>
    <t>PEX14</t>
  </si>
  <si>
    <t>VPS37C</t>
  </si>
  <si>
    <t>TJP3</t>
  </si>
  <si>
    <t>ACSBG1</t>
  </si>
  <si>
    <t>ZFPM2</t>
  </si>
  <si>
    <t>JARID2</t>
  </si>
  <si>
    <t>MAP4K3</t>
  </si>
  <si>
    <t>NUP133</t>
  </si>
  <si>
    <t>NDUFS7</t>
  </si>
  <si>
    <t>DDX55</t>
  </si>
  <si>
    <t>CLASP2</t>
  </si>
  <si>
    <t>ATL3</t>
  </si>
  <si>
    <t>BRD1</t>
  </si>
  <si>
    <t>CDK17</t>
  </si>
  <si>
    <t>MRPL48</t>
  </si>
  <si>
    <t>AIDA</t>
  </si>
  <si>
    <t>WBP11</t>
  </si>
  <si>
    <t>CCDC82</t>
  </si>
  <si>
    <t>MGST1</t>
  </si>
  <si>
    <t>GABPB1</t>
  </si>
  <si>
    <t>OGDH</t>
  </si>
  <si>
    <t>INPP4A</t>
  </si>
  <si>
    <t>TRAP1</t>
  </si>
  <si>
    <t>MVK</t>
  </si>
  <si>
    <t>EPN2</t>
  </si>
  <si>
    <t>NUP153</t>
  </si>
  <si>
    <t>SMARCA1</t>
  </si>
  <si>
    <t>PPP3R1</t>
  </si>
  <si>
    <t>LGALS8</t>
  </si>
  <si>
    <t>TPD52L1</t>
  </si>
  <si>
    <t>NME2</t>
  </si>
  <si>
    <t>ITFG2</t>
  </si>
  <si>
    <t>EIF4B</t>
  </si>
  <si>
    <t>CAD</t>
  </si>
  <si>
    <t>IKZF4</t>
  </si>
  <si>
    <t>METTL7A</t>
  </si>
  <si>
    <t>SPATS2</t>
  </si>
  <si>
    <t>NEK3</t>
  </si>
  <si>
    <t>NFYB</t>
  </si>
  <si>
    <t>PLXNA1</t>
  </si>
  <si>
    <t>DAZAP2</t>
  </si>
  <si>
    <t>CNOT2</t>
  </si>
  <si>
    <t>NAP1L1</t>
  </si>
  <si>
    <t>MON2</t>
  </si>
  <si>
    <t>DMD</t>
  </si>
  <si>
    <t>NACA</t>
  </si>
  <si>
    <t>C17orf49</t>
  </si>
  <si>
    <t>AK2</t>
  </si>
  <si>
    <t>ACAD10</t>
  </si>
  <si>
    <t>NFE2</t>
  </si>
  <si>
    <t>TGFBR1</t>
  </si>
  <si>
    <t>PLEKHM1</t>
  </si>
  <si>
    <t>RNF216</t>
  </si>
  <si>
    <t>TLE4</t>
  </si>
  <si>
    <t>GOLIM4</t>
  </si>
  <si>
    <t>RPL10</t>
  </si>
  <si>
    <t>YTHDF1</t>
  </si>
  <si>
    <t>POLR1B</t>
  </si>
  <si>
    <t>RAB24</t>
  </si>
  <si>
    <t>TIA1</t>
  </si>
  <si>
    <t>TLE3</t>
  </si>
  <si>
    <t>WNK2</t>
  </si>
  <si>
    <t>MED24</t>
  </si>
  <si>
    <t>GRK6</t>
  </si>
  <si>
    <t>CCDC93</t>
  </si>
  <si>
    <t>MYCBP2</t>
  </si>
  <si>
    <t>CNN3</t>
  </si>
  <si>
    <t>STAG2</t>
  </si>
  <si>
    <t>RTN4</t>
  </si>
  <si>
    <t>NDUFA5</t>
  </si>
  <si>
    <t>ATXN2</t>
  </si>
  <si>
    <t>PNO1</t>
  </si>
  <si>
    <t>MRPL40</t>
  </si>
  <si>
    <t>RPL35A</t>
  </si>
  <si>
    <t>SAC3D1</t>
  </si>
  <si>
    <t>RNF149</t>
  </si>
  <si>
    <t>SKIV2L</t>
  </si>
  <si>
    <t>ZFAND2B</t>
  </si>
  <si>
    <t>CBWD2</t>
  </si>
  <si>
    <t>PRKRA</t>
  </si>
  <si>
    <t>SEC62</t>
  </si>
  <si>
    <t>CPSF6</t>
  </si>
  <si>
    <t>ALS2CL</t>
  </si>
  <si>
    <t>SREBF2</t>
  </si>
  <si>
    <t>LIN7C</t>
  </si>
  <si>
    <t>ZEB1</t>
  </si>
  <si>
    <t>ISYNA1</t>
  </si>
  <si>
    <t>ATF7IP</t>
  </si>
  <si>
    <t>ACTR6</t>
  </si>
  <si>
    <t>RPL18</t>
  </si>
  <si>
    <t>MTHFD1</t>
  </si>
  <si>
    <t>ACYP1</t>
  </si>
  <si>
    <t>ZNF410</t>
  </si>
  <si>
    <t>SERPINA3</t>
  </si>
  <si>
    <t>SNW1</t>
  </si>
  <si>
    <t>DCAF8</t>
  </si>
  <si>
    <t>NFKBIA</t>
  </si>
  <si>
    <t>ATXN3</t>
  </si>
  <si>
    <t>HNRNPC</t>
  </si>
  <si>
    <t>FNTB</t>
  </si>
  <si>
    <t>AP4S1</t>
  </si>
  <si>
    <t>DDX24</t>
  </si>
  <si>
    <t>CTAGE5</t>
  </si>
  <si>
    <t>GSTZ1</t>
  </si>
  <si>
    <t>NEMF</t>
  </si>
  <si>
    <t>METAP2</t>
  </si>
  <si>
    <t>ARID1B</t>
  </si>
  <si>
    <t>SEPT5</t>
  </si>
  <si>
    <t>FAM133B</t>
  </si>
  <si>
    <t>SLC12A2</t>
  </si>
  <si>
    <t>MAP4K4</t>
  </si>
  <si>
    <t>MTMR3</t>
  </si>
  <si>
    <t>USP11</t>
  </si>
  <si>
    <t>DMWD</t>
  </si>
  <si>
    <t>TFPT</t>
  </si>
  <si>
    <t>SOS1</t>
  </si>
  <si>
    <t>CABIN1</t>
  </si>
  <si>
    <t>C4orf21</t>
  </si>
  <si>
    <t>PWWP2A</t>
  </si>
  <si>
    <t>PDIA3</t>
  </si>
  <si>
    <t>COBLL1</t>
  </si>
  <si>
    <t>MAU2</t>
  </si>
  <si>
    <t>TDG</t>
  </si>
  <si>
    <t>PUS1</t>
  </si>
  <si>
    <t>TIPIN</t>
  </si>
  <si>
    <t>CDC25B</t>
  </si>
  <si>
    <t>WDR45</t>
  </si>
  <si>
    <t>USE1</t>
  </si>
  <si>
    <t>PACS2</t>
  </si>
  <si>
    <t>PPT2</t>
  </si>
  <si>
    <t>MPRIP</t>
  </si>
  <si>
    <t>RPL35</t>
  </si>
  <si>
    <t>ABLIM1</t>
  </si>
  <si>
    <t>PHF8</t>
  </si>
  <si>
    <t>SETD5</t>
  </si>
  <si>
    <t>C7orf43</t>
  </si>
  <si>
    <t>EDEM3</t>
  </si>
  <si>
    <t>IMPDH2</t>
  </si>
  <si>
    <t>LARP4B</t>
  </si>
  <si>
    <t>ATP11A</t>
  </si>
  <si>
    <t>PREP</t>
  </si>
  <si>
    <t>PYCRL</t>
  </si>
  <si>
    <t>IMP4</t>
  </si>
  <si>
    <t>FN1</t>
  </si>
  <si>
    <t>HERC3</t>
  </si>
  <si>
    <t>DNPH1</t>
  </si>
  <si>
    <t>RAPGEF2</t>
  </si>
  <si>
    <t>PPIP5K2</t>
  </si>
  <si>
    <t>PCBD2</t>
  </si>
  <si>
    <t>RBM24</t>
  </si>
  <si>
    <t>MAN2B2</t>
  </si>
  <si>
    <t>UBE2B</t>
  </si>
  <si>
    <t>TCOF1</t>
  </si>
  <si>
    <t>SPATA24</t>
  </si>
  <si>
    <t>C5orf24</t>
  </si>
  <si>
    <t>APBB2</t>
  </si>
  <si>
    <t>CDH18</t>
  </si>
  <si>
    <t>HYI</t>
  </si>
  <si>
    <t>MYC</t>
  </si>
  <si>
    <t>MTDH</t>
  </si>
  <si>
    <t>CCNC</t>
  </si>
  <si>
    <t>MRPL43</t>
  </si>
  <si>
    <t>MTFR1</t>
  </si>
  <si>
    <t>TAGLN</t>
  </si>
  <si>
    <t>PLEKHA7</t>
  </si>
  <si>
    <t>SCRIB</t>
  </si>
  <si>
    <t>TRMT44</t>
  </si>
  <si>
    <t>PPP5C</t>
  </si>
  <si>
    <t>C11orf31</t>
  </si>
  <si>
    <t>DHCR7</t>
  </si>
  <si>
    <t>ASCC1</t>
  </si>
  <si>
    <t>SSSCA1</t>
  </si>
  <si>
    <t>RNPC3</t>
  </si>
  <si>
    <t>RNASEH2C</t>
  </si>
  <si>
    <t>GEMIN2</t>
  </si>
  <si>
    <t>PKP4</t>
  </si>
  <si>
    <t>NUMA1</t>
  </si>
  <si>
    <t>REXO2</t>
  </si>
  <si>
    <t>FBXO21</t>
  </si>
  <si>
    <t>C14orf142</t>
  </si>
  <si>
    <t>CEP128</t>
  </si>
  <si>
    <t>KIAA0101</t>
  </si>
  <si>
    <t>PRC1</t>
  </si>
  <si>
    <t>POU2F1</t>
  </si>
  <si>
    <t>B2M</t>
  </si>
  <si>
    <t>TRPM7</t>
  </si>
  <si>
    <t>RFX7</t>
  </si>
  <si>
    <t>ANKRD17</t>
  </si>
  <si>
    <t>GMPR2</t>
  </si>
  <si>
    <t>GATM</t>
  </si>
  <si>
    <t>C15orf57</t>
  </si>
  <si>
    <t>RAB8B</t>
  </si>
  <si>
    <t>SEC11A</t>
  </si>
  <si>
    <t>UACA</t>
  </si>
  <si>
    <t>BLM</t>
  </si>
  <si>
    <t>CD55</t>
  </si>
  <si>
    <t>NOL3</t>
  </si>
  <si>
    <t>AKTIP</t>
  </si>
  <si>
    <t>C15orf39</t>
  </si>
  <si>
    <t>MPHOSPH6</t>
  </si>
  <si>
    <t>MPI</t>
  </si>
  <si>
    <t>ZNF276</t>
  </si>
  <si>
    <t>HAGH</t>
  </si>
  <si>
    <t>ORAOV1</t>
  </si>
  <si>
    <t>ALDOA</t>
  </si>
  <si>
    <t>SNAPC5</t>
  </si>
  <si>
    <t>hCG_2044799</t>
  </si>
  <si>
    <t>ZFYVE19</t>
  </si>
  <si>
    <t>UBFD1</t>
  </si>
  <si>
    <t>EIF3C</t>
  </si>
  <si>
    <t>CYLD</t>
  </si>
  <si>
    <t>RAB11A</t>
  </si>
  <si>
    <t>BLOC1S6</t>
  </si>
  <si>
    <t>MLST8</t>
  </si>
  <si>
    <t>CDK10</t>
  </si>
  <si>
    <t>EARS2</t>
  </si>
  <si>
    <t>MAP1LC3B</t>
  </si>
  <si>
    <t>HERPUD1</t>
  </si>
  <si>
    <t>ARL2BP</t>
  </si>
  <si>
    <t>NPTN</t>
  </si>
  <si>
    <t>ATXN2L</t>
  </si>
  <si>
    <t>E4F1</t>
  </si>
  <si>
    <t>OGFOD1</t>
  </si>
  <si>
    <t>RNPS1</t>
  </si>
  <si>
    <t>GABARAP</t>
  </si>
  <si>
    <t>GCA</t>
  </si>
  <si>
    <t>SAP130</t>
  </si>
  <si>
    <t>NPRL3</t>
  </si>
  <si>
    <t>PPP6R3</t>
  </si>
  <si>
    <t>ESYT2</t>
  </si>
  <si>
    <t>ERCC6L2</t>
  </si>
  <si>
    <t>FGFR2</t>
  </si>
  <si>
    <t>KALRN</t>
  </si>
  <si>
    <t>EWSR1</t>
  </si>
  <si>
    <t>STAG3</t>
  </si>
  <si>
    <t>KIF23</t>
  </si>
  <si>
    <t>TPM1</t>
  </si>
  <si>
    <t>DNAJB14</t>
  </si>
  <si>
    <t>CHD3</t>
  </si>
  <si>
    <t>TRIM5</t>
  </si>
  <si>
    <t>ACTN4</t>
  </si>
  <si>
    <t>DONSON</t>
  </si>
  <si>
    <t>FANCL</t>
  </si>
  <si>
    <t>DNTTIP1</t>
  </si>
  <si>
    <t>COBL</t>
  </si>
  <si>
    <t>CC2D1B</t>
  </si>
  <si>
    <t>IDH3G</t>
  </si>
  <si>
    <t>MFSD6</t>
  </si>
  <si>
    <t>ART4</t>
  </si>
  <si>
    <t>ATP6AP2</t>
  </si>
  <si>
    <t>GNS</t>
  </si>
  <si>
    <t>IMMT</t>
  </si>
  <si>
    <t>HBP1</t>
  </si>
  <si>
    <t>PARP14</t>
  </si>
  <si>
    <t>SF1</t>
  </si>
  <si>
    <t>FXN</t>
  </si>
  <si>
    <t>LRCH4</t>
  </si>
  <si>
    <t>SUPT20H</t>
  </si>
  <si>
    <t>RNF217</t>
  </si>
  <si>
    <t>PWWP2B</t>
  </si>
  <si>
    <t>TNRC18</t>
  </si>
  <si>
    <t>NEURL4</t>
  </si>
  <si>
    <t>DPH1</t>
  </si>
  <si>
    <t>MYL4</t>
  </si>
  <si>
    <t>ELP5</t>
  </si>
  <si>
    <t>B3GNTL1</t>
  </si>
  <si>
    <t>CLUH</t>
  </si>
  <si>
    <t>GEMIN4</t>
  </si>
  <si>
    <t>CIC</t>
  </si>
  <si>
    <t>FAM195B</t>
  </si>
  <si>
    <t>DVL2</t>
  </si>
  <si>
    <t>CHMP6</t>
  </si>
  <si>
    <t>RPS15A</t>
  </si>
  <si>
    <t>TRAPPC1</t>
  </si>
  <si>
    <t>CCNE1</t>
  </si>
  <si>
    <t>HMOX2</t>
  </si>
  <si>
    <t>SPAG7</t>
  </si>
  <si>
    <t>NFKBIB</t>
  </si>
  <si>
    <t>NDUFAB1</t>
  </si>
  <si>
    <t>TOM1L1</t>
  </si>
  <si>
    <t>ANK2</t>
  </si>
  <si>
    <t>NPC2</t>
  </si>
  <si>
    <t>INTS2</t>
  </si>
  <si>
    <t>MLLT4</t>
  </si>
  <si>
    <t>GALC</t>
  </si>
  <si>
    <t>FBRSL1</t>
  </si>
  <si>
    <t>PSMD9</t>
  </si>
  <si>
    <t>CNTLN</t>
  </si>
  <si>
    <t>TOR1AIP1</t>
  </si>
  <si>
    <t>VGLL4</t>
  </si>
  <si>
    <t>ANKRD44</t>
  </si>
  <si>
    <t>MAP3K4</t>
  </si>
  <si>
    <t>SAAL1</t>
  </si>
  <si>
    <t>CCS</t>
  </si>
  <si>
    <t>FNIP1</t>
  </si>
  <si>
    <t>SENP3</t>
  </si>
  <si>
    <t>BRSK1</t>
  </si>
  <si>
    <t>SEC16A</t>
  </si>
  <si>
    <t>ZFYVE1</t>
  </si>
  <si>
    <t>YAF2</t>
  </si>
  <si>
    <t>BRAP</t>
  </si>
  <si>
    <t>ALDH6A1</t>
  </si>
  <si>
    <t>ZNF292</t>
  </si>
  <si>
    <t>MUM1</t>
  </si>
  <si>
    <t>FBRS</t>
  </si>
  <si>
    <t>SIPA1L1</t>
  </si>
  <si>
    <t>PTPRA</t>
  </si>
  <si>
    <t>DNTTIP2</t>
  </si>
  <si>
    <t>FAM21C</t>
  </si>
  <si>
    <t>PROX1</t>
  </si>
  <si>
    <t>SYNJ1</t>
  </si>
  <si>
    <t>FAM83H</t>
  </si>
  <si>
    <t>DPP8</t>
  </si>
  <si>
    <t>MPST</t>
  </si>
  <si>
    <t>COPS7B</t>
  </si>
  <si>
    <t>SENP2</t>
  </si>
  <si>
    <t>CDC7</t>
  </si>
  <si>
    <t>BABAM1</t>
  </si>
  <si>
    <t>CRAMP1L</t>
  </si>
  <si>
    <t>SS18</t>
  </si>
  <si>
    <t>MIF4GD</t>
  </si>
  <si>
    <t>POLI</t>
  </si>
  <si>
    <t>RHOT1</t>
  </si>
  <si>
    <t>HN1</t>
  </si>
  <si>
    <t>ARHGDIA</t>
  </si>
  <si>
    <t>BAZ2A</t>
  </si>
  <si>
    <t>MRPS7</t>
  </si>
  <si>
    <t>ATP6V0D1</t>
  </si>
  <si>
    <t>SCO1</t>
  </si>
  <si>
    <t>FLOT2</t>
  </si>
  <si>
    <t>AURKB</t>
  </si>
  <si>
    <t>TRAPPC8</t>
  </si>
  <si>
    <t>RPL17</t>
  </si>
  <si>
    <t>SUZ12</t>
  </si>
  <si>
    <t>MSL1</t>
  </si>
  <si>
    <t>RPL19</t>
  </si>
  <si>
    <t>MTMR4</t>
  </si>
  <si>
    <t>MYO1D</t>
  </si>
  <si>
    <t>VEZF1</t>
  </si>
  <si>
    <t>BUB3</t>
  </si>
  <si>
    <t>NDEL1</t>
  </si>
  <si>
    <t>MAST4</t>
  </si>
  <si>
    <t>TMEM173</t>
  </si>
  <si>
    <t>CHCHD6</t>
  </si>
  <si>
    <t>DNAH12</t>
  </si>
  <si>
    <t>RGPD2</t>
  </si>
  <si>
    <t>C17orf75</t>
  </si>
  <si>
    <t>RWDD4</t>
  </si>
  <si>
    <t>WBP2</t>
  </si>
  <si>
    <t>NUDT16L1</t>
  </si>
  <si>
    <t>ACP5</t>
  </si>
  <si>
    <t>SMAD4</t>
  </si>
  <si>
    <t>SEC14L1</t>
  </si>
  <si>
    <t>SPHK1</t>
  </si>
  <si>
    <t>ATG4D</t>
  </si>
  <si>
    <t>SEC11C</t>
  </si>
  <si>
    <t>SPINT2</t>
  </si>
  <si>
    <t>H3F3B</t>
  </si>
  <si>
    <t>STAT5A</t>
  </si>
  <si>
    <t>LONP1</t>
  </si>
  <si>
    <t>ATXN7L3</t>
  </si>
  <si>
    <t>DOCK6</t>
  </si>
  <si>
    <t>CDC37</t>
  </si>
  <si>
    <t>PPP1R12C</t>
  </si>
  <si>
    <t>RPS15</t>
  </si>
  <si>
    <t>PTBP1</t>
  </si>
  <si>
    <t>WIPI1</t>
  </si>
  <si>
    <t>KATNAL2</t>
  </si>
  <si>
    <t>TMEM205</t>
  </si>
  <si>
    <t>UBALD1</t>
  </si>
  <si>
    <t>NCLN</t>
  </si>
  <si>
    <t>SPC24</t>
  </si>
  <si>
    <t>C19orf57</t>
  </si>
  <si>
    <t>ELOF1</t>
  </si>
  <si>
    <t>MBD1</t>
  </si>
  <si>
    <t>hCG_2039718</t>
  </si>
  <si>
    <t>NARS</t>
  </si>
  <si>
    <t>RAD23A</t>
  </si>
  <si>
    <t>C18orf8</t>
  </si>
  <si>
    <t>ELK1</t>
  </si>
  <si>
    <t>PSMG2</t>
  </si>
  <si>
    <t>C19orf55</t>
  </si>
  <si>
    <t>C19orf12</t>
  </si>
  <si>
    <t>NFIX</t>
  </si>
  <si>
    <t>QPCTL</t>
  </si>
  <si>
    <t>SAFB2</t>
  </si>
  <si>
    <t>ZNF700</t>
  </si>
  <si>
    <t>TPM4</t>
  </si>
  <si>
    <t>MXRA7</t>
  </si>
  <si>
    <t>CXXC1</t>
  </si>
  <si>
    <t>EIF3K</t>
  </si>
  <si>
    <t>APOC1</t>
  </si>
  <si>
    <t>UBE2O</t>
  </si>
  <si>
    <t>FAM86A</t>
  </si>
  <si>
    <t>DNM2</t>
  </si>
  <si>
    <t>SARS2</t>
  </si>
  <si>
    <t>PAF1</t>
  </si>
  <si>
    <t>KPTN</t>
  </si>
  <si>
    <t>EPS15L1</t>
  </si>
  <si>
    <t>USF2</t>
  </si>
  <si>
    <t>SMG9</t>
  </si>
  <si>
    <t>SAMD4B</t>
  </si>
  <si>
    <t>DTNA</t>
  </si>
  <si>
    <t>HRC</t>
  </si>
  <si>
    <t>ZBTB45</t>
  </si>
  <si>
    <t>RCN3</t>
  </si>
  <si>
    <t>HNRNPM</t>
  </si>
  <si>
    <t>ARHGEF1</t>
  </si>
  <si>
    <t>CCDC155</t>
  </si>
  <si>
    <t>MPND</t>
  </si>
  <si>
    <t>KXD1</t>
  </si>
  <si>
    <t>RPS5</t>
  </si>
  <si>
    <t>ZNF414</t>
  </si>
  <si>
    <t>ILVBL</t>
  </si>
  <si>
    <t>CHMP2A</t>
  </si>
  <si>
    <t>FBL</t>
  </si>
  <si>
    <t>SHKBP1</t>
  </si>
  <si>
    <t>CCDC94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</si>
  <si>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</si>
  <si>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</si>
  <si>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</si>
  <si>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</si>
  <si>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</si>
  <si>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</si>
  <si>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</si>
  <si>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</si>
  <si>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MYO1C</t>
  </si>
  <si>
    <t>MYO1F</t>
  </si>
  <si>
    <t>SNAP23</t>
  </si>
  <si>
    <t>HAX1</t>
  </si>
  <si>
    <t>AIP</t>
  </si>
  <si>
    <t>GTPBP1</t>
  </si>
  <si>
    <t>STXBP3</t>
  </si>
  <si>
    <t>APBB1</t>
  </si>
  <si>
    <t>NFKBIE</t>
  </si>
  <si>
    <t>PSMD11</t>
  </si>
  <si>
    <t>PSMD12</t>
  </si>
  <si>
    <t>MEN1</t>
  </si>
  <si>
    <t>CBX4</t>
  </si>
  <si>
    <t>PGRMC1</t>
  </si>
  <si>
    <t>TAF4</t>
  </si>
  <si>
    <t>DFFA</t>
  </si>
  <si>
    <t>RFXAP</t>
  </si>
  <si>
    <t>HIP1</t>
  </si>
  <si>
    <t>CLIC1</t>
  </si>
  <si>
    <t>EIF3F</t>
  </si>
  <si>
    <t>WWP2</t>
  </si>
  <si>
    <t>PIK3CD</t>
  </si>
  <si>
    <t>DCTN6</t>
  </si>
  <si>
    <t>WASL</t>
  </si>
  <si>
    <t>IPO5</t>
  </si>
  <si>
    <t>POLRMT</t>
  </si>
  <si>
    <t>EEF2K</t>
  </si>
  <si>
    <t>SAP18</t>
  </si>
  <si>
    <t>IGF2BP3</t>
  </si>
  <si>
    <t>DNM1L</t>
  </si>
  <si>
    <t>RTCA</t>
  </si>
  <si>
    <t>PIK3C2A</t>
  </si>
  <si>
    <t>PIK3R2</t>
  </si>
  <si>
    <t>MANBA</t>
  </si>
  <si>
    <t>AGRN</t>
  </si>
  <si>
    <t>EXOC5</t>
  </si>
  <si>
    <t>HMGN4</t>
  </si>
  <si>
    <t>PSMD14</t>
  </si>
  <si>
    <t>BIN1</t>
  </si>
  <si>
    <t>KPNA3</t>
  </si>
  <si>
    <t>STK25</t>
  </si>
  <si>
    <t>BCL9</t>
  </si>
  <si>
    <t>KRIT1</t>
  </si>
  <si>
    <t>VWA5A</t>
  </si>
  <si>
    <t>SDCBP</t>
  </si>
  <si>
    <t>MPHOSPH10</t>
  </si>
  <si>
    <t>NOP56</t>
  </si>
  <si>
    <t>SOX1</t>
  </si>
  <si>
    <t>DDX3X</t>
  </si>
  <si>
    <t>PIR</t>
  </si>
  <si>
    <t>KPNA4</t>
  </si>
  <si>
    <t>PPP6C</t>
  </si>
  <si>
    <t>CES2</t>
  </si>
  <si>
    <t>MAN2B1</t>
  </si>
  <si>
    <t>PDXK</t>
  </si>
  <si>
    <t>ARID1A</t>
  </si>
  <si>
    <t>BHLHE40</t>
  </si>
  <si>
    <t>SOCS2</t>
  </si>
  <si>
    <t>CDK2AP1</t>
  </si>
  <si>
    <t>FCHO1</t>
  </si>
  <si>
    <t>TRAFD1</t>
  </si>
  <si>
    <t>CIT</t>
  </si>
  <si>
    <t>COPE</t>
  </si>
  <si>
    <t>AP3D1</t>
  </si>
  <si>
    <t>CHD1</t>
  </si>
  <si>
    <t>CHD2</t>
  </si>
  <si>
    <t>KCNK3</t>
  </si>
  <si>
    <t>GOSR2</t>
  </si>
  <si>
    <t>IRS4</t>
  </si>
  <si>
    <t>TOR1A</t>
  </si>
  <si>
    <t>TOR1B</t>
  </si>
  <si>
    <t>MLL2</t>
  </si>
  <si>
    <t>ITGB1BP1</t>
  </si>
  <si>
    <t>MAP2K7</t>
  </si>
  <si>
    <t>PDCD5</t>
  </si>
  <si>
    <t>PRMT5</t>
  </si>
  <si>
    <t>SLC9A3R1</t>
  </si>
  <si>
    <t>CHEK1</t>
  </si>
  <si>
    <t>MEIS2</t>
  </si>
  <si>
    <t>FPGT</t>
  </si>
  <si>
    <t>TPP1</t>
  </si>
  <si>
    <t>TCERG1</t>
  </si>
  <si>
    <t>NDC80</t>
  </si>
  <si>
    <t>TNPO2</t>
  </si>
  <si>
    <t>UNC13B</t>
  </si>
  <si>
    <t>POLR3A</t>
  </si>
  <si>
    <t>PSMA7</t>
  </si>
  <si>
    <t>SCAMP3</t>
  </si>
  <si>
    <t>OPLAH</t>
  </si>
  <si>
    <t>BACH1</t>
  </si>
  <si>
    <t>TAX1BP3</t>
  </si>
  <si>
    <t>GIPC1</t>
  </si>
  <si>
    <t>IKBKB</t>
  </si>
  <si>
    <t>RGS12</t>
  </si>
  <si>
    <t>HAT1</t>
  </si>
  <si>
    <t>UBE2L6</t>
  </si>
  <si>
    <t>HGS</t>
  </si>
  <si>
    <t>AURKA</t>
  </si>
  <si>
    <t>PPP1R12A</t>
  </si>
  <si>
    <t>GAK</t>
  </si>
  <si>
    <t>HNRPDL</t>
  </si>
  <si>
    <t>XPO1</t>
  </si>
  <si>
    <t>BTAF1</t>
  </si>
  <si>
    <t>ARHGEF10</t>
  </si>
  <si>
    <t>ZNF609</t>
  </si>
  <si>
    <t>ZNF646</t>
  </si>
  <si>
    <t>SPTBN2</t>
  </si>
  <si>
    <t>KHNYN</t>
  </si>
  <si>
    <t>SETD1A</t>
  </si>
  <si>
    <t>TRANK1</t>
  </si>
  <si>
    <t>KDM6B</t>
  </si>
  <si>
    <t>SYNJ2</t>
  </si>
  <si>
    <t>ZBTB39</t>
  </si>
  <si>
    <t>KIAA0355</t>
  </si>
  <si>
    <t>KIF3B</t>
  </si>
  <si>
    <t>PFAS</t>
  </si>
  <si>
    <t>CEP290</t>
  </si>
  <si>
    <t>ANKRD28</t>
  </si>
  <si>
    <t>ARHGEF11</t>
  </si>
  <si>
    <t>CHUK</t>
  </si>
  <si>
    <t>LSM1</t>
  </si>
  <si>
    <t>FYB</t>
  </si>
  <si>
    <t>NPC1</t>
  </si>
  <si>
    <t>KPNA5</t>
  </si>
  <si>
    <t>ARPC1B</t>
  </si>
  <si>
    <t>ARPC2</t>
  </si>
  <si>
    <t>ARPC3</t>
  </si>
  <si>
    <t>MDM4</t>
  </si>
  <si>
    <t>ZBTB7B</t>
  </si>
  <si>
    <t>POLR1C</t>
  </si>
  <si>
    <t>TRIM24</t>
  </si>
  <si>
    <t>AXIN1</t>
  </si>
  <si>
    <t>PGRMC2</t>
  </si>
  <si>
    <t>RGL2</t>
  </si>
  <si>
    <t>PFDN6</t>
  </si>
  <si>
    <t>WDR46</t>
  </si>
  <si>
    <t>NKRF</t>
  </si>
  <si>
    <t>ZNF185</t>
  </si>
  <si>
    <t>CASC3</t>
  </si>
  <si>
    <t>VGF</t>
  </si>
  <si>
    <t>CLIC2</t>
  </si>
  <si>
    <t>SURF4</t>
  </si>
  <si>
    <t>ATXN7</t>
  </si>
  <si>
    <t>OGT</t>
  </si>
  <si>
    <t>PMM2</t>
  </si>
  <si>
    <t>RAD51B</t>
  </si>
  <si>
    <t>MID1</t>
  </si>
  <si>
    <t>PPM1G</t>
  </si>
  <si>
    <t>INPPL1</t>
  </si>
  <si>
    <t>EIF3H</t>
  </si>
  <si>
    <t>HDAC3</t>
  </si>
  <si>
    <t>NVL</t>
  </si>
  <si>
    <t>BCAT2</t>
  </si>
  <si>
    <t>BIRC5</t>
  </si>
  <si>
    <t>IPO8</t>
  </si>
  <si>
    <t>STX7</t>
  </si>
  <si>
    <t>CD3EAP</t>
  </si>
  <si>
    <t>MAGEB2</t>
  </si>
  <si>
    <t>GYG2</t>
  </si>
  <si>
    <t>YKT6</t>
  </si>
  <si>
    <t>NUPL2</t>
  </si>
  <si>
    <t>ARPC5</t>
  </si>
  <si>
    <t>POLR2D</t>
  </si>
  <si>
    <t>SOCS1</t>
  </si>
  <si>
    <t>RNF113A</t>
  </si>
  <si>
    <t>KDM6A</t>
  </si>
  <si>
    <t>DHX15</t>
  </si>
  <si>
    <t>RNMT</t>
  </si>
  <si>
    <t>ZZEF1</t>
  </si>
  <si>
    <t>TTI1</t>
  </si>
  <si>
    <t>PJA2</t>
  </si>
  <si>
    <t>ZBTB24</t>
  </si>
  <si>
    <t>PRPF4</t>
  </si>
  <si>
    <t>PHGDH</t>
  </si>
  <si>
    <t>ARHGAP6</t>
  </si>
  <si>
    <t>DYNC1LI2</t>
  </si>
  <si>
    <t>PSMD3</t>
  </si>
  <si>
    <t>RBFOX2</t>
  </si>
  <si>
    <t>PAPSS1</t>
  </si>
  <si>
    <t>ZW10</t>
  </si>
  <si>
    <t>SART1</t>
  </si>
  <si>
    <t>DAPK3</t>
  </si>
  <si>
    <t>ZBTB43</t>
  </si>
  <si>
    <t>AP5Z1</t>
  </si>
  <si>
    <t>CCP110</t>
  </si>
  <si>
    <t>CTIF</t>
  </si>
  <si>
    <t>MAP3K7</t>
  </si>
  <si>
    <t>EEF1E1</t>
  </si>
  <si>
    <t>LYRM1</t>
  </si>
  <si>
    <t>RIPK2</t>
  </si>
  <si>
    <t>WDR62</t>
  </si>
  <si>
    <t>HNRNPR</t>
  </si>
  <si>
    <t>PRPF3</t>
  </si>
  <si>
    <t>TXNL1</t>
  </si>
  <si>
    <t>TPD52L2</t>
  </si>
  <si>
    <t>EMC8</t>
  </si>
  <si>
    <t>ERI3</t>
  </si>
  <si>
    <t>PRKRIR</t>
  </si>
  <si>
    <t>FIBP</t>
  </si>
  <si>
    <t>TBX1</t>
  </si>
  <si>
    <t>PPIH</t>
  </si>
  <si>
    <t>HTRA2</t>
  </si>
  <si>
    <t>OIP5</t>
  </si>
  <si>
    <t>AKR7A2</t>
  </si>
  <si>
    <t>LAMTOR5</t>
  </si>
  <si>
    <t>MED7</t>
  </si>
  <si>
    <t>WIPF1</t>
  </si>
  <si>
    <t>BCL2L11</t>
  </si>
  <si>
    <t>XRCC3</t>
  </si>
  <si>
    <t>RGS14</t>
  </si>
  <si>
    <t>DENR</t>
  </si>
  <si>
    <t>XPOT</t>
  </si>
  <si>
    <t>TIMM44</t>
  </si>
  <si>
    <t>TRAPPC3</t>
  </si>
  <si>
    <t>NCK2</t>
  </si>
  <si>
    <t>PLRG1</t>
  </si>
  <si>
    <t>RGS10</t>
  </si>
  <si>
    <t>ZNF207</t>
  </si>
  <si>
    <t>NDUFB5</t>
  </si>
  <si>
    <t>NDUFA2</t>
  </si>
  <si>
    <t>ASNA1</t>
  </si>
  <si>
    <t>WBSCR22</t>
  </si>
  <si>
    <t>TRIAP1</t>
  </si>
  <si>
    <t>GATC</t>
  </si>
  <si>
    <t>HTATSF1</t>
  </si>
  <si>
    <t>TRAF3IP2</t>
  </si>
  <si>
    <t>CYTH3</t>
  </si>
  <si>
    <t>AP1G1</t>
  </si>
  <si>
    <t>STX6</t>
  </si>
  <si>
    <t>SGTA</t>
  </si>
  <si>
    <t>LIAS</t>
  </si>
  <si>
    <t>ENSA</t>
  </si>
  <si>
    <t>SPOP</t>
  </si>
  <si>
    <t>SSNA1</t>
  </si>
  <si>
    <t>NUDT21</t>
  </si>
  <si>
    <t>LANCL1</t>
  </si>
  <si>
    <t>STRN</t>
  </si>
  <si>
    <t>RRP9</t>
  </si>
  <si>
    <t>C21orf2</t>
  </si>
  <si>
    <t>AKAP8</t>
  </si>
  <si>
    <t>ZBTB14</t>
  </si>
  <si>
    <t>IDH3B</t>
  </si>
  <si>
    <t>NRD1</t>
  </si>
  <si>
    <t>CALU</t>
  </si>
  <si>
    <t>AHCYL1</t>
  </si>
  <si>
    <t>KIF1C</t>
  </si>
  <si>
    <t>ORC5</t>
  </si>
  <si>
    <t>PDE6D</t>
  </si>
  <si>
    <t>ORC4</t>
  </si>
  <si>
    <t>PRKY</t>
  </si>
  <si>
    <t>PEX1</t>
  </si>
  <si>
    <t>RAD21</t>
  </si>
  <si>
    <t>TIMM8A</t>
  </si>
  <si>
    <t>DHX16</t>
  </si>
  <si>
    <t>GMFG</t>
  </si>
  <si>
    <t>SH3BP5</t>
  </si>
  <si>
    <t>MED14</t>
  </si>
  <si>
    <t>PRPSAP2</t>
  </si>
  <si>
    <t>SMARCA5</t>
  </si>
  <si>
    <t>SPAG9</t>
  </si>
  <si>
    <t>SIPA1L3</t>
  </si>
  <si>
    <t>ZFC3H1</t>
  </si>
  <si>
    <t>LCMT2</t>
  </si>
  <si>
    <t>TRAK2</t>
  </si>
  <si>
    <t>AQR</t>
  </si>
  <si>
    <t>OPA1</t>
  </si>
  <si>
    <t>ZEB2</t>
  </si>
  <si>
    <t>MCM3AP</t>
  </si>
  <si>
    <t>KIF1B</t>
  </si>
  <si>
    <t>MAPKBP1</t>
  </si>
  <si>
    <t>KDM1A</t>
  </si>
  <si>
    <t>TBC1D4</t>
  </si>
  <si>
    <t>ECE2</t>
  </si>
  <si>
    <t>PHLPP1</t>
  </si>
  <si>
    <t>TBC1D12</t>
  </si>
  <si>
    <t>FZD6</t>
  </si>
  <si>
    <t>NME2P1</t>
  </si>
  <si>
    <t>DFNA5</t>
  </si>
  <si>
    <t>EVI5</t>
  </si>
  <si>
    <t>SNX3</t>
  </si>
  <si>
    <t>MGEA5</t>
  </si>
  <si>
    <t>SYNCRIP</t>
  </si>
  <si>
    <t>GMDS</t>
  </si>
  <si>
    <t>NMT2</t>
  </si>
  <si>
    <t>CCNT1</t>
  </si>
  <si>
    <t>BUB1B</t>
  </si>
  <si>
    <t>PLOD3</t>
  </si>
  <si>
    <t>CCNT2</t>
  </si>
  <si>
    <t>SEP15</t>
  </si>
  <si>
    <t>EXOC3</t>
  </si>
  <si>
    <t>PLIN3</t>
  </si>
  <si>
    <t>RAD1</t>
  </si>
  <si>
    <t>PRMT3</t>
  </si>
  <si>
    <t>UGDH</t>
  </si>
  <si>
    <t>CTNND1</t>
  </si>
  <si>
    <t>MAGEC1</t>
  </si>
  <si>
    <t>SNX2</t>
  </si>
  <si>
    <t>DPM1</t>
  </si>
  <si>
    <t>USO1</t>
  </si>
  <si>
    <t>CCDC22</t>
  </si>
  <si>
    <t>PQBP1</t>
  </si>
  <si>
    <t>PAGE4</t>
  </si>
  <si>
    <t>DKC1</t>
  </si>
  <si>
    <t>EIF5B</t>
  </si>
  <si>
    <t>EDF1</t>
  </si>
  <si>
    <t>KIN</t>
  </si>
  <si>
    <t>DNAJA2</t>
  </si>
  <si>
    <t>BRD4</t>
  </si>
  <si>
    <t>CUTA</t>
  </si>
  <si>
    <t>TBL1X</t>
  </si>
  <si>
    <t>HUS1</t>
  </si>
  <si>
    <t>PFDN1</t>
  </si>
  <si>
    <t>PPP1R11</t>
  </si>
  <si>
    <t>NBN</t>
  </si>
  <si>
    <t>RNGTT</t>
  </si>
  <si>
    <t>MITF</t>
  </si>
  <si>
    <t>KIF21B</t>
  </si>
  <si>
    <t>SRGAP2</t>
  </si>
  <si>
    <t>DNAJC6</t>
  </si>
  <si>
    <t>FAM20B</t>
  </si>
  <si>
    <t>DENND4B</t>
  </si>
  <si>
    <t>WDR1</t>
  </si>
  <si>
    <t>ATP9A</t>
  </si>
  <si>
    <t>N4BP1</t>
  </si>
  <si>
    <t>ROCK2</t>
  </si>
  <si>
    <t>CPNE3</t>
  </si>
  <si>
    <t>ZBED4</t>
  </si>
  <si>
    <t>ATG13</t>
  </si>
  <si>
    <t>ICOSLG</t>
  </si>
  <si>
    <t>PPFIA3</t>
  </si>
  <si>
    <t>HIP1R</t>
  </si>
  <si>
    <t>OBSL1</t>
  </si>
  <si>
    <t>RNF40</t>
  </si>
  <si>
    <t>PHF2</t>
  </si>
  <si>
    <t>ZC3H11A</t>
  </si>
  <si>
    <t>RAB11FIP3</t>
  </si>
  <si>
    <t>CAND2</t>
  </si>
  <si>
    <t>TSC22D2</t>
  </si>
  <si>
    <t>KDM4A</t>
  </si>
  <si>
    <t>PHACTR2</t>
  </si>
  <si>
    <t>PPP6R2</t>
  </si>
  <si>
    <t>CNOT3</t>
  </si>
  <si>
    <t>SS18L1</t>
  </si>
  <si>
    <t>SIN3B</t>
  </si>
  <si>
    <t>DNAJB6</t>
  </si>
  <si>
    <t>XYLB</t>
  </si>
  <si>
    <t>GGCT</t>
  </si>
  <si>
    <t>NDUFS2</t>
  </si>
  <si>
    <t>ZNF259</t>
  </si>
  <si>
    <t>DUSP11</t>
  </si>
  <si>
    <t>GBAS</t>
  </si>
  <si>
    <t>HMMR</t>
  </si>
  <si>
    <t>PDCD6</t>
  </si>
  <si>
    <t>TBCA</t>
  </si>
  <si>
    <t>ATP6V1G1</t>
  </si>
  <si>
    <t>VPS4B</t>
  </si>
  <si>
    <t>ENTPD5</t>
  </si>
  <si>
    <t>ZNF217</t>
  </si>
  <si>
    <t>H2AFY</t>
  </si>
  <si>
    <t>SH3BGRL</t>
  </si>
  <si>
    <t>FLNB</t>
  </si>
  <si>
    <t>NDUFS6</t>
  </si>
  <si>
    <t>ULK1</t>
  </si>
  <si>
    <t>SEC22B</t>
  </si>
  <si>
    <t>DEAF1</t>
  </si>
  <si>
    <t>PRPF40A</t>
  </si>
  <si>
    <t>TACC1</t>
  </si>
  <si>
    <t>CDC45</t>
  </si>
  <si>
    <t>GIGYF1</t>
  </si>
  <si>
    <t>VPS26A</t>
  </si>
  <si>
    <t>PMPCB</t>
  </si>
  <si>
    <t>SAP30</t>
  </si>
  <si>
    <t>KATNA1</t>
  </si>
  <si>
    <t>PSIP1</t>
  </si>
  <si>
    <t>NDUFS3</t>
  </si>
  <si>
    <t>CLN5</t>
  </si>
  <si>
    <t>HSBP1</t>
  </si>
  <si>
    <t>ECI2</t>
  </si>
  <si>
    <t>TADA3</t>
  </si>
  <si>
    <t>TAF5L</t>
  </si>
  <si>
    <t>EED</t>
  </si>
  <si>
    <t>BANF1</t>
  </si>
  <si>
    <t>SF3B1</t>
  </si>
  <si>
    <t>CSDE1</t>
  </si>
  <si>
    <t>WBP4</t>
  </si>
  <si>
    <t>CRCP</t>
  </si>
  <si>
    <t>MED6</t>
  </si>
  <si>
    <t>GCAT</t>
  </si>
  <si>
    <t>NPM3</t>
  </si>
  <si>
    <t>LYPLA1</t>
  </si>
  <si>
    <t>CREG1</t>
  </si>
  <si>
    <t>SERPINB7</t>
  </si>
  <si>
    <t>SNRNP200</t>
  </si>
  <si>
    <t>TIPRL</t>
  </si>
  <si>
    <t>SURF6</t>
  </si>
  <si>
    <t>PPM1B</t>
  </si>
  <si>
    <t>RP2</t>
  </si>
  <si>
    <t>WDHD1</t>
  </si>
  <si>
    <t>RAD51D</t>
  </si>
  <si>
    <t>PALM</t>
  </si>
  <si>
    <t>GRAP2</t>
  </si>
  <si>
    <t>RNASEH2A</t>
  </si>
  <si>
    <t>CDC123</t>
  </si>
  <si>
    <t>PPP1R15A</t>
  </si>
  <si>
    <t>SOLH</t>
  </si>
  <si>
    <t>RPP40</t>
  </si>
  <si>
    <t>EIF3G</t>
  </si>
  <si>
    <t>CBR3</t>
  </si>
  <si>
    <t>AP1G2</t>
  </si>
  <si>
    <t>ZMPSTE24</t>
  </si>
  <si>
    <t>PPP1R37</t>
  </si>
  <si>
    <t>TRAPPC6A</t>
  </si>
  <si>
    <t>IDH1</t>
  </si>
  <si>
    <t>RBBP9</t>
  </si>
  <si>
    <t>STAM2</t>
  </si>
  <si>
    <t>CCNK</t>
  </si>
  <si>
    <t>PIAS1</t>
  </si>
  <si>
    <t>PIAS2</t>
  </si>
  <si>
    <t>BCAS2</t>
  </si>
  <si>
    <t>DCTN3</t>
  </si>
  <si>
    <t>DNAJC8</t>
  </si>
  <si>
    <t>SMNDC1</t>
  </si>
  <si>
    <t>RAD17</t>
  </si>
  <si>
    <t>ATP5H</t>
  </si>
  <si>
    <t>FLOT1</t>
  </si>
  <si>
    <t>TRIO</t>
  </si>
  <si>
    <t>GLRX3</t>
  </si>
  <si>
    <t>KRT34</t>
  </si>
  <si>
    <t>RSL1D1</t>
  </si>
  <si>
    <t>CLPX</t>
  </si>
  <si>
    <t>SCGN</t>
  </si>
  <si>
    <t>NEBL</t>
  </si>
  <si>
    <t>RNF8</t>
  </si>
  <si>
    <t>CIAO1</t>
  </si>
  <si>
    <t>DFFB</t>
  </si>
  <si>
    <t>ZFAND5</t>
  </si>
  <si>
    <t>SRP72</t>
  </si>
  <si>
    <t>DOM3Z</t>
  </si>
  <si>
    <t>RECQL4</t>
  </si>
  <si>
    <t>RECQL5</t>
  </si>
  <si>
    <t>URI1</t>
  </si>
  <si>
    <t>MTA2</t>
  </si>
  <si>
    <t>USP1</t>
  </si>
  <si>
    <t>ALDH1A2</t>
  </si>
  <si>
    <t>STK10</t>
  </si>
  <si>
    <t>PRKD3</t>
  </si>
  <si>
    <t>GFPT2</t>
  </si>
  <si>
    <t>ATG12</t>
  </si>
  <si>
    <t>KBTBD11</t>
  </si>
  <si>
    <t>LTN1</t>
  </si>
  <si>
    <t>TOMM70A</t>
  </si>
  <si>
    <t>IPO13</t>
  </si>
  <si>
    <t>DDHD2</t>
  </si>
  <si>
    <t>MICAL2</t>
  </si>
  <si>
    <t>KIAA0754</t>
  </si>
  <si>
    <t>SEC24D</t>
  </si>
  <si>
    <t>SUPT7L</t>
  </si>
  <si>
    <t>UFL1</t>
  </si>
  <si>
    <t>TMCC1</t>
  </si>
  <si>
    <t>PHF14</t>
  </si>
  <si>
    <t>UBXN7</t>
  </si>
  <si>
    <t>KLHL18</t>
  </si>
  <si>
    <t>PROSC</t>
  </si>
  <si>
    <t>PRPF6</t>
  </si>
  <si>
    <t>PCF11</t>
  </si>
  <si>
    <t>GLS</t>
  </si>
  <si>
    <t>HAUS5</t>
  </si>
  <si>
    <t>UBOX5</t>
  </si>
  <si>
    <t>KDM4B</t>
  </si>
  <si>
    <t>SOGA1</t>
  </si>
  <si>
    <t>USP19</t>
  </si>
  <si>
    <t>WDR47</t>
  </si>
  <si>
    <t>AP2A2</t>
  </si>
  <si>
    <t>SEC31A</t>
  </si>
  <si>
    <t>FAM13A</t>
  </si>
  <si>
    <t>HEXIM1</t>
  </si>
  <si>
    <t>RPP14</t>
  </si>
  <si>
    <t>CCNB2</t>
  </si>
  <si>
    <t>AGFG2</t>
  </si>
  <si>
    <t>SCAF4</t>
  </si>
  <si>
    <t>SNUPN</t>
  </si>
  <si>
    <t>UBE4B</t>
  </si>
  <si>
    <t>IKBKAP</t>
  </si>
  <si>
    <t>LETM1</t>
  </si>
  <si>
    <t>ZRANB2</t>
  </si>
  <si>
    <t>SNX4</t>
  </si>
  <si>
    <t>ZWINT</t>
  </si>
  <si>
    <t>VENTX</t>
  </si>
  <si>
    <t>LUC7L3</t>
  </si>
  <si>
    <t>KIF4A</t>
  </si>
  <si>
    <t>MBD4</t>
  </si>
  <si>
    <t>SBF1</t>
  </si>
  <si>
    <t>KAT7</t>
  </si>
  <si>
    <t>CCNDBP1</t>
  </si>
  <si>
    <t>VAPB</t>
  </si>
  <si>
    <t>SNAPIN</t>
  </si>
  <si>
    <t>FKBP9</t>
  </si>
  <si>
    <t>PGLS</t>
  </si>
  <si>
    <t>SMC2</t>
  </si>
  <si>
    <t>ATG7</t>
  </si>
  <si>
    <t>FARS2</t>
  </si>
  <si>
    <t>LYPLA2</t>
  </si>
  <si>
    <t>IPO7</t>
  </si>
  <si>
    <t>ARIH2</t>
  </si>
  <si>
    <t>TNFAIP8</t>
  </si>
  <si>
    <t>SLU7</t>
  </si>
  <si>
    <t>PGM3</t>
  </si>
  <si>
    <t>MOCS3</t>
  </si>
  <si>
    <t>PLEKHA8P1</t>
  </si>
  <si>
    <t>UTS2</t>
  </si>
  <si>
    <t>CD2BP2</t>
  </si>
  <si>
    <t>MED26</t>
  </si>
  <si>
    <t>ZFYVE9</t>
  </si>
  <si>
    <t>BAG4</t>
  </si>
  <si>
    <t>AHSA1</t>
  </si>
  <si>
    <t>PARN</t>
  </si>
  <si>
    <t>PSMG1</t>
  </si>
  <si>
    <t>FMNL1</t>
  </si>
  <si>
    <t>H6PD</t>
  </si>
  <si>
    <t>SEC24A</t>
  </si>
  <si>
    <t>SEC24B</t>
  </si>
  <si>
    <t>NADK</t>
  </si>
  <si>
    <t>TDP2</t>
  </si>
  <si>
    <t>METTL18</t>
  </si>
  <si>
    <t>ETHE1</t>
  </si>
  <si>
    <t>ACSL3</t>
  </si>
  <si>
    <t>POLR1A</t>
  </si>
  <si>
    <t>PCNT</t>
  </si>
  <si>
    <t>YEATS4</t>
  </si>
  <si>
    <t>DUS4L</t>
  </si>
  <si>
    <t>ZBTB11</t>
  </si>
  <si>
    <t>CNOT4</t>
  </si>
  <si>
    <t>STAMBP</t>
  </si>
  <si>
    <t>CPSF4</t>
  </si>
  <si>
    <t>NFATC1</t>
  </si>
  <si>
    <t>ASMTL</t>
  </si>
  <si>
    <t>FGFR1OP</t>
  </si>
  <si>
    <t>SNAP29</t>
  </si>
  <si>
    <t>OXSR1</t>
  </si>
  <si>
    <t>GGPS1</t>
  </si>
  <si>
    <t>HSPA4L</t>
  </si>
  <si>
    <t>PTBP3</t>
  </si>
  <si>
    <t>NAA38</t>
  </si>
  <si>
    <t>AP2A1</t>
  </si>
  <si>
    <t>TTC4</t>
  </si>
  <si>
    <t>BAG2</t>
  </si>
  <si>
    <t>MLYCD</t>
  </si>
  <si>
    <t>CRYZL1</t>
  </si>
  <si>
    <t>AIFM1</t>
  </si>
  <si>
    <t>EML2</t>
  </si>
  <si>
    <t>LATS1</t>
  </si>
  <si>
    <t>BPNT1</t>
  </si>
  <si>
    <t>DDAH2</t>
  </si>
  <si>
    <t>TXNDC12</t>
  </si>
  <si>
    <t>ECD</t>
  </si>
  <si>
    <t>SYF2</t>
  </si>
  <si>
    <t>MBD3</t>
  </si>
  <si>
    <t>TOP3B</t>
  </si>
  <si>
    <t>NUDT3</t>
  </si>
  <si>
    <t>BCL10</t>
  </si>
  <si>
    <t>MOCS2</t>
  </si>
  <si>
    <t>TOMM40</t>
  </si>
  <si>
    <t>PAK4</t>
  </si>
  <si>
    <t>CHEK2</t>
  </si>
  <si>
    <t>APBA3</t>
  </si>
  <si>
    <t>ACTL6A</t>
  </si>
  <si>
    <t>WHSC1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</si>
  <si>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</si>
  <si>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</si>
  <si>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</si>
  <si>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</si>
  <si>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</si>
  <si>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</si>
  <si>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</si>
  <si>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</si>
  <si>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</si>
  <si>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</si>
  <si>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</si>
  <si>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</si>
  <si>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AK1</t>
  </si>
  <si>
    <t>ADA</t>
  </si>
  <si>
    <t>CA2</t>
  </si>
  <si>
    <t>ASS1</t>
  </si>
  <si>
    <t>SERPINA1</t>
  </si>
  <si>
    <t>CST3</t>
  </si>
  <si>
    <t>NRAS</t>
  </si>
  <si>
    <t>KRAS</t>
  </si>
  <si>
    <t>TGFB1</t>
  </si>
  <si>
    <t>HBZ</t>
  </si>
  <si>
    <t>HBD</t>
  </si>
  <si>
    <t>HBE1</t>
  </si>
  <si>
    <t>KRT14</t>
  </si>
  <si>
    <t>KRT6A</t>
  </si>
  <si>
    <t>LMNA</t>
  </si>
  <si>
    <t>SPTA1</t>
  </si>
  <si>
    <t>APOE</t>
  </si>
  <si>
    <t>APOC3</t>
  </si>
  <si>
    <t>ALB</t>
  </si>
  <si>
    <t>TFRC</t>
  </si>
  <si>
    <t>FTH1</t>
  </si>
  <si>
    <t>CAT</t>
  </si>
  <si>
    <t>FUCA1</t>
  </si>
  <si>
    <t>CSTB</t>
  </si>
  <si>
    <t>ANXA1</t>
  </si>
  <si>
    <t>NR3C1</t>
  </si>
  <si>
    <t>OAT</t>
  </si>
  <si>
    <t>TK1</t>
  </si>
  <si>
    <t>KRT6B</t>
  </si>
  <si>
    <t>KRT1</t>
  </si>
  <si>
    <t>TUBB4A</t>
  </si>
  <si>
    <t>GAPDH</t>
  </si>
  <si>
    <t>ASL</t>
  </si>
  <si>
    <t>CAPNS1</t>
  </si>
  <si>
    <t>HSPB1</t>
  </si>
  <si>
    <t>TYMS</t>
  </si>
  <si>
    <t>RPN1</t>
  </si>
  <si>
    <t>RPN2</t>
  </si>
  <si>
    <t>GNAI2</t>
  </si>
  <si>
    <t>SLC4A2</t>
  </si>
  <si>
    <t>ATP1A1</t>
  </si>
  <si>
    <t>ALDH2</t>
  </si>
  <si>
    <t>HMGN1</t>
  </si>
  <si>
    <t>SLC25A5</t>
  </si>
  <si>
    <t>ISG15</t>
  </si>
  <si>
    <t>PCCA</t>
  </si>
  <si>
    <t>PCCB</t>
  </si>
  <si>
    <t>EIF2S1</t>
  </si>
  <si>
    <t>HMGN2</t>
  </si>
  <si>
    <t>ICAM1</t>
  </si>
  <si>
    <t>RPLP1</t>
  </si>
  <si>
    <t>RPLP2</t>
  </si>
  <si>
    <t>RPLP0</t>
  </si>
  <si>
    <t>POLR3D</t>
  </si>
  <si>
    <t>SSB</t>
  </si>
  <si>
    <t>ITGB1</t>
  </si>
  <si>
    <t>PRKCB</t>
  </si>
  <si>
    <t>KRT18</t>
  </si>
  <si>
    <t>KRT8</t>
  </si>
  <si>
    <t>CALB1</t>
  </si>
  <si>
    <t>UROD</t>
  </si>
  <si>
    <t>GLA</t>
  </si>
  <si>
    <t>GSN</t>
  </si>
  <si>
    <t>RB1</t>
  </si>
  <si>
    <t>CDK1</t>
  </si>
  <si>
    <t>ATP5B</t>
  </si>
  <si>
    <t>EIF4E</t>
  </si>
  <si>
    <t>ENO1</t>
  </si>
  <si>
    <t>PYGL</t>
  </si>
  <si>
    <t>GPI</t>
  </si>
  <si>
    <t>POLB</t>
  </si>
  <si>
    <t>NPM1</t>
  </si>
  <si>
    <t>TPM3</t>
  </si>
  <si>
    <t>HEXA</t>
  </si>
  <si>
    <t>DBI</t>
  </si>
  <si>
    <t>LDHB</t>
  </si>
  <si>
    <t>PGK2</t>
  </si>
  <si>
    <t>P4HB</t>
  </si>
  <si>
    <t>CTSD</t>
  </si>
  <si>
    <t>ANXA2</t>
  </si>
  <si>
    <t>CAPN1</t>
  </si>
  <si>
    <t>PSAP</t>
  </si>
  <si>
    <t>HEXB</t>
  </si>
  <si>
    <t>CTSL1</t>
  </si>
  <si>
    <t>PFN1</t>
  </si>
  <si>
    <t>BPGM</t>
  </si>
  <si>
    <t>APRT</t>
  </si>
  <si>
    <t>CTSB</t>
  </si>
  <si>
    <t>HSP90AA1</t>
  </si>
  <si>
    <t>GALT</t>
  </si>
  <si>
    <t>UQCRH</t>
  </si>
  <si>
    <t>LAMB1</t>
  </si>
  <si>
    <t>YES1</t>
  </si>
  <si>
    <t>LYN</t>
  </si>
  <si>
    <t>FH</t>
  </si>
  <si>
    <t>ERCC1</t>
  </si>
  <si>
    <t>SP1</t>
  </si>
  <si>
    <t>HSPA1A</t>
  </si>
  <si>
    <t>SLC3A2</t>
  </si>
  <si>
    <t>PFKM</t>
  </si>
  <si>
    <t>HSP90AB1</t>
  </si>
  <si>
    <t>SRPR</t>
  </si>
  <si>
    <t>ASNS</t>
  </si>
  <si>
    <t>HMBS</t>
  </si>
  <si>
    <t>PDHA1</t>
  </si>
  <si>
    <t>PTPRC</t>
  </si>
  <si>
    <t>SNRPB2</t>
  </si>
  <si>
    <t>MYL3</t>
  </si>
  <si>
    <t>SNRNP70</t>
  </si>
  <si>
    <t>ITGA5</t>
  </si>
  <si>
    <t>NFIC</t>
  </si>
  <si>
    <t>VIM</t>
  </si>
  <si>
    <t>KRT19</t>
  </si>
  <si>
    <t>GNAI3</t>
  </si>
  <si>
    <t>ANXA5</t>
  </si>
  <si>
    <t>KRT16</t>
  </si>
  <si>
    <t>SNRPA</t>
  </si>
  <si>
    <t>FGF2</t>
  </si>
  <si>
    <t>HBQ1</t>
  </si>
  <si>
    <t>ACAA1</t>
  </si>
  <si>
    <t>SRP19</t>
  </si>
  <si>
    <t>GSTP1</t>
  </si>
  <si>
    <t>SNRPC</t>
  </si>
  <si>
    <t>VIL1</t>
  </si>
  <si>
    <t>LGALS1</t>
  </si>
  <si>
    <t>QDPR</t>
  </si>
  <si>
    <t>HMGB1</t>
  </si>
  <si>
    <t>CLTA</t>
  </si>
  <si>
    <t>CLTB</t>
  </si>
  <si>
    <t>ANXA4</t>
  </si>
  <si>
    <t>CNP</t>
  </si>
  <si>
    <t>DLD</t>
  </si>
  <si>
    <t>HNRNPA1</t>
  </si>
  <si>
    <t>SNRPA1</t>
  </si>
  <si>
    <t>CTSH</t>
  </si>
  <si>
    <t>PARP1</t>
  </si>
  <si>
    <t>POLA1</t>
  </si>
  <si>
    <t>ALOX5</t>
  </si>
  <si>
    <t>LTA4H</t>
  </si>
  <si>
    <t>ALDOC</t>
  </si>
  <si>
    <t>ATXN1L</t>
  </si>
  <si>
    <t>POLR2M</t>
  </si>
  <si>
    <t>CHTF8</t>
  </si>
  <si>
    <t>ZNF888</t>
  </si>
  <si>
    <t>GAGE12I</t>
  </si>
  <si>
    <t>RPS17L</t>
  </si>
  <si>
    <t>TRAPPC2P1</t>
  </si>
  <si>
    <t>ZSCAN22</t>
  </si>
  <si>
    <t>FDX1</t>
  </si>
  <si>
    <t>TROVE2</t>
  </si>
  <si>
    <t>MYB</t>
  </si>
  <si>
    <t>MYBL2</t>
  </si>
  <si>
    <t>GAA</t>
  </si>
  <si>
    <t>ARAF</t>
  </si>
  <si>
    <t>DLAT</t>
  </si>
  <si>
    <t>NR2F6</t>
  </si>
  <si>
    <t>TXN</t>
  </si>
  <si>
    <t>COX5B</t>
  </si>
  <si>
    <t>CTSA</t>
  </si>
  <si>
    <t>MAPT</t>
  </si>
  <si>
    <t>PRKAR1A</t>
  </si>
  <si>
    <t>TFPI</t>
  </si>
  <si>
    <t>UROS</t>
  </si>
  <si>
    <t>ESD</t>
  </si>
  <si>
    <t>HSPD1</t>
  </si>
  <si>
    <t>HSPA5</t>
  </si>
  <si>
    <t>PNMT</t>
  </si>
  <si>
    <t>MAP2</t>
  </si>
  <si>
    <t>HSPA8</t>
  </si>
  <si>
    <t>EPB41</t>
  </si>
  <si>
    <t>UMPS</t>
  </si>
  <si>
    <t>PDHB</t>
  </si>
  <si>
    <t>PYGB</t>
  </si>
  <si>
    <t>RALA</t>
  </si>
  <si>
    <t>RALB</t>
  </si>
  <si>
    <t>BCR</t>
  </si>
  <si>
    <t>SPTB</t>
  </si>
  <si>
    <t>LAMP1</t>
  </si>
  <si>
    <t>ACADM</t>
  </si>
  <si>
    <t>TOP1</t>
  </si>
  <si>
    <t>TOP2A</t>
  </si>
  <si>
    <t>UBL4A</t>
  </si>
  <si>
    <t>PC</t>
  </si>
  <si>
    <t>IGF2R</t>
  </si>
  <si>
    <t>ADH5</t>
  </si>
  <si>
    <t>CDK4</t>
  </si>
  <si>
    <t>PRPS2</t>
  </si>
  <si>
    <t>PABPC1</t>
  </si>
  <si>
    <t>PCNA</t>
  </si>
  <si>
    <t>NEFH</t>
  </si>
  <si>
    <t>HARS</t>
  </si>
  <si>
    <t>SLC25A6</t>
  </si>
  <si>
    <t>TPR</t>
  </si>
  <si>
    <t>CKB</t>
  </si>
  <si>
    <t>ANXA3</t>
  </si>
  <si>
    <t>CKMT1A</t>
  </si>
  <si>
    <t>BCKDHA</t>
  </si>
  <si>
    <t>SKIL</t>
  </si>
  <si>
    <t>ACTN1</t>
  </si>
  <si>
    <t>MYH1</t>
  </si>
  <si>
    <t>PEPD</t>
  </si>
  <si>
    <t>XRCC6</t>
  </si>
  <si>
    <t>LYL1</t>
  </si>
  <si>
    <t>XRCC5</t>
  </si>
  <si>
    <t>COX4I1</t>
  </si>
  <si>
    <t>IFI30</t>
  </si>
  <si>
    <t>RNH1</t>
  </si>
  <si>
    <t>CYBA</t>
  </si>
  <si>
    <t>EEF2</t>
  </si>
  <si>
    <t>KRT10</t>
  </si>
  <si>
    <t>KRT5</t>
  </si>
  <si>
    <t>PDIA4</t>
  </si>
  <si>
    <t>P4HA1</t>
  </si>
  <si>
    <t>ZNF35</t>
  </si>
  <si>
    <t>TPT1</t>
  </si>
  <si>
    <t>LCP1</t>
  </si>
  <si>
    <t>APEH</t>
  </si>
  <si>
    <t>ETFA</t>
  </si>
  <si>
    <t>PRKAR2A</t>
  </si>
  <si>
    <t>ENO3</t>
  </si>
  <si>
    <t>GTF2F2</t>
  </si>
  <si>
    <t>MTHFD2</t>
  </si>
  <si>
    <t>MIF</t>
  </si>
  <si>
    <t>CD99</t>
  </si>
  <si>
    <t>PRKCSH</t>
  </si>
  <si>
    <t>HCLS1</t>
  </si>
  <si>
    <t>FDPS</t>
  </si>
  <si>
    <t>AKR1A1</t>
  </si>
  <si>
    <t>PKM</t>
  </si>
  <si>
    <t>ACYP2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</si>
  <si>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</si>
  <si>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</si>
  <si>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</si>
  <si>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</si>
  <si>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</si>
  <si>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</si>
  <si>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</si>
  <si>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</si>
  <si>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UQCRB</t>
  </si>
  <si>
    <t>BRAF</t>
  </si>
  <si>
    <t>GLUL</t>
  </si>
  <si>
    <t>PVR</t>
  </si>
  <si>
    <t>RAC2</t>
  </si>
  <si>
    <t>GSPT1</t>
  </si>
  <si>
    <t>ARSA</t>
  </si>
  <si>
    <t>EZR</t>
  </si>
  <si>
    <t>UCHL3</t>
  </si>
  <si>
    <t>FOSL1</t>
  </si>
  <si>
    <t>VAV1</t>
  </si>
  <si>
    <t>CD46</t>
  </si>
  <si>
    <t>NME1</t>
  </si>
  <si>
    <t>PHKG2</t>
  </si>
  <si>
    <t>HIVEP1</t>
  </si>
  <si>
    <t>ARSB</t>
  </si>
  <si>
    <t>RPS2</t>
  </si>
  <si>
    <t>TCF4</t>
  </si>
  <si>
    <t>TCF3</t>
  </si>
  <si>
    <t>DSP</t>
  </si>
  <si>
    <t>RPA2</t>
  </si>
  <si>
    <t>GATA1</t>
  </si>
  <si>
    <t>NQO2</t>
  </si>
  <si>
    <t>SPN</t>
  </si>
  <si>
    <t>CBR1</t>
  </si>
  <si>
    <t>ANK1</t>
  </si>
  <si>
    <t>ACADS</t>
  </si>
  <si>
    <t>GLB1</t>
  </si>
  <si>
    <t>PPP3CB</t>
  </si>
  <si>
    <t>NCK1</t>
  </si>
  <si>
    <t>GCFC2</t>
  </si>
  <si>
    <t>HIST1H1B</t>
  </si>
  <si>
    <t>HIST1H1C</t>
  </si>
  <si>
    <t>FER</t>
  </si>
  <si>
    <t>ATP2A2</t>
  </si>
  <si>
    <t>PLCG2</t>
  </si>
  <si>
    <t>FAH</t>
  </si>
  <si>
    <t>STMN1</t>
  </si>
  <si>
    <t>YBX3</t>
  </si>
  <si>
    <t>ZNF14</t>
  </si>
  <si>
    <t>ZNF22</t>
  </si>
  <si>
    <t>ZNF24</t>
  </si>
  <si>
    <t>ZKSCAN1</t>
  </si>
  <si>
    <t>NAGA</t>
  </si>
  <si>
    <t>HSPA6</t>
  </si>
  <si>
    <t>HMGA1</t>
  </si>
  <si>
    <t>ZNF8</t>
  </si>
  <si>
    <t>TMEM11</t>
  </si>
  <si>
    <t>GOT1</t>
  </si>
  <si>
    <t>PRKCA</t>
  </si>
  <si>
    <t>JUNB</t>
  </si>
  <si>
    <t>UBTF</t>
  </si>
  <si>
    <t>HOXB9</t>
  </si>
  <si>
    <t>HOXB4</t>
  </si>
  <si>
    <t>JUND</t>
  </si>
  <si>
    <t>TAL1</t>
  </si>
  <si>
    <t>ATF7</t>
  </si>
  <si>
    <t>PRKACA</t>
  </si>
  <si>
    <t>CAPN2</t>
  </si>
  <si>
    <t>DES</t>
  </si>
  <si>
    <t>CEBPB</t>
  </si>
  <si>
    <t>PTPN2</t>
  </si>
  <si>
    <t>AMD1</t>
  </si>
  <si>
    <t>CTPS1</t>
  </si>
  <si>
    <t>DDX5</t>
  </si>
  <si>
    <t>PFKL</t>
  </si>
  <si>
    <t>XBP1</t>
  </si>
  <si>
    <t>GM2A</t>
  </si>
  <si>
    <t>LGALS3</t>
  </si>
  <si>
    <t>TCP1</t>
  </si>
  <si>
    <t>PTPN1</t>
  </si>
  <si>
    <t>IGFBP2</t>
  </si>
  <si>
    <t>ARF4</t>
  </si>
  <si>
    <t>RPL7</t>
  </si>
  <si>
    <t>EGR1</t>
  </si>
  <si>
    <t>VCL</t>
  </si>
  <si>
    <t>NAT1</t>
  </si>
  <si>
    <t>SON</t>
  </si>
  <si>
    <t>NELFE</t>
  </si>
  <si>
    <t>PGAM1</t>
  </si>
  <si>
    <t>ATF1</t>
  </si>
  <si>
    <t>ATF6</t>
  </si>
  <si>
    <t>ATP5J</t>
  </si>
  <si>
    <t>XRCC1</t>
  </si>
  <si>
    <t>MYL12A</t>
  </si>
  <si>
    <t>PLCG1</t>
  </si>
  <si>
    <t>NCL</t>
  </si>
  <si>
    <t>HK1</t>
  </si>
  <si>
    <t>POLR2C</t>
  </si>
  <si>
    <t>POLR2E</t>
  </si>
  <si>
    <t>NDUFV2</t>
  </si>
  <si>
    <t>ERCC3</t>
  </si>
  <si>
    <t>EIF2AK2</t>
  </si>
  <si>
    <t>TFE3</t>
  </si>
  <si>
    <t>WT1</t>
  </si>
  <si>
    <t>SRM</t>
  </si>
  <si>
    <t>CSNK2A2</t>
  </si>
  <si>
    <t>NFKB1</t>
  </si>
  <si>
    <t>EIF2S2</t>
  </si>
  <si>
    <t>CD33</t>
  </si>
  <si>
    <t>TBP</t>
  </si>
  <si>
    <t>CCNA2</t>
  </si>
  <si>
    <t>BTF3</t>
  </si>
  <si>
    <t>TNFRSF1B</t>
  </si>
  <si>
    <t>RAB3B</t>
  </si>
  <si>
    <t>RAB4A</t>
  </si>
  <si>
    <t>RAB6A</t>
  </si>
  <si>
    <t>MSH3</t>
  </si>
  <si>
    <t>PSMB1</t>
  </si>
  <si>
    <t>COX5A</t>
  </si>
  <si>
    <t>LMNB1</t>
  </si>
  <si>
    <t>BCL3</t>
  </si>
  <si>
    <t>AGA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</si>
  <si>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</si>
  <si>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</si>
  <si>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</si>
  <si>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</si>
  <si>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</si>
  <si>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</si>
  <si>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</si>
  <si>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</si>
  <si>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NF1</t>
  </si>
  <si>
    <t>ACO1</t>
  </si>
  <si>
    <t>TAF1</t>
  </si>
  <si>
    <t>VDAC1</t>
  </si>
  <si>
    <t>COMT</t>
  </si>
  <si>
    <t>TGM2</t>
  </si>
  <si>
    <t>MUT</t>
  </si>
  <si>
    <t>OSBP</t>
  </si>
  <si>
    <t>PCMT1</t>
  </si>
  <si>
    <t>GART</t>
  </si>
  <si>
    <t>PAICS</t>
  </si>
  <si>
    <t>SCP2</t>
  </si>
  <si>
    <t>UBA1</t>
  </si>
  <si>
    <t>SPRR2D</t>
  </si>
  <si>
    <t>FDXR</t>
  </si>
  <si>
    <t>HNRNPA2B1</t>
  </si>
  <si>
    <t>RFX1</t>
  </si>
  <si>
    <t>CBL</t>
  </si>
  <si>
    <t>PRKACB</t>
  </si>
  <si>
    <t>FECH</t>
  </si>
  <si>
    <t>XPA</t>
  </si>
  <si>
    <t>FBLN1</t>
  </si>
  <si>
    <t>TCEA1</t>
  </si>
  <si>
    <t>SFPQ</t>
  </si>
  <si>
    <t>TUBG1</t>
  </si>
  <si>
    <t>PPIB</t>
  </si>
  <si>
    <t>S100A1</t>
  </si>
  <si>
    <t>ME2</t>
  </si>
  <si>
    <t>WARS</t>
  </si>
  <si>
    <t>RPS3</t>
  </si>
  <si>
    <t>MYF6</t>
  </si>
  <si>
    <t>GCSH</t>
  </si>
  <si>
    <t>PTPRG</t>
  </si>
  <si>
    <t>SP100</t>
  </si>
  <si>
    <t>NFYA</t>
  </si>
  <si>
    <t>AHCY</t>
  </si>
  <si>
    <t>CFL1</t>
  </si>
  <si>
    <t>F8A1</t>
  </si>
  <si>
    <t>ATP2B4</t>
  </si>
  <si>
    <t>ITPKA</t>
  </si>
  <si>
    <t>GATA2</t>
  </si>
  <si>
    <t>CPT2</t>
  </si>
  <si>
    <t>DTYMK</t>
  </si>
  <si>
    <t>RRM1</t>
  </si>
  <si>
    <t>EEF1B2</t>
  </si>
  <si>
    <t>ACP1</t>
  </si>
  <si>
    <t>ACAT1</t>
  </si>
  <si>
    <t>POLR2A</t>
  </si>
  <si>
    <t>CDK2</t>
  </si>
  <si>
    <t>APC</t>
  </si>
  <si>
    <t>ADRBK1</t>
  </si>
  <si>
    <t>MCM3</t>
  </si>
  <si>
    <t>RPS12</t>
  </si>
  <si>
    <t>BRD2</t>
  </si>
  <si>
    <t>DNAJB1</t>
  </si>
  <si>
    <t>ATP5A1</t>
  </si>
  <si>
    <t>CTSS</t>
  </si>
  <si>
    <t>PSMA1</t>
  </si>
  <si>
    <t>PSMA2</t>
  </si>
  <si>
    <t>PSMA3</t>
  </si>
  <si>
    <t>PSMA4</t>
  </si>
  <si>
    <t>LMO2</t>
  </si>
  <si>
    <t>S100P</t>
  </si>
  <si>
    <t>MSN</t>
  </si>
  <si>
    <t>DDX6</t>
  </si>
  <si>
    <t>U2AF2</t>
  </si>
  <si>
    <t>RPL13</t>
  </si>
  <si>
    <t>CHML</t>
  </si>
  <si>
    <t>HMGB2</t>
  </si>
  <si>
    <t>TARS</t>
  </si>
  <si>
    <t>VARS</t>
  </si>
  <si>
    <t>EEF1G</t>
  </si>
  <si>
    <t>ZFP36</t>
  </si>
  <si>
    <t>FKBP2</t>
  </si>
  <si>
    <t>AK4</t>
  </si>
  <si>
    <t>YWHAQ</t>
  </si>
  <si>
    <t>MAPK3</t>
  </si>
  <si>
    <t>MARK3</t>
  </si>
  <si>
    <t>ARNT</t>
  </si>
  <si>
    <t>RPA1</t>
  </si>
  <si>
    <t>APEX1</t>
  </si>
  <si>
    <t>DCK</t>
  </si>
  <si>
    <t>CALR</t>
  </si>
  <si>
    <t>PDE4A</t>
  </si>
  <si>
    <t>CANX</t>
  </si>
  <si>
    <t>PIK3R1</t>
  </si>
  <si>
    <t>PSMB8</t>
  </si>
  <si>
    <t>PSMA5</t>
  </si>
  <si>
    <t>PSMB4</t>
  </si>
  <si>
    <t>PSMB6</t>
  </si>
  <si>
    <t>PSMB5</t>
  </si>
  <si>
    <t>GSTM2</t>
  </si>
  <si>
    <t>TMOD1</t>
  </si>
  <si>
    <t>NDUFS1</t>
  </si>
  <si>
    <t>POLD1</t>
  </si>
  <si>
    <t>MAPK1</t>
  </si>
  <si>
    <t>RXRB</t>
  </si>
  <si>
    <t>ERCC5</t>
  </si>
  <si>
    <t>RBL1</t>
  </si>
  <si>
    <t>GRN</t>
  </si>
  <si>
    <t>LAP3</t>
  </si>
  <si>
    <t>TNFRSF8</t>
  </si>
  <si>
    <t>GTF2E1</t>
  </si>
  <si>
    <t>GTF2E2</t>
  </si>
  <si>
    <t>TPP2</t>
  </si>
  <si>
    <t>PTPN6</t>
  </si>
  <si>
    <t>SHC1</t>
  </si>
  <si>
    <t>MPG</t>
  </si>
  <si>
    <t>ARID4A</t>
  </si>
  <si>
    <t>KDM5A</t>
  </si>
  <si>
    <t>TKT</t>
  </si>
  <si>
    <t>PML</t>
  </si>
  <si>
    <t>EEF1D</t>
  </si>
  <si>
    <t>MARCKS</t>
  </si>
  <si>
    <t>ALDH4A1</t>
  </si>
  <si>
    <t>ERP29</t>
  </si>
  <si>
    <t>PRDX6</t>
  </si>
  <si>
    <t>C21orf33</t>
  </si>
  <si>
    <t>BLVRB</t>
  </si>
  <si>
    <t>PRDX5</t>
  </si>
  <si>
    <t>DDT</t>
  </si>
  <si>
    <t>GCHFR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</si>
  <si>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</si>
  <si>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</si>
  <si>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</si>
  <si>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</si>
  <si>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</si>
  <si>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</si>
  <si>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</si>
  <si>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</si>
  <si>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CCND2</t>
  </si>
  <si>
    <t>CCND3</t>
  </si>
  <si>
    <t>WEE1</t>
  </si>
  <si>
    <t>CDC25C</t>
  </si>
  <si>
    <t>PPIF</t>
  </si>
  <si>
    <t>NKTR</t>
  </si>
  <si>
    <t>NMT1</t>
  </si>
  <si>
    <t>ADSS</t>
  </si>
  <si>
    <t>LRPAP1</t>
  </si>
  <si>
    <t>ADSL</t>
  </si>
  <si>
    <t>PKLR</t>
  </si>
  <si>
    <t>CLIP1</t>
  </si>
  <si>
    <t>GSTT1</t>
  </si>
  <si>
    <t>SERPINB1</t>
  </si>
  <si>
    <t>ALDH1B1</t>
  </si>
  <si>
    <t>SDHA</t>
  </si>
  <si>
    <t>CORO1A</t>
  </si>
  <si>
    <t>GDI1</t>
  </si>
  <si>
    <t>MAT2A</t>
  </si>
  <si>
    <t>PRKAR1B</t>
  </si>
  <si>
    <t>PRKAR2B</t>
  </si>
  <si>
    <t>CPS1</t>
  </si>
  <si>
    <t>RRM2</t>
  </si>
  <si>
    <t>HIVEP2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</si>
  <si>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</si>
  <si>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</si>
  <si>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</si>
  <si>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</si>
  <si>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</si>
  <si>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</si>
  <si>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</si>
  <si>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</si>
  <si>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</si>
  <si>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</si>
  <si>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</si>
  <si>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</si>
  <si>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</si>
  <si>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INPP5B</t>
  </si>
  <si>
    <t>PRDX2</t>
  </si>
  <si>
    <t>ARRB2</t>
  </si>
  <si>
    <t>DCTD</t>
  </si>
  <si>
    <t>PYCR1</t>
  </si>
  <si>
    <t>GBP2</t>
  </si>
  <si>
    <t>ELF1</t>
  </si>
  <si>
    <t>GTF2H1</t>
  </si>
  <si>
    <t>CTH</t>
  </si>
  <si>
    <t>ACSL1</t>
  </si>
  <si>
    <t>KIF5B</t>
  </si>
  <si>
    <t>CSTF2</t>
  </si>
  <si>
    <t>DUT</t>
  </si>
  <si>
    <t>CKS2</t>
  </si>
  <si>
    <t>TTK</t>
  </si>
  <si>
    <t>MCM4</t>
  </si>
  <si>
    <t>MCM5</t>
  </si>
  <si>
    <t>MCM7</t>
  </si>
  <si>
    <t>GALNS</t>
  </si>
  <si>
    <t>SHMT1</t>
  </si>
  <si>
    <t>EVI2B</t>
  </si>
  <si>
    <t>EPHX2</t>
  </si>
  <si>
    <t>HSPA4</t>
  </si>
  <si>
    <t>CA8</t>
  </si>
  <si>
    <t>CTNNA1</t>
  </si>
  <si>
    <t>PCGF2</t>
  </si>
  <si>
    <t>PHB</t>
  </si>
  <si>
    <t>PTPN7</t>
  </si>
  <si>
    <t>SERPINB6</t>
  </si>
  <si>
    <t>RDX</t>
  </si>
  <si>
    <t>RPA3</t>
  </si>
  <si>
    <t>RFC4</t>
  </si>
  <si>
    <t>RFC2</t>
  </si>
  <si>
    <t>RFC1</t>
  </si>
  <si>
    <t>RPL22</t>
  </si>
  <si>
    <t>GTF2F1</t>
  </si>
  <si>
    <t>SPR</t>
  </si>
  <si>
    <t>HOXD13</t>
  </si>
  <si>
    <t>CBS</t>
  </si>
  <si>
    <t>KRT9</t>
  </si>
  <si>
    <t>IRS1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</si>
  <si>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</si>
  <si>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</si>
  <si>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</si>
  <si>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</si>
  <si>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</si>
  <si>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</si>
  <si>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</si>
  <si>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</si>
  <si>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</si>
  <si>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SOX6</t>
  </si>
  <si>
    <t>GLRX</t>
  </si>
  <si>
    <t>CHKA</t>
  </si>
  <si>
    <t>PPM1A</t>
  </si>
  <si>
    <t>AHR</t>
  </si>
  <si>
    <t>KRT2</t>
  </si>
  <si>
    <t>PSMC2</t>
  </si>
  <si>
    <t>ARL2</t>
  </si>
  <si>
    <t>ARL3</t>
  </si>
  <si>
    <t>TRIM23</t>
  </si>
  <si>
    <t>MAP2K2</t>
  </si>
  <si>
    <t>ATP6V1E1</t>
  </si>
  <si>
    <t>CPOX</t>
  </si>
  <si>
    <t>RPL4</t>
  </si>
  <si>
    <t>NUDT1</t>
  </si>
  <si>
    <t>PPP1CC</t>
  </si>
  <si>
    <t>GNL1</t>
  </si>
  <si>
    <t>POLR2I</t>
  </si>
  <si>
    <t>DLST</t>
  </si>
  <si>
    <t>GMPR</t>
  </si>
  <si>
    <t>GPX4</t>
  </si>
  <si>
    <t>SRP14</t>
  </si>
  <si>
    <t>NUP62</t>
  </si>
  <si>
    <t>HPCAL1</t>
  </si>
  <si>
    <t>TAGLN2</t>
  </si>
  <si>
    <t>TALDO1</t>
  </si>
  <si>
    <t>SNCA</t>
  </si>
  <si>
    <t>ETFB</t>
  </si>
  <si>
    <t>RBMX</t>
  </si>
  <si>
    <t>BRCA1</t>
  </si>
  <si>
    <t>COIL</t>
  </si>
  <si>
    <t>ATP6V1A</t>
  </si>
  <si>
    <t>HSPA9</t>
  </si>
  <si>
    <t>EIF4A3</t>
  </si>
  <si>
    <t>IGHMBP2</t>
  </si>
  <si>
    <t>RPS19</t>
  </si>
  <si>
    <t>RPL3</t>
  </si>
  <si>
    <t>DDOST</t>
  </si>
  <si>
    <t>ANP32A</t>
  </si>
  <si>
    <t>FEN1</t>
  </si>
  <si>
    <t>CUX1</t>
  </si>
  <si>
    <t>CAPG</t>
  </si>
  <si>
    <t>IL6ST</t>
  </si>
  <si>
    <t>TXLNA</t>
  </si>
  <si>
    <t>CCT6A</t>
  </si>
  <si>
    <t>PSMB10</t>
  </si>
  <si>
    <t>VHL</t>
  </si>
  <si>
    <t>PBX2</t>
  </si>
  <si>
    <t>RPL13A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</si>
  <si>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</si>
  <si>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</si>
  <si>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</si>
  <si>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</si>
  <si>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</si>
  <si>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</si>
  <si>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</si>
  <si>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</si>
  <si>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</si>
  <si>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ETV3</t>
  </si>
  <si>
    <t>CETN2</t>
  </si>
  <si>
    <t>ETV6</t>
  </si>
  <si>
    <t>EIF2D</t>
  </si>
  <si>
    <t>BUD31</t>
  </si>
  <si>
    <t>UBA7</t>
  </si>
  <si>
    <t>NAA10</t>
  </si>
  <si>
    <t>KDM5C</t>
  </si>
  <si>
    <t>PPP1R2</t>
  </si>
  <si>
    <t>CSK</t>
  </si>
  <si>
    <t>GARS</t>
  </si>
  <si>
    <t>IARS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</si>
  <si>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</si>
  <si>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</si>
  <si>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</si>
  <si>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</si>
  <si>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</si>
  <si>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</si>
  <si>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</si>
  <si>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</si>
  <si>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</si>
  <si>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ARHGAP25</t>
  </si>
  <si>
    <t>PIK3CA</t>
  </si>
  <si>
    <t>PIK3CB</t>
  </si>
  <si>
    <t>MTOR</t>
  </si>
  <si>
    <t>PI4KA</t>
  </si>
  <si>
    <t>EPS15</t>
  </si>
  <si>
    <t>CASP3</t>
  </si>
  <si>
    <t>CASP2</t>
  </si>
  <si>
    <t>RPS27</t>
  </si>
  <si>
    <t>MATK</t>
  </si>
  <si>
    <t>TEC</t>
  </si>
  <si>
    <t>ABL2</t>
  </si>
  <si>
    <t>HELZ</t>
  </si>
  <si>
    <t>NCAPD3</t>
  </si>
  <si>
    <t>RBM34</t>
  </si>
  <si>
    <t>LRPPRC</t>
  </si>
  <si>
    <t>ACAA2</t>
  </si>
  <si>
    <t>WAS</t>
  </si>
  <si>
    <t>CDKN2C</t>
  </si>
  <si>
    <t>PRCP</t>
  </si>
  <si>
    <t>HTT</t>
  </si>
  <si>
    <t>PAFAH1B1</t>
  </si>
  <si>
    <t>CRAT</t>
  </si>
  <si>
    <t>MSH2</t>
  </si>
  <si>
    <t>MAGEA1</t>
  </si>
  <si>
    <t>MAGEA2</t>
  </si>
  <si>
    <t>MAGEA4</t>
  </si>
  <si>
    <t>PTPN9</t>
  </si>
  <si>
    <t>SYK</t>
  </si>
  <si>
    <t>NAMPT</t>
  </si>
  <si>
    <t>PSMC4</t>
  </si>
  <si>
    <t>TSFM</t>
  </si>
  <si>
    <t>VDAC2</t>
  </si>
  <si>
    <t>CBX5</t>
  </si>
  <si>
    <t>USP5</t>
  </si>
  <si>
    <t>MAPK8</t>
  </si>
  <si>
    <t>MAPK9</t>
  </si>
  <si>
    <t>MAP2K4</t>
  </si>
  <si>
    <t>MKI67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</si>
  <si>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</si>
  <si>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</si>
  <si>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</si>
  <si>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</si>
  <si>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</si>
  <si>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</si>
  <si>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</si>
  <si>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</si>
  <si>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</si>
  <si>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</si>
  <si>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</si>
  <si>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</si>
  <si>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</si>
  <si>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RPL28</t>
  </si>
  <si>
    <t>RPS9</t>
  </si>
  <si>
    <t>RPS10</t>
  </si>
  <si>
    <t>GNPDA1</t>
  </si>
  <si>
    <t>NEDD4</t>
  </si>
  <si>
    <t>UTRN</t>
  </si>
  <si>
    <t>IQGAP1</t>
  </si>
  <si>
    <t>GYG1</t>
  </si>
  <si>
    <t>STT3A</t>
  </si>
  <si>
    <t>RABIF</t>
  </si>
  <si>
    <t>PLA2G4A</t>
  </si>
  <si>
    <t>RAP1GAP</t>
  </si>
  <si>
    <t>CAPZA2</t>
  </si>
  <si>
    <t>EIF1AX</t>
  </si>
  <si>
    <t>QARS</t>
  </si>
  <si>
    <t>RPL29</t>
  </si>
  <si>
    <t>ZFP36L2</t>
  </si>
  <si>
    <t>UQCRFS1</t>
  </si>
  <si>
    <t>LIMS1</t>
  </si>
  <si>
    <t>ME1</t>
  </si>
  <si>
    <t>IREB2</t>
  </si>
  <si>
    <t>RFX2</t>
  </si>
  <si>
    <t>RFX5</t>
  </si>
  <si>
    <t>ARCN1</t>
  </si>
  <si>
    <t>PPP3CC</t>
  </si>
  <si>
    <t>GCLC</t>
  </si>
  <si>
    <t>GCLM</t>
  </si>
  <si>
    <t>PRRC2A</t>
  </si>
  <si>
    <t>GSS</t>
  </si>
  <si>
    <t>CCT5</t>
  </si>
  <si>
    <t>PTDSS1</t>
  </si>
  <si>
    <t>NES</t>
  </si>
  <si>
    <t>HSPA13</t>
  </si>
  <si>
    <t>CSNK1A1</t>
  </si>
  <si>
    <t>CSNK1D</t>
  </si>
  <si>
    <t>PIK3CG</t>
  </si>
  <si>
    <t>PITPNB</t>
  </si>
  <si>
    <t>POLD2</t>
  </si>
  <si>
    <t>MARCKSL1</t>
  </si>
  <si>
    <t>NR2C2</t>
  </si>
  <si>
    <t>MAPKAPK2</t>
  </si>
  <si>
    <t>ALDH9A1</t>
  </si>
  <si>
    <t>RPL34</t>
  </si>
  <si>
    <t>RPIA</t>
  </si>
  <si>
    <t>LMAN1</t>
  </si>
  <si>
    <t>NASP</t>
  </si>
  <si>
    <t>FASN</t>
  </si>
  <si>
    <t>CDK8</t>
  </si>
  <si>
    <t>FNTA</t>
  </si>
  <si>
    <t>DHPS</t>
  </si>
  <si>
    <t>CCT3</t>
  </si>
  <si>
    <t>ARRB1</t>
  </si>
  <si>
    <t>TUFM</t>
  </si>
  <si>
    <t>CDC34</t>
  </si>
  <si>
    <t>INPP1</t>
  </si>
  <si>
    <t>GLUD2</t>
  </si>
  <si>
    <t>CENPF</t>
  </si>
  <si>
    <t>SRP9</t>
  </si>
  <si>
    <t>UBE2A</t>
  </si>
  <si>
    <t>PCYT1A</t>
  </si>
  <si>
    <t>AARS</t>
  </si>
  <si>
    <t>CARS</t>
  </si>
  <si>
    <t>SARS</t>
  </si>
  <si>
    <t>PPM1F</t>
  </si>
  <si>
    <t>PRIM1</t>
  </si>
  <si>
    <t>PRIM2</t>
  </si>
  <si>
    <t>CASP4</t>
  </si>
  <si>
    <t>CSNK1E</t>
  </si>
  <si>
    <t>CTCF</t>
  </si>
  <si>
    <t>CEBPD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</si>
  <si>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</si>
  <si>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</si>
  <si>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</si>
  <si>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</si>
  <si>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</si>
  <si>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</si>
  <si>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</si>
  <si>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</si>
  <si>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</si>
  <si>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</si>
  <si>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FHIT</t>
  </si>
  <si>
    <t>RANBP2</t>
  </si>
  <si>
    <t>RGS3</t>
  </si>
  <si>
    <t>GSK3B</t>
  </si>
  <si>
    <t>TAF6</t>
  </si>
  <si>
    <t>NT5C2</t>
  </si>
  <si>
    <t>SEPHS1</t>
  </si>
  <si>
    <t>MTHFS</t>
  </si>
  <si>
    <t>GMPS</t>
  </si>
  <si>
    <t>LIG3</t>
  </si>
  <si>
    <t>CDKN1C</t>
  </si>
  <si>
    <t>MRE11A</t>
  </si>
  <si>
    <t>KHK</t>
  </si>
  <si>
    <t>HNMT</t>
  </si>
  <si>
    <t>IDH3A</t>
  </si>
  <si>
    <t>MNX1</t>
  </si>
  <si>
    <t>SULT1A3</t>
  </si>
  <si>
    <t>SULT1A1</t>
  </si>
  <si>
    <t>CRIP1</t>
  </si>
  <si>
    <t>GDI2</t>
  </si>
  <si>
    <t>EMD</t>
  </si>
  <si>
    <t>SERPINB9</t>
  </si>
  <si>
    <t>SERPINH1</t>
  </si>
  <si>
    <t>PDLIM4</t>
  </si>
  <si>
    <t>ST13</t>
  </si>
  <si>
    <t>PEX5</t>
  </si>
  <si>
    <t>VASP</t>
  </si>
  <si>
    <t>NUDT2</t>
  </si>
  <si>
    <t>CDK7</t>
  </si>
  <si>
    <t>HLCS</t>
  </si>
  <si>
    <t>KNTC1</t>
  </si>
  <si>
    <t>CDK9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</si>
  <si>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</si>
  <si>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</si>
  <si>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</si>
  <si>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</si>
  <si>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</si>
  <si>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</si>
  <si>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</si>
  <si>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</si>
  <si>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RAB28</t>
  </si>
  <si>
    <t>RAB27A</t>
  </si>
  <si>
    <t>FABP6</t>
  </si>
  <si>
    <t>PLCD1</t>
  </si>
  <si>
    <t>DUSP3</t>
  </si>
  <si>
    <t>MMP15</t>
  </si>
  <si>
    <t>SMARCA2</t>
  </si>
  <si>
    <t>SMARCA4</t>
  </si>
  <si>
    <t>GALK1</t>
  </si>
  <si>
    <t>SSR4</t>
  </si>
  <si>
    <t>BCAP31</t>
  </si>
  <si>
    <t>TPMT</t>
  </si>
  <si>
    <t>BRCA2</t>
  </si>
  <si>
    <t>RENBP</t>
  </si>
  <si>
    <t>MECP2</t>
  </si>
  <si>
    <t>HCFC1</t>
  </si>
  <si>
    <t>IRAK1</t>
  </si>
  <si>
    <t>ALDH5A1</t>
  </si>
  <si>
    <t>HSD17B4</t>
  </si>
  <si>
    <t>PSMD7</t>
  </si>
  <si>
    <t>UBE2D1</t>
  </si>
  <si>
    <t>SUOX</t>
  </si>
  <si>
    <t>SGSH</t>
  </si>
  <si>
    <t>STAT5B</t>
  </si>
  <si>
    <t>VAMP7</t>
  </si>
  <si>
    <t>AFF1</t>
  </si>
  <si>
    <t>AKR1D1</t>
  </si>
  <si>
    <t>HDGF</t>
  </si>
  <si>
    <t>CCNH</t>
  </si>
  <si>
    <t>MNAT1</t>
  </si>
  <si>
    <t>HNRNPA3</t>
  </si>
  <si>
    <t>MYOM1</t>
  </si>
  <si>
    <t>KPNA2</t>
  </si>
  <si>
    <t>KPNA1</t>
  </si>
  <si>
    <t>NCBP2</t>
  </si>
  <si>
    <t>RAP1GDS1</t>
  </si>
  <si>
    <t>ARHGDIB</t>
  </si>
  <si>
    <t>AGFG1</t>
  </si>
  <si>
    <t>HNRNPF</t>
  </si>
  <si>
    <t>STAT2</t>
  </si>
  <si>
    <t>GTF2A1</t>
  </si>
  <si>
    <t>GTF2A2</t>
  </si>
  <si>
    <t>MSH6</t>
  </si>
  <si>
    <t>KIF11</t>
  </si>
  <si>
    <t>VAV2</t>
  </si>
  <si>
    <t>ZNF131</t>
  </si>
  <si>
    <t>ZNF143</t>
  </si>
  <si>
    <t>RBM5</t>
  </si>
  <si>
    <t>HRSP12</t>
  </si>
  <si>
    <t>SMS</t>
  </si>
  <si>
    <t>HK2</t>
  </si>
  <si>
    <t>MRPL12</t>
  </si>
  <si>
    <t>DGKQ</t>
  </si>
  <si>
    <t>THOP1</t>
  </si>
  <si>
    <t>CAPZA1</t>
  </si>
  <si>
    <t>NUP98</t>
  </si>
  <si>
    <t>BLVRA</t>
  </si>
  <si>
    <t>PLK1</t>
  </si>
  <si>
    <t>ARFIP2</t>
  </si>
  <si>
    <t>ARFIP1</t>
  </si>
  <si>
    <t>NUBP1</t>
  </si>
  <si>
    <t>CEBPG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</si>
  <si>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</si>
  <si>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</si>
  <si>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</si>
  <si>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</si>
  <si>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</si>
  <si>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</si>
  <si>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</si>
  <si>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</si>
  <si>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</si>
  <si>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AP3M2</t>
  </si>
  <si>
    <t>AP2S1</t>
  </si>
  <si>
    <t>HCCS</t>
  </si>
  <si>
    <t>MAPK12</t>
  </si>
  <si>
    <t>SLC5A3</t>
  </si>
  <si>
    <t>POLR2K</t>
  </si>
  <si>
    <t>RCAN1</t>
  </si>
  <si>
    <t>SMTN</t>
  </si>
  <si>
    <t>SLC16A1</t>
  </si>
  <si>
    <t>IST1</t>
  </si>
  <si>
    <t>SEC24C</t>
  </si>
  <si>
    <t>SUB1</t>
  </si>
  <si>
    <t>RARS</t>
  </si>
  <si>
    <t>HIRA</t>
  </si>
  <si>
    <t>ATN1</t>
  </si>
  <si>
    <t>TERF1</t>
  </si>
  <si>
    <t>PMS1</t>
  </si>
  <si>
    <t>PMS2</t>
  </si>
  <si>
    <t>YARS</t>
  </si>
  <si>
    <t>USP14</t>
  </si>
  <si>
    <t>PRKAG1</t>
  </si>
  <si>
    <t>BCAT1</t>
  </si>
  <si>
    <t>RAD23B</t>
  </si>
  <si>
    <t>NAGLU</t>
  </si>
  <si>
    <t>ALDH18A1</t>
  </si>
  <si>
    <t>NAPA</t>
  </si>
  <si>
    <t>ADPRH</t>
  </si>
  <si>
    <t>AIF1</t>
  </si>
  <si>
    <t>EIF5</t>
  </si>
  <si>
    <t>PSMD4</t>
  </si>
  <si>
    <t>DRG2</t>
  </si>
  <si>
    <t>CSE1L</t>
  </si>
  <si>
    <t>VCP</t>
  </si>
  <si>
    <t>MFAP1</t>
  </si>
  <si>
    <t>MANF</t>
  </si>
  <si>
    <t>NCKAP1L</t>
  </si>
  <si>
    <t>MLLT6</t>
  </si>
  <si>
    <t>ELL</t>
  </si>
  <si>
    <t>CASP9</t>
  </si>
  <si>
    <t>CASP6</t>
  </si>
  <si>
    <t>ADK</t>
  </si>
  <si>
    <t>ADAR</t>
  </si>
  <si>
    <t>TPD52</t>
  </si>
  <si>
    <t>PRMT2</t>
  </si>
  <si>
    <t>PKNOX1</t>
  </si>
  <si>
    <t>SEC13</t>
  </si>
  <si>
    <t>NHP2L1</t>
  </si>
  <si>
    <t>PAX9</t>
  </si>
  <si>
    <t>GFER</t>
  </si>
  <si>
    <t>HNRNPH2</t>
  </si>
  <si>
    <t>SUMO3</t>
  </si>
  <si>
    <t>EIF3B</t>
  </si>
  <si>
    <t>BID</t>
  </si>
  <si>
    <t>NDUFV3</t>
  </si>
  <si>
    <t>RRP1</t>
  </si>
  <si>
    <t>MARS</t>
  </si>
  <si>
    <t>ARPP19</t>
  </si>
  <si>
    <t>CMC4</t>
  </si>
  <si>
    <t>POLE2</t>
  </si>
  <si>
    <t>AP1S2</t>
  </si>
  <si>
    <t>HDAC4</t>
  </si>
  <si>
    <t>EIF6</t>
  </si>
  <si>
    <t>NME5</t>
  </si>
  <si>
    <t>PER3</t>
  </si>
  <si>
    <t>BCAR1</t>
  </si>
  <si>
    <t>RWDD2B</t>
  </si>
  <si>
    <t>UBASH3A</t>
  </si>
  <si>
    <t>C21orf59</t>
  </si>
  <si>
    <t>WDR4</t>
  </si>
  <si>
    <t>TMEM33</t>
  </si>
  <si>
    <t>SYNJ2BP</t>
  </si>
  <si>
    <t>KLF3</t>
  </si>
  <si>
    <t>CORO7</t>
  </si>
  <si>
    <t>NUP107</t>
  </si>
  <si>
    <t>GSDMD</t>
  </si>
  <si>
    <t>SNX16</t>
  </si>
  <si>
    <t>EEFSEC</t>
  </si>
  <si>
    <t>SESN2</t>
  </si>
  <si>
    <t>EPPK1</t>
  </si>
  <si>
    <t>ANTXR2</t>
  </si>
  <si>
    <t>MTPN</t>
  </si>
  <si>
    <t>AP3S2</t>
  </si>
  <si>
    <t>ZNF280A</t>
  </si>
  <si>
    <t>ZNF445</t>
  </si>
  <si>
    <t>ARPC4</t>
  </si>
  <si>
    <t>TPI1</t>
  </si>
  <si>
    <t>EIF3E</t>
  </si>
  <si>
    <t>SEC61B</t>
  </si>
  <si>
    <t>PPP4C</t>
  </si>
  <si>
    <t>GABARAPL2</t>
  </si>
  <si>
    <t>UBE2G2</t>
  </si>
  <si>
    <t>MYL6</t>
  </si>
  <si>
    <t>RAC3</t>
  </si>
  <si>
    <t>EIF4A1</t>
  </si>
  <si>
    <t>RPS20</t>
  </si>
  <si>
    <t>PRPS1</t>
  </si>
  <si>
    <t>PSMA6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</si>
  <si>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</si>
  <si>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</si>
  <si>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</si>
  <si>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</si>
  <si>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</si>
  <si>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</si>
  <si>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</si>
  <si>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</si>
  <si>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</si>
  <si>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</si>
  <si>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</si>
  <si>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</si>
  <si>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</si>
  <si>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</si>
  <si>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</si>
  <si>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</si>
  <si>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</si>
  <si>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</si>
  <si>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</si>
  <si>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</si>
  <si>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POLR2F</t>
  </si>
  <si>
    <t>ABCE1</t>
  </si>
  <si>
    <t>RAP1B</t>
  </si>
  <si>
    <t>RAP2B</t>
  </si>
  <si>
    <t>RPS3A</t>
  </si>
  <si>
    <t>RPL26</t>
  </si>
  <si>
    <t>PSME3</t>
  </si>
  <si>
    <t>MAGOH</t>
  </si>
  <si>
    <t>RPL27</t>
  </si>
  <si>
    <t>PCBD1</t>
  </si>
  <si>
    <t>RHOA</t>
  </si>
  <si>
    <t>NAA20</t>
  </si>
  <si>
    <t>HSPE1</t>
  </si>
  <si>
    <t>SEC61A1</t>
  </si>
  <si>
    <t>LYZ</t>
  </si>
  <si>
    <t>VBP1</t>
  </si>
  <si>
    <t>STXBP1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</si>
  <si>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</si>
  <si>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</si>
  <si>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</si>
  <si>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</si>
  <si>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</si>
  <si>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</si>
  <si>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</si>
  <si>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</si>
  <si>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</si>
  <si>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</si>
  <si>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</si>
  <si>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</si>
  <si>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</si>
  <si>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</si>
  <si>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CALM1</t>
  </si>
  <si>
    <t>NCS1</t>
  </si>
  <si>
    <t>PSMC1</t>
  </si>
  <si>
    <t>PSMC5</t>
  </si>
  <si>
    <t>RPS8</t>
  </si>
  <si>
    <t>RPS16</t>
  </si>
  <si>
    <t>UBE2G1</t>
  </si>
  <si>
    <t>UBE2H</t>
  </si>
  <si>
    <t>YWHAE</t>
  </si>
  <si>
    <t>RPS14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</si>
  <si>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</si>
  <si>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</si>
  <si>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</si>
  <si>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</si>
  <si>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</si>
  <si>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</si>
  <si>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</si>
  <si>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</si>
  <si>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</si>
  <si>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</si>
  <si>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</si>
  <si>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</si>
  <si>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</si>
  <si>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</si>
  <si>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</si>
  <si>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</si>
  <si>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</si>
  <si>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</si>
  <si>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</si>
  <si>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</si>
  <si>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</si>
  <si>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</si>
  <si>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</si>
  <si>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</si>
  <si>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</si>
  <si>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</si>
  <si>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</si>
  <si>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</si>
  <si>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RAP1A</t>
  </si>
  <si>
    <t>UBE2D2</t>
  </si>
  <si>
    <t>RPS24</t>
  </si>
  <si>
    <t>RPS25</t>
  </si>
  <si>
    <t>RPS26</t>
  </si>
  <si>
    <t>RPS28</t>
  </si>
  <si>
    <t>FAU</t>
  </si>
  <si>
    <t>GNB1</t>
  </si>
  <si>
    <t>RBX1</t>
  </si>
  <si>
    <t>RPL11</t>
  </si>
  <si>
    <t>PPIA</t>
  </si>
  <si>
    <t>FKBP1A</t>
  </si>
  <si>
    <t>RPS27A</t>
  </si>
  <si>
    <t>GRB2</t>
  </si>
  <si>
    <t>TRA2B</t>
  </si>
  <si>
    <t>RAC1</t>
  </si>
  <si>
    <t>AP2B1</t>
  </si>
  <si>
    <t>YWHAZ</t>
  </si>
  <si>
    <t>PPP2R2A</t>
  </si>
  <si>
    <t>SUMO1</t>
  </si>
  <si>
    <t>DYNLL1</t>
  </si>
  <si>
    <t>EIF5A</t>
  </si>
  <si>
    <t>GNB2L1</t>
  </si>
  <si>
    <t>ACTG1</t>
  </si>
  <si>
    <t>SUPT4H1</t>
  </si>
  <si>
    <t>UBE2I</t>
  </si>
  <si>
    <t>SEPW1</t>
  </si>
  <si>
    <t>TMSB10</t>
  </si>
  <si>
    <t>PPP2CA</t>
  </si>
  <si>
    <t>YBX1</t>
  </si>
  <si>
    <t>CSNK2B</t>
  </si>
  <si>
    <t>ACTC1</t>
  </si>
  <si>
    <t>UBE2L3</t>
  </si>
  <si>
    <t>EEF1A1</t>
  </si>
  <si>
    <t>ACTA1</t>
  </si>
  <si>
    <t>TUBA1B</t>
  </si>
  <si>
    <t>TUBB4B</t>
  </si>
  <si>
    <t>PAFAH1B2</t>
  </si>
  <si>
    <t>HBG1</t>
  </si>
  <si>
    <t>HBG2</t>
  </si>
  <si>
    <t>HBA1</t>
  </si>
  <si>
    <t>FAM193A</t>
  </si>
  <si>
    <t>SH3BP2</t>
  </si>
  <si>
    <t>IGBP1</t>
  </si>
  <si>
    <t>PSPH</t>
  </si>
  <si>
    <t>RBM6</t>
  </si>
  <si>
    <t>PITX1</t>
  </si>
  <si>
    <t>RPP38</t>
  </si>
  <si>
    <t>RPP30</t>
  </si>
  <si>
    <t>GTF2I</t>
  </si>
  <si>
    <t>PIP4K2B</t>
  </si>
  <si>
    <t>PHC1</t>
  </si>
  <si>
    <t>CCT2</t>
  </si>
  <si>
    <t>RAE1</t>
  </si>
  <si>
    <t>GSTO1</t>
  </si>
  <si>
    <t>PRKDC</t>
  </si>
  <si>
    <t>ADAM17</t>
  </si>
  <si>
    <t>BLOC1S1</t>
  </si>
  <si>
    <t>NTHL1</t>
  </si>
  <si>
    <t>MAP1A</t>
  </si>
  <si>
    <t>CRADD</t>
  </si>
  <si>
    <t>IFI35</t>
  </si>
  <si>
    <t>MT1X</t>
  </si>
  <si>
    <t>NUCB2</t>
  </si>
  <si>
    <t>DCD</t>
  </si>
  <si>
    <t>SSBP2</t>
  </si>
  <si>
    <t>TMF1</t>
  </si>
  <si>
    <t>MRPS35</t>
  </si>
  <si>
    <t>MRPS34</t>
  </si>
  <si>
    <t>MRPS9</t>
  </si>
  <si>
    <t>HMGN5</t>
  </si>
  <si>
    <t>SARNP</t>
  </si>
  <si>
    <t>RBP5</t>
  </si>
  <si>
    <t>LSM11</t>
  </si>
  <si>
    <t>COG7</t>
  </si>
  <si>
    <t>RPL36A</t>
  </si>
  <si>
    <t>CBX1</t>
  </si>
  <si>
    <t>SMAD3</t>
  </si>
  <si>
    <t>ARF1</t>
  </si>
  <si>
    <t>ARF5</t>
  </si>
  <si>
    <t>ERH</t>
  </si>
  <si>
    <t>RHOG</t>
  </si>
  <si>
    <t>SERF2</t>
  </si>
  <si>
    <t>FOXK1</t>
  </si>
  <si>
    <t>PRR5</t>
  </si>
  <si>
    <t>CCZ1</t>
  </si>
  <si>
    <t>DAB2</t>
  </si>
  <si>
    <t>XIAP</t>
  </si>
  <si>
    <t>FGD1</t>
  </si>
  <si>
    <t>RBM10</t>
  </si>
  <si>
    <t>FOXO4</t>
  </si>
  <si>
    <t>RBM3</t>
  </si>
  <si>
    <t>MPP1</t>
  </si>
  <si>
    <t>TFAM</t>
  </si>
  <si>
    <t>PITPNA</t>
  </si>
  <si>
    <t>SLC25A3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</si>
  <si>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</si>
  <si>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</si>
  <si>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</si>
  <si>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</si>
  <si>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</si>
  <si>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</si>
  <si>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</si>
  <si>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</si>
  <si>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HSF1</t>
  </si>
  <si>
    <t>NFKB2</t>
  </si>
  <si>
    <t>FKBP3</t>
  </si>
  <si>
    <t>SORD</t>
  </si>
  <si>
    <t>HNRNPU</t>
  </si>
  <si>
    <t>IRF9</t>
  </si>
  <si>
    <t>U2AF1</t>
  </si>
  <si>
    <t>SPTBN1</t>
  </si>
  <si>
    <t>TIAL1</t>
  </si>
  <si>
    <t>SET</t>
  </si>
  <si>
    <t>SRSF2</t>
  </si>
  <si>
    <t>FOXK2</t>
  </si>
  <si>
    <t>RUNX1</t>
  </si>
  <si>
    <t>AMPD3</t>
  </si>
  <si>
    <t>AMPD2</t>
  </si>
  <si>
    <t>CTBS</t>
  </si>
  <si>
    <t>FABP5</t>
  </si>
  <si>
    <t>CAP1</t>
  </si>
  <si>
    <t>HMGCS1</t>
  </si>
  <si>
    <t>SLC7A5</t>
  </si>
  <si>
    <t>DR1</t>
  </si>
  <si>
    <t>TFAP4</t>
  </si>
  <si>
    <t>EXOSC10</t>
  </si>
  <si>
    <t>OTUD4</t>
  </si>
  <si>
    <t>PFKP</t>
  </si>
  <si>
    <t>XPC</t>
  </si>
  <si>
    <t>CDR2</t>
  </si>
  <si>
    <t>OCRL</t>
  </si>
  <si>
    <t>PLCB3</t>
  </si>
  <si>
    <t>AKAP17A</t>
  </si>
  <si>
    <t>SP2</t>
  </si>
  <si>
    <t>PRKCE</t>
  </si>
  <si>
    <t>CENPE</t>
  </si>
  <si>
    <t>SP4</t>
  </si>
  <si>
    <t>SP3</t>
  </si>
  <si>
    <t>RPL18A</t>
  </si>
  <si>
    <t>CACNB1</t>
  </si>
  <si>
    <t>MAP2K1</t>
  </si>
  <si>
    <t>FKBP4</t>
  </si>
  <si>
    <t>PLOD1</t>
  </si>
  <si>
    <t>NUCB1</t>
  </si>
  <si>
    <t>RASSF7</t>
  </si>
  <si>
    <t>RPL6</t>
  </si>
  <si>
    <t>TOP2B</t>
  </si>
  <si>
    <t>AKAP12</t>
  </si>
  <si>
    <t>DST</t>
  </si>
  <si>
    <t>HHEX</t>
  </si>
  <si>
    <t>CREM</t>
  </si>
  <si>
    <t>MLLT1</t>
  </si>
  <si>
    <t>ACY1</t>
  </si>
  <si>
    <t>MLL</t>
  </si>
  <si>
    <t>TNFAIP2</t>
  </si>
  <si>
    <t>CENPC1</t>
  </si>
  <si>
    <t>LMNB2</t>
  </si>
  <si>
    <t>ERCC6</t>
  </si>
  <si>
    <t>CEBPZ</t>
  </si>
  <si>
    <t>HSF2</t>
  </si>
  <si>
    <t>GBE1</t>
  </si>
  <si>
    <t>EIF4G1</t>
  </si>
  <si>
    <t>ATP7A</t>
  </si>
  <si>
    <t>TLE2</t>
  </si>
  <si>
    <t>PRKCQ</t>
  </si>
  <si>
    <t>GLO1</t>
  </si>
  <si>
    <t>AKR1C1</t>
  </si>
  <si>
    <t>SSBP1</t>
  </si>
  <si>
    <t>YWHAH</t>
  </si>
  <si>
    <t>CSTF1</t>
  </si>
  <si>
    <t>UBE3A</t>
  </si>
  <si>
    <t>DNM1</t>
  </si>
  <si>
    <t>PTPN12</t>
  </si>
  <si>
    <t>PRKCZ</t>
  </si>
  <si>
    <t>SRSF11</t>
  </si>
  <si>
    <t>EEF1A2</t>
  </si>
  <si>
    <t>PRKCD</t>
  </si>
  <si>
    <t>CALD1</t>
  </si>
  <si>
    <t>RNASEL</t>
  </si>
  <si>
    <t>MBTD1</t>
  </si>
  <si>
    <t>CTDSPL2</t>
  </si>
  <si>
    <t>ZNF394</t>
  </si>
  <si>
    <t>PTPN11</t>
  </si>
  <si>
    <t>BTK</t>
  </si>
  <si>
    <t>PPAT</t>
  </si>
  <si>
    <t>GFPT1</t>
  </si>
  <si>
    <t>EXOSC9</t>
  </si>
  <si>
    <t>PSME1</t>
  </si>
  <si>
    <t>RBPJ</t>
  </si>
  <si>
    <t>GABPA</t>
  </si>
  <si>
    <t>RING1</t>
  </si>
  <si>
    <t>RAD51</t>
  </si>
  <si>
    <t>PRDX1</t>
  </si>
  <si>
    <t>C1QBP</t>
  </si>
  <si>
    <t>TJP1</t>
  </si>
  <si>
    <t>KHDRBS1</t>
  </si>
  <si>
    <t>BAX</t>
  </si>
  <si>
    <t>POLE</t>
  </si>
  <si>
    <t>KLC1</t>
  </si>
  <si>
    <t>TNK2</t>
  </si>
  <si>
    <t>SRSF1</t>
  </si>
  <si>
    <t>ARHGAP1</t>
  </si>
  <si>
    <t>AES</t>
  </si>
  <si>
    <t>SRSF4</t>
  </si>
  <si>
    <t>PPP3CA</t>
  </si>
  <si>
    <t>DHX9</t>
  </si>
  <si>
    <t>CRYZ</t>
  </si>
  <si>
    <t>GOLGA3</t>
  </si>
  <si>
    <t>GOLGA2</t>
  </si>
  <si>
    <t>LGALS3BP</t>
  </si>
  <si>
    <t>EPB49</t>
  </si>
  <si>
    <t>HDHD1</t>
  </si>
  <si>
    <t>PPID</t>
  </si>
  <si>
    <t>SSRP1</t>
  </si>
  <si>
    <t>CAMSAP2</t>
  </si>
  <si>
    <t>SPIRE1</t>
  </si>
  <si>
    <t>MZT1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</si>
  <si>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</si>
  <si>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</si>
  <si>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</si>
  <si>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</si>
  <si>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</si>
  <si>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</si>
  <si>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</si>
  <si>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</si>
  <si>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APOBR</t>
  </si>
  <si>
    <t>HSPA14</t>
  </si>
  <si>
    <t>SCRN3</t>
  </si>
  <si>
    <t>FAAP100</t>
  </si>
  <si>
    <t>LAMTOR4</t>
  </si>
  <si>
    <t>MGAT2</t>
  </si>
  <si>
    <t>AP1B1</t>
  </si>
  <si>
    <t>CPSF1</t>
  </si>
  <si>
    <t>PMPCA</t>
  </si>
  <si>
    <t>KIF1A</t>
  </si>
  <si>
    <t>HMGXB3</t>
  </si>
  <si>
    <t>KIAA0196</t>
  </si>
  <si>
    <t>NUP160</t>
  </si>
  <si>
    <t>TBL3</t>
  </si>
  <si>
    <t>GTF3C1</t>
  </si>
  <si>
    <t>TWF1</t>
  </si>
  <si>
    <t>ASPH</t>
  </si>
  <si>
    <t>TFCP2</t>
  </si>
  <si>
    <t>AKAP13</t>
  </si>
  <si>
    <t>KCNH2</t>
  </si>
  <si>
    <t>SMARCB1</t>
  </si>
  <si>
    <t>CDC20</t>
  </si>
  <si>
    <t>KIF5A</t>
  </si>
  <si>
    <t>GRSF1</t>
  </si>
  <si>
    <t>SFSWAP</t>
  </si>
  <si>
    <t>SF3A3</t>
  </si>
  <si>
    <t>TP53BP1</t>
  </si>
  <si>
    <t>AIMP1</t>
  </si>
  <si>
    <t>ILF2</t>
  </si>
  <si>
    <t>ILF3</t>
  </si>
  <si>
    <t>LMAN2</t>
  </si>
  <si>
    <t>LRMP</t>
  </si>
  <si>
    <t>TRAF2</t>
  </si>
  <si>
    <t>ANK3</t>
  </si>
  <si>
    <t>DLG1</t>
  </si>
  <si>
    <t>TAF10</t>
  </si>
  <si>
    <t>NFATC3</t>
  </si>
  <si>
    <t>PPP1R8</t>
  </si>
  <si>
    <t>PTP4A2</t>
  </si>
  <si>
    <t>ABR</t>
  </si>
  <si>
    <t>BNIP1</t>
  </si>
  <si>
    <t>BNIP2</t>
  </si>
  <si>
    <t>NFX1</t>
  </si>
  <si>
    <t>CSTF3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</si>
  <si>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</si>
  <si>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</si>
  <si>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</si>
  <si>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</si>
  <si>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</si>
  <si>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</si>
  <si>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</si>
  <si>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</si>
  <si>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TRDN</t>
  </si>
  <si>
    <t>ACACA</t>
  </si>
  <si>
    <t>LCP2</t>
  </si>
  <si>
    <t>ZBTB17</t>
  </si>
  <si>
    <t>USP4</t>
  </si>
  <si>
    <t>CHAF1A</t>
  </si>
  <si>
    <t>CHAF1B</t>
  </si>
  <si>
    <t>IK</t>
  </si>
  <si>
    <t>REST</t>
  </si>
  <si>
    <t>RLF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</si>
  <si>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</si>
  <si>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</si>
  <si>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</si>
  <si>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</si>
  <si>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</si>
  <si>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</si>
  <si>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</si>
  <si>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</si>
  <si>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</si>
  <si>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</si>
  <si>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</si>
  <si>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</si>
  <si>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</si>
  <si>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</si>
  <si>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</si>
  <si>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DDX10</t>
  </si>
  <si>
    <t>ERCC8</t>
  </si>
  <si>
    <t>DNAJC3</t>
  </si>
  <si>
    <t>SELENBP1</t>
  </si>
  <si>
    <t>NME3</t>
  </si>
  <si>
    <t>MAP3K1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</si>
  <si>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</si>
  <si>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</si>
  <si>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</si>
  <si>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</si>
  <si>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</si>
  <si>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</si>
  <si>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</si>
  <si>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</si>
  <si>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KCNAB2</t>
  </si>
  <si>
    <t>PTK7</t>
  </si>
  <si>
    <t>SKP2</t>
  </si>
  <si>
    <t>PABPC4</t>
  </si>
  <si>
    <t>ATM</t>
  </si>
  <si>
    <t>GRB10</t>
  </si>
  <si>
    <t>MTA1</t>
  </si>
  <si>
    <t>PTPRS</t>
  </si>
  <si>
    <t>EIF3I</t>
  </si>
  <si>
    <t>KLF1</t>
  </si>
  <si>
    <t>PPIL2</t>
  </si>
  <si>
    <t>PPP2R5C</t>
  </si>
  <si>
    <t>CTBP1</t>
  </si>
  <si>
    <t>PDCL</t>
  </si>
  <si>
    <t>TARBP1</t>
  </si>
  <si>
    <t>UBE2V1</t>
  </si>
  <si>
    <t>DYNC1I2</t>
  </si>
  <si>
    <t>ORC1</t>
  </si>
  <si>
    <t>ORC2</t>
  </si>
  <si>
    <t>ILK</t>
  </si>
  <si>
    <t>IKZF1</t>
  </si>
  <si>
    <t>NNT</t>
  </si>
  <si>
    <t>SNTA1</t>
  </si>
  <si>
    <t>SNTB2</t>
  </si>
  <si>
    <t>XRCC4</t>
  </si>
  <si>
    <t>PPIG</t>
  </si>
  <si>
    <t>UNC119</t>
  </si>
  <si>
    <t>OS9</t>
  </si>
  <si>
    <t>GOLGA4</t>
  </si>
  <si>
    <t>PDAP1</t>
  </si>
  <si>
    <t>FKBP5</t>
  </si>
  <si>
    <t>ROCK1</t>
  </si>
  <si>
    <t>NFATC2</t>
  </si>
  <si>
    <t>PICALM</t>
  </si>
  <si>
    <t>MTM1</t>
  </si>
  <si>
    <t>SQSTM1</t>
  </si>
  <si>
    <t>MED21</t>
  </si>
  <si>
    <t>NAB1</t>
  </si>
  <si>
    <t>TUBB3</t>
  </si>
  <si>
    <t>PRPF4B</t>
  </si>
  <si>
    <t>PIN1</t>
  </si>
  <si>
    <t>EIF4EBP1</t>
  </si>
  <si>
    <t>EIF4EBP2</t>
  </si>
  <si>
    <t>RIPK1</t>
  </si>
  <si>
    <t>HDAC1</t>
  </si>
  <si>
    <t>CAMK2G</t>
  </si>
  <si>
    <t>CAMK2D</t>
  </si>
  <si>
    <t>DCTN2</t>
  </si>
  <si>
    <t>NAE1</t>
  </si>
  <si>
    <t>ITPK1</t>
  </si>
  <si>
    <t>IQGAP2</t>
  </si>
  <si>
    <t>STIM1</t>
  </si>
  <si>
    <t>SNX1</t>
  </si>
  <si>
    <t>KRR1</t>
  </si>
  <si>
    <t>PWP1</t>
  </si>
  <si>
    <t>MTMR1</t>
  </si>
  <si>
    <t>MTMR2</t>
  </si>
  <si>
    <t>CUL1</t>
  </si>
  <si>
    <t>CUL2</t>
  </si>
  <si>
    <t>CUL3</t>
  </si>
  <si>
    <t>CUL4A</t>
  </si>
  <si>
    <t>CUL4B</t>
  </si>
  <si>
    <t>TP53BP2</t>
  </si>
  <si>
    <t>DYRK1A</t>
  </si>
  <si>
    <t>TSTA3</t>
  </si>
  <si>
    <t>RAB31</t>
  </si>
  <si>
    <t>RAB32</t>
  </si>
  <si>
    <t>FHL3</t>
  </si>
  <si>
    <t>ALKBH1</t>
  </si>
  <si>
    <t>MOGS</t>
  </si>
  <si>
    <t>THOC5</t>
  </si>
  <si>
    <t>GNL2</t>
  </si>
  <si>
    <t>AUH</t>
  </si>
  <si>
    <t>PKP1</t>
  </si>
  <si>
    <t>DDX39B</t>
  </si>
  <si>
    <t>BLMH</t>
  </si>
  <si>
    <t>EXOSC2</t>
  </si>
  <si>
    <t>TUBB2A</t>
  </si>
  <si>
    <t>BYSL</t>
  </si>
  <si>
    <t>C1D</t>
  </si>
  <si>
    <t>RAPGEF1</t>
  </si>
  <si>
    <t>IDI1</t>
  </si>
  <si>
    <t>CBFB</t>
  </si>
  <si>
    <t>NFYC</t>
  </si>
  <si>
    <t>CDK13</t>
  </si>
  <si>
    <t>CKAP5</t>
  </si>
  <si>
    <t>CIRBP</t>
  </si>
  <si>
    <t>CAMK1</t>
  </si>
  <si>
    <t>COTL1</t>
  </si>
  <si>
    <t>COX17</t>
  </si>
  <si>
    <t>HNRNPD</t>
  </si>
  <si>
    <t>DAG1</t>
  </si>
  <si>
    <t>DSG2</t>
  </si>
  <si>
    <t>BOP1</t>
  </si>
  <si>
    <t>UBE4A</t>
  </si>
  <si>
    <t>SEPT6</t>
  </si>
  <si>
    <t>KEAP1</t>
  </si>
  <si>
    <t>DHX34</t>
  </si>
  <si>
    <t>MORC3</t>
  </si>
  <si>
    <t>EIF3A</t>
  </si>
  <si>
    <t>FAM53B</t>
  </si>
  <si>
    <t>ARHGEF7</t>
  </si>
  <si>
    <t>UBAP2L</t>
  </si>
  <si>
    <t>GIT2</t>
  </si>
  <si>
    <t>TTLL12</t>
  </si>
  <si>
    <t>POLA2</t>
  </si>
  <si>
    <t>WRN</t>
  </si>
  <si>
    <t>FHL2</t>
  </si>
  <si>
    <t>ZMYM3</t>
  </si>
  <si>
    <t>DCTN1</t>
  </si>
  <si>
    <t>DYNC1H1</t>
  </si>
  <si>
    <t>NPAT</t>
  </si>
  <si>
    <t>EIF2B1</t>
  </si>
  <si>
    <t>TCEB3</t>
  </si>
  <si>
    <t>MAP7</t>
  </si>
  <si>
    <t>CTTN</t>
  </si>
  <si>
    <t>ENDOG</t>
  </si>
  <si>
    <t>TRIM25</t>
  </si>
  <si>
    <t>PTK2B</t>
  </si>
  <si>
    <t>FLNC</t>
  </si>
  <si>
    <t>FKBP8</t>
  </si>
  <si>
    <t>FAM50A</t>
  </si>
  <si>
    <t>FRG1</t>
  </si>
  <si>
    <t>GAMT</t>
  </si>
  <si>
    <t>GALE</t>
  </si>
  <si>
    <t>CAPRIN1</t>
  </si>
  <si>
    <t>BECN1</t>
  </si>
  <si>
    <t>SLBP</t>
  </si>
  <si>
    <t>RBM39</t>
  </si>
  <si>
    <t>HABP2</t>
  </si>
  <si>
    <t>HLTF</t>
  </si>
  <si>
    <t>PDIA5</t>
  </si>
  <si>
    <t>PRPSAP1</t>
  </si>
  <si>
    <t>DHX8</t>
  </si>
  <si>
    <t>MCM6</t>
  </si>
  <si>
    <t>NBR1</t>
  </si>
  <si>
    <t>PLS1</t>
  </si>
  <si>
    <t>IRF3</t>
  </si>
  <si>
    <t>LAGE3</t>
  </si>
  <si>
    <t>TRIP12</t>
  </si>
  <si>
    <t>PUM1</t>
  </si>
  <si>
    <t>ESPL1</t>
  </si>
  <si>
    <t>MDC1</t>
  </si>
  <si>
    <t>CLINT1</t>
  </si>
  <si>
    <t>SMC1A</t>
  </si>
  <si>
    <t>RRP1B</t>
  </si>
  <si>
    <t>NCOA6</t>
  </si>
  <si>
    <t>GSE1</t>
  </si>
  <si>
    <t>DIP2A</t>
  </si>
  <si>
    <t>PDCD11</t>
  </si>
  <si>
    <t>GINS1</t>
  </si>
  <si>
    <t>BMS1</t>
  </si>
  <si>
    <t>USP10</t>
  </si>
  <si>
    <t>MESDC2</t>
  </si>
  <si>
    <t>GANAB</t>
  </si>
  <si>
    <t>LBR</t>
  </si>
  <si>
    <t>COG2</t>
  </si>
  <si>
    <t>CBX2</t>
  </si>
  <si>
    <t>GOLGB1</t>
  </si>
  <si>
    <t>CASP8</t>
  </si>
  <si>
    <t>NAA30</t>
  </si>
  <si>
    <t>KIF22</t>
  </si>
  <si>
    <t>MEF2D</t>
  </si>
  <si>
    <t>CHD4</t>
  </si>
  <si>
    <t>LASP1</t>
  </si>
  <si>
    <t>STARD3</t>
  </si>
  <si>
    <t>PTGR1</t>
  </si>
  <si>
    <t>DRAP1</t>
  </si>
  <si>
    <t>NFATC4</t>
  </si>
  <si>
    <t>ZNF638</t>
  </si>
  <si>
    <t>KPNB1</t>
  </si>
  <si>
    <t>NOLC1</t>
  </si>
  <si>
    <t>PSME4</t>
  </si>
  <si>
    <t>CUL7</t>
  </si>
  <si>
    <t>SLMAP</t>
  </si>
  <si>
    <t>GAPVD1</t>
  </si>
  <si>
    <t>UBXN2B</t>
  </si>
  <si>
    <t>NAA25</t>
  </si>
  <si>
    <t>NCAPH</t>
  </si>
  <si>
    <t>WTAP</t>
  </si>
  <si>
    <t>MAD2L1BP</t>
  </si>
  <si>
    <t>MORF4L2</t>
  </si>
  <si>
    <t>FAM175B</t>
  </si>
  <si>
    <t>SEPT2</t>
  </si>
  <si>
    <t>SART3</t>
  </si>
  <si>
    <t>NCAPD2</t>
  </si>
  <si>
    <t>EXOSC7</t>
  </si>
  <si>
    <t>EFTUD2</t>
  </si>
  <si>
    <t>R3HDM1</t>
  </si>
  <si>
    <t>SNX17</t>
  </si>
  <si>
    <t>RAB3GAP1</t>
  </si>
  <si>
    <t>KARS</t>
  </si>
  <si>
    <t>SETDB1</t>
  </si>
  <si>
    <t>LRRC14</t>
  </si>
  <si>
    <t>RRS1</t>
  </si>
  <si>
    <t>IQCB1</t>
  </si>
  <si>
    <t>ARHGEF6</t>
  </si>
  <si>
    <t>EIF4H</t>
  </si>
  <si>
    <t>ACAP2</t>
  </si>
  <si>
    <t>KIF14</t>
  </si>
  <si>
    <t>BRD3</t>
  </si>
  <si>
    <t>WDR43</t>
  </si>
  <si>
    <t>ACOX1</t>
  </si>
  <si>
    <t>EEA1</t>
  </si>
  <si>
    <t>PAFAH1B3</t>
  </si>
  <si>
    <t>PLCL1</t>
  </si>
  <si>
    <t>PEA15</t>
  </si>
  <si>
    <t>PMVK</t>
  </si>
  <si>
    <t>PLCB4</t>
  </si>
  <si>
    <t>PLEC</t>
  </si>
  <si>
    <t>TCEAL1</t>
  </si>
  <si>
    <t>PPP2R5A</t>
  </si>
  <si>
    <t>PPP2R5B</t>
  </si>
  <si>
    <t>PPA1</t>
  </si>
  <si>
    <t>STK38</t>
  </si>
  <si>
    <t>NONO</t>
  </si>
  <si>
    <t>PPP2R4</t>
  </si>
  <si>
    <t>PTPRK</t>
  </si>
  <si>
    <t>PWP2</t>
  </si>
  <si>
    <t>QPRT</t>
  </si>
  <si>
    <t>RABEP1</t>
  </si>
  <si>
    <t>RASA2</t>
  </si>
  <si>
    <t>RAB35</t>
  </si>
  <si>
    <t>RBBP5</t>
  </si>
  <si>
    <t>RCN1</t>
  </si>
  <si>
    <t>RALBP1</t>
  </si>
  <si>
    <t>KRT31</t>
  </si>
  <si>
    <t>LLGL1</t>
  </si>
  <si>
    <t>LRRC41</t>
  </si>
  <si>
    <t>TTF1</t>
  </si>
  <si>
    <t>TMED2</t>
  </si>
  <si>
    <t>PCBP1</t>
  </si>
  <si>
    <t>PCBP2</t>
  </si>
  <si>
    <t>RHEB</t>
  </si>
  <si>
    <t>UBE3C</t>
  </si>
  <si>
    <t>SF3B3</t>
  </si>
  <si>
    <t>DLGAP5</t>
  </si>
  <si>
    <t>RSU1</t>
  </si>
  <si>
    <t>SAFB</t>
  </si>
  <si>
    <t>SF3B4</t>
  </si>
  <si>
    <t>SF3A2</t>
  </si>
  <si>
    <t>PPP1R7</t>
  </si>
  <si>
    <t>SEC23B</t>
  </si>
  <si>
    <t>CYTH1</t>
  </si>
  <si>
    <t>SHB</t>
  </si>
  <si>
    <t>SPA17</t>
  </si>
  <si>
    <t>SURF2</t>
  </si>
  <si>
    <t>TAF5</t>
  </si>
  <si>
    <t>TAF11</t>
  </si>
  <si>
    <t>TAF7</t>
  </si>
  <si>
    <t>TERF2</t>
  </si>
  <si>
    <t>MAPRE2</t>
  </si>
  <si>
    <t>TCEA2</t>
  </si>
  <si>
    <t>TEAD4</t>
  </si>
  <si>
    <t>NCOA2</t>
  </si>
  <si>
    <t>SLC9A3R2</t>
  </si>
  <si>
    <t>TRADD</t>
  </si>
  <si>
    <t>TARBP2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</si>
  <si>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</si>
  <si>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</si>
  <si>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</si>
  <si>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</si>
  <si>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</si>
  <si>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</si>
  <si>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</si>
  <si>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</si>
  <si>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TRIP6</t>
  </si>
  <si>
    <t>MAPRE1</t>
  </si>
  <si>
    <t>ZRSR1</t>
  </si>
  <si>
    <t>ZNF174</t>
  </si>
  <si>
    <t>TSC22D1</t>
  </si>
  <si>
    <t>ELAVL1</t>
  </si>
  <si>
    <t>ELF2</t>
  </si>
  <si>
    <t>NSDHL</t>
  </si>
  <si>
    <t>NAB2</t>
  </si>
  <si>
    <t>MYLK</t>
  </si>
  <si>
    <t>TAB1</t>
  </si>
  <si>
    <t>HERC1</t>
  </si>
  <si>
    <t>SLC1A5</t>
  </si>
  <si>
    <t>MAPK11</t>
  </si>
  <si>
    <t>MLF2</t>
  </si>
  <si>
    <t>ZKSCAN8</t>
  </si>
  <si>
    <t>TOMM34</t>
  </si>
  <si>
    <t>NCOA1</t>
  </si>
  <si>
    <t>SMAD2</t>
  </si>
  <si>
    <t>SMAD1</t>
  </si>
  <si>
    <t>TBCE</t>
  </si>
  <si>
    <t>TBCC</t>
  </si>
  <si>
    <t>UBE2V2</t>
  </si>
  <si>
    <t>STK11</t>
  </si>
  <si>
    <t>STXBP2</t>
  </si>
  <si>
    <t>VAMP3</t>
  </si>
  <si>
    <t>ATP6AP1</t>
  </si>
  <si>
    <t>VPS72</t>
  </si>
  <si>
    <t>RAB11B</t>
  </si>
  <si>
    <t>EZH2</t>
  </si>
  <si>
    <t>ZNF77</t>
  </si>
  <si>
    <t>ZYX</t>
  </si>
  <si>
    <t>SEPT7</t>
  </si>
  <si>
    <t>ADRM1</t>
  </si>
  <si>
    <t>CCDC6</t>
  </si>
  <si>
    <t>UAP1</t>
  </si>
  <si>
    <t>E2F4</t>
  </si>
  <si>
    <t>INA</t>
  </si>
  <si>
    <t>PSMD5</t>
  </si>
  <si>
    <t>PKN1</t>
  </si>
  <si>
    <t>PKN2</t>
  </si>
  <si>
    <t>TAF12</t>
  </si>
  <si>
    <t>DDB1</t>
  </si>
  <si>
    <t>MAPK14</t>
  </si>
  <si>
    <t>DPYSL2</t>
  </si>
  <si>
    <t>RBBP7</t>
  </si>
  <si>
    <t>ZNF239</t>
  </si>
  <si>
    <t>ECM1</t>
  </si>
  <si>
    <t>CTF1</t>
  </si>
  <si>
    <t>MEA1</t>
  </si>
  <si>
    <t>SRSF7</t>
  </si>
  <si>
    <t>SMN1</t>
  </si>
  <si>
    <t>DBN1</t>
  </si>
  <si>
    <t>MAPKAPK3</t>
  </si>
  <si>
    <t>NFIL3</t>
  </si>
  <si>
    <t>NRF1</t>
  </si>
  <si>
    <t>FSCN1</t>
  </si>
  <si>
    <t>MAPK6</t>
  </si>
  <si>
    <t>IFI16</t>
  </si>
  <si>
    <t>ZSCAN26</t>
  </si>
  <si>
    <t>KYNU</t>
  </si>
  <si>
    <t>CLPP</t>
  </si>
  <si>
    <t>TST</t>
  </si>
  <si>
    <t>UBE2S</t>
  </si>
  <si>
    <t>CCBL1</t>
  </si>
  <si>
    <t>HIST2H2BE</t>
  </si>
  <si>
    <t>MEP1A</t>
  </si>
  <si>
    <t>PCK2</t>
  </si>
  <si>
    <t>UPP1</t>
  </si>
  <si>
    <t>HADH</t>
  </si>
  <si>
    <t>UGP2</t>
  </si>
  <si>
    <t>DGUOK</t>
  </si>
  <si>
    <t>ATP6V1F</t>
  </si>
  <si>
    <t>PFKFB3</t>
  </si>
  <si>
    <t>TATDN3</t>
  </si>
  <si>
    <t>FAM98C</t>
  </si>
  <si>
    <t>REL</t>
  </si>
  <si>
    <t>ZSWIM7</t>
  </si>
  <si>
    <t>KNOP1</t>
  </si>
  <si>
    <t>CSPP1</t>
  </si>
  <si>
    <t>INF2</t>
  </si>
  <si>
    <t>PDS5A</t>
  </si>
  <si>
    <t>QSER1</t>
  </si>
  <si>
    <t>CLEC16A</t>
  </si>
  <si>
    <t>MTHFSD</t>
  </si>
  <si>
    <t>AAK1</t>
  </si>
  <si>
    <t>PLK1S1</t>
  </si>
  <si>
    <t>KIAA1033</t>
  </si>
  <si>
    <t>SHROOM1</t>
  </si>
  <si>
    <t>TSR1</t>
  </si>
  <si>
    <t>VMAC</t>
  </si>
  <si>
    <t>RALGAPA2</t>
  </si>
  <si>
    <t>TRIM71</t>
  </si>
  <si>
    <t>QRICH1</t>
  </si>
  <si>
    <t>RELA</t>
  </si>
  <si>
    <t>SMU1</t>
  </si>
  <si>
    <t>ATG2A</t>
  </si>
  <si>
    <t>ZNF800</t>
  </si>
  <si>
    <t>CWF19L2</t>
  </si>
  <si>
    <t>WSCD2</t>
  </si>
  <si>
    <t>CTU2</t>
  </si>
  <si>
    <t>UVSSA</t>
  </si>
  <si>
    <t>ATHL1</t>
  </si>
  <si>
    <t>MYLK3</t>
  </si>
  <si>
    <t>LRRFIP1</t>
  </si>
  <si>
    <t>POLD3</t>
  </si>
  <si>
    <t>LEPRE1</t>
  </si>
  <si>
    <t>TRMT5</t>
  </si>
  <si>
    <t>EML3</t>
  </si>
  <si>
    <t>TWISTNB</t>
  </si>
  <si>
    <t>MAP7D1</t>
  </si>
  <si>
    <t>ZNF792</t>
  </si>
  <si>
    <t>UAP1L1</t>
  </si>
  <si>
    <t>ALKBH6</t>
  </si>
  <si>
    <t>DAK</t>
  </si>
  <si>
    <t>LSM12</t>
  </si>
  <si>
    <t>TBC1D25</t>
  </si>
  <si>
    <t>PUS10</t>
  </si>
  <si>
    <t>HSDL1</t>
  </si>
  <si>
    <t>ALDH1L2</t>
  </si>
  <si>
    <t>GON4L</t>
  </si>
  <si>
    <t>CCDC88A</t>
  </si>
  <si>
    <t>RABL6</t>
  </si>
  <si>
    <t>VMA21</t>
  </si>
  <si>
    <t>TUBB8</t>
  </si>
  <si>
    <t>USP38</t>
  </si>
  <si>
    <t>LGALSL</t>
  </si>
  <si>
    <t>ZNF672</t>
  </si>
  <si>
    <t>GLYR1</t>
  </si>
  <si>
    <t>CCDC14</t>
  </si>
  <si>
    <t>CRY2</t>
  </si>
  <si>
    <t>C5orf22</t>
  </si>
  <si>
    <t>COX19</t>
  </si>
  <si>
    <t>VPS26B</t>
  </si>
  <si>
    <t>LARP7</t>
  </si>
  <si>
    <t>NAPB</t>
  </si>
  <si>
    <t>NADKD1</t>
  </si>
  <si>
    <t>ACSF3</t>
  </si>
  <si>
    <t>PREPL</t>
  </si>
  <si>
    <t>TBC1D10B</t>
  </si>
  <si>
    <t>PLCH1</t>
  </si>
  <si>
    <t>DNAL1</t>
  </si>
  <si>
    <t>ARID4B</t>
  </si>
  <si>
    <t>GRIPAP1</t>
  </si>
  <si>
    <t>BCL7A</t>
  </si>
  <si>
    <t>FLYWCH1</t>
  </si>
  <si>
    <t>ZNF298</t>
  </si>
  <si>
    <t>PAN2</t>
  </si>
  <si>
    <t>FAM98B</t>
  </si>
  <si>
    <t>EPC2</t>
  </si>
  <si>
    <t>PDCD4</t>
  </si>
  <si>
    <t>CRTC2</t>
  </si>
  <si>
    <t>CEP55</t>
  </si>
  <si>
    <t>C17orf85</t>
  </si>
  <si>
    <t>TP53I3</t>
  </si>
  <si>
    <t>C11orf73</t>
  </si>
  <si>
    <t>ACSM3</t>
  </si>
  <si>
    <t>SETMAR</t>
  </si>
  <si>
    <t>TRMT12</t>
  </si>
  <si>
    <t>LACTB2</t>
  </si>
  <si>
    <t>KLHL26</t>
  </si>
  <si>
    <t>TSSC1</t>
  </si>
  <si>
    <t>CDCA8</t>
  </si>
  <si>
    <t>SMUG1</t>
  </si>
  <si>
    <t>SOWAHC</t>
  </si>
  <si>
    <t>ARHGAP15</t>
  </si>
  <si>
    <t>BOLA3</t>
  </si>
  <si>
    <t>HS1BP3</t>
  </si>
  <si>
    <t>INO80D</t>
  </si>
  <si>
    <t>WDR81</t>
  </si>
  <si>
    <t>SGOL2</t>
  </si>
  <si>
    <t>SPIN4</t>
  </si>
  <si>
    <t>ESCO2</t>
  </si>
  <si>
    <t>MAP3K19</t>
  </si>
  <si>
    <t>KHDC3L</t>
  </si>
  <si>
    <t>PAN3</t>
  </si>
  <si>
    <t>PLEKHG4</t>
  </si>
  <si>
    <t>HSP90AB2P</t>
  </si>
  <si>
    <t>HSP90AA4P</t>
  </si>
  <si>
    <t>DCAF6</t>
  </si>
  <si>
    <t>RPL39P5</t>
  </si>
  <si>
    <t>ODF2</t>
  </si>
  <si>
    <t>OXLD1</t>
  </si>
  <si>
    <t>C19orf54</t>
  </si>
  <si>
    <t>ZNF326</t>
  </si>
  <si>
    <t>NOM1</t>
  </si>
  <si>
    <t>DALRD3</t>
  </si>
  <si>
    <t>FLG2</t>
  </si>
  <si>
    <t>RILPL1</t>
  </si>
  <si>
    <t>PDZD11</t>
  </si>
  <si>
    <t>CMPK2</t>
  </si>
  <si>
    <t>DNAJC21</t>
  </si>
  <si>
    <t>SGOL1</t>
  </si>
  <si>
    <t>ESCO1</t>
  </si>
  <si>
    <t>HERC4</t>
  </si>
  <si>
    <t>PKIG</t>
  </si>
  <si>
    <t>TIMP1</t>
  </si>
  <si>
    <t>KIAA2026</t>
  </si>
  <si>
    <t>TUBB</t>
  </si>
  <si>
    <t>NOMO2</t>
  </si>
  <si>
    <t>ANKRD36C</t>
  </si>
  <si>
    <t>C3orf38</t>
  </si>
  <si>
    <t>METTL10</t>
  </si>
  <si>
    <t>RHOC</t>
  </si>
  <si>
    <t>MIA3</t>
  </si>
  <si>
    <t>NUPL1</t>
  </si>
  <si>
    <t>PITRM1</t>
  </si>
  <si>
    <t>NHLRC3</t>
  </si>
  <si>
    <t>PSMG4</t>
  </si>
  <si>
    <t>TFDP1</t>
  </si>
  <si>
    <t>WDR44</t>
  </si>
  <si>
    <t>DDX26B</t>
  </si>
  <si>
    <t>DOCK11</t>
  </si>
  <si>
    <t>PRRC2B</t>
  </si>
  <si>
    <t>TJAP1</t>
  </si>
  <si>
    <t>RRP12</t>
  </si>
  <si>
    <t>COA6</t>
  </si>
  <si>
    <t>GMEB2</t>
  </si>
  <si>
    <t>AARS2</t>
  </si>
  <si>
    <t>FPGS</t>
  </si>
  <si>
    <t>IQSEC2</t>
  </si>
  <si>
    <t>PAGE5</t>
  </si>
  <si>
    <t>TEX30</t>
  </si>
  <si>
    <t>PCID2</t>
  </si>
  <si>
    <t>ELMO2</t>
  </si>
  <si>
    <t>STAU1</t>
  </si>
  <si>
    <t>MIIP</t>
  </si>
  <si>
    <t>SLC27A3</t>
  </si>
  <si>
    <t>SAMD9</t>
  </si>
  <si>
    <t>UCHL5</t>
  </si>
  <si>
    <t>SPECC1</t>
  </si>
  <si>
    <t>CCDC158</t>
  </si>
  <si>
    <t>SMEK2</t>
  </si>
  <si>
    <t>WDR45B</t>
  </si>
  <si>
    <t>POLK</t>
  </si>
  <si>
    <t>TBCEL</t>
  </si>
  <si>
    <t>PEX19</t>
  </si>
  <si>
    <t>ATP5F1</t>
  </si>
  <si>
    <t>BCL2L1</t>
  </si>
  <si>
    <t>DCAF10</t>
  </si>
  <si>
    <t>RALY</t>
  </si>
  <si>
    <t>PSMF1</t>
  </si>
  <si>
    <t>RABGAP1L</t>
  </si>
  <si>
    <t>TTC38</t>
  </si>
  <si>
    <t>C1orf173</t>
  </si>
  <si>
    <t>EXOSC6</t>
  </si>
  <si>
    <t>FAM21B</t>
  </si>
  <si>
    <t>MTHFR</t>
  </si>
  <si>
    <t>NUDT13</t>
  </si>
  <si>
    <t>NUP188</t>
  </si>
  <si>
    <t>CDC40</t>
  </si>
  <si>
    <t>HP1BP3</t>
  </si>
  <si>
    <t>VARS2</t>
  </si>
  <si>
    <t>CEP170</t>
  </si>
  <si>
    <t>LDLRAP1</t>
  </si>
  <si>
    <t>SNAPC4</t>
  </si>
  <si>
    <t>NOL9</t>
  </si>
  <si>
    <t>ZBTB48</t>
  </si>
  <si>
    <t>SZT2</t>
  </si>
  <si>
    <t>FNBP1L</t>
  </si>
  <si>
    <t>SH3BGRL3</t>
  </si>
  <si>
    <t>RARS2</t>
  </si>
  <si>
    <t>PYGO2</t>
  </si>
  <si>
    <t>THEM4</t>
  </si>
  <si>
    <t>FKBP15</t>
  </si>
  <si>
    <t>DDX59</t>
  </si>
  <si>
    <t>ZC3H13</t>
  </si>
  <si>
    <t>OTUD3</t>
  </si>
  <si>
    <t>BCKDHB</t>
  </si>
  <si>
    <t>NBEA</t>
  </si>
  <si>
    <t>GPATCH4</t>
  </si>
  <si>
    <t>LRIF1</t>
  </si>
  <si>
    <t>ZNF438</t>
  </si>
  <si>
    <t>IBA57</t>
  </si>
  <si>
    <t>ZFYVE27</t>
  </si>
  <si>
    <t>PLEKHO1</t>
  </si>
  <si>
    <t>UBR4</t>
  </si>
  <si>
    <t>SYCP2L</t>
  </si>
  <si>
    <t>BLZF1</t>
  </si>
  <si>
    <t>STXBP5</t>
  </si>
  <si>
    <t>ARHGAP21</t>
  </si>
  <si>
    <t>BEND3</t>
  </si>
  <si>
    <t>CAMSAP1</t>
  </si>
  <si>
    <t>UBAP2</t>
  </si>
  <si>
    <t>C9orf64</t>
  </si>
  <si>
    <t>KPRP</t>
  </si>
  <si>
    <t>ADCK3</t>
  </si>
  <si>
    <t>GORAB</t>
  </si>
  <si>
    <t>PPP1R26</t>
  </si>
  <si>
    <t>FAM102B</t>
  </si>
  <si>
    <t>RBM26</t>
  </si>
  <si>
    <t>RNF187</t>
  </si>
  <si>
    <t>CPSF3L</t>
  </si>
  <si>
    <t>GLTPD1</t>
  </si>
  <si>
    <t>AGO1</t>
  </si>
  <si>
    <t>UTP14C</t>
  </si>
  <si>
    <t>MNF1</t>
  </si>
  <si>
    <t>ZCCHC11</t>
  </si>
  <si>
    <t>KIAA1009</t>
  </si>
  <si>
    <t>RNASEH2B</t>
  </si>
  <si>
    <t>LSM14B</t>
  </si>
  <si>
    <t>ATPAF1</t>
  </si>
  <si>
    <t>ZBTB37</t>
  </si>
  <si>
    <t>RC3H1</t>
  </si>
  <si>
    <t>MAGI3</t>
  </si>
  <si>
    <t>TPM2</t>
  </si>
  <si>
    <t>DDI2</t>
  </si>
  <si>
    <t>ZNF697</t>
  </si>
  <si>
    <t>THEMIS2</t>
  </si>
  <si>
    <t>NDUFAF5</t>
  </si>
  <si>
    <t>NT5DC1</t>
  </si>
  <si>
    <t>TMCO4</t>
  </si>
  <si>
    <t>AHDC1</t>
  </si>
  <si>
    <t>PRDM2</t>
  </si>
  <si>
    <t>VPS13D</t>
  </si>
  <si>
    <t>PRR14L</t>
  </si>
  <si>
    <t>MEX3C</t>
  </si>
  <si>
    <t>LYRM7</t>
  </si>
  <si>
    <t>ATF7IP2</t>
  </si>
  <si>
    <t>RIF1</t>
  </si>
  <si>
    <t>VPS53</t>
  </si>
  <si>
    <t>STRIP1</t>
  </si>
  <si>
    <t>GKAP1</t>
  </si>
  <si>
    <t>CEP350</t>
  </si>
  <si>
    <t>CDC42BPA</t>
  </si>
  <si>
    <t>RPRD2</t>
  </si>
  <si>
    <t>GFI1B</t>
  </si>
  <si>
    <t>PRPF38B</t>
  </si>
  <si>
    <t>RNF20</t>
  </si>
  <si>
    <t>DYNLT1</t>
  </si>
  <si>
    <t>PDE4DIP</t>
  </si>
  <si>
    <t>ZNF318</t>
  </si>
  <si>
    <t>ARHGEF16</t>
  </si>
  <si>
    <t>CDKAL1</t>
  </si>
  <si>
    <t>ZNF691</t>
  </si>
  <si>
    <t>PPRC1</t>
  </si>
  <si>
    <t>PLEKHM2</t>
  </si>
  <si>
    <t>MYSM1</t>
  </si>
  <si>
    <t>DBT</t>
  </si>
  <si>
    <t>YOD1</t>
  </si>
  <si>
    <t>DCAF12L2</t>
  </si>
  <si>
    <t>BROX</t>
  </si>
  <si>
    <t>TAF3</t>
  </si>
  <si>
    <t>SNX30</t>
  </si>
  <si>
    <t>FAM208B</t>
  </si>
  <si>
    <t>FAM46C</t>
  </si>
  <si>
    <t>RSBN1</t>
  </si>
  <si>
    <t>LYPLAL1</t>
  </si>
  <si>
    <t>RPF2</t>
  </si>
  <si>
    <t>ECM29</t>
  </si>
  <si>
    <t>ZCCHC6</t>
  </si>
  <si>
    <t>SLX4IP</t>
  </si>
  <si>
    <t>NAA35</t>
  </si>
  <si>
    <t>LRRC16A</t>
  </si>
  <si>
    <t>ZMYM4</t>
  </si>
  <si>
    <t>RRAGB</t>
  </si>
  <si>
    <t>RNF219</t>
  </si>
  <si>
    <t>FAM160B1</t>
  </si>
  <si>
    <t>PFKFB4</t>
  </si>
  <si>
    <t>RNF123</t>
  </si>
  <si>
    <t>FBXW9</t>
  </si>
  <si>
    <t>AFMID</t>
  </si>
  <si>
    <t>RNF213</t>
  </si>
  <si>
    <t>AP1AR</t>
  </si>
  <si>
    <t>FAM91A1</t>
  </si>
  <si>
    <t>NARG2</t>
  </si>
  <si>
    <t>LARP1B</t>
  </si>
  <si>
    <t>CEP135</t>
  </si>
  <si>
    <t>TBC1D9B</t>
  </si>
  <si>
    <t>DCAF15</t>
  </si>
  <si>
    <t>PPP2R2D</t>
  </si>
  <si>
    <t>ARL6IP4</t>
  </si>
  <si>
    <t>ATG16L1</t>
  </si>
  <si>
    <t>ARID2</t>
  </si>
  <si>
    <t>DIEXF</t>
  </si>
  <si>
    <t>HAUS3</t>
  </si>
  <si>
    <t>SPTY2D1</t>
  </si>
  <si>
    <t>PMS2CL</t>
  </si>
  <si>
    <t>ANKS6</t>
  </si>
  <si>
    <t>ZFYVE26</t>
  </si>
  <si>
    <t>INTS3</t>
  </si>
  <si>
    <t>ARHGAP17</t>
  </si>
  <si>
    <t>CWF19L1</t>
  </si>
  <si>
    <t>KIAA1429</t>
  </si>
  <si>
    <t>SPECC1L</t>
  </si>
  <si>
    <t>ZNF518A</t>
  </si>
  <si>
    <t>HEATR6</t>
  </si>
  <si>
    <t>ANKRD40</t>
  </si>
  <si>
    <t>GLTSCR1L</t>
  </si>
  <si>
    <t>WWC2</t>
  </si>
  <si>
    <t>TRIM68</t>
  </si>
  <si>
    <t>CYB5R2</t>
  </si>
  <si>
    <t>UHRF1BP1</t>
  </si>
  <si>
    <t>ZNF787</t>
  </si>
  <si>
    <t>ADAL</t>
  </si>
  <si>
    <t>RPL7L1</t>
  </si>
  <si>
    <t>NXN</t>
  </si>
  <si>
    <t>TTC19</t>
  </si>
  <si>
    <t>IQSEC1</t>
  </si>
  <si>
    <t>CDC42BPG</t>
  </si>
  <si>
    <t>VASN</t>
  </si>
  <si>
    <t>RLTPR</t>
  </si>
  <si>
    <t>CIAPIN1</t>
  </si>
  <si>
    <t>ZFAND6</t>
  </si>
  <si>
    <t>SMYD5</t>
  </si>
  <si>
    <t>PTRHD1</t>
  </si>
  <si>
    <t>OTUD7B</t>
  </si>
  <si>
    <t>RALGAPA1</t>
  </si>
  <si>
    <t>THOC7</t>
  </si>
  <si>
    <t>NADSYN1</t>
  </si>
  <si>
    <t>ELP2</t>
  </si>
  <si>
    <t>LAMTOR1</t>
  </si>
  <si>
    <t>TWF2</t>
  </si>
  <si>
    <t>NCAPH2</t>
  </si>
  <si>
    <t>DESI1</t>
  </si>
  <si>
    <t>TANGO2</t>
  </si>
  <si>
    <t>PHF17</t>
  </si>
  <si>
    <t>MRM1</t>
  </si>
  <si>
    <t>SMEK1</t>
  </si>
  <si>
    <t>LYRM5</t>
  </si>
  <si>
    <t>TYW3</t>
  </si>
  <si>
    <t>RAB12</t>
  </si>
  <si>
    <t>DENND5A</t>
  </si>
  <si>
    <t>ADNP2</t>
  </si>
  <si>
    <t>SDE2</t>
  </si>
  <si>
    <t>RCSD1</t>
  </si>
  <si>
    <t>NIPBL</t>
  </si>
  <si>
    <t>PDE12</t>
  </si>
  <si>
    <t>LIN54</t>
  </si>
  <si>
    <t>TET2</t>
  </si>
  <si>
    <t>ZNF280D</t>
  </si>
  <si>
    <t>OGFOD2</t>
  </si>
  <si>
    <t>NAA16</t>
  </si>
  <si>
    <t>ALKBH2</t>
  </si>
  <si>
    <t>MKRN3</t>
  </si>
  <si>
    <t>CT45A5</t>
  </si>
  <si>
    <t>PHLDB3</t>
  </si>
  <si>
    <t>ZSCAN25</t>
  </si>
  <si>
    <t>HMBOX1</t>
  </si>
  <si>
    <t>C5orf45</t>
  </si>
  <si>
    <t>TYW1B</t>
  </si>
  <si>
    <t>RINT1</t>
  </si>
  <si>
    <t>TMEM214</t>
  </si>
  <si>
    <t>HIBCH</t>
  </si>
  <si>
    <t>C3orf17</t>
  </si>
  <si>
    <t>ARMC6</t>
  </si>
  <si>
    <t>ANKRD54</t>
  </si>
  <si>
    <t>PPP1R18</t>
  </si>
  <si>
    <t>FAAP20</t>
  </si>
  <si>
    <t>PTRF</t>
  </si>
  <si>
    <t>ZCCHC8</t>
  </si>
  <si>
    <t>MAN1A1</t>
  </si>
  <si>
    <t>MIS18BP1</t>
  </si>
  <si>
    <t>DHX57</t>
  </si>
  <si>
    <t>MRPL54</t>
  </si>
  <si>
    <t>CDC73</t>
  </si>
  <si>
    <t>PMF1</t>
  </si>
  <si>
    <t>GTF2H2C</t>
  </si>
  <si>
    <t>FAM117B</t>
  </si>
  <si>
    <t>MRPL14</t>
  </si>
  <si>
    <t>SLC27A4</t>
  </si>
  <si>
    <t>ARMCX5</t>
  </si>
  <si>
    <t>CC2D1A</t>
  </si>
  <si>
    <t>TATDN1</t>
  </si>
  <si>
    <t>METTL2B</t>
  </si>
  <si>
    <t>DUS1L</t>
  </si>
  <si>
    <t>TAF2</t>
  </si>
  <si>
    <t>C8orf82</t>
  </si>
  <si>
    <t>STAG1</t>
  </si>
  <si>
    <t>MED27</t>
  </si>
  <si>
    <t>EDC4</t>
  </si>
  <si>
    <t>CEP85</t>
  </si>
  <si>
    <t>FAHD2B</t>
  </si>
  <si>
    <t>PRMT10</t>
  </si>
  <si>
    <t>PRPF8</t>
  </si>
  <si>
    <t>DENND1B</t>
  </si>
  <si>
    <t>FBXO42</t>
  </si>
  <si>
    <t>SCYL2</t>
  </si>
  <si>
    <t>TTC27</t>
  </si>
  <si>
    <t>PLBD1</t>
  </si>
  <si>
    <t>FDX1L</t>
  </si>
  <si>
    <t>WDR73</t>
  </si>
  <si>
    <t>MZT2A</t>
  </si>
  <si>
    <t>FAHD1</t>
  </si>
  <si>
    <t>PKN3</t>
  </si>
  <si>
    <t>ANKRD16</t>
  </si>
  <si>
    <t>ALKBH5</t>
  </si>
  <si>
    <t>KIAA1609</t>
  </si>
  <si>
    <t>INTS5</t>
  </si>
  <si>
    <t>RSBN1L</t>
  </si>
  <si>
    <t>PGM2L1</t>
  </si>
  <si>
    <t>FBXL19</t>
  </si>
  <si>
    <t>CTR9</t>
  </si>
  <si>
    <t>AAGAB</t>
  </si>
  <si>
    <t>FAM199X</t>
  </si>
  <si>
    <t>PPIP5K1</t>
  </si>
  <si>
    <t>PSRC1</t>
  </si>
  <si>
    <t>C16orf87</t>
  </si>
  <si>
    <t>ULK3</t>
  </si>
  <si>
    <t>KCTD18</t>
  </si>
  <si>
    <t>DARS2</t>
  </si>
  <si>
    <t>TTC33</t>
  </si>
  <si>
    <t>CCDC174</t>
  </si>
  <si>
    <t>HAGHL</t>
  </si>
  <si>
    <t>FBXO38</t>
  </si>
  <si>
    <t>FIGNL1</t>
  </si>
  <si>
    <t>FBXO46</t>
  </si>
  <si>
    <t>TRIM65</t>
  </si>
  <si>
    <t>ELMSAN1</t>
  </si>
  <si>
    <t>BRAT1</t>
  </si>
  <si>
    <t>WDR59</t>
  </si>
  <si>
    <t>ZC3H14</t>
  </si>
  <si>
    <t>CNST</t>
  </si>
  <si>
    <t>CCDC137</t>
  </si>
  <si>
    <t>LARP1</t>
  </si>
  <si>
    <t>ATAD2</t>
  </si>
  <si>
    <t>TMED8</t>
  </si>
  <si>
    <t>BLOC1S3</t>
  </si>
  <si>
    <t>BLOC1S2</t>
  </si>
  <si>
    <t>RICTOR</t>
  </si>
  <si>
    <t>BRWD3</t>
  </si>
  <si>
    <t>AGTRAP</t>
  </si>
  <si>
    <t>SAMD1</t>
  </si>
  <si>
    <t>SMARCD3</t>
  </si>
  <si>
    <t>LPPR3</t>
  </si>
  <si>
    <t>MTHFD1L</t>
  </si>
  <si>
    <t>ANKRD11</t>
  </si>
  <si>
    <t>AFTPH</t>
  </si>
  <si>
    <t>FIP1L1</t>
  </si>
  <si>
    <t>CRTC3</t>
  </si>
  <si>
    <t>CRTC1</t>
  </si>
  <si>
    <t>SASS6</t>
  </si>
  <si>
    <t>KDELC1</t>
  </si>
  <si>
    <t>LRSAM1</t>
  </si>
  <si>
    <t>DHRS11</t>
  </si>
  <si>
    <t>SBSN</t>
  </si>
  <si>
    <t>CWC27</t>
  </si>
  <si>
    <t>CRELD2</t>
  </si>
  <si>
    <t>WDR82</t>
  </si>
  <si>
    <t>APOOL</t>
  </si>
  <si>
    <t>PACS1</t>
  </si>
  <si>
    <t>BCOR</t>
  </si>
  <si>
    <t>RAB11FIP1</t>
  </si>
  <si>
    <t>IGSF10</t>
  </si>
  <si>
    <t>NAPRT1</t>
  </si>
  <si>
    <t>DNMBP</t>
  </si>
  <si>
    <t>GIGYF2</t>
  </si>
  <si>
    <t>THADA</t>
  </si>
  <si>
    <t>HSDL2</t>
  </si>
  <si>
    <t>CCBL2</t>
  </si>
  <si>
    <t>PPP1R21</t>
  </si>
  <si>
    <t>MEX3B</t>
  </si>
  <si>
    <t>ZNF813</t>
  </si>
  <si>
    <t>LIN28B</t>
  </si>
  <si>
    <t>AEBP2</t>
  </si>
  <si>
    <t>MACC1</t>
  </si>
  <si>
    <t>ZNF574</t>
  </si>
  <si>
    <t>NFXL1</t>
  </si>
  <si>
    <t>ZNF600</t>
  </si>
  <si>
    <t>NBEAL2</t>
  </si>
  <si>
    <t>GDPGP1</t>
  </si>
  <si>
    <t>SLCO4C1</t>
  </si>
  <si>
    <t>QSOX2</t>
  </si>
  <si>
    <t>SRCAP</t>
  </si>
  <si>
    <t>RINL</t>
  </si>
  <si>
    <t>FAM65A</t>
  </si>
  <si>
    <t>C1orf122</t>
  </si>
  <si>
    <t>ARHGEF18</t>
  </si>
  <si>
    <t>UBR3</t>
  </si>
  <si>
    <t>SH3BP1</t>
  </si>
  <si>
    <t>ANKRD13D</t>
  </si>
  <si>
    <t>UBN2</t>
  </si>
  <si>
    <t>C11orf57</t>
  </si>
  <si>
    <t>LANCL3</t>
  </si>
  <si>
    <t>NUDT18</t>
  </si>
  <si>
    <t>TOM1L2</t>
  </si>
  <si>
    <t>PAXIP1</t>
  </si>
  <si>
    <t>GTF2H5</t>
  </si>
  <si>
    <t>VPS13C</t>
  </si>
  <si>
    <t>USP34</t>
  </si>
  <si>
    <t>USP53</t>
  </si>
  <si>
    <t>USP54</t>
  </si>
  <si>
    <t>MOB2</t>
  </si>
  <si>
    <t>UNC13D</t>
  </si>
  <si>
    <t>IKBIP</t>
  </si>
  <si>
    <t>FRA10AC1</t>
  </si>
  <si>
    <t>C10orf71</t>
  </si>
  <si>
    <t>UBE2R2</t>
  </si>
  <si>
    <t>MED13L</t>
  </si>
  <si>
    <t>LARP4</t>
  </si>
  <si>
    <t>MED25</t>
  </si>
  <si>
    <t>TUBA1A</t>
  </si>
  <si>
    <t>H2AFV</t>
  </si>
  <si>
    <t>RPS27L</t>
  </si>
  <si>
    <t>CBLL1</t>
  </si>
  <si>
    <t>INTS8</t>
  </si>
  <si>
    <t>MTSS1L</t>
  </si>
  <si>
    <t>NOL8</t>
  </si>
  <si>
    <t>SSH2</t>
  </si>
  <si>
    <t>CEP68</t>
  </si>
  <si>
    <t>SUPT6H</t>
  </si>
  <si>
    <t>SND1</t>
  </si>
  <si>
    <t>MARK2</t>
  </si>
  <si>
    <t>RAD51C</t>
  </si>
  <si>
    <t>DDX46</t>
  </si>
  <si>
    <t>RUFY3</t>
  </si>
  <si>
    <t>TRMT10C</t>
  </si>
  <si>
    <t>BZW1</t>
  </si>
  <si>
    <t>CYB5R4</t>
  </si>
  <si>
    <t>MON1B</t>
  </si>
  <si>
    <t>ASRGL1</t>
  </si>
  <si>
    <t>KCTD9</t>
  </si>
  <si>
    <t>EIF3M</t>
  </si>
  <si>
    <t>MEPCE</t>
  </si>
  <si>
    <t>ZNF771</t>
  </si>
  <si>
    <t>PARS2</t>
  </si>
  <si>
    <t>BOP</t>
  </si>
  <si>
    <t>RSRC2</t>
  </si>
  <si>
    <t>RRAGA</t>
  </si>
  <si>
    <t>CYFIP1</t>
  </si>
  <si>
    <t>MCM10</t>
  </si>
  <si>
    <t>GET4</t>
  </si>
  <si>
    <t>ENOSF1</t>
  </si>
  <si>
    <t>MAEA</t>
  </si>
  <si>
    <t>EPM2AIP1</t>
  </si>
  <si>
    <t>TAOK1</t>
  </si>
  <si>
    <t>SH3BP5L</t>
  </si>
  <si>
    <t>FASTKD5</t>
  </si>
  <si>
    <t>ATPBD4</t>
  </si>
  <si>
    <t>ZNF627</t>
  </si>
  <si>
    <t>KDM3B</t>
  </si>
  <si>
    <t>CHMP1B</t>
  </si>
  <si>
    <t>RASGRP2</t>
  </si>
  <si>
    <t>RRM2B</t>
  </si>
  <si>
    <t>STRADA</t>
  </si>
  <si>
    <t>MICAL3</t>
  </si>
  <si>
    <t>KRT74</t>
  </si>
  <si>
    <t>DYM</t>
  </si>
  <si>
    <t>PHF5A</t>
  </si>
  <si>
    <t>APTX</t>
  </si>
  <si>
    <t>GPRIN1</t>
  </si>
  <si>
    <t>TRMT1L</t>
  </si>
  <si>
    <t>ZC3HAV1</t>
  </si>
  <si>
    <t>TICRR</t>
  </si>
  <si>
    <t>EFTUD1</t>
  </si>
  <si>
    <t>FAM122B</t>
  </si>
  <si>
    <t>SETX</t>
  </si>
  <si>
    <t>TRAPPC11</t>
  </si>
  <si>
    <t>KANSL1</t>
  </si>
  <si>
    <t>LYSMD3</t>
  </si>
  <si>
    <t>C10orf118</t>
  </si>
  <si>
    <t>C16orf62</t>
  </si>
  <si>
    <t>POGZ</t>
  </si>
  <si>
    <t>MIER3</t>
  </si>
  <si>
    <t>ZFYVE16</t>
  </si>
  <si>
    <t>UBE3B</t>
  </si>
  <si>
    <t>RD3</t>
  </si>
  <si>
    <t>DENND4A</t>
  </si>
  <si>
    <t>MYH14</t>
  </si>
  <si>
    <t>NUFIP2</t>
  </si>
  <si>
    <t>SZRD1</t>
  </si>
  <si>
    <t>MAVS</t>
  </si>
  <si>
    <t>CLASP1</t>
  </si>
  <si>
    <t>DHX29</t>
  </si>
  <si>
    <t>NPHP3</t>
  </si>
  <si>
    <t>COMMD6</t>
  </si>
  <si>
    <t>HDDC2</t>
  </si>
  <si>
    <t>HAUS6</t>
  </si>
  <si>
    <t>KDELC2</t>
  </si>
  <si>
    <t>LIMS2</t>
  </si>
  <si>
    <t>HEATR3</t>
  </si>
  <si>
    <t>KIF21A</t>
  </si>
  <si>
    <t>HDGFRP2</t>
  </si>
  <si>
    <t>DCXR</t>
  </si>
  <si>
    <t>AKNA</t>
  </si>
  <si>
    <t>RAI1</t>
  </si>
  <si>
    <t>WAPAL</t>
  </si>
  <si>
    <t>R3HCC1L</t>
  </si>
  <si>
    <t>IRF2BP2</t>
  </si>
  <si>
    <t>BCDIN3D</t>
  </si>
  <si>
    <t>KCTD20</t>
  </si>
  <si>
    <t>CAMKMT</t>
  </si>
  <si>
    <t>CCDC91</t>
  </si>
  <si>
    <t>RBBP6</t>
  </si>
  <si>
    <t>TSEN54</t>
  </si>
  <si>
    <t>PTAR1</t>
  </si>
  <si>
    <t>TECPR1</t>
  </si>
  <si>
    <t>RABEPK</t>
  </si>
  <si>
    <t>ADAT2</t>
  </si>
  <si>
    <t>KRT77</t>
  </si>
  <si>
    <t>CNTRL</t>
  </si>
  <si>
    <t>CTU1</t>
  </si>
  <si>
    <t>PXK</t>
  </si>
  <si>
    <t>TAF8</t>
  </si>
  <si>
    <t>UBE2Q1</t>
  </si>
  <si>
    <t>KIAA0907</t>
  </si>
  <si>
    <t>VPS13B</t>
  </si>
  <si>
    <t>TMED4</t>
  </si>
  <si>
    <t>CMC1</t>
  </si>
  <si>
    <t>CENPV</t>
  </si>
  <si>
    <t>PCGF5</t>
  </si>
  <si>
    <t>NEK8</t>
  </si>
  <si>
    <t>AMIGO2</t>
  </si>
  <si>
    <t>SDCCAG8</t>
  </si>
  <si>
    <t>GLRX5</t>
  </si>
  <si>
    <t>TRAPPC6B</t>
  </si>
  <si>
    <t>ZBTB33</t>
  </si>
  <si>
    <t>MOB3B</t>
  </si>
  <si>
    <t>PATL1</t>
  </si>
  <si>
    <t>TBC1D1</t>
  </si>
  <si>
    <t>DPP9</t>
  </si>
  <si>
    <t>TADA2B</t>
  </si>
  <si>
    <t>TRPT1</t>
  </si>
  <si>
    <t>PRUNE</t>
  </si>
  <si>
    <t>SETD3</t>
  </si>
  <si>
    <t>LGMN</t>
  </si>
  <si>
    <t>ISCA2</t>
  </si>
  <si>
    <t>METTL3</t>
  </si>
  <si>
    <t>LDB1</t>
  </si>
  <si>
    <t>PBRM1</t>
  </si>
  <si>
    <t>YRDC</t>
  </si>
  <si>
    <t>PRPF39</t>
  </si>
  <si>
    <t>TLK2</t>
  </si>
  <si>
    <t>ZNF598</t>
  </si>
  <si>
    <t>KTN1</t>
  </si>
  <si>
    <t>SMG6</t>
  </si>
  <si>
    <t>BCL9L</t>
  </si>
  <si>
    <t>PHLDB1</t>
  </si>
  <si>
    <t>USP48</t>
  </si>
  <si>
    <t>N4BP2</t>
  </si>
  <si>
    <t>ABCC5</t>
  </si>
  <si>
    <t>STK32C</t>
  </si>
  <si>
    <t>TXNDC5</t>
  </si>
  <si>
    <t>FAM83A</t>
  </si>
  <si>
    <t>NT5DC3</t>
  </si>
  <si>
    <t>AACS</t>
  </si>
  <si>
    <t>LUZP1</t>
  </si>
  <si>
    <t>PNMAL1</t>
  </si>
  <si>
    <t>FAM160B2</t>
  </si>
  <si>
    <t>C11orf74</t>
  </si>
  <si>
    <t>hCG_1980662</t>
  </si>
  <si>
    <t>ZC3H18</t>
  </si>
  <si>
    <t>VPS36</t>
  </si>
  <si>
    <t>TAX1BP1</t>
  </si>
  <si>
    <t>CAND1</t>
  </si>
  <si>
    <t>GLCCI1</t>
  </si>
  <si>
    <t>TXNRD3</t>
  </si>
  <si>
    <t>FAM134C</t>
  </si>
  <si>
    <t>HOOK3</t>
  </si>
  <si>
    <t>MAP4K2</t>
  </si>
  <si>
    <t>RTTN</t>
  </si>
  <si>
    <t>COMMD7</t>
  </si>
  <si>
    <t>MON1A</t>
  </si>
  <si>
    <t>TSPYL5</t>
  </si>
  <si>
    <t>ZSCAN30</t>
  </si>
  <si>
    <t>AMZ2</t>
  </si>
  <si>
    <t>THOC6</t>
  </si>
  <si>
    <t>METTL16</t>
  </si>
  <si>
    <t>PARG</t>
  </si>
  <si>
    <t>PPFIBP1</t>
  </si>
  <si>
    <t>BPHL</t>
  </si>
  <si>
    <t>RASSF3</t>
  </si>
  <si>
    <t>CHD1L</t>
  </si>
  <si>
    <t>FCHSD1</t>
  </si>
  <si>
    <t>GPBP1</t>
  </si>
  <si>
    <t>NR2C2AP</t>
  </si>
  <si>
    <t>CCDC25</t>
  </si>
  <si>
    <t>PROSER2</t>
  </si>
  <si>
    <t>RPS19BP1</t>
  </si>
  <si>
    <t>RALGAPB</t>
  </si>
  <si>
    <t>RALGPS2</t>
  </si>
  <si>
    <t>ERICH1</t>
  </si>
  <si>
    <t>CARM1</t>
  </si>
  <si>
    <t>NIT1</t>
  </si>
  <si>
    <t>COMMD2</t>
  </si>
  <si>
    <t>CIR1</t>
  </si>
  <si>
    <t>ZNF761</t>
  </si>
  <si>
    <t>MEX3D</t>
  </si>
  <si>
    <t>DDX42</t>
  </si>
  <si>
    <t>VRK2</t>
  </si>
  <si>
    <t>COL23A1</t>
  </si>
  <si>
    <t>CACUL1</t>
  </si>
  <si>
    <t>HEATR2</t>
  </si>
  <si>
    <t>PTRH1</t>
  </si>
  <si>
    <t>STX12</t>
  </si>
  <si>
    <t>KIF18B</t>
  </si>
  <si>
    <t>ERO1LB</t>
  </si>
  <si>
    <t>ZNF280B</t>
  </si>
  <si>
    <t>PDSS2</t>
  </si>
  <si>
    <t>HOMER1</t>
  </si>
  <si>
    <t>GATAD2A</t>
  </si>
  <si>
    <t>GPSM1</t>
  </si>
  <si>
    <t>C2CD5</t>
  </si>
  <si>
    <t>SGK223</t>
  </si>
  <si>
    <t>HPS6</t>
  </si>
  <si>
    <t>HRNR</t>
  </si>
  <si>
    <t>DCP2</t>
  </si>
  <si>
    <t>IRF2BP1</t>
  </si>
  <si>
    <t>RHPN2</t>
  </si>
  <si>
    <t>ERC1</t>
  </si>
  <si>
    <t>TGIF2LX</t>
  </si>
  <si>
    <t>MINA</t>
  </si>
  <si>
    <t>MYO18B</t>
  </si>
  <si>
    <t>RBM45</t>
  </si>
  <si>
    <t>CRLF3</t>
  </si>
  <si>
    <t>TRAPPC5</t>
  </si>
  <si>
    <t>ANKRD10</t>
  </si>
  <si>
    <t>AGXT2L2</t>
  </si>
  <si>
    <t>PLD3</t>
  </si>
  <si>
    <t>CCDC71</t>
  </si>
  <si>
    <t>ANKMY2</t>
  </si>
  <si>
    <t>ERI1</t>
  </si>
  <si>
    <t>LYSMD2</t>
  </si>
  <si>
    <t>VRK3</t>
  </si>
  <si>
    <t>NUDCD3</t>
  </si>
  <si>
    <t>NAV2</t>
  </si>
  <si>
    <t>CCDC50</t>
  </si>
  <si>
    <t>LOXHD1</t>
  </si>
  <si>
    <t>ARID3B</t>
  </si>
  <si>
    <t>CARKD</t>
  </si>
  <si>
    <t>WDFY1</t>
  </si>
  <si>
    <t>MAP7D3</t>
  </si>
  <si>
    <t>CCDC117</t>
  </si>
  <si>
    <t>DENND6A</t>
  </si>
  <si>
    <t>WDR63</t>
  </si>
  <si>
    <t>MGA</t>
  </si>
  <si>
    <t>GCC2</t>
  </si>
  <si>
    <t>HSCB</t>
  </si>
  <si>
    <t>ZC3H7A</t>
  </si>
  <si>
    <t>ZBTB8OS</t>
  </si>
  <si>
    <t>LMTK2</t>
  </si>
  <si>
    <t>UBR1</t>
  </si>
  <si>
    <t>UBR2</t>
  </si>
  <si>
    <t>ARHGAP12</t>
  </si>
  <si>
    <t>CHERP</t>
  </si>
  <si>
    <t>CDAN1</t>
  </si>
  <si>
    <t>ANKHD1</t>
  </si>
  <si>
    <t>SUGP1</t>
  </si>
  <si>
    <t>SUGP2</t>
  </si>
  <si>
    <t>UEVLD</t>
  </si>
  <si>
    <t>ZFPM1</t>
  </si>
  <si>
    <t>CCAR1</t>
  </si>
  <si>
    <t>HOMEZ</t>
  </si>
  <si>
    <t>DHX40</t>
  </si>
  <si>
    <t>SKA3</t>
  </si>
  <si>
    <t>DNAJC10</t>
  </si>
  <si>
    <t>NELFCD</t>
  </si>
  <si>
    <t>SIRT2</t>
  </si>
  <si>
    <t>ASXL1</t>
  </si>
  <si>
    <t>PHC2</t>
  </si>
  <si>
    <t>MRPL41</t>
  </si>
  <si>
    <t>C9orf40</t>
  </si>
  <si>
    <t>KIAA1704</t>
  </si>
  <si>
    <t>FAM126B</t>
  </si>
  <si>
    <t>RPAP2</t>
  </si>
  <si>
    <t>ZC3H3</t>
  </si>
  <si>
    <t>SMC5</t>
  </si>
  <si>
    <t>CMIP</t>
  </si>
  <si>
    <t>IFT20</t>
  </si>
  <si>
    <t>MICALL2</t>
  </si>
  <si>
    <t>DHX37</t>
  </si>
  <si>
    <t>KBTBD2</t>
  </si>
  <si>
    <t>AMOTL1</t>
  </si>
  <si>
    <t>FTSJ3</t>
  </si>
  <si>
    <t>SLX4</t>
  </si>
  <si>
    <t>CKAP2L</t>
  </si>
  <si>
    <t>SMAP1</t>
  </si>
  <si>
    <t>DIS3L2</t>
  </si>
  <si>
    <t>SUPV3L1</t>
  </si>
  <si>
    <t>ZNF595</t>
  </si>
  <si>
    <t>GSPT2</t>
  </si>
  <si>
    <t>CCDC146</t>
  </si>
  <si>
    <t>ZZZ3</t>
  </si>
  <si>
    <t>EXOC8</t>
  </si>
  <si>
    <t>COLGALT2</t>
  </si>
  <si>
    <t>C1orf174</t>
  </si>
  <si>
    <t>TCEAL8</t>
  </si>
  <si>
    <t>UBALD2</t>
  </si>
  <si>
    <t>PTK2</t>
  </si>
  <si>
    <t>THNSL1</t>
  </si>
  <si>
    <t>FTSJD1</t>
  </si>
  <si>
    <t>HACE1</t>
  </si>
  <si>
    <t>MICU2</t>
  </si>
  <si>
    <t>RNF168</t>
  </si>
  <si>
    <t>ANKRD13A</t>
  </si>
  <si>
    <t>C5orf54</t>
  </si>
  <si>
    <t>PHACTR4</t>
  </si>
  <si>
    <t>TRMT2A</t>
  </si>
  <si>
    <t>RPUSD2</t>
  </si>
  <si>
    <t>ALDH16A1</t>
  </si>
  <si>
    <t>MLL5</t>
  </si>
  <si>
    <t>SCYL3</t>
  </si>
  <si>
    <t>XRN1</t>
  </si>
  <si>
    <t>UNC5B</t>
  </si>
  <si>
    <t>MAML2</t>
  </si>
  <si>
    <t>PELP1</t>
  </si>
  <si>
    <t>ABI1</t>
  </si>
  <si>
    <t>WDFY3</t>
  </si>
  <si>
    <t>ASPM</t>
  </si>
  <si>
    <t>RDH10</t>
  </si>
  <si>
    <t>SYCE1</t>
  </si>
  <si>
    <t>C8orf59</t>
  </si>
  <si>
    <t>FUK</t>
  </si>
  <si>
    <t>SPG20</t>
  </si>
  <si>
    <t>ZNF444</t>
  </si>
  <si>
    <t>PGAM4</t>
  </si>
  <si>
    <t>SPICE1</t>
  </si>
  <si>
    <t>TTC5</t>
  </si>
  <si>
    <t>MIER1</t>
  </si>
  <si>
    <t>RPTOR</t>
  </si>
  <si>
    <t>CNPY4</t>
  </si>
  <si>
    <t>CNTROB</t>
  </si>
  <si>
    <t>ADSSL1</t>
  </si>
  <si>
    <t>KIAA1967</t>
  </si>
  <si>
    <t>SIX5</t>
  </si>
  <si>
    <t>C4orf33</t>
  </si>
  <si>
    <t>VPS52</t>
  </si>
  <si>
    <t>NUP93</t>
  </si>
  <si>
    <t>ZNF687</t>
  </si>
  <si>
    <t>REXO1</t>
  </si>
  <si>
    <t>FTSJD2</t>
  </si>
  <si>
    <t>LRRC47</t>
  </si>
  <si>
    <t>FAM115C</t>
  </si>
  <si>
    <t>KRT78</t>
  </si>
  <si>
    <t>CA13</t>
  </si>
  <si>
    <t>ZNF710</t>
  </si>
  <si>
    <t>INTS1</t>
  </si>
  <si>
    <t>ARMC10</t>
  </si>
  <si>
    <t>STK40</t>
  </si>
  <si>
    <t>PIAS4</t>
  </si>
  <si>
    <t>CCDC23</t>
  </si>
  <si>
    <t>AGGF1</t>
  </si>
  <si>
    <t>GPD1L</t>
  </si>
  <si>
    <t>MIER2</t>
  </si>
  <si>
    <t>DOS</t>
  </si>
  <si>
    <t>KDM8</t>
  </si>
  <si>
    <t>ARHGAP18</t>
  </si>
  <si>
    <t>ASCC3</t>
  </si>
  <si>
    <t>EHBP1L1</t>
  </si>
  <si>
    <t>MICALL1</t>
  </si>
  <si>
    <t>C17orf53</t>
  </si>
  <si>
    <t>VPS8</t>
  </si>
  <si>
    <t>MPP5</t>
  </si>
  <si>
    <t>FNBP4</t>
  </si>
  <si>
    <t>FBXW8</t>
  </si>
  <si>
    <t>D2HGDH</t>
  </si>
  <si>
    <t>RYBP</t>
  </si>
  <si>
    <t>MINK1</t>
  </si>
  <si>
    <t>C9orf41</t>
  </si>
  <si>
    <t>KLHL36</t>
  </si>
  <si>
    <t>HDDC3</t>
  </si>
  <si>
    <t>ZADH2</t>
  </si>
  <si>
    <t>CHCHD4</t>
  </si>
  <si>
    <t>CBR4</t>
  </si>
  <si>
    <t>ZNF808</t>
  </si>
  <si>
    <t>AFAP1</t>
  </si>
  <si>
    <t>ZCCHC9</t>
  </si>
  <si>
    <t>OXR1</t>
  </si>
  <si>
    <t>ZGPAT</t>
  </si>
  <si>
    <t>SRBD1</t>
  </si>
  <si>
    <t>DTWD1</t>
  </si>
  <si>
    <t>TAB3</t>
  </si>
  <si>
    <t>WDTC1</t>
  </si>
  <si>
    <t>NKAP</t>
  </si>
  <si>
    <t>TMEM57</t>
  </si>
  <si>
    <t>C12orf45</t>
  </si>
  <si>
    <t>FAM63A</t>
  </si>
  <si>
    <t>RPP25L</t>
  </si>
  <si>
    <t>ATPAF2</t>
  </si>
  <si>
    <t>MRPL50</t>
  </si>
  <si>
    <t>ZC3H8</t>
  </si>
  <si>
    <t>RNF10</t>
  </si>
  <si>
    <t>MSL3</t>
  </si>
  <si>
    <t>FAM160A2</t>
  </si>
  <si>
    <t>LZTR1</t>
  </si>
  <si>
    <t>C10orf12</t>
  </si>
  <si>
    <t>COMMD1</t>
  </si>
  <si>
    <t>ZBTB2</t>
  </si>
  <si>
    <t>CPSF7</t>
  </si>
  <si>
    <t>ARFGAP2</t>
  </si>
  <si>
    <t>OTUD6B</t>
  </si>
  <si>
    <t>C1orf52</t>
  </si>
  <si>
    <t>ACBD7</t>
  </si>
  <si>
    <t>SIRT6</t>
  </si>
  <si>
    <t>ZNF655</t>
  </si>
  <si>
    <t>CCNYL1</t>
  </si>
  <si>
    <t>MAGEB6</t>
  </si>
  <si>
    <t>UBR7</t>
  </si>
  <si>
    <t>PPM1N</t>
  </si>
  <si>
    <t>DDX51</t>
  </si>
  <si>
    <t>PTGR2</t>
  </si>
  <si>
    <t>C2orf69</t>
  </si>
  <si>
    <t>ARL14EP</t>
  </si>
  <si>
    <t>ENAH</t>
  </si>
  <si>
    <t>DCBLD1</t>
  </si>
  <si>
    <t>GPATCH11</t>
  </si>
  <si>
    <t>CEP120</t>
  </si>
  <si>
    <t>CCDC89</t>
  </si>
  <si>
    <t>C12orf29</t>
  </si>
  <si>
    <t>JMY</t>
  </si>
  <si>
    <t>C19orf47</t>
  </si>
  <si>
    <t>TMEM102</t>
  </si>
  <si>
    <t>BANP</t>
  </si>
  <si>
    <t>LRRC57</t>
  </si>
  <si>
    <t>EIF1AD</t>
  </si>
  <si>
    <t>SCAI</t>
  </si>
  <si>
    <t>WDSUB1</t>
  </si>
  <si>
    <t>CCDC71L</t>
  </si>
  <si>
    <t>ZNF579</t>
  </si>
  <si>
    <t>ZBTB38</t>
  </si>
  <si>
    <t>TDRD5</t>
  </si>
  <si>
    <t>PRPF38A</t>
  </si>
  <si>
    <t>C1orf172</t>
  </si>
  <si>
    <t>MLKL</t>
  </si>
  <si>
    <t>PDDC1</t>
  </si>
  <si>
    <t>ANKRD52</t>
  </si>
  <si>
    <t>KDM1B</t>
  </si>
  <si>
    <t>SPATA5</t>
  </si>
  <si>
    <t>DTWD2</t>
  </si>
  <si>
    <t>NHLRC2</t>
  </si>
  <si>
    <t>AVL9</t>
  </si>
  <si>
    <t>COLGALT1</t>
  </si>
  <si>
    <t>SUMF2</t>
  </si>
  <si>
    <t>SUMF1</t>
  </si>
  <si>
    <t>POGLUT1</t>
  </si>
  <si>
    <t>RDH13</t>
  </si>
  <si>
    <t>SCCPDH</t>
  </si>
  <si>
    <t>INO80E</t>
  </si>
  <si>
    <t>SERBP1</t>
  </si>
  <si>
    <t>LEMD2</t>
  </si>
  <si>
    <t>NOA1</t>
  </si>
  <si>
    <t>CARD10</t>
  </si>
  <si>
    <t>NECAP1</t>
  </si>
  <si>
    <t>FAM98A</t>
  </si>
  <si>
    <t>ZNF784</t>
  </si>
  <si>
    <t>PLA2G15</t>
  </si>
  <si>
    <t>HJURP</t>
  </si>
  <si>
    <t>TSEN2</t>
  </si>
  <si>
    <t>MTMR14</t>
  </si>
  <si>
    <t>NFATC2IP</t>
  </si>
  <si>
    <t>ZBTB34</t>
  </si>
  <si>
    <t>RNF169</t>
  </si>
  <si>
    <t>PDPR</t>
  </si>
  <si>
    <t>ZBTB44</t>
  </si>
  <si>
    <t>APOA1BP</t>
  </si>
  <si>
    <t>MSANTD4</t>
  </si>
  <si>
    <t>SMG8</t>
  </si>
  <si>
    <t>RNF214</t>
  </si>
  <si>
    <t>PPFIBP2</t>
  </si>
  <si>
    <t>LSM14A</t>
  </si>
  <si>
    <t>CCNY</t>
  </si>
  <si>
    <t>MAPK1IP1L</t>
  </si>
  <si>
    <t>C1orf131</t>
  </si>
  <si>
    <t>PAPD5</t>
  </si>
  <si>
    <t>EHBP1</t>
  </si>
  <si>
    <t>SMC1B</t>
  </si>
  <si>
    <t>TNRC6A</t>
  </si>
  <si>
    <t>PSD4</t>
  </si>
  <si>
    <t>PHC3</t>
  </si>
  <si>
    <t>ZNF740</t>
  </si>
  <si>
    <t>ABCF1</t>
  </si>
  <si>
    <t>PIK3C3</t>
  </si>
  <si>
    <t>GSTCD</t>
  </si>
  <si>
    <t>SRFBP1</t>
  </si>
  <si>
    <t>NGDN</t>
  </si>
  <si>
    <t>MCPH1</t>
  </si>
  <si>
    <t>SHCBP1</t>
  </si>
  <si>
    <t>PDZD8</t>
  </si>
  <si>
    <t>APPL2</t>
  </si>
  <si>
    <t>NAV1</t>
  </si>
  <si>
    <t>PPHLN1</t>
  </si>
  <si>
    <t>VPS37A</t>
  </si>
  <si>
    <t>MLL3</t>
  </si>
  <si>
    <t>FBXO22</t>
  </si>
  <si>
    <t>LPCAT1</t>
  </si>
  <si>
    <t>DOCK8</t>
  </si>
  <si>
    <t>ZMIZ2</t>
  </si>
  <si>
    <t>USP32</t>
  </si>
  <si>
    <t>BOD1L1</t>
  </si>
  <si>
    <t>FLAD1</t>
  </si>
  <si>
    <t>FLCN</t>
  </si>
  <si>
    <t>NUP43</t>
  </si>
  <si>
    <t>NUP37</t>
  </si>
  <si>
    <t>ENGASE</t>
  </si>
  <si>
    <t>TOR1AIP2</t>
  </si>
  <si>
    <t>ABHD11</t>
  </si>
  <si>
    <t>CMAS</t>
  </si>
  <si>
    <t>KBTBD8</t>
  </si>
  <si>
    <t>FBXO18</t>
  </si>
  <si>
    <t>HELB</t>
  </si>
  <si>
    <t>CASC5</t>
  </si>
  <si>
    <t>TTL</t>
  </si>
  <si>
    <t>SVIP</t>
  </si>
  <si>
    <t>ZNRF2</t>
  </si>
  <si>
    <t>KDM2B</t>
  </si>
  <si>
    <t>PLBD2</t>
  </si>
  <si>
    <t>RASSF8</t>
  </si>
  <si>
    <t>TDRD7</t>
  </si>
  <si>
    <t>NEDD1</t>
  </si>
  <si>
    <t>CDC26</t>
  </si>
  <si>
    <t>NCOA7</t>
  </si>
  <si>
    <t>MCFD2</t>
  </si>
  <si>
    <t>THOC2</t>
  </si>
  <si>
    <t>WDR36</t>
  </si>
  <si>
    <t>CTCFL</t>
  </si>
  <si>
    <t>RP9</t>
  </si>
  <si>
    <t>RFESD</t>
  </si>
  <si>
    <t>SNIP1</t>
  </si>
  <si>
    <t>PPP1R14C</t>
  </si>
  <si>
    <t>GADD45GIP1</t>
  </si>
  <si>
    <t>WDR48</t>
  </si>
  <si>
    <t>CEP76</t>
  </si>
  <si>
    <t>PPP1R35</t>
  </si>
  <si>
    <t>MPLKIP</t>
  </si>
  <si>
    <t>SMARCC2</t>
  </si>
  <si>
    <t>NPLOC4</t>
  </si>
  <si>
    <t>FAM76A</t>
  </si>
  <si>
    <t>CXorf38</t>
  </si>
  <si>
    <t>RIN3</t>
  </si>
  <si>
    <t>FBXO30</t>
  </si>
  <si>
    <t>TXNDC9</t>
  </si>
  <si>
    <t>PUM2</t>
  </si>
  <si>
    <t>GOLGA5</t>
  </si>
  <si>
    <t>KLHDC4</t>
  </si>
  <si>
    <t>UBA3</t>
  </si>
  <si>
    <t>ZSCAN18</t>
  </si>
  <si>
    <t>BAHD1</t>
  </si>
  <si>
    <t>NANP</t>
  </si>
  <si>
    <t>FAM213B</t>
  </si>
  <si>
    <t>ZCRB1</t>
  </si>
  <si>
    <t>RAB3IL1</t>
  </si>
  <si>
    <t>PIP4K2C</t>
  </si>
  <si>
    <t>TRMT10A</t>
  </si>
  <si>
    <t>TBC1D15</t>
  </si>
  <si>
    <t>FAM110B</t>
  </si>
  <si>
    <t>LRRC20</t>
  </si>
  <si>
    <t>NT5C</t>
  </si>
  <si>
    <t>FAM45A</t>
  </si>
  <si>
    <t>KIAA1524</t>
  </si>
  <si>
    <t>ZNF507</t>
  </si>
  <si>
    <t>PNPT1</t>
  </si>
  <si>
    <t>ALMS1</t>
  </si>
  <si>
    <t>DYNC2LI1</t>
  </si>
  <si>
    <t>MAPK15</t>
  </si>
  <si>
    <t>BICD2</t>
  </si>
  <si>
    <t>NEK9</t>
  </si>
  <si>
    <t>CHD6</t>
  </si>
  <si>
    <t>GPT2</t>
  </si>
  <si>
    <t>PLEKHO2</t>
  </si>
  <si>
    <t>DNAH3</t>
  </si>
  <si>
    <t>DTX3L</t>
  </si>
  <si>
    <t>DDX54</t>
  </si>
  <si>
    <t>BLOC1S5</t>
  </si>
  <si>
    <t>DMXL2</t>
  </si>
  <si>
    <t>CABLES1</t>
  </si>
  <si>
    <t>BRIX1</t>
  </si>
  <si>
    <t>GNPDA2</t>
  </si>
  <si>
    <t>TRAF3IP1</t>
  </si>
  <si>
    <t>STK35</t>
  </si>
  <si>
    <t>NEK7</t>
  </si>
  <si>
    <t>RB1CC1</t>
  </si>
  <si>
    <t>MICAL1</t>
  </si>
  <si>
    <t>PANK1</t>
  </si>
  <si>
    <t>NSUN6</t>
  </si>
  <si>
    <t>TBCK</t>
  </si>
  <si>
    <t>DTD1</t>
  </si>
  <si>
    <t>DCAF11</t>
  </si>
  <si>
    <t>UTP15</t>
  </si>
  <si>
    <t>DENND1A</t>
  </si>
  <si>
    <t>DOT1L</t>
  </si>
  <si>
    <t>NUP210</t>
  </si>
  <si>
    <t>GEMIN5</t>
  </si>
  <si>
    <t>ARHGEF40</t>
  </si>
  <si>
    <t>FBF1</t>
  </si>
  <si>
    <t>GANC</t>
  </si>
  <si>
    <t>RAPGEF6</t>
  </si>
  <si>
    <t>SMCR8</t>
  </si>
  <si>
    <t>PARD3</t>
  </si>
  <si>
    <t>IPO4</t>
  </si>
  <si>
    <t>PNISR</t>
  </si>
  <si>
    <t>PPP4R1</t>
  </si>
  <si>
    <t>UBASH3B</t>
  </si>
  <si>
    <t>DIS3L</t>
  </si>
  <si>
    <t>ZNF526</t>
  </si>
  <si>
    <t>FBXO41</t>
  </si>
  <si>
    <t>GIPC3</t>
  </si>
  <si>
    <t>WIPF2</t>
  </si>
  <si>
    <t>GSG2</t>
  </si>
  <si>
    <t>DUSP19</t>
  </si>
  <si>
    <t>ABHD5</t>
  </si>
  <si>
    <t>SETD7</t>
  </si>
  <si>
    <t>DDI1</t>
  </si>
  <si>
    <t>COG1</t>
  </si>
  <si>
    <t>PYROXD1</t>
  </si>
  <si>
    <t>FAM222B</t>
  </si>
  <si>
    <t>SCFD2</t>
  </si>
  <si>
    <t>SMAP2</t>
  </si>
  <si>
    <t>ZC3H15</t>
  </si>
  <si>
    <t>PPIL4</t>
  </si>
  <si>
    <t>GTF3C2</t>
  </si>
  <si>
    <t>PHF10</t>
  </si>
  <si>
    <t>RAB2B</t>
  </si>
  <si>
    <t>CCDC12</t>
  </si>
  <si>
    <t>CXorf48</t>
  </si>
  <si>
    <t>PPP1R13L</t>
  </si>
  <si>
    <t>TGFBRAP1</t>
  </si>
  <si>
    <t>C12orf23</t>
  </si>
  <si>
    <t>HDAC7</t>
  </si>
  <si>
    <t>STYX</t>
  </si>
  <si>
    <t>PDCD6IP</t>
  </si>
  <si>
    <t>UBTD2</t>
  </si>
  <si>
    <t>CACTIN</t>
  </si>
  <si>
    <t>C15orf40</t>
  </si>
  <si>
    <t>GATAD1</t>
  </si>
  <si>
    <t>BRK1</t>
  </si>
  <si>
    <t>CHAC2</t>
  </si>
  <si>
    <t>CHMP7</t>
  </si>
  <si>
    <t>BCL7C</t>
  </si>
  <si>
    <t>NSMCE1</t>
  </si>
  <si>
    <t>SNX33</t>
  </si>
  <si>
    <t>NUDT8</t>
  </si>
  <si>
    <t>MITD1</t>
  </si>
  <si>
    <t>HEXDC</t>
  </si>
  <si>
    <t>CHTF18</t>
  </si>
  <si>
    <t>LEO1</t>
  </si>
  <si>
    <t>RPS21</t>
  </si>
  <si>
    <t>N6AMT2</t>
  </si>
  <si>
    <t>NUDCD2</t>
  </si>
  <si>
    <t>SNRNP27</t>
  </si>
  <si>
    <t>TFB1M</t>
  </si>
  <si>
    <t>SCFD1</t>
  </si>
  <si>
    <t>TRAPPC12</t>
  </si>
  <si>
    <t>POF1B</t>
  </si>
  <si>
    <t>HNRPLL</t>
  </si>
  <si>
    <t>UBLCP1</t>
  </si>
  <si>
    <t>TSEN15</t>
  </si>
  <si>
    <t>PCNP</t>
  </si>
  <si>
    <t>GTSF1</t>
  </si>
  <si>
    <t>SPRYD4</t>
  </si>
  <si>
    <t>TRUB1</t>
  </si>
  <si>
    <t>SLC44A1</t>
  </si>
  <si>
    <t>SPIRE2</t>
  </si>
  <si>
    <t>PHIP</t>
  </si>
  <si>
    <t>RTN4IP1</t>
  </si>
  <si>
    <t>RASSF5</t>
  </si>
  <si>
    <t>PRPF31</t>
  </si>
  <si>
    <t>EDARADD</t>
  </si>
  <si>
    <t>NELFB</t>
  </si>
  <si>
    <t>RUFY2</t>
  </si>
  <si>
    <t>SREK1</t>
  </si>
  <si>
    <t>METTL21A</t>
  </si>
  <si>
    <t>GEMIN6</t>
  </si>
  <si>
    <t>CASKIN2</t>
  </si>
  <si>
    <t>ATRIP</t>
  </si>
  <si>
    <t>STON2</t>
  </si>
  <si>
    <t>PSPC1</t>
  </si>
  <si>
    <t>MADD</t>
  </si>
  <si>
    <t>ACOT11</t>
  </si>
  <si>
    <t>GATAD2B</t>
  </si>
  <si>
    <t>MYO3B</t>
  </si>
  <si>
    <t>PIBF1</t>
  </si>
  <si>
    <t>DNAJC9</t>
  </si>
  <si>
    <t>THAP4</t>
  </si>
  <si>
    <t>CTNNBL1</t>
  </si>
  <si>
    <t>KAT6B</t>
  </si>
  <si>
    <t>SSH1</t>
  </si>
  <si>
    <t>ATG4A</t>
  </si>
  <si>
    <t>AHCTF1</t>
  </si>
  <si>
    <t>PEX6</t>
  </si>
  <si>
    <t>DGCR8</t>
  </si>
  <si>
    <t>KCTD13</t>
  </si>
  <si>
    <t>TTN</t>
  </si>
  <si>
    <t>OVCA2</t>
  </si>
  <si>
    <t>LZIC</t>
  </si>
  <si>
    <t>IRGQ</t>
  </si>
  <si>
    <t>DDB2</t>
  </si>
  <si>
    <t>TFAP2B</t>
  </si>
  <si>
    <t>DDX1</t>
  </si>
  <si>
    <t>STARD8</t>
  </si>
  <si>
    <t>SLC39A7</t>
  </si>
  <si>
    <t>HSD17B8</t>
  </si>
  <si>
    <t>H1FX</t>
  </si>
  <si>
    <t>CCT6B</t>
  </si>
  <si>
    <t>GBF1</t>
  </si>
  <si>
    <t>RTF1</t>
  </si>
  <si>
    <t>TM9SF4</t>
  </si>
  <si>
    <t>TMEM131</t>
  </si>
  <si>
    <t>RGP1</t>
  </si>
  <si>
    <t>TOPBP1</t>
  </si>
  <si>
    <t>IP6K1</t>
  </si>
  <si>
    <t>MRPS27</t>
  </si>
  <si>
    <t>WASF1</t>
  </si>
  <si>
    <t>BAP1</t>
  </si>
  <si>
    <t>FIG4</t>
  </si>
  <si>
    <t>FAM168A</t>
  </si>
  <si>
    <t>AP3S1</t>
  </si>
  <si>
    <t>TSC1</t>
  </si>
  <si>
    <t>UBXN4</t>
  </si>
  <si>
    <t>PHF3</t>
  </si>
  <si>
    <t>SLC9A6</t>
  </si>
  <si>
    <t>MAML1</t>
  </si>
  <si>
    <t>HSPH1</t>
  </si>
  <si>
    <t>SEPT8</t>
  </si>
  <si>
    <t>RQCD1</t>
  </si>
  <si>
    <t>DOCK2</t>
  </si>
  <si>
    <t>TBC1D5</t>
  </si>
  <si>
    <t>ZNF592</t>
  </si>
  <si>
    <t>MYO18A</t>
  </si>
  <si>
    <t>GCN1L1</t>
  </si>
  <si>
    <t>ZNF516</t>
  </si>
  <si>
    <t>HMHA1</t>
  </si>
  <si>
    <t>NUP205</t>
  </si>
  <si>
    <t>KIAA0226</t>
  </si>
  <si>
    <t>ANKS1A</t>
  </si>
  <si>
    <t>NSMAF</t>
  </si>
  <si>
    <t>GTF3A</t>
  </si>
  <si>
    <t>MRPS31</t>
  </si>
  <si>
    <t>AKAP1</t>
  </si>
  <si>
    <t>NRGN</t>
  </si>
  <si>
    <t>ANP32B</t>
  </si>
  <si>
    <t>PVRL2</t>
  </si>
  <si>
    <t>RABGGTA</t>
  </si>
  <si>
    <t>TFG</t>
  </si>
  <si>
    <t>ARPC1A</t>
  </si>
  <si>
    <t>TAF4B</t>
  </si>
  <si>
    <t>GTF2H4</t>
  </si>
  <si>
    <t>RREB1</t>
  </si>
  <si>
    <t>HDAC2</t>
  </si>
  <si>
    <t>STAM</t>
  </si>
  <si>
    <t>DPF3</t>
  </si>
  <si>
    <t>DPF2</t>
  </si>
  <si>
    <t>CREBBP</t>
  </si>
  <si>
    <t>DLG3</t>
  </si>
  <si>
    <t>SYMPK</t>
  </si>
  <si>
    <t>TAF15</t>
  </si>
  <si>
    <t>GOLGA1</t>
  </si>
  <si>
    <t>GGH</t>
  </si>
  <si>
    <t>CORO2A</t>
  </si>
  <si>
    <t>KAT2A</t>
  </si>
  <si>
    <t>RPGR</t>
  </si>
  <si>
    <t>DDX17</t>
  </si>
  <si>
    <t>BCL2L2</t>
  </si>
  <si>
    <t>TANK</t>
  </si>
  <si>
    <t>KIFAP3</t>
  </si>
  <si>
    <t>CASP10</t>
  </si>
  <si>
    <t>SEMA4D</t>
  </si>
  <si>
    <t>PMM1</t>
  </si>
  <si>
    <t>RAD50</t>
  </si>
  <si>
    <t>CELF1</t>
  </si>
  <si>
    <t>OSTF1</t>
  </si>
  <si>
    <t>ERCC4</t>
  </si>
  <si>
    <t>GLG1</t>
  </si>
  <si>
    <t>UPF1</t>
  </si>
  <si>
    <t>HPS1</t>
  </si>
  <si>
    <t>COPS5</t>
  </si>
  <si>
    <t>GPKOW</t>
  </si>
  <si>
    <t>SMARCC1</t>
  </si>
  <si>
    <t>SMARCD2</t>
  </si>
  <si>
    <t>KHSRP</t>
  </si>
  <si>
    <t>GCDH</t>
  </si>
  <si>
    <t>TNPO1</t>
  </si>
  <si>
    <t>ARHGEF2</t>
  </si>
  <si>
    <t>EMG1</t>
  </si>
  <si>
    <t>CLP1</t>
  </si>
  <si>
    <t>GLMN</t>
  </si>
  <si>
    <t>KAT5</t>
  </si>
  <si>
    <t>BRF1</t>
  </si>
  <si>
    <t>USP13</t>
  </si>
  <si>
    <t>USP9X</t>
  </si>
  <si>
    <t>NAT6</t>
  </si>
  <si>
    <t>CUL5</t>
  </si>
  <si>
    <t>SECISBP2L</t>
  </si>
  <si>
    <t>MED12</t>
  </si>
  <si>
    <t>TATDN2</t>
  </si>
  <si>
    <t>PTP4A1</t>
  </si>
  <si>
    <t>PHKB</t>
  </si>
  <si>
    <t>TSR2</t>
  </si>
  <si>
    <t>GTF3C6</t>
  </si>
  <si>
    <t>HPS3</t>
  </si>
  <si>
    <t>SMARCE1</t>
  </si>
  <si>
    <t>RFK</t>
  </si>
  <si>
    <t>FBXW7</t>
  </si>
  <si>
    <t>POP5</t>
  </si>
  <si>
    <t>C19orf10</t>
  </si>
  <si>
    <t>ZKSCAN4</t>
  </si>
  <si>
    <t>LOH12CR1</t>
  </si>
  <si>
    <t>RNF34</t>
  </si>
  <si>
    <t>LSM10</t>
  </si>
  <si>
    <t>YIPF5</t>
  </si>
  <si>
    <t>L3MBTL2</t>
  </si>
  <si>
    <t>GFM2</t>
  </si>
  <si>
    <t>NT5C3B</t>
  </si>
  <si>
    <t>FBXW5</t>
  </si>
  <si>
    <t>CIRH1A</t>
  </si>
  <si>
    <t>GTPBP3</t>
  </si>
  <si>
    <t>TBRG4</t>
  </si>
  <si>
    <t>PPP1R14A</t>
  </si>
  <si>
    <t>CCDC102A</t>
  </si>
  <si>
    <t>CCDC47</t>
  </si>
  <si>
    <t>RNF166</t>
  </si>
  <si>
    <t>SYAP1</t>
  </si>
  <si>
    <t>EXOC4</t>
  </si>
  <si>
    <t>KIAA1191</t>
  </si>
  <si>
    <t>ISOC2</t>
  </si>
  <si>
    <t>NTAN1</t>
  </si>
  <si>
    <t>FERMT2</t>
  </si>
  <si>
    <t>PNPLA2</t>
  </si>
  <si>
    <t>FUBP1</t>
  </si>
  <si>
    <t>LRRC59</t>
  </si>
  <si>
    <t>VTI1A</t>
  </si>
  <si>
    <t>KIAA1143</t>
  </si>
  <si>
    <t>RPE</t>
  </si>
  <si>
    <t>VPS33A</t>
  </si>
  <si>
    <t>TTC28</t>
  </si>
  <si>
    <t>UBE2W</t>
  </si>
  <si>
    <t>C18orf25</t>
  </si>
  <si>
    <t>EXOSC8</t>
  </si>
  <si>
    <t>AKT1S1</t>
  </si>
  <si>
    <t>C10orf32</t>
  </si>
  <si>
    <t>ZNF428</t>
  </si>
  <si>
    <t>SH3KBP1</t>
  </si>
  <si>
    <t>PHF21A</t>
  </si>
  <si>
    <t>SKA1</t>
  </si>
  <si>
    <t>NACC2</t>
  </si>
  <si>
    <t>RNF25</t>
  </si>
  <si>
    <t>PINX1</t>
  </si>
  <si>
    <t>ARL8A</t>
  </si>
  <si>
    <t>FAM105B</t>
  </si>
  <si>
    <t>PPWD1</t>
  </si>
  <si>
    <t>SELRC1</t>
  </si>
  <si>
    <t>TESC</t>
  </si>
  <si>
    <t>ALKBH8</t>
  </si>
  <si>
    <t>PTER</t>
  </si>
  <si>
    <t>MOB3A</t>
  </si>
  <si>
    <t>ATG2B</t>
  </si>
  <si>
    <t>LENG1</t>
  </si>
  <si>
    <t>ZBTB9</t>
  </si>
  <si>
    <t>FAM136A</t>
  </si>
  <si>
    <t>ARMC5</t>
  </si>
  <si>
    <t>EFHD2</t>
  </si>
  <si>
    <t>GALM</t>
  </si>
  <si>
    <t>SYTL4</t>
  </si>
  <si>
    <t>PYCR2</t>
  </si>
  <si>
    <t>DCPS</t>
  </si>
  <si>
    <t>PPP1R14B</t>
  </si>
  <si>
    <t>SDCCAG3</t>
  </si>
  <si>
    <t>INTS12</t>
  </si>
  <si>
    <t>NSUN4</t>
  </si>
  <si>
    <t>FBXL8</t>
  </si>
  <si>
    <t>PPCDC</t>
  </si>
  <si>
    <t>CHMP4C</t>
  </si>
  <si>
    <t>ISOC1</t>
  </si>
  <si>
    <t>GCC1</t>
  </si>
  <si>
    <t>FLYWCH2</t>
  </si>
  <si>
    <t>GRAMD1A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</si>
  <si>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</si>
  <si>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</si>
  <si>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</si>
  <si>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</si>
  <si>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</si>
  <si>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</si>
  <si>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</si>
  <si>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</si>
  <si>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NMD3</t>
  </si>
  <si>
    <t>REPS1</t>
  </si>
  <si>
    <t>DNAJC19</t>
  </si>
  <si>
    <t>RMDN1</t>
  </si>
  <si>
    <t>TMCO6</t>
  </si>
  <si>
    <t>ECHDC3</t>
  </si>
  <si>
    <t>NUDT16</t>
  </si>
  <si>
    <t>ANAPC16</t>
  </si>
  <si>
    <t>DGCR14</t>
  </si>
  <si>
    <t>CMBL</t>
  </si>
  <si>
    <t>MSI2</t>
  </si>
  <si>
    <t>SNRNP40</t>
  </si>
  <si>
    <t>WDR67</t>
  </si>
  <si>
    <t>MBD6</t>
  </si>
  <si>
    <t>LGALS12</t>
  </si>
  <si>
    <t>DNAH11</t>
  </si>
  <si>
    <t>ATG4C</t>
  </si>
  <si>
    <t>ZBTB10</t>
  </si>
  <si>
    <t>ITPKC</t>
  </si>
  <si>
    <t>RSPRY1</t>
  </si>
  <si>
    <t>TRIM44</t>
  </si>
  <si>
    <t>FAM122A</t>
  </si>
  <si>
    <t>MRRF</t>
  </si>
  <si>
    <t>RMI2</t>
  </si>
  <si>
    <t>RBMXL1</t>
  </si>
  <si>
    <t>SPDL1</t>
  </si>
  <si>
    <t>SIRT1</t>
  </si>
  <si>
    <t>HOOK2</t>
  </si>
  <si>
    <t>SEH1L</t>
  </si>
  <si>
    <t>MALSU1</t>
  </si>
  <si>
    <t>THAP11</t>
  </si>
  <si>
    <t>KIAA1279</t>
  </si>
  <si>
    <t>GNPNAT1</t>
  </si>
  <si>
    <t>KTI12</t>
  </si>
  <si>
    <t>L3HYPDH</t>
  </si>
  <si>
    <t>MOCOS</t>
  </si>
  <si>
    <t>RNF31</t>
  </si>
  <si>
    <t>CHFR</t>
  </si>
  <si>
    <t>DAZAP1</t>
  </si>
  <si>
    <t>SGTB</t>
  </si>
  <si>
    <t>CCDC101</t>
  </si>
  <si>
    <t>RRP36</t>
  </si>
  <si>
    <t>RBM33</t>
  </si>
  <si>
    <t>DTNBP1</t>
  </si>
  <si>
    <t>HSPBAP1</t>
  </si>
  <si>
    <t>DNAJA3</t>
  </si>
  <si>
    <t>TMA16</t>
  </si>
  <si>
    <t>MVB12A</t>
  </si>
  <si>
    <t>PTCD3</t>
  </si>
  <si>
    <t>MMAB</t>
  </si>
  <si>
    <t>ADAT3</t>
  </si>
  <si>
    <t>MCRS1</t>
  </si>
  <si>
    <t>NRBF2</t>
  </si>
  <si>
    <t>TRIM11</t>
  </si>
  <si>
    <t>CCDC97</t>
  </si>
  <si>
    <t>CNRIP1</t>
  </si>
  <si>
    <t>EDC3</t>
  </si>
  <si>
    <t>DDX11</t>
  </si>
  <si>
    <t>CDCA5</t>
  </si>
  <si>
    <t>DYNLL2</t>
  </si>
  <si>
    <t>WDR89</t>
  </si>
  <si>
    <t>CPNE2</t>
  </si>
  <si>
    <t>SIPA1</t>
  </si>
  <si>
    <t>IFT43</t>
  </si>
  <si>
    <t>SCRN2</t>
  </si>
  <si>
    <t>THOC1</t>
  </si>
  <si>
    <t>DPH3</t>
  </si>
  <si>
    <t>TRMT61A</t>
  </si>
  <si>
    <t>PGM2</t>
  </si>
  <si>
    <t>MED8</t>
  </si>
  <si>
    <t>CCDC104</t>
  </si>
  <si>
    <t>DUS3L</t>
  </si>
  <si>
    <t>OTUD5</t>
  </si>
  <si>
    <t>LTV1</t>
  </si>
  <si>
    <t>SDSL</t>
  </si>
  <si>
    <t>PDXP</t>
  </si>
  <si>
    <t>SCMH1</t>
  </si>
  <si>
    <t>CEP95</t>
  </si>
  <si>
    <t>DCUN1D1</t>
  </si>
  <si>
    <t>TRMT2B</t>
  </si>
  <si>
    <t>FAHD2A</t>
  </si>
  <si>
    <t>SMARCD1</t>
  </si>
  <si>
    <t>TOE1</t>
  </si>
  <si>
    <t>DDX27</t>
  </si>
  <si>
    <t>C17orf59</t>
  </si>
  <si>
    <t>C5orf30</t>
  </si>
  <si>
    <t>MARS2</t>
  </si>
  <si>
    <t>ATXN7L3B</t>
  </si>
  <si>
    <t>MASTL</t>
  </si>
  <si>
    <t>APIP</t>
  </si>
  <si>
    <t>ZC2HC1A</t>
  </si>
  <si>
    <t>LIN37</t>
  </si>
  <si>
    <t>SNF8</t>
  </si>
  <si>
    <t>RBM18</t>
  </si>
  <si>
    <t>ZC3HAV1L</t>
  </si>
  <si>
    <t>TONSL</t>
  </si>
  <si>
    <t>PDLIM5</t>
  </si>
  <si>
    <t>ERO1L</t>
  </si>
  <si>
    <t>C7orf55</t>
  </si>
  <si>
    <t>AHCYL2</t>
  </si>
  <si>
    <t>OXNAD1</t>
  </si>
  <si>
    <t>NAF1</t>
  </si>
  <si>
    <t>PGAM5</t>
  </si>
  <si>
    <t>INTS4</t>
  </si>
  <si>
    <t>DDRGK1</t>
  </si>
  <si>
    <t>DHTKD1</t>
  </si>
  <si>
    <t>SCLY</t>
  </si>
  <si>
    <t>PYURF</t>
  </si>
  <si>
    <t>FUBP3</t>
  </si>
  <si>
    <t>RBM17</t>
  </si>
  <si>
    <t>WBSCR16</t>
  </si>
  <si>
    <t>NARS2</t>
  </si>
  <si>
    <t>GPATCH3</t>
  </si>
  <si>
    <t>SUCLG2</t>
  </si>
  <si>
    <t>LRCH3</t>
  </si>
  <si>
    <t>GMPPA</t>
  </si>
  <si>
    <t>BOD1</t>
  </si>
  <si>
    <t>ZNF845</t>
  </si>
  <si>
    <t>ABHD14B</t>
  </si>
  <si>
    <t>NGLY1</t>
  </si>
  <si>
    <t>NSL1</t>
  </si>
  <si>
    <t>PAWR</t>
  </si>
  <si>
    <t>RBM41</t>
  </si>
  <si>
    <t>RSRC1</t>
  </si>
  <si>
    <t>THOC3</t>
  </si>
  <si>
    <t>ITCH</t>
  </si>
  <si>
    <t>WNK4</t>
  </si>
  <si>
    <t>COG3</t>
  </si>
  <si>
    <t>HIC2</t>
  </si>
  <si>
    <t>CDK5RAP3</t>
  </si>
  <si>
    <t>VPS39</t>
  </si>
  <si>
    <t>EAF1</t>
  </si>
  <si>
    <t>CCDC132</t>
  </si>
  <si>
    <t>VCPIP1</t>
  </si>
  <si>
    <t>SPG11</t>
  </si>
  <si>
    <t>DCAF5</t>
  </si>
  <si>
    <t>MAML3</t>
  </si>
  <si>
    <t>CHAMP1</t>
  </si>
  <si>
    <t>L3MBTL3</t>
  </si>
  <si>
    <t>CCDC136</t>
  </si>
  <si>
    <t>ZFP91</t>
  </si>
  <si>
    <t>PGBD1</t>
  </si>
  <si>
    <t>BTF3L4</t>
  </si>
  <si>
    <t>C8orf76</t>
  </si>
  <si>
    <t>ZNF668</t>
  </si>
  <si>
    <t>ZNF521</t>
  </si>
  <si>
    <t>PBK</t>
  </si>
  <si>
    <t>DNAJC1</t>
  </si>
  <si>
    <t>SCYL1</t>
  </si>
  <si>
    <t>ZNF512B</t>
  </si>
  <si>
    <t>HRASLS5</t>
  </si>
  <si>
    <t>EXOC2</t>
  </si>
  <si>
    <t>CNDP2</t>
  </si>
  <si>
    <t>ZFR</t>
  </si>
  <si>
    <t>EP400</t>
  </si>
  <si>
    <t>SNX27</t>
  </si>
  <si>
    <t>KIF16B</t>
  </si>
  <si>
    <t>PRMT6</t>
  </si>
  <si>
    <t>IFT74</t>
  </si>
  <si>
    <t>TRIM47</t>
  </si>
  <si>
    <t>SENP8</t>
  </si>
  <si>
    <t>UBXN10</t>
  </si>
  <si>
    <t>UBE2E2</t>
  </si>
  <si>
    <t>RMDN2</t>
  </si>
  <si>
    <t>PRRC1</t>
  </si>
  <si>
    <t>FBXL18</t>
  </si>
  <si>
    <t>ZNF512</t>
  </si>
  <si>
    <t>NDNL2</t>
  </si>
  <si>
    <t>HEXIM2</t>
  </si>
  <si>
    <t>CEP63</t>
  </si>
  <si>
    <t>YTHDC1</t>
  </si>
  <si>
    <t>CCDC43</t>
  </si>
  <si>
    <t>COG8</t>
  </si>
  <si>
    <t>WDR92</t>
  </si>
  <si>
    <t>C20orf112</t>
  </si>
  <si>
    <t>C16orf55</t>
  </si>
  <si>
    <t>ENTHD2</t>
  </si>
  <si>
    <t>MBOAT7</t>
  </si>
  <si>
    <t>DOCK7</t>
  </si>
  <si>
    <t>RILP</t>
  </si>
  <si>
    <t>FOPNL</t>
  </si>
  <si>
    <t>ZNF830</t>
  </si>
  <si>
    <t>ZMAT2</t>
  </si>
  <si>
    <t>C8orf37</t>
  </si>
  <si>
    <t>NAP1L5</t>
  </si>
  <si>
    <t>NSUN5</t>
  </si>
  <si>
    <t>RPRD1A</t>
  </si>
  <si>
    <t>AGAP3</t>
  </si>
  <si>
    <t>ARAP1</t>
  </si>
  <si>
    <t>IPO9</t>
  </si>
  <si>
    <t>AP1S3</t>
  </si>
  <si>
    <t>BBC3</t>
  </si>
  <si>
    <t>RBM14</t>
  </si>
  <si>
    <t>RCHY1</t>
  </si>
  <si>
    <t>ZNF385A</t>
  </si>
  <si>
    <t>ZNF317</t>
  </si>
  <si>
    <t>UHRF2</t>
  </si>
  <si>
    <t>NEDD4L</t>
  </si>
  <si>
    <t>QKI</t>
  </si>
  <si>
    <t>LENG8</t>
  </si>
  <si>
    <t>FMNL2</t>
  </si>
  <si>
    <t>NEK1</t>
  </si>
  <si>
    <t>PUS7</t>
  </si>
  <si>
    <t>TRAPPC9</t>
  </si>
  <si>
    <t>TRNT1</t>
  </si>
  <si>
    <t>SMG1</t>
  </si>
  <si>
    <t>TMEM237</t>
  </si>
  <si>
    <t>KIF20B</t>
  </si>
  <si>
    <t>PPP1R10</t>
  </si>
  <si>
    <t>FYTTD1</t>
  </si>
  <si>
    <t>ATAD5</t>
  </si>
  <si>
    <t>RAB3IP</t>
  </si>
  <si>
    <t>MTMR9</t>
  </si>
  <si>
    <t>VPS35</t>
  </si>
  <si>
    <t>PURB</t>
  </si>
  <si>
    <t>PHF12</t>
  </si>
  <si>
    <t>ACCS</t>
  </si>
  <si>
    <t>XPO6</t>
  </si>
  <si>
    <t>MAGI1</t>
  </si>
  <si>
    <t>NACC1</t>
  </si>
  <si>
    <t>SNX18</t>
  </si>
  <si>
    <t>PASK</t>
  </si>
  <si>
    <t>UIMC1</t>
  </si>
  <si>
    <t>VPS13A</t>
  </si>
  <si>
    <t>MED15</t>
  </si>
  <si>
    <t>GFM1</t>
  </si>
  <si>
    <t>MCCC1</t>
  </si>
  <si>
    <t>CAMKK2</t>
  </si>
  <si>
    <t>TGS1</t>
  </si>
  <si>
    <t>NUDCD1</t>
  </si>
  <si>
    <t>ERBB2IP</t>
  </si>
  <si>
    <t>USP28</t>
  </si>
  <si>
    <t>FNBP1</t>
  </si>
  <si>
    <t>WDR24</t>
  </si>
  <si>
    <t>C16orf13</t>
  </si>
  <si>
    <t>RPS6KC1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</si>
  <si>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</si>
  <si>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</si>
  <si>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</si>
  <si>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</si>
  <si>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</si>
  <si>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</si>
  <si>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</si>
  <si>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</si>
  <si>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PLEKHF1</t>
  </si>
  <si>
    <t>PPP1R9B</t>
  </si>
  <si>
    <t>SMC6</t>
  </si>
  <si>
    <t>STRBP</t>
  </si>
  <si>
    <t>TMEM209</t>
  </si>
  <si>
    <t>FIZ1</t>
  </si>
  <si>
    <t>CDK5RAP2</t>
  </si>
  <si>
    <t>IWS1</t>
  </si>
  <si>
    <t>SIN3A</t>
  </si>
  <si>
    <t>OSBPL9</t>
  </si>
  <si>
    <t>CRBN</t>
  </si>
  <si>
    <t>VWA9</t>
  </si>
  <si>
    <t>ADO</t>
  </si>
  <si>
    <t>SECISBP2</t>
  </si>
  <si>
    <t>RSF1</t>
  </si>
  <si>
    <t>RBM15</t>
  </si>
  <si>
    <t>RUFY1</t>
  </si>
  <si>
    <t>SPEN</t>
  </si>
  <si>
    <t>PNKP</t>
  </si>
  <si>
    <t>MMS19</t>
  </si>
  <si>
    <t>UHRF1</t>
  </si>
  <si>
    <t>FAM129B</t>
  </si>
  <si>
    <t>RMDN3</t>
  </si>
  <si>
    <t>TCF12</t>
  </si>
  <si>
    <t>MYCBP</t>
  </si>
  <si>
    <t>TBCB</t>
  </si>
  <si>
    <t>PSMB7</t>
  </si>
  <si>
    <t>PCYT2</t>
  </si>
  <si>
    <t>KRT12</t>
  </si>
  <si>
    <t>CDC5L</t>
  </si>
  <si>
    <t>PSMD1</t>
  </si>
  <si>
    <t>PFDN5</t>
  </si>
  <si>
    <t>RNF2</t>
  </si>
  <si>
    <t>PARK7</t>
  </si>
  <si>
    <t>GAS2L1</t>
  </si>
  <si>
    <t>NEU1</t>
  </si>
  <si>
    <t>SORT1</t>
  </si>
  <si>
    <t>VAT1</t>
  </si>
  <si>
    <t>PLIN2</t>
  </si>
  <si>
    <t>DNAJC2</t>
  </si>
  <si>
    <t>MPHOSPH8</t>
  </si>
  <si>
    <t>MPHOSPH9</t>
  </si>
  <si>
    <t>NUP88</t>
  </si>
  <si>
    <t>PIK3R4</t>
  </si>
  <si>
    <t>POP1</t>
  </si>
  <si>
    <t>TSC22D3</t>
  </si>
  <si>
    <t>MNT</t>
  </si>
  <si>
    <t>S100A13</t>
  </si>
  <si>
    <t>SCAF11</t>
  </si>
  <si>
    <t>TSNAX</t>
  </si>
  <si>
    <t>ELF4</t>
  </si>
  <si>
    <t>SEPHS2</t>
  </si>
  <si>
    <t>TTC1</t>
  </si>
  <si>
    <t>DNAJC7</t>
  </si>
  <si>
    <t>C12orf57</t>
  </si>
  <si>
    <t>PRPF18</t>
  </si>
  <si>
    <t>RAD9A</t>
  </si>
  <si>
    <t>PKMYT1</t>
  </si>
  <si>
    <t>CHP1</t>
  </si>
  <si>
    <t>KIF2C</t>
  </si>
  <si>
    <t>DOK1</t>
  </si>
  <si>
    <t>MTR</t>
  </si>
  <si>
    <t>RBBP8</t>
  </si>
  <si>
    <t>HSD17B10</t>
  </si>
  <si>
    <t>BARD1</t>
  </si>
  <si>
    <t>NAP1L4</t>
  </si>
  <si>
    <t>NAPG</t>
  </si>
  <si>
    <t>TXN2</t>
  </si>
  <si>
    <t>ATP5S</t>
  </si>
  <si>
    <t>APBA2</t>
  </si>
  <si>
    <t>MIPEP</t>
  </si>
  <si>
    <t>ACO2</t>
  </si>
  <si>
    <t>CCT7</t>
  </si>
  <si>
    <t>MYD88</t>
  </si>
  <si>
    <t>EBNA1BP2</t>
  </si>
  <si>
    <t>ARID3A</t>
  </si>
  <si>
    <t>HIST1H2AJ</t>
  </si>
  <si>
    <t>HIST1H2BM</t>
  </si>
  <si>
    <t>BAG1</t>
  </si>
  <si>
    <t>ATF6B</t>
  </si>
  <si>
    <t>RNF5</t>
  </si>
  <si>
    <t>PTPN18</t>
  </si>
  <si>
    <t>DUSP9</t>
  </si>
  <si>
    <t>SH3GL1</t>
  </si>
  <si>
    <t>SH3GL3</t>
  </si>
  <si>
    <t>VRK1</t>
  </si>
  <si>
    <t>AKAP9</t>
  </si>
  <si>
    <t>NIPSNAP1</t>
  </si>
  <si>
    <t>NCAPG</t>
  </si>
  <si>
    <t>ARPC5L</t>
  </si>
  <si>
    <t>MICU1</t>
  </si>
  <si>
    <t>C7orf25</t>
  </si>
  <si>
    <t>PAIP2</t>
  </si>
  <si>
    <t>MAPKAP1</t>
  </si>
  <si>
    <t>RBM4B</t>
  </si>
  <si>
    <t>DDX50</t>
  </si>
  <si>
    <t>MRPL34</t>
  </si>
  <si>
    <t>ELAC2</t>
  </si>
  <si>
    <t>C19orf43</t>
  </si>
  <si>
    <t>GRWD1</t>
  </si>
  <si>
    <t>MACROD1</t>
  </si>
  <si>
    <t>TCF25</t>
  </si>
  <si>
    <t>KLHDC3</t>
  </si>
  <si>
    <t>WDR77</t>
  </si>
  <si>
    <t>VKORC1</t>
  </si>
  <si>
    <t>DPH2</t>
  </si>
  <si>
    <t>TUBA1C</t>
  </si>
  <si>
    <t>APOL2</t>
  </si>
  <si>
    <t>BCL7B</t>
  </si>
  <si>
    <t>SENP7</t>
  </si>
  <si>
    <t>MYBBP1A</t>
  </si>
  <si>
    <t>NUDT12</t>
  </si>
  <si>
    <t>AIF1L</t>
  </si>
  <si>
    <t>MGME1</t>
  </si>
  <si>
    <t>FYCO1</t>
  </si>
  <si>
    <t>RHOXF2</t>
  </si>
  <si>
    <t>ACBD6</t>
  </si>
  <si>
    <t>CORO1B</t>
  </si>
  <si>
    <t>TXNDC17</t>
  </si>
  <si>
    <t>BUD13</t>
  </si>
  <si>
    <t>CPPED1</t>
  </si>
  <si>
    <t>VPS25</t>
  </si>
  <si>
    <t>SDF4</t>
  </si>
  <si>
    <t>PDCD2L</t>
  </si>
  <si>
    <t>PAAF1</t>
  </si>
  <si>
    <t>WIBG</t>
  </si>
  <si>
    <t>ZKSCAN3</t>
  </si>
  <si>
    <t>ADPGK</t>
  </si>
  <si>
    <t>RIOK1</t>
  </si>
  <si>
    <t>MIEN1</t>
  </si>
  <si>
    <t>GINS4</t>
  </si>
  <si>
    <t>SIKE1</t>
  </si>
  <si>
    <t>PELO</t>
  </si>
  <si>
    <t>GINS3</t>
  </si>
  <si>
    <t>WDR83</t>
  </si>
  <si>
    <t>TRIM56</t>
  </si>
  <si>
    <t>ANAPC13</t>
  </si>
  <si>
    <t>ERP44</t>
  </si>
  <si>
    <t>ATG101</t>
  </si>
  <si>
    <t>NOL10</t>
  </si>
  <si>
    <t>NTPCR</t>
  </si>
  <si>
    <t>HERPUD2</t>
  </si>
  <si>
    <t>TACO1</t>
  </si>
  <si>
    <t>HDHD3</t>
  </si>
  <si>
    <t>TUBGCP2</t>
  </si>
  <si>
    <t>C17orf80</t>
  </si>
  <si>
    <t>ESYT1</t>
  </si>
  <si>
    <t>UBAC1</t>
  </si>
  <si>
    <t>CCM2</t>
  </si>
  <si>
    <t>YIPF4</t>
  </si>
  <si>
    <t>RTKN</t>
  </si>
  <si>
    <t>C16orf70</t>
  </si>
  <si>
    <t>NAA11</t>
  </si>
  <si>
    <t>TSEN34</t>
  </si>
  <si>
    <t>EFCAB4B</t>
  </si>
  <si>
    <t>CHCHD5</t>
  </si>
  <si>
    <t>CNPY3</t>
  </si>
  <si>
    <t>HAUS8</t>
  </si>
  <si>
    <t>ALKBH7</t>
  </si>
  <si>
    <t>PSMG3</t>
  </si>
  <si>
    <t>COPS4</t>
  </si>
  <si>
    <t>TCHP</t>
  </si>
  <si>
    <t>WAC</t>
  </si>
  <si>
    <t>DIDO1</t>
  </si>
  <si>
    <t>RBM42</t>
  </si>
  <si>
    <t>DCTN5</t>
  </si>
  <si>
    <t>MCMBP</t>
  </si>
  <si>
    <t>AARSD1</t>
  </si>
  <si>
    <t>DCUN1D5</t>
  </si>
  <si>
    <t>THUMPD2</t>
  </si>
  <si>
    <t>PAGR1</t>
  </si>
  <si>
    <t>FAM103A1</t>
  </si>
  <si>
    <t>URM1</t>
  </si>
  <si>
    <t>ANP32E</t>
  </si>
  <si>
    <t>MED10</t>
  </si>
  <si>
    <t>WDR85</t>
  </si>
  <si>
    <t>TBCD</t>
  </si>
  <si>
    <t>TTPAL</t>
  </si>
  <si>
    <t>FUCA2</t>
  </si>
  <si>
    <t>FAM203A</t>
  </si>
  <si>
    <t>THTPA</t>
  </si>
  <si>
    <t>NDUFAF3</t>
  </si>
  <si>
    <t>CENPO</t>
  </si>
  <si>
    <t>MMTAG2</t>
  </si>
  <si>
    <t>DOHH</t>
  </si>
  <si>
    <t>C11orf84</t>
  </si>
  <si>
    <t>ADAT1</t>
  </si>
  <si>
    <t>MKNK1</t>
  </si>
  <si>
    <t>MED18</t>
  </si>
  <si>
    <t>TUBB6</t>
  </si>
  <si>
    <t>C9orf142</t>
  </si>
  <si>
    <t>POLR3C</t>
  </si>
  <si>
    <t>HNRNPUL1</t>
  </si>
  <si>
    <t>MSTO1</t>
  </si>
  <si>
    <t>RPP25</t>
  </si>
  <si>
    <t>CCDC28B</t>
  </si>
  <si>
    <t>EFHD1</t>
  </si>
  <si>
    <t>DDX23</t>
  </si>
  <si>
    <t>WRAP53</t>
  </si>
  <si>
    <t>BDH2</t>
  </si>
  <si>
    <t>FAM195A</t>
  </si>
  <si>
    <t>C9orf16</t>
  </si>
  <si>
    <t>C1orf50</t>
  </si>
  <si>
    <t>MRI1</t>
  </si>
  <si>
    <t>WDR18</t>
  </si>
  <si>
    <t>VAMP8</t>
  </si>
  <si>
    <t>THUMPD3</t>
  </si>
  <si>
    <t>ADI1</t>
  </si>
  <si>
    <t>RNF126</t>
  </si>
  <si>
    <t>CEP250</t>
  </si>
  <si>
    <t>MECR</t>
  </si>
  <si>
    <t>NTMT1</t>
  </si>
  <si>
    <t>KATNB1</t>
  </si>
  <si>
    <t>DSCC1</t>
  </si>
  <si>
    <t>TMEM109</t>
  </si>
  <si>
    <t>PBDC1</t>
  </si>
  <si>
    <t>PHF20</t>
  </si>
  <si>
    <t>NOC4L</t>
  </si>
  <si>
    <t>UTP14A</t>
  </si>
  <si>
    <t>DUSP23</t>
  </si>
  <si>
    <t>TMED9</t>
  </si>
  <si>
    <t>SELO</t>
  </si>
  <si>
    <t>DPCD</t>
  </si>
  <si>
    <t>GGACT</t>
  </si>
  <si>
    <t>GNL3</t>
  </si>
  <si>
    <t>SPATA5L1</t>
  </si>
  <si>
    <t>TUBGCP4</t>
  </si>
  <si>
    <t>RIOK2</t>
  </si>
  <si>
    <t>SARG</t>
  </si>
  <si>
    <t>KIFC1</t>
  </si>
  <si>
    <t>NUP85</t>
  </si>
  <si>
    <t>DDA1</t>
  </si>
  <si>
    <t>KATNAL1</t>
  </si>
  <si>
    <t>CINP</t>
  </si>
  <si>
    <t>HIRIP3</t>
  </si>
  <si>
    <t>IFT27</t>
  </si>
  <si>
    <t>NUDT9</t>
  </si>
  <si>
    <t>TARS2</t>
  </si>
  <si>
    <t>ACAT2</t>
  </si>
  <si>
    <t>REPIN1</t>
  </si>
  <si>
    <t>RBM4</t>
  </si>
  <si>
    <t>FUNDC2</t>
  </si>
  <si>
    <t>RPAP1</t>
  </si>
  <si>
    <t>SF3B5</t>
  </si>
  <si>
    <t>PRR14</t>
  </si>
  <si>
    <t>CHID1</t>
  </si>
  <si>
    <t>PAPOLG</t>
  </si>
  <si>
    <t>SLC4A1AP</t>
  </si>
  <si>
    <t>SSBP3</t>
  </si>
  <si>
    <t>SSDP4</t>
  </si>
  <si>
    <t>APOL6</t>
  </si>
  <si>
    <t>GTPBP2</t>
  </si>
  <si>
    <t>BRIP1</t>
  </si>
  <si>
    <t>SORBS1</t>
  </si>
  <si>
    <t>HINT2</t>
  </si>
  <si>
    <t>CARD6</t>
  </si>
  <si>
    <t>OSBPL11</t>
  </si>
  <si>
    <t>NPL</t>
  </si>
  <si>
    <t>RAB11FIP5</t>
  </si>
  <si>
    <t>TBC1D10A</t>
  </si>
  <si>
    <t>NAA15</t>
  </si>
  <si>
    <t>KLF16</t>
  </si>
  <si>
    <t>BCL2L13</t>
  </si>
  <si>
    <t>HEMGN</t>
  </si>
  <si>
    <t>CARD11</t>
  </si>
  <si>
    <t>SRRT</t>
  </si>
  <si>
    <t>QTRT1</t>
  </si>
  <si>
    <t>AP1M1</t>
  </si>
  <si>
    <t>NUSAP1</t>
  </si>
  <si>
    <t>CECR5</t>
  </si>
  <si>
    <t>FANCD2</t>
  </si>
  <si>
    <t>MAK16</t>
  </si>
  <si>
    <t>SCAPER</t>
  </si>
  <si>
    <t>ITPA</t>
  </si>
  <si>
    <t>RTFDC1</t>
  </si>
  <si>
    <t>CHMP4A</t>
  </si>
  <si>
    <t>EIF2A</t>
  </si>
  <si>
    <t>POLDIP3</t>
  </si>
  <si>
    <t>GNB1L</t>
  </si>
  <si>
    <t>MRPL1</t>
  </si>
  <si>
    <t>PCGF6</t>
  </si>
  <si>
    <t>MKI67IP</t>
  </si>
  <si>
    <t>PARD6B</t>
  </si>
  <si>
    <t>FAM126A</t>
  </si>
  <si>
    <t>RBCK1</t>
  </si>
  <si>
    <t>SRXN1</t>
  </si>
  <si>
    <t>MRPS26</t>
  </si>
  <si>
    <t>NLN</t>
  </si>
  <si>
    <t>CEP41</t>
  </si>
  <si>
    <t>BACH2</t>
  </si>
  <si>
    <t>SETD2</t>
  </si>
  <si>
    <t>DOCK9</t>
  </si>
  <si>
    <t>WHSC1L1</t>
  </si>
  <si>
    <t>NUF2</t>
  </si>
  <si>
    <t>PUS3</t>
  </si>
  <si>
    <t>ASPSCR1</t>
  </si>
  <si>
    <t>OSBPL8</t>
  </si>
  <si>
    <t>OSBPL7</t>
  </si>
  <si>
    <t>WDR11</t>
  </si>
  <si>
    <t>UPF3B</t>
  </si>
  <si>
    <t>CRNKL1</t>
  </si>
  <si>
    <t>TBL1XR1</t>
  </si>
  <si>
    <t>UBL5</t>
  </si>
  <si>
    <t>PRKD2</t>
  </si>
  <si>
    <t>PLA2G12A</t>
  </si>
  <si>
    <t>FAM129A</t>
  </si>
  <si>
    <t>UBXN6</t>
  </si>
  <si>
    <t>UCK2</t>
  </si>
  <si>
    <t>API5</t>
  </si>
  <si>
    <t>SPRY4</t>
  </si>
  <si>
    <t>DPY30</t>
  </si>
  <si>
    <t>PKIB</t>
  </si>
  <si>
    <t>FAM117A</t>
  </si>
  <si>
    <t>LRRCC1</t>
  </si>
  <si>
    <t>UNK</t>
  </si>
  <si>
    <t>FTO</t>
  </si>
  <si>
    <t>ZDHHC5</t>
  </si>
  <si>
    <t>TANGO6</t>
  </si>
  <si>
    <t>TNKS1BP1</t>
  </si>
  <si>
    <t>SEMA4C</t>
  </si>
  <si>
    <t>AMBRA1</t>
  </si>
  <si>
    <t>KIAA1731</t>
  </si>
  <si>
    <t>ZYG11B</t>
  </si>
  <si>
    <t>TANC1</t>
  </si>
  <si>
    <t>CEP44</t>
  </si>
  <si>
    <t>ZNF407</t>
  </si>
  <si>
    <t>MTMR12</t>
  </si>
  <si>
    <t>WDR33</t>
  </si>
  <si>
    <t>WDR12</t>
  </si>
  <si>
    <t>TGIF2</t>
  </si>
  <si>
    <t>C20orf27</t>
  </si>
  <si>
    <t>PITHD1</t>
  </si>
  <si>
    <t>COMMD5</t>
  </si>
  <si>
    <t>SENP6</t>
  </si>
  <si>
    <t>REXO4</t>
  </si>
  <si>
    <t>POLR1E</t>
  </si>
  <si>
    <t>WDR61</t>
  </si>
  <si>
    <t>SLIRP</t>
  </si>
  <si>
    <t>SRR</t>
  </si>
  <si>
    <t>NIF3L1</t>
  </si>
  <si>
    <t>EGLN1</t>
  </si>
  <si>
    <t>FAM192A</t>
  </si>
  <si>
    <t>MFF</t>
  </si>
  <si>
    <t>UBA5</t>
  </si>
  <si>
    <t>LHPP</t>
  </si>
  <si>
    <t>PAIP1</t>
  </si>
  <si>
    <t>KATNBL1</t>
  </si>
  <si>
    <t>MIS12</t>
  </si>
  <si>
    <t>RAB33B</t>
  </si>
  <si>
    <t>NBPF3</t>
  </si>
  <si>
    <t>FAM107B</t>
  </si>
  <si>
    <t>NAT10</t>
  </si>
  <si>
    <t>COMMD4</t>
  </si>
  <si>
    <t>KLC2</t>
  </si>
  <si>
    <t>ILKAP</t>
  </si>
  <si>
    <t>XRN2</t>
  </si>
  <si>
    <t>TOLLIP</t>
  </si>
  <si>
    <t>BRD8</t>
  </si>
  <si>
    <t>SHARPIN</t>
  </si>
  <si>
    <t>ARL6</t>
  </si>
  <si>
    <t>NSRP1</t>
  </si>
  <si>
    <t>RACGAP1</t>
  </si>
  <si>
    <t>ENKD1</t>
  </si>
  <si>
    <t>PARP12</t>
  </si>
  <si>
    <t>SIK2</t>
  </si>
  <si>
    <t>PUS7L</t>
  </si>
  <si>
    <t>CSTF2T</t>
  </si>
  <si>
    <t>NT5C3A</t>
  </si>
  <si>
    <t>HDHD2</t>
  </si>
  <si>
    <t>QRSL1</t>
  </si>
  <si>
    <t>DDX47</t>
  </si>
  <si>
    <t>RAB1B</t>
  </si>
  <si>
    <t>TSPYL1</t>
  </si>
  <si>
    <t>CCDC8</t>
  </si>
  <si>
    <t>C11orf54</t>
  </si>
  <si>
    <t>ITFG3</t>
  </si>
  <si>
    <t>SIL1</t>
  </si>
  <si>
    <t>CSRNP2</t>
  </si>
  <si>
    <t>ANAPC1</t>
  </si>
  <si>
    <t>IRF2BPL</t>
  </si>
  <si>
    <t>POLR3F</t>
  </si>
  <si>
    <t>NUCKS1</t>
  </si>
  <si>
    <t>ASCC2</t>
  </si>
  <si>
    <t>UPF3A</t>
  </si>
  <si>
    <t>ISCU</t>
  </si>
  <si>
    <t>OSBPL2</t>
  </si>
  <si>
    <t>ATG5</t>
  </si>
  <si>
    <t>WDR13</t>
  </si>
  <si>
    <t>MED28</t>
  </si>
  <si>
    <t>CDT1</t>
  </si>
  <si>
    <t>EHD4</t>
  </si>
  <si>
    <t>VPS33B</t>
  </si>
  <si>
    <t>VPS16</t>
  </si>
  <si>
    <t>VPS11</t>
  </si>
  <si>
    <t>GAN</t>
  </si>
  <si>
    <t>TRIOBP</t>
  </si>
  <si>
    <t>EPC1</t>
  </si>
  <si>
    <t>SLK</t>
  </si>
  <si>
    <t>PPIL3</t>
  </si>
  <si>
    <t>PDCL3</t>
  </si>
  <si>
    <t>MTIF3</t>
  </si>
  <si>
    <t>TAOK3</t>
  </si>
  <si>
    <t>RAB3GAP2</t>
  </si>
  <si>
    <t>ADNP</t>
  </si>
  <si>
    <t>DPH5</t>
  </si>
  <si>
    <t>DHX36</t>
  </si>
  <si>
    <t>PPA2</t>
  </si>
  <si>
    <t>MRPL46</t>
  </si>
  <si>
    <t>ZNF106</t>
  </si>
  <si>
    <t>PNN</t>
  </si>
  <si>
    <t>OR51I2</t>
  </si>
  <si>
    <t>GGNBP2</t>
  </si>
  <si>
    <t>KCTD10</t>
  </si>
  <si>
    <t>CPVL</t>
  </si>
  <si>
    <t>TRIT1</t>
  </si>
  <si>
    <t>C11orf68</t>
  </si>
  <si>
    <t>BOLA2</t>
  </si>
  <si>
    <t>MMADHC</t>
  </si>
  <si>
    <t>TMX1</t>
  </si>
  <si>
    <t>ACBD3</t>
  </si>
  <si>
    <t>CDC42EP4</t>
  </si>
  <si>
    <t>PTPN23</t>
  </si>
  <si>
    <t>UNC45A</t>
  </si>
  <si>
    <t>PPDPF</t>
  </si>
  <si>
    <t>DSN1</t>
  </si>
  <si>
    <t>C1orf198</t>
  </si>
  <si>
    <t>CHMP4B</t>
  </si>
  <si>
    <t>CUEDC2</t>
  </si>
  <si>
    <t>FBXL15</t>
  </si>
  <si>
    <t>FN3K</t>
  </si>
  <si>
    <t>POFUT1</t>
  </si>
  <si>
    <t>IFRG15</t>
  </si>
  <si>
    <t>RNPEP</t>
  </si>
  <si>
    <t>GOLPH3L</t>
  </si>
  <si>
    <t>GOLPH3</t>
  </si>
  <si>
    <t>DEF6</t>
  </si>
  <si>
    <t>EPB41L1</t>
  </si>
  <si>
    <t>FAM83D</t>
  </si>
  <si>
    <t>ZHX3</t>
  </si>
  <si>
    <t>OSBPL3</t>
  </si>
  <si>
    <t>SMARCAD1</t>
  </si>
  <si>
    <t>FBXO44</t>
  </si>
  <si>
    <t>PLEKHA4</t>
  </si>
  <si>
    <t>EHD1</t>
  </si>
  <si>
    <t>RNF41</t>
  </si>
  <si>
    <t>ZNF335</t>
  </si>
  <si>
    <t>PCIF1</t>
  </si>
  <si>
    <t>ESF1</t>
  </si>
  <si>
    <t>ACTL8</t>
  </si>
  <si>
    <t>ZNF644</t>
  </si>
  <si>
    <t>HEATR1</t>
  </si>
  <si>
    <t>ZNF768</t>
  </si>
  <si>
    <t>TAF1D</t>
  </si>
  <si>
    <t>RABEP2</t>
  </si>
  <si>
    <t>TFB2M</t>
  </si>
  <si>
    <t>IKZF5</t>
  </si>
  <si>
    <t>CXorf56</t>
  </si>
  <si>
    <t>FAM96A</t>
  </si>
  <si>
    <t>RPP21</t>
  </si>
  <si>
    <t>HAUS4</t>
  </si>
  <si>
    <t>CCDC134</t>
  </si>
  <si>
    <t>TUT1</t>
  </si>
  <si>
    <t>CCDC86</t>
  </si>
  <si>
    <t>C6orf106</t>
  </si>
  <si>
    <t>ARMC7</t>
  </si>
  <si>
    <t>NARFL</t>
  </si>
  <si>
    <t>NOL6</t>
  </si>
  <si>
    <t>C2orf44</t>
  </si>
  <si>
    <t>YTHDC2</t>
  </si>
  <si>
    <t>AZI2</t>
  </si>
  <si>
    <t>EPS8L2</t>
  </si>
  <si>
    <t>RPAP3</t>
  </si>
  <si>
    <t>BCAS3</t>
  </si>
  <si>
    <t>C2orf43</t>
  </si>
  <si>
    <t>NO66</t>
  </si>
  <si>
    <t>WDR55</t>
  </si>
  <si>
    <t>RANBP3</t>
  </si>
  <si>
    <t>DCTPP1</t>
  </si>
  <si>
    <t>ELAC1</t>
  </si>
  <si>
    <t>SMYD3</t>
  </si>
  <si>
    <t>AAMDC</t>
  </si>
  <si>
    <t>WDR26</t>
  </si>
  <si>
    <t>TDRD3</t>
  </si>
  <si>
    <t>C8orf33</t>
  </si>
  <si>
    <t>SUDS3</t>
  </si>
  <si>
    <t>SCAF1</t>
  </si>
  <si>
    <t>PLEKHG2</t>
  </si>
  <si>
    <t>ZNF665</t>
  </si>
  <si>
    <t>CCSER2</t>
  </si>
  <si>
    <t>ZNF696</t>
  </si>
  <si>
    <t>KAT8</t>
  </si>
  <si>
    <t>PTGES2</t>
  </si>
  <si>
    <t>PHAX</t>
  </si>
  <si>
    <t>UBE2Z</t>
  </si>
  <si>
    <t>GEMIN7</t>
  </si>
  <si>
    <t>ACAD9</t>
  </si>
  <si>
    <t>NT5DC2</t>
  </si>
  <si>
    <t>YY1AP1</t>
  </si>
  <si>
    <t>RMND5A</t>
  </si>
  <si>
    <t>PRKRIP1</t>
  </si>
  <si>
    <t>CSRP2BP</t>
  </si>
  <si>
    <t>CAAP1</t>
  </si>
  <si>
    <t>NOL11</t>
  </si>
  <si>
    <t>BRD9</t>
  </si>
  <si>
    <t>FAM188A</t>
  </si>
  <si>
    <t>MOB1A</t>
  </si>
  <si>
    <t>ZFAND3</t>
  </si>
  <si>
    <t>ECT2</t>
  </si>
  <si>
    <t>PLEKHF2</t>
  </si>
  <si>
    <t>ANKZF1</t>
  </si>
  <si>
    <t>GORASP2</t>
  </si>
  <si>
    <t>ZWILCH</t>
  </si>
  <si>
    <t>PSTPIP2</t>
  </si>
  <si>
    <t>MED20</t>
  </si>
  <si>
    <t>WDR76</t>
  </si>
  <si>
    <t>QTRTD1</t>
  </si>
  <si>
    <t>C6orf211</t>
  </si>
  <si>
    <t>PANK3</t>
  </si>
  <si>
    <t>CNOT10</t>
  </si>
  <si>
    <t>LRRC40</t>
  </si>
  <si>
    <t>RMI1</t>
  </si>
  <si>
    <t>EHMT1</t>
  </si>
  <si>
    <t>SFXN1</t>
  </si>
  <si>
    <t>VIPAS39</t>
  </si>
  <si>
    <t>ZNF408</t>
  </si>
  <si>
    <t>COG4</t>
  </si>
  <si>
    <t>ACTR5</t>
  </si>
  <si>
    <t>AGO3</t>
  </si>
  <si>
    <t>VPS37B</t>
  </si>
  <si>
    <t>MRPL44</t>
  </si>
  <si>
    <t>ISG20L2</t>
  </si>
  <si>
    <t>NHEJ1</t>
  </si>
  <si>
    <t>CAB39L</t>
  </si>
  <si>
    <t>ELP3</t>
  </si>
  <si>
    <t>JMJD4</t>
  </si>
  <si>
    <t>GPN2</t>
  </si>
  <si>
    <t>ZMAT3</t>
  </si>
  <si>
    <t>UCK1</t>
  </si>
  <si>
    <t>FN3KRP</t>
  </si>
  <si>
    <t>TBC1D17</t>
  </si>
  <si>
    <t>CARS2</t>
  </si>
  <si>
    <t>PPCS</t>
  </si>
  <si>
    <t>MEAF6</t>
  </si>
  <si>
    <t>SAP30L</t>
  </si>
  <si>
    <t>NMNAT1</t>
  </si>
  <si>
    <t>MLXIP</t>
  </si>
  <si>
    <t>LPHN3</t>
  </si>
  <si>
    <t>SIAE</t>
  </si>
  <si>
    <t>PLEKHA5</t>
  </si>
  <si>
    <t>UPF2</t>
  </si>
  <si>
    <t>XPO5</t>
  </si>
  <si>
    <t>GRPEL1</t>
  </si>
  <si>
    <t>CLSPN</t>
  </si>
  <si>
    <t>PLEKHA2</t>
  </si>
  <si>
    <t>PLEKHA1</t>
  </si>
  <si>
    <t>SCPEP1</t>
  </si>
  <si>
    <t>SP110</t>
  </si>
  <si>
    <t>CACYBP</t>
  </si>
  <si>
    <t>RRAGC</t>
  </si>
  <si>
    <t>FANCE</t>
  </si>
  <si>
    <t>PATZ1</t>
  </si>
  <si>
    <t>IL21</t>
  </si>
  <si>
    <t>PARVB</t>
  </si>
  <si>
    <t>NMRAL1</t>
  </si>
  <si>
    <t>SPC25</t>
  </si>
  <si>
    <t>TAF9B</t>
  </si>
  <si>
    <t>SLC38A10</t>
  </si>
  <si>
    <t>ETNK1</t>
  </si>
  <si>
    <t>EML4</t>
  </si>
  <si>
    <t>GLOD4</t>
  </si>
  <si>
    <t>GPBP1L1</t>
  </si>
  <si>
    <t>CBX8</t>
  </si>
  <si>
    <t>CENPJ</t>
  </si>
  <si>
    <t>MCCC2</t>
  </si>
  <si>
    <t>ZFYVE28</t>
  </si>
  <si>
    <t>NCOA5</t>
  </si>
  <si>
    <t>EPG5</t>
  </si>
  <si>
    <t>MOV10</t>
  </si>
  <si>
    <t>METTL14</t>
  </si>
  <si>
    <t>NCKAP5L</t>
  </si>
  <si>
    <t>MSL2</t>
  </si>
  <si>
    <t>TNRC6C</t>
  </si>
  <si>
    <t>RAVER2</t>
  </si>
  <si>
    <t>CHD8</t>
  </si>
  <si>
    <t>EPB41L5</t>
  </si>
  <si>
    <t>GPN1</t>
  </si>
  <si>
    <t>SDF2L1</t>
  </si>
  <si>
    <t>POLD4</t>
  </si>
  <si>
    <t>SRA1</t>
  </si>
  <si>
    <t>ATP13A1</t>
  </si>
  <si>
    <t>GOPC</t>
  </si>
  <si>
    <t>SEPSECS</t>
  </si>
  <si>
    <t>TM9SF3</t>
  </si>
  <si>
    <t>RANGRF</t>
  </si>
  <si>
    <t>JPH1</t>
  </si>
  <si>
    <t>WDR6</t>
  </si>
  <si>
    <t>TUFT1</t>
  </si>
  <si>
    <t>FAM60A</t>
  </si>
  <si>
    <t>ZCCHC17</t>
  </si>
  <si>
    <t>HMG20A</t>
  </si>
  <si>
    <t>RAB18</t>
  </si>
  <si>
    <t>ALG13</t>
  </si>
  <si>
    <t>PALMD</t>
  </si>
  <si>
    <t>SSU72</t>
  </si>
  <si>
    <t>VTA1</t>
  </si>
  <si>
    <t>DYNLRB1</t>
  </si>
  <si>
    <t>MID1IP1</t>
  </si>
  <si>
    <t>ENY2</t>
  </si>
  <si>
    <t>GPCPD1</t>
  </si>
  <si>
    <t>EXOSC4</t>
  </si>
  <si>
    <t>UBE2T</t>
  </si>
  <si>
    <t>NOP10</t>
  </si>
  <si>
    <t>OSGEP</t>
  </si>
  <si>
    <t>DMAP1</t>
  </si>
  <si>
    <t>UBN1</t>
  </si>
  <si>
    <t>IL1RAP</t>
  </si>
  <si>
    <t>BRD7</t>
  </si>
  <si>
    <t>DCP1A</t>
  </si>
  <si>
    <t>ACOT13</t>
  </si>
  <si>
    <t>MED4</t>
  </si>
  <si>
    <t>NXT2</t>
  </si>
  <si>
    <t>RIC8A</t>
  </si>
  <si>
    <t>LUC7L</t>
  </si>
  <si>
    <t>PPAN</t>
  </si>
  <si>
    <t>TIGAR</t>
  </si>
  <si>
    <t>COPRS</t>
  </si>
  <si>
    <t>WASH6P</t>
  </si>
  <si>
    <t>HINT3</t>
  </si>
  <si>
    <t>RPRD1B</t>
  </si>
  <si>
    <t>SMCR7L</t>
  </si>
  <si>
    <t>RRAGD</t>
  </si>
  <si>
    <t>PFDN4</t>
  </si>
  <si>
    <t>SETD8</t>
  </si>
  <si>
    <t>NIT2</t>
  </si>
  <si>
    <t>AVEN</t>
  </si>
  <si>
    <t>INCENP</t>
  </si>
  <si>
    <t>EXOSC5</t>
  </si>
  <si>
    <t>EXOSC3</t>
  </si>
  <si>
    <t>KIF13B</t>
  </si>
  <si>
    <t>PRDM10</t>
  </si>
  <si>
    <t>ANLN</t>
  </si>
  <si>
    <t>XPNPEP1</t>
  </si>
  <si>
    <t>GPHN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</si>
  <si>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</si>
  <si>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</si>
  <si>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</si>
  <si>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</si>
  <si>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</si>
  <si>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</si>
  <si>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</si>
  <si>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</si>
  <si>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</si>
  <si>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</si>
  <si>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</si>
  <si>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</si>
  <si>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</si>
  <si>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KCNQ5</t>
  </si>
  <si>
    <t>FBXO6</t>
  </si>
  <si>
    <t>PICK1</t>
  </si>
  <si>
    <t>SH2B1</t>
  </si>
  <si>
    <t>CTPS2</t>
  </si>
  <si>
    <t>POLE3</t>
  </si>
  <si>
    <t>CHRAC1</t>
  </si>
  <si>
    <t>PRTFDC1</t>
  </si>
  <si>
    <t>SMYD2</t>
  </si>
  <si>
    <t>YAE1D1</t>
  </si>
  <si>
    <t>BAZ1A</t>
  </si>
  <si>
    <t>STRN4</t>
  </si>
  <si>
    <t>AASDHPPT</t>
  </si>
  <si>
    <t>METTL5</t>
  </si>
  <si>
    <t>UBQLN4</t>
  </si>
  <si>
    <t>SNX15</t>
  </si>
  <si>
    <t>HEBP1</t>
  </si>
  <si>
    <t>RAB6B</t>
  </si>
  <si>
    <t>DUSP22</t>
  </si>
  <si>
    <t>VPS45</t>
  </si>
  <si>
    <t>PHPT1</t>
  </si>
  <si>
    <t>INIP</t>
  </si>
  <si>
    <t>ARHGAP35</t>
  </si>
  <si>
    <t>FAM114A2</t>
  </si>
  <si>
    <t>HELLS</t>
  </si>
  <si>
    <t>GLRX2</t>
  </si>
  <si>
    <t>TOPORS</t>
  </si>
  <si>
    <t>MBIP</t>
  </si>
  <si>
    <t>LANCL2</t>
  </si>
  <si>
    <t>KIF15</t>
  </si>
  <si>
    <t>RAD18</t>
  </si>
  <si>
    <t>CTNNBIP1</t>
  </si>
  <si>
    <t>HOMER3</t>
  </si>
  <si>
    <t>FARSB</t>
  </si>
  <si>
    <t>CISH</t>
  </si>
  <si>
    <t>IARS2</t>
  </si>
  <si>
    <t>FAM207A</t>
  </si>
  <si>
    <t>BRWD1</t>
  </si>
  <si>
    <t>SAMSN1</t>
  </si>
  <si>
    <t>KLC4</t>
  </si>
  <si>
    <t>RRP7B</t>
  </si>
  <si>
    <t>NRBP2</t>
  </si>
  <si>
    <t>BMP2K</t>
  </si>
  <si>
    <t>ATG3</t>
  </si>
  <si>
    <t>LRRC4B</t>
  </si>
  <si>
    <t>SIRT3</t>
  </si>
  <si>
    <t>PDS5B</t>
  </si>
  <si>
    <t>MAN2C1</t>
  </si>
  <si>
    <t>OLA1</t>
  </si>
  <si>
    <t>CUTC</t>
  </si>
  <si>
    <t>ECHDC1</t>
  </si>
  <si>
    <t>RBM12</t>
  </si>
  <si>
    <t>TBC1D22B</t>
  </si>
  <si>
    <t>MDN1</t>
  </si>
  <si>
    <t>LYRM2</t>
  </si>
  <si>
    <t>ACSS1</t>
  </si>
  <si>
    <t>ZCCHC3</t>
  </si>
  <si>
    <t>PDRG1</t>
  </si>
  <si>
    <t>ABHD10</t>
  </si>
  <si>
    <t>TCP11L1</t>
  </si>
  <si>
    <t>TMEM106B</t>
  </si>
  <si>
    <t>BLOC1S4</t>
  </si>
  <si>
    <t>TRMT13</t>
  </si>
  <si>
    <t>TXLNG</t>
  </si>
  <si>
    <t>SPATS2L</t>
  </si>
  <si>
    <t>ABCF3</t>
  </si>
  <si>
    <t>FAM49B</t>
  </si>
  <si>
    <t>AP5S1</t>
  </si>
  <si>
    <t>DDX19A</t>
  </si>
  <si>
    <t>TDP1</t>
  </si>
  <si>
    <t>POT1</t>
  </si>
  <si>
    <t>TBC1D23</t>
  </si>
  <si>
    <t>DCAF13</t>
  </si>
  <si>
    <t>IMP3</t>
  </si>
  <si>
    <t>NUDT15</t>
  </si>
  <si>
    <t>MRGBP</t>
  </si>
  <si>
    <t>EXOC1</t>
  </si>
  <si>
    <t>INTS9</t>
  </si>
  <si>
    <t>TMEM184C</t>
  </si>
  <si>
    <t>MED17</t>
  </si>
  <si>
    <t>USP40</t>
  </si>
  <si>
    <t>PANK4</t>
  </si>
  <si>
    <t>FBXO28</t>
  </si>
  <si>
    <t>TBC1D13</t>
  </si>
  <si>
    <t>EXD2</t>
  </si>
  <si>
    <t>INTS7</t>
  </si>
  <si>
    <t>TMLHE</t>
  </si>
  <si>
    <t>FANCI</t>
  </si>
  <si>
    <t>ATAD3A</t>
  </si>
  <si>
    <t>ARL8B</t>
  </si>
  <si>
    <t>PRMT7</t>
  </si>
  <si>
    <t>DNAJC17</t>
  </si>
  <si>
    <t>ASUN</t>
  </si>
  <si>
    <t>RIC8B</t>
  </si>
  <si>
    <t>GNL3L</t>
  </si>
  <si>
    <t>DDX18</t>
  </si>
  <si>
    <t>ASF1B</t>
  </si>
  <si>
    <t>KLHL11</t>
  </si>
  <si>
    <t>INTS10</t>
  </si>
  <si>
    <t>DNAAF2</t>
  </si>
  <si>
    <t>ARMC1</t>
  </si>
  <si>
    <t>POLR3E</t>
  </si>
  <si>
    <t>SDAD1</t>
  </si>
  <si>
    <t>HAUS2</t>
  </si>
  <si>
    <t>NLE1</t>
  </si>
  <si>
    <t>NECAP2</t>
  </si>
  <si>
    <t>POLR3B</t>
  </si>
  <si>
    <t>RBM28</t>
  </si>
  <si>
    <t>RBM22</t>
  </si>
  <si>
    <t>GPATCH2</t>
  </si>
  <si>
    <t>WDR70</t>
  </si>
  <si>
    <t>MED9</t>
  </si>
  <si>
    <t>ARGLU1</t>
  </si>
  <si>
    <t>BEX4</t>
  </si>
  <si>
    <t>SLTM</t>
  </si>
  <si>
    <t>ZNHIT6</t>
  </si>
  <si>
    <t>CUEDC1</t>
  </si>
  <si>
    <t>FKBP14</t>
  </si>
  <si>
    <t>PIH1D1</t>
  </si>
  <si>
    <t>FAM118A</t>
  </si>
  <si>
    <t>PAK1IP1</t>
  </si>
  <si>
    <t>HIF1AN</t>
  </si>
  <si>
    <t>AURKAIP1</t>
  </si>
  <si>
    <t>OXSM</t>
  </si>
  <si>
    <t>GID8</t>
  </si>
  <si>
    <t>C1orf123</t>
  </si>
  <si>
    <t>C2orf42</t>
  </si>
  <si>
    <t>THG1L</t>
  </si>
  <si>
    <t>C4orf27</t>
  </si>
  <si>
    <t>IRAK4</t>
  </si>
  <si>
    <t>UCKL1</t>
  </si>
  <si>
    <t>GEMIN8</t>
  </si>
  <si>
    <t>TXNL4B</t>
  </si>
  <si>
    <t>NLRP2</t>
  </si>
  <si>
    <t>TRNAU1AP</t>
  </si>
  <si>
    <t>COMMD8</t>
  </si>
  <si>
    <t>DDIT4</t>
  </si>
  <si>
    <t>NHP2</t>
  </si>
  <si>
    <t>FAM206A</t>
  </si>
  <si>
    <t>ADPRHL2</t>
  </si>
  <si>
    <t>HYPK</t>
  </si>
  <si>
    <t>LYAR</t>
  </si>
  <si>
    <t>CHCHD3</t>
  </si>
  <si>
    <t>MED29</t>
  </si>
  <si>
    <t>DUS2L</t>
  </si>
  <si>
    <t>SIRT5</t>
  </si>
  <si>
    <t>MIOS</t>
  </si>
  <si>
    <t>CWC25</t>
  </si>
  <si>
    <t>TEX10</t>
  </si>
  <si>
    <t>DCAF16</t>
  </si>
  <si>
    <t>THUMPD1</t>
  </si>
  <si>
    <t>TRMT1</t>
  </si>
  <si>
    <t>PGPEP1</t>
  </si>
  <si>
    <t>FBXL12</t>
  </si>
  <si>
    <t>NDE1</t>
  </si>
  <si>
    <t>BRE</t>
  </si>
  <si>
    <t>ARL15</t>
  </si>
  <si>
    <t>KCTD5</t>
  </si>
  <si>
    <t>CDKN2AIP</t>
  </si>
  <si>
    <t>DNAJB12</t>
  </si>
  <si>
    <t>ALKBH4</t>
  </si>
  <si>
    <t>SAGE1</t>
  </si>
  <si>
    <t>GAR1</t>
  </si>
  <si>
    <t>PPP4R2</t>
  </si>
  <si>
    <t>DPP3</t>
  </si>
  <si>
    <t>AATF</t>
  </si>
  <si>
    <t>DDX56</t>
  </si>
  <si>
    <t>TERF2IP</t>
  </si>
  <si>
    <t>ABI2</t>
  </si>
  <si>
    <t>FAM53C</t>
  </si>
  <si>
    <t>BCLAF1</t>
  </si>
  <si>
    <t>ANAPC11</t>
  </si>
  <si>
    <t>COA4</t>
  </si>
  <si>
    <t>TAB2</t>
  </si>
  <si>
    <t>EURL</t>
  </si>
  <si>
    <t>MLTK</t>
  </si>
  <si>
    <t>TMOD3</t>
  </si>
  <si>
    <t>MIS18A</t>
  </si>
  <si>
    <t>UGGT1</t>
  </si>
  <si>
    <t>CDK12</t>
  </si>
  <si>
    <t>RBAK</t>
  </si>
  <si>
    <t>FASTKD2</t>
  </si>
  <si>
    <t>GTSE1</t>
  </si>
  <si>
    <t>ERAP1</t>
  </si>
  <si>
    <t>UBAP1</t>
  </si>
  <si>
    <t>ACTR10</t>
  </si>
  <si>
    <t>GGA3</t>
  </si>
  <si>
    <t>PODXL2</t>
  </si>
  <si>
    <t>C9orf78</t>
  </si>
  <si>
    <t>CLIC5</t>
  </si>
  <si>
    <t>FAM120A</t>
  </si>
  <si>
    <t>SMARCAL1</t>
  </si>
  <si>
    <t>GLTP</t>
  </si>
  <si>
    <t>AHSP</t>
  </si>
  <si>
    <t>IGF2BP1</t>
  </si>
  <si>
    <t>COQ3</t>
  </si>
  <si>
    <t>NUDT4</t>
  </si>
  <si>
    <t>MAT2B</t>
  </si>
  <si>
    <t>ITSN2</t>
  </si>
  <si>
    <t>GLTSCR1</t>
  </si>
  <si>
    <t>GLTSCR2</t>
  </si>
  <si>
    <t>EHD2</t>
  </si>
  <si>
    <t>ARHGEF12</t>
  </si>
  <si>
    <t>NCKIPSD</t>
  </si>
  <si>
    <t>LRP1B</t>
  </si>
  <si>
    <t>OGFR</t>
  </si>
  <si>
    <t>MSRB1</t>
  </si>
  <si>
    <t>MPP6</t>
  </si>
  <si>
    <t>CHMP5</t>
  </si>
  <si>
    <t>COMMD9</t>
  </si>
  <si>
    <t>CWC15</t>
  </si>
  <si>
    <t>THYN1</t>
  </si>
  <si>
    <t>CCDC59</t>
  </si>
  <si>
    <t>NDUFAF4</t>
  </si>
  <si>
    <t>PTPLAD1</t>
  </si>
  <si>
    <t>KCMF1</t>
  </si>
  <si>
    <t>RAI14</t>
  </si>
  <si>
    <t>VAPA</t>
  </si>
  <si>
    <t>TBC1D7</t>
  </si>
  <si>
    <t>GSKIP</t>
  </si>
  <si>
    <t>SENP1</t>
  </si>
  <si>
    <t>HMG20B</t>
  </si>
  <si>
    <t>GMIP</t>
  </si>
  <si>
    <t>ABRACL</t>
  </si>
  <si>
    <t>VPS54</t>
  </si>
  <si>
    <t>ZNRD1</t>
  </si>
  <si>
    <t>ACTR3B</t>
  </si>
  <si>
    <t>CALCOCO1</t>
  </si>
  <si>
    <t>KIAA1522</t>
  </si>
  <si>
    <t>CEP72</t>
  </si>
  <si>
    <t>CCDC88C</t>
  </si>
  <si>
    <t>LRFN1</t>
  </si>
  <si>
    <t>STIM2</t>
  </si>
  <si>
    <t>VPS18</t>
  </si>
  <si>
    <t>RCC2</t>
  </si>
  <si>
    <t>KIAA1468</t>
  </si>
  <si>
    <t>DIP2B</t>
  </si>
  <si>
    <t>SLAIN2</t>
  </si>
  <si>
    <t>USP36</t>
  </si>
  <si>
    <t>BCCIP</t>
  </si>
  <si>
    <t>MST4</t>
  </si>
  <si>
    <t>CTTNBP2NL</t>
  </si>
  <si>
    <t>KIAA1430</t>
  </si>
  <si>
    <t>CHD7</t>
  </si>
  <si>
    <t>HEATR5B</t>
  </si>
  <si>
    <t>ZNFX1</t>
  </si>
  <si>
    <t>RRBP1</t>
  </si>
  <si>
    <t>ZNF319</t>
  </si>
  <si>
    <t>CPSF2</t>
  </si>
  <si>
    <t>LARS</t>
  </si>
  <si>
    <t>RCOR3</t>
  </si>
  <si>
    <t>MYEF2</t>
  </si>
  <si>
    <t>KLHL42</t>
  </si>
  <si>
    <t>EIF2AK4</t>
  </si>
  <si>
    <t>TBC1D14</t>
  </si>
  <si>
    <t>ARHGAP28</t>
  </si>
  <si>
    <t>RBM27</t>
  </si>
  <si>
    <t>KANSL3</t>
  </si>
  <si>
    <t>NYNRIN</t>
  </si>
  <si>
    <t>ANKFY1</t>
  </si>
  <si>
    <t>RERE</t>
  </si>
  <si>
    <t>WRAP73</t>
  </si>
  <si>
    <t>PSMC3IP</t>
  </si>
  <si>
    <t>IMPACT</t>
  </si>
  <si>
    <t>UVRAG</t>
  </si>
  <si>
    <t>ATXN10</t>
  </si>
  <si>
    <t>MBD2</t>
  </si>
  <si>
    <t>NCDN</t>
  </si>
  <si>
    <t>TFIP11</t>
  </si>
  <si>
    <t>DNMT3B</t>
  </si>
  <si>
    <t>ORC3</t>
  </si>
  <si>
    <t>SAE1</t>
  </si>
  <si>
    <t>MAGEC2</t>
  </si>
  <si>
    <t>COPG2</t>
  </si>
  <si>
    <t>RNF7</t>
  </si>
  <si>
    <t>PI4KB</t>
  </si>
  <si>
    <t>COMMD3</t>
  </si>
  <si>
    <t>HECA</t>
  </si>
  <si>
    <t>MTRR</t>
  </si>
  <si>
    <t>UXT</t>
  </si>
  <si>
    <t>ASH2L</t>
  </si>
  <si>
    <t>CPNE7</t>
  </si>
  <si>
    <t>SPAST</t>
  </si>
  <si>
    <t>METTL1</t>
  </si>
  <si>
    <t>VPS29</t>
  </si>
  <si>
    <t>GRHPR</t>
  </si>
  <si>
    <t>CTSZ</t>
  </si>
  <si>
    <t>RPS6KB2</t>
  </si>
  <si>
    <t>DNAJB11</t>
  </si>
  <si>
    <t>RNF14</t>
  </si>
  <si>
    <t>UBA2</t>
  </si>
  <si>
    <t>CTNNAL1</t>
  </si>
  <si>
    <t>DBF4</t>
  </si>
  <si>
    <t>MORF4L1</t>
  </si>
  <si>
    <t>NXF1</t>
  </si>
  <si>
    <t>PEF1</t>
  </si>
  <si>
    <t>ZMYM2</t>
  </si>
  <si>
    <t>COPS7A</t>
  </si>
  <si>
    <t>CLIP2</t>
  </si>
  <si>
    <t>ZNF282</t>
  </si>
  <si>
    <t>TJP2</t>
  </si>
  <si>
    <t>DNAJB4</t>
  </si>
  <si>
    <t>MALT1</t>
  </si>
  <si>
    <t>CFDP1</t>
  </si>
  <si>
    <t>ZNF629</t>
  </si>
  <si>
    <t>DAXX</t>
  </si>
  <si>
    <t>FTSJ1</t>
  </si>
  <si>
    <t>VTI1B</t>
  </si>
  <si>
    <t>ADD3</t>
  </si>
  <si>
    <t>LRWD1</t>
  </si>
  <si>
    <t>C19orf25</t>
  </si>
  <si>
    <t>NIPSNAP3A</t>
  </si>
  <si>
    <t>CGGBP1</t>
  </si>
  <si>
    <t>IFT172</t>
  </si>
  <si>
    <t>ABCF2</t>
  </si>
  <si>
    <t>TES</t>
  </si>
  <si>
    <t>SERGEF</t>
  </si>
  <si>
    <t>LIMD1</t>
  </si>
  <si>
    <t>SEC63</t>
  </si>
  <si>
    <t>ZC3H7B</t>
  </si>
  <si>
    <t>TCF20</t>
  </si>
  <si>
    <t>HMGXB4</t>
  </si>
  <si>
    <t>NDRG3</t>
  </si>
  <si>
    <t>ARMCX3</t>
  </si>
  <si>
    <t>SWAP70</t>
  </si>
  <si>
    <t>FBXO40</t>
  </si>
  <si>
    <t>MLX</t>
  </si>
  <si>
    <t>RSL24D1</t>
  </si>
  <si>
    <t>LAMTOR3</t>
  </si>
  <si>
    <t>LIMA1</t>
  </si>
  <si>
    <t>AFF4</t>
  </si>
  <si>
    <t>SRP68</t>
  </si>
  <si>
    <t>CHORDC1</t>
  </si>
  <si>
    <t>TBK1</t>
  </si>
  <si>
    <t>SEPT9</t>
  </si>
  <si>
    <t>UBQLN2</t>
  </si>
  <si>
    <t>EGFL7</t>
  </si>
  <si>
    <t>DDX20</t>
  </si>
  <si>
    <t>SFMBT1</t>
  </si>
  <si>
    <t>SHPK</t>
  </si>
  <si>
    <t>NUFIP1</t>
  </si>
  <si>
    <t>DPP7</t>
  </si>
  <si>
    <t>POLG2</t>
  </si>
  <si>
    <t>USP25</t>
  </si>
  <si>
    <t>NARF</t>
  </si>
  <si>
    <t>BAIAP2L1</t>
  </si>
  <si>
    <t>SAP30BP</t>
  </si>
  <si>
    <t>ZNHIT2</t>
  </si>
  <si>
    <t>MED13</t>
  </si>
  <si>
    <t>PFDN2</t>
  </si>
  <si>
    <t>GPN3</t>
  </si>
  <si>
    <t>PUF60</t>
  </si>
  <si>
    <t>NRBP1</t>
  </si>
  <si>
    <t>ENOPH1</t>
  </si>
  <si>
    <t>EVL</t>
  </si>
  <si>
    <t>EIF2B4</t>
  </si>
  <si>
    <t>ATP6V1H</t>
  </si>
  <si>
    <t>IPO11</t>
  </si>
  <si>
    <t>TRMT112</t>
  </si>
  <si>
    <t>MAD2L2</t>
  </si>
  <si>
    <t>LCMT1</t>
  </si>
  <si>
    <t>VPS51</t>
  </si>
  <si>
    <t>BAZ1B</t>
  </si>
  <si>
    <t>ATPIF1</t>
  </si>
  <si>
    <t>SCOC</t>
  </si>
  <si>
    <t>FKBPL</t>
  </si>
  <si>
    <t>LNPEP</t>
  </si>
  <si>
    <t>SIX4</t>
  </si>
  <si>
    <t>CNOT7</t>
  </si>
  <si>
    <t>TSPYL4</t>
  </si>
  <si>
    <t>RABGEF1</t>
  </si>
  <si>
    <t>MSRA</t>
  </si>
  <si>
    <t>NAGK</t>
  </si>
  <si>
    <t>TRMT6</t>
  </si>
  <si>
    <t>SH3BGRL2</t>
  </si>
  <si>
    <t>ZNF280C</t>
  </si>
  <si>
    <t>TSR3</t>
  </si>
  <si>
    <t>ERRFI1</t>
  </si>
  <si>
    <t>ZNF391</t>
  </si>
  <si>
    <t>TUBE1</t>
  </si>
  <si>
    <t>TSKS</t>
  </si>
  <si>
    <t>DBNL</t>
  </si>
  <si>
    <t>DDX41</t>
  </si>
  <si>
    <t>DCTN4</t>
  </si>
  <si>
    <t>CDC23</t>
  </si>
  <si>
    <t>ANAPC7</t>
  </si>
  <si>
    <t>ANAPC2</t>
  </si>
  <si>
    <t>GGA2</t>
  </si>
  <si>
    <t>GGA1</t>
  </si>
  <si>
    <t>ZNF580</t>
  </si>
  <si>
    <t>VPS28</t>
  </si>
  <si>
    <t>LSM7</t>
  </si>
  <si>
    <t>DBR1</t>
  </si>
  <si>
    <t>FAM208A</t>
  </si>
  <si>
    <t>FEM1B</t>
  </si>
  <si>
    <t>USP21</t>
  </si>
  <si>
    <t>FBXO9</t>
  </si>
  <si>
    <t>FBXO3</t>
  </si>
  <si>
    <t>AKAP11</t>
  </si>
  <si>
    <t>PTBP2</t>
  </si>
  <si>
    <t>FBXW11</t>
  </si>
  <si>
    <t>DNAJC12</t>
  </si>
  <si>
    <t>AJAP1</t>
  </si>
  <si>
    <t>MRTO4</t>
  </si>
  <si>
    <t>TNIK</t>
  </si>
  <si>
    <t>CPSF3</t>
  </si>
  <si>
    <t>APPL1</t>
  </si>
  <si>
    <t>TLK1</t>
  </si>
  <si>
    <t>GPATCH8</t>
  </si>
  <si>
    <t>PARP4</t>
  </si>
  <si>
    <t>RCOR1</t>
  </si>
  <si>
    <t>CASP8AP2</t>
  </si>
  <si>
    <t>PCTP</t>
  </si>
  <si>
    <t>GTF3C4</t>
  </si>
  <si>
    <t>PACSIN3</t>
  </si>
  <si>
    <t>FBXO4</t>
  </si>
  <si>
    <t>IKZF3</t>
  </si>
  <si>
    <t>ACAD8</t>
  </si>
  <si>
    <t>ACIN1</t>
  </si>
  <si>
    <t>AGO2</t>
  </si>
  <si>
    <t>NUP50</t>
  </si>
  <si>
    <t>ZHX1</t>
  </si>
  <si>
    <t>CDV3</t>
  </si>
  <si>
    <t>CNOT11</t>
  </si>
  <si>
    <t>INTS6</t>
  </si>
  <si>
    <t>BAG5</t>
  </si>
  <si>
    <t>RAB21</t>
  </si>
  <si>
    <t>RAB22A</t>
  </si>
  <si>
    <t>PSME2</t>
  </si>
  <si>
    <t>TAOK2</t>
  </si>
  <si>
    <t>MKLN1</t>
  </si>
  <si>
    <t>RAB23</t>
  </si>
  <si>
    <t>MCTS1</t>
  </si>
  <si>
    <t>MTUS1</t>
  </si>
  <si>
    <t>ZNF777</t>
  </si>
  <si>
    <t>ZNF608</t>
  </si>
  <si>
    <t>WWC3</t>
  </si>
  <si>
    <t>PALD1</t>
  </si>
  <si>
    <t>SLC39A10</t>
  </si>
  <si>
    <t>KIDINS220</t>
  </si>
  <si>
    <t>ASAP1</t>
  </si>
  <si>
    <t>MKL2</t>
  </si>
  <si>
    <t>ZBTB21</t>
  </si>
  <si>
    <t>ZMIZ1</t>
  </si>
  <si>
    <t>MED23</t>
  </si>
  <si>
    <t>PRR12</t>
  </si>
  <si>
    <t>YEATS2</t>
  </si>
  <si>
    <t>CNOT6</t>
  </si>
  <si>
    <t>TBC1D24</t>
  </si>
  <si>
    <t>ISY1</t>
  </si>
  <si>
    <t>PPM1H</t>
  </si>
  <si>
    <t>HECTD1</t>
  </si>
  <si>
    <t>ZMYND8</t>
  </si>
  <si>
    <t>CIZ1</t>
  </si>
  <si>
    <t>CORO1C</t>
  </si>
  <si>
    <t>TPX2</t>
  </si>
  <si>
    <t>ABT1</t>
  </si>
  <si>
    <t>NOB1</t>
  </si>
  <si>
    <t>AKAP8L</t>
  </si>
  <si>
    <t>STAP1</t>
  </si>
  <si>
    <t>PYCARD</t>
  </si>
  <si>
    <t>ANAPC10</t>
  </si>
  <si>
    <t>MYO6</t>
  </si>
  <si>
    <t>ICAM5</t>
  </si>
  <si>
    <t>WBP7</t>
  </si>
  <si>
    <t>DDX19B</t>
  </si>
  <si>
    <t>NFU1</t>
  </si>
  <si>
    <t>PRPF19</t>
  </si>
  <si>
    <t>UBQLN1</t>
  </si>
  <si>
    <t>NENF</t>
  </si>
  <si>
    <t>NOL7</t>
  </si>
  <si>
    <t>SNX12</t>
  </si>
  <si>
    <t>SYNRG</t>
  </si>
  <si>
    <t>NDRG2</t>
  </si>
  <si>
    <t>VPS4A</t>
  </si>
  <si>
    <t>G3BP2</t>
  </si>
  <si>
    <t>STUB1</t>
  </si>
  <si>
    <t>PACSIN2</t>
  </si>
  <si>
    <t>MAGED2</t>
  </si>
  <si>
    <t>SNX6</t>
  </si>
  <si>
    <t>ING4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</si>
  <si>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</si>
  <si>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</si>
  <si>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</si>
  <si>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</si>
  <si>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</si>
  <si>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</si>
  <si>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</si>
  <si>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</si>
  <si>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TTF2</t>
  </si>
  <si>
    <t>NSFL1C</t>
  </si>
  <si>
    <t>C19orf53</t>
  </si>
  <si>
    <t>COG5</t>
  </si>
  <si>
    <t>BSN</t>
  </si>
  <si>
    <t>AP4E1</t>
  </si>
  <si>
    <t>AZI1</t>
  </si>
  <si>
    <t>SCAF8</t>
  </si>
  <si>
    <t>PPP6R1</t>
  </si>
  <si>
    <t>TRIM33</t>
  </si>
  <si>
    <t>KIAA1107</t>
  </si>
  <si>
    <t>AGAP1</t>
  </si>
  <si>
    <t>TNRC6B</t>
  </si>
  <si>
    <t>PLCL2</t>
  </si>
  <si>
    <t>SMG5</t>
  </si>
  <si>
    <t>SETD1B</t>
  </si>
  <si>
    <t>EXOC7</t>
  </si>
  <si>
    <t>ZC3H4</t>
  </si>
  <si>
    <t>USP22</t>
  </si>
  <si>
    <t>SORCS3</t>
  </si>
  <si>
    <t>USP24</t>
  </si>
  <si>
    <t>TBC1D2B</t>
  </si>
  <si>
    <t>CEP164</t>
  </si>
  <si>
    <t>AGTPBP1</t>
  </si>
  <si>
    <t>DICER1</t>
  </si>
  <si>
    <t>MAPRE3</t>
  </si>
  <si>
    <t>HPS5</t>
  </si>
  <si>
    <t>SHOC2</t>
  </si>
  <si>
    <t>SRRM2</t>
  </si>
  <si>
    <t>PA2G4</t>
  </si>
  <si>
    <t>EXO1</t>
  </si>
  <si>
    <t>BAIAP2</t>
  </si>
  <si>
    <t>GAB2</t>
  </si>
  <si>
    <t>SMC3</t>
  </si>
  <si>
    <t>HDAC5</t>
  </si>
  <si>
    <t>SH2B3</t>
  </si>
  <si>
    <t>SCML2</t>
  </si>
  <si>
    <t>ZNF148</t>
  </si>
  <si>
    <t>MTMR6</t>
  </si>
  <si>
    <t>NIP7</t>
  </si>
  <si>
    <t>DMTF1</t>
  </si>
  <si>
    <t>GNE</t>
  </si>
  <si>
    <t>C14orf166</t>
  </si>
  <si>
    <t>RUVBL2</t>
  </si>
  <si>
    <t>CDYL</t>
  </si>
  <si>
    <t>PIN4</t>
  </si>
  <si>
    <t>POMP</t>
  </si>
  <si>
    <t>GINS2</t>
  </si>
  <si>
    <t>CHKB</t>
  </si>
  <si>
    <t>EIF3L</t>
  </si>
  <si>
    <t>PLAA</t>
  </si>
  <si>
    <t>RUVBL1</t>
  </si>
  <si>
    <t>NUDC</t>
  </si>
  <si>
    <t>VDAC3</t>
  </si>
  <si>
    <t>CFL2</t>
  </si>
  <si>
    <t>FARSA</t>
  </si>
  <si>
    <t>SLC5A6</t>
  </si>
  <si>
    <t>ASF1A</t>
  </si>
  <si>
    <t>DRG1</t>
  </si>
  <si>
    <t>TRAPPC4</t>
  </si>
  <si>
    <t>NCKAP1</t>
  </si>
  <si>
    <t>CNPY2</t>
  </si>
  <si>
    <t>KIAA0947</t>
  </si>
  <si>
    <t>CARD8</t>
  </si>
  <si>
    <t>DLGAP4</t>
  </si>
  <si>
    <t>STK38L</t>
  </si>
  <si>
    <t>PLEKHA6</t>
  </si>
  <si>
    <t>NISCH</t>
  </si>
  <si>
    <t>PIKFYVE</t>
  </si>
  <si>
    <t>WDR37</t>
  </si>
  <si>
    <t>EPB41L3</t>
  </si>
  <si>
    <t>ZBTB1</t>
  </si>
  <si>
    <t>SIK3</t>
  </si>
  <si>
    <t>KDM2A</t>
  </si>
  <si>
    <t>DIS3</t>
  </si>
  <si>
    <t>LRCH1</t>
  </si>
  <si>
    <t>RCL1</t>
  </si>
  <si>
    <t>GSTK1</t>
  </si>
  <si>
    <t>LAMTOR2</t>
  </si>
  <si>
    <t>DDX52</t>
  </si>
  <si>
    <t>POLR1D</t>
  </si>
  <si>
    <t>CRYL1</t>
  </si>
  <si>
    <t>TMA7</t>
  </si>
  <si>
    <t>POLDIP2</t>
  </si>
  <si>
    <t>AP3M1</t>
  </si>
  <si>
    <t>YBX2</t>
  </si>
  <si>
    <t>MAP3K2</t>
  </si>
  <si>
    <t>LEMD3</t>
  </si>
  <si>
    <t>C15orf41</t>
  </si>
  <si>
    <t>CARHSP1</t>
  </si>
  <si>
    <t>COG6</t>
  </si>
  <si>
    <t>THRAP3</t>
  </si>
  <si>
    <t>MED16</t>
  </si>
  <si>
    <t>NOP58</t>
  </si>
  <si>
    <t>GIT1</t>
  </si>
  <si>
    <t>POLR3K</t>
  </si>
  <si>
    <t>KLF13</t>
  </si>
  <si>
    <t>SUGT1</t>
  </si>
  <si>
    <t>YARS2</t>
  </si>
  <si>
    <t>AMDHD2</t>
  </si>
  <si>
    <t>AAR2</t>
  </si>
  <si>
    <t>NOSIP</t>
  </si>
  <si>
    <t>DERA</t>
  </si>
  <si>
    <t>MEMO1</t>
  </si>
  <si>
    <t>ZBTB12</t>
  </si>
  <si>
    <t>LSM2</t>
  </si>
  <si>
    <t>SNX24</t>
  </si>
  <si>
    <t>SH3GLB1</t>
  </si>
  <si>
    <t>CAB39</t>
  </si>
  <si>
    <t>LUC7L2</t>
  </si>
  <si>
    <t>UBE2J1</t>
  </si>
  <si>
    <t>RBMX2</t>
  </si>
  <si>
    <t>MRPS2</t>
  </si>
  <si>
    <t>UTP11L</t>
  </si>
  <si>
    <t>MOB4</t>
  </si>
  <si>
    <t>SBDS</t>
  </si>
  <si>
    <t>EXOSC1</t>
  </si>
  <si>
    <t>TMED7</t>
  </si>
  <si>
    <t>SF3B14</t>
  </si>
  <si>
    <t>MRPL11</t>
  </si>
  <si>
    <t>RRP15</t>
  </si>
  <si>
    <t>NOP16</t>
  </si>
  <si>
    <t>TPRKB</t>
  </si>
  <si>
    <t>PPIL1</t>
  </si>
  <si>
    <t>UFC1</t>
  </si>
  <si>
    <t>FAM96B</t>
  </si>
  <si>
    <t>MSRB2</t>
  </si>
  <si>
    <t>FIS1</t>
  </si>
  <si>
    <t>MRPS23</t>
  </si>
  <si>
    <t>HDGFRP3</t>
  </si>
  <si>
    <t>BOLA1</t>
  </si>
  <si>
    <t>PTRH2</t>
  </si>
  <si>
    <t>CHMP3</t>
  </si>
  <si>
    <t>STRAP</t>
  </si>
  <si>
    <t>C22orf28</t>
  </si>
  <si>
    <t>FBXO7</t>
  </si>
  <si>
    <t>RABGAP1</t>
  </si>
  <si>
    <t>TSC22D4</t>
  </si>
  <si>
    <t>DOPEY2</t>
  </si>
  <si>
    <t>ZNF330</t>
  </si>
  <si>
    <t>R3HCC1</t>
  </si>
  <si>
    <t>NOC2L</t>
  </si>
  <si>
    <t>RPL36</t>
  </si>
  <si>
    <t>RWDD3</t>
  </si>
  <si>
    <t>CCDC9</t>
  </si>
  <si>
    <t>CHTOP</t>
  </si>
  <si>
    <t>SAMHD1</t>
  </si>
  <si>
    <t>PKP3</t>
  </si>
  <si>
    <t>KNSTRN</t>
  </si>
  <si>
    <t>HBS1L</t>
  </si>
  <si>
    <t>PRKAB1</t>
  </si>
  <si>
    <t>MTF2</t>
  </si>
  <si>
    <t>DMXL1</t>
  </si>
  <si>
    <t>TLN1</t>
  </si>
  <si>
    <t>KIF3A</t>
  </si>
  <si>
    <t>TRRAP</t>
  </si>
  <si>
    <t>RAD54L2</t>
  </si>
  <si>
    <t>VPRBP</t>
  </si>
  <si>
    <t>KDM3A</t>
  </si>
  <si>
    <t>FAM115A</t>
  </si>
  <si>
    <t>ZNF451</t>
  </si>
  <si>
    <t>USP15</t>
  </si>
  <si>
    <t>KIAA0430</t>
  </si>
  <si>
    <t>TLN2</t>
  </si>
  <si>
    <t>IRS2</t>
  </si>
  <si>
    <t>MYO5A</t>
  </si>
  <si>
    <t>MTL5</t>
  </si>
  <si>
    <t>AIM1</t>
  </si>
  <si>
    <t>TRAF6</t>
  </si>
  <si>
    <t>MAP4K5</t>
  </si>
  <si>
    <t>HYOU1</t>
  </si>
  <si>
    <t>ATG4B</t>
  </si>
  <si>
    <t>WIPI2</t>
  </si>
  <si>
    <t>TELO2</t>
  </si>
  <si>
    <t>MMACHC</t>
  </si>
  <si>
    <t>LAS1L</t>
  </si>
  <si>
    <t>AFG3L2</t>
  </si>
  <si>
    <t>AMMECR1</t>
  </si>
  <si>
    <t>ARIH1</t>
  </si>
  <si>
    <t>LSM4</t>
  </si>
  <si>
    <t>RNF114</t>
  </si>
  <si>
    <t>PRRC2C</t>
  </si>
  <si>
    <t>POLR3H</t>
  </si>
  <si>
    <t>HSPB11</t>
  </si>
  <si>
    <t>PPME1</t>
  </si>
  <si>
    <t>RBM7</t>
  </si>
  <si>
    <t>CCDC41</t>
  </si>
  <si>
    <t>KCTD3</t>
  </si>
  <si>
    <t>ZSCAN21</t>
  </si>
  <si>
    <t>NUB1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</si>
  <si>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</si>
  <si>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</si>
  <si>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</si>
  <si>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</si>
  <si>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</si>
  <si>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</si>
  <si>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</si>
  <si>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</si>
  <si>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TIMM8B</t>
  </si>
  <si>
    <t>CD2AP</t>
  </si>
  <si>
    <t>ATP6V1D</t>
  </si>
  <si>
    <t>TNPO3</t>
  </si>
  <si>
    <t>TIMM13</t>
  </si>
  <si>
    <t>SRPRB</t>
  </si>
  <si>
    <t>N6AMT1</t>
  </si>
  <si>
    <t>COL4A3BP</t>
  </si>
  <si>
    <t>GMPPB</t>
  </si>
  <si>
    <t>GTF3C5</t>
  </si>
  <si>
    <t>GTF3C3</t>
  </si>
  <si>
    <t>TRPV2</t>
  </si>
  <si>
    <t>CDC42BPB</t>
  </si>
  <si>
    <t>RBM8A</t>
  </si>
  <si>
    <t>TSSC4</t>
  </si>
  <si>
    <t>ZNF706</t>
  </si>
  <si>
    <t>SNX9</t>
  </si>
  <si>
    <t>SNX8</t>
  </si>
  <si>
    <t>SNX5</t>
  </si>
  <si>
    <t>NUBP2</t>
  </si>
  <si>
    <t>HEBP2</t>
  </si>
  <si>
    <t>CSAD</t>
  </si>
  <si>
    <t>MRFAP1</t>
  </si>
  <si>
    <t>LRRFIP2</t>
  </si>
  <si>
    <t>FHOD1</t>
  </si>
  <si>
    <t>PSAT1</t>
  </si>
  <si>
    <t>CPQ</t>
  </si>
  <si>
    <t>SOX21</t>
  </si>
  <si>
    <t>SPIN1</t>
  </si>
  <si>
    <t>COPG1</t>
  </si>
  <si>
    <t>AUP1</t>
  </si>
  <si>
    <t>FKBP7</t>
  </si>
  <si>
    <t>GMEB1</t>
  </si>
  <si>
    <t>CLIC4</t>
  </si>
  <si>
    <t>NFS1</t>
  </si>
  <si>
    <t>C16orf80</t>
  </si>
  <si>
    <t>TACC3</t>
  </si>
  <si>
    <t>SAR1B</t>
  </si>
  <si>
    <t>AP4B1</t>
  </si>
  <si>
    <t>MTCH2</t>
  </si>
  <si>
    <t>ARFGEF2</t>
  </si>
  <si>
    <t>ARFGEF1</t>
  </si>
  <si>
    <t>MAD1L1</t>
  </si>
  <si>
    <t>STK24</t>
  </si>
  <si>
    <t>COMMD10</t>
  </si>
  <si>
    <t>DYNC1LI1</t>
  </si>
  <si>
    <t>CHCHD2</t>
  </si>
  <si>
    <t>EPN1</t>
  </si>
  <si>
    <t>USP3</t>
  </si>
  <si>
    <t>TEX264</t>
  </si>
  <si>
    <t>TAF6L</t>
  </si>
  <si>
    <t>CEPT1</t>
  </si>
  <si>
    <t>DNMT3A</t>
  </si>
  <si>
    <t>IKBKG</t>
  </si>
  <si>
    <t>IGF2BP2</t>
  </si>
  <si>
    <t>CSNK1G3</t>
  </si>
  <si>
    <t>SLC30A1</t>
  </si>
  <si>
    <t>SLC4A7</t>
  </si>
  <si>
    <t>NCOA3</t>
  </si>
  <si>
    <t>DDX49</t>
  </si>
  <si>
    <t>CAPN7</t>
  </si>
  <si>
    <t>WASF2</t>
  </si>
  <si>
    <t>MORC2</t>
  </si>
  <si>
    <t>MOSPD2</t>
  </si>
  <si>
    <t>PSMD8</t>
  </si>
  <si>
    <t>BMI1</t>
  </si>
  <si>
    <t>YTHDF3</t>
  </si>
  <si>
    <t>AASDH</t>
  </si>
  <si>
    <t>DENND4C</t>
  </si>
  <si>
    <t>AMFR</t>
  </si>
  <si>
    <t>FBXO2</t>
  </si>
  <si>
    <t>PSMC3</t>
  </si>
  <si>
    <t>ACD</t>
  </si>
  <si>
    <t>A0AVT1</t>
  </si>
  <si>
    <t>A0JLT2-2</t>
  </si>
  <si>
    <t>A0JNW5</t>
  </si>
  <si>
    <t>A0MZ66</t>
  </si>
  <si>
    <t>A1L188</t>
  </si>
  <si>
    <t>A2RRP1</t>
  </si>
  <si>
    <t>A2RUC4</t>
  </si>
  <si>
    <t>A2VDF0-2</t>
  </si>
  <si>
    <t>A3KN83-2</t>
  </si>
  <si>
    <t>A4D2B0</t>
  </si>
  <si>
    <t>A5PL33-3</t>
  </si>
  <si>
    <t>A5PLN9-2</t>
  </si>
  <si>
    <t>A5YKK6-2</t>
  </si>
  <si>
    <t>A6H8Y1-7</t>
  </si>
  <si>
    <t>A6NDG6</t>
  </si>
  <si>
    <t>A6NDU8</t>
  </si>
  <si>
    <t>A6NE92</t>
  </si>
  <si>
    <t>A6NED2</t>
  </si>
  <si>
    <t>A6NF31</t>
  </si>
  <si>
    <t>A6NF48</t>
  </si>
  <si>
    <t>A6NFI3</t>
  </si>
  <si>
    <t>A6NFX8</t>
  </si>
  <si>
    <t>A6NFY7</t>
  </si>
  <si>
    <t>A6NG32</t>
  </si>
  <si>
    <t>A6NG51</t>
  </si>
  <si>
    <t>A6NG79</t>
  </si>
  <si>
    <t>A6NGB9</t>
  </si>
  <si>
    <t>A6NGH7</t>
  </si>
  <si>
    <t>A6NGP5</t>
  </si>
  <si>
    <t>A6NGQ3</t>
  </si>
  <si>
    <t>A6NGU5</t>
  </si>
  <si>
    <t>A6NGX6</t>
  </si>
  <si>
    <t>A6NHF2</t>
  </si>
  <si>
    <t>A6NHR9</t>
  </si>
  <si>
    <t>A6NHX0</t>
  </si>
  <si>
    <t>A6NIH7</t>
  </si>
  <si>
    <t>A6NJX6</t>
  </si>
  <si>
    <t>A6NJZ9</t>
  </si>
  <si>
    <t>A6NKD9</t>
  </si>
  <si>
    <t>A6NML8</t>
  </si>
  <si>
    <t>A6NN80</t>
  </si>
  <si>
    <t>A6ZKI3</t>
  </si>
  <si>
    <t>A7MCY6</t>
  </si>
  <si>
    <t>A8CG34-2</t>
  </si>
  <si>
    <t>A8CTY3</t>
  </si>
  <si>
    <t>A8K2U1</t>
  </si>
  <si>
    <t>A8K8P3-5</t>
  </si>
  <si>
    <t>A8MPS7</t>
  </si>
  <si>
    <t>A8MPV3</t>
  </si>
  <si>
    <t>A8MQB8</t>
  </si>
  <si>
    <t>A8MSI8</t>
  </si>
  <si>
    <t>A8MT37</t>
  </si>
  <si>
    <t>A8MTY9</t>
  </si>
  <si>
    <t>A8MTZ6</t>
  </si>
  <si>
    <t>A8MU44</t>
  </si>
  <si>
    <t>A8MUN2</t>
  </si>
  <si>
    <t>A8MVR0</t>
  </si>
  <si>
    <t>A8MVW0</t>
  </si>
  <si>
    <t>A8MVX0</t>
  </si>
  <si>
    <t>A8MVZ6</t>
  </si>
  <si>
    <t>A8MX75</t>
  </si>
  <si>
    <t>A8MXP8</t>
  </si>
  <si>
    <t>A8MXP9</t>
  </si>
  <si>
    <t>A8MXV4</t>
  </si>
  <si>
    <t>A8MYC1</t>
  </si>
  <si>
    <t>A9Z1X7</t>
  </si>
  <si>
    <t>B0FLL2</t>
  </si>
  <si>
    <t>B0QXZ5</t>
  </si>
  <si>
    <t>B0QXZ6</t>
  </si>
  <si>
    <t>B0QY16</t>
  </si>
  <si>
    <t>B0QYI3</t>
  </si>
  <si>
    <t>B0UX83</t>
  </si>
  <si>
    <t>B0UZY3</t>
  </si>
  <si>
    <t>B1AHJ7</t>
  </si>
  <si>
    <t>B1AHQ6</t>
  </si>
  <si>
    <t>B1AJY7</t>
  </si>
  <si>
    <t>B1AK13</t>
  </si>
  <si>
    <t>B1AK81</t>
  </si>
  <si>
    <t>B1AK87</t>
  </si>
  <si>
    <t>B1AKD8</t>
  </si>
  <si>
    <t>B1AKL4</t>
  </si>
  <si>
    <t>B1AKN7</t>
  </si>
  <si>
    <t>B1AL16</t>
  </si>
  <si>
    <t>B1AL69</t>
  </si>
  <si>
    <t>B1AMU5</t>
  </si>
  <si>
    <t>B1AN89</t>
  </si>
  <si>
    <t>B1AN99</t>
  </si>
  <si>
    <t>B1ANH0</t>
  </si>
  <si>
    <t>B1APY4</t>
  </si>
  <si>
    <t>B1B1H9</t>
  </si>
  <si>
    <t>B2R5P6</t>
  </si>
  <si>
    <t>B2RCS5</t>
  </si>
  <si>
    <t>B2RPG6</t>
  </si>
  <si>
    <t>B2WTI3</t>
  </si>
  <si>
    <t>B3KMG0</t>
  </si>
  <si>
    <t>B3KNQ0</t>
  </si>
  <si>
    <t>B3KP96</t>
  </si>
  <si>
    <t>B3KR00</t>
  </si>
  <si>
    <t>B3KSI9</t>
  </si>
  <si>
    <t>B3KSJ7</t>
  </si>
  <si>
    <t>B3KU87</t>
  </si>
  <si>
    <t>B3KUK2</t>
  </si>
  <si>
    <t>B3KVH8</t>
  </si>
  <si>
    <t>B3KVZ3</t>
  </si>
  <si>
    <t>B3KWW1</t>
  </si>
  <si>
    <t>B3KY83</t>
  </si>
  <si>
    <t>B4DDF4</t>
  </si>
  <si>
    <t>B4DE93</t>
  </si>
  <si>
    <t>B4DFA2</t>
  </si>
  <si>
    <t>B4DFG0</t>
  </si>
  <si>
    <t>B4DFG6</t>
  </si>
  <si>
    <t>B4DFL2</t>
  </si>
  <si>
    <t>B4DGU4</t>
  </si>
  <si>
    <t>B4DGX2</t>
  </si>
  <si>
    <t>B4DH53</t>
  </si>
  <si>
    <t>B4DIP4</t>
  </si>
  <si>
    <t>B4DJ25</t>
  </si>
  <si>
    <t>B4DJ68</t>
  </si>
  <si>
    <t>B4DJA5</t>
  </si>
  <si>
    <t>B4DJP7</t>
  </si>
  <si>
    <t>B4DJV2</t>
  </si>
  <si>
    <t>B4DK80</t>
  </si>
  <si>
    <t>B4DKF9</t>
  </si>
  <si>
    <t>B4DKL4</t>
  </si>
  <si>
    <t>B4DKV7</t>
  </si>
  <si>
    <t>B4DL54</t>
  </si>
  <si>
    <t>B4DLE8</t>
  </si>
  <si>
    <t>B4DLR8</t>
  </si>
  <si>
    <t>B4DLT4</t>
  </si>
  <si>
    <t>B4DLV4</t>
  </si>
  <si>
    <t>B4DLZ9</t>
  </si>
  <si>
    <t>B4DMD6</t>
  </si>
  <si>
    <t>B4DNZ7</t>
  </si>
  <si>
    <t>B4DP21</t>
  </si>
  <si>
    <t>B4DP62</t>
  </si>
  <si>
    <t>B4DPR4</t>
  </si>
  <si>
    <t>B4DPY8</t>
  </si>
  <si>
    <t>B4DQ51</t>
  </si>
  <si>
    <t>B4DQE7</t>
  </si>
  <si>
    <t>B4DQH9</t>
  </si>
  <si>
    <t>B4DQJ8</t>
  </si>
  <si>
    <t>B4DR03</t>
  </si>
  <si>
    <t>B4DR67</t>
  </si>
  <si>
    <t>B4DRC4</t>
  </si>
  <si>
    <t>B4DRD1</t>
  </si>
  <si>
    <t>B4DRL8</t>
  </si>
  <si>
    <t>B4DRL9</t>
  </si>
  <si>
    <t>B4DRM7</t>
  </si>
  <si>
    <t>B4DRS7</t>
  </si>
  <si>
    <t>B4DS61</t>
  </si>
  <si>
    <t>B4DS76</t>
  </si>
  <si>
    <t>B4DSS5</t>
  </si>
  <si>
    <t>B4DT55</t>
  </si>
  <si>
    <t>B4DT77</t>
  </si>
  <si>
    <t>B4DTU4</t>
  </si>
  <si>
    <t>B4DTZ6</t>
  </si>
  <si>
    <t>B4DU60</t>
  </si>
  <si>
    <t>B4DUI3</t>
  </si>
  <si>
    <t>B4DV96</t>
  </si>
  <si>
    <t>B4DVE7</t>
  </si>
  <si>
    <t>B4DVY1</t>
  </si>
  <si>
    <t>B4DWB0</t>
  </si>
  <si>
    <t>B4DWW1</t>
  </si>
  <si>
    <t>B4DXW4</t>
  </si>
  <si>
    <t>B4DXZ6</t>
  </si>
  <si>
    <t>B4DY82</t>
  </si>
  <si>
    <t>B4DYB4</t>
  </si>
  <si>
    <t>B4DZH6</t>
  </si>
  <si>
    <t>B4DZK7</t>
  </si>
  <si>
    <t>B4E0G4</t>
  </si>
  <si>
    <t>B4E1D7</t>
  </si>
  <si>
    <t>B4E1M0</t>
  </si>
  <si>
    <t>B4E1Q4</t>
  </si>
  <si>
    <t>B4E241</t>
  </si>
  <si>
    <t>B4E2S7</t>
  </si>
  <si>
    <t>B4E2V5</t>
  </si>
  <si>
    <t>B4E2W0</t>
  </si>
  <si>
    <t>B4E2X3</t>
  </si>
  <si>
    <t>B4E351</t>
  </si>
  <si>
    <t>B4E3E5</t>
  </si>
  <si>
    <t>B4E3T2</t>
  </si>
  <si>
    <t>B4E3W0</t>
  </si>
  <si>
    <t>B5MC20</t>
  </si>
  <si>
    <t>B5MC51</t>
  </si>
  <si>
    <t>B5MCF9</t>
  </si>
  <si>
    <t>B5MCM0</t>
  </si>
  <si>
    <t>B5MCQ4</t>
  </si>
  <si>
    <t>B5MCU0</t>
  </si>
  <si>
    <t>B5MDQ0</t>
  </si>
  <si>
    <t>B7WP27</t>
  </si>
  <si>
    <t>B7WPH3</t>
  </si>
  <si>
    <t>B7Z1N3</t>
  </si>
  <si>
    <t>B7Z254</t>
  </si>
  <si>
    <t>B7Z2G1</t>
  </si>
  <si>
    <t>B7Z2L0</t>
  </si>
  <si>
    <t>B7Z2T3</t>
  </si>
  <si>
    <t>B7Z2X9</t>
  </si>
  <si>
    <t>B7Z367</t>
  </si>
  <si>
    <t>B7Z3A7</t>
  </si>
  <si>
    <t>B7Z3B9</t>
  </si>
  <si>
    <t>B7Z3I9</t>
  </si>
  <si>
    <t>B7Z4K6</t>
  </si>
  <si>
    <t>B7Z4R0</t>
  </si>
  <si>
    <t>B7Z588</t>
  </si>
  <si>
    <t>B7Z5G4</t>
  </si>
  <si>
    <t>B7Z5R0</t>
  </si>
  <si>
    <t>B7Z5X7</t>
  </si>
  <si>
    <t>B7Z637</t>
  </si>
  <si>
    <t>B7Z6B8</t>
  </si>
  <si>
    <t>B7Z6M3</t>
  </si>
  <si>
    <t>B7Z7E1</t>
  </si>
  <si>
    <t>B7Z7N6</t>
  </si>
  <si>
    <t>B7Z815</t>
  </si>
  <si>
    <t>B7Z844</t>
  </si>
  <si>
    <t>B7Z8R6</t>
  </si>
  <si>
    <t>B7ZAB3</t>
  </si>
  <si>
    <t>B7ZAX5</t>
  </si>
  <si>
    <t>B7ZKK9</t>
  </si>
  <si>
    <t>B7ZKP8</t>
  </si>
  <si>
    <t>B7ZKR7</t>
  </si>
  <si>
    <t>B7ZKT6</t>
  </si>
  <si>
    <t>B7ZLQ8</t>
  </si>
  <si>
    <t>B7ZM82</t>
  </si>
  <si>
    <t>B8ZZ99</t>
  </si>
  <si>
    <t>B8ZZF8</t>
  </si>
  <si>
    <t>B8ZZJ9</t>
  </si>
  <si>
    <t>B8ZZK4</t>
  </si>
  <si>
    <t>B8ZZQ6</t>
  </si>
  <si>
    <t>B8ZZU6</t>
  </si>
  <si>
    <t>B8ZZU8</t>
  </si>
  <si>
    <t>B8ZZW9</t>
  </si>
  <si>
    <t>B9A018</t>
  </si>
  <si>
    <t>B9A057</t>
  </si>
  <si>
    <t>B9EGH5</t>
  </si>
  <si>
    <t>B9ZVT1</t>
  </si>
  <si>
    <t>B9ZVU2</t>
  </si>
  <si>
    <t>C4AMC7</t>
  </si>
  <si>
    <t>C6G496</t>
  </si>
  <si>
    <t>C6GKU9</t>
  </si>
  <si>
    <t>C9IYZ1</t>
  </si>
  <si>
    <t>C9IZE4</t>
  </si>
  <si>
    <t>C9IZI4</t>
  </si>
  <si>
    <t>C9J0A7</t>
  </si>
  <si>
    <t>C9J0I9</t>
  </si>
  <si>
    <t>C9J0K6</t>
  </si>
  <si>
    <t>C9J1C6</t>
  </si>
  <si>
    <t>C9J1J0</t>
  </si>
  <si>
    <t>C9J1X0</t>
  </si>
  <si>
    <t>C9J212</t>
  </si>
  <si>
    <t>C9J2P0</t>
  </si>
  <si>
    <t>C9J2Y9</t>
  </si>
  <si>
    <t>C9J384</t>
  </si>
  <si>
    <t>C9J3L8</t>
  </si>
  <si>
    <t>C9J3R0</t>
  </si>
  <si>
    <t>C9J3R1</t>
  </si>
  <si>
    <t>C9J4K0</t>
  </si>
  <si>
    <t>C9J4L5</t>
  </si>
  <si>
    <t>C9J5C3</t>
  </si>
  <si>
    <t>C9J5J4</t>
  </si>
  <si>
    <t>C9J5W6</t>
  </si>
  <si>
    <t>C9J5X9</t>
  </si>
  <si>
    <t>C9J6N9</t>
  </si>
  <si>
    <t>C9J7I0</t>
  </si>
  <si>
    <t>C9J8B8</t>
  </si>
  <si>
    <t>C9J8L0</t>
  </si>
  <si>
    <t>C9J8R7</t>
  </si>
  <si>
    <t>C9J9K3</t>
  </si>
  <si>
    <t>C9JA69</t>
  </si>
  <si>
    <t>C9JAX3</t>
  </si>
  <si>
    <t>C9JB13</t>
  </si>
  <si>
    <t>C9JDG0</t>
  </si>
  <si>
    <t>C9JE12</t>
  </si>
  <si>
    <t>C9JE98</t>
  </si>
  <si>
    <t>C9JFE4</t>
  </si>
  <si>
    <t>C9JFK9</t>
  </si>
  <si>
    <t>C9JFL5</t>
  </si>
  <si>
    <t>C9JFM5</t>
  </si>
  <si>
    <t>C9JFR7</t>
  </si>
  <si>
    <t>C9JG15</t>
  </si>
  <si>
    <t>C9JG97</t>
  </si>
  <si>
    <t>C9JHL4</t>
  </si>
  <si>
    <t>C9JIE5</t>
  </si>
  <si>
    <t>C9JIS1</t>
  </si>
  <si>
    <t>C9JJV6</t>
  </si>
  <si>
    <t>C9JLU1</t>
  </si>
  <si>
    <t>C9JMG3</t>
  </si>
  <si>
    <t>C9JNE2</t>
  </si>
  <si>
    <t>C9JNI7</t>
  </si>
  <si>
    <t>C9JNZ9</t>
  </si>
  <si>
    <t>C9JP00</t>
  </si>
  <si>
    <t>C9JPC9</t>
  </si>
  <si>
    <t>C9JPL0</t>
  </si>
  <si>
    <t>C9JPP2</t>
  </si>
  <si>
    <t>C9JQ41</t>
  </si>
  <si>
    <t>C9JQB1</t>
  </si>
  <si>
    <t>C9JQV3</t>
  </si>
  <si>
    <t>C9JR56</t>
  </si>
  <si>
    <t>C9JS27</t>
  </si>
  <si>
    <t>C9JT95</t>
  </si>
  <si>
    <t>C9JTM9</t>
  </si>
  <si>
    <t>C9JV49</t>
  </si>
  <si>
    <t>C9JV50</t>
  </si>
  <si>
    <t>C9JVP0</t>
  </si>
  <si>
    <t>C9JWC5</t>
  </si>
  <si>
    <t>C9JXB8</t>
  </si>
  <si>
    <t>C9JXB9</t>
  </si>
  <si>
    <t>C9JXG8</t>
  </si>
  <si>
    <t>C9JY06</t>
  </si>
  <si>
    <t>C9JYJ6</t>
  </si>
  <si>
    <t>C9JYM0</t>
  </si>
  <si>
    <t>C9JYY9</t>
  </si>
  <si>
    <t>C9JZR4</t>
  </si>
  <si>
    <t>C9JZY3</t>
  </si>
  <si>
    <t>C9K0J5</t>
  </si>
  <si>
    <t>D3YTB1</t>
  </si>
  <si>
    <t>D3YTE0</t>
  </si>
  <si>
    <t>D3YTE1</t>
  </si>
  <si>
    <t>D3YTG6</t>
  </si>
  <si>
    <t>D6R941</t>
  </si>
  <si>
    <t>D6R992</t>
  </si>
  <si>
    <t>D6R9E3</t>
  </si>
  <si>
    <t>D6R9J8</t>
  </si>
  <si>
    <t>D6R9P3</t>
  </si>
  <si>
    <t>D6R9S4</t>
  </si>
  <si>
    <t>D6R9U7</t>
  </si>
  <si>
    <t>D6RA32</t>
  </si>
  <si>
    <t>D6RAL3</t>
  </si>
  <si>
    <t>D6RAM3</t>
  </si>
  <si>
    <t>D6RAN4</t>
  </si>
  <si>
    <t>D6RAV1</t>
  </si>
  <si>
    <t>D6RBE0</t>
  </si>
  <si>
    <t>D6RBN5</t>
  </si>
  <si>
    <t>D6RC71</t>
  </si>
  <si>
    <t>D6RCD0</t>
  </si>
  <si>
    <t>D6RD24</t>
  </si>
  <si>
    <t>D6RD47</t>
  </si>
  <si>
    <t>D6RDX3</t>
  </si>
  <si>
    <t>D6REB5</t>
  </si>
  <si>
    <t>D6REL5</t>
  </si>
  <si>
    <t>D6RF85</t>
  </si>
  <si>
    <t>D6RFH4</t>
  </si>
  <si>
    <t>D6RGI3</t>
  </si>
  <si>
    <t>D6RGX2</t>
  </si>
  <si>
    <t>D6RHD3</t>
  </si>
  <si>
    <t>D6RHI9</t>
  </si>
  <si>
    <t>D6RIY1</t>
  </si>
  <si>
    <t>D6RIZ4</t>
  </si>
  <si>
    <t>D6RJG9</t>
  </si>
  <si>
    <t>E1P5Q0</t>
  </si>
  <si>
    <t>E2QRD4</t>
  </si>
  <si>
    <t>E2QRF9</t>
  </si>
  <si>
    <t>E5RFI2</t>
  </si>
  <si>
    <t>E5RFJ1</t>
  </si>
  <si>
    <t>E5RG13</t>
  </si>
  <si>
    <t>E5RG73</t>
  </si>
  <si>
    <t>E5RGN3</t>
  </si>
  <si>
    <t>E5RGQ3</t>
  </si>
  <si>
    <t>E5RGS7</t>
  </si>
  <si>
    <t>E5RGX5</t>
  </si>
  <si>
    <t>E5RHG8</t>
  </si>
  <si>
    <t>E5RHI2</t>
  </si>
  <si>
    <t>E5RHN9</t>
  </si>
  <si>
    <t>E5RHT1</t>
  </si>
  <si>
    <t>E5RHT3</t>
  </si>
  <si>
    <t>E5RHW4</t>
  </si>
  <si>
    <t>E5RI99</t>
  </si>
  <si>
    <t>E5RIH5</t>
  </si>
  <si>
    <t>E5RJ08</t>
  </si>
  <si>
    <t>E5RJ68</t>
  </si>
  <si>
    <t>E5RJ99</t>
  </si>
  <si>
    <t>E5RJR5</t>
  </si>
  <si>
    <t>E5RK28</t>
  </si>
  <si>
    <t>E5RK82</t>
  </si>
  <si>
    <t>E7EM64</t>
  </si>
  <si>
    <t>E7EMD6</t>
  </si>
  <si>
    <t>E7EMM4</t>
  </si>
  <si>
    <t>E7EMP6</t>
  </si>
  <si>
    <t>E7EMW7</t>
  </si>
  <si>
    <t>E7ENA9</t>
  </si>
  <si>
    <t>E7ENF1</t>
  </si>
  <si>
    <t>E7ENK0</t>
  </si>
  <si>
    <t>E7ENN3</t>
  </si>
  <si>
    <t>E7ENW2</t>
  </si>
  <si>
    <t>E7EP17</t>
  </si>
  <si>
    <t>E7EPB3</t>
  </si>
  <si>
    <t>E7EPD0</t>
  </si>
  <si>
    <t>E7EPI0</t>
  </si>
  <si>
    <t>E7EPL4</t>
  </si>
  <si>
    <t>E7EPP7</t>
  </si>
  <si>
    <t>E7EQ69</t>
  </si>
  <si>
    <t>E7EQG2</t>
  </si>
  <si>
    <t>E7EQL8</t>
  </si>
  <si>
    <t>E7ER32</t>
  </si>
  <si>
    <t>E7ER77</t>
  </si>
  <si>
    <t>E7ERL6</t>
  </si>
  <si>
    <t>E7ES08</t>
  </si>
  <si>
    <t>E7ESC6</t>
  </si>
  <si>
    <t>E7ESJ3</t>
  </si>
  <si>
    <t>E7ESM1</t>
  </si>
  <si>
    <t>E7ET07</t>
  </si>
  <si>
    <t>E7ET15</t>
  </si>
  <si>
    <t>E7ET33</t>
  </si>
  <si>
    <t>E7ET96</t>
  </si>
  <si>
    <t>E7ETA6</t>
  </si>
  <si>
    <t>E7ETI8</t>
  </si>
  <si>
    <t>E7ETU5</t>
  </si>
  <si>
    <t>E7ETU9</t>
  </si>
  <si>
    <t>E7ETZ4</t>
  </si>
  <si>
    <t>E7EU24</t>
  </si>
  <si>
    <t>E7EU96</t>
  </si>
  <si>
    <t>E7EUH9</t>
  </si>
  <si>
    <t>E7EUI8</t>
  </si>
  <si>
    <t>E7EUM5</t>
  </si>
  <si>
    <t>E7EV10</t>
  </si>
  <si>
    <t>E7EV62</t>
  </si>
  <si>
    <t>E7EV93</t>
  </si>
  <si>
    <t>E7EVA0</t>
  </si>
  <si>
    <t>E7EVJ5</t>
  </si>
  <si>
    <t>E7EVY7</t>
  </si>
  <si>
    <t>E7EW59</t>
  </si>
  <si>
    <t>E7EW69</t>
  </si>
  <si>
    <t>E7EW84</t>
  </si>
  <si>
    <t>E7EWD6</t>
  </si>
  <si>
    <t>E7EX48</t>
  </si>
  <si>
    <t>E7EX53</t>
  </si>
  <si>
    <t>E9PAU2</t>
  </si>
  <si>
    <t>E9PB14</t>
  </si>
  <si>
    <t>E9PB61</t>
  </si>
  <si>
    <t>E9PBP4</t>
  </si>
  <si>
    <t>E9PBV1</t>
  </si>
  <si>
    <t>E9PC62</t>
  </si>
  <si>
    <t>E9PC74</t>
  </si>
  <si>
    <t>E9PCE5</t>
  </si>
  <si>
    <t>E9PCR4</t>
  </si>
  <si>
    <t>E9PCV0</t>
  </si>
  <si>
    <t>E9PCW1</t>
  </si>
  <si>
    <t>E9PD53</t>
  </si>
  <si>
    <t>E9PD90</t>
  </si>
  <si>
    <t>E9PDC3</t>
  </si>
  <si>
    <t>E9PDE4</t>
  </si>
  <si>
    <t>E9PDG2</t>
  </si>
  <si>
    <t>E9PDK2</t>
  </si>
  <si>
    <t>E9PDL4</t>
  </si>
  <si>
    <t>E9PE19</t>
  </si>
  <si>
    <t>E9PEI0</t>
  </si>
  <si>
    <t>E9PER6</t>
  </si>
  <si>
    <t>E9PEZ3</t>
  </si>
  <si>
    <t>E9PEZ8</t>
  </si>
  <si>
    <t>E9PF10</t>
  </si>
  <si>
    <t>E9PF16</t>
  </si>
  <si>
    <t>E9PF19</t>
  </si>
  <si>
    <t>E9PF99</t>
  </si>
  <si>
    <t>E9PFK5</t>
  </si>
  <si>
    <t>E9PFR3</t>
  </si>
  <si>
    <t>E9PG22</t>
  </si>
  <si>
    <t>E9PGT1</t>
  </si>
  <si>
    <t>E9PGT6</t>
  </si>
  <si>
    <t>E9PGW7</t>
  </si>
  <si>
    <t>E9PH29</t>
  </si>
  <si>
    <t>E9PH58</t>
  </si>
  <si>
    <t>E9PH62</t>
  </si>
  <si>
    <t>E9PHK0</t>
  </si>
  <si>
    <t>E9PHM2</t>
  </si>
  <si>
    <t>E9PHV5</t>
  </si>
  <si>
    <t>E9PHX8</t>
  </si>
  <si>
    <t>E9PHY5</t>
  </si>
  <si>
    <t>E9PI10</t>
  </si>
  <si>
    <t>E9PI87</t>
  </si>
  <si>
    <t>E9PIP3</t>
  </si>
  <si>
    <t>E9PJ04</t>
  </si>
  <si>
    <t>E9PJ07</t>
  </si>
  <si>
    <t>E9PJ24</t>
  </si>
  <si>
    <t>E9PJ81</t>
  </si>
  <si>
    <t>E9PJD7</t>
  </si>
  <si>
    <t>E9PJF5</t>
  </si>
  <si>
    <t>E9PJK1</t>
  </si>
  <si>
    <t>E9PK05</t>
  </si>
  <si>
    <t>E9PKB7</t>
  </si>
  <si>
    <t>E9PKB9</t>
  </si>
  <si>
    <t>E9PKF8</t>
  </si>
  <si>
    <t>E9PKG1</t>
  </si>
  <si>
    <t>E9PKV8</t>
  </si>
  <si>
    <t>E9PKZ0</t>
  </si>
  <si>
    <t>E9PL01</t>
  </si>
  <si>
    <t>E9PL57</t>
  </si>
  <si>
    <t>E9PLD2</t>
  </si>
  <si>
    <t>E9PLD3</t>
  </si>
  <si>
    <t>E9PLK3</t>
  </si>
  <si>
    <t>E9PLL6</t>
  </si>
  <si>
    <t>E9PLX2</t>
  </si>
  <si>
    <t>E9PLY5</t>
  </si>
  <si>
    <t>E9PM46</t>
  </si>
  <si>
    <t>E9PM92</t>
  </si>
  <si>
    <t>E9PMC9</t>
  </si>
  <si>
    <t>E9PME6</t>
  </si>
  <si>
    <t>E9PMH5</t>
  </si>
  <si>
    <t>E9PMI6</t>
  </si>
  <si>
    <t>E9PMJ2</t>
  </si>
  <si>
    <t>E9PMS6</t>
  </si>
  <si>
    <t>E9PND3</t>
  </si>
  <si>
    <t>E9PNN2</t>
  </si>
  <si>
    <t>E9PNW4</t>
  </si>
  <si>
    <t>E9PPH6</t>
  </si>
  <si>
    <t>E9PPY3</t>
  </si>
  <si>
    <t>E9PQ38</t>
  </si>
  <si>
    <t>E9PQ47</t>
  </si>
  <si>
    <t>E9PQ74</t>
  </si>
  <si>
    <t>E9PQY3</t>
  </si>
  <si>
    <t>E9PR76</t>
  </si>
  <si>
    <t>E9PRI4</t>
  </si>
  <si>
    <t>E9PS41</t>
  </si>
  <si>
    <t>E9PSA5</t>
  </si>
  <si>
    <t>E9PSF2</t>
  </si>
  <si>
    <t>F2Z2E1</t>
  </si>
  <si>
    <t>F2Z2E2</t>
  </si>
  <si>
    <t>F2Z2Q4</t>
  </si>
  <si>
    <t>F2Z2V0</t>
  </si>
  <si>
    <t>F2Z2V1</t>
  </si>
  <si>
    <t>F2Z2X4</t>
  </si>
  <si>
    <t>F2Z3I4</t>
  </si>
  <si>
    <t>F5GWD3</t>
  </si>
  <si>
    <t>F5GWI9</t>
  </si>
  <si>
    <t>F5GWN5</t>
  </si>
  <si>
    <t>F5GWP8</t>
  </si>
  <si>
    <t>F5GWT4</t>
  </si>
  <si>
    <t>F5GWU7</t>
  </si>
  <si>
    <t>F5GX09</t>
  </si>
  <si>
    <t>F5GX33</t>
  </si>
  <si>
    <t>F5GX58</t>
  </si>
  <si>
    <t>F5GX68</t>
  </si>
  <si>
    <t>F5GX82</t>
  </si>
  <si>
    <t>F5GXC8</t>
  </si>
  <si>
    <t>F5GXD1</t>
  </si>
  <si>
    <t>F5GXE4</t>
  </si>
  <si>
    <t>F5GXE7</t>
  </si>
  <si>
    <t>F5GXQ1</t>
  </si>
  <si>
    <t>F5GY11</t>
  </si>
  <si>
    <t>F5GY37</t>
  </si>
  <si>
    <t>F5GY95</t>
  </si>
  <si>
    <t>F5GY99</t>
  </si>
  <si>
    <t>F5GYA2</t>
  </si>
  <si>
    <t>F5GYC4</t>
  </si>
  <si>
    <t>F5GYJ5</t>
  </si>
  <si>
    <t>F5GYN4</t>
  </si>
  <si>
    <t>F5GZ06</t>
  </si>
  <si>
    <t>F5GZ78</t>
  </si>
  <si>
    <t>F5GZ84</t>
  </si>
  <si>
    <t>F5GZ90</t>
  </si>
  <si>
    <t>F5GZG6</t>
  </si>
  <si>
    <t>F5GZQ4</t>
  </si>
  <si>
    <t>F5GZT2</t>
  </si>
  <si>
    <t>F5GZW3</t>
  </si>
  <si>
    <t>F5GZY0</t>
  </si>
  <si>
    <t>F5H012</t>
  </si>
  <si>
    <t>F5H0E9</t>
  </si>
  <si>
    <t>F5H0F9</t>
  </si>
  <si>
    <t>F5H0K8</t>
  </si>
  <si>
    <t>F5H0L8</t>
  </si>
  <si>
    <t>F5H0Q6</t>
  </si>
  <si>
    <t>F5H105</t>
  </si>
  <si>
    <t>F5H1L4</t>
  </si>
  <si>
    <t>F5H1N7</t>
  </si>
  <si>
    <t>F5H1S8</t>
  </si>
  <si>
    <t>F5H1X8</t>
  </si>
  <si>
    <t>F5H1Y0</t>
  </si>
  <si>
    <t>F5H232</t>
  </si>
  <si>
    <t>F5H241</t>
  </si>
  <si>
    <t>F5H2H5</t>
  </si>
  <si>
    <t>F5H2Q7</t>
  </si>
  <si>
    <t>F5H315</t>
  </si>
  <si>
    <t>F5H365</t>
  </si>
  <si>
    <t>F5H3D1</t>
  </si>
  <si>
    <t>F5H3G6</t>
  </si>
  <si>
    <t>F5H3Q7</t>
  </si>
  <si>
    <t>F5H442</t>
  </si>
  <si>
    <t>F5H476</t>
  </si>
  <si>
    <t>F5H4B1</t>
  </si>
  <si>
    <t>F5H4G7</t>
  </si>
  <si>
    <t>F5H4J2</t>
  </si>
  <si>
    <t>F5H4Q5</t>
  </si>
  <si>
    <t>F5H4S9</t>
  </si>
  <si>
    <t>F5H4U6</t>
  </si>
  <si>
    <t>F5H542</t>
  </si>
  <si>
    <t>F5H590</t>
  </si>
  <si>
    <t>F5H5A3</t>
  </si>
  <si>
    <t>F5H5C2</t>
  </si>
  <si>
    <t>F5H5N1</t>
  </si>
  <si>
    <t>F5H5U2</t>
  </si>
  <si>
    <t>F5H604</t>
  </si>
  <si>
    <t>F5H6I7</t>
  </si>
  <si>
    <t>F5H6M9</t>
  </si>
  <si>
    <t>F5H6Z0</t>
  </si>
  <si>
    <t>F5H702</t>
  </si>
  <si>
    <t>F5H715</t>
  </si>
  <si>
    <t>F5H721</t>
  </si>
  <si>
    <t>F5H777</t>
  </si>
  <si>
    <t>F5H7F6</t>
  </si>
  <si>
    <t>F5H7I4</t>
  </si>
  <si>
    <t>F5H801</t>
  </si>
  <si>
    <t>F5H860</t>
  </si>
  <si>
    <t>F5H897</t>
  </si>
  <si>
    <t>F5H8H2</t>
  </si>
  <si>
    <t>F6PQP6</t>
  </si>
  <si>
    <t>F6QR24</t>
  </si>
  <si>
    <t>F6TQG2</t>
  </si>
  <si>
    <t>F6U1F2</t>
  </si>
  <si>
    <t>F6U1T9</t>
  </si>
  <si>
    <t>F6V2D4</t>
  </si>
  <si>
    <t>F6V707</t>
  </si>
  <si>
    <t>F6XY72</t>
  </si>
  <si>
    <t>F6YA60</t>
  </si>
  <si>
    <t>F8VP89</t>
  </si>
  <si>
    <t>F8VPD4</t>
  </si>
  <si>
    <t>F8VPL6</t>
  </si>
  <si>
    <t>F8VQX6</t>
  </si>
  <si>
    <t>F8VS10</t>
  </si>
  <si>
    <t>F8VS47</t>
  </si>
  <si>
    <t>F8VSL3</t>
  </si>
  <si>
    <t>F8VSZ4</t>
  </si>
  <si>
    <t>F8VUW5</t>
  </si>
  <si>
    <t>F8VV52</t>
  </si>
  <si>
    <t>F8VV59</t>
  </si>
  <si>
    <t>F8VWA6</t>
  </si>
  <si>
    <t>F8VX32</t>
  </si>
  <si>
    <t>F8VY35</t>
  </si>
  <si>
    <t>F8VZJ2</t>
  </si>
  <si>
    <t>F8W038</t>
  </si>
  <si>
    <t>F8W1A4</t>
  </si>
  <si>
    <t>F8W1I9</t>
  </si>
  <si>
    <t>F8W1N9</t>
  </si>
  <si>
    <t>F8W1R9</t>
  </si>
  <si>
    <t>F8W648</t>
  </si>
  <si>
    <t>F8W6D1</t>
  </si>
  <si>
    <t>F8W6T6</t>
  </si>
  <si>
    <t>F8W785</t>
  </si>
  <si>
    <t>F8W7C6</t>
  </si>
  <si>
    <t>F8W810</t>
  </si>
  <si>
    <t>F8W840</t>
  </si>
  <si>
    <t>F8W898</t>
  </si>
  <si>
    <t>F8W8H5</t>
  </si>
  <si>
    <t>F8W8I6</t>
  </si>
  <si>
    <t>F8W964</t>
  </si>
  <si>
    <t>F8W9F9</t>
  </si>
  <si>
    <t>F8W9R9</t>
  </si>
  <si>
    <t>F8W9W2</t>
  </si>
  <si>
    <t>F8W9X7</t>
  </si>
  <si>
    <t>F8WA13</t>
  </si>
  <si>
    <t>F8WA86</t>
  </si>
  <si>
    <t>F8WAK8</t>
  </si>
  <si>
    <t>F8WAM4</t>
  </si>
  <si>
    <t>F8WAS3</t>
  </si>
  <si>
    <t>F8WB05</t>
  </si>
  <si>
    <t>F8WBJ6</t>
  </si>
  <si>
    <t>F8WBK5</t>
  </si>
  <si>
    <t>F8WBS5</t>
  </si>
  <si>
    <t>F8WBU4</t>
  </si>
  <si>
    <t>F8WC89</t>
  </si>
  <si>
    <t>F8WCD0</t>
  </si>
  <si>
    <t>F8WDE8</t>
  </si>
  <si>
    <t>F8WEE4</t>
  </si>
  <si>
    <t>F8WEG4</t>
  </si>
  <si>
    <t>F8WEG8</t>
  </si>
  <si>
    <t>F8WF48</t>
  </si>
  <si>
    <t>F8WJN3</t>
  </si>
  <si>
    <t>G3V0I7</t>
  </si>
  <si>
    <t>G3V0I8</t>
  </si>
  <si>
    <t>G3V1D4</t>
  </si>
  <si>
    <t>G3V1R3</t>
  </si>
  <si>
    <t>G3V1R9</t>
  </si>
  <si>
    <t>G3V1U0</t>
  </si>
  <si>
    <t>G3V1Y1</t>
  </si>
  <si>
    <t>G3V203</t>
  </si>
  <si>
    <t>G3V2B8</t>
  </si>
  <si>
    <t>G3V2U7</t>
  </si>
  <si>
    <t>G3V398</t>
  </si>
  <si>
    <t>G3V3A0</t>
  </si>
  <si>
    <t>G3V3A4</t>
  </si>
  <si>
    <t>G3V3G9</t>
  </si>
  <si>
    <t>G3V3I4</t>
  </si>
  <si>
    <t>G3V3R7</t>
  </si>
  <si>
    <t>G3V4C1</t>
  </si>
  <si>
    <t>G3V4C9</t>
  </si>
  <si>
    <t>G3V4P7</t>
  </si>
  <si>
    <t>G3V4W0</t>
  </si>
  <si>
    <t>G3V529</t>
  </si>
  <si>
    <t>G3V599</t>
  </si>
  <si>
    <t>G3V5T0</t>
  </si>
  <si>
    <t>G3V5V3</t>
  </si>
  <si>
    <t>G3V5V7</t>
  </si>
  <si>
    <t>G3XA91</t>
  </si>
  <si>
    <t>G3XAA0</t>
  </si>
  <si>
    <t>G3XAH0</t>
  </si>
  <si>
    <t>G3XAI9</t>
  </si>
  <si>
    <t>G3XAL9</t>
  </si>
  <si>
    <t>G5E948</t>
  </si>
  <si>
    <t>G5E953</t>
  </si>
  <si>
    <t>G5E9A6</t>
  </si>
  <si>
    <t>G5E9A7</t>
  </si>
  <si>
    <t>G5E9B5</t>
  </si>
  <si>
    <t>G5E9C8</t>
  </si>
  <si>
    <t>G5E9F3</t>
  </si>
  <si>
    <t>G5EA02</t>
  </si>
  <si>
    <t>G5EA07</t>
  </si>
  <si>
    <t>G5EA52</t>
  </si>
  <si>
    <t>G8JL86</t>
  </si>
  <si>
    <t>G8JL95</t>
  </si>
  <si>
    <t>G8JL98</t>
  </si>
  <si>
    <t>G8JLB3</t>
  </si>
  <si>
    <t>G8JLE5</t>
  </si>
  <si>
    <t>G8JLH2</t>
  </si>
  <si>
    <t>G8JLI5</t>
  </si>
  <si>
    <t>G8JLK1</t>
  </si>
  <si>
    <t>G8JLK3</t>
  </si>
  <si>
    <t>G8JLL2</t>
  </si>
  <si>
    <t>H0Y2S9</t>
  </si>
  <si>
    <t>H0Y390</t>
  </si>
  <si>
    <t>H0Y3A0</t>
  </si>
  <si>
    <t>H0Y3K7</t>
  </si>
  <si>
    <t>H0Y3N9</t>
  </si>
  <si>
    <t>H0Y3P2</t>
  </si>
  <si>
    <t>H0Y3R4</t>
  </si>
  <si>
    <t>H0Y452</t>
  </si>
  <si>
    <t>H0Y459</t>
  </si>
  <si>
    <t>H0Y498</t>
  </si>
  <si>
    <t>H0Y4R1</t>
  </si>
  <si>
    <t>H0Y4V9</t>
  </si>
  <si>
    <t>H0Y547</t>
  </si>
  <si>
    <t>H0Y5C2</t>
  </si>
  <si>
    <t>H0Y5Y0</t>
  </si>
  <si>
    <t>H0Y6C3</t>
  </si>
  <si>
    <t>H0Y714</t>
  </si>
  <si>
    <t>H0Y7H8</t>
  </si>
  <si>
    <t>H0Y7Z1</t>
  </si>
  <si>
    <t>H0Y8G9</t>
  </si>
  <si>
    <t>H0Y8X4</t>
  </si>
  <si>
    <t>H0Y905</t>
  </si>
  <si>
    <t>H0Y9S9</t>
  </si>
  <si>
    <t>H0YA52</t>
  </si>
  <si>
    <t>H0YA61</t>
  </si>
  <si>
    <t>H0YA68</t>
  </si>
  <si>
    <t>H0YA80</t>
  </si>
  <si>
    <t>H0YA99</t>
  </si>
  <si>
    <t>H0YAD3</t>
  </si>
  <si>
    <t>H0YAE0</t>
  </si>
  <si>
    <t>H0YAJ5</t>
  </si>
  <si>
    <t>H0YAK3</t>
  </si>
  <si>
    <t>H0YB18</t>
  </si>
  <si>
    <t>H0YBG3</t>
  </si>
  <si>
    <t>H0YBJ8</t>
  </si>
  <si>
    <t>H0YBQ5</t>
  </si>
  <si>
    <t>H0YBU8</t>
  </si>
  <si>
    <t>H0YBZ4</t>
  </si>
  <si>
    <t>H0YCG1</t>
  </si>
  <si>
    <t>H0YCU9</t>
  </si>
  <si>
    <t>H0YDE2</t>
  </si>
  <si>
    <t>H0YDF9</t>
  </si>
  <si>
    <t>H0YDS2</t>
  </si>
  <si>
    <t>H0YDU8</t>
  </si>
  <si>
    <t>H0YE28</t>
  </si>
  <si>
    <t>H0YE57</t>
  </si>
  <si>
    <t>H0YE76</t>
  </si>
  <si>
    <t>H0YEB6</t>
  </si>
  <si>
    <t>H0YEB8</t>
  </si>
  <si>
    <t>H0YEF3</t>
  </si>
  <si>
    <t>H0YEL0</t>
  </si>
  <si>
    <t>H0YFB1</t>
  </si>
  <si>
    <t>H0YFY6</t>
  </si>
  <si>
    <t>H0YGR4</t>
  </si>
  <si>
    <t>H0YIE9</t>
  </si>
  <si>
    <t>H0YJA8</t>
  </si>
  <si>
    <t>H0YJH2</t>
  </si>
  <si>
    <t>H0YKX3</t>
  </si>
  <si>
    <t>H0YLA0</t>
  </si>
  <si>
    <t>H0YLB5</t>
  </si>
  <si>
    <t>H0YLF3</t>
  </si>
  <si>
    <t>H0YLN8</t>
  </si>
  <si>
    <t>H0YLX2</t>
  </si>
  <si>
    <t>H0YM23</t>
  </si>
  <si>
    <t>H0YMB3</t>
  </si>
  <si>
    <t>H0YMX4</t>
  </si>
  <si>
    <t>H0YN78</t>
  </si>
  <si>
    <t>H0YNE9</t>
  </si>
  <si>
    <t>H0YNG3</t>
  </si>
  <si>
    <t>H0YNH8</t>
  </si>
  <si>
    <t>H0YNU5</t>
  </si>
  <si>
    <t>H3BLV0</t>
  </si>
  <si>
    <t>H3BM67</t>
  </si>
  <si>
    <t>H3BM79</t>
  </si>
  <si>
    <t>H3BMJ2</t>
  </si>
  <si>
    <t>H3BNT4</t>
  </si>
  <si>
    <t>H3BPB8</t>
  </si>
  <si>
    <t>H3BPE1</t>
  </si>
  <si>
    <t>H3BPJ6</t>
  </si>
  <si>
    <t>H3BPK3</t>
  </si>
  <si>
    <t>H3BPK6</t>
  </si>
  <si>
    <t>H3BPS8</t>
  </si>
  <si>
    <t>H3BQA0</t>
  </si>
  <si>
    <t>H3BQZ7</t>
  </si>
  <si>
    <t>H3BRF9</t>
  </si>
  <si>
    <t>H3BRL3</t>
  </si>
  <si>
    <t>H3BRV0</t>
  </si>
  <si>
    <t>H3BS09</t>
  </si>
  <si>
    <t>H3BSC1</t>
  </si>
  <si>
    <t>H3BST1</t>
  </si>
  <si>
    <t>H3BSZ4</t>
  </si>
  <si>
    <t>H3BT74</t>
  </si>
  <si>
    <t>H3BTB7</t>
  </si>
  <si>
    <t>H3BTL1</t>
  </si>
  <si>
    <t>H3BTT7</t>
  </si>
  <si>
    <t>H3BU49</t>
  </si>
  <si>
    <t>H3BU51</t>
  </si>
  <si>
    <t>H3BUF6</t>
  </si>
  <si>
    <t>H3BUJ7</t>
  </si>
  <si>
    <t>H3BUQ2</t>
  </si>
  <si>
    <t>H3BV80</t>
  </si>
  <si>
    <t>H6UMI1</t>
  </si>
  <si>
    <t>H7BXD5</t>
  </si>
  <si>
    <t>H7BXF5</t>
  </si>
  <si>
    <t>H7BXG2</t>
  </si>
  <si>
    <t>H7BXH2</t>
  </si>
  <si>
    <t>H7BXI1</t>
  </si>
  <si>
    <t>H7BXQ9</t>
  </si>
  <si>
    <t>H7BXU9</t>
  </si>
  <si>
    <t>H7BXZ5</t>
  </si>
  <si>
    <t>H7BY36</t>
  </si>
  <si>
    <t>H7BYK9</t>
  </si>
  <si>
    <t>H7BYN4</t>
  </si>
  <si>
    <t>H7BYY1</t>
  </si>
  <si>
    <t>H7BZJ3</t>
  </si>
  <si>
    <t>H7BZK3</t>
  </si>
  <si>
    <t>H7C0C1</t>
  </si>
  <si>
    <t>H7C0J3</t>
  </si>
  <si>
    <t>H7C0S8</t>
  </si>
  <si>
    <t>H7C134</t>
  </si>
  <si>
    <t>H7C137</t>
  </si>
  <si>
    <t>H7C144</t>
  </si>
  <si>
    <t>H7C1C1</t>
  </si>
  <si>
    <t>H7C1M0</t>
  </si>
  <si>
    <t>H7C1M5</t>
  </si>
  <si>
    <t>H7C1N2</t>
  </si>
  <si>
    <t>H7C1U3</t>
  </si>
  <si>
    <t>H7C1W2</t>
  </si>
  <si>
    <t>H7C284</t>
  </si>
  <si>
    <t>H7C2G2</t>
  </si>
  <si>
    <t>H7C3E1</t>
  </si>
  <si>
    <t>H7C3P4</t>
  </si>
  <si>
    <t>H7C463</t>
  </si>
  <si>
    <t>H7C494</t>
  </si>
  <si>
    <t>H7C4S2</t>
  </si>
  <si>
    <t>H7C4S4</t>
  </si>
  <si>
    <t>H7C4Y3</t>
  </si>
  <si>
    <t>H7C561</t>
  </si>
  <si>
    <t>H7C585</t>
  </si>
  <si>
    <t>H7C5D9</t>
  </si>
  <si>
    <t>H7C5E8</t>
  </si>
  <si>
    <t>H7C5F9</t>
  </si>
  <si>
    <t>H7C5V4</t>
  </si>
  <si>
    <t>H9KV61</t>
  </si>
  <si>
    <t>H9KVB4</t>
  </si>
  <si>
    <t>H9ZYI9</t>
  </si>
  <si>
    <t>I3L097</t>
  </si>
  <si>
    <t>I3L100</t>
  </si>
  <si>
    <t>I3L1H5</t>
  </si>
  <si>
    <t>I3L1K6</t>
  </si>
  <si>
    <t>I3L1Q3</t>
  </si>
  <si>
    <t>I3L232</t>
  </si>
  <si>
    <t>I3L2B0</t>
  </si>
  <si>
    <t>I3L2C7</t>
  </si>
  <si>
    <t>I3L2J0</t>
  </si>
  <si>
    <t>I3L2L5</t>
  </si>
  <si>
    <t>I3L2N2</t>
  </si>
  <si>
    <t>I3L3E4</t>
  </si>
  <si>
    <t>I3L3P7</t>
  </si>
  <si>
    <t>I3L3S0</t>
  </si>
  <si>
    <t>I3L413</t>
  </si>
  <si>
    <t>I3L430</t>
  </si>
  <si>
    <t>I3L4C3</t>
  </si>
  <si>
    <t>I3L4X3</t>
  </si>
  <si>
    <t>I3L505</t>
  </si>
  <si>
    <t>I3NI44</t>
  </si>
  <si>
    <t>I6L894</t>
  </si>
  <si>
    <t>J3KMY5</t>
  </si>
  <si>
    <t>J3KMZ7</t>
  </si>
  <si>
    <t>J3KN01</t>
  </si>
  <si>
    <t>J3KN25</t>
  </si>
  <si>
    <t>J3KN27</t>
  </si>
  <si>
    <t>J3KN29</t>
  </si>
  <si>
    <t>J3KN33</t>
  </si>
  <si>
    <t>J3KN66</t>
  </si>
  <si>
    <t>J3KN68</t>
  </si>
  <si>
    <t>J3KN93</t>
  </si>
  <si>
    <t>J3KNB8</t>
  </si>
  <si>
    <t>J3KND1</t>
  </si>
  <si>
    <t>J3KNF4</t>
  </si>
  <si>
    <t>J3KNG8</t>
  </si>
  <si>
    <t>J3KNH7</t>
  </si>
  <si>
    <t>J3KNK0</t>
  </si>
  <si>
    <t>J3KNL6</t>
  </si>
  <si>
    <t>J3KNL9</t>
  </si>
  <si>
    <t>J3KNM5</t>
  </si>
  <si>
    <t>J3KNN7</t>
  </si>
  <si>
    <t>J3KNU8</t>
  </si>
  <si>
    <t>J3KNV1</t>
  </si>
  <si>
    <t>J3KNX4</t>
  </si>
  <si>
    <t>J3KNZ9</t>
  </si>
  <si>
    <t>J3KP19</t>
  </si>
  <si>
    <t>J3KP22</t>
  </si>
  <si>
    <t>J3KP30</t>
  </si>
  <si>
    <t>J3KP36</t>
  </si>
  <si>
    <t>J3KP66</t>
  </si>
  <si>
    <t>J3KPK1</t>
  </si>
  <si>
    <t>J3KPS2</t>
  </si>
  <si>
    <t>J3KPT0</t>
  </si>
  <si>
    <t>J3KPV7</t>
  </si>
  <si>
    <t>J3KQ34</t>
  </si>
  <si>
    <t>J3KQD2</t>
  </si>
  <si>
    <t>J3KQS2</t>
  </si>
  <si>
    <t>J3KQS6</t>
  </si>
  <si>
    <t>J3KR07</t>
  </si>
  <si>
    <t>J3KRP6</t>
  </si>
  <si>
    <t>J3KSB8</t>
  </si>
  <si>
    <t>J3KSW2</t>
  </si>
  <si>
    <t>J3KSX7</t>
  </si>
  <si>
    <t>J3KT51</t>
  </si>
  <si>
    <t>J3KTF8</t>
  </si>
  <si>
    <t>J3QK86</t>
  </si>
  <si>
    <t>J3QKW2</t>
  </si>
  <si>
    <t>J3QL14</t>
  </si>
  <si>
    <t>J3QL56</t>
  </si>
  <si>
    <t>J3QLD9</t>
  </si>
  <si>
    <t>J3QLM9</t>
  </si>
  <si>
    <t>J3QLN8</t>
  </si>
  <si>
    <t>J3QQJ5</t>
  </si>
  <si>
    <t>J3QQT2</t>
  </si>
  <si>
    <t>J3QQW9</t>
  </si>
  <si>
    <t>J3QQY0</t>
  </si>
  <si>
    <t>J3QR09</t>
  </si>
  <si>
    <t>J3QR65</t>
  </si>
  <si>
    <t>J3QRN6</t>
  </si>
  <si>
    <t>J3QSH4</t>
  </si>
  <si>
    <t>J3QT28</t>
  </si>
  <si>
    <t>J3QT32</t>
  </si>
  <si>
    <t>J3QT34</t>
  </si>
  <si>
    <t>J3QTB1</t>
  </si>
  <si>
    <t>J3QTB2</t>
  </si>
  <si>
    <t>J3QTM1</t>
  </si>
  <si>
    <t>J3QTV4</t>
  </si>
  <si>
    <t>J9JIC5</t>
  </si>
  <si>
    <t>K4DI92</t>
  </si>
  <si>
    <t>K7EIG1</t>
  </si>
  <si>
    <t>K7EIJ0</t>
  </si>
  <si>
    <t>K7EIN2</t>
  </si>
  <si>
    <t>K7EIP0</t>
  </si>
  <si>
    <t>K7EIU8</t>
  </si>
  <si>
    <t>K7EJ08</t>
  </si>
  <si>
    <t>K7EJ32</t>
  </si>
  <si>
    <t>K7EJA5</t>
  </si>
  <si>
    <t>K7EJH8</t>
  </si>
  <si>
    <t>K7EJQ7</t>
  </si>
  <si>
    <t>K7EJS4</t>
  </si>
  <si>
    <t>K7EK07</t>
  </si>
  <si>
    <t>K7EK35</t>
  </si>
  <si>
    <t>K7EKE6</t>
  </si>
  <si>
    <t>K7EKG9</t>
  </si>
  <si>
    <t>K7EKT0</t>
  </si>
  <si>
    <t>K7EL68</t>
  </si>
  <si>
    <t>K7EL81</t>
  </si>
  <si>
    <t>K7ELC2</t>
  </si>
  <si>
    <t>K7ELW5</t>
  </si>
  <si>
    <t>K7ELY0</t>
  </si>
  <si>
    <t>K7EM02</t>
  </si>
  <si>
    <t>K7EM09</t>
  </si>
  <si>
    <t>K7EM88</t>
  </si>
  <si>
    <t>K7EMW4</t>
  </si>
  <si>
    <t>K7EMX1</t>
  </si>
  <si>
    <t>K7EMZ7</t>
  </si>
  <si>
    <t>K7EN05</t>
  </si>
  <si>
    <t>K7EN65</t>
  </si>
  <si>
    <t>K7EN88</t>
  </si>
  <si>
    <t>K7ENF0</t>
  </si>
  <si>
    <t>K7ENJ0</t>
  </si>
  <si>
    <t>K7ENL9</t>
  </si>
  <si>
    <t>K7ENQ6</t>
  </si>
  <si>
    <t>K7ENR1</t>
  </si>
  <si>
    <t>K7ENR6</t>
  </si>
  <si>
    <t>K7EP81</t>
  </si>
  <si>
    <t>K7EPS8</t>
  </si>
  <si>
    <t>K7EPU2</t>
  </si>
  <si>
    <t>K7EQG1</t>
  </si>
  <si>
    <t>K7EQU4</t>
  </si>
  <si>
    <t>K7EQV7</t>
  </si>
  <si>
    <t>K7EQW8</t>
  </si>
  <si>
    <t>K7EQX8</t>
  </si>
  <si>
    <t>K7EQZ1</t>
  </si>
  <si>
    <t>K7ERF1</t>
  </si>
  <si>
    <t>K7ERI9</t>
  </si>
  <si>
    <t>K7ERQ8</t>
  </si>
  <si>
    <t>K7ES11</t>
  </si>
  <si>
    <t>K7ES84</t>
  </si>
  <si>
    <t>K7ESE3</t>
  </si>
  <si>
    <t>K7ESI9</t>
  </si>
  <si>
    <t>M0QWZ7</t>
  </si>
  <si>
    <t>M0QX35</t>
  </si>
  <si>
    <t>M0QXF5</t>
  </si>
  <si>
    <t>M0QXX4</t>
  </si>
  <si>
    <t>M0QY01</t>
  </si>
  <si>
    <t>M0QY46</t>
  </si>
  <si>
    <t>M0QYR7</t>
  </si>
  <si>
    <t>M0QZ22</t>
  </si>
  <si>
    <t>M0QZ28</t>
  </si>
  <si>
    <t>M0QZ43</t>
  </si>
  <si>
    <t>M0QZ57</t>
  </si>
  <si>
    <t>M0QZH0</t>
  </si>
  <si>
    <t>M0QZM1</t>
  </si>
  <si>
    <t>M0QZR4</t>
  </si>
  <si>
    <t>M0QZW6</t>
  </si>
  <si>
    <t>M0R009</t>
  </si>
  <si>
    <t>M0R044</t>
  </si>
  <si>
    <t>M0R0B4</t>
  </si>
  <si>
    <t>M0R0F0</t>
  </si>
  <si>
    <t>M0R0Q5</t>
  </si>
  <si>
    <t>M0R1B5</t>
  </si>
  <si>
    <t>M0R1T5</t>
  </si>
  <si>
    <t>M0R299</t>
  </si>
  <si>
    <t>M0R2P6</t>
  </si>
  <si>
    <t>M0R2S3</t>
  </si>
  <si>
    <t>M0R300</t>
  </si>
  <si>
    <t>M0R3D4</t>
  </si>
  <si>
    <t>O00116</t>
  </si>
  <si>
    <t>O00124-2</t>
  </si>
  <si>
    <t>O00139-1</t>
  </si>
  <si>
    <t>O00139-2</t>
  </si>
  <si>
    <t>O00148</t>
  </si>
  <si>
    <t>O00151</t>
  </si>
  <si>
    <t>O00154-6</t>
  </si>
  <si>
    <t>O00159</t>
  </si>
  <si>
    <t>O00160</t>
  </si>
  <si>
    <t>O00161</t>
  </si>
  <si>
    <t>O00165-5</t>
  </si>
  <si>
    <t>O00170</t>
  </si>
  <si>
    <t>O00178</t>
  </si>
  <si>
    <t>O00186</t>
  </si>
  <si>
    <t>O00213-3</t>
  </si>
  <si>
    <t>O00221</t>
  </si>
  <si>
    <t>O00231</t>
  </si>
  <si>
    <t>O00232</t>
  </si>
  <si>
    <t>O00244</t>
  </si>
  <si>
    <t>O00255-2</t>
  </si>
  <si>
    <t>O00257</t>
  </si>
  <si>
    <t>O00264</t>
  </si>
  <si>
    <t>O00268</t>
  </si>
  <si>
    <t>O00273</t>
  </si>
  <si>
    <t>O00273-2</t>
  </si>
  <si>
    <t>O00287</t>
  </si>
  <si>
    <t>O00291-3</t>
  </si>
  <si>
    <t>O00299</t>
  </si>
  <si>
    <t>O00303</t>
  </si>
  <si>
    <t>O00308</t>
  </si>
  <si>
    <t>O00329</t>
  </si>
  <si>
    <t>O00399</t>
  </si>
  <si>
    <t>O00401</t>
  </si>
  <si>
    <t>O00410</t>
  </si>
  <si>
    <t>O00411</t>
  </si>
  <si>
    <t>O00418</t>
  </si>
  <si>
    <t>O00422</t>
  </si>
  <si>
    <t>O00425</t>
  </si>
  <si>
    <t>O00429-3</t>
  </si>
  <si>
    <t>O00429-4</t>
  </si>
  <si>
    <t>O00442</t>
  </si>
  <si>
    <t>O00443</t>
  </si>
  <si>
    <t>O00459</t>
  </si>
  <si>
    <t>O00462</t>
  </si>
  <si>
    <t>O00468-2</t>
  </si>
  <si>
    <t>O00471</t>
  </si>
  <si>
    <t>O00479</t>
  </si>
  <si>
    <t>O00487</t>
  </si>
  <si>
    <t>O00499-6</t>
  </si>
  <si>
    <t>O00505</t>
  </si>
  <si>
    <t>O00506</t>
  </si>
  <si>
    <t>O00512</t>
  </si>
  <si>
    <t>O00522-3</t>
  </si>
  <si>
    <t>O00534</t>
  </si>
  <si>
    <t>O00560-3</t>
  </si>
  <si>
    <t>O00566</t>
  </si>
  <si>
    <t>O00567</t>
  </si>
  <si>
    <t>O00570</t>
  </si>
  <si>
    <t>O00571</t>
  </si>
  <si>
    <t>O00625</t>
  </si>
  <si>
    <t>O00629</t>
  </si>
  <si>
    <t>O00743</t>
  </si>
  <si>
    <t>O00748</t>
  </si>
  <si>
    <t>O00754-2</t>
  </si>
  <si>
    <t>O00764</t>
  </si>
  <si>
    <t>O14497</t>
  </si>
  <si>
    <t>O14503</t>
  </si>
  <si>
    <t>O14508</t>
  </si>
  <si>
    <t>O14519-2</t>
  </si>
  <si>
    <t>O14526-2</t>
  </si>
  <si>
    <t>O14545</t>
  </si>
  <si>
    <t>O14561</t>
  </si>
  <si>
    <t>O14578-4</t>
  </si>
  <si>
    <t>O14579</t>
  </si>
  <si>
    <t>O14617</t>
  </si>
  <si>
    <t>O14646-2</t>
  </si>
  <si>
    <t>O14647</t>
  </si>
  <si>
    <t>O14649</t>
  </si>
  <si>
    <t>O14653-3</t>
  </si>
  <si>
    <t>O14654</t>
  </si>
  <si>
    <t>O14656</t>
  </si>
  <si>
    <t>O14657</t>
  </si>
  <si>
    <t>O14686</t>
  </si>
  <si>
    <t>O14713-2</t>
  </si>
  <si>
    <t>O14733</t>
  </si>
  <si>
    <t>O14737</t>
  </si>
  <si>
    <t>O14744</t>
  </si>
  <si>
    <t>O14745</t>
  </si>
  <si>
    <t>O14757</t>
  </si>
  <si>
    <t>O14770-6</t>
  </si>
  <si>
    <t>O14772</t>
  </si>
  <si>
    <t>O14773-2</t>
  </si>
  <si>
    <t>O14776-2</t>
  </si>
  <si>
    <t>O14777</t>
  </si>
  <si>
    <t>O14787-2</t>
  </si>
  <si>
    <t>O14795</t>
  </si>
  <si>
    <t>O14802</t>
  </si>
  <si>
    <t>O14818</t>
  </si>
  <si>
    <t>O14828</t>
  </si>
  <si>
    <t>O14841</t>
  </si>
  <si>
    <t>O14867</t>
  </si>
  <si>
    <t>O14907</t>
  </si>
  <si>
    <t>O14908</t>
  </si>
  <si>
    <t>O14920</t>
  </si>
  <si>
    <t>O14924-2</t>
  </si>
  <si>
    <t>O14929</t>
  </si>
  <si>
    <t>O14933</t>
  </si>
  <si>
    <t>O14964</t>
  </si>
  <si>
    <t>O14965</t>
  </si>
  <si>
    <t>O14974</t>
  </si>
  <si>
    <t>O14974-4</t>
  </si>
  <si>
    <t>O14976</t>
  </si>
  <si>
    <t>O14979-3</t>
  </si>
  <si>
    <t>O14980</t>
  </si>
  <si>
    <t>O14981</t>
  </si>
  <si>
    <t>O15013-7</t>
  </si>
  <si>
    <t>O15014</t>
  </si>
  <si>
    <t>O15015</t>
  </si>
  <si>
    <t>O15020</t>
  </si>
  <si>
    <t>O15020-2</t>
  </si>
  <si>
    <t>O15037</t>
  </si>
  <si>
    <t>O15047</t>
  </si>
  <si>
    <t>O15050</t>
  </si>
  <si>
    <t>O15054</t>
  </si>
  <si>
    <t>O15056</t>
  </si>
  <si>
    <t>O15060</t>
  </si>
  <si>
    <t>O15063</t>
  </si>
  <si>
    <t>O15066</t>
  </si>
  <si>
    <t>O15067</t>
  </si>
  <si>
    <t>O15078</t>
  </si>
  <si>
    <t>O15084</t>
  </si>
  <si>
    <t>O15085-2</t>
  </si>
  <si>
    <t>O15111</t>
  </si>
  <si>
    <t>O15116</t>
  </si>
  <si>
    <t>O15117</t>
  </si>
  <si>
    <t>O15118</t>
  </si>
  <si>
    <t>O15131</t>
  </si>
  <si>
    <t>O15143</t>
  </si>
  <si>
    <t>O15144</t>
  </si>
  <si>
    <t>O15145</t>
  </si>
  <si>
    <t>O15151-5</t>
  </si>
  <si>
    <t>O15156</t>
  </si>
  <si>
    <t>O15160-2</t>
  </si>
  <si>
    <t>O15164</t>
  </si>
  <si>
    <t>O15169-2</t>
  </si>
  <si>
    <t>O15173</t>
  </si>
  <si>
    <t>O15211</t>
  </si>
  <si>
    <t>O15212</t>
  </si>
  <si>
    <t>O15213</t>
  </si>
  <si>
    <t>O15226</t>
  </si>
  <si>
    <t>O15231-4</t>
  </si>
  <si>
    <t>O15234</t>
  </si>
  <si>
    <t>O15240</t>
  </si>
  <si>
    <t>O15247</t>
  </si>
  <si>
    <t>O15260-2</t>
  </si>
  <si>
    <t>O15265</t>
  </si>
  <si>
    <t>O15294</t>
  </si>
  <si>
    <t>O15305</t>
  </si>
  <si>
    <t>O15315-5</t>
  </si>
  <si>
    <t>O15344</t>
  </si>
  <si>
    <t>O15355</t>
  </si>
  <si>
    <t>O15357</t>
  </si>
  <si>
    <t>O15372</t>
  </si>
  <si>
    <t>O15379</t>
  </si>
  <si>
    <t>O15381</t>
  </si>
  <si>
    <t>O15382</t>
  </si>
  <si>
    <t>O15392-5</t>
  </si>
  <si>
    <t>O15397</t>
  </si>
  <si>
    <t>O15400-2</t>
  </si>
  <si>
    <t>O15446</t>
  </si>
  <si>
    <t>O15479</t>
  </si>
  <si>
    <t>O15488-4</t>
  </si>
  <si>
    <t>O15498</t>
  </si>
  <si>
    <t>O15504</t>
  </si>
  <si>
    <t>O15511</t>
  </si>
  <si>
    <t>O15514</t>
  </si>
  <si>
    <t>O15524</t>
  </si>
  <si>
    <t>O15541</t>
  </si>
  <si>
    <t>O15550</t>
  </si>
  <si>
    <t>O43143</t>
  </si>
  <si>
    <t>O43148</t>
  </si>
  <si>
    <t>O43149</t>
  </si>
  <si>
    <t>O43156</t>
  </si>
  <si>
    <t>O43164-2</t>
  </si>
  <si>
    <t>O43167</t>
  </si>
  <si>
    <t>O43172-2</t>
  </si>
  <si>
    <t>O43175</t>
  </si>
  <si>
    <t>O43182-4</t>
  </si>
  <si>
    <t>O43237</t>
  </si>
  <si>
    <t>O43242</t>
  </si>
  <si>
    <t>O43251-6</t>
  </si>
  <si>
    <t>O43252</t>
  </si>
  <si>
    <t>O43264</t>
  </si>
  <si>
    <t>O43290</t>
  </si>
  <si>
    <t>O43293</t>
  </si>
  <si>
    <t>O43298</t>
  </si>
  <si>
    <t>O43299</t>
  </si>
  <si>
    <t>O43303-2</t>
  </si>
  <si>
    <t>O43310</t>
  </si>
  <si>
    <t>O43314-2</t>
  </si>
  <si>
    <t>O43318</t>
  </si>
  <si>
    <t>O43324</t>
  </si>
  <si>
    <t>O43325</t>
  </si>
  <si>
    <t>O43353</t>
  </si>
  <si>
    <t>O43379</t>
  </si>
  <si>
    <t>O43390</t>
  </si>
  <si>
    <t>O43395</t>
  </si>
  <si>
    <t>O43396</t>
  </si>
  <si>
    <t>O43399</t>
  </si>
  <si>
    <t>O43402</t>
  </si>
  <si>
    <t>O43414-3</t>
  </si>
  <si>
    <t>O43422</t>
  </si>
  <si>
    <t>O43427-2</t>
  </si>
  <si>
    <t>O43432</t>
  </si>
  <si>
    <t>O43435-3</t>
  </si>
  <si>
    <t>O43447</t>
  </si>
  <si>
    <t>O43464</t>
  </si>
  <si>
    <t>O43482</t>
  </si>
  <si>
    <t>O43488</t>
  </si>
  <si>
    <t>O43491</t>
  </si>
  <si>
    <t>O43504</t>
  </si>
  <si>
    <t>O43513</t>
  </si>
  <si>
    <t>O43516</t>
  </si>
  <si>
    <t>O43521-6</t>
  </si>
  <si>
    <t>O43542</t>
  </si>
  <si>
    <t>O43566</t>
  </si>
  <si>
    <t>O43583</t>
  </si>
  <si>
    <t>O43592</t>
  </si>
  <si>
    <t>O43598</t>
  </si>
  <si>
    <t>O43615</t>
  </si>
  <si>
    <t>O43617</t>
  </si>
  <si>
    <t>O43633</t>
  </si>
  <si>
    <t>O43639</t>
  </si>
  <si>
    <t>O43660-2</t>
  </si>
  <si>
    <t>O43663</t>
  </si>
  <si>
    <t>O43665-2</t>
  </si>
  <si>
    <t>O43670-2</t>
  </si>
  <si>
    <t>O43674-2</t>
  </si>
  <si>
    <t>O43678</t>
  </si>
  <si>
    <t>O43681</t>
  </si>
  <si>
    <t>O43707</t>
  </si>
  <si>
    <t>O43709</t>
  </si>
  <si>
    <t>O43715</t>
  </si>
  <si>
    <t>O43716</t>
  </si>
  <si>
    <t>O43719</t>
  </si>
  <si>
    <t>O43734-5</t>
  </si>
  <si>
    <t>O43739-2</t>
  </si>
  <si>
    <t>O43747</t>
  </si>
  <si>
    <t>O43752</t>
  </si>
  <si>
    <t>O43765</t>
  </si>
  <si>
    <t>O43766</t>
  </si>
  <si>
    <t>O43768-2</t>
  </si>
  <si>
    <t>O43776</t>
  </si>
  <si>
    <t>O43791</t>
  </si>
  <si>
    <t>O43805</t>
  </si>
  <si>
    <t>O43809</t>
  </si>
  <si>
    <t>O43813</t>
  </si>
  <si>
    <t>O43815</t>
  </si>
  <si>
    <t>O43818</t>
  </si>
  <si>
    <t>O43822-2</t>
  </si>
  <si>
    <t>O43823</t>
  </si>
  <si>
    <t>O43829</t>
  </si>
  <si>
    <t>O43837</t>
  </si>
  <si>
    <t>O43847</t>
  </si>
  <si>
    <t>O43852</t>
  </si>
  <si>
    <t>O43865</t>
  </si>
  <si>
    <t>O43896</t>
  </si>
  <si>
    <t>O43913</t>
  </si>
  <si>
    <t>O43924</t>
  </si>
  <si>
    <t>O43929</t>
  </si>
  <si>
    <t>O43930</t>
  </si>
  <si>
    <t>O43933</t>
  </si>
  <si>
    <t>O60216</t>
  </si>
  <si>
    <t>O60220</t>
  </si>
  <si>
    <t>O60231</t>
  </si>
  <si>
    <t>O60234</t>
  </si>
  <si>
    <t>O60239-2</t>
  </si>
  <si>
    <t>O60244</t>
  </si>
  <si>
    <t>O60256</t>
  </si>
  <si>
    <t>O60264</t>
  </si>
  <si>
    <t>O60271</t>
  </si>
  <si>
    <t>O60271-4</t>
  </si>
  <si>
    <t>O60292</t>
  </si>
  <si>
    <t>O60293-2</t>
  </si>
  <si>
    <t>O60294</t>
  </si>
  <si>
    <t>O60296</t>
  </si>
  <si>
    <t>O60306</t>
  </si>
  <si>
    <t>O60313</t>
  </si>
  <si>
    <t>O60315-2</t>
  </si>
  <si>
    <t>O60318</t>
  </si>
  <si>
    <t>O60333-3</t>
  </si>
  <si>
    <t>O60336-4</t>
  </si>
  <si>
    <t>O60341</t>
  </si>
  <si>
    <t>O60343-2</t>
  </si>
  <si>
    <t>O60344-4</t>
  </si>
  <si>
    <t>O60346</t>
  </si>
  <si>
    <t>O60347</t>
  </si>
  <si>
    <t>O60353-2</t>
  </si>
  <si>
    <t>O60361</t>
  </si>
  <si>
    <t>O60443</t>
  </si>
  <si>
    <t>O60447</t>
  </si>
  <si>
    <t>O60493</t>
  </si>
  <si>
    <t>O60502</t>
  </si>
  <si>
    <t>O60506-2</t>
  </si>
  <si>
    <t>O60547-2</t>
  </si>
  <si>
    <t>O60551</t>
  </si>
  <si>
    <t>O60563</t>
  </si>
  <si>
    <t>O60566</t>
  </si>
  <si>
    <t>O60568</t>
  </si>
  <si>
    <t>O60583-2</t>
  </si>
  <si>
    <t>O60613</t>
  </si>
  <si>
    <t>O60645-2</t>
  </si>
  <si>
    <t>O60664-4</t>
  </si>
  <si>
    <t>O60671</t>
  </si>
  <si>
    <t>O60678</t>
  </si>
  <si>
    <t>O60701</t>
  </si>
  <si>
    <t>O60716-5</t>
  </si>
  <si>
    <t>O60732</t>
  </si>
  <si>
    <t>O60749</t>
  </si>
  <si>
    <t>O60762</t>
  </si>
  <si>
    <t>O60763</t>
  </si>
  <si>
    <t>O60826</t>
  </si>
  <si>
    <t>O60828-2</t>
  </si>
  <si>
    <t>O60829</t>
  </si>
  <si>
    <t>O60832</t>
  </si>
  <si>
    <t>O60841</t>
  </si>
  <si>
    <t>O60869</t>
  </si>
  <si>
    <t>O60870</t>
  </si>
  <si>
    <t>O60884</t>
  </si>
  <si>
    <t>O60885</t>
  </si>
  <si>
    <t>O60888-3</t>
  </si>
  <si>
    <t>O60907-2</t>
  </si>
  <si>
    <t>O60921</t>
  </si>
  <si>
    <t>O60925</t>
  </si>
  <si>
    <t>O60927</t>
  </si>
  <si>
    <t>O60934</t>
  </si>
  <si>
    <t>O60942</t>
  </si>
  <si>
    <t>O75030-12</t>
  </si>
  <si>
    <t>O75037-3</t>
  </si>
  <si>
    <t>O75044</t>
  </si>
  <si>
    <t>O75061-4</t>
  </si>
  <si>
    <t>O75063</t>
  </si>
  <si>
    <t>O75064</t>
  </si>
  <si>
    <t>O75083</t>
  </si>
  <si>
    <t>O75110-2</t>
  </si>
  <si>
    <t>O75113</t>
  </si>
  <si>
    <t>O75116</t>
  </si>
  <si>
    <t>O75131</t>
  </si>
  <si>
    <t>O75132</t>
  </si>
  <si>
    <t>O75143-2</t>
  </si>
  <si>
    <t>O75144</t>
  </si>
  <si>
    <t>O75145-2</t>
  </si>
  <si>
    <t>O75146</t>
  </si>
  <si>
    <t>O75147-2</t>
  </si>
  <si>
    <t>O75150</t>
  </si>
  <si>
    <t>O75151</t>
  </si>
  <si>
    <t>O75152</t>
  </si>
  <si>
    <t>O75154</t>
  </si>
  <si>
    <t>O75155</t>
  </si>
  <si>
    <t>O75157-2</t>
  </si>
  <si>
    <t>O75164</t>
  </si>
  <si>
    <t>O75167-5</t>
  </si>
  <si>
    <t>O75170-2</t>
  </si>
  <si>
    <t>O75175</t>
  </si>
  <si>
    <t>O75177</t>
  </si>
  <si>
    <t>O75182-2</t>
  </si>
  <si>
    <t>O75190</t>
  </si>
  <si>
    <t>O75191</t>
  </si>
  <si>
    <t>O75223</t>
  </si>
  <si>
    <t>O75306-2</t>
  </si>
  <si>
    <t>O75312</t>
  </si>
  <si>
    <t>O75319</t>
  </si>
  <si>
    <t>O75323</t>
  </si>
  <si>
    <t>O75330-2</t>
  </si>
  <si>
    <t>O75340</t>
  </si>
  <si>
    <t>O75347</t>
  </si>
  <si>
    <t>O75348</t>
  </si>
  <si>
    <t>O75351</t>
  </si>
  <si>
    <t>O75356</t>
  </si>
  <si>
    <t>O75362</t>
  </si>
  <si>
    <t>O75367-2</t>
  </si>
  <si>
    <t>O75368</t>
  </si>
  <si>
    <t>O75369-8</t>
  </si>
  <si>
    <t>O75376</t>
  </si>
  <si>
    <t>O75380</t>
  </si>
  <si>
    <t>O75385</t>
  </si>
  <si>
    <t>O75396</t>
  </si>
  <si>
    <t>O75398-4</t>
  </si>
  <si>
    <t>O75400-3</t>
  </si>
  <si>
    <t>O75410-7</t>
  </si>
  <si>
    <t>O75419-2</t>
  </si>
  <si>
    <t>O75420</t>
  </si>
  <si>
    <t>O75427</t>
  </si>
  <si>
    <t>O75436</t>
  </si>
  <si>
    <t>O75439</t>
  </si>
  <si>
    <t>O75446</t>
  </si>
  <si>
    <t>O75449</t>
  </si>
  <si>
    <t>O75475</t>
  </si>
  <si>
    <t>O75489</t>
  </si>
  <si>
    <t>O75503</t>
  </si>
  <si>
    <t>O75506</t>
  </si>
  <si>
    <t>O75521-2</t>
  </si>
  <si>
    <t>O75528</t>
  </si>
  <si>
    <t>O75529</t>
  </si>
  <si>
    <t>O75530-3</t>
  </si>
  <si>
    <t>O75531</t>
  </si>
  <si>
    <t>O75533</t>
  </si>
  <si>
    <t>O75534-2</t>
  </si>
  <si>
    <t>O75554</t>
  </si>
  <si>
    <t>O75575</t>
  </si>
  <si>
    <t>O75586</t>
  </si>
  <si>
    <t>O75600</t>
  </si>
  <si>
    <t>O75607</t>
  </si>
  <si>
    <t>O75608-2</t>
  </si>
  <si>
    <t>O75629</t>
  </si>
  <si>
    <t>O75635-2</t>
  </si>
  <si>
    <t>O75643</t>
  </si>
  <si>
    <t>O75663</t>
  </si>
  <si>
    <t>O75683</t>
  </si>
  <si>
    <t>O75688</t>
  </si>
  <si>
    <t>O75695</t>
  </si>
  <si>
    <t>O75717</t>
  </si>
  <si>
    <t>O75771-3</t>
  </si>
  <si>
    <t>O75781</t>
  </si>
  <si>
    <t>O75791</t>
  </si>
  <si>
    <t>O75792</t>
  </si>
  <si>
    <t>O75794</t>
  </si>
  <si>
    <t>O75807</t>
  </si>
  <si>
    <t>O75808</t>
  </si>
  <si>
    <t>O75818-2</t>
  </si>
  <si>
    <t>O75821</t>
  </si>
  <si>
    <t>O75822</t>
  </si>
  <si>
    <t>O75828</t>
  </si>
  <si>
    <t>O75843</t>
  </si>
  <si>
    <t>O75844</t>
  </si>
  <si>
    <t>O75864-2</t>
  </si>
  <si>
    <t>O75865-2</t>
  </si>
  <si>
    <t>O75874</t>
  </si>
  <si>
    <t>O75884</t>
  </si>
  <si>
    <t>O75886</t>
  </si>
  <si>
    <t>O75909</t>
  </si>
  <si>
    <t>O75925</t>
  </si>
  <si>
    <t>O75928-2</t>
  </si>
  <si>
    <t>O75934</t>
  </si>
  <si>
    <t>O75935-3</t>
  </si>
  <si>
    <t>O75937</t>
  </si>
  <si>
    <t>O75940</t>
  </si>
  <si>
    <t>O75943-3</t>
  </si>
  <si>
    <t>O75947-2</t>
  </si>
  <si>
    <t>O75955</t>
  </si>
  <si>
    <t>O75962-5</t>
  </si>
  <si>
    <t>O76003</t>
  </si>
  <si>
    <t>O76011</t>
  </si>
  <si>
    <t>O76021</t>
  </si>
  <si>
    <t>O76031</t>
  </si>
  <si>
    <t>O76038</t>
  </si>
  <si>
    <t>O76041-2</t>
  </si>
  <si>
    <t>O76064</t>
  </si>
  <si>
    <t>O76071</t>
  </si>
  <si>
    <t>O76075</t>
  </si>
  <si>
    <t>O76080</t>
  </si>
  <si>
    <t>O76094</t>
  </si>
  <si>
    <t>O77932</t>
  </si>
  <si>
    <t>O94761</t>
  </si>
  <si>
    <t>O94762</t>
  </si>
  <si>
    <t>O94763</t>
  </si>
  <si>
    <t>O94763-4</t>
  </si>
  <si>
    <t>O94776</t>
  </si>
  <si>
    <t>O94782</t>
  </si>
  <si>
    <t>O94788</t>
  </si>
  <si>
    <t>O94804</t>
  </si>
  <si>
    <t>O94806</t>
  </si>
  <si>
    <t>O94808</t>
  </si>
  <si>
    <t>O94817</t>
  </si>
  <si>
    <t>O94819</t>
  </si>
  <si>
    <t>O94822</t>
  </si>
  <si>
    <t>O94826</t>
  </si>
  <si>
    <t>O94829</t>
  </si>
  <si>
    <t>O94830</t>
  </si>
  <si>
    <t>O94851-5</t>
  </si>
  <si>
    <t>O94854</t>
  </si>
  <si>
    <t>O94855</t>
  </si>
  <si>
    <t>O94864-2</t>
  </si>
  <si>
    <t>O94874</t>
  </si>
  <si>
    <t>O94876</t>
  </si>
  <si>
    <t>O94880</t>
  </si>
  <si>
    <t>O94888</t>
  </si>
  <si>
    <t>O94889</t>
  </si>
  <si>
    <t>O94903</t>
  </si>
  <si>
    <t>O94906-2</t>
  </si>
  <si>
    <t>O94913</t>
  </si>
  <si>
    <t>O94925-3</t>
  </si>
  <si>
    <t>O94927</t>
  </si>
  <si>
    <t>O94941-2</t>
  </si>
  <si>
    <t>O94953</t>
  </si>
  <si>
    <t>O94964-2</t>
  </si>
  <si>
    <t>O94966-7</t>
  </si>
  <si>
    <t>O94967-2</t>
  </si>
  <si>
    <t>O94973</t>
  </si>
  <si>
    <t>O94979</t>
  </si>
  <si>
    <t>O94988-6</t>
  </si>
  <si>
    <t>O94992</t>
  </si>
  <si>
    <t>O95059</t>
  </si>
  <si>
    <t>O95067</t>
  </si>
  <si>
    <t>O95081-2</t>
  </si>
  <si>
    <t>O95104</t>
  </si>
  <si>
    <t>O95149</t>
  </si>
  <si>
    <t>O95155-2</t>
  </si>
  <si>
    <t>O95163</t>
  </si>
  <si>
    <t>O95202</t>
  </si>
  <si>
    <t>O95218-2</t>
  </si>
  <si>
    <t>O95219</t>
  </si>
  <si>
    <t>O95229</t>
  </si>
  <si>
    <t>O95231</t>
  </si>
  <si>
    <t>O95232</t>
  </si>
  <si>
    <t>O95239</t>
  </si>
  <si>
    <t>O95243-2</t>
  </si>
  <si>
    <t>O95248</t>
  </si>
  <si>
    <t>O95251-4</t>
  </si>
  <si>
    <t>O95273</t>
  </si>
  <si>
    <t>O95292</t>
  </si>
  <si>
    <t>O95295</t>
  </si>
  <si>
    <t>O95302</t>
  </si>
  <si>
    <t>O95336</t>
  </si>
  <si>
    <t>O95347</t>
  </si>
  <si>
    <t>O95352</t>
  </si>
  <si>
    <t>O95363</t>
  </si>
  <si>
    <t>O95372</t>
  </si>
  <si>
    <t>O95373</t>
  </si>
  <si>
    <t>O95376</t>
  </si>
  <si>
    <t>O95379</t>
  </si>
  <si>
    <t>O95391</t>
  </si>
  <si>
    <t>O95394</t>
  </si>
  <si>
    <t>O95396</t>
  </si>
  <si>
    <t>O95397</t>
  </si>
  <si>
    <t>O95399</t>
  </si>
  <si>
    <t>O95400</t>
  </si>
  <si>
    <t>O95402</t>
  </si>
  <si>
    <t>O95405</t>
  </si>
  <si>
    <t>O95429-2</t>
  </si>
  <si>
    <t>O95433</t>
  </si>
  <si>
    <t>O95453-2</t>
  </si>
  <si>
    <t>O95456</t>
  </si>
  <si>
    <t>O95466</t>
  </si>
  <si>
    <t>O95479</t>
  </si>
  <si>
    <t>O95486</t>
  </si>
  <si>
    <t>O95487-2</t>
  </si>
  <si>
    <t>O95544</t>
  </si>
  <si>
    <t>O95551</t>
  </si>
  <si>
    <t>O95568</t>
  </si>
  <si>
    <t>O95571</t>
  </si>
  <si>
    <t>O95573</t>
  </si>
  <si>
    <t>O95602</t>
  </si>
  <si>
    <t>O95613</t>
  </si>
  <si>
    <t>O95619</t>
  </si>
  <si>
    <t>O95620</t>
  </si>
  <si>
    <t>O95625</t>
  </si>
  <si>
    <t>O95628-9</t>
  </si>
  <si>
    <t>O95630</t>
  </si>
  <si>
    <t>O95639</t>
  </si>
  <si>
    <t>O95644-5</t>
  </si>
  <si>
    <t>O95671-2</t>
  </si>
  <si>
    <t>O95684-2</t>
  </si>
  <si>
    <t>O95721</t>
  </si>
  <si>
    <t>O95747</t>
  </si>
  <si>
    <t>O95749</t>
  </si>
  <si>
    <t>O95757</t>
  </si>
  <si>
    <t>O95758-1</t>
  </si>
  <si>
    <t>O95777</t>
  </si>
  <si>
    <t>O95782-2</t>
  </si>
  <si>
    <t>O95801</t>
  </si>
  <si>
    <t>O95816</t>
  </si>
  <si>
    <t>O95817</t>
  </si>
  <si>
    <t>O95822</t>
  </si>
  <si>
    <t>O95825</t>
  </si>
  <si>
    <t>O95831-3</t>
  </si>
  <si>
    <t>O95834-2</t>
  </si>
  <si>
    <t>O95835-2</t>
  </si>
  <si>
    <t>O95861</t>
  </si>
  <si>
    <t>O95865</t>
  </si>
  <si>
    <t>O95881</t>
  </si>
  <si>
    <t>O95905</t>
  </si>
  <si>
    <t>O95926</t>
  </si>
  <si>
    <t>O95983</t>
  </si>
  <si>
    <t>O95985</t>
  </si>
  <si>
    <t>O95989</t>
  </si>
  <si>
    <t>O95999</t>
  </si>
  <si>
    <t>O96007</t>
  </si>
  <si>
    <t>O96008</t>
  </si>
  <si>
    <t>O96013</t>
  </si>
  <si>
    <t>O96017</t>
  </si>
  <si>
    <t>O96018</t>
  </si>
  <si>
    <t>O96019</t>
  </si>
  <si>
    <t>O96028</t>
  </si>
  <si>
    <t>O96033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</si>
  <si>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</si>
  <si>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</si>
  <si>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</si>
  <si>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</si>
  <si>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</si>
  <si>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</si>
  <si>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</si>
  <si>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</si>
  <si>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</si>
  <si>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</si>
  <si>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</si>
  <si>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</si>
  <si>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P00558</t>
  </si>
  <si>
    <t>P00568</t>
  </si>
  <si>
    <t>P00747</t>
  </si>
  <si>
    <t>P00813</t>
  </si>
  <si>
    <t>P00918</t>
  </si>
  <si>
    <t>P00966</t>
  </si>
  <si>
    <t>P01008</t>
  </si>
  <si>
    <t>P01009</t>
  </si>
  <si>
    <t>P01023</t>
  </si>
  <si>
    <t>P01024</t>
  </si>
  <si>
    <t>P01034</t>
  </si>
  <si>
    <t>P01111</t>
  </si>
  <si>
    <t>P01116-2</t>
  </si>
  <si>
    <t>P01137</t>
  </si>
  <si>
    <t>P02008</t>
  </si>
  <si>
    <t>P02042</t>
  </si>
  <si>
    <t>P02100</t>
  </si>
  <si>
    <t>P02533</t>
  </si>
  <si>
    <t>P02538</t>
  </si>
  <si>
    <t>P02545</t>
  </si>
  <si>
    <t>P02549</t>
  </si>
  <si>
    <t>P02649</t>
  </si>
  <si>
    <t>P02656</t>
  </si>
  <si>
    <t>P02765</t>
  </si>
  <si>
    <t>P02768</t>
  </si>
  <si>
    <t>P02774</t>
  </si>
  <si>
    <t>P02786</t>
  </si>
  <si>
    <t>P02794</t>
  </si>
  <si>
    <t>P04004</t>
  </si>
  <si>
    <t>P04040</t>
  </si>
  <si>
    <t>P04066</t>
  </si>
  <si>
    <t>P04075</t>
  </si>
  <si>
    <t>P04080</t>
  </si>
  <si>
    <t>P04083</t>
  </si>
  <si>
    <t>P04150-2</t>
  </si>
  <si>
    <t>P04181</t>
  </si>
  <si>
    <t>P04183</t>
  </si>
  <si>
    <t>P04259</t>
  </si>
  <si>
    <t>P04264</t>
  </si>
  <si>
    <t>P04350</t>
  </si>
  <si>
    <t>P04406</t>
  </si>
  <si>
    <t>P04424</t>
  </si>
  <si>
    <t>P04632</t>
  </si>
  <si>
    <t>P04792</t>
  </si>
  <si>
    <t>P04818</t>
  </si>
  <si>
    <t>P04843</t>
  </si>
  <si>
    <t>P04844-2</t>
  </si>
  <si>
    <t>P04899</t>
  </si>
  <si>
    <t>P04920-2</t>
  </si>
  <si>
    <t>P05023-4</t>
  </si>
  <si>
    <t>P05091</t>
  </si>
  <si>
    <t>P05114</t>
  </si>
  <si>
    <t>P05141</t>
  </si>
  <si>
    <t>P05161</t>
  </si>
  <si>
    <t>P05165-3</t>
  </si>
  <si>
    <t>P05166</t>
  </si>
  <si>
    <t>P05198</t>
  </si>
  <si>
    <t>P05204</t>
  </si>
  <si>
    <t>P05362</t>
  </si>
  <si>
    <t>P05386</t>
  </si>
  <si>
    <t>P05387</t>
  </si>
  <si>
    <t>P05388</t>
  </si>
  <si>
    <t>P05423</t>
  </si>
  <si>
    <t>P05455</t>
  </si>
  <si>
    <t>P05556-2</t>
  </si>
  <si>
    <t>P05771-2</t>
  </si>
  <si>
    <t>P05783</t>
  </si>
  <si>
    <t>P05787</t>
  </si>
  <si>
    <t>P05937</t>
  </si>
  <si>
    <t>P06132</t>
  </si>
  <si>
    <t>P06280</t>
  </si>
  <si>
    <t>P06396-2</t>
  </si>
  <si>
    <t>P06400</t>
  </si>
  <si>
    <t>P06493</t>
  </si>
  <si>
    <t>P06576</t>
  </si>
  <si>
    <t>P06730</t>
  </si>
  <si>
    <t>P06733</t>
  </si>
  <si>
    <t>P06733-2</t>
  </si>
  <si>
    <t>P06737-2</t>
  </si>
  <si>
    <t>P06744</t>
  </si>
  <si>
    <t>P06746</t>
  </si>
  <si>
    <t>P06748</t>
  </si>
  <si>
    <t>P06753-2</t>
  </si>
  <si>
    <t>P06753-3</t>
  </si>
  <si>
    <t>P06753-5</t>
  </si>
  <si>
    <t>P06865</t>
  </si>
  <si>
    <t>P07108</t>
  </si>
  <si>
    <t>P07195</t>
  </si>
  <si>
    <t>P07205</t>
  </si>
  <si>
    <t>P07237</t>
  </si>
  <si>
    <t>P07339</t>
  </si>
  <si>
    <t>P07355</t>
  </si>
  <si>
    <t>P07384</t>
  </si>
  <si>
    <t>P07602</t>
  </si>
  <si>
    <t>P07686</t>
  </si>
  <si>
    <t>P07711</t>
  </si>
  <si>
    <t>P07737</t>
  </si>
  <si>
    <t>P07738</t>
  </si>
  <si>
    <t>P07741</t>
  </si>
  <si>
    <t>P07858</t>
  </si>
  <si>
    <t>P07900</t>
  </si>
  <si>
    <t>P07902</t>
  </si>
  <si>
    <t>P07919</t>
  </si>
  <si>
    <t>P07942</t>
  </si>
  <si>
    <t>P07947</t>
  </si>
  <si>
    <t>P07948</t>
  </si>
  <si>
    <t>P07954-2</t>
  </si>
  <si>
    <t>P07992</t>
  </si>
  <si>
    <t>P08047</t>
  </si>
  <si>
    <t>P08107</t>
  </si>
  <si>
    <t>P08133</t>
  </si>
  <si>
    <t>P08195-2</t>
  </si>
  <si>
    <t>P08237</t>
  </si>
  <si>
    <t>P08238</t>
  </si>
  <si>
    <t>P08240</t>
  </si>
  <si>
    <t>P08243-2</t>
  </si>
  <si>
    <t>P08397-2</t>
  </si>
  <si>
    <t>P08559-3</t>
  </si>
  <si>
    <t>P08575-2</t>
  </si>
  <si>
    <t>P08579</t>
  </si>
  <si>
    <t>P08590</t>
  </si>
  <si>
    <t>P08621</t>
  </si>
  <si>
    <t>P08648</t>
  </si>
  <si>
    <t>P08651-2</t>
  </si>
  <si>
    <t>P08670</t>
  </si>
  <si>
    <t>P08727</t>
  </si>
  <si>
    <t>P08754</t>
  </si>
  <si>
    <t>P08758</t>
  </si>
  <si>
    <t>P08779</t>
  </si>
  <si>
    <t>P09012</t>
  </si>
  <si>
    <t>P09038-2</t>
  </si>
  <si>
    <t>P09105</t>
  </si>
  <si>
    <t>P09110</t>
  </si>
  <si>
    <t>P09132</t>
  </si>
  <si>
    <t>P09211</t>
  </si>
  <si>
    <t>P09234</t>
  </si>
  <si>
    <t>P09327</t>
  </si>
  <si>
    <t>P09382</t>
  </si>
  <si>
    <t>P09417</t>
  </si>
  <si>
    <t>P09429</t>
  </si>
  <si>
    <t>P09496-2</t>
  </si>
  <si>
    <t>P09497-2</t>
  </si>
  <si>
    <t>P09525</t>
  </si>
  <si>
    <t>P09543-2</t>
  </si>
  <si>
    <t>P09622</t>
  </si>
  <si>
    <t>P09651-3</t>
  </si>
  <si>
    <t>P09661</t>
  </si>
  <si>
    <t>P09668</t>
  </si>
  <si>
    <t>P09874</t>
  </si>
  <si>
    <t>P09884</t>
  </si>
  <si>
    <t>P09917</t>
  </si>
  <si>
    <t>P09960</t>
  </si>
  <si>
    <t>P09972</t>
  </si>
  <si>
    <t>P0C7T5</t>
  </si>
  <si>
    <t>P0CAP2</t>
  </si>
  <si>
    <t>P0CG12</t>
  </si>
  <si>
    <t>P0CG13</t>
  </si>
  <si>
    <t>P0CJ79</t>
  </si>
  <si>
    <t>P0CL82</t>
  </si>
  <si>
    <t>P0CW22</t>
  </si>
  <si>
    <t>P0DI82</t>
  </si>
  <si>
    <t>P10073</t>
  </si>
  <si>
    <t>P10109</t>
  </si>
  <si>
    <t>P10155</t>
  </si>
  <si>
    <t>P10242-11</t>
  </si>
  <si>
    <t>P10244</t>
  </si>
  <si>
    <t>P10253</t>
  </si>
  <si>
    <t>P10398</t>
  </si>
  <si>
    <t>P10515</t>
  </si>
  <si>
    <t>P10588</t>
  </si>
  <si>
    <t>P10599</t>
  </si>
  <si>
    <t>P10606</t>
  </si>
  <si>
    <t>P10619</t>
  </si>
  <si>
    <t>P10636-2</t>
  </si>
  <si>
    <t>P10644</t>
  </si>
  <si>
    <t>P10646-2</t>
  </si>
  <si>
    <t>P10746</t>
  </si>
  <si>
    <t>P10768</t>
  </si>
  <si>
    <t>P10809</t>
  </si>
  <si>
    <t>P11021</t>
  </si>
  <si>
    <t>P11086</t>
  </si>
  <si>
    <t>P11137-3</t>
  </si>
  <si>
    <t>P11142</t>
  </si>
  <si>
    <t>P11171</t>
  </si>
  <si>
    <t>P11171-2</t>
  </si>
  <si>
    <t>P11171-4</t>
  </si>
  <si>
    <t>P11172</t>
  </si>
  <si>
    <t>P11177-3</t>
  </si>
  <si>
    <t>P11216</t>
  </si>
  <si>
    <t>P11233</t>
  </si>
  <si>
    <t>P11234</t>
  </si>
  <si>
    <t>P11274</t>
  </si>
  <si>
    <t>P11277-3</t>
  </si>
  <si>
    <t>P11279</t>
  </si>
  <si>
    <t>P11310</t>
  </si>
  <si>
    <t>P11387</t>
  </si>
  <si>
    <t>P11388</t>
  </si>
  <si>
    <t>P11413</t>
  </si>
  <si>
    <t>P11441</t>
  </si>
  <si>
    <t>P11498</t>
  </si>
  <si>
    <t>P11532-3</t>
  </si>
  <si>
    <t>P11717</t>
  </si>
  <si>
    <t>P11766</t>
  </si>
  <si>
    <t>P11802</t>
  </si>
  <si>
    <t>P11908</t>
  </si>
  <si>
    <t>P11940</t>
  </si>
  <si>
    <t>P12004</t>
  </si>
  <si>
    <t>P12036</t>
  </si>
  <si>
    <t>P12081</t>
  </si>
  <si>
    <t>P12236</t>
  </si>
  <si>
    <t>P12270</t>
  </si>
  <si>
    <t>P12277</t>
  </si>
  <si>
    <t>P12429</t>
  </si>
  <si>
    <t>P12532</t>
  </si>
  <si>
    <t>P12694</t>
  </si>
  <si>
    <t>P12757-3</t>
  </si>
  <si>
    <t>P12814</t>
  </si>
  <si>
    <t>P12882</t>
  </si>
  <si>
    <t>P12955</t>
  </si>
  <si>
    <t>P12956</t>
  </si>
  <si>
    <t>P12980</t>
  </si>
  <si>
    <t>P13010</t>
  </si>
  <si>
    <t>P13073</t>
  </si>
  <si>
    <t>P13284</t>
  </si>
  <si>
    <t>P13489</t>
  </si>
  <si>
    <t>P13498</t>
  </si>
  <si>
    <t>P13639</t>
  </si>
  <si>
    <t>P13645</t>
  </si>
  <si>
    <t>P13647</t>
  </si>
  <si>
    <t>P13667</t>
  </si>
  <si>
    <t>P13674-2</t>
  </si>
  <si>
    <t>P13682</t>
  </si>
  <si>
    <t>P13693</t>
  </si>
  <si>
    <t>P13796</t>
  </si>
  <si>
    <t>P13798</t>
  </si>
  <si>
    <t>P13804</t>
  </si>
  <si>
    <t>P13861</t>
  </si>
  <si>
    <t>P13929-3</t>
  </si>
  <si>
    <t>P13984</t>
  </si>
  <si>
    <t>P13995</t>
  </si>
  <si>
    <t>P14174</t>
  </si>
  <si>
    <t>P14209-3</t>
  </si>
  <si>
    <t>P14314-2</t>
  </si>
  <si>
    <t>P14317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</si>
  <si>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</si>
  <si>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</si>
  <si>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</si>
  <si>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</si>
  <si>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</si>
  <si>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</si>
  <si>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</si>
  <si>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</si>
  <si>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</t>
  </si>
  <si>
    <t>P14735</t>
  </si>
  <si>
    <t>P14854</t>
  </si>
  <si>
    <t>P14866</t>
  </si>
  <si>
    <t>P14868</t>
  </si>
  <si>
    <t>P14923</t>
  </si>
  <si>
    <t>P14927</t>
  </si>
  <si>
    <t>P15056</t>
  </si>
  <si>
    <t>P15104</t>
  </si>
  <si>
    <t>P15151-3</t>
  </si>
  <si>
    <t>P15153</t>
  </si>
  <si>
    <t>P15170-2</t>
  </si>
  <si>
    <t>P15289</t>
  </si>
  <si>
    <t>P15311</t>
  </si>
  <si>
    <t>P15374</t>
  </si>
  <si>
    <t>P15407</t>
  </si>
  <si>
    <t>P15498</t>
  </si>
  <si>
    <t>P15529-15</t>
  </si>
  <si>
    <t>P15531</t>
  </si>
  <si>
    <t>P15735-2</t>
  </si>
  <si>
    <t>P15822</t>
  </si>
  <si>
    <t>P15848</t>
  </si>
  <si>
    <t>P15880</t>
  </si>
  <si>
    <t>P15884-5</t>
  </si>
  <si>
    <t>P15923-2</t>
  </si>
  <si>
    <t>P15924</t>
  </si>
  <si>
    <t>P15927</t>
  </si>
  <si>
    <t>P15976-3</t>
  </si>
  <si>
    <t>P16083</t>
  </si>
  <si>
    <t>P16150</t>
  </si>
  <si>
    <t>P16152</t>
  </si>
  <si>
    <t>P16157-10</t>
  </si>
  <si>
    <t>P16219</t>
  </si>
  <si>
    <t>P16278-3</t>
  </si>
  <si>
    <t>P16298</t>
  </si>
  <si>
    <t>P16333</t>
  </si>
  <si>
    <t>P16383</t>
  </si>
  <si>
    <t>P16401</t>
  </si>
  <si>
    <t>P16403</t>
  </si>
  <si>
    <t>P16591</t>
  </si>
  <si>
    <t>P16615</t>
  </si>
  <si>
    <t>P16885</t>
  </si>
  <si>
    <t>P16930</t>
  </si>
  <si>
    <t>P16949</t>
  </si>
  <si>
    <t>P16989</t>
  </si>
  <si>
    <t>P17017</t>
  </si>
  <si>
    <t>P17026</t>
  </si>
  <si>
    <t>P17028</t>
  </si>
  <si>
    <t>P17029</t>
  </si>
  <si>
    <t>P17050</t>
  </si>
  <si>
    <t>P17066</t>
  </si>
  <si>
    <t>P17096-2</t>
  </si>
  <si>
    <t>P17098</t>
  </si>
  <si>
    <t>P17152</t>
  </si>
  <si>
    <t>P17174</t>
  </si>
  <si>
    <t>P17252</t>
  </si>
  <si>
    <t>P17275</t>
  </si>
  <si>
    <t>P17480-2</t>
  </si>
  <si>
    <t>P17482</t>
  </si>
  <si>
    <t>P17483</t>
  </si>
  <si>
    <t>P17535</t>
  </si>
  <si>
    <t>P17542</t>
  </si>
  <si>
    <t>P17544-4</t>
  </si>
  <si>
    <t>P17612</t>
  </si>
  <si>
    <t>P17655</t>
  </si>
  <si>
    <t>P17661</t>
  </si>
  <si>
    <t>P17676</t>
  </si>
  <si>
    <t>P17706-2</t>
  </si>
  <si>
    <t>P17707</t>
  </si>
  <si>
    <t>P17812</t>
  </si>
  <si>
    <t>P17844</t>
  </si>
  <si>
    <t>P17858</t>
  </si>
  <si>
    <t>P17861</t>
  </si>
  <si>
    <t>P17900</t>
  </si>
  <si>
    <t>P17931</t>
  </si>
  <si>
    <t>P17987</t>
  </si>
  <si>
    <t>P18031</t>
  </si>
  <si>
    <t>P18065</t>
  </si>
  <si>
    <t>P18085</t>
  </si>
  <si>
    <t>P18124</t>
  </si>
  <si>
    <t>P18146</t>
  </si>
  <si>
    <t>P18206-2</t>
  </si>
  <si>
    <t>P18440</t>
  </si>
  <si>
    <t>P18583-7</t>
  </si>
  <si>
    <t>P18615</t>
  </si>
  <si>
    <t>P18669</t>
  </si>
  <si>
    <t>P18754</t>
  </si>
  <si>
    <t>P18846</t>
  </si>
  <si>
    <t>P18850</t>
  </si>
  <si>
    <t>P18859</t>
  </si>
  <si>
    <t>P18887</t>
  </si>
  <si>
    <t>P19105</t>
  </si>
  <si>
    <t>P19174-2</t>
  </si>
  <si>
    <t>P19338</t>
  </si>
  <si>
    <t>P19367-2</t>
  </si>
  <si>
    <t>P19367-4</t>
  </si>
  <si>
    <t>P19387</t>
  </si>
  <si>
    <t>P19388</t>
  </si>
  <si>
    <t>P19404</t>
  </si>
  <si>
    <t>P19447</t>
  </si>
  <si>
    <t>P19525</t>
  </si>
  <si>
    <t>P19532</t>
  </si>
  <si>
    <t>P19544-2</t>
  </si>
  <si>
    <t>P19623</t>
  </si>
  <si>
    <t>P19784</t>
  </si>
  <si>
    <t>P19838</t>
  </si>
  <si>
    <t>P20042</t>
  </si>
  <si>
    <t>P20138-3</t>
  </si>
  <si>
    <t>P20226-2</t>
  </si>
  <si>
    <t>P20248</t>
  </si>
  <si>
    <t>P20290</t>
  </si>
  <si>
    <t>P20333</t>
  </si>
  <si>
    <t>P20337</t>
  </si>
  <si>
    <t>P20338</t>
  </si>
  <si>
    <t>P20340-2</t>
  </si>
  <si>
    <t>P20585</t>
  </si>
  <si>
    <t>P20618</t>
  </si>
  <si>
    <t>P20674</t>
  </si>
  <si>
    <t>P20700</t>
  </si>
  <si>
    <t>P20749</t>
  </si>
  <si>
    <t>P20933</t>
  </si>
  <si>
    <t>P20936-2</t>
  </si>
  <si>
    <t>P20962</t>
  </si>
  <si>
    <t>P21127</t>
  </si>
  <si>
    <t>P21266</t>
  </si>
  <si>
    <t>P21281</t>
  </si>
  <si>
    <t>P21283</t>
  </si>
  <si>
    <t>P21291</t>
  </si>
  <si>
    <t>P21333-2</t>
  </si>
  <si>
    <t>P21359-2</t>
  </si>
  <si>
    <t>P21399</t>
  </si>
  <si>
    <t>P21675</t>
  </si>
  <si>
    <t>P21796</t>
  </si>
  <si>
    <t>P21964-2</t>
  </si>
  <si>
    <t>P21980</t>
  </si>
  <si>
    <t>P22033</t>
  </si>
  <si>
    <t>P22059</t>
  </si>
  <si>
    <t>P22061-2</t>
  </si>
  <si>
    <t>P22102</t>
  </si>
  <si>
    <t>P22234</t>
  </si>
  <si>
    <t>P22307-6</t>
  </si>
  <si>
    <t>P22314</t>
  </si>
  <si>
    <t>P22392-2</t>
  </si>
  <si>
    <t>P22532</t>
  </si>
  <si>
    <t>P22570</t>
  </si>
  <si>
    <t>P22626</t>
  </si>
  <si>
    <t>P22670</t>
  </si>
  <si>
    <t>P22681</t>
  </si>
  <si>
    <t>P22694-4</t>
  </si>
  <si>
    <t>P22830</t>
  </si>
  <si>
    <t>P23025</t>
  </si>
  <si>
    <t>P23142-3</t>
  </si>
  <si>
    <t>P23193</t>
  </si>
  <si>
    <t>P23246</t>
  </si>
  <si>
    <t>P23258</t>
  </si>
  <si>
    <t>P23284</t>
  </si>
  <si>
    <t>P23297</t>
  </si>
  <si>
    <t>P23368</t>
  </si>
  <si>
    <t>P23381</t>
  </si>
  <si>
    <t>P23396</t>
  </si>
  <si>
    <t>P23409</t>
  </si>
  <si>
    <t>P23434</t>
  </si>
  <si>
    <t>P23470-2</t>
  </si>
  <si>
    <t>P23497</t>
  </si>
  <si>
    <t>P23511-2</t>
  </si>
  <si>
    <t>P23526</t>
  </si>
  <si>
    <t>P23528</t>
  </si>
  <si>
    <t>P23588</t>
  </si>
  <si>
    <t>P23610</t>
  </si>
  <si>
    <t>P23634-7</t>
  </si>
  <si>
    <t>P23677</t>
  </si>
  <si>
    <t>P23769-2</t>
  </si>
  <si>
    <t>P23786</t>
  </si>
  <si>
    <t>P23919</t>
  </si>
  <si>
    <t>P23921</t>
  </si>
  <si>
    <t>P24534</t>
  </si>
  <si>
    <t>P24666</t>
  </si>
  <si>
    <t>P24752</t>
  </si>
  <si>
    <t>P24928</t>
  </si>
  <si>
    <t>P24941</t>
  </si>
  <si>
    <t>P25054-2</t>
  </si>
  <si>
    <t>P25098</t>
  </si>
  <si>
    <t>P25205</t>
  </si>
  <si>
    <t>P25398</t>
  </si>
  <si>
    <t>P25440</t>
  </si>
  <si>
    <t>P25685</t>
  </si>
  <si>
    <t>P25705</t>
  </si>
  <si>
    <t>P25774-2</t>
  </si>
  <si>
    <t>P25786</t>
  </si>
  <si>
    <t>P25787</t>
  </si>
  <si>
    <t>P25788-2</t>
  </si>
  <si>
    <t>P25789</t>
  </si>
  <si>
    <t>P25791</t>
  </si>
  <si>
    <t>P25815</t>
  </si>
  <si>
    <t>P26038</t>
  </si>
  <si>
    <t>P26196</t>
  </si>
  <si>
    <t>P26358</t>
  </si>
  <si>
    <t>P26358-2</t>
  </si>
  <si>
    <t>P26368-2</t>
  </si>
  <si>
    <t>P26373</t>
  </si>
  <si>
    <t>P26374</t>
  </si>
  <si>
    <t>P26583</t>
  </si>
  <si>
    <t>P26599</t>
  </si>
  <si>
    <t>P26639</t>
  </si>
  <si>
    <t>P26640</t>
  </si>
  <si>
    <t>P26641</t>
  </si>
  <si>
    <t>P26651</t>
  </si>
  <si>
    <t>P26885</t>
  </si>
  <si>
    <t>P27144</t>
  </si>
  <si>
    <t>P27348</t>
  </si>
  <si>
    <t>P27361</t>
  </si>
  <si>
    <t>P27448-8</t>
  </si>
  <si>
    <t>P27540-2</t>
  </si>
  <si>
    <t>P27694</t>
  </si>
  <si>
    <t>P27695</t>
  </si>
  <si>
    <t>P27707</t>
  </si>
  <si>
    <t>P27797</t>
  </si>
  <si>
    <t>P27815-6</t>
  </si>
  <si>
    <t>P27816</t>
  </si>
  <si>
    <t>P27824</t>
  </si>
  <si>
    <t>P27986</t>
  </si>
  <si>
    <t>P28062-2</t>
  </si>
  <si>
    <t>P28066</t>
  </si>
  <si>
    <t>P28070</t>
  </si>
  <si>
    <t>P28072</t>
  </si>
  <si>
    <t>P28074</t>
  </si>
  <si>
    <t>P28161-2</t>
  </si>
  <si>
    <t>P28289</t>
  </si>
  <si>
    <t>P28331-4</t>
  </si>
  <si>
    <t>P28340</t>
  </si>
  <si>
    <t>P28482</t>
  </si>
  <si>
    <t>P28702</t>
  </si>
  <si>
    <t>P28715</t>
  </si>
  <si>
    <t>P28749</t>
  </si>
  <si>
    <t>P28799</t>
  </si>
  <si>
    <t>P28838-2</t>
  </si>
  <si>
    <t>P28908</t>
  </si>
  <si>
    <t>P29083</t>
  </si>
  <si>
    <t>P29084</t>
  </si>
  <si>
    <t>P29144</t>
  </si>
  <si>
    <t>P29218</t>
  </si>
  <si>
    <t>P29350</t>
  </si>
  <si>
    <t>P29353-2</t>
  </si>
  <si>
    <t>P29353-7</t>
  </si>
  <si>
    <t>P29372-5</t>
  </si>
  <si>
    <t>P29374-3</t>
  </si>
  <si>
    <t>P29375</t>
  </si>
  <si>
    <t>P29401</t>
  </si>
  <si>
    <t>P29590</t>
  </si>
  <si>
    <t>P29590-8</t>
  </si>
  <si>
    <t>P29692</t>
  </si>
  <si>
    <t>P29692-2</t>
  </si>
  <si>
    <t>P29692-3</t>
  </si>
  <si>
    <t>P29966</t>
  </si>
  <si>
    <t>P30038</t>
  </si>
  <si>
    <t>P30040</t>
  </si>
  <si>
    <t>P30041</t>
  </si>
  <si>
    <t>P30042</t>
  </si>
  <si>
    <t>P30043</t>
  </si>
  <si>
    <t>P30044-2</t>
  </si>
  <si>
    <t>P30046</t>
  </si>
  <si>
    <t>P30047</t>
  </si>
  <si>
    <t>P30049</t>
  </si>
  <si>
    <t>P30050</t>
  </si>
  <si>
    <t>P30084</t>
  </si>
  <si>
    <t>P30085</t>
  </si>
  <si>
    <t>P30086</t>
  </si>
  <si>
    <t>P30153</t>
  </si>
  <si>
    <t>P30154</t>
  </si>
  <si>
    <t>P30260</t>
  </si>
  <si>
    <t>P30279</t>
  </si>
  <si>
    <t>P30281</t>
  </si>
  <si>
    <t>P30291</t>
  </si>
  <si>
    <t>P30307</t>
  </si>
  <si>
    <t>P30405</t>
  </si>
  <si>
    <t>P30414</t>
  </si>
  <si>
    <t>P30419</t>
  </si>
  <si>
    <t>P30520</t>
  </si>
  <si>
    <t>P30533</t>
  </si>
  <si>
    <t>P30566</t>
  </si>
  <si>
    <t>P30613</t>
  </si>
  <si>
    <t>P30622-2</t>
  </si>
  <si>
    <t>P30711</t>
  </si>
  <si>
    <t>P30740</t>
  </si>
  <si>
    <t>P30837</t>
  </si>
  <si>
    <t>P31040</t>
  </si>
  <si>
    <t>P31146</t>
  </si>
  <si>
    <t>P31150</t>
  </si>
  <si>
    <t>P31153</t>
  </si>
  <si>
    <t>P31321</t>
  </si>
  <si>
    <t>P31323</t>
  </si>
  <si>
    <t>P31327</t>
  </si>
  <si>
    <t>P31350</t>
  </si>
  <si>
    <t>P31629</t>
  </si>
  <si>
    <t>P31689</t>
  </si>
  <si>
    <t>P31749</t>
  </si>
  <si>
    <t>P31751</t>
  </si>
  <si>
    <t>P31930</t>
  </si>
  <si>
    <t>P31937</t>
  </si>
  <si>
    <t>P31939</t>
  </si>
  <si>
    <t>P31942-2</t>
  </si>
  <si>
    <t>P31943</t>
  </si>
  <si>
    <t>P31944</t>
  </si>
  <si>
    <t>P31946-2</t>
  </si>
  <si>
    <t>P31947-2</t>
  </si>
  <si>
    <t>P31948</t>
  </si>
  <si>
    <t>P31949</t>
  </si>
  <si>
    <t>P32019-2</t>
  </si>
  <si>
    <t>P32119</t>
  </si>
  <si>
    <t>P32121-5</t>
  </si>
  <si>
    <t>P32321</t>
  </si>
  <si>
    <t>P32322</t>
  </si>
  <si>
    <t>P32456</t>
  </si>
  <si>
    <t>P32519-2</t>
  </si>
  <si>
    <t>P32780</t>
  </si>
  <si>
    <t>P32929</t>
  </si>
  <si>
    <t>P33121-2</t>
  </si>
  <si>
    <t>P33176</t>
  </si>
  <si>
    <t>P33240-2</t>
  </si>
  <si>
    <t>P33316</t>
  </si>
  <si>
    <t>P33316-2</t>
  </si>
  <si>
    <t>P33552</t>
  </si>
  <si>
    <t>P33981-2</t>
  </si>
  <si>
    <t>P33991</t>
  </si>
  <si>
    <t>P33992</t>
  </si>
  <si>
    <t>P33993</t>
  </si>
  <si>
    <t>P34059</t>
  </si>
  <si>
    <t>P34896-2</t>
  </si>
  <si>
    <t>P34897-3</t>
  </si>
  <si>
    <t>P34910</t>
  </si>
  <si>
    <t>P34913</t>
  </si>
  <si>
    <t>P34932</t>
  </si>
  <si>
    <t>P35219</t>
  </si>
  <si>
    <t>P35221</t>
  </si>
  <si>
    <t>P35227</t>
  </si>
  <si>
    <t>P35232</t>
  </si>
  <si>
    <t>P35236</t>
  </si>
  <si>
    <t>P35237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</si>
  <si>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</si>
  <si>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</si>
  <si>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</si>
  <si>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</si>
  <si>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</si>
  <si>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</si>
  <si>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</si>
  <si>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</si>
  <si>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P35453</t>
  </si>
  <si>
    <t>P35520</t>
  </si>
  <si>
    <t>P35527</t>
  </si>
  <si>
    <t>P35568</t>
  </si>
  <si>
    <t>P35573-2</t>
  </si>
  <si>
    <t>P35579</t>
  </si>
  <si>
    <t>P35579-2</t>
  </si>
  <si>
    <t>P35580</t>
  </si>
  <si>
    <t>P35606</t>
  </si>
  <si>
    <t>P35611</t>
  </si>
  <si>
    <t>P35612</t>
  </si>
  <si>
    <t>P35613-2</t>
  </si>
  <si>
    <t>P35637-2</t>
  </si>
  <si>
    <t>P35658-4</t>
  </si>
  <si>
    <t>P35712</t>
  </si>
  <si>
    <t>P35754</t>
  </si>
  <si>
    <t>P35790-2</t>
  </si>
  <si>
    <t>P35813</t>
  </si>
  <si>
    <t>P35869</t>
  </si>
  <si>
    <t>P35908</t>
  </si>
  <si>
    <t>P35998</t>
  </si>
  <si>
    <t>P36404</t>
  </si>
  <si>
    <t>P36405</t>
  </si>
  <si>
    <t>P36406-3</t>
  </si>
  <si>
    <t>P36507</t>
  </si>
  <si>
    <t>P36543</t>
  </si>
  <si>
    <t>P36551</t>
  </si>
  <si>
    <t>P36578</t>
  </si>
  <si>
    <t>P36639-4</t>
  </si>
  <si>
    <t>P36873</t>
  </si>
  <si>
    <t>P36915</t>
  </si>
  <si>
    <t>P36954</t>
  </si>
  <si>
    <t>P36957</t>
  </si>
  <si>
    <t>P36959</t>
  </si>
  <si>
    <t>P36969-2</t>
  </si>
  <si>
    <t>P37108</t>
  </si>
  <si>
    <t>P37198</t>
  </si>
  <si>
    <t>P37235</t>
  </si>
  <si>
    <t>P37802</t>
  </si>
  <si>
    <t>P37837</t>
  </si>
  <si>
    <t>P37840-2</t>
  </si>
  <si>
    <t>P38117</t>
  </si>
  <si>
    <t>P38159</t>
  </si>
  <si>
    <t>P38398-4</t>
  </si>
  <si>
    <t>P38432</t>
  </si>
  <si>
    <t>P38606</t>
  </si>
  <si>
    <t>P38646</t>
  </si>
  <si>
    <t>P38919</t>
  </si>
  <si>
    <t>P38935</t>
  </si>
  <si>
    <t>P39019</t>
  </si>
  <si>
    <t>P39023</t>
  </si>
  <si>
    <t>P39656</t>
  </si>
  <si>
    <t>P39687</t>
  </si>
  <si>
    <t>P39748</t>
  </si>
  <si>
    <t>P39880-3</t>
  </si>
  <si>
    <t>P40121-2</t>
  </si>
  <si>
    <t>P40189-3</t>
  </si>
  <si>
    <t>P40222</t>
  </si>
  <si>
    <t>P40227</t>
  </si>
  <si>
    <t>P40306</t>
  </si>
  <si>
    <t>P40337-3</t>
  </si>
  <si>
    <t>P40425</t>
  </si>
  <si>
    <t>P40429</t>
  </si>
  <si>
    <t>P40692</t>
  </si>
  <si>
    <t>P40763</t>
  </si>
  <si>
    <t>P40763-2</t>
  </si>
  <si>
    <t>P40818</t>
  </si>
  <si>
    <t>P40925</t>
  </si>
  <si>
    <t>P40926</t>
  </si>
  <si>
    <t>P40937</t>
  </si>
  <si>
    <t>P40938</t>
  </si>
  <si>
    <t>P40939</t>
  </si>
  <si>
    <t>P41091</t>
  </si>
  <si>
    <t>P41162</t>
  </si>
  <si>
    <t>P41208</t>
  </si>
  <si>
    <t>P41212</t>
  </si>
  <si>
    <t>P41214</t>
  </si>
  <si>
    <t>P41223</t>
  </si>
  <si>
    <t>P41226</t>
  </si>
  <si>
    <t>P41227-2</t>
  </si>
  <si>
    <t>P41229-2</t>
  </si>
  <si>
    <t>P41236</t>
  </si>
  <si>
    <t>P41240</t>
  </si>
  <si>
    <t>P41250</t>
  </si>
  <si>
    <t>P41252</t>
  </si>
  <si>
    <t>P41567</t>
  </si>
  <si>
    <t>P41743</t>
  </si>
  <si>
    <t>P42025</t>
  </si>
  <si>
    <t>P42126-2</t>
  </si>
  <si>
    <t>P42166</t>
  </si>
  <si>
    <t>P42167</t>
  </si>
  <si>
    <t>P42224</t>
  </si>
  <si>
    <t>P42226</t>
  </si>
  <si>
    <t>P42285</t>
  </si>
  <si>
    <t>P42330</t>
  </si>
  <si>
    <t>P42331-6</t>
  </si>
  <si>
    <t>P42336</t>
  </si>
  <si>
    <t>P42338</t>
  </si>
  <si>
    <t>P42345</t>
  </si>
  <si>
    <t>P42356</t>
  </si>
  <si>
    <t>P42566</t>
  </si>
  <si>
    <t>P42574</t>
  </si>
  <si>
    <t>P42575</t>
  </si>
  <si>
    <t>P42677</t>
  </si>
  <si>
    <t>P42679-3</t>
  </si>
  <si>
    <t>P42680</t>
  </si>
  <si>
    <t>P42684-6</t>
  </si>
  <si>
    <t>P42694</t>
  </si>
  <si>
    <t>P42695</t>
  </si>
  <si>
    <t>P42696-2</t>
  </si>
  <si>
    <t>P42704</t>
  </si>
  <si>
    <t>P42765</t>
  </si>
  <si>
    <t>P42768</t>
  </si>
  <si>
    <t>P42773</t>
  </si>
  <si>
    <t>P42785</t>
  </si>
  <si>
    <t>P42858</t>
  </si>
  <si>
    <t>P43034</t>
  </si>
  <si>
    <t>P43155-3</t>
  </si>
  <si>
    <t>P43246</t>
  </si>
  <si>
    <t>P43355</t>
  </si>
  <si>
    <t>P43356</t>
  </si>
  <si>
    <t>P43358</t>
  </si>
  <si>
    <t>P43378</t>
  </si>
  <si>
    <t>P43405-2</t>
  </si>
  <si>
    <t>P43487</t>
  </si>
  <si>
    <t>P43490</t>
  </si>
  <si>
    <t>P43686</t>
  </si>
  <si>
    <t>P43897</t>
  </si>
  <si>
    <t>P45880</t>
  </si>
  <si>
    <t>P45973</t>
  </si>
  <si>
    <t>P45974-2</t>
  </si>
  <si>
    <t>P45983-3</t>
  </si>
  <si>
    <t>P45984-2</t>
  </si>
  <si>
    <t>P45985</t>
  </si>
  <si>
    <t>P46013</t>
  </si>
  <si>
    <t>P46020-3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</si>
  <si>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</si>
  <si>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</si>
  <si>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</si>
  <si>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</si>
  <si>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</si>
  <si>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</si>
  <si>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</si>
  <si>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</si>
  <si>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P46531</t>
  </si>
  <si>
    <t>P46734-2</t>
  </si>
  <si>
    <t>P46736-2</t>
  </si>
  <si>
    <t>P46777</t>
  </si>
  <si>
    <t>P46779-4</t>
  </si>
  <si>
    <t>P46781</t>
  </si>
  <si>
    <t>P46783</t>
  </si>
  <si>
    <t>P46821</t>
  </si>
  <si>
    <t>P46926</t>
  </si>
  <si>
    <t>P46934-4</t>
  </si>
  <si>
    <t>P46939</t>
  </si>
  <si>
    <t>P46940</t>
  </si>
  <si>
    <t>P46976-2</t>
  </si>
  <si>
    <t>P46977</t>
  </si>
  <si>
    <t>P47224</t>
  </si>
  <si>
    <t>P47712</t>
  </si>
  <si>
    <t>P47736</t>
  </si>
  <si>
    <t>P47755</t>
  </si>
  <si>
    <t>P47813</t>
  </si>
  <si>
    <t>P47897</t>
  </si>
  <si>
    <t>P47914</t>
  </si>
  <si>
    <t>P47974</t>
  </si>
  <si>
    <t>P47985</t>
  </si>
  <si>
    <t>P48059</t>
  </si>
  <si>
    <t>P48147</t>
  </si>
  <si>
    <t>P48163</t>
  </si>
  <si>
    <t>P48200</t>
  </si>
  <si>
    <t>P48378-2</t>
  </si>
  <si>
    <t>P48382</t>
  </si>
  <si>
    <t>P48444</t>
  </si>
  <si>
    <t>P48454</t>
  </si>
  <si>
    <t>P48506</t>
  </si>
  <si>
    <t>P48507</t>
  </si>
  <si>
    <t>P48634</t>
  </si>
  <si>
    <t>P48637</t>
  </si>
  <si>
    <t>P48643</t>
  </si>
  <si>
    <t>P48651</t>
  </si>
  <si>
    <t>P48681</t>
  </si>
  <si>
    <t>P48723</t>
  </si>
  <si>
    <t>P48729</t>
  </si>
  <si>
    <t>P48730</t>
  </si>
  <si>
    <t>P48736</t>
  </si>
  <si>
    <t>P48739</t>
  </si>
  <si>
    <t>P49005</t>
  </si>
  <si>
    <t>P49006</t>
  </si>
  <si>
    <t>P49116</t>
  </si>
  <si>
    <t>P49116-2</t>
  </si>
  <si>
    <t>P49137</t>
  </si>
  <si>
    <t>P49189</t>
  </si>
  <si>
    <t>P49207</t>
  </si>
  <si>
    <t>P49247</t>
  </si>
  <si>
    <t>P49257</t>
  </si>
  <si>
    <t>P49321</t>
  </si>
  <si>
    <t>P49327</t>
  </si>
  <si>
    <t>P49336-2</t>
  </si>
  <si>
    <t>P49354</t>
  </si>
  <si>
    <t>P49366</t>
  </si>
  <si>
    <t>P49368</t>
  </si>
  <si>
    <t>P49407</t>
  </si>
  <si>
    <t>P49407-2</t>
  </si>
  <si>
    <t>P49411</t>
  </si>
  <si>
    <t>P49427</t>
  </si>
  <si>
    <t>P49441</t>
  </si>
  <si>
    <t>P49448</t>
  </si>
  <si>
    <t>P49454</t>
  </si>
  <si>
    <t>P49458</t>
  </si>
  <si>
    <t>P49459</t>
  </si>
  <si>
    <t>P49585</t>
  </si>
  <si>
    <t>P49588</t>
  </si>
  <si>
    <t>P49589-3</t>
  </si>
  <si>
    <t>P49591</t>
  </si>
  <si>
    <t>P49593</t>
  </si>
  <si>
    <t>P49642</t>
  </si>
  <si>
    <t>P49643</t>
  </si>
  <si>
    <t>P49662-2</t>
  </si>
  <si>
    <t>P49674</t>
  </si>
  <si>
    <t>P49711</t>
  </si>
  <si>
    <t>P49716</t>
  </si>
  <si>
    <t>P49720</t>
  </si>
  <si>
    <t>P49721</t>
  </si>
  <si>
    <t>P49736</t>
  </si>
  <si>
    <t>P49748</t>
  </si>
  <si>
    <t>P49750-4</t>
  </si>
  <si>
    <t>P49755</t>
  </si>
  <si>
    <t>P49756</t>
  </si>
  <si>
    <t>P49757-3</t>
  </si>
  <si>
    <t>P49770</t>
  </si>
  <si>
    <t>P49773</t>
  </si>
  <si>
    <t>P49789</t>
  </si>
  <si>
    <t>P49792</t>
  </si>
  <si>
    <t>P49796-4</t>
  </si>
  <si>
    <t>P49841</t>
  </si>
  <si>
    <t>P49848-2</t>
  </si>
  <si>
    <t>P49902</t>
  </si>
  <si>
    <t>P49903</t>
  </si>
  <si>
    <t>P49914</t>
  </si>
  <si>
    <t>P49915</t>
  </si>
  <si>
    <t>P49916</t>
  </si>
  <si>
    <t>P49918-2</t>
  </si>
  <si>
    <t>P49959</t>
  </si>
  <si>
    <t>P50053</t>
  </si>
  <si>
    <t>P50135</t>
  </si>
  <si>
    <t>P50213</t>
  </si>
  <si>
    <t>P50219</t>
  </si>
  <si>
    <t>P50224</t>
  </si>
  <si>
    <t>P50225</t>
  </si>
  <si>
    <t>P50238</t>
  </si>
  <si>
    <t>P50395</t>
  </si>
  <si>
    <t>P50402</t>
  </si>
  <si>
    <t>P50453</t>
  </si>
  <si>
    <t>P50454</t>
  </si>
  <si>
    <t>P50479</t>
  </si>
  <si>
    <t>P50502</t>
  </si>
  <si>
    <t>P50542-3</t>
  </si>
  <si>
    <t>P50552</t>
  </si>
  <si>
    <t>P50570-4</t>
  </si>
  <si>
    <t>P50579</t>
  </si>
  <si>
    <t>P50583</t>
  </si>
  <si>
    <t>P50613</t>
  </si>
  <si>
    <t>P50747</t>
  </si>
  <si>
    <t>P50748</t>
  </si>
  <si>
    <t>P50750</t>
  </si>
  <si>
    <t>P50851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</si>
  <si>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</si>
  <si>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</si>
  <si>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</si>
  <si>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</si>
  <si>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</si>
  <si>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</si>
  <si>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</si>
  <si>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</si>
  <si>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P51157</t>
  </si>
  <si>
    <t>P51159-2</t>
  </si>
  <si>
    <t>P51161</t>
  </si>
  <si>
    <t>P51178</t>
  </si>
  <si>
    <t>P51452</t>
  </si>
  <si>
    <t>P51511</t>
  </si>
  <si>
    <t>P51531-2</t>
  </si>
  <si>
    <t>P51532-5</t>
  </si>
  <si>
    <t>P51570</t>
  </si>
  <si>
    <t>P51571</t>
  </si>
  <si>
    <t>P51572</t>
  </si>
  <si>
    <t>P51580</t>
  </si>
  <si>
    <t>P51587</t>
  </si>
  <si>
    <t>P51606</t>
  </si>
  <si>
    <t>P51608</t>
  </si>
  <si>
    <t>P51610</t>
  </si>
  <si>
    <t>P51610-4</t>
  </si>
  <si>
    <t>P51617</t>
  </si>
  <si>
    <t>P51649</t>
  </si>
  <si>
    <t>P51659</t>
  </si>
  <si>
    <t>P51665</t>
  </si>
  <si>
    <t>P51668</t>
  </si>
  <si>
    <t>P51687</t>
  </si>
  <si>
    <t>P51688</t>
  </si>
  <si>
    <t>P51692</t>
  </si>
  <si>
    <t>P51809</t>
  </si>
  <si>
    <t>P51825-3</t>
  </si>
  <si>
    <t>P51857-2</t>
  </si>
  <si>
    <t>P51858</t>
  </si>
  <si>
    <t>P51946</t>
  </si>
  <si>
    <t>P51948</t>
  </si>
  <si>
    <t>P51991</t>
  </si>
  <si>
    <t>P52179-2</t>
  </si>
  <si>
    <t>P52272-2</t>
  </si>
  <si>
    <t>P52292</t>
  </si>
  <si>
    <t>P52294</t>
  </si>
  <si>
    <t>P52298</t>
  </si>
  <si>
    <t>P52306</t>
  </si>
  <si>
    <t>P52566</t>
  </si>
  <si>
    <t>P52594-2</t>
  </si>
  <si>
    <t>P52597</t>
  </si>
  <si>
    <t>P52630-4</t>
  </si>
  <si>
    <t>P52655</t>
  </si>
  <si>
    <t>P52657</t>
  </si>
  <si>
    <t>P52701</t>
  </si>
  <si>
    <t>P52732</t>
  </si>
  <si>
    <t>P52735-3</t>
  </si>
  <si>
    <t>P52739-2</t>
  </si>
  <si>
    <t>P52747-2</t>
  </si>
  <si>
    <t>P52756</t>
  </si>
  <si>
    <t>P52758</t>
  </si>
  <si>
    <t>P52788</t>
  </si>
  <si>
    <t>P52789</t>
  </si>
  <si>
    <t>P52815</t>
  </si>
  <si>
    <t>P52824</t>
  </si>
  <si>
    <t>P52888</t>
  </si>
  <si>
    <t>P52907</t>
  </si>
  <si>
    <t>P52948-5</t>
  </si>
  <si>
    <t>P53004</t>
  </si>
  <si>
    <t>P53350</t>
  </si>
  <si>
    <t>P53365</t>
  </si>
  <si>
    <t>P53367</t>
  </si>
  <si>
    <t>P53367-2</t>
  </si>
  <si>
    <t>P53384-2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</si>
  <si>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</si>
  <si>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</si>
  <si>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</si>
  <si>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</si>
  <si>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</si>
  <si>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</si>
  <si>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</si>
  <si>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</si>
  <si>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</si>
  <si>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P53675-2</t>
  </si>
  <si>
    <t>P53677</t>
  </si>
  <si>
    <t>P53680</t>
  </si>
  <si>
    <t>P53701</t>
  </si>
  <si>
    <t>P53778</t>
  </si>
  <si>
    <t>P53794</t>
  </si>
  <si>
    <t>P53803</t>
  </si>
  <si>
    <t>P53805</t>
  </si>
  <si>
    <t>P53814-5</t>
  </si>
  <si>
    <t>P53985</t>
  </si>
  <si>
    <t>P53990-2</t>
  </si>
  <si>
    <t>P53992</t>
  </si>
  <si>
    <t>P53999</t>
  </si>
  <si>
    <t>P54136</t>
  </si>
  <si>
    <t>P54198</t>
  </si>
  <si>
    <t>P54259</t>
  </si>
  <si>
    <t>P54274-2</t>
  </si>
  <si>
    <t>P54277-3</t>
  </si>
  <si>
    <t>P54278</t>
  </si>
  <si>
    <t>P54577</t>
  </si>
  <si>
    <t>P54578</t>
  </si>
  <si>
    <t>P54619-2</t>
  </si>
  <si>
    <t>P54687-4</t>
  </si>
  <si>
    <t>P54727</t>
  </si>
  <si>
    <t>P54802</t>
  </si>
  <si>
    <t>P54886-2</t>
  </si>
  <si>
    <t>P54920</t>
  </si>
  <si>
    <t>P54922</t>
  </si>
  <si>
    <t>P55008</t>
  </si>
  <si>
    <t>P55010</t>
  </si>
  <si>
    <t>P55036</t>
  </si>
  <si>
    <t>P55039</t>
  </si>
  <si>
    <t>P55060-3</t>
  </si>
  <si>
    <t>P55072</t>
  </si>
  <si>
    <t>P55081</t>
  </si>
  <si>
    <t>P55145</t>
  </si>
  <si>
    <t>P55160</t>
  </si>
  <si>
    <t>P55196-3</t>
  </si>
  <si>
    <t>P55198</t>
  </si>
  <si>
    <t>P55199</t>
  </si>
  <si>
    <t>P55211</t>
  </si>
  <si>
    <t>P55212</t>
  </si>
  <si>
    <t>P55263</t>
  </si>
  <si>
    <t>P55265-5</t>
  </si>
  <si>
    <t>P55327-2</t>
  </si>
  <si>
    <t>P55345</t>
  </si>
  <si>
    <t>P55347-2</t>
  </si>
  <si>
    <t>P55735</t>
  </si>
  <si>
    <t>P55769</t>
  </si>
  <si>
    <t>P55771</t>
  </si>
  <si>
    <t>P55789</t>
  </si>
  <si>
    <t>P55795</t>
  </si>
  <si>
    <t>P55854</t>
  </si>
  <si>
    <t>P55884</t>
  </si>
  <si>
    <t>P55957</t>
  </si>
  <si>
    <t>P56181-2</t>
  </si>
  <si>
    <t>P56182</t>
  </si>
  <si>
    <t>P56192</t>
  </si>
  <si>
    <t>P56211</t>
  </si>
  <si>
    <t>P56277</t>
  </si>
  <si>
    <t>P56282-3</t>
  </si>
  <si>
    <t>P56377</t>
  </si>
  <si>
    <t>P56524</t>
  </si>
  <si>
    <t>P56537</t>
  </si>
  <si>
    <t>P56597</t>
  </si>
  <si>
    <t>P56645</t>
  </si>
  <si>
    <t>P56945-5</t>
  </si>
  <si>
    <t>P57060</t>
  </si>
  <si>
    <t>P57075-3</t>
  </si>
  <si>
    <t>P57076</t>
  </si>
  <si>
    <t>P57081</t>
  </si>
  <si>
    <t>P57088</t>
  </si>
  <si>
    <t>P57105</t>
  </si>
  <si>
    <t>P57682</t>
  </si>
  <si>
    <t>P57737-3</t>
  </si>
  <si>
    <t>P57740</t>
  </si>
  <si>
    <t>P57764</t>
  </si>
  <si>
    <t>P57768</t>
  </si>
  <si>
    <t>P57772</t>
  </si>
  <si>
    <t>P58004</t>
  </si>
  <si>
    <t>P58107</t>
  </si>
  <si>
    <t>P58335-2</t>
  </si>
  <si>
    <t>P58546</t>
  </si>
  <si>
    <t>P59780</t>
  </si>
  <si>
    <t>P59817</t>
  </si>
  <si>
    <t>P59923</t>
  </si>
  <si>
    <t>P59998</t>
  </si>
  <si>
    <t>P60174-1</t>
  </si>
  <si>
    <t>P60228</t>
  </si>
  <si>
    <t>P60468</t>
  </si>
  <si>
    <t>P60510</t>
  </si>
  <si>
    <t>P60520</t>
  </si>
  <si>
    <t>P60604-2</t>
  </si>
  <si>
    <t>P60660-2</t>
  </si>
  <si>
    <t>P60763</t>
  </si>
  <si>
    <t>P60842</t>
  </si>
  <si>
    <t>P60866</t>
  </si>
  <si>
    <t>P60891</t>
  </si>
  <si>
    <t>P60900</t>
  </si>
  <si>
    <t>P60953</t>
  </si>
  <si>
    <t>P60953-1</t>
  </si>
  <si>
    <t>P60981-2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</si>
  <si>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</si>
  <si>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</si>
  <si>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</si>
  <si>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</si>
  <si>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</si>
  <si>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</si>
  <si>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</si>
  <si>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</si>
  <si>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</si>
  <si>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</si>
  <si>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</si>
  <si>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</si>
  <si>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</si>
  <si>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</si>
  <si>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</si>
  <si>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</si>
  <si>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</si>
  <si>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</si>
  <si>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</si>
  <si>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</si>
  <si>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</si>
  <si>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</si>
  <si>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P61247</t>
  </si>
  <si>
    <t>P61254</t>
  </si>
  <si>
    <t>P61289</t>
  </si>
  <si>
    <t>P61326</t>
  </si>
  <si>
    <t>P61353</t>
  </si>
  <si>
    <t>P61457</t>
  </si>
  <si>
    <t>P61586</t>
  </si>
  <si>
    <t>P61599</t>
  </si>
  <si>
    <t>P61604</t>
  </si>
  <si>
    <t>P61619</t>
  </si>
  <si>
    <t>P61626</t>
  </si>
  <si>
    <t>P61758</t>
  </si>
  <si>
    <t>P61764</t>
  </si>
  <si>
    <t>P61923</t>
  </si>
  <si>
    <t>P61956-2</t>
  </si>
  <si>
    <t>P61960</t>
  </si>
  <si>
    <t>P61962</t>
  </si>
  <si>
    <t>P61964</t>
  </si>
  <si>
    <t>P61966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</si>
  <si>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</si>
  <si>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</si>
  <si>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</si>
  <si>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</si>
  <si>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</si>
  <si>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</si>
  <si>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</si>
  <si>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</si>
  <si>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P62158</t>
  </si>
  <si>
    <t>P62166</t>
  </si>
  <si>
    <t>P62191</t>
  </si>
  <si>
    <t>P62195-2</t>
  </si>
  <si>
    <t>P62241</t>
  </si>
  <si>
    <t>P62249</t>
  </si>
  <si>
    <t>P62253</t>
  </si>
  <si>
    <t>P62256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</si>
  <si>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</si>
  <si>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</si>
  <si>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</si>
  <si>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</si>
  <si>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</si>
  <si>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</si>
  <si>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</si>
  <si>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</si>
  <si>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</si>
  <si>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</si>
  <si>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</si>
  <si>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</si>
  <si>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</si>
  <si>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</si>
  <si>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</si>
  <si>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</si>
  <si>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</si>
  <si>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</si>
  <si>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</si>
  <si>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</si>
  <si>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</si>
  <si>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P62633-3</t>
  </si>
  <si>
    <t>P62633-4</t>
  </si>
  <si>
    <t>P62633-5</t>
  </si>
  <si>
    <t>P62699</t>
  </si>
  <si>
    <t>P62701</t>
  </si>
  <si>
    <t>P62714</t>
  </si>
  <si>
    <t>P62750</t>
  </si>
  <si>
    <t>P62753</t>
  </si>
  <si>
    <t>P62805</t>
  </si>
  <si>
    <t>P62820</t>
  </si>
  <si>
    <t>P62826</t>
  </si>
  <si>
    <t>P62829</t>
  </si>
  <si>
    <t>P62834</t>
  </si>
  <si>
    <t>P62837</t>
  </si>
  <si>
    <t>P62847-2</t>
  </si>
  <si>
    <t>P62851</t>
  </si>
  <si>
    <t>P62854</t>
  </si>
  <si>
    <t>P62857</t>
  </si>
  <si>
    <t>P62861</t>
  </si>
  <si>
    <t>P62873</t>
  </si>
  <si>
    <t>P62877</t>
  </si>
  <si>
    <t>P62913-2</t>
  </si>
  <si>
    <t>P62937</t>
  </si>
  <si>
    <t>P62942</t>
  </si>
  <si>
    <t>P62979</t>
  </si>
  <si>
    <t>P62993</t>
  </si>
  <si>
    <t>P62995-3</t>
  </si>
  <si>
    <t>P63000</t>
  </si>
  <si>
    <t>P63010</t>
  </si>
  <si>
    <t>P63104</t>
  </si>
  <si>
    <t>P63151</t>
  </si>
  <si>
    <t>P63165</t>
  </si>
  <si>
    <t>P63167</t>
  </si>
  <si>
    <t>P63241</t>
  </si>
  <si>
    <t>P63244</t>
  </si>
  <si>
    <t>P63261</t>
  </si>
  <si>
    <t>P63272</t>
  </si>
  <si>
    <t>P63279</t>
  </si>
  <si>
    <t>P63302</t>
  </si>
  <si>
    <t>P63313</t>
  </si>
  <si>
    <t>P67775</t>
  </si>
  <si>
    <t>P67809</t>
  </si>
  <si>
    <t>P67870</t>
  </si>
  <si>
    <t>P67936</t>
  </si>
  <si>
    <t>P68032</t>
  </si>
  <si>
    <t>P68036</t>
  </si>
  <si>
    <t>P68104</t>
  </si>
  <si>
    <t>P68133</t>
  </si>
  <si>
    <t>P68363</t>
  </si>
  <si>
    <t>P68371</t>
  </si>
  <si>
    <t>P68402</t>
  </si>
  <si>
    <t>P69891</t>
  </si>
  <si>
    <t>P69892</t>
  </si>
  <si>
    <t>P69905</t>
  </si>
  <si>
    <t>P78312-6</t>
  </si>
  <si>
    <t>P78314</t>
  </si>
  <si>
    <t>P78318</t>
  </si>
  <si>
    <t>P78330</t>
  </si>
  <si>
    <t>P78332</t>
  </si>
  <si>
    <t>P78337</t>
  </si>
  <si>
    <t>P78345</t>
  </si>
  <si>
    <t>P78346</t>
  </si>
  <si>
    <t>P78347-2</t>
  </si>
  <si>
    <t>P78356</t>
  </si>
  <si>
    <t>P78364</t>
  </si>
  <si>
    <t>P78371</t>
  </si>
  <si>
    <t>P78406</t>
  </si>
  <si>
    <t>P78417</t>
  </si>
  <si>
    <t>P78527</t>
  </si>
  <si>
    <t>P78536</t>
  </si>
  <si>
    <t>P78537</t>
  </si>
  <si>
    <t>P78549</t>
  </si>
  <si>
    <t>P78559</t>
  </si>
  <si>
    <t>P78560</t>
  </si>
  <si>
    <t>P80217</t>
  </si>
  <si>
    <t>P80297</t>
  </si>
  <si>
    <t>P80303-2</t>
  </si>
  <si>
    <t>P81605</t>
  </si>
  <si>
    <t>P81877-4</t>
  </si>
  <si>
    <t>P82094</t>
  </si>
  <si>
    <t>P82673</t>
  </si>
  <si>
    <t>P82909</t>
  </si>
  <si>
    <t>P82930</t>
  </si>
  <si>
    <t>P82933</t>
  </si>
  <si>
    <t>P82970</t>
  </si>
  <si>
    <t>P82979</t>
  </si>
  <si>
    <t>P82980</t>
  </si>
  <si>
    <t>P83369</t>
  </si>
  <si>
    <t>P83436</t>
  </si>
  <si>
    <t>P83881</t>
  </si>
  <si>
    <t>P83916</t>
  </si>
  <si>
    <t>P84022</t>
  </si>
  <si>
    <t>P84077</t>
  </si>
  <si>
    <t>P84085</t>
  </si>
  <si>
    <t>P84090</t>
  </si>
  <si>
    <t>P84095</t>
  </si>
  <si>
    <t>P84101-4</t>
  </si>
  <si>
    <t>P85037</t>
  </si>
  <si>
    <t>P85299-2</t>
  </si>
  <si>
    <t>P86791</t>
  </si>
  <si>
    <t>P98082-3</t>
  </si>
  <si>
    <t>P98170</t>
  </si>
  <si>
    <t>P98174</t>
  </si>
  <si>
    <t>P98175-2</t>
  </si>
  <si>
    <t>P98177</t>
  </si>
  <si>
    <t>P98179</t>
  </si>
  <si>
    <t>Q00013</t>
  </si>
  <si>
    <t>Q00059</t>
  </si>
  <si>
    <t>Q00169</t>
  </si>
  <si>
    <t>Q00325-2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</si>
  <si>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</si>
  <si>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</si>
  <si>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</si>
  <si>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</si>
  <si>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</si>
  <si>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</si>
  <si>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</si>
  <si>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</si>
  <si>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Q00613-2</t>
  </si>
  <si>
    <t>Q00653-4</t>
  </si>
  <si>
    <t>Q00688</t>
  </si>
  <si>
    <t>Q00796</t>
  </si>
  <si>
    <t>Q00839</t>
  </si>
  <si>
    <t>Q00839-2</t>
  </si>
  <si>
    <t>Q00978</t>
  </si>
  <si>
    <t>Q01081</t>
  </si>
  <si>
    <t>Q01082</t>
  </si>
  <si>
    <t>Q01082-3</t>
  </si>
  <si>
    <t>Q01085</t>
  </si>
  <si>
    <t>Q01085-2</t>
  </si>
  <si>
    <t>Q01105-2</t>
  </si>
  <si>
    <t>Q01130</t>
  </si>
  <si>
    <t>Q01167</t>
  </si>
  <si>
    <t>Q01196</t>
  </si>
  <si>
    <t>Q01432</t>
  </si>
  <si>
    <t>Q01433-2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</si>
  <si>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</si>
  <si>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</si>
  <si>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</si>
  <si>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</si>
  <si>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</si>
  <si>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</si>
  <si>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</si>
  <si>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</si>
  <si>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Q01804</t>
  </si>
  <si>
    <t>Q01813</t>
  </si>
  <si>
    <t>Q01831-2</t>
  </si>
  <si>
    <t>Q01844-6</t>
  </si>
  <si>
    <t>Q01850</t>
  </si>
  <si>
    <t>Q01968-2</t>
  </si>
  <si>
    <t>Q01970</t>
  </si>
  <si>
    <t>Q02040</t>
  </si>
  <si>
    <t>Q02086-2</t>
  </si>
  <si>
    <t>Q02156</t>
  </si>
  <si>
    <t>Q02224</t>
  </si>
  <si>
    <t>Q02241-2</t>
  </si>
  <si>
    <t>Q02446</t>
  </si>
  <si>
    <t>Q02447-4</t>
  </si>
  <si>
    <t>Q02543</t>
  </si>
  <si>
    <t>Q02641-2</t>
  </si>
  <si>
    <t>Q02750</t>
  </si>
  <si>
    <t>Q02790</t>
  </si>
  <si>
    <t>Q02809</t>
  </si>
  <si>
    <t>Q02818</t>
  </si>
  <si>
    <t>Q02833-3</t>
  </si>
  <si>
    <t>Q02878</t>
  </si>
  <si>
    <t>Q02880-2</t>
  </si>
  <si>
    <t>Q02952-3</t>
  </si>
  <si>
    <t>Q03001</t>
  </si>
  <si>
    <t>Q03014</t>
  </si>
  <si>
    <t>Q03060-25</t>
  </si>
  <si>
    <t>Q03111</t>
  </si>
  <si>
    <t>Q03154</t>
  </si>
  <si>
    <t>Q03164-2</t>
  </si>
  <si>
    <t>Q03169</t>
  </si>
  <si>
    <t>Q03188</t>
  </si>
  <si>
    <t>Q03252</t>
  </si>
  <si>
    <t>Q03468</t>
  </si>
  <si>
    <t>Q03701</t>
  </si>
  <si>
    <t>Q03933-2</t>
  </si>
  <si>
    <t>Q04446</t>
  </si>
  <si>
    <t>Q04637-5</t>
  </si>
  <si>
    <t>Q04656-5</t>
  </si>
  <si>
    <t>Q04725</t>
  </si>
  <si>
    <t>Q04759</t>
  </si>
  <si>
    <t>Q04760</t>
  </si>
  <si>
    <t>Q04828</t>
  </si>
  <si>
    <t>Q04837</t>
  </si>
  <si>
    <t>Q04917</t>
  </si>
  <si>
    <t>Q05048</t>
  </si>
  <si>
    <t>Q05086-3</t>
  </si>
  <si>
    <t>Q05193</t>
  </si>
  <si>
    <t>Q05209</t>
  </si>
  <si>
    <t>Q05513</t>
  </si>
  <si>
    <t>Q05519-2</t>
  </si>
  <si>
    <t>Q05639</t>
  </si>
  <si>
    <t>Q05655</t>
  </si>
  <si>
    <t>Q05682-5</t>
  </si>
  <si>
    <t>Q05823</t>
  </si>
  <si>
    <t>Q05BQ5</t>
  </si>
  <si>
    <t>Q05D32-2</t>
  </si>
  <si>
    <t>Q05DA6</t>
  </si>
  <si>
    <t>Q06124-2</t>
  </si>
  <si>
    <t>Q06187</t>
  </si>
  <si>
    <t>Q06203</t>
  </si>
  <si>
    <t>Q06210-2</t>
  </si>
  <si>
    <t>Q06265</t>
  </si>
  <si>
    <t>Q06323</t>
  </si>
  <si>
    <t>Q06330-5</t>
  </si>
  <si>
    <t>Q06481-5</t>
  </si>
  <si>
    <t>Q06546</t>
  </si>
  <si>
    <t>Q06587</t>
  </si>
  <si>
    <t>Q06609-3</t>
  </si>
  <si>
    <t>Q06830</t>
  </si>
  <si>
    <t>Q07021</t>
  </si>
  <si>
    <t>Q07157</t>
  </si>
  <si>
    <t>Q07157-2</t>
  </si>
  <si>
    <t>Q07666</t>
  </si>
  <si>
    <t>Q07812-5</t>
  </si>
  <si>
    <t>Q07864</t>
  </si>
  <si>
    <t>Q07866-3</t>
  </si>
  <si>
    <t>Q07866-6</t>
  </si>
  <si>
    <t>Q07912</t>
  </si>
  <si>
    <t>Q07955</t>
  </si>
  <si>
    <t>Q07960</t>
  </si>
  <si>
    <t>Q08117</t>
  </si>
  <si>
    <t>Q08170</t>
  </si>
  <si>
    <t>Q08209-2</t>
  </si>
  <si>
    <t>Q08211</t>
  </si>
  <si>
    <t>Q08257</t>
  </si>
  <si>
    <t>Q08378</t>
  </si>
  <si>
    <t>Q08379</t>
  </si>
  <si>
    <t>Q08380</t>
  </si>
  <si>
    <t>Q08495</t>
  </si>
  <si>
    <t>Q08623</t>
  </si>
  <si>
    <t>Q08752</t>
  </si>
  <si>
    <t>Q08945</t>
  </si>
  <si>
    <t>Q08AD1-2</t>
  </si>
  <si>
    <t>Q08AE8-2</t>
  </si>
  <si>
    <t>Q08AG7</t>
  </si>
  <si>
    <t>Q08AM6</t>
  </si>
  <si>
    <t>Q08J23</t>
  </si>
  <si>
    <t>Q09028-3</t>
  </si>
  <si>
    <t>Q09161</t>
  </si>
  <si>
    <t>Q09472</t>
  </si>
  <si>
    <t>Q09666</t>
  </si>
  <si>
    <t>Q0JRZ9</t>
  </si>
  <si>
    <t>Q0PNE2</t>
  </si>
  <si>
    <t>Q0VD83</t>
  </si>
  <si>
    <t>Q0VDF9</t>
  </si>
  <si>
    <t>Q0VDG4</t>
  </si>
  <si>
    <t>Q0VG06</t>
  </si>
  <si>
    <t>Q0VGL1</t>
  </si>
  <si>
    <t>Q10469</t>
  </si>
  <si>
    <t>Q10567-2</t>
  </si>
  <si>
    <t>Q10567-3</t>
  </si>
  <si>
    <t>Q10570</t>
  </si>
  <si>
    <t>Q10713</t>
  </si>
  <si>
    <t>Q12756</t>
  </si>
  <si>
    <t>Q12766-2</t>
  </si>
  <si>
    <t>Q12768</t>
  </si>
  <si>
    <t>Q12769</t>
  </si>
  <si>
    <t>Q12788</t>
  </si>
  <si>
    <t>Q12789</t>
  </si>
  <si>
    <t>Q12792</t>
  </si>
  <si>
    <t>Q12797-10</t>
  </si>
  <si>
    <t>Q12800-2</t>
  </si>
  <si>
    <t>Q12802</t>
  </si>
  <si>
    <t>Q12809-2</t>
  </si>
  <si>
    <t>Q12824-2</t>
  </si>
  <si>
    <t>Q12830-2</t>
  </si>
  <si>
    <t>Q12834</t>
  </si>
  <si>
    <t>Q12840</t>
  </si>
  <si>
    <t>Q12849</t>
  </si>
  <si>
    <t>Q12872</t>
  </si>
  <si>
    <t>Q12873</t>
  </si>
  <si>
    <t>Q12874</t>
  </si>
  <si>
    <t>Q12888</t>
  </si>
  <si>
    <t>Q12904</t>
  </si>
  <si>
    <t>Q12905</t>
  </si>
  <si>
    <t>Q12906-7</t>
  </si>
  <si>
    <t>Q12907</t>
  </si>
  <si>
    <t>Q12912-2</t>
  </si>
  <si>
    <t>Q12933-3</t>
  </si>
  <si>
    <t>Q12955</t>
  </si>
  <si>
    <t>Q12959-5</t>
  </si>
  <si>
    <t>Q12962</t>
  </si>
  <si>
    <t>Q12968</t>
  </si>
  <si>
    <t>Q12972</t>
  </si>
  <si>
    <t>Q12974</t>
  </si>
  <si>
    <t>Q12979-4</t>
  </si>
  <si>
    <t>Q12981</t>
  </si>
  <si>
    <t>Q12982</t>
  </si>
  <si>
    <t>Q12986-2</t>
  </si>
  <si>
    <t>Q12996</t>
  </si>
  <si>
    <t>Q13011</t>
  </si>
  <si>
    <t>Q13017-2</t>
  </si>
  <si>
    <t>Q13033</t>
  </si>
  <si>
    <t>Q13033-2</t>
  </si>
  <si>
    <t>Q13042-3</t>
  </si>
  <si>
    <t>Q13043</t>
  </si>
  <si>
    <t>Q13045</t>
  </si>
  <si>
    <t>Q13049</t>
  </si>
  <si>
    <t>Q13057</t>
  </si>
  <si>
    <t>Q13061</t>
  </si>
  <si>
    <t>Q13085</t>
  </si>
  <si>
    <t>Q13094</t>
  </si>
  <si>
    <t>Q13105</t>
  </si>
  <si>
    <t>Q13107-2</t>
  </si>
  <si>
    <t>Q13111</t>
  </si>
  <si>
    <t>Q13112</t>
  </si>
  <si>
    <t>Q13123</t>
  </si>
  <si>
    <t>Q13127-4</t>
  </si>
  <si>
    <t>Q13129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</si>
  <si>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</si>
  <si>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</si>
  <si>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</si>
  <si>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</si>
  <si>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</si>
  <si>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</si>
  <si>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</si>
  <si>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</si>
  <si>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</si>
  <si>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Q13164-2</t>
  </si>
  <si>
    <t>Q13177</t>
  </si>
  <si>
    <t>Q13185</t>
  </si>
  <si>
    <t>Q13188</t>
  </si>
  <si>
    <t>Q13190-3</t>
  </si>
  <si>
    <t>Q13200</t>
  </si>
  <si>
    <t>Q13206</t>
  </si>
  <si>
    <t>Q13216</t>
  </si>
  <si>
    <t>Q13217</t>
  </si>
  <si>
    <t>Q13228</t>
  </si>
  <si>
    <t>Q13232</t>
  </si>
  <si>
    <t>Q13233</t>
  </si>
  <si>
    <t>Q13242</t>
  </si>
  <si>
    <t>Q13243-3</t>
  </si>
  <si>
    <t>Q13247-3</t>
  </si>
  <si>
    <t>Q13257</t>
  </si>
  <si>
    <t>Q13263</t>
  </si>
  <si>
    <t>Q13277-2</t>
  </si>
  <si>
    <t>Q13283</t>
  </si>
  <si>
    <t>Q13287</t>
  </si>
  <si>
    <t>Q13303-2</t>
  </si>
  <si>
    <t>Q13308-3</t>
  </si>
  <si>
    <t>Q13309-2</t>
  </si>
  <si>
    <t>Q13310-3</t>
  </si>
  <si>
    <t>Q13315</t>
  </si>
  <si>
    <t>Q13322-2</t>
  </si>
  <si>
    <t>Q13330-3</t>
  </si>
  <si>
    <t>Q13332-6</t>
  </si>
  <si>
    <t>Q13347</t>
  </si>
  <si>
    <t>Q13351</t>
  </si>
  <si>
    <t>Q13356</t>
  </si>
  <si>
    <t>Q13362-4</t>
  </si>
  <si>
    <t>Q13363-2</t>
  </si>
  <si>
    <t>Q13371</t>
  </si>
  <si>
    <t>Q13395</t>
  </si>
  <si>
    <t>Q13404</t>
  </si>
  <si>
    <t>Q13409-6</t>
  </si>
  <si>
    <t>Q13415</t>
  </si>
  <si>
    <t>Q13416</t>
  </si>
  <si>
    <t>Q13418</t>
  </si>
  <si>
    <t>Q13422-2</t>
  </si>
  <si>
    <t>Q13422-7</t>
  </si>
  <si>
    <t>Q13423</t>
  </si>
  <si>
    <t>Q13424</t>
  </si>
  <si>
    <t>Q13425</t>
  </si>
  <si>
    <t>Q13426</t>
  </si>
  <si>
    <t>Q13427</t>
  </si>
  <si>
    <t>Q13428-3</t>
  </si>
  <si>
    <t>Q13428-4</t>
  </si>
  <si>
    <t>Q13432-2</t>
  </si>
  <si>
    <t>Q13435</t>
  </si>
  <si>
    <t>Q13438-4</t>
  </si>
  <si>
    <t>Q13439-3</t>
  </si>
  <si>
    <t>Q13442</t>
  </si>
  <si>
    <t>Q13451</t>
  </si>
  <si>
    <t>Q13464</t>
  </si>
  <si>
    <t>Q13469</t>
  </si>
  <si>
    <t>Q13492-3</t>
  </si>
  <si>
    <t>Q13496</t>
  </si>
  <si>
    <t>Q13501</t>
  </si>
  <si>
    <t>Q13503</t>
  </si>
  <si>
    <t>Q13505-3</t>
  </si>
  <si>
    <t>Q13506</t>
  </si>
  <si>
    <t>Q13509</t>
  </si>
  <si>
    <t>Q13523</t>
  </si>
  <si>
    <t>Q13526</t>
  </si>
  <si>
    <t>Q13541</t>
  </si>
  <si>
    <t>Q13542</t>
  </si>
  <si>
    <t>Q13546</t>
  </si>
  <si>
    <t>Q13547</t>
  </si>
  <si>
    <t>Q13555-10</t>
  </si>
  <si>
    <t>Q13557-8</t>
  </si>
  <si>
    <t>Q13561</t>
  </si>
  <si>
    <t>Q13564-2</t>
  </si>
  <si>
    <t>Q13572</t>
  </si>
  <si>
    <t>Q13573</t>
  </si>
  <si>
    <t>Q13576</t>
  </si>
  <si>
    <t>Q13586</t>
  </si>
  <si>
    <t>Q13596</t>
  </si>
  <si>
    <t>Q13601-2</t>
  </si>
  <si>
    <t>Q13610</t>
  </si>
  <si>
    <t>Q13613</t>
  </si>
  <si>
    <t>Q13614</t>
  </si>
  <si>
    <t>Q13616</t>
  </si>
  <si>
    <t>Q13617</t>
  </si>
  <si>
    <t>Q13618</t>
  </si>
  <si>
    <t>Q13619</t>
  </si>
  <si>
    <t>Q13620-1</t>
  </si>
  <si>
    <t>Q13625</t>
  </si>
  <si>
    <t>Q13627-3</t>
  </si>
  <si>
    <t>Q13630</t>
  </si>
  <si>
    <t>Q13636</t>
  </si>
  <si>
    <t>Q13637</t>
  </si>
  <si>
    <t>Q13643</t>
  </si>
  <si>
    <t>Q13686</t>
  </si>
  <si>
    <t>Q13724</t>
  </si>
  <si>
    <t>Q13769</t>
  </si>
  <si>
    <t>Q13813</t>
  </si>
  <si>
    <t>Q13813-2</t>
  </si>
  <si>
    <t>Q13823</t>
  </si>
  <si>
    <t>Q13825</t>
  </si>
  <si>
    <t>Q13835-2</t>
  </si>
  <si>
    <t>Q13838</t>
  </si>
  <si>
    <t>Q13867</t>
  </si>
  <si>
    <t>Q13868</t>
  </si>
  <si>
    <t>Q13885</t>
  </si>
  <si>
    <t>Q13895</t>
  </si>
  <si>
    <t>Q13901</t>
  </si>
  <si>
    <t>Q13905</t>
  </si>
  <si>
    <t>Q13907</t>
  </si>
  <si>
    <t>Q13951</t>
  </si>
  <si>
    <t>Q13951-2</t>
  </si>
  <si>
    <t>Q13952-3</t>
  </si>
  <si>
    <t>Q14004</t>
  </si>
  <si>
    <t>Q14008</t>
  </si>
  <si>
    <t>Q14011</t>
  </si>
  <si>
    <t>Q14012</t>
  </si>
  <si>
    <t>Q14019</t>
  </si>
  <si>
    <t>Q14061</t>
  </si>
  <si>
    <t>Q14103-3</t>
  </si>
  <si>
    <t>Q14103-4</t>
  </si>
  <si>
    <t>Q14118</t>
  </si>
  <si>
    <t>Q14126</t>
  </si>
  <si>
    <t>Q14137</t>
  </si>
  <si>
    <t>Q14139</t>
  </si>
  <si>
    <t>Q14141-2</t>
  </si>
  <si>
    <t>Q14145</t>
  </si>
  <si>
    <t>Q14147</t>
  </si>
  <si>
    <t>Q14149</t>
  </si>
  <si>
    <t>Q14151</t>
  </si>
  <si>
    <t>Q14152</t>
  </si>
  <si>
    <t>Q14153</t>
  </si>
  <si>
    <t>Q14155-1</t>
  </si>
  <si>
    <t>Q14157</t>
  </si>
  <si>
    <t>Q14160</t>
  </si>
  <si>
    <t>Q14161-4</t>
  </si>
  <si>
    <t>Q14166</t>
  </si>
  <si>
    <t>Q14181</t>
  </si>
  <si>
    <t>Q14191</t>
  </si>
  <si>
    <t>Q14192</t>
  </si>
  <si>
    <t>Q14202-2</t>
  </si>
  <si>
    <t>Q14203-6</t>
  </si>
  <si>
    <t>Q14204</t>
  </si>
  <si>
    <t>Q14207</t>
  </si>
  <si>
    <t>Q14232</t>
  </si>
  <si>
    <t>Q14241</t>
  </si>
  <si>
    <t>Q14244-2</t>
  </si>
  <si>
    <t>Q14247</t>
  </si>
  <si>
    <t>Q14247-3</t>
  </si>
  <si>
    <t>Q14249</t>
  </si>
  <si>
    <t>Q14258</t>
  </si>
  <si>
    <t>Q14289-2</t>
  </si>
  <si>
    <t>Q14315</t>
  </si>
  <si>
    <t>Q14318-2</t>
  </si>
  <si>
    <t>Q14320</t>
  </si>
  <si>
    <t>Q14331</t>
  </si>
  <si>
    <t>Q14353</t>
  </si>
  <si>
    <t>Q14376</t>
  </si>
  <si>
    <t>Q14444-2</t>
  </si>
  <si>
    <t>Q14457</t>
  </si>
  <si>
    <t>Q14493</t>
  </si>
  <si>
    <t>Q14498-2</t>
  </si>
  <si>
    <t>Q14520-2</t>
  </si>
  <si>
    <t>Q14527</t>
  </si>
  <si>
    <t>Q14554</t>
  </si>
  <si>
    <t>Q14558</t>
  </si>
  <si>
    <t>Q14562</t>
  </si>
  <si>
    <t>Q14566</t>
  </si>
  <si>
    <t>Q14596-2</t>
  </si>
  <si>
    <t>Q14651</t>
  </si>
  <si>
    <t>Q14653</t>
  </si>
  <si>
    <t>Q14657</t>
  </si>
  <si>
    <t>Q14669-2</t>
  </si>
  <si>
    <t>Q14669-3</t>
  </si>
  <si>
    <t>Q14671-2</t>
  </si>
  <si>
    <t>Q14674</t>
  </si>
  <si>
    <t>Q14676</t>
  </si>
  <si>
    <t>Q14677</t>
  </si>
  <si>
    <t>Q14683</t>
  </si>
  <si>
    <t>Q14684</t>
  </si>
  <si>
    <t>Q14686</t>
  </si>
  <si>
    <t>Q14687</t>
  </si>
  <si>
    <t>Q14689-6</t>
  </si>
  <si>
    <t>Q14690</t>
  </si>
  <si>
    <t>Q14691</t>
  </si>
  <si>
    <t>Q14692</t>
  </si>
  <si>
    <t>Q14694</t>
  </si>
  <si>
    <t>Q14696</t>
  </si>
  <si>
    <t>Q14697</t>
  </si>
  <si>
    <t>Q14697-2</t>
  </si>
  <si>
    <t>Q14739</t>
  </si>
  <si>
    <t>Q14746-2</t>
  </si>
  <si>
    <t>Q14781</t>
  </si>
  <si>
    <t>Q14789</t>
  </si>
  <si>
    <t>Q14790-9</t>
  </si>
  <si>
    <t>Q147X3</t>
  </si>
  <si>
    <t>Q14807</t>
  </si>
  <si>
    <t>Q14814-4</t>
  </si>
  <si>
    <t>Q14839-2</t>
  </si>
  <si>
    <t>Q14847</t>
  </si>
  <si>
    <t>Q14849-2</t>
  </si>
  <si>
    <t>Q14914-2</t>
  </si>
  <si>
    <t>Q14919</t>
  </si>
  <si>
    <t>Q14934-8</t>
  </si>
  <si>
    <t>Q14966</t>
  </si>
  <si>
    <t>Q14974</t>
  </si>
  <si>
    <t>Q14978-3</t>
  </si>
  <si>
    <t>Q14980</t>
  </si>
  <si>
    <t>Q14980-2</t>
  </si>
  <si>
    <t>Q14980-4</t>
  </si>
  <si>
    <t>Q14997</t>
  </si>
  <si>
    <t>Q14999</t>
  </si>
  <si>
    <t>Q14BN4-2</t>
  </si>
  <si>
    <t>Q14C86-6</t>
  </si>
  <si>
    <t>Q14CS0</t>
  </si>
  <si>
    <t>Q14CX7</t>
  </si>
  <si>
    <t>Q15003</t>
  </si>
  <si>
    <t>Q15007</t>
  </si>
  <si>
    <t>Q15008</t>
  </si>
  <si>
    <t>Q15013</t>
  </si>
  <si>
    <t>Q15014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</si>
  <si>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</si>
  <si>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</si>
  <si>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</si>
  <si>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</si>
  <si>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</si>
  <si>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</si>
  <si>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</si>
  <si>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</si>
  <si>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Q15042</t>
  </si>
  <si>
    <t>Q15046</t>
  </si>
  <si>
    <t>Q15047-3</t>
  </si>
  <si>
    <t>Q15048</t>
  </si>
  <si>
    <t>Q15050</t>
  </si>
  <si>
    <t>Q15051</t>
  </si>
  <si>
    <t>Q15052</t>
  </si>
  <si>
    <t>Q15056</t>
  </si>
  <si>
    <t>Q15056-2</t>
  </si>
  <si>
    <t>Q15057</t>
  </si>
  <si>
    <t>Q15058</t>
  </si>
  <si>
    <t>Q15059</t>
  </si>
  <si>
    <t>Q15061</t>
  </si>
  <si>
    <t>Q15067-2</t>
  </si>
  <si>
    <t>Q15075</t>
  </si>
  <si>
    <t>Q15102</t>
  </si>
  <si>
    <t>Q15111</t>
  </si>
  <si>
    <t>Q15121</t>
  </si>
  <si>
    <t>Q15126</t>
  </si>
  <si>
    <t>Q15147-2</t>
  </si>
  <si>
    <t>Q15149-3</t>
  </si>
  <si>
    <t>Q15149-4</t>
  </si>
  <si>
    <t>Q15154</t>
  </si>
  <si>
    <t>Q15154-2</t>
  </si>
  <si>
    <t>Q15170-2</t>
  </si>
  <si>
    <t>Q15172</t>
  </si>
  <si>
    <t>Q15173</t>
  </si>
  <si>
    <t>Q15181</t>
  </si>
  <si>
    <t>Q15208</t>
  </si>
  <si>
    <t>Q15233</t>
  </si>
  <si>
    <t>Q15257</t>
  </si>
  <si>
    <t>Q15257-2</t>
  </si>
  <si>
    <t>Q15262</t>
  </si>
  <si>
    <t>Q15269</t>
  </si>
  <si>
    <t>Q15274</t>
  </si>
  <si>
    <t>Q15276</t>
  </si>
  <si>
    <t>Q15283-2</t>
  </si>
  <si>
    <t>Q15286</t>
  </si>
  <si>
    <t>Q15291</t>
  </si>
  <si>
    <t>Q15293</t>
  </si>
  <si>
    <t>Q15311</t>
  </si>
  <si>
    <t>Q15323</t>
  </si>
  <si>
    <t>Q15334</t>
  </si>
  <si>
    <t>Q15345</t>
  </si>
  <si>
    <t>Q15361</t>
  </si>
  <si>
    <t>Q15363</t>
  </si>
  <si>
    <t>Q15365</t>
  </si>
  <si>
    <t>Q15366-2</t>
  </si>
  <si>
    <t>Q15366-3</t>
  </si>
  <si>
    <t>Q15382</t>
  </si>
  <si>
    <t>Q15386</t>
  </si>
  <si>
    <t>Q15393</t>
  </si>
  <si>
    <t>Q15398</t>
  </si>
  <si>
    <t>Q15404</t>
  </si>
  <si>
    <t>Q15424</t>
  </si>
  <si>
    <t>Q15427</t>
  </si>
  <si>
    <t>Q15428</t>
  </si>
  <si>
    <t>Q15435</t>
  </si>
  <si>
    <t>Q15437</t>
  </si>
  <si>
    <t>Q15438-2</t>
  </si>
  <si>
    <t>Q15464</t>
  </si>
  <si>
    <t>Q15506</t>
  </si>
  <si>
    <t>Q15527</t>
  </si>
  <si>
    <t>Q15542-2</t>
  </si>
  <si>
    <t>Q15544-2</t>
  </si>
  <si>
    <t>Q15545</t>
  </si>
  <si>
    <t>Q15554-3</t>
  </si>
  <si>
    <t>Q15555</t>
  </si>
  <si>
    <t>Q15560-2</t>
  </si>
  <si>
    <t>Q15561-2</t>
  </si>
  <si>
    <t>Q15596</t>
  </si>
  <si>
    <t>Q15599</t>
  </si>
  <si>
    <t>Q15628</t>
  </si>
  <si>
    <t>Q15633-2</t>
  </si>
  <si>
    <t>Q15637-5</t>
  </si>
  <si>
    <t>Q15642-2</t>
  </si>
  <si>
    <t>Q15643</t>
  </si>
  <si>
    <t>Q15645</t>
  </si>
  <si>
    <t>Q15648</t>
  </si>
  <si>
    <t>Q15649</t>
  </si>
  <si>
    <t>Q15650</t>
  </si>
  <si>
    <t>Q15651</t>
  </si>
  <si>
    <t>Q15652</t>
  </si>
  <si>
    <t>Q15654</t>
  </si>
  <si>
    <t>Q15691</t>
  </si>
  <si>
    <t>Q15695</t>
  </si>
  <si>
    <t>Q15697-2</t>
  </si>
  <si>
    <t>Q15714-2</t>
  </si>
  <si>
    <t>Q15717</t>
  </si>
  <si>
    <t>Q15723-1</t>
  </si>
  <si>
    <t>Q15738</t>
  </si>
  <si>
    <t>Q15742</t>
  </si>
  <si>
    <t>Q15746-4</t>
  </si>
  <si>
    <t>Q15750-2</t>
  </si>
  <si>
    <t>Q15751</t>
  </si>
  <si>
    <t>Q15758</t>
  </si>
  <si>
    <t>Q15759</t>
  </si>
  <si>
    <t>Q15773</t>
  </si>
  <si>
    <t>Q15776</t>
  </si>
  <si>
    <t>Q15785</t>
  </si>
  <si>
    <t>Q15788-2</t>
  </si>
  <si>
    <t>Q15796-2</t>
  </si>
  <si>
    <t>Q15797</t>
  </si>
  <si>
    <t>Q15813</t>
  </si>
  <si>
    <t>Q15814</t>
  </si>
  <si>
    <t>Q15819</t>
  </si>
  <si>
    <t>Q15831-2</t>
  </si>
  <si>
    <t>Q15833</t>
  </si>
  <si>
    <t>Q15836</t>
  </si>
  <si>
    <t>Q15843</t>
  </si>
  <si>
    <t>Q15904</t>
  </si>
  <si>
    <t>Q15906</t>
  </si>
  <si>
    <t>Q15907</t>
  </si>
  <si>
    <t>Q15910</t>
  </si>
  <si>
    <t>Q15935</t>
  </si>
  <si>
    <t>Q15942</t>
  </si>
  <si>
    <t>Q16181</t>
  </si>
  <si>
    <t>Q16186</t>
  </si>
  <si>
    <t>Q16204</t>
  </si>
  <si>
    <t>Q16222-2</t>
  </si>
  <si>
    <t>Q16254</t>
  </si>
  <si>
    <t>Q16352</t>
  </si>
  <si>
    <t>Q16401-2</t>
  </si>
  <si>
    <t>Q16512</t>
  </si>
  <si>
    <t>Q16513-3</t>
  </si>
  <si>
    <t>Q16514-2</t>
  </si>
  <si>
    <t>Q16531</t>
  </si>
  <si>
    <t>Q16539</t>
  </si>
  <si>
    <t>Q16539-2</t>
  </si>
  <si>
    <t>Q16543</t>
  </si>
  <si>
    <t>Q16555-2</t>
  </si>
  <si>
    <t>Q16576</t>
  </si>
  <si>
    <t>Q16600</t>
  </si>
  <si>
    <t>Q16610</t>
  </si>
  <si>
    <t>Q16619-2</t>
  </si>
  <si>
    <t>Q16626</t>
  </si>
  <si>
    <t>Q16629-3</t>
  </si>
  <si>
    <t>Q16637-3</t>
  </si>
  <si>
    <t>Q16643</t>
  </si>
  <si>
    <t>Q16644</t>
  </si>
  <si>
    <t>Q16649</t>
  </si>
  <si>
    <t>Q16656</t>
  </si>
  <si>
    <t>Q16658</t>
  </si>
  <si>
    <t>Q16659</t>
  </si>
  <si>
    <t>Q16666-3</t>
  </si>
  <si>
    <t>Q16670</t>
  </si>
  <si>
    <t>Q16719</t>
  </si>
  <si>
    <t>Q16740</t>
  </si>
  <si>
    <t>Q16762</t>
  </si>
  <si>
    <t>Q16763</t>
  </si>
  <si>
    <t>Q16773</t>
  </si>
  <si>
    <t>Q16778</t>
  </si>
  <si>
    <t>Q16819</t>
  </si>
  <si>
    <t>Q16822</t>
  </si>
  <si>
    <t>Q16831</t>
  </si>
  <si>
    <t>Q16836</t>
  </si>
  <si>
    <t>Q16851</t>
  </si>
  <si>
    <t>Q16854</t>
  </si>
  <si>
    <t>Q16864</t>
  </si>
  <si>
    <t>Q16875-3</t>
  </si>
  <si>
    <t>Q17R31-2</t>
  </si>
  <si>
    <t>Q17RN3</t>
  </si>
  <si>
    <t>Q17RU2</t>
  </si>
  <si>
    <t>Q19AV6</t>
  </si>
  <si>
    <t>Q1ED39</t>
  </si>
  <si>
    <t>Q1MSJ5-1</t>
  </si>
  <si>
    <t>Q27J81-2</t>
  </si>
  <si>
    <t>Q29RF7</t>
  </si>
  <si>
    <t>Q2KHR3</t>
  </si>
  <si>
    <t>Q2KHT3</t>
  </si>
  <si>
    <t>Q2M296-2</t>
  </si>
  <si>
    <t>Q2M296-4</t>
  </si>
  <si>
    <t>Q2M2I8</t>
  </si>
  <si>
    <t>Q2M2Z5-5</t>
  </si>
  <si>
    <t>Q2M389</t>
  </si>
  <si>
    <t>Q2M389-2</t>
  </si>
  <si>
    <t>Q2M3G4-2</t>
  </si>
  <si>
    <t>Q2NL82</t>
  </si>
  <si>
    <t>Q2NL98</t>
  </si>
  <si>
    <t>Q2PPJ7-3</t>
  </si>
  <si>
    <t>Q2Q1W2</t>
  </si>
  <si>
    <t>Q2TAL8</t>
  </si>
  <si>
    <t>Q2TAM5</t>
  </si>
  <si>
    <t>Q2TAY7</t>
  </si>
  <si>
    <t>Q2TAZ0</t>
  </si>
  <si>
    <t>Q2TB10</t>
  </si>
  <si>
    <t>Q2TBE0</t>
  </si>
  <si>
    <t>Q2TBF2</t>
  </si>
  <si>
    <t>Q2VPK5</t>
  </si>
  <si>
    <t>Q2YD98-2</t>
  </si>
  <si>
    <t>Q32M88</t>
  </si>
  <si>
    <t>Q32MK0</t>
  </si>
  <si>
    <t>Q32MZ4-3</t>
  </si>
  <si>
    <t>Q32N00</t>
  </si>
  <si>
    <t>Q32P28</t>
  </si>
  <si>
    <t>Q32P41</t>
  </si>
  <si>
    <t>Q32P44</t>
  </si>
  <si>
    <t>Q3B726</t>
  </si>
  <si>
    <t>Q3KQU3-2</t>
  </si>
  <si>
    <t>Q3KQU3-3</t>
  </si>
  <si>
    <t>Q3KQV3</t>
  </si>
  <si>
    <t>Q3KQV9</t>
  </si>
  <si>
    <t>Q3KRA9</t>
  </si>
  <si>
    <t>Q3LXA3</t>
  </si>
  <si>
    <t>Q3MHD2</t>
  </si>
  <si>
    <t>Q3MII6</t>
  </si>
  <si>
    <t>Q3MIT2</t>
  </si>
  <si>
    <t>Q3SXM5</t>
  </si>
  <si>
    <t>Q3SY69</t>
  </si>
  <si>
    <t>Q3T8J9-3</t>
  </si>
  <si>
    <t>Q3V6T2-2</t>
  </si>
  <si>
    <t>Q3V6T2-5</t>
  </si>
  <si>
    <t>Q3YEC7</t>
  </si>
  <si>
    <t>Q3ZAQ7</t>
  </si>
  <si>
    <t>Q3ZCM7</t>
  </si>
  <si>
    <t>Q3ZCV1</t>
  </si>
  <si>
    <t>Q3ZCW2</t>
  </si>
  <si>
    <t>Q499Z4</t>
  </si>
  <si>
    <t>Q49A26-2</t>
  </si>
  <si>
    <t>Q49A88-2</t>
  </si>
  <si>
    <t>Q49AN0-2</t>
  </si>
  <si>
    <t>Q49AR2</t>
  </si>
  <si>
    <t>Q49B96</t>
  </si>
  <si>
    <t>Q4G0F5</t>
  </si>
  <si>
    <t>Q4G0J3</t>
  </si>
  <si>
    <t>Q4G0M0</t>
  </si>
  <si>
    <t>Q4G0N4</t>
  </si>
  <si>
    <t>Q4G176</t>
  </si>
  <si>
    <t>Q4J6C6-4</t>
  </si>
  <si>
    <t>Q4KMP7</t>
  </si>
  <si>
    <t>Q4KWH8-3</t>
  </si>
  <si>
    <t>Q4LDG9-3</t>
  </si>
  <si>
    <t>Q4LE39-2</t>
  </si>
  <si>
    <t>Q4V328</t>
  </si>
  <si>
    <t>Q4VC05</t>
  </si>
  <si>
    <t>Q4VC05-2</t>
  </si>
  <si>
    <t>Q4VC44</t>
  </si>
  <si>
    <t>Q4W8S1</t>
  </si>
  <si>
    <t>Q504Q3-2</t>
  </si>
  <si>
    <t>Q52LJ0-2</t>
  </si>
  <si>
    <t>Q52LR7</t>
  </si>
  <si>
    <t>Q53EL6-2</t>
  </si>
  <si>
    <t>Q53ET0</t>
  </si>
  <si>
    <t>Q53EZ4</t>
  </si>
  <si>
    <t>Q53F19</t>
  </si>
  <si>
    <t>Q53FA7</t>
  </si>
  <si>
    <t>Q53FT3</t>
  </si>
  <si>
    <t>Q53FZ2</t>
  </si>
  <si>
    <t>Q53H47</t>
  </si>
  <si>
    <t>Q53H54</t>
  </si>
  <si>
    <t>Q53H82</t>
  </si>
  <si>
    <t>Q53H96</t>
  </si>
  <si>
    <t>Q53HC5</t>
  </si>
  <si>
    <t>Q53HC9</t>
  </si>
  <si>
    <t>Q53HL2</t>
  </si>
  <si>
    <t>Q53HV7</t>
  </si>
  <si>
    <t>Q53LP3</t>
  </si>
  <si>
    <t>Q53QZ3</t>
  </si>
  <si>
    <t>Q53S33</t>
  </si>
  <si>
    <t>Q53T59</t>
  </si>
  <si>
    <t>Q53TQ3</t>
  </si>
  <si>
    <t>Q562E7</t>
  </si>
  <si>
    <t>Q562F6-2</t>
  </si>
  <si>
    <t>Q567Q0</t>
  </si>
  <si>
    <t>Q56A73</t>
  </si>
  <si>
    <t>Q56NI9</t>
  </si>
  <si>
    <t>Q56UN5-2</t>
  </si>
  <si>
    <t>Q587J8</t>
  </si>
  <si>
    <t>Q58A45-3</t>
  </si>
  <si>
    <t>Q58EX7-2</t>
  </si>
  <si>
    <t>Q58FF8</t>
  </si>
  <si>
    <t>Q58FG1</t>
  </si>
  <si>
    <t>Q58WW2</t>
  </si>
  <si>
    <t>Q59GN2</t>
  </si>
  <si>
    <t>Q5BJF6-9</t>
  </si>
  <si>
    <t>Q5BKU9</t>
  </si>
  <si>
    <t>Q5BKX5</t>
  </si>
  <si>
    <t>Q5BKZ1</t>
  </si>
  <si>
    <t>Q5C9Z4</t>
  </si>
  <si>
    <t>Q5D0E6-2</t>
  </si>
  <si>
    <t>Q5D862</t>
  </si>
  <si>
    <t>Q5EBL4</t>
  </si>
  <si>
    <t>Q5EBL8</t>
  </si>
  <si>
    <t>Q5EBM0</t>
  </si>
  <si>
    <t>Q5F1R6</t>
  </si>
  <si>
    <t>Q5FBB7-5</t>
  </si>
  <si>
    <t>Q5FWF5</t>
  </si>
  <si>
    <t>Q5GLZ8-2</t>
  </si>
  <si>
    <t>Q5H937</t>
  </si>
  <si>
    <t>Q5H9A7</t>
  </si>
  <si>
    <t>Q5HYC2-2</t>
  </si>
  <si>
    <t>Q5JP53</t>
  </si>
  <si>
    <t>Q5JPE7-2</t>
  </si>
  <si>
    <t>Q5JPF3</t>
  </si>
  <si>
    <t>Q5JPI3-2</t>
  </si>
  <si>
    <t>Q5JPI9</t>
  </si>
  <si>
    <t>Q5JR08</t>
  </si>
  <si>
    <t>Q5JRA6-2</t>
  </si>
  <si>
    <t>Q5JRG1</t>
  </si>
  <si>
    <t>Q5JRX3</t>
  </si>
  <si>
    <t>Q5JS37-2</t>
  </si>
  <si>
    <t>Q5JS54</t>
  </si>
  <si>
    <t>Q5JSB5</t>
  </si>
  <si>
    <t>Q5JSH3-2</t>
  </si>
  <si>
    <t>Q5JSJ4</t>
  </si>
  <si>
    <t>Q5JSL3</t>
  </si>
  <si>
    <t>Q5JSZ5</t>
  </si>
  <si>
    <t>Q5JTD0-2</t>
  </si>
  <si>
    <t>Q5JTH9</t>
  </si>
  <si>
    <t>Q5JTJ3-3</t>
  </si>
  <si>
    <t>Q5JTV1</t>
  </si>
  <si>
    <t>Q5JTV8</t>
  </si>
  <si>
    <t>Q5JTZ9</t>
  </si>
  <si>
    <t>Q5JU21</t>
  </si>
  <si>
    <t>Q5JU85-3</t>
  </si>
  <si>
    <t>Q5JUL1</t>
  </si>
  <si>
    <t>Q5JUR7</t>
  </si>
  <si>
    <t>Q5JVF3-3</t>
  </si>
  <si>
    <t>Q5JVZ5</t>
  </si>
  <si>
    <t>Q5JW30</t>
  </si>
  <si>
    <t>Q5JXC2</t>
  </si>
  <si>
    <t>Q5K4L6-2</t>
  </si>
  <si>
    <t>Q5K651</t>
  </si>
  <si>
    <t>Q5LJA5</t>
  </si>
  <si>
    <t>Q5M775-4</t>
  </si>
  <si>
    <t>Q5M9N0</t>
  </si>
  <si>
    <t>Q5MIZ7-2</t>
  </si>
  <si>
    <t>Q5MNZ6</t>
  </si>
  <si>
    <t>Q5Q9G8</t>
  </si>
  <si>
    <t>Q5QJ74</t>
  </si>
  <si>
    <t>Q5QNY5</t>
  </si>
  <si>
    <t>Q5QNZ2</t>
  </si>
  <si>
    <t>Q5QP56</t>
  </si>
  <si>
    <t>Q5QP82</t>
  </si>
  <si>
    <t>Q5QPL9</t>
  </si>
  <si>
    <t>Q5QPM7</t>
  </si>
  <si>
    <t>Q5R372-4</t>
  </si>
  <si>
    <t>Q5R372-7</t>
  </si>
  <si>
    <t>Q5R3I4</t>
  </si>
  <si>
    <t>Q5RHP9-3</t>
  </si>
  <si>
    <t>Q5RKV6</t>
  </si>
  <si>
    <t>Q5SNT6</t>
  </si>
  <si>
    <t>Q5SNW6</t>
  </si>
  <si>
    <t>Q5SQM6</t>
  </si>
  <si>
    <t>Q5SRE5</t>
  </si>
  <si>
    <t>Q5SRN1</t>
  </si>
  <si>
    <t>Q5SSJ5</t>
  </si>
  <si>
    <t>Q5ST30</t>
  </si>
  <si>
    <t>Q5SW79</t>
  </si>
  <si>
    <t>Q5SW79-2</t>
  </si>
  <si>
    <t>Q5SW96</t>
  </si>
  <si>
    <t>Q5SXM2</t>
  </si>
  <si>
    <t>Q5SY16</t>
  </si>
  <si>
    <t>Q5SY21</t>
  </si>
  <si>
    <t>Q5T011-5</t>
  </si>
  <si>
    <t>Q5T0N5-3</t>
  </si>
  <si>
    <t>Q5T123</t>
  </si>
  <si>
    <t>Q5T160</t>
  </si>
  <si>
    <t>Q5T171</t>
  </si>
  <si>
    <t>Q5T1C6</t>
  </si>
  <si>
    <t>Q5T1M5</t>
  </si>
  <si>
    <t>Q5T1V6</t>
  </si>
  <si>
    <t>Q5T200</t>
  </si>
  <si>
    <t>Q5T2D3</t>
  </si>
  <si>
    <t>Q5T2J3</t>
  </si>
  <si>
    <t>Q5T321</t>
  </si>
  <si>
    <t>Q5T3I0</t>
  </si>
  <si>
    <t>Q5T3J3</t>
  </si>
  <si>
    <t>Q5T427</t>
  </si>
  <si>
    <t>Q5T440</t>
  </si>
  <si>
    <t>Q5T4F4-6</t>
  </si>
  <si>
    <t>Q5T4P9</t>
  </si>
  <si>
    <t>Q5T4S7-3</t>
  </si>
  <si>
    <t>Q5T4T6</t>
  </si>
  <si>
    <t>Q5T534</t>
  </si>
  <si>
    <t>Q5T5C0-3</t>
  </si>
  <si>
    <t>Q5T5U3</t>
  </si>
  <si>
    <t>Q5T5X7</t>
  </si>
  <si>
    <t>Q5T5Y3</t>
  </si>
  <si>
    <t>Q5T6F2</t>
  </si>
  <si>
    <t>Q5T6V5</t>
  </si>
  <si>
    <t>Q5T749</t>
  </si>
  <si>
    <t>Q5T7A2</t>
  </si>
  <si>
    <t>Q5T7V8</t>
  </si>
  <si>
    <t>Q5T8A7</t>
  </si>
  <si>
    <t>Q5T8I3</t>
  </si>
  <si>
    <t>Q5T8P6-3</t>
  </si>
  <si>
    <t>Q5T985</t>
  </si>
  <si>
    <t>Q5TA31</t>
  </si>
  <si>
    <t>Q5TA45-3</t>
  </si>
  <si>
    <t>Q5TA50</t>
  </si>
  <si>
    <t>Q5TA58</t>
  </si>
  <si>
    <t>Q5TAP6</t>
  </si>
  <si>
    <t>Q5TAQ0</t>
  </si>
  <si>
    <t>Q5TAX3</t>
  </si>
  <si>
    <t>Q5TB80-2</t>
  </si>
  <si>
    <t>Q5TBB1</t>
  </si>
  <si>
    <t>Q5TBP9</t>
  </si>
  <si>
    <t>Q5TC12</t>
  </si>
  <si>
    <t>Q5TC79</t>
  </si>
  <si>
    <t>Q5TC82</t>
  </si>
  <si>
    <t>Q5TCQ9-3</t>
  </si>
  <si>
    <t>Q5TCU3</t>
  </si>
  <si>
    <t>Q5TDH0</t>
  </si>
  <si>
    <t>Q5TEC3</t>
  </si>
  <si>
    <t>Q5TEJ8</t>
  </si>
  <si>
    <t>Q5TEU4-2</t>
  </si>
  <si>
    <t>Q5TFE4</t>
  </si>
  <si>
    <t>Q5TGY1</t>
  </si>
  <si>
    <t>Q5TGY3</t>
  </si>
  <si>
    <t>Q5THJ1</t>
  </si>
  <si>
    <t>Q5THJ4-2</t>
  </si>
  <si>
    <t>Q5THK1</t>
  </si>
  <si>
    <t>Q5TZA2</t>
  </si>
  <si>
    <t>Q5U5Q3</t>
  </si>
  <si>
    <t>Q5U5X0</t>
  </si>
  <si>
    <t>Q5U623</t>
  </si>
  <si>
    <t>Q5UIP0-2</t>
  </si>
  <si>
    <t>Q5VIR6-4</t>
  </si>
  <si>
    <t>Q5VSL9</t>
  </si>
  <si>
    <t>Q5VSY0-2</t>
  </si>
  <si>
    <t>Q5VT06</t>
  </si>
  <si>
    <t>Q5VT25-4</t>
  </si>
  <si>
    <t>Q5VT52</t>
  </si>
  <si>
    <t>Q5VTD9-2</t>
  </si>
  <si>
    <t>Q5VTL8</t>
  </si>
  <si>
    <t>Q5VTR2</t>
  </si>
  <si>
    <t>Q5VTU3</t>
  </si>
  <si>
    <t>Q5VU43-3</t>
  </si>
  <si>
    <t>Q5VU58</t>
  </si>
  <si>
    <t>Q5VUA4</t>
  </si>
  <si>
    <t>Q5VV41</t>
  </si>
  <si>
    <t>Q5VV42</t>
  </si>
  <si>
    <t>Q5VV52-2</t>
  </si>
  <si>
    <t>Q5VV67-2</t>
  </si>
  <si>
    <t>Q5VVD7</t>
  </si>
  <si>
    <t>Q5VVJ2</t>
  </si>
  <si>
    <t>Q5VVL7</t>
  </si>
  <si>
    <t>Q5VVQ6</t>
  </si>
  <si>
    <t>Q5VW00</t>
  </si>
  <si>
    <t>Q5VW32</t>
  </si>
  <si>
    <t>Q5VWG9</t>
  </si>
  <si>
    <t>Q5VWJ9</t>
  </si>
  <si>
    <t>Q5VWN6</t>
  </si>
  <si>
    <t>Q5VWP2</t>
  </si>
  <si>
    <t>Q5VWQ0</t>
  </si>
  <si>
    <t>Q5VWZ2</t>
  </si>
  <si>
    <t>Q5VXM9</t>
  </si>
  <si>
    <t>Q5VYK3</t>
  </si>
  <si>
    <t>Q5VYS8-6</t>
  </si>
  <si>
    <t>Q5VYV7</t>
  </si>
  <si>
    <t>Q5VZE5</t>
  </si>
  <si>
    <t>Q5VZK9</t>
  </si>
  <si>
    <t>Q5VZL5-4</t>
  </si>
  <si>
    <t>Q5VZM2-2</t>
  </si>
  <si>
    <t>Q5W0B1</t>
  </si>
  <si>
    <t>Q5W0V3</t>
  </si>
  <si>
    <t>Q5XLC2</t>
  </si>
  <si>
    <t>Q5XPI4</t>
  </si>
  <si>
    <t>Q5XUX1-3</t>
  </si>
  <si>
    <t>Q63HM1</t>
  </si>
  <si>
    <t>Q63HN8</t>
  </si>
  <si>
    <t>Q63HQ0</t>
  </si>
  <si>
    <t>Q658Y4</t>
  </si>
  <si>
    <t>Q659A1</t>
  </si>
  <si>
    <t>Q659C4</t>
  </si>
  <si>
    <t>Q66GS9</t>
  </si>
  <si>
    <t>Q66K14-2</t>
  </si>
  <si>
    <t>Q66K64</t>
  </si>
  <si>
    <t>Q66LE6</t>
  </si>
  <si>
    <t>Q66PJ3</t>
  </si>
  <si>
    <t>Q676U5-2</t>
  </si>
  <si>
    <t>Q68CP9</t>
  </si>
  <si>
    <t>Q68CQ4</t>
  </si>
  <si>
    <t>Q68CZ6</t>
  </si>
  <si>
    <t>Q68D10</t>
  </si>
  <si>
    <t>Q68D20</t>
  </si>
  <si>
    <t>Q68DC2</t>
  </si>
  <si>
    <t>Q68DK2-2</t>
  </si>
  <si>
    <t>Q68DQ2</t>
  </si>
  <si>
    <t>Q68E01-2</t>
  </si>
  <si>
    <t>Q68EM7</t>
  </si>
  <si>
    <t>Q69YN2</t>
  </si>
  <si>
    <t>Q69YN4-3</t>
  </si>
  <si>
    <t>Q69YQ0-2</t>
  </si>
  <si>
    <t>Q6AHZ1</t>
  </si>
  <si>
    <t>Q6AI08</t>
  </si>
  <si>
    <t>Q6AI12</t>
  </si>
  <si>
    <t>Q6AI39</t>
  </si>
  <si>
    <t>Q6AWC2-3</t>
  </si>
  <si>
    <t>Q6AZZ1</t>
  </si>
  <si>
    <t>Q6BCY4</t>
  </si>
  <si>
    <t>Q6BDS2</t>
  </si>
  <si>
    <t>Q6DD87</t>
  </si>
  <si>
    <t>Q6DHV7-3</t>
  </si>
  <si>
    <t>Q6DKI1</t>
  </si>
  <si>
    <t>Q6DKJ4</t>
  </si>
  <si>
    <t>Q6DKK2</t>
  </si>
  <si>
    <t>Q6DN90-2</t>
  </si>
  <si>
    <t>Q6DT37</t>
  </si>
  <si>
    <t>Q6EEV4-2</t>
  </si>
  <si>
    <t>Q6EMK4</t>
  </si>
  <si>
    <t>Q6F5E8</t>
  </si>
  <si>
    <t>Q6FI81-3</t>
  </si>
  <si>
    <t>Q6FIF0-2</t>
  </si>
  <si>
    <t>Q6GMV2</t>
  </si>
  <si>
    <t>Q6GMV3</t>
  </si>
  <si>
    <t>Q6GQQ9</t>
  </si>
  <si>
    <t>Q6GYQ0</t>
  </si>
  <si>
    <t>Q6I9Y2</t>
  </si>
  <si>
    <t>Q6IA69</t>
  </si>
  <si>
    <t>Q6IA86-3</t>
  </si>
  <si>
    <t>Q6IAA8</t>
  </si>
  <si>
    <t>Q6IBS0</t>
  </si>
  <si>
    <t>Q6IBW4</t>
  </si>
  <si>
    <t>Q6ICB0</t>
  </si>
  <si>
    <t>Q6ICL3-3</t>
  </si>
  <si>
    <t>Q6IE81-2</t>
  </si>
  <si>
    <t>Q6IN84</t>
  </si>
  <si>
    <t>Q6IN85</t>
  </si>
  <si>
    <t>Q6IPR1</t>
  </si>
  <si>
    <t>Q6IPR3</t>
  </si>
  <si>
    <t>Q6IQ22</t>
  </si>
  <si>
    <t>Q6IQ26-2</t>
  </si>
  <si>
    <t>Q6IQ32</t>
  </si>
  <si>
    <t>Q6IQ49-2</t>
  </si>
  <si>
    <t>Q6JBY9</t>
  </si>
  <si>
    <t>Q6KC79-2</t>
  </si>
  <si>
    <t>Q6L8Q7-2</t>
  </si>
  <si>
    <t>Q6MZP7</t>
  </si>
  <si>
    <t>Q6MZP7-4</t>
  </si>
  <si>
    <t>Q6N021-2</t>
  </si>
  <si>
    <t>Q6N043-2</t>
  </si>
  <si>
    <t>Q6N063</t>
  </si>
  <si>
    <t>Q6N069</t>
  </si>
  <si>
    <t>Q6NS38</t>
  </si>
  <si>
    <t>Q6NSB6</t>
  </si>
  <si>
    <t>Q6NSH3</t>
  </si>
  <si>
    <t>Q6NSJ2</t>
  </si>
  <si>
    <t>Q6NSZ9</t>
  </si>
  <si>
    <t>Q6NT76-2</t>
  </si>
  <si>
    <t>Q6NTE8</t>
  </si>
  <si>
    <t>Q6NUM6</t>
  </si>
  <si>
    <t>Q6NUQ1</t>
  </si>
  <si>
    <t>Q6NUQ4-2</t>
  </si>
  <si>
    <t>Q6NVY1</t>
  </si>
  <si>
    <t>Q6NW34-2</t>
  </si>
  <si>
    <t>Q6NXE6-2</t>
  </si>
  <si>
    <t>Q6NXT1</t>
  </si>
  <si>
    <t>Q6NYC8</t>
  </si>
  <si>
    <t>Q6NZ36-3</t>
  </si>
  <si>
    <t>Q6NZI2</t>
  </si>
  <si>
    <t>Q6NZY4</t>
  </si>
  <si>
    <t>Q6P052</t>
  </si>
  <si>
    <t>Q6P0N0</t>
  </si>
  <si>
    <t>Q6P158</t>
  </si>
  <si>
    <t>Q6P161</t>
  </si>
  <si>
    <t>Q6P1J9</t>
  </si>
  <si>
    <t>Q6P1K2</t>
  </si>
  <si>
    <t>Q6P1K8</t>
  </si>
  <si>
    <t>Q6P1L5</t>
  </si>
  <si>
    <t>Q6P1L8</t>
  </si>
  <si>
    <t>Q6P1M0</t>
  </si>
  <si>
    <t>Q6P1M9</t>
  </si>
  <si>
    <t>Q6P1N0-2</t>
  </si>
  <si>
    <t>Q6P1N9</t>
  </si>
  <si>
    <t>Q6P1Q9</t>
  </si>
  <si>
    <t>Q6P1R4</t>
  </si>
  <si>
    <t>Q6P1X5</t>
  </si>
  <si>
    <t>Q6P1X6</t>
  </si>
  <si>
    <t>Q6P275</t>
  </si>
  <si>
    <t>Q6P2C8</t>
  </si>
  <si>
    <t>Q6P2E9</t>
  </si>
  <si>
    <t>Q6P2H3-2</t>
  </si>
  <si>
    <t>Q6P2I3</t>
  </si>
  <si>
    <t>Q6P2P2</t>
  </si>
  <si>
    <t>Q6P2Q9</t>
  </si>
  <si>
    <t>Q6P3S1-5</t>
  </si>
  <si>
    <t>Q6P3S6</t>
  </si>
  <si>
    <t>Q6P3W7</t>
  </si>
  <si>
    <t>Q6P3X3</t>
  </si>
  <si>
    <t>Q6P4A8</t>
  </si>
  <si>
    <t>Q6P4F2</t>
  </si>
  <si>
    <t>Q6P4I2</t>
  </si>
  <si>
    <t>Q6P582</t>
  </si>
  <si>
    <t>Q6P587</t>
  </si>
  <si>
    <t>Q6P5Z2</t>
  </si>
  <si>
    <t>Q6P6B7-2</t>
  </si>
  <si>
    <t>Q6P6C2</t>
  </si>
  <si>
    <t>Q6P9B6</t>
  </si>
  <si>
    <t>Q6P9B9</t>
  </si>
  <si>
    <t>Q6PCB5</t>
  </si>
  <si>
    <t>Q6PCE3</t>
  </si>
  <si>
    <t>Q6PCT2-2</t>
  </si>
  <si>
    <t>Q6PD62</t>
  </si>
  <si>
    <t>Q6PD74</t>
  </si>
  <si>
    <t>Q6PEV8-2</t>
  </si>
  <si>
    <t>Q6PFW1-7</t>
  </si>
  <si>
    <t>Q6PGN9-2</t>
  </si>
  <si>
    <t>Q6PH81-2</t>
  </si>
  <si>
    <t>Q6PHR2-3</t>
  </si>
  <si>
    <t>Q6PI47-2</t>
  </si>
  <si>
    <t>Q6PI48</t>
  </si>
  <si>
    <t>Q6PI57</t>
  </si>
  <si>
    <t>Q6PID6</t>
  </si>
  <si>
    <t>Q6PII3</t>
  </si>
  <si>
    <t>Q6PII5-2</t>
  </si>
  <si>
    <t>Q6PIJ6</t>
  </si>
  <si>
    <t>Q6PIW4-2</t>
  </si>
  <si>
    <t>Q6PJ61</t>
  </si>
  <si>
    <t>Q6PJ69</t>
  </si>
  <si>
    <t>Q6PJG2</t>
  </si>
  <si>
    <t>Q6PJG6</t>
  </si>
  <si>
    <t>Q6PJI9</t>
  </si>
  <si>
    <t>Q6PJT7-3</t>
  </si>
  <si>
    <t>Q6PJT7-5</t>
  </si>
  <si>
    <t>Q6PJW8-2</t>
  </si>
  <si>
    <t>Q6PK04</t>
  </si>
  <si>
    <t>Q6PKG0</t>
  </si>
  <si>
    <t>Q6PL18</t>
  </si>
  <si>
    <t>Q6PL24</t>
  </si>
  <si>
    <t>Q6QNY0</t>
  </si>
  <si>
    <t>Q6QNY1</t>
  </si>
  <si>
    <t>Q6R327</t>
  </si>
  <si>
    <t>Q6RI45-5</t>
  </si>
  <si>
    <t>Q6RW13-2</t>
  </si>
  <si>
    <t>Q6SPF0</t>
  </si>
  <si>
    <t>Q6STE5-2</t>
  </si>
  <si>
    <t>Q6T4P5-4</t>
  </si>
  <si>
    <t>Q6UB35</t>
  </si>
  <si>
    <t>Q6UB99</t>
  </si>
  <si>
    <t>Q6ULP2-5</t>
  </si>
  <si>
    <t>Q6UN15</t>
  </si>
  <si>
    <t>Q6UN15-3</t>
  </si>
  <si>
    <t>Q6UUV7-3</t>
  </si>
  <si>
    <t>Q6UUV9-3</t>
  </si>
  <si>
    <t>Q6UVJ0</t>
  </si>
  <si>
    <t>Q6UW63</t>
  </si>
  <si>
    <t>Q6UWE0</t>
  </si>
  <si>
    <t>Q6UWP2</t>
  </si>
  <si>
    <t>Q6UWP8</t>
  </si>
  <si>
    <t>Q6UX04</t>
  </si>
  <si>
    <t>Q6UXH1-4</t>
  </si>
  <si>
    <t>Q6UXN9</t>
  </si>
  <si>
    <t>Q6UXV4</t>
  </si>
  <si>
    <t>Q6VY07</t>
  </si>
  <si>
    <t>Q6W2J9-4</t>
  </si>
  <si>
    <t>Q6WCQ1</t>
  </si>
  <si>
    <t>Q6WKZ4</t>
  </si>
  <si>
    <t>Q6WRI0</t>
  </si>
  <si>
    <t>Q6XQN6</t>
  </si>
  <si>
    <t>Q6XZF7</t>
  </si>
  <si>
    <t>Q6Y7W6</t>
  </si>
  <si>
    <t>Q6YHU6-3</t>
  </si>
  <si>
    <t>Q6YN16</t>
  </si>
  <si>
    <t>Q6YP21-3</t>
  </si>
  <si>
    <t>Q6ZMI0</t>
  </si>
  <si>
    <t>Q6ZN04</t>
  </si>
  <si>
    <t>Q6ZN06</t>
  </si>
  <si>
    <t>Q6ZN17</t>
  </si>
  <si>
    <t>Q6ZN18-2</t>
  </si>
  <si>
    <t>Q6ZN28</t>
  </si>
  <si>
    <t>Q6ZN55</t>
  </si>
  <si>
    <t>Q6ZNB6</t>
  </si>
  <si>
    <t>Q6ZNG1</t>
  </si>
  <si>
    <t>Q6ZNJ1-2</t>
  </si>
  <si>
    <t>Q6ZNW5</t>
  </si>
  <si>
    <t>Q6ZQN7</t>
  </si>
  <si>
    <t>Q6ZRP7</t>
  </si>
  <si>
    <t>Q6ZRS2-2</t>
  </si>
  <si>
    <t>Q6ZS11</t>
  </si>
  <si>
    <t>Q6ZS17-2</t>
  </si>
  <si>
    <t>Q6ZSJ8</t>
  </si>
  <si>
    <t>Q6ZSZ5-2</t>
  </si>
  <si>
    <t>Q6ZT12</t>
  </si>
  <si>
    <t>Q6ZT62</t>
  </si>
  <si>
    <t>Q6ZTN6</t>
  </si>
  <si>
    <t>Q6ZU65</t>
  </si>
  <si>
    <t>Q6ZUT1-3</t>
  </si>
  <si>
    <t>Q6ZV70-2</t>
  </si>
  <si>
    <t>Q6ZVK8</t>
  </si>
  <si>
    <t>Q6ZVM7</t>
  </si>
  <si>
    <t>Q6ZW49-4</t>
  </si>
  <si>
    <t>Q6ZYL4</t>
  </si>
  <si>
    <t>Q709C8-3</t>
  </si>
  <si>
    <t>Q70CQ2</t>
  </si>
  <si>
    <t>Q70EK8</t>
  </si>
  <si>
    <t>Q70EL1-7</t>
  </si>
  <si>
    <t>Q70IA6</t>
  </si>
  <si>
    <t>Q70J99</t>
  </si>
  <si>
    <t>Q70UQ0-4</t>
  </si>
  <si>
    <t>Q70Z53</t>
  </si>
  <si>
    <t>Q711Q0</t>
  </si>
  <si>
    <t>Q712K3</t>
  </si>
  <si>
    <t>Q71F56</t>
  </si>
  <si>
    <t>Q71RC2-3</t>
  </si>
  <si>
    <t>Q71SY5-4</t>
  </si>
  <si>
    <t>Q71U36-2</t>
  </si>
  <si>
    <t>Q71UI9</t>
  </si>
  <si>
    <t>Q71UM5</t>
  </si>
  <si>
    <t>Q75N03</t>
  </si>
  <si>
    <t>Q75QN2-2</t>
  </si>
  <si>
    <t>Q765P7</t>
  </si>
  <si>
    <t>Q76FK4-4</t>
  </si>
  <si>
    <t>Q76I76</t>
  </si>
  <si>
    <t>Q76N32-2</t>
  </si>
  <si>
    <t>Q7KZ85</t>
  </si>
  <si>
    <t>Q7KZF4</t>
  </si>
  <si>
    <t>Q7KZI7-14</t>
  </si>
  <si>
    <t>Q7KZJ0</t>
  </si>
  <si>
    <t>Q7L014</t>
  </si>
  <si>
    <t>Q7L099-2</t>
  </si>
  <si>
    <t>Q7L099-4</t>
  </si>
  <si>
    <t>Q7L0Y3</t>
  </si>
  <si>
    <t>Q7L1Q6</t>
  </si>
  <si>
    <t>Q7L1T6</t>
  </si>
  <si>
    <t>Q7L1V2</t>
  </si>
  <si>
    <t>Q7L266</t>
  </si>
  <si>
    <t>Q7L273</t>
  </si>
  <si>
    <t>Q7L2H7</t>
  </si>
  <si>
    <t>Q7L2J0</t>
  </si>
  <si>
    <t>Q7L3S4</t>
  </si>
  <si>
    <t>Q7L3T8</t>
  </si>
  <si>
    <t>Q7L3V2</t>
  </si>
  <si>
    <t>Q7L4I2</t>
  </si>
  <si>
    <t>Q7L523</t>
  </si>
  <si>
    <t>Q7L576</t>
  </si>
  <si>
    <t>Q7L590-2</t>
  </si>
  <si>
    <t>Q7L5D6</t>
  </si>
  <si>
    <t>Q7L5Y1</t>
  </si>
  <si>
    <t>Q7L5Y9</t>
  </si>
  <si>
    <t>Q7L775</t>
  </si>
  <si>
    <t>Q7L7X3</t>
  </si>
  <si>
    <t>Q7L8J4</t>
  </si>
  <si>
    <t>Q7L8L6</t>
  </si>
  <si>
    <t>Q7L8W6</t>
  </si>
  <si>
    <t>Q7L945</t>
  </si>
  <si>
    <t>Q7LBC6</t>
  </si>
  <si>
    <t>Q7LBR1</t>
  </si>
  <si>
    <t>Q7LDG7</t>
  </si>
  <si>
    <t>Q7LG56</t>
  </si>
  <si>
    <t>Q7RTN6-6</t>
  </si>
  <si>
    <t>Q7RTP6</t>
  </si>
  <si>
    <t>Q7RTS7</t>
  </si>
  <si>
    <t>Q7RTS9</t>
  </si>
  <si>
    <t>Q7RTV0</t>
  </si>
  <si>
    <t>Q7Z2E3-3</t>
  </si>
  <si>
    <t>Q7Z2K8</t>
  </si>
  <si>
    <t>Q7Z2T5</t>
  </si>
  <si>
    <t>Q7Z2W4</t>
  </si>
  <si>
    <t>Q7Z2Z1-2</t>
  </si>
  <si>
    <t>Q7Z2Z2</t>
  </si>
  <si>
    <t>Q7Z309</t>
  </si>
  <si>
    <t>Q7Z333-3</t>
  </si>
  <si>
    <t>Q7Z392</t>
  </si>
  <si>
    <t>Q7Z3B3</t>
  </si>
  <si>
    <t>Q7Z3D4</t>
  </si>
  <si>
    <t>Q7Z3E2</t>
  </si>
  <si>
    <t>Q7Z3J2</t>
  </si>
  <si>
    <t>Q7Z3K3-5</t>
  </si>
  <si>
    <t>Q7Z3K6-4</t>
  </si>
  <si>
    <t>Q7Z3T8</t>
  </si>
  <si>
    <t>Q7Z3V4</t>
  </si>
  <si>
    <t>Q7Z3Z2</t>
  </si>
  <si>
    <t>Q7Z401</t>
  </si>
  <si>
    <t>Q7Z406</t>
  </si>
  <si>
    <t>Q7Z417</t>
  </si>
  <si>
    <t>Q7Z422-2</t>
  </si>
  <si>
    <t>Q7Z434</t>
  </si>
  <si>
    <t>Q7Z460</t>
  </si>
  <si>
    <t>Q7Z478</t>
  </si>
  <si>
    <t>Q7Z494-2</t>
  </si>
  <si>
    <t>Q7Z4G1</t>
  </si>
  <si>
    <t>Q7Z4H3</t>
  </si>
  <si>
    <t>Q7Z4H7</t>
  </si>
  <si>
    <t>Q7Z4H8</t>
  </si>
  <si>
    <t>Q7Z4I7-4</t>
  </si>
  <si>
    <t>Q7Z4Q2</t>
  </si>
  <si>
    <t>Q7Z4S6-3</t>
  </si>
  <si>
    <t>Q7Z4V5</t>
  </si>
  <si>
    <t>Q7Z4W1</t>
  </si>
  <si>
    <t>Q7Z591</t>
  </si>
  <si>
    <t>Q7Z5J4-3</t>
  </si>
  <si>
    <t>Q7Z5K2</t>
  </si>
  <si>
    <t>Q7Z5L2-2</t>
  </si>
  <si>
    <t>Q7Z5L9-2</t>
  </si>
  <si>
    <t>Q7Z5W3</t>
  </si>
  <si>
    <t>Q7Z5Y7</t>
  </si>
  <si>
    <t>Q7Z624</t>
  </si>
  <si>
    <t>Q7Z6B0-2</t>
  </si>
  <si>
    <t>Q7Z6E9</t>
  </si>
  <si>
    <t>Q7Z6J9</t>
  </si>
  <si>
    <t>Q7Z6K3</t>
  </si>
  <si>
    <t>Q7Z6L1</t>
  </si>
  <si>
    <t>Q7Z6M1</t>
  </si>
  <si>
    <t>Q7Z6V5</t>
  </si>
  <si>
    <t>Q7Z794</t>
  </si>
  <si>
    <t>Q7Z7A1-5</t>
  </si>
  <si>
    <t>Q7Z7A3</t>
  </si>
  <si>
    <t>Q7Z7A4</t>
  </si>
  <si>
    <t>Q7Z7C8</t>
  </si>
  <si>
    <t>Q7Z7E8</t>
  </si>
  <si>
    <t>Q7Z7F0</t>
  </si>
  <si>
    <t>Q7Z7G8-2</t>
  </si>
  <si>
    <t>Q7Z7H5-3</t>
  </si>
  <si>
    <t>Q7Z7K0</t>
  </si>
  <si>
    <t>Q7Z7K6-3</t>
  </si>
  <si>
    <t>Q86SE9</t>
  </si>
  <si>
    <t>Q86SG6</t>
  </si>
  <si>
    <t>Q86SJ2</t>
  </si>
  <si>
    <t>Q86SQ7</t>
  </si>
  <si>
    <t>Q86SX6</t>
  </si>
  <si>
    <t>Q86SZ2</t>
  </si>
  <si>
    <t>Q86T24</t>
  </si>
  <si>
    <t>Q86TA1</t>
  </si>
  <si>
    <t>Q86TB9-4</t>
  </si>
  <si>
    <t>Q86TI0</t>
  </si>
  <si>
    <t>Q86TI2</t>
  </si>
  <si>
    <t>Q86TJ2-3</t>
  </si>
  <si>
    <t>Q86TN4-2</t>
  </si>
  <si>
    <t>Q86TP1</t>
  </si>
  <si>
    <t>Q86TU7</t>
  </si>
  <si>
    <t>Q86TV2</t>
  </si>
  <si>
    <t>Q86U28</t>
  </si>
  <si>
    <t>Q86U44</t>
  </si>
  <si>
    <t>Q86U70-3</t>
  </si>
  <si>
    <t>Q86U86-8</t>
  </si>
  <si>
    <t>Q86U90</t>
  </si>
  <si>
    <t>Q86UA1</t>
  </si>
  <si>
    <t>Q86UE4</t>
  </si>
  <si>
    <t>Q86UE8-2</t>
  </si>
  <si>
    <t>Q86UK7-3</t>
  </si>
  <si>
    <t>Q86UP2</t>
  </si>
  <si>
    <t>Q86US8</t>
  </si>
  <si>
    <t>Q86UU0-3</t>
  </si>
  <si>
    <t>Q86UU1-2</t>
  </si>
  <si>
    <t>Q86UV5</t>
  </si>
  <si>
    <t>Q86UW6-2</t>
  </si>
  <si>
    <t>Q86UX3</t>
  </si>
  <si>
    <t>Q86UX6</t>
  </si>
  <si>
    <t>Q86UY0</t>
  </si>
  <si>
    <t>Q86UY5</t>
  </si>
  <si>
    <t>Q86UY8-2</t>
  </si>
  <si>
    <t>Q86V21</t>
  </si>
  <si>
    <t>Q86V48</t>
  </si>
  <si>
    <t>Q86V59</t>
  </si>
  <si>
    <t>Q86V87</t>
  </si>
  <si>
    <t>Q86VG3</t>
  </si>
  <si>
    <t>Q86VH3</t>
  </si>
  <si>
    <t>Q86VM9</t>
  </si>
  <si>
    <t>Q86VN1</t>
  </si>
  <si>
    <t>Q86VP1-2</t>
  </si>
  <si>
    <t>Q86VP6</t>
  </si>
  <si>
    <t>Q86VQ1</t>
  </si>
  <si>
    <t>Q86VQ6</t>
  </si>
  <si>
    <t>Q86VR2</t>
  </si>
  <si>
    <t>Q86VS8</t>
  </si>
  <si>
    <t>Q86VU3</t>
  </si>
  <si>
    <t>Q86VV8-3</t>
  </si>
  <si>
    <t>Q86VX2-2</t>
  </si>
  <si>
    <t>Q86VX9</t>
  </si>
  <si>
    <t>Q86VY4</t>
  </si>
  <si>
    <t>Q86W11</t>
  </si>
  <si>
    <t>Q86W34</t>
  </si>
  <si>
    <t>Q86W42</t>
  </si>
  <si>
    <t>Q86W50</t>
  </si>
  <si>
    <t>Q86W56-2</t>
  </si>
  <si>
    <t>Q86W92-4</t>
  </si>
  <si>
    <t>Q86WA6-2</t>
  </si>
  <si>
    <t>Q86WH2</t>
  </si>
  <si>
    <t>Q86WJ1-2</t>
  </si>
  <si>
    <t>Q86WN1</t>
  </si>
  <si>
    <t>Q86WP2-3</t>
  </si>
  <si>
    <t>Q86WQ0</t>
  </si>
  <si>
    <t>Q86WR0</t>
  </si>
  <si>
    <t>Q86WR7</t>
  </si>
  <si>
    <t>Q86WX3</t>
  </si>
  <si>
    <t>Q86X10-3</t>
  </si>
  <si>
    <t>Q86X27</t>
  </si>
  <si>
    <t>Q86X53</t>
  </si>
  <si>
    <t>Q86X55-1</t>
  </si>
  <si>
    <t>Q86X76-2</t>
  </si>
  <si>
    <t>Q86X83</t>
  </si>
  <si>
    <t>Q86X95-2</t>
  </si>
  <si>
    <t>Q86XN6-2</t>
  </si>
  <si>
    <t>Q86XN8</t>
  </si>
  <si>
    <t>Q86XP3</t>
  </si>
  <si>
    <t>Q86Y07-5</t>
  </si>
  <si>
    <t>Q86Y22</t>
  </si>
  <si>
    <t>Q86Y37</t>
  </si>
  <si>
    <t>Q86Y56</t>
  </si>
  <si>
    <t>Q86Y79</t>
  </si>
  <si>
    <t>Q86Y82</t>
  </si>
  <si>
    <t>Q86Y91-2</t>
  </si>
  <si>
    <t>Q86YB8</t>
  </si>
  <si>
    <t>Q86YH2</t>
  </si>
  <si>
    <t>Q86YH6</t>
  </si>
  <si>
    <t>Q86YM7</t>
  </si>
  <si>
    <t>Q86YP4</t>
  </si>
  <si>
    <t>Q86YR5-4</t>
  </si>
  <si>
    <t>Q86YS7</t>
  </si>
  <si>
    <t>Q86YV5</t>
  </si>
  <si>
    <t>Q86YV9</t>
  </si>
  <si>
    <t>Q86YZ3</t>
  </si>
  <si>
    <t>Q8IU60-2</t>
  </si>
  <si>
    <t>Q8IU81</t>
  </si>
  <si>
    <t>Q8IUC4</t>
  </si>
  <si>
    <t>Q8IUD2</t>
  </si>
  <si>
    <t>Q8IUE1</t>
  </si>
  <si>
    <t>Q8IUF8</t>
  </si>
  <si>
    <t>Q8IUG5</t>
  </si>
  <si>
    <t>Q8IUH3-2</t>
  </si>
  <si>
    <t>Q8IUI8</t>
  </si>
  <si>
    <t>Q8IUR0</t>
  </si>
  <si>
    <t>Q8IUW1</t>
  </si>
  <si>
    <t>Q8IUZ5</t>
  </si>
  <si>
    <t>Q8IV08</t>
  </si>
  <si>
    <t>Q8IV32</t>
  </si>
  <si>
    <t>Q8IV38</t>
  </si>
  <si>
    <t>Q8IV48</t>
  </si>
  <si>
    <t>Q8IV50</t>
  </si>
  <si>
    <t>Q8IV63-3</t>
  </si>
  <si>
    <t>Q8IVD9</t>
  </si>
  <si>
    <t>Q8IVL1-10</t>
  </si>
  <si>
    <t>Q8IVM0</t>
  </si>
  <si>
    <t>Q8IVV2</t>
  </si>
  <si>
    <t>Q8IVW6-4</t>
  </si>
  <si>
    <t>Q8IW45</t>
  </si>
  <si>
    <t>Q8IWB7</t>
  </si>
  <si>
    <t>Q8IWC1-2</t>
  </si>
  <si>
    <t>Q8IWD4</t>
  </si>
  <si>
    <t>Q8IWF6</t>
  </si>
  <si>
    <t>Q8IWG1-2</t>
  </si>
  <si>
    <t>Q8IWI9</t>
  </si>
  <si>
    <t>Q8IWJ2</t>
  </si>
  <si>
    <t>Q8IWL3</t>
  </si>
  <si>
    <t>Q8IWR0</t>
  </si>
  <si>
    <t>Q8IWT0</t>
  </si>
  <si>
    <t>Q8IWU2</t>
  </si>
  <si>
    <t>Q8IWV7</t>
  </si>
  <si>
    <t>Q8IWV8</t>
  </si>
  <si>
    <t>Q8IWW6-2</t>
  </si>
  <si>
    <t>Q8IWX8</t>
  </si>
  <si>
    <t>Q8IWY9-1</t>
  </si>
  <si>
    <t>Q8IWZ3-6</t>
  </si>
  <si>
    <t>Q8IWZ8</t>
  </si>
  <si>
    <t>Q8IX01-4</t>
  </si>
  <si>
    <t>Q8IX04-6</t>
  </si>
  <si>
    <t>Q8IX07</t>
  </si>
  <si>
    <t>Q8IX12-2</t>
  </si>
  <si>
    <t>Q8IX15</t>
  </si>
  <si>
    <t>Q8IX18-3</t>
  </si>
  <si>
    <t>Q8IX90</t>
  </si>
  <si>
    <t>Q8IXB1-2</t>
  </si>
  <si>
    <t>Q8IXH7-4</t>
  </si>
  <si>
    <t>Q8IXJ6-2</t>
  </si>
  <si>
    <t>Q8IXJ9</t>
  </si>
  <si>
    <t>Q8IXK0-2</t>
  </si>
  <si>
    <t>Q8IXM3</t>
  </si>
  <si>
    <t>Q8IXQ3</t>
  </si>
  <si>
    <t>Q8IXQ4</t>
  </si>
  <si>
    <t>Q8IXS8</t>
  </si>
  <si>
    <t>Q8IXW5</t>
  </si>
  <si>
    <t>Q8IXZ2</t>
  </si>
  <si>
    <t>Q8IY18</t>
  </si>
  <si>
    <t>Q8IY22</t>
  </si>
  <si>
    <t>Q8IY31</t>
  </si>
  <si>
    <t>Q8IY33</t>
  </si>
  <si>
    <t>Q8IY37</t>
  </si>
  <si>
    <t>Q8IY47</t>
  </si>
  <si>
    <t>Q8IY63-2</t>
  </si>
  <si>
    <t>Q8IY81</t>
  </si>
  <si>
    <t>Q8IY92</t>
  </si>
  <si>
    <t>Q8IYA6</t>
  </si>
  <si>
    <t>Q8IYB5-3</t>
  </si>
  <si>
    <t>Q8IYB7</t>
  </si>
  <si>
    <t>Q8IYB8</t>
  </si>
  <si>
    <t>Q8IYB9</t>
  </si>
  <si>
    <t>Q8IYD1</t>
  </si>
  <si>
    <t>Q8IYE0</t>
  </si>
  <si>
    <t>Q8IYH5-4</t>
  </si>
  <si>
    <t>Q8IYI6</t>
  </si>
  <si>
    <t>Q8IYK4</t>
  </si>
  <si>
    <t>Q8IYL3</t>
  </si>
  <si>
    <t>Q8IYN2</t>
  </si>
  <si>
    <t>Q8IYN6</t>
  </si>
  <si>
    <t>Q8IYN9</t>
  </si>
  <si>
    <t>Q8IYQ7</t>
  </si>
  <si>
    <t>Q8IYT2</t>
  </si>
  <si>
    <t>Q8IYU2</t>
  </si>
  <si>
    <t>Q8IYU8</t>
  </si>
  <si>
    <t>Q8IYW5</t>
  </si>
  <si>
    <t>Q8IZ07</t>
  </si>
  <si>
    <t>Q8IZ13</t>
  </si>
  <si>
    <t>Q8IZ21-3</t>
  </si>
  <si>
    <t>Q8IZ69</t>
  </si>
  <si>
    <t>Q8IZ73</t>
  </si>
  <si>
    <t>Q8IZ83</t>
  </si>
  <si>
    <t>Q8IZD2-6</t>
  </si>
  <si>
    <t>Q8IZE3-2</t>
  </si>
  <si>
    <t>Q8IZH2-2</t>
  </si>
  <si>
    <t>Q8IZJ1-2</t>
  </si>
  <si>
    <t>Q8IZL2</t>
  </si>
  <si>
    <t>Q8IZL8</t>
  </si>
  <si>
    <t>Q8IZP0-10</t>
  </si>
  <si>
    <t>Q8IZQ1-2</t>
  </si>
  <si>
    <t>Q8IZT6-2</t>
  </si>
  <si>
    <t>Q8IZV5</t>
  </si>
  <si>
    <t>Q8N0S2</t>
  </si>
  <si>
    <t>Q8N0T1</t>
  </si>
  <si>
    <t>Q8N0W3</t>
  </si>
  <si>
    <t>Q8N0X7</t>
  </si>
  <si>
    <t>Q8N0Y2-2</t>
  </si>
  <si>
    <t>Q8N0Y7</t>
  </si>
  <si>
    <t>Q8N0Z3</t>
  </si>
  <si>
    <t>Q8N0Z6</t>
  </si>
  <si>
    <t>Q8N108-17</t>
  </si>
  <si>
    <t>Q8N122</t>
  </si>
  <si>
    <t>Q8N129</t>
  </si>
  <si>
    <t>Q8N137-5</t>
  </si>
  <si>
    <t>Q8N142</t>
  </si>
  <si>
    <t>Q8N163</t>
  </si>
  <si>
    <t>Q8N196</t>
  </si>
  <si>
    <t>Q8N1A6</t>
  </si>
  <si>
    <t>Q8N1B4</t>
  </si>
  <si>
    <t>Q8N1F7</t>
  </si>
  <si>
    <t>Q8N1G0</t>
  </si>
  <si>
    <t>Q8N1G1</t>
  </si>
  <si>
    <t>Q8N1G2</t>
  </si>
  <si>
    <t>Q8N1G4</t>
  </si>
  <si>
    <t>Q8N1I1</t>
  </si>
  <si>
    <t>Q8N1N4</t>
  </si>
  <si>
    <t>Q8N1Q1</t>
  </si>
  <si>
    <t>Q8N1W2</t>
  </si>
  <si>
    <t>Q8N201</t>
  </si>
  <si>
    <t>Q8N2F6-3</t>
  </si>
  <si>
    <t>Q8N2I9-3</t>
  </si>
  <si>
    <t>Q8N2W9</t>
  </si>
  <si>
    <t>Q8N300</t>
  </si>
  <si>
    <t>Q8N302</t>
  </si>
  <si>
    <t>Q8N335</t>
  </si>
  <si>
    <t>Q8N344</t>
  </si>
  <si>
    <t>Q8N350</t>
  </si>
  <si>
    <t>Q8N371</t>
  </si>
  <si>
    <t>Q8N392</t>
  </si>
  <si>
    <t>Q8N3C0</t>
  </si>
  <si>
    <t>Q8N3D4</t>
  </si>
  <si>
    <t>Q8N3F8</t>
  </si>
  <si>
    <t>Q8N3J3-3</t>
  </si>
  <si>
    <t>Q8N3P4-3</t>
  </si>
  <si>
    <t>Q8N3R9</t>
  </si>
  <si>
    <t>Q8N3X1</t>
  </si>
  <si>
    <t>Q8N3Y1-2</t>
  </si>
  <si>
    <t>Q8N465-2</t>
  </si>
  <si>
    <t>Q8N488</t>
  </si>
  <si>
    <t>Q8N4C8-4</t>
  </si>
  <si>
    <t>Q8N4J0</t>
  </si>
  <si>
    <t>Q8N4N3-2</t>
  </si>
  <si>
    <t>Q8N4P3</t>
  </si>
  <si>
    <t>Q8N4Q0</t>
  </si>
  <si>
    <t>Q8N4Q1</t>
  </si>
  <si>
    <t>Q8N4T8</t>
  </si>
  <si>
    <t>Q8N4W9-2</t>
  </si>
  <si>
    <t>Q8N556</t>
  </si>
  <si>
    <t>Q8N567</t>
  </si>
  <si>
    <t>Q8N573-8</t>
  </si>
  <si>
    <t>Q8N5A5-3</t>
  </si>
  <si>
    <t>Q8N5C6</t>
  </si>
  <si>
    <t>Q8N5C7</t>
  </si>
  <si>
    <t>Q8N5C8-2</t>
  </si>
  <si>
    <t>Q8N5D0-4</t>
  </si>
  <si>
    <t>Q8N5F7</t>
  </si>
  <si>
    <t>Q8N5G2</t>
  </si>
  <si>
    <t>Q8N5I9</t>
  </si>
  <si>
    <t>Q8N5J2</t>
  </si>
  <si>
    <t>Q8N5L8</t>
  </si>
  <si>
    <t>Q8N5M1</t>
  </si>
  <si>
    <t>Q8N5N7</t>
  </si>
  <si>
    <t>Q8N5P1</t>
  </si>
  <si>
    <t>Q8N5U6</t>
  </si>
  <si>
    <t>Q8N5Y2-4</t>
  </si>
  <si>
    <t>Q8N612-3</t>
  </si>
  <si>
    <t>Q8N653</t>
  </si>
  <si>
    <t>Q8N655</t>
  </si>
  <si>
    <t>Q8N668</t>
  </si>
  <si>
    <t>Q8N680</t>
  </si>
  <si>
    <t>Q8N684</t>
  </si>
  <si>
    <t>Q8N6H7</t>
  </si>
  <si>
    <t>Q8N6M0</t>
  </si>
  <si>
    <t>Q8N6N3</t>
  </si>
  <si>
    <t>Q8N6N7</t>
  </si>
  <si>
    <t>Q8N6T7-2</t>
  </si>
  <si>
    <t>Q8N720-3</t>
  </si>
  <si>
    <t>Q8N7R7-3</t>
  </si>
  <si>
    <t>Q8N7X4</t>
  </si>
  <si>
    <t>Q8N806</t>
  </si>
  <si>
    <t>Q8N819-2</t>
  </si>
  <si>
    <t>Q8N8A6</t>
  </si>
  <si>
    <t>Q8N8N7</t>
  </si>
  <si>
    <t>Q8N8R5</t>
  </si>
  <si>
    <t>Q8N8R7</t>
  </si>
  <si>
    <t>Q8N8S7-2</t>
  </si>
  <si>
    <t>Q8N8Z6-2</t>
  </si>
  <si>
    <t>Q8N954</t>
  </si>
  <si>
    <t>Q8N960</t>
  </si>
  <si>
    <t>Q8N998</t>
  </si>
  <si>
    <t>Q8N999</t>
  </si>
  <si>
    <t>Q8N9B5-2</t>
  </si>
  <si>
    <t>Q8N9M1</t>
  </si>
  <si>
    <t>Q8N9M5</t>
  </si>
  <si>
    <t>Q8N9N5-7</t>
  </si>
  <si>
    <t>Q8N9N7</t>
  </si>
  <si>
    <t>Q8N9N8</t>
  </si>
  <si>
    <t>Q8N9R8</t>
  </si>
  <si>
    <t>Q8N9V3</t>
  </si>
  <si>
    <t>Q8N9Z2</t>
  </si>
  <si>
    <t>Q8NAF0</t>
  </si>
  <si>
    <t>Q8NAP3</t>
  </si>
  <si>
    <t>Q8NAT2</t>
  </si>
  <si>
    <t>Q8NAV1</t>
  </si>
  <si>
    <t>Q8NAX2</t>
  </si>
  <si>
    <t>Q8NB16</t>
  </si>
  <si>
    <t>Q8NB37-3</t>
  </si>
  <si>
    <t>Q8NB46</t>
  </si>
  <si>
    <t>Q8NB78</t>
  </si>
  <si>
    <t>Q8NB90</t>
  </si>
  <si>
    <t>Q8NBA8</t>
  </si>
  <si>
    <t>Q8NBF2</t>
  </si>
  <si>
    <t>Q8NBF6-2</t>
  </si>
  <si>
    <t>Q8NBJ5</t>
  </si>
  <si>
    <t>Q8NBJ7</t>
  </si>
  <si>
    <t>Q8NBK3-2</t>
  </si>
  <si>
    <t>Q8NBL1</t>
  </si>
  <si>
    <t>Q8NBN7</t>
  </si>
  <si>
    <t>Q8NBX0</t>
  </si>
  <si>
    <t>Q8NBZ0</t>
  </si>
  <si>
    <t>Q8NC51-2</t>
  </si>
  <si>
    <t>Q8NC56</t>
  </si>
  <si>
    <t>Q8NC60</t>
  </si>
  <si>
    <t>Q8NC81</t>
  </si>
  <si>
    <t>Q8NC96</t>
  </si>
  <si>
    <t>Q8NCA5-2</t>
  </si>
  <si>
    <t>Q8NCA9</t>
  </si>
  <si>
    <t>Q8NCC3</t>
  </si>
  <si>
    <t>Q8NCD3</t>
  </si>
  <si>
    <t>Q8NCE0-4</t>
  </si>
  <si>
    <t>Q8NCE2-2</t>
  </si>
  <si>
    <t>Q8NCF5</t>
  </si>
  <si>
    <t>Q8NCN2</t>
  </si>
  <si>
    <t>Q8NCN4</t>
  </si>
  <si>
    <t>Q8NCN5</t>
  </si>
  <si>
    <t>Q8NCP5-3</t>
  </si>
  <si>
    <t>Q8NCW5</t>
  </si>
  <si>
    <t>Q8NCY6</t>
  </si>
  <si>
    <t>Q8ND04</t>
  </si>
  <si>
    <t>Q8ND24</t>
  </si>
  <si>
    <t>Q8ND30</t>
  </si>
  <si>
    <t>Q8ND56-2</t>
  </si>
  <si>
    <t>Q8ND76-3</t>
  </si>
  <si>
    <t>Q8NDC0</t>
  </si>
  <si>
    <t>Q8NDD1-3</t>
  </si>
  <si>
    <t>Q8NDF8</t>
  </si>
  <si>
    <t>Q8NDI1-3</t>
  </si>
  <si>
    <t>Q8NDV3-2</t>
  </si>
  <si>
    <t>Q8NDV7-2</t>
  </si>
  <si>
    <t>Q8NDX1</t>
  </si>
  <si>
    <t>Q8NDX5-7</t>
  </si>
  <si>
    <t>Q8NDX6</t>
  </si>
  <si>
    <t>Q8NE71</t>
  </si>
  <si>
    <t>Q8NEB9</t>
  </si>
  <si>
    <t>Q8NEC7</t>
  </si>
  <si>
    <t>Q8NEF9</t>
  </si>
  <si>
    <t>Q8NEJ9-2</t>
  </si>
  <si>
    <t>Q8NEM0-2</t>
  </si>
  <si>
    <t>Q8NEM2</t>
  </si>
  <si>
    <t>Q8NEN9</t>
  </si>
  <si>
    <t>Q8NEU8-2</t>
  </si>
  <si>
    <t>Q8NEY1-2</t>
  </si>
  <si>
    <t>Q8NEY8</t>
  </si>
  <si>
    <t>Q8NEY8-2</t>
  </si>
  <si>
    <t>Q8NEY8-3</t>
  </si>
  <si>
    <t>Q8NEZ2</t>
  </si>
  <si>
    <t>Q8NEZ4</t>
  </si>
  <si>
    <t>Q8NEZ5</t>
  </si>
  <si>
    <t>Q8NF37</t>
  </si>
  <si>
    <t>Q8NF50-4</t>
  </si>
  <si>
    <t>Q8NF64-3</t>
  </si>
  <si>
    <t>Q8NFA0</t>
  </si>
  <si>
    <t>Q8NFC6</t>
  </si>
  <si>
    <t>Q8NFF5-3</t>
  </si>
  <si>
    <t>Q8NFG4</t>
  </si>
  <si>
    <t>Q8NFH3</t>
  </si>
  <si>
    <t>Q8NFH4</t>
  </si>
  <si>
    <t>Q8NFI3</t>
  </si>
  <si>
    <t>Q8NFQ8</t>
  </si>
  <si>
    <t>Q8NFV4</t>
  </si>
  <si>
    <t>Q8NFW8</t>
  </si>
  <si>
    <t>Q8NFY9</t>
  </si>
  <si>
    <t>Q8NFZ0</t>
  </si>
  <si>
    <t>Q8NG08</t>
  </si>
  <si>
    <t>Q8NG31-2</t>
  </si>
  <si>
    <t>Q8NG68</t>
  </si>
  <si>
    <t>Q8NHG7</t>
  </si>
  <si>
    <t>Q8NHG8</t>
  </si>
  <si>
    <t>Q8NHM5-4</t>
  </si>
  <si>
    <t>Q8NHP8</t>
  </si>
  <si>
    <t>Q8NHQ8-2</t>
  </si>
  <si>
    <t>Q8NHU6</t>
  </si>
  <si>
    <t>Q8NHV4</t>
  </si>
  <si>
    <t>Q8NHZ8</t>
  </si>
  <si>
    <t>Q8NI08-2</t>
  </si>
  <si>
    <t>Q8NI22-2</t>
  </si>
  <si>
    <t>Q8NI27</t>
  </si>
  <si>
    <t>Q8NI36</t>
  </si>
  <si>
    <t>Q8NI51-8</t>
  </si>
  <si>
    <t>Q8TA86</t>
  </si>
  <si>
    <t>Q8TAC1</t>
  </si>
  <si>
    <t>Q8TAD8</t>
  </si>
  <si>
    <t>Q8TAE6</t>
  </si>
  <si>
    <t>Q8TAE8</t>
  </si>
  <si>
    <t>Q8TAF3</t>
  </si>
  <si>
    <t>Q8TAP6</t>
  </si>
  <si>
    <t>Q8TAP8</t>
  </si>
  <si>
    <t>Q8TAP9</t>
  </si>
  <si>
    <t>Q8TAQ2</t>
  </si>
  <si>
    <t>Q8TAQ2-2</t>
  </si>
  <si>
    <t>Q8TAT6</t>
  </si>
  <si>
    <t>Q8TAV0-2</t>
  </si>
  <si>
    <t>Q8TB03</t>
  </si>
  <si>
    <t>Q8TB24</t>
  </si>
  <si>
    <t>Q8TB52</t>
  </si>
  <si>
    <t>Q8TB70</t>
  </si>
  <si>
    <t>Q8TB72-3</t>
  </si>
  <si>
    <t>Q8TBA6-2</t>
  </si>
  <si>
    <t>Q8TBB5-3</t>
  </si>
  <si>
    <t>Q8TBC4</t>
  </si>
  <si>
    <t>Q8TBC5-4</t>
  </si>
  <si>
    <t>Q8TBE0-3</t>
  </si>
  <si>
    <t>Q8TBE9</t>
  </si>
  <si>
    <t>Q8TBF2-4</t>
  </si>
  <si>
    <t>Q8TBF4</t>
  </si>
  <si>
    <t>Q8TBM8</t>
  </si>
  <si>
    <t>Q8TBN0</t>
  </si>
  <si>
    <t>Q8TBX8</t>
  </si>
  <si>
    <t>Q8TBZ6</t>
  </si>
  <si>
    <t>Q8TC07-2</t>
  </si>
  <si>
    <t>Q8TC76</t>
  </si>
  <si>
    <t>Q8TCA0</t>
  </si>
  <si>
    <t>Q8TCD5</t>
  </si>
  <si>
    <t>Q8TCE6-2</t>
  </si>
  <si>
    <t>Q8TCG1</t>
  </si>
  <si>
    <t>Q8TCN5</t>
  </si>
  <si>
    <t>Q8TCS8</t>
  </si>
  <si>
    <t>Q8TCU4-3</t>
  </si>
  <si>
    <t>Q8TCX1-2</t>
  </si>
  <si>
    <t>Q8TD08-2</t>
  </si>
  <si>
    <t>Q8TD16</t>
  </si>
  <si>
    <t>Q8TD19</t>
  </si>
  <si>
    <t>Q8TD26</t>
  </si>
  <si>
    <t>Q8TD30</t>
  </si>
  <si>
    <t>Q8TD55-2</t>
  </si>
  <si>
    <t>Q8TD57</t>
  </si>
  <si>
    <t>Q8TDB6</t>
  </si>
  <si>
    <t>Q8TDD1</t>
  </si>
  <si>
    <t>Q8TDD1-2</t>
  </si>
  <si>
    <t>Q8TDH9</t>
  </si>
  <si>
    <t>Q8TDJ6</t>
  </si>
  <si>
    <t>Q8TDN4-4</t>
  </si>
  <si>
    <t>Q8TDN6</t>
  </si>
  <si>
    <t>Q8TDQ7</t>
  </si>
  <si>
    <t>Q8TDQ7-4</t>
  </si>
  <si>
    <t>Q8TDR0-2</t>
  </si>
  <si>
    <t>Q8TDR2</t>
  </si>
  <si>
    <t>Q8TDX7</t>
  </si>
  <si>
    <t>Q8TDY2-2</t>
  </si>
  <si>
    <t>Q8TDZ2</t>
  </si>
  <si>
    <t>Q8TE04</t>
  </si>
  <si>
    <t>Q8TEA1</t>
  </si>
  <si>
    <t>Q8TEA7-3</t>
  </si>
  <si>
    <t>Q8TEA8</t>
  </si>
  <si>
    <t>Q8TEB1-2</t>
  </si>
  <si>
    <t>Q8TED0</t>
  </si>
  <si>
    <t>Q8TEH3</t>
  </si>
  <si>
    <t>Q8TEK3-2</t>
  </si>
  <si>
    <t>Q8TEM1</t>
  </si>
  <si>
    <t>Q8TEQ6</t>
  </si>
  <si>
    <t>Q8TER5</t>
  </si>
  <si>
    <t>Q8TES7-5</t>
  </si>
  <si>
    <t>Q8TET4</t>
  </si>
  <si>
    <t>Q8TEU7</t>
  </si>
  <si>
    <t>Q8TEV9-2</t>
  </si>
  <si>
    <t>Q8TEW0-2</t>
  </si>
  <si>
    <t>Q8TEX9</t>
  </si>
  <si>
    <t>Q8TF01</t>
  </si>
  <si>
    <t>Q8TF05-2</t>
  </si>
  <si>
    <t>Q8TF42</t>
  </si>
  <si>
    <t>Q8TF46</t>
  </si>
  <si>
    <t>Q8TF50</t>
  </si>
  <si>
    <t>Q8TF61</t>
  </si>
  <si>
    <t>Q8TF64</t>
  </si>
  <si>
    <t>Q8TF74</t>
  </si>
  <si>
    <t>Q8TF76-2</t>
  </si>
  <si>
    <t>Q8WTR2-2</t>
  </si>
  <si>
    <t>Q8WTS1</t>
  </si>
  <si>
    <t>Q8WTS6</t>
  </si>
  <si>
    <t>Q8WTU0</t>
  </si>
  <si>
    <t>Q8WTW3</t>
  </si>
  <si>
    <t>Q8WU10</t>
  </si>
  <si>
    <t>Q8WU58</t>
  </si>
  <si>
    <t>Q8WU76-2</t>
  </si>
  <si>
    <t>Q8WU79</t>
  </si>
  <si>
    <t>Q8WU90</t>
  </si>
  <si>
    <t>Q8WUA2</t>
  </si>
  <si>
    <t>Q8WUA4</t>
  </si>
  <si>
    <t>Q8WUB8-3</t>
  </si>
  <si>
    <t>Q8WUD1</t>
  </si>
  <si>
    <t>Q8WUD4</t>
  </si>
  <si>
    <t>Q8WUE5</t>
  </si>
  <si>
    <t>Q8WUF5</t>
  </si>
  <si>
    <t>Q8WUH2</t>
  </si>
  <si>
    <t>Q8WUH6</t>
  </si>
  <si>
    <t>Q8WUI4-3</t>
  </si>
  <si>
    <t>Q8WUJ0</t>
  </si>
  <si>
    <t>Q8WUM4</t>
  </si>
  <si>
    <t>Q8WUN7</t>
  </si>
  <si>
    <t>Q8WUQ7</t>
  </si>
  <si>
    <t>Q8WUR7</t>
  </si>
  <si>
    <t>Q8WUU5</t>
  </si>
  <si>
    <t>Q8WUW1</t>
  </si>
  <si>
    <t>Q8WUX2</t>
  </si>
  <si>
    <t>Q8WUX9</t>
  </si>
  <si>
    <t>Q8WUZ0</t>
  </si>
  <si>
    <t>Q8WV22</t>
  </si>
  <si>
    <t>Q8WV41</t>
  </si>
  <si>
    <t>Q8WV74-2</t>
  </si>
  <si>
    <t>Q8WV92</t>
  </si>
  <si>
    <t>Q8WVB3</t>
  </si>
  <si>
    <t>Q8WVB6</t>
  </si>
  <si>
    <t>Q8WVC0</t>
  </si>
  <si>
    <t>Q8WVC2</t>
  </si>
  <si>
    <t>Q8WVE0</t>
  </si>
  <si>
    <t>Q8WVJ2</t>
  </si>
  <si>
    <t>Q8WVK2</t>
  </si>
  <si>
    <t>Q8WVM0</t>
  </si>
  <si>
    <t>Q8WVM8</t>
  </si>
  <si>
    <t>Q8WVT3</t>
  </si>
  <si>
    <t>Q8WVV4</t>
  </si>
  <si>
    <t>Q8WVV9-4</t>
  </si>
  <si>
    <t>Q8WVY7</t>
  </si>
  <si>
    <t>Q8WW01</t>
  </si>
  <si>
    <t>Q8WW12</t>
  </si>
  <si>
    <t>Q8WW33</t>
  </si>
  <si>
    <t>Q8WW59</t>
  </si>
  <si>
    <t>Q8WWH5</t>
  </si>
  <si>
    <t>Q8WWI5-3</t>
  </si>
  <si>
    <t>Q8WWL2-4</t>
  </si>
  <si>
    <t>Q8WWM7</t>
  </si>
  <si>
    <t>Q8WWQ0</t>
  </si>
  <si>
    <t>Q8WWV3</t>
  </si>
  <si>
    <t>Q8WWW0-2</t>
  </si>
  <si>
    <t>Q8WWY3</t>
  </si>
  <si>
    <t>Q8WWZ3-2</t>
  </si>
  <si>
    <t>Q8WX92</t>
  </si>
  <si>
    <t>Q8WXA3-2</t>
  </si>
  <si>
    <t>Q8WXA9-2</t>
  </si>
  <si>
    <t>Q8WXB1</t>
  </si>
  <si>
    <t>Q8WXD5</t>
  </si>
  <si>
    <t>Q8WXE0-2</t>
  </si>
  <si>
    <t>Q8WXE1-5</t>
  </si>
  <si>
    <t>Q8WXE9</t>
  </si>
  <si>
    <t>Q8WXF1</t>
  </si>
  <si>
    <t>Q8WXG6-8</t>
  </si>
  <si>
    <t>Q8WXI4-2</t>
  </si>
  <si>
    <t>Q8WXI9</t>
  </si>
  <si>
    <t>Q8WXR4-4</t>
  </si>
  <si>
    <t>Q8WXW3</t>
  </si>
  <si>
    <t>Q8WXW3-2</t>
  </si>
  <si>
    <t>Q8WXX5</t>
  </si>
  <si>
    <t>Q8WY91</t>
  </si>
  <si>
    <t>Q8WYA6</t>
  </si>
  <si>
    <t>Q8WYB5-3</t>
  </si>
  <si>
    <t>Q8WYL5-4</t>
  </si>
  <si>
    <t>Q8WYN0</t>
  </si>
  <si>
    <t>Q8WYP5</t>
  </si>
  <si>
    <t>Q8WYQ0</t>
  </si>
  <si>
    <t>Q8WYQ5-3</t>
  </si>
  <si>
    <t>Q8WZ19</t>
  </si>
  <si>
    <t>Q8WZ42-12</t>
  </si>
  <si>
    <t>Q8WZ42-5</t>
  </si>
  <si>
    <t>Q8WZ82</t>
  </si>
  <si>
    <t>Q8WZA0</t>
  </si>
  <si>
    <t>Q8WZA9</t>
  </si>
  <si>
    <t>Q92466</t>
  </si>
  <si>
    <t>Q92481</t>
  </si>
  <si>
    <t>Q92499</t>
  </si>
  <si>
    <t>Q92502</t>
  </si>
  <si>
    <t>Q92504</t>
  </si>
  <si>
    <t>Q92506</t>
  </si>
  <si>
    <t>Q92522</t>
  </si>
  <si>
    <t>Q92526</t>
  </si>
  <si>
    <t>Q92538</t>
  </si>
  <si>
    <t>Q92541</t>
  </si>
  <si>
    <t>Q92544</t>
  </si>
  <si>
    <t>Q92545</t>
  </si>
  <si>
    <t>Q92546</t>
  </si>
  <si>
    <t>Q92547</t>
  </si>
  <si>
    <t>Q92551</t>
  </si>
  <si>
    <t>Q92552</t>
  </si>
  <si>
    <t>Q92558</t>
  </si>
  <si>
    <t>Q92560</t>
  </si>
  <si>
    <t>Q92562</t>
  </si>
  <si>
    <t>Q92567-2</t>
  </si>
  <si>
    <t>Q92572</t>
  </si>
  <si>
    <t>Q92574-2</t>
  </si>
  <si>
    <t>Q92575</t>
  </si>
  <si>
    <t>Q92576-2</t>
  </si>
  <si>
    <t>Q92581-3</t>
  </si>
  <si>
    <t>Q92585</t>
  </si>
  <si>
    <t>Q92598-2</t>
  </si>
  <si>
    <t>Q92599-2</t>
  </si>
  <si>
    <t>Q92600</t>
  </si>
  <si>
    <t>Q92608</t>
  </si>
  <si>
    <t>Q92609</t>
  </si>
  <si>
    <t>Q92610</t>
  </si>
  <si>
    <t>Q92614-4</t>
  </si>
  <si>
    <t>Q92615</t>
  </si>
  <si>
    <t>Q92616</t>
  </si>
  <si>
    <t>Q92618</t>
  </si>
  <si>
    <t>Q92619</t>
  </si>
  <si>
    <t>Q92621</t>
  </si>
  <si>
    <t>Q92622-2</t>
  </si>
  <si>
    <t>Q92625</t>
  </si>
  <si>
    <t>Q92636</t>
  </si>
  <si>
    <t>Q92664-2</t>
  </si>
  <si>
    <t>Q92665</t>
  </si>
  <si>
    <t>Q92667</t>
  </si>
  <si>
    <t>Q92686</t>
  </si>
  <si>
    <t>Q92688-2</t>
  </si>
  <si>
    <t>Q92692</t>
  </si>
  <si>
    <t>Q92696</t>
  </si>
  <si>
    <t>Q92734-2</t>
  </si>
  <si>
    <t>Q92747</t>
  </si>
  <si>
    <t>Q92750</t>
  </si>
  <si>
    <t>Q92759</t>
  </si>
  <si>
    <t>Q92766</t>
  </si>
  <si>
    <t>Q92769</t>
  </si>
  <si>
    <t>Q92783-2</t>
  </si>
  <si>
    <t>Q92784</t>
  </si>
  <si>
    <t>Q92785</t>
  </si>
  <si>
    <t>Q92793</t>
  </si>
  <si>
    <t>Q92796-3</t>
  </si>
  <si>
    <t>Q92797</t>
  </si>
  <si>
    <t>Q92804-2</t>
  </si>
  <si>
    <t>Q92805</t>
  </si>
  <si>
    <t>Q92820</t>
  </si>
  <si>
    <t>Q92828</t>
  </si>
  <si>
    <t>Q92830</t>
  </si>
  <si>
    <t>Q92834</t>
  </si>
  <si>
    <t>Q92841</t>
  </si>
  <si>
    <t>Q92843-2</t>
  </si>
  <si>
    <t>Q92844</t>
  </si>
  <si>
    <t>Q92845-4</t>
  </si>
  <si>
    <t>Q92851-6</t>
  </si>
  <si>
    <t>Q92854</t>
  </si>
  <si>
    <t>Q92871</t>
  </si>
  <si>
    <t>Q92878</t>
  </si>
  <si>
    <t>Q92879-2</t>
  </si>
  <si>
    <t>Q92882</t>
  </si>
  <si>
    <t>Q92888-3</t>
  </si>
  <si>
    <t>Q92889</t>
  </si>
  <si>
    <t>Q92890</t>
  </si>
  <si>
    <t>Q92896</t>
  </si>
  <si>
    <t>Q92900</t>
  </si>
  <si>
    <t>Q92902-2</t>
  </si>
  <si>
    <t>Q92905</t>
  </si>
  <si>
    <t>Q92917</t>
  </si>
  <si>
    <t>Q92922</t>
  </si>
  <si>
    <t>Q92925</t>
  </si>
  <si>
    <t>Q92945</t>
  </si>
  <si>
    <t>Q92947-2</t>
  </si>
  <si>
    <t>Q92973-2</t>
  </si>
  <si>
    <t>Q92974-3</t>
  </si>
  <si>
    <t>Q92979</t>
  </si>
  <si>
    <t>Q92989</t>
  </si>
  <si>
    <t>Q92990</t>
  </si>
  <si>
    <t>Q92993</t>
  </si>
  <si>
    <t>Q92994-5</t>
  </si>
  <si>
    <t>Q92995-2</t>
  </si>
  <si>
    <t>Q93008</t>
  </si>
  <si>
    <t>Q93015-2</t>
  </si>
  <si>
    <t>Q93034</t>
  </si>
  <si>
    <t>Q93073-2</t>
  </si>
  <si>
    <t>Q93074-3</t>
  </si>
  <si>
    <t>Q93075</t>
  </si>
  <si>
    <t>Q93096</t>
  </si>
  <si>
    <t>Q93100-4</t>
  </si>
  <si>
    <t>Q969E8</t>
  </si>
  <si>
    <t>Q969F1</t>
  </si>
  <si>
    <t>Q969F9</t>
  </si>
  <si>
    <t>Q969G3-2</t>
  </si>
  <si>
    <t>Q969G6</t>
  </si>
  <si>
    <t>Q969H0</t>
  </si>
  <si>
    <t>Q969H6-2</t>
  </si>
  <si>
    <t>Q969H8</t>
  </si>
  <si>
    <t>Q969J2</t>
  </si>
  <si>
    <t>Q969J3</t>
  </si>
  <si>
    <t>Q969K3</t>
  </si>
  <si>
    <t>Q969L4</t>
  </si>
  <si>
    <t>Q969M3</t>
  </si>
  <si>
    <t>Q969R5</t>
  </si>
  <si>
    <t>Q969S9-2</t>
  </si>
  <si>
    <t>Q969T7-2</t>
  </si>
  <si>
    <t>Q969U6</t>
  </si>
  <si>
    <t>Q969X6</t>
  </si>
  <si>
    <t>Q969Y2-3</t>
  </si>
  <si>
    <t>Q969Z0</t>
  </si>
  <si>
    <t>Q96A00-2</t>
  </si>
  <si>
    <t>Q96A19</t>
  </si>
  <si>
    <t>Q96A33</t>
  </si>
  <si>
    <t>Q96A37-2</t>
  </si>
  <si>
    <t>Q96A49</t>
  </si>
  <si>
    <t>Q96A65</t>
  </si>
  <si>
    <t>Q96A73</t>
  </si>
  <si>
    <t>Q96AB3</t>
  </si>
  <si>
    <t>Q96AB6</t>
  </si>
  <si>
    <t>Q96AC1</t>
  </si>
  <si>
    <t>Q96AD5</t>
  </si>
  <si>
    <t>Q96AE4</t>
  </si>
  <si>
    <t>Q96AE4-2</t>
  </si>
  <si>
    <t>Q96AG4</t>
  </si>
  <si>
    <t>Q96AJ9-1</t>
  </si>
  <si>
    <t>Q96AT1</t>
  </si>
  <si>
    <t>Q96AT9</t>
  </si>
  <si>
    <t>Q96AX1</t>
  </si>
  <si>
    <t>Q96AY4</t>
  </si>
  <si>
    <t>Q96B02</t>
  </si>
  <si>
    <t>Q96B23-2</t>
  </si>
  <si>
    <t>Q96B26</t>
  </si>
  <si>
    <t>Q96B36</t>
  </si>
  <si>
    <t>Q96B45</t>
  </si>
  <si>
    <t>Q96B54</t>
  </si>
  <si>
    <t>Q96B97</t>
  </si>
  <si>
    <t>Q96BD5-2</t>
  </si>
  <si>
    <t>Q96BD8-2</t>
  </si>
  <si>
    <t>Q96BF6</t>
  </si>
  <si>
    <t>Q96BH1</t>
  </si>
  <si>
    <t>Q96BJ3</t>
  </si>
  <si>
    <t>Q96BK5</t>
  </si>
  <si>
    <t>Q96BM9</t>
  </si>
  <si>
    <t>Q96BN8</t>
  </si>
  <si>
    <t>Q96BP3</t>
  </si>
  <si>
    <t>Q96BR5</t>
  </si>
  <si>
    <t>Q96BS2</t>
  </si>
  <si>
    <t>Q96BT7</t>
  </si>
  <si>
    <t>Q96BW5-2</t>
  </si>
  <si>
    <t>Q96BX8</t>
  </si>
  <si>
    <t>Q96BY7</t>
  </si>
  <si>
    <t>Q96BZ8</t>
  </si>
  <si>
    <t>Q96C00</t>
  </si>
  <si>
    <t>Q96C01</t>
  </si>
  <si>
    <t>Q96C12-3</t>
  </si>
  <si>
    <t>Q96C19</t>
  </si>
  <si>
    <t>Q96C23</t>
  </si>
  <si>
    <t>Q96C24</t>
  </si>
  <si>
    <t>Q96C36</t>
  </si>
  <si>
    <t>Q96C86</t>
  </si>
  <si>
    <t>Q96C90</t>
  </si>
  <si>
    <t>Q96C92-2</t>
  </si>
  <si>
    <t>Q96CB8</t>
  </si>
  <si>
    <t>Q96CB9-4</t>
  </si>
  <si>
    <t>Q96CD0</t>
  </si>
  <si>
    <t>Q96CD2</t>
  </si>
  <si>
    <t>Q96CF2</t>
  </si>
  <si>
    <t>Q96CN7</t>
  </si>
  <si>
    <t>Q96CN9</t>
  </si>
  <si>
    <t>Q96CP2</t>
  </si>
  <si>
    <t>Q96CP6-2</t>
  </si>
  <si>
    <t>Q96CS2</t>
  </si>
  <si>
    <t>Q96CS3</t>
  </si>
  <si>
    <t>Q96CT7</t>
  </si>
  <si>
    <t>Q96CU9-3</t>
  </si>
  <si>
    <t>Q96CV9-2</t>
  </si>
  <si>
    <t>Q96CW1-2</t>
  </si>
  <si>
    <t>Q96CW5</t>
  </si>
  <si>
    <t>Q96CW6</t>
  </si>
  <si>
    <t>Q96D46</t>
  </si>
  <si>
    <t>Q96D71-3</t>
  </si>
  <si>
    <t>Q96DA6-2</t>
  </si>
  <si>
    <t>Q96DB5</t>
  </si>
  <si>
    <t>Q96DC7</t>
  </si>
  <si>
    <t>Q96DC8</t>
  </si>
  <si>
    <t>Q96DE0</t>
  </si>
  <si>
    <t>Q96DE5</t>
  </si>
  <si>
    <t>Q96DF8</t>
  </si>
  <si>
    <t>Q96DG6</t>
  </si>
  <si>
    <t>Q96DH6-2</t>
  </si>
  <si>
    <t>Q96DI7</t>
  </si>
  <si>
    <t>Q96DN5-2</t>
  </si>
  <si>
    <t>Q96DN6</t>
  </si>
  <si>
    <t>Q96DT0-3</t>
  </si>
  <si>
    <t>Q96DT5</t>
  </si>
  <si>
    <t>Q96DT6</t>
  </si>
  <si>
    <t>Q96DT7</t>
  </si>
  <si>
    <t>Q96DU7</t>
  </si>
  <si>
    <t>Q96DX4</t>
  </si>
  <si>
    <t>Q96DX7</t>
  </si>
  <si>
    <t>Q96E09</t>
  </si>
  <si>
    <t>Q96E11-8</t>
  </si>
  <si>
    <t>Q96E14</t>
  </si>
  <si>
    <t>Q96E39</t>
  </si>
  <si>
    <t>Q96EA4</t>
  </si>
  <si>
    <t>Q96EB1</t>
  </si>
  <si>
    <t>Q96EB6</t>
  </si>
  <si>
    <t>Q96ED9-2</t>
  </si>
  <si>
    <t>Q96EE3</t>
  </si>
  <si>
    <t>Q96EH3</t>
  </si>
  <si>
    <t>Q96EK4</t>
  </si>
  <si>
    <t>Q96EK5</t>
  </si>
  <si>
    <t>Q96EK6</t>
  </si>
  <si>
    <t>Q96EK9</t>
  </si>
  <si>
    <t>Q96EM0</t>
  </si>
  <si>
    <t>Q96EN8</t>
  </si>
  <si>
    <t>Q96EP0</t>
  </si>
  <si>
    <t>Q96EP1-2</t>
  </si>
  <si>
    <t>Q96EP5</t>
  </si>
  <si>
    <t>Q96EQ0</t>
  </si>
  <si>
    <t>Q96ER3</t>
  </si>
  <si>
    <t>Q96ES7</t>
  </si>
  <si>
    <t>Q96EU6-2</t>
  </si>
  <si>
    <t>Q96EV2</t>
  </si>
  <si>
    <t>Q96EV8</t>
  </si>
  <si>
    <t>Q96EW2</t>
  </si>
  <si>
    <t>Q96EY1-2</t>
  </si>
  <si>
    <t>Q96EY4</t>
  </si>
  <si>
    <t>Q96EY5</t>
  </si>
  <si>
    <t>Q96EY7</t>
  </si>
  <si>
    <t>Q96EY8</t>
  </si>
  <si>
    <t>Q96EY9</t>
  </si>
  <si>
    <t>Q96EZ8-3</t>
  </si>
  <si>
    <t>Q96F24-2</t>
  </si>
  <si>
    <t>Q96F44-3</t>
  </si>
  <si>
    <t>Q96F63</t>
  </si>
  <si>
    <t>Q96F85-2</t>
  </si>
  <si>
    <t>Q96F86</t>
  </si>
  <si>
    <t>Q96FC9-4</t>
  </si>
  <si>
    <t>Q96FF9</t>
  </si>
  <si>
    <t>Q96FJ2</t>
  </si>
  <si>
    <t>Q96FK6</t>
  </si>
  <si>
    <t>Q96FN4</t>
  </si>
  <si>
    <t>Q96FS4</t>
  </si>
  <si>
    <t>Q96FT9</t>
  </si>
  <si>
    <t>Q96FV2-2</t>
  </si>
  <si>
    <t>Q96FV9</t>
  </si>
  <si>
    <t>Q96FX2</t>
  </si>
  <si>
    <t>Q96FX7</t>
  </si>
  <si>
    <t>Q96G03</t>
  </si>
  <si>
    <t>Q96G25</t>
  </si>
  <si>
    <t>Q96G28</t>
  </si>
  <si>
    <t>Q96G46</t>
  </si>
  <si>
    <t>Q96G74-3</t>
  </si>
  <si>
    <t>Q96GA3</t>
  </si>
  <si>
    <t>Q96GA7</t>
  </si>
  <si>
    <t>Q96GD0</t>
  </si>
  <si>
    <t>Q96GD3-6</t>
  </si>
  <si>
    <t>Q96GE4</t>
  </si>
  <si>
    <t>Q96GG9</t>
  </si>
  <si>
    <t>Q96GJ1-3</t>
  </si>
  <si>
    <t>Q96GK7</t>
  </si>
  <si>
    <t>Q96GM5</t>
  </si>
  <si>
    <t>Q96GM8</t>
  </si>
  <si>
    <t>Q96GQ7</t>
  </si>
  <si>
    <t>Q96GS4</t>
  </si>
  <si>
    <t>Q96GV9</t>
  </si>
  <si>
    <t>Q96GW9</t>
  </si>
  <si>
    <t>Q96GX2</t>
  </si>
  <si>
    <t>Q96GX5-2</t>
  </si>
  <si>
    <t>Q96GX9</t>
  </si>
  <si>
    <t>Q96GY0</t>
  </si>
  <si>
    <t>Q96GY3</t>
  </si>
  <si>
    <t>Q96H20</t>
  </si>
  <si>
    <t>Q96H35</t>
  </si>
  <si>
    <t>Q96H79</t>
  </si>
  <si>
    <t>Q96HA7-2</t>
  </si>
  <si>
    <t>Q96HC4</t>
  </si>
  <si>
    <t>Q96HE7</t>
  </si>
  <si>
    <t>Q96HJ9</t>
  </si>
  <si>
    <t>Q96HN2-2</t>
  </si>
  <si>
    <t>Q96HP0</t>
  </si>
  <si>
    <t>Q96HP4</t>
  </si>
  <si>
    <t>Q96HR8-2</t>
  </si>
  <si>
    <t>Q96HS1</t>
  </si>
  <si>
    <t>Q96HW7</t>
  </si>
  <si>
    <t>Q96HY6</t>
  </si>
  <si>
    <t>Q96HY7</t>
  </si>
  <si>
    <t>Q96I15</t>
  </si>
  <si>
    <t>Q96I23</t>
  </si>
  <si>
    <t>Q96I24</t>
  </si>
  <si>
    <t>Q96I25</t>
  </si>
  <si>
    <t>Q96I51</t>
  </si>
  <si>
    <t>Q96I59</t>
  </si>
  <si>
    <t>Q96I76</t>
  </si>
  <si>
    <t>Q96I99</t>
  </si>
  <si>
    <t>Q96II8</t>
  </si>
  <si>
    <t>Q96IJ6</t>
  </si>
  <si>
    <t>Q96IK1</t>
  </si>
  <si>
    <t>Q96IQ9</t>
  </si>
  <si>
    <t>Q96IR2</t>
  </si>
  <si>
    <t>Q96IU4</t>
  </si>
  <si>
    <t>Q96IV0-2</t>
  </si>
  <si>
    <t>Q96IY1</t>
  </si>
  <si>
    <t>Q96IZ0</t>
  </si>
  <si>
    <t>Q96IZ5-2</t>
  </si>
  <si>
    <t>Q96IZ7-2</t>
  </si>
  <si>
    <t>Q96J01</t>
  </si>
  <si>
    <t>Q96J02-2</t>
  </si>
  <si>
    <t>Q96J92</t>
  </si>
  <si>
    <t>Q96JB2</t>
  </si>
  <si>
    <t>Q96JB3-2</t>
  </si>
  <si>
    <t>Q96JB5</t>
  </si>
  <si>
    <t>Q96JC1-2</t>
  </si>
  <si>
    <t>Q96JC9</t>
  </si>
  <si>
    <t>Q96JG6</t>
  </si>
  <si>
    <t>Q96JH7</t>
  </si>
  <si>
    <t>Q96JI7-2</t>
  </si>
  <si>
    <t>Q96JK2-2</t>
  </si>
  <si>
    <t>Q96JK9</t>
  </si>
  <si>
    <t>Q96JM3</t>
  </si>
  <si>
    <t>Q96JM7-2</t>
  </si>
  <si>
    <t>Q96JN2-2</t>
  </si>
  <si>
    <t>Q96JP5</t>
  </si>
  <si>
    <t>Q96JS3</t>
  </si>
  <si>
    <t>Q96K17</t>
  </si>
  <si>
    <t>Q96K31</t>
  </si>
  <si>
    <t>Q96K58</t>
  </si>
  <si>
    <t>Q96K83</t>
  </si>
  <si>
    <t>Q96KB5</t>
  </si>
  <si>
    <t>Q96KC8</t>
  </si>
  <si>
    <t>Q96KG9-3</t>
  </si>
  <si>
    <t>Q96KM6</t>
  </si>
  <si>
    <t>Q96KN8-2</t>
  </si>
  <si>
    <t>Q96KP1</t>
  </si>
  <si>
    <t>Q96KP4</t>
  </si>
  <si>
    <t>Q96KR1</t>
  </si>
  <si>
    <t>Q96L91-3</t>
  </si>
  <si>
    <t>Q96L92</t>
  </si>
  <si>
    <t>Q96L93-6</t>
  </si>
  <si>
    <t>Q96LA8</t>
  </si>
  <si>
    <t>Q96LB3</t>
  </si>
  <si>
    <t>Q96LD4</t>
  </si>
  <si>
    <t>Q96LD8</t>
  </si>
  <si>
    <t>Q96LJ8</t>
  </si>
  <si>
    <t>Q96LR5</t>
  </si>
  <si>
    <t>Q96LZ7</t>
  </si>
  <si>
    <t>Q96M27</t>
  </si>
  <si>
    <t>Q96ME1-4</t>
  </si>
  <si>
    <t>Q96ME7-2</t>
  </si>
  <si>
    <t>Q96MG7</t>
  </si>
  <si>
    <t>Q96MH2</t>
  </si>
  <si>
    <t>Q96MT0</t>
  </si>
  <si>
    <t>Q96MT8-3</t>
  </si>
  <si>
    <t>Q96MU7</t>
  </si>
  <si>
    <t>Q96MW1</t>
  </si>
  <si>
    <t>Q96MW5</t>
  </si>
  <si>
    <t>Q96MX6</t>
  </si>
  <si>
    <t>Q96MY1</t>
  </si>
  <si>
    <t>Q96N06</t>
  </si>
  <si>
    <t>Q96N21-2</t>
  </si>
  <si>
    <t>Q96N66-2</t>
  </si>
  <si>
    <t>Q96N67-4</t>
  </si>
  <si>
    <t>Q96NA2</t>
  </si>
  <si>
    <t>Q96NB1</t>
  </si>
  <si>
    <t>Q96NB3</t>
  </si>
  <si>
    <t>Q96NC0</t>
  </si>
  <si>
    <t>Q96NL8</t>
  </si>
  <si>
    <t>Q96NT1</t>
  </si>
  <si>
    <t>Q96P11-2</t>
  </si>
  <si>
    <t>Q96P16</t>
  </si>
  <si>
    <t>Q96P47</t>
  </si>
  <si>
    <t>Q96P48</t>
  </si>
  <si>
    <t>Q96P70</t>
  </si>
  <si>
    <t>Q96PC3-3</t>
  </si>
  <si>
    <t>Q96PG8</t>
  </si>
  <si>
    <t>Q96PK6</t>
  </si>
  <si>
    <t>Q96PM5</t>
  </si>
  <si>
    <t>Q96PM9</t>
  </si>
  <si>
    <t>Q96PQ6-4</t>
  </si>
  <si>
    <t>Q96PU4</t>
  </si>
  <si>
    <t>Q96PU5-6</t>
  </si>
  <si>
    <t>Q96PU8-9</t>
  </si>
  <si>
    <t>Q96PV6-2</t>
  </si>
  <si>
    <t>Q96PY5</t>
  </si>
  <si>
    <t>Q96PY6-2</t>
  </si>
  <si>
    <t>Q96PZ0</t>
  </si>
  <si>
    <t>Q96Q05-3</t>
  </si>
  <si>
    <t>Q96Q11-2</t>
  </si>
  <si>
    <t>Q96Q15</t>
  </si>
  <si>
    <t>Q96Q45-2</t>
  </si>
  <si>
    <t>Q96Q89-4</t>
  </si>
  <si>
    <t>Q96QC0</t>
  </si>
  <si>
    <t>Q96QD9</t>
  </si>
  <si>
    <t>Q96QE3-2</t>
  </si>
  <si>
    <t>Q96QF0-2</t>
  </si>
  <si>
    <t>Q96QG7</t>
  </si>
  <si>
    <t>Q96QK1</t>
  </si>
  <si>
    <t>Q96QR8</t>
  </si>
  <si>
    <t>Q96QT6-4</t>
  </si>
  <si>
    <t>Q96QU6</t>
  </si>
  <si>
    <t>Q96QU8</t>
  </si>
  <si>
    <t>Q96QZ7-7</t>
  </si>
  <si>
    <t>Q96R06</t>
  </si>
  <si>
    <t>Q96RE7</t>
  </si>
  <si>
    <t>Q96RF0-3</t>
  </si>
  <si>
    <t>Q96RG2</t>
  </si>
  <si>
    <t>Q96RL1</t>
  </si>
  <si>
    <t>Q96RL7-4</t>
  </si>
  <si>
    <t>Q96RN5</t>
  </si>
  <si>
    <t>Q96RP9</t>
  </si>
  <si>
    <t>Q96RQ3</t>
  </si>
  <si>
    <t>Q96RR4-6</t>
  </si>
  <si>
    <t>Q96RS0</t>
  </si>
  <si>
    <t>Q96RS6</t>
  </si>
  <si>
    <t>Q96RT1-9</t>
  </si>
  <si>
    <t>Q96RU2-2</t>
  </si>
  <si>
    <t>Q96RU3-2</t>
  </si>
  <si>
    <t>Q96S15-2</t>
  </si>
  <si>
    <t>Q96S19</t>
  </si>
  <si>
    <t>Q96S38</t>
  </si>
  <si>
    <t>Q96S44</t>
  </si>
  <si>
    <t>Q96S52-2</t>
  </si>
  <si>
    <t>Q96S55-2</t>
  </si>
  <si>
    <t>Q96S59</t>
  </si>
  <si>
    <t>Q96S66-4</t>
  </si>
  <si>
    <t>Q96S82</t>
  </si>
  <si>
    <t>Q96S90</t>
  </si>
  <si>
    <t>Q96S94</t>
  </si>
  <si>
    <t>Q96S99</t>
  </si>
  <si>
    <t>Q96SB3</t>
  </si>
  <si>
    <t>Q96SB8</t>
  </si>
  <si>
    <t>Q96SI9</t>
  </si>
  <si>
    <t>Q96SK2-2</t>
  </si>
  <si>
    <t>Q96SL8</t>
  </si>
  <si>
    <t>Q96SN8-4</t>
  </si>
  <si>
    <t>Q96ST2</t>
  </si>
  <si>
    <t>Q96ST3</t>
  </si>
  <si>
    <t>Q96SU4-7</t>
  </si>
  <si>
    <t>Q96SW2-2</t>
  </si>
  <si>
    <t>Q96SY0-4</t>
  </si>
  <si>
    <t>Q96SZ5</t>
  </si>
  <si>
    <t>Q96T21</t>
  </si>
  <si>
    <t>Q96T23-2</t>
  </si>
  <si>
    <t>Q96T37-2</t>
  </si>
  <si>
    <t>Q96T51</t>
  </si>
  <si>
    <t>Q96T58</t>
  </si>
  <si>
    <t>Q96T60</t>
  </si>
  <si>
    <t>Q96T76</t>
  </si>
  <si>
    <t>Q96T88</t>
  </si>
  <si>
    <t>Q96TA1-2</t>
  </si>
  <si>
    <t>Q96TC7</t>
  </si>
  <si>
    <t>Q99081</t>
  </si>
  <si>
    <t>Q99417</t>
  </si>
  <si>
    <t>Q99426</t>
  </si>
  <si>
    <t>Q99436</t>
  </si>
  <si>
    <t>Q99447</t>
  </si>
  <si>
    <t>Q99456</t>
  </si>
  <si>
    <t>Q99459</t>
  </si>
  <si>
    <t>Q99460</t>
  </si>
  <si>
    <t>Q99471</t>
  </si>
  <si>
    <t>Q99496</t>
  </si>
  <si>
    <t>Q99497</t>
  </si>
  <si>
    <t>Q99501</t>
  </si>
  <si>
    <t>Q99519</t>
  </si>
  <si>
    <t>Q99523</t>
  </si>
  <si>
    <t>Q99536</t>
  </si>
  <si>
    <t>Q99541</t>
  </si>
  <si>
    <t>Q99543</t>
  </si>
  <si>
    <t>Q99543-2</t>
  </si>
  <si>
    <t>Q99549</t>
  </si>
  <si>
    <t>Q99550</t>
  </si>
  <si>
    <t>Q99567</t>
  </si>
  <si>
    <t>Q99570</t>
  </si>
  <si>
    <t>Q99575</t>
  </si>
  <si>
    <t>Q99576-3</t>
  </si>
  <si>
    <t>Q99583</t>
  </si>
  <si>
    <t>Q99584</t>
  </si>
  <si>
    <t>Q99590-2</t>
  </si>
  <si>
    <t>Q99598</t>
  </si>
  <si>
    <t>Q99607</t>
  </si>
  <si>
    <t>Q99611</t>
  </si>
  <si>
    <t>Q99614</t>
  </si>
  <si>
    <t>Q99615</t>
  </si>
  <si>
    <t>Q99622</t>
  </si>
  <si>
    <t>Q99633</t>
  </si>
  <si>
    <t>Q99638</t>
  </si>
  <si>
    <t>Q99640-4</t>
  </si>
  <si>
    <t>Q99653</t>
  </si>
  <si>
    <t>Q99661</t>
  </si>
  <si>
    <t>Q99700-4</t>
  </si>
  <si>
    <t>Q99704</t>
  </si>
  <si>
    <t>Q99707</t>
  </si>
  <si>
    <t>Q99708</t>
  </si>
  <si>
    <t>Q99714</t>
  </si>
  <si>
    <t>Q99728</t>
  </si>
  <si>
    <t>Q99733</t>
  </si>
  <si>
    <t>Q99747</t>
  </si>
  <si>
    <t>Q99757</t>
  </si>
  <si>
    <t>Q99766</t>
  </si>
  <si>
    <t>Q99767-2</t>
  </si>
  <si>
    <t>Q99797</t>
  </si>
  <si>
    <t>Q99798</t>
  </si>
  <si>
    <t>Q99832</t>
  </si>
  <si>
    <t>Q99836</t>
  </si>
  <si>
    <t>Q99848</t>
  </si>
  <si>
    <t>Q99856</t>
  </si>
  <si>
    <t>Q99878</t>
  </si>
  <si>
    <t>Q99879</t>
  </si>
  <si>
    <t>Q99933-4</t>
  </si>
  <si>
    <t>Q99941-2</t>
  </si>
  <si>
    <t>Q99942</t>
  </si>
  <si>
    <t>Q99952</t>
  </si>
  <si>
    <t>Q99956</t>
  </si>
  <si>
    <t>Q99961</t>
  </si>
  <si>
    <t>Q99963-4</t>
  </si>
  <si>
    <t>Q99986</t>
  </si>
  <si>
    <t>Q99996-2</t>
  </si>
  <si>
    <t>Q9BPW8</t>
  </si>
  <si>
    <t>Q9BPX3</t>
  </si>
  <si>
    <t>Q9BPX5</t>
  </si>
  <si>
    <t>Q9BPX6-2</t>
  </si>
  <si>
    <t>Q9BPX7</t>
  </si>
  <si>
    <t>Q9BPZ3</t>
  </si>
  <si>
    <t>Q9BPZ7-3</t>
  </si>
  <si>
    <t>Q9BQ04</t>
  </si>
  <si>
    <t>Q9BQ39</t>
  </si>
  <si>
    <t>Q9BQ48</t>
  </si>
  <si>
    <t>Q9BQ52</t>
  </si>
  <si>
    <t>Q9BQ61</t>
  </si>
  <si>
    <t>Q9BQ67</t>
  </si>
  <si>
    <t>Q9BQ69</t>
  </si>
  <si>
    <t>Q9BQ70</t>
  </si>
  <si>
    <t>Q9BQ90</t>
  </si>
  <si>
    <t>Q9BQA1</t>
  </si>
  <si>
    <t>Q9BQB6-3</t>
  </si>
  <si>
    <t>Q9BQC3</t>
  </si>
  <si>
    <t>Q9BQE3</t>
  </si>
  <si>
    <t>Q9BQE5</t>
  </si>
  <si>
    <t>Q9BQE9-4</t>
  </si>
  <si>
    <t>Q9BQF6-4</t>
  </si>
  <si>
    <t>Q9BQG0</t>
  </si>
  <si>
    <t>Q9BQG2</t>
  </si>
  <si>
    <t>Q9BQI0-3</t>
  </si>
  <si>
    <t>Q9BQP7</t>
  </si>
  <si>
    <t>Q9BQS8</t>
  </si>
  <si>
    <t>Q9BQY4</t>
  </si>
  <si>
    <t>Q9BR61</t>
  </si>
  <si>
    <t>Q9BR76</t>
  </si>
  <si>
    <t>Q9BRA2</t>
  </si>
  <si>
    <t>Q9BRD0</t>
  </si>
  <si>
    <t>Q9BRF8</t>
  </si>
  <si>
    <t>Q9BRG1</t>
  </si>
  <si>
    <t>Q9BRK5</t>
  </si>
  <si>
    <t>Q9BRP1</t>
  </si>
  <si>
    <t>Q9BRP4</t>
  </si>
  <si>
    <t>Q9BRP8-2</t>
  </si>
  <si>
    <t>Q9BRR0</t>
  </si>
  <si>
    <t>Q9BRR6-2</t>
  </si>
  <si>
    <t>Q9BRS2</t>
  </si>
  <si>
    <t>Q9BRT3</t>
  </si>
  <si>
    <t>Q9BRT9</t>
  </si>
  <si>
    <t>Q9BRV8</t>
  </si>
  <si>
    <t>Q9BRX2</t>
  </si>
  <si>
    <t>Q9BRX5</t>
  </si>
  <si>
    <t>Q9BRX9</t>
  </si>
  <si>
    <t>Q9BRZ2</t>
  </si>
  <si>
    <t>Q9BS18</t>
  </si>
  <si>
    <t>Q9BS26</t>
  </si>
  <si>
    <t>Q9BSB4</t>
  </si>
  <si>
    <t>Q9BSC4</t>
  </si>
  <si>
    <t>Q9BSD7</t>
  </si>
  <si>
    <t>Q9BSE4</t>
  </si>
  <si>
    <t>Q9BSH4</t>
  </si>
  <si>
    <t>Q9BSH5</t>
  </si>
  <si>
    <t>Q9BSJ2</t>
  </si>
  <si>
    <t>Q9BSJ5-3</t>
  </si>
  <si>
    <t>Q9BSJ8</t>
  </si>
  <si>
    <t>Q9BSL1</t>
  </si>
  <si>
    <t>Q9BSQ5</t>
  </si>
  <si>
    <t>Q9BSR8</t>
  </si>
  <si>
    <t>Q9BST9-3</t>
  </si>
  <si>
    <t>Q9BSU1</t>
  </si>
  <si>
    <t>Q9BSU3</t>
  </si>
  <si>
    <t>Q9BSV6</t>
  </si>
  <si>
    <t>Q9BSW2-2</t>
  </si>
  <si>
    <t>Q9BSY4</t>
  </si>
  <si>
    <t>Q9BT09</t>
  </si>
  <si>
    <t>Q9BT25-2</t>
  </si>
  <si>
    <t>Q9BT30</t>
  </si>
  <si>
    <t>Q9BT73</t>
  </si>
  <si>
    <t>Q9BT78</t>
  </si>
  <si>
    <t>Q9BT92</t>
  </si>
  <si>
    <t>Q9BTA9-2</t>
  </si>
  <si>
    <t>Q9BTC0</t>
  </si>
  <si>
    <t>Q9BTD8-4</t>
  </si>
  <si>
    <t>Q9BTE1-2</t>
  </si>
  <si>
    <t>Q9BTE3-2</t>
  </si>
  <si>
    <t>Q9BTE6-3</t>
  </si>
  <si>
    <t>Q9BTE7</t>
  </si>
  <si>
    <t>Q9BTF0</t>
  </si>
  <si>
    <t>Q9BTK6</t>
  </si>
  <si>
    <t>Q9BTL3</t>
  </si>
  <si>
    <t>Q9BTM9</t>
  </si>
  <si>
    <t>Q9BTT0</t>
  </si>
  <si>
    <t>Q9BTT4</t>
  </si>
  <si>
    <t>Q9BTV6</t>
  </si>
  <si>
    <t>Q9BTW9</t>
  </si>
  <si>
    <t>Q9BTX7</t>
  </si>
  <si>
    <t>Q9BTY2</t>
  </si>
  <si>
    <t>Q9BTY7</t>
  </si>
  <si>
    <t>Q9BU02</t>
  </si>
  <si>
    <t>Q9BU61-2</t>
  </si>
  <si>
    <t>Q9BU64</t>
  </si>
  <si>
    <t>Q9BU76</t>
  </si>
  <si>
    <t>Q9BU89</t>
  </si>
  <si>
    <t>Q9BUA3</t>
  </si>
  <si>
    <t>Q9BUB4</t>
  </si>
  <si>
    <t>Q9BUB5-2</t>
  </si>
  <si>
    <t>Q9BUE0</t>
  </si>
  <si>
    <t>Q9BUF5</t>
  </si>
  <si>
    <t>Q9BUH6</t>
  </si>
  <si>
    <t>Q9BUI4</t>
  </si>
  <si>
    <t>Q9BUJ2-2</t>
  </si>
  <si>
    <t>Q9BUK6-2</t>
  </si>
  <si>
    <t>Q9BUL9</t>
  </si>
  <si>
    <t>Q9BUN5</t>
  </si>
  <si>
    <t>Q9BUP0</t>
  </si>
  <si>
    <t>Q9BUQ8</t>
  </si>
  <si>
    <t>Q9BUR4</t>
  </si>
  <si>
    <t>Q9BUT1</t>
  </si>
  <si>
    <t>Q9BUT9</t>
  </si>
  <si>
    <t>Q9BUW7</t>
  </si>
  <si>
    <t>Q9BV19</t>
  </si>
  <si>
    <t>Q9BV20</t>
  </si>
  <si>
    <t>Q9BV38</t>
  </si>
  <si>
    <t>Q9BV40</t>
  </si>
  <si>
    <t>Q9BV44</t>
  </si>
  <si>
    <t>Q9BV57</t>
  </si>
  <si>
    <t>Q9BV68-2</t>
  </si>
  <si>
    <t>Q9BV73</t>
  </si>
  <si>
    <t>Q9BV79</t>
  </si>
  <si>
    <t>Q9BV86</t>
  </si>
  <si>
    <t>Q9BVA0</t>
  </si>
  <si>
    <t>Q9BVC3</t>
  </si>
  <si>
    <t>Q9BVC6</t>
  </si>
  <si>
    <t>Q9BVG4</t>
  </si>
  <si>
    <t>Q9BVI0</t>
  </si>
  <si>
    <t>Q9BVI4</t>
  </si>
  <si>
    <t>Q9BVJ6</t>
  </si>
  <si>
    <t>Q9BVJ7</t>
  </si>
  <si>
    <t>Q9BVK6</t>
  </si>
  <si>
    <t>Q9BVL4</t>
  </si>
  <si>
    <t>Q9BVM2</t>
  </si>
  <si>
    <t>Q9BVM4</t>
  </si>
  <si>
    <t>Q9BVP2-2</t>
  </si>
  <si>
    <t>Q9BVQ7</t>
  </si>
  <si>
    <t>Q9BVR6</t>
  </si>
  <si>
    <t>Q9BVS4</t>
  </si>
  <si>
    <t>Q9BW04</t>
  </si>
  <si>
    <t>Q9BW19</t>
  </si>
  <si>
    <t>Q9BW27</t>
  </si>
  <si>
    <t>Q9BW61</t>
  </si>
  <si>
    <t>Q9BW62</t>
  </si>
  <si>
    <t>Q9BW66</t>
  </si>
  <si>
    <t>Q9BW71</t>
  </si>
  <si>
    <t>Q9BW83</t>
  </si>
  <si>
    <t>Q9BW85</t>
  </si>
  <si>
    <t>Q9BW91-2</t>
  </si>
  <si>
    <t>Q9BW92</t>
  </si>
  <si>
    <t>Q9BWD1</t>
  </si>
  <si>
    <t>Q9BWE0</t>
  </si>
  <si>
    <t>Q9BWF3</t>
  </si>
  <si>
    <t>Q9BWH2</t>
  </si>
  <si>
    <t>Q9BWH6</t>
  </si>
  <si>
    <t>Q9BWJ5</t>
  </si>
  <si>
    <t>Q9BWN1</t>
  </si>
  <si>
    <t>Q9BWS9-3</t>
  </si>
  <si>
    <t>Q9BWT3</t>
  </si>
  <si>
    <t>Q9BWT7</t>
  </si>
  <si>
    <t>Q9BWU0</t>
  </si>
  <si>
    <t>Q9BWW4-2</t>
  </si>
  <si>
    <t>Q9BWW5</t>
  </si>
  <si>
    <t>Q9BWW8</t>
  </si>
  <si>
    <t>Q9BX10-2</t>
  </si>
  <si>
    <t>Q9BX40</t>
  </si>
  <si>
    <t>Q9BX63</t>
  </si>
  <si>
    <t>Q9BX66-6</t>
  </si>
  <si>
    <t>Q9BX66-9</t>
  </si>
  <si>
    <t>Q9BX68</t>
  </si>
  <si>
    <t>Q9BX69</t>
  </si>
  <si>
    <t>Q9BXB4</t>
  </si>
  <si>
    <t>Q9BXD5</t>
  </si>
  <si>
    <t>Q9BXF6</t>
  </si>
  <si>
    <t>Q9BXH1</t>
  </si>
  <si>
    <t>Q9BXI6</t>
  </si>
  <si>
    <t>Q9BXJ9</t>
  </si>
  <si>
    <t>Q9BXK1</t>
  </si>
  <si>
    <t>Q9BXK5</t>
  </si>
  <si>
    <t>Q9BXL5</t>
  </si>
  <si>
    <t>Q9BXL7</t>
  </si>
  <si>
    <t>Q9BXP5-4</t>
  </si>
  <si>
    <t>Q9BXR0</t>
  </si>
  <si>
    <t>Q9BXS5</t>
  </si>
  <si>
    <t>Q9BXS6-2</t>
  </si>
  <si>
    <t>Q9BXV9</t>
  </si>
  <si>
    <t>Q9BXW7-2</t>
  </si>
  <si>
    <t>Q9BXW9-2</t>
  </si>
  <si>
    <t>Q9BXY0</t>
  </si>
  <si>
    <t>Q9BY12-2</t>
  </si>
  <si>
    <t>Q9BY32</t>
  </si>
  <si>
    <t>Q9BY42</t>
  </si>
  <si>
    <t>Q9BY43</t>
  </si>
  <si>
    <t>Q9BY44</t>
  </si>
  <si>
    <t>Q9BY77</t>
  </si>
  <si>
    <t>Q9BYB4</t>
  </si>
  <si>
    <t>Q9BYD6</t>
  </si>
  <si>
    <t>Q9BYE2-3</t>
  </si>
  <si>
    <t>Q9BYE7</t>
  </si>
  <si>
    <t>Q9BYG3</t>
  </si>
  <si>
    <t>Q9BYG5</t>
  </si>
  <si>
    <t>Q9BYI3</t>
  </si>
  <si>
    <t>Q9BYM8</t>
  </si>
  <si>
    <t>Q9BYN0</t>
  </si>
  <si>
    <t>Q9BYN8</t>
  </si>
  <si>
    <t>Q9BYT8</t>
  </si>
  <si>
    <t>Q9BYV8</t>
  </si>
  <si>
    <t>Q9BYV9</t>
  </si>
  <si>
    <t>Q9BYW2</t>
  </si>
  <si>
    <t>Q9BZ29-3</t>
  </si>
  <si>
    <t>Q9BZ95-4</t>
  </si>
  <si>
    <t>Q9BZD4</t>
  </si>
  <si>
    <t>Q9BZE2</t>
  </si>
  <si>
    <t>Q9BZE9</t>
  </si>
  <si>
    <t>Q9BZF1-3</t>
  </si>
  <si>
    <t>Q9BZF2</t>
  </si>
  <si>
    <t>Q9BZH6</t>
  </si>
  <si>
    <t>Q9BZI7-2</t>
  </si>
  <si>
    <t>Q9BZJ0-2</t>
  </si>
  <si>
    <t>Q9BZK7</t>
  </si>
  <si>
    <t>Q9BZL1</t>
  </si>
  <si>
    <t>Q9BZL4</t>
  </si>
  <si>
    <t>Q9BZL6</t>
  </si>
  <si>
    <t>Q9BZM1</t>
  </si>
  <si>
    <t>Q9BZQ8</t>
  </si>
  <si>
    <t>Q9BZV1</t>
  </si>
  <si>
    <t>Q9BZX2</t>
  </si>
  <si>
    <t>Q9BZZ5-2</t>
  </si>
  <si>
    <t>Q9C004-2</t>
  </si>
  <si>
    <t>Q9C005</t>
  </si>
  <si>
    <t>Q9C010</t>
  </si>
  <si>
    <t>Q9C073</t>
  </si>
  <si>
    <t>Q9C099-2</t>
  </si>
  <si>
    <t>Q9C0B0</t>
  </si>
  <si>
    <t>Q9C0B1</t>
  </si>
  <si>
    <t>Q9C0B5-2</t>
  </si>
  <si>
    <t>Q9C0B7</t>
  </si>
  <si>
    <t>Q9C0C2</t>
  </si>
  <si>
    <t>Q9C0C4</t>
  </si>
  <si>
    <t>Q9C0C7-4</t>
  </si>
  <si>
    <t>Q9C0C9</t>
  </si>
  <si>
    <t>Q9C0D2</t>
  </si>
  <si>
    <t>Q9C0D3</t>
  </si>
  <si>
    <t>Q9C0D5</t>
  </si>
  <si>
    <t>Q9C0F1</t>
  </si>
  <si>
    <t>Q9C0G0</t>
  </si>
  <si>
    <t>Q9C0I1</t>
  </si>
  <si>
    <t>Q9C0J8</t>
  </si>
  <si>
    <t>Q9GZL7</t>
  </si>
  <si>
    <t>Q9GZN2</t>
  </si>
  <si>
    <t>Q9GZN8</t>
  </si>
  <si>
    <t>Q9GZP4</t>
  </si>
  <si>
    <t>Q9GZQ3</t>
  </si>
  <si>
    <t>Q9GZR1-2</t>
  </si>
  <si>
    <t>Q9GZR2</t>
  </si>
  <si>
    <t>Q9GZS1-2</t>
  </si>
  <si>
    <t>Q9GZS3</t>
  </si>
  <si>
    <t>Q9GZT3-2</t>
  </si>
  <si>
    <t>Q9GZT4</t>
  </si>
  <si>
    <t>Q9GZT8-2</t>
  </si>
  <si>
    <t>Q9GZT9</t>
  </si>
  <si>
    <t>Q9GZU8</t>
  </si>
  <si>
    <t>Q9GZY8</t>
  </si>
  <si>
    <t>Q9GZY8-2</t>
  </si>
  <si>
    <t>Q9GZZ9</t>
  </si>
  <si>
    <t>Q9H008</t>
  </si>
  <si>
    <t>Q9H074</t>
  </si>
  <si>
    <t>Q9H079</t>
  </si>
  <si>
    <t>Q9H081</t>
  </si>
  <si>
    <t>Q9H082</t>
  </si>
  <si>
    <t>Q9H094-2</t>
  </si>
  <si>
    <t>Q9H098</t>
  </si>
  <si>
    <t>Q9H0A0</t>
  </si>
  <si>
    <t>Q9H0A8</t>
  </si>
  <si>
    <t>Q9H0B6</t>
  </si>
  <si>
    <t>Q9H0C8</t>
  </si>
  <si>
    <t>Q9H0D6</t>
  </si>
  <si>
    <t>Q9H0E2</t>
  </si>
  <si>
    <t>Q9H0E9-2</t>
  </si>
  <si>
    <t>Q9H0F6</t>
  </si>
  <si>
    <t>Q9H0F7</t>
  </si>
  <si>
    <t>Q9H0G5</t>
  </si>
  <si>
    <t>Q9H0H5</t>
  </si>
  <si>
    <t>Q9H0I2-2</t>
  </si>
  <si>
    <t>Q9H0J9</t>
  </si>
  <si>
    <t>Q9H0K1</t>
  </si>
  <si>
    <t>Q9H0K6</t>
  </si>
  <si>
    <t>Q9H0L4</t>
  </si>
  <si>
    <t>Q9H0P0</t>
  </si>
  <si>
    <t>Q9H0P0-3</t>
  </si>
  <si>
    <t>Q9H0R4</t>
  </si>
  <si>
    <t>Q9H0R6</t>
  </si>
  <si>
    <t>Q9H0S4-2</t>
  </si>
  <si>
    <t>Q9H0U4</t>
  </si>
  <si>
    <t>Q9H0U9</t>
  </si>
  <si>
    <t>Q9H0W5</t>
  </si>
  <si>
    <t>Q9H0W8-2</t>
  </si>
  <si>
    <t>Q9H0W9</t>
  </si>
  <si>
    <t>Q9H0X4</t>
  </si>
  <si>
    <t>Q9H173</t>
  </si>
  <si>
    <t>Q9H175</t>
  </si>
  <si>
    <t>Q9H1A4</t>
  </si>
  <si>
    <t>Q9H1B7</t>
  </si>
  <si>
    <t>Q9H1D9</t>
  </si>
  <si>
    <t>Q9H1E3</t>
  </si>
  <si>
    <t>Q9H1I8</t>
  </si>
  <si>
    <t>Q9H1J1-2</t>
  </si>
  <si>
    <t>Q9H1K1</t>
  </si>
  <si>
    <t>Q9H1P3-2</t>
  </si>
  <si>
    <t>Q9H1Y0</t>
  </si>
  <si>
    <t>Q9H1Z4</t>
  </si>
  <si>
    <t>Q9H204</t>
  </si>
  <si>
    <t>Q9H211</t>
  </si>
  <si>
    <t>Q9H223</t>
  </si>
  <si>
    <t>Q9H267</t>
  </si>
  <si>
    <t>Q9H269</t>
  </si>
  <si>
    <t>Q9H270</t>
  </si>
  <si>
    <t>Q9H2C0</t>
  </si>
  <si>
    <t>Q9H2D6-5</t>
  </si>
  <si>
    <t>Q9H2F5-2</t>
  </si>
  <si>
    <t>Q9H2G2-2</t>
  </si>
  <si>
    <t>Q9H2H8</t>
  </si>
  <si>
    <t>Q9H2J4</t>
  </si>
  <si>
    <t>Q9H2K0</t>
  </si>
  <si>
    <t>Q9H2K8</t>
  </si>
  <si>
    <t>Q9H2M9</t>
  </si>
  <si>
    <t>Q9H2P0</t>
  </si>
  <si>
    <t>Q9H2P9</t>
  </si>
  <si>
    <t>Q9H2U1-3</t>
  </si>
  <si>
    <t>Q9H2U2</t>
  </si>
  <si>
    <t>Q9H2W6</t>
  </si>
  <si>
    <t>Q9H2Y7</t>
  </si>
  <si>
    <t>Q9H307</t>
  </si>
  <si>
    <t>Q9H344</t>
  </si>
  <si>
    <t>Q9H3C7</t>
  </si>
  <si>
    <t>Q9H3F6</t>
  </si>
  <si>
    <t>Q9H3G5</t>
  </si>
  <si>
    <t>Q9H3H1-4</t>
  </si>
  <si>
    <t>Q9H3H3-2</t>
  </si>
  <si>
    <t>Q9H3K6</t>
  </si>
  <si>
    <t>Q9H3L0</t>
  </si>
  <si>
    <t>Q9H3N1</t>
  </si>
  <si>
    <t>Q9H3P2</t>
  </si>
  <si>
    <t>Q9H3P7</t>
  </si>
  <si>
    <t>Q9H3Q1</t>
  </si>
  <si>
    <t>Q9H3S7</t>
  </si>
  <si>
    <t>Q9H3U1</t>
  </si>
  <si>
    <t>Q9H3Y8</t>
  </si>
  <si>
    <t>Q9H410</t>
  </si>
  <si>
    <t>Q9H425-3</t>
  </si>
  <si>
    <t>Q9H444</t>
  </si>
  <si>
    <t>Q9H467</t>
  </si>
  <si>
    <t>Q9H469</t>
  </si>
  <si>
    <t>Q9H479</t>
  </si>
  <si>
    <t>Q9H488</t>
  </si>
  <si>
    <t>Q9H496</t>
  </si>
  <si>
    <t>Q9H4A4</t>
  </si>
  <si>
    <t>Q9H4A5</t>
  </si>
  <si>
    <t>Q9H4A6</t>
  </si>
  <si>
    <t>Q9H4E7</t>
  </si>
  <si>
    <t>Q9H4G0-2</t>
  </si>
  <si>
    <t>Q9H4H8-2</t>
  </si>
  <si>
    <t>Q9H4I2</t>
  </si>
  <si>
    <t>Q9H4L5</t>
  </si>
  <si>
    <t>Q9H4L7</t>
  </si>
  <si>
    <t>Q9H4M3-2</t>
  </si>
  <si>
    <t>Q9H4M7-2</t>
  </si>
  <si>
    <t>Q9H4M9</t>
  </si>
  <si>
    <t>Q9H4P4-2</t>
  </si>
  <si>
    <t>Q9H4Z2-2</t>
  </si>
  <si>
    <t>Q9H4Z3</t>
  </si>
  <si>
    <t>Q9H501</t>
  </si>
  <si>
    <t>Q9H568</t>
  </si>
  <si>
    <t>Q9H582-2</t>
  </si>
  <si>
    <t>Q9H583</t>
  </si>
  <si>
    <t>Q9H5H4</t>
  </si>
  <si>
    <t>Q9H5J8</t>
  </si>
  <si>
    <t>Q9H5N1</t>
  </si>
  <si>
    <t>Q9H5Q4</t>
  </si>
  <si>
    <t>Q9H5V7</t>
  </si>
  <si>
    <t>Q9H5V9-2</t>
  </si>
  <si>
    <t>Q9H5X1</t>
  </si>
  <si>
    <t>Q9H633-3</t>
  </si>
  <si>
    <t>Q9H6D7</t>
  </si>
  <si>
    <t>Q9H6E4</t>
  </si>
  <si>
    <t>Q9H6E5</t>
  </si>
  <si>
    <t>Q9H6F5</t>
  </si>
  <si>
    <t>Q9H6K1</t>
  </si>
  <si>
    <t>Q9H6L4</t>
  </si>
  <si>
    <t>Q9H6Q4</t>
  </si>
  <si>
    <t>Q9H6R4-4</t>
  </si>
  <si>
    <t>Q9H6R7</t>
  </si>
  <si>
    <t>Q9H6S0</t>
  </si>
  <si>
    <t>Q9H6S1</t>
  </si>
  <si>
    <t>Q9H6S3-2</t>
  </si>
  <si>
    <t>Q9H6T3-2</t>
  </si>
  <si>
    <t>Q9H6U6-2</t>
  </si>
  <si>
    <t>Q9H6V9</t>
  </si>
  <si>
    <t>Q9H6W3</t>
  </si>
  <si>
    <t>Q9H6Y2</t>
  </si>
  <si>
    <t>Q9H6Z4-2</t>
  </si>
  <si>
    <t>Q9H773</t>
  </si>
  <si>
    <t>Q9H777</t>
  </si>
  <si>
    <t>Q9H7B4</t>
  </si>
  <si>
    <t>Q9H7C9</t>
  </si>
  <si>
    <t>Q9H7D7-2</t>
  </si>
  <si>
    <t>Q9H7E2-3</t>
  </si>
  <si>
    <t>Q9H7E9</t>
  </si>
  <si>
    <t>Q9H7L9</t>
  </si>
  <si>
    <t>Q9H7N4</t>
  </si>
  <si>
    <t>Q9H7P9</t>
  </si>
  <si>
    <t>Q9H7R5-2</t>
  </si>
  <si>
    <t>Q9H7U1-2</t>
  </si>
  <si>
    <t>Q9H7X3</t>
  </si>
  <si>
    <t>Q9H7Z6</t>
  </si>
  <si>
    <t>Q9H7Z7</t>
  </si>
  <si>
    <t>Q9H814</t>
  </si>
  <si>
    <t>Q9H832</t>
  </si>
  <si>
    <t>Q9H840</t>
  </si>
  <si>
    <t>Q9H845</t>
  </si>
  <si>
    <t>Q9H857-2</t>
  </si>
  <si>
    <t>Q9H869-5</t>
  </si>
  <si>
    <t>Q9H871</t>
  </si>
  <si>
    <t>Q9H875</t>
  </si>
  <si>
    <t>Q9H8E8</t>
  </si>
  <si>
    <t>Q9H8G2</t>
  </si>
  <si>
    <t>Q9H8H0</t>
  </si>
  <si>
    <t>Q9H8M2</t>
  </si>
  <si>
    <t>Q9H8M7</t>
  </si>
  <si>
    <t>Q9H8S9</t>
  </si>
  <si>
    <t>Q9H8U3</t>
  </si>
  <si>
    <t>Q9H8V3</t>
  </si>
  <si>
    <t>Q9H8W4</t>
  </si>
  <si>
    <t>Q9H8Y5</t>
  </si>
  <si>
    <t>Q9H8Y8</t>
  </si>
  <si>
    <t>Q9H900</t>
  </si>
  <si>
    <t>Q9H910-2</t>
  </si>
  <si>
    <t>Q9H939</t>
  </si>
  <si>
    <t>Q9H944</t>
  </si>
  <si>
    <t>Q9H967</t>
  </si>
  <si>
    <t>Q9H974</t>
  </si>
  <si>
    <t>Q9H993</t>
  </si>
  <si>
    <t>Q9H999</t>
  </si>
  <si>
    <t>Q9H9A5-2</t>
  </si>
  <si>
    <t>Q9H9A6</t>
  </si>
  <si>
    <t>Q9H9A7</t>
  </si>
  <si>
    <t>Q9H9B1</t>
  </si>
  <si>
    <t>Q9H9B4</t>
  </si>
  <si>
    <t>Q9H9C1-2</t>
  </si>
  <si>
    <t>Q9H9D4</t>
  </si>
  <si>
    <t>Q9H9E3</t>
  </si>
  <si>
    <t>Q9H9F9</t>
  </si>
  <si>
    <t>Q9H9G7</t>
  </si>
  <si>
    <t>Q9H9H4</t>
  </si>
  <si>
    <t>Q9H9J2</t>
  </si>
  <si>
    <t>Q9H9L3</t>
  </si>
  <si>
    <t>Q9H9Q4</t>
  </si>
  <si>
    <t>Q9H9S4</t>
  </si>
  <si>
    <t>Q9H9T3-2</t>
  </si>
  <si>
    <t>Q9H9V9-2</t>
  </si>
  <si>
    <t>Q9H9Y4</t>
  </si>
  <si>
    <t>Q9H9Y6-2</t>
  </si>
  <si>
    <t>Q9HA38-2</t>
  </si>
  <si>
    <t>Q9HA47-3</t>
  </si>
  <si>
    <t>Q9HA64</t>
  </si>
  <si>
    <t>Q9HA65-2</t>
  </si>
  <si>
    <t>Q9HA77</t>
  </si>
  <si>
    <t>Q9HAB8</t>
  </si>
  <si>
    <t>Q9HAF1-2</t>
  </si>
  <si>
    <t>Q9HAJ7</t>
  </si>
  <si>
    <t>Q9HAN9</t>
  </si>
  <si>
    <t>Q9HAP2</t>
  </si>
  <si>
    <t>Q9HAR2-3</t>
  </si>
  <si>
    <t>Q9HAT2</t>
  </si>
  <si>
    <t>Q9HAU0</t>
  </si>
  <si>
    <t>Q9HAU5</t>
  </si>
  <si>
    <t>Q9HAV4</t>
  </si>
  <si>
    <t>Q9HAV7</t>
  </si>
  <si>
    <t>Q9HAW4-2</t>
  </si>
  <si>
    <t>Q9HB19</t>
  </si>
  <si>
    <t>Q9HB21</t>
  </si>
  <si>
    <t>Q9HB40</t>
  </si>
  <si>
    <t>Q9HB58-6</t>
  </si>
  <si>
    <t>Q9HB71</t>
  </si>
  <si>
    <t>Q9HB90</t>
  </si>
  <si>
    <t>Q9HB96</t>
  </si>
  <si>
    <t>Q9HBE1-4</t>
  </si>
  <si>
    <t>Q9HBE4-2</t>
  </si>
  <si>
    <t>Q9HBI1</t>
  </si>
  <si>
    <t>Q9HBL8</t>
  </si>
  <si>
    <t>Q9HBM1</t>
  </si>
  <si>
    <t>Q9HBM6</t>
  </si>
  <si>
    <t>Q9HBR0</t>
  </si>
  <si>
    <t>Q9HBU6</t>
  </si>
  <si>
    <t>Q9HC35</t>
  </si>
  <si>
    <t>Q9HC38-2</t>
  </si>
  <si>
    <t>Q9HC44</t>
  </si>
  <si>
    <t>Q9HC52</t>
  </si>
  <si>
    <t>Q9HC77</t>
  </si>
  <si>
    <t>Q9HCC0</t>
  </si>
  <si>
    <t>Q9HCC9-2</t>
  </si>
  <si>
    <t>Q9HCC9-5</t>
  </si>
  <si>
    <t>Q9HCD5</t>
  </si>
  <si>
    <t>Q9HCE0-2</t>
  </si>
  <si>
    <t>Q9HCE1</t>
  </si>
  <si>
    <t>Q9HCE5</t>
  </si>
  <si>
    <t>Q9HCH0-3</t>
  </si>
  <si>
    <t>Q9HCI7</t>
  </si>
  <si>
    <t>Q9HCJ0</t>
  </si>
  <si>
    <t>Q9HCJ3-2</t>
  </si>
  <si>
    <t>Q9HCK8</t>
  </si>
  <si>
    <t>Q9HCM4-4</t>
  </si>
  <si>
    <t>Q9HCN4-2</t>
  </si>
  <si>
    <t>Q9HCN8</t>
  </si>
  <si>
    <t>Q9HCU8</t>
  </si>
  <si>
    <t>Q9HD15</t>
  </si>
  <si>
    <t>Q9HD20-2</t>
  </si>
  <si>
    <t>Q9HD26</t>
  </si>
  <si>
    <t>Q9HD40</t>
  </si>
  <si>
    <t>Q9HD42</t>
  </si>
  <si>
    <t>Q9HD45</t>
  </si>
  <si>
    <t>Q9HD47-2</t>
  </si>
  <si>
    <t>Q9HDC5</t>
  </si>
  <si>
    <t>Q9NNW5</t>
  </si>
  <si>
    <t>Q9NNX1-3</t>
  </si>
  <si>
    <t>Q9NP50</t>
  </si>
  <si>
    <t>Q9NP64-2</t>
  </si>
  <si>
    <t>Q9NP66</t>
  </si>
  <si>
    <t>Q9NP72</t>
  </si>
  <si>
    <t>Q9NP73</t>
  </si>
  <si>
    <t>Q9NP74</t>
  </si>
  <si>
    <t>Q9NP77</t>
  </si>
  <si>
    <t>Q9NP79</t>
  </si>
  <si>
    <t>Q9NP97</t>
  </si>
  <si>
    <t>Q9NPA3</t>
  </si>
  <si>
    <t>Q9NPA8-2</t>
  </si>
  <si>
    <t>Q9NPB8</t>
  </si>
  <si>
    <t>Q9NPD3</t>
  </si>
  <si>
    <t>Q9NPD8</t>
  </si>
  <si>
    <t>Q9NPE3</t>
  </si>
  <si>
    <t>Q9NPF4</t>
  </si>
  <si>
    <t>Q9NPF5</t>
  </si>
  <si>
    <t>Q9NPG3-2</t>
  </si>
  <si>
    <t>Q9NPH3-5</t>
  </si>
  <si>
    <t>Q9NPI1</t>
  </si>
  <si>
    <t>Q9NPI6</t>
  </si>
  <si>
    <t>Q9NPJ3</t>
  </si>
  <si>
    <t>Q9NPJ6</t>
  </si>
  <si>
    <t>Q9NPJ8</t>
  </si>
  <si>
    <t>Q9NPQ8</t>
  </si>
  <si>
    <t>Q9NQ29</t>
  </si>
  <si>
    <t>Q9NQ55-2</t>
  </si>
  <si>
    <t>Q9NQ88</t>
  </si>
  <si>
    <t>Q9NQ92</t>
  </si>
  <si>
    <t>Q9NQA3</t>
  </si>
  <si>
    <t>Q9NQC3</t>
  </si>
  <si>
    <t>Q9NQE9</t>
  </si>
  <si>
    <t>Q9NQG5</t>
  </si>
  <si>
    <t>Q9NQG6</t>
  </si>
  <si>
    <t>Q9NQL2</t>
  </si>
  <si>
    <t>Q9NQP4</t>
  </si>
  <si>
    <t>Q9NQR1-2</t>
  </si>
  <si>
    <t>Q9NQR4</t>
  </si>
  <si>
    <t>Q9NQS1</t>
  </si>
  <si>
    <t>Q9NQS7-2</t>
  </si>
  <si>
    <t>Q9NQT4</t>
  </si>
  <si>
    <t>Q9NQT5</t>
  </si>
  <si>
    <t>Q9NQT8</t>
  </si>
  <si>
    <t>Q9NQV6-2</t>
  </si>
  <si>
    <t>Q9NQW6</t>
  </si>
  <si>
    <t>Q9NQW7-3</t>
  </si>
  <si>
    <t>Q9NQX3</t>
  </si>
  <si>
    <t>Q9NQY0</t>
  </si>
  <si>
    <t>Q9NQZ2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</si>
  <si>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</si>
  <si>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</si>
  <si>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</si>
  <si>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</si>
  <si>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</si>
  <si>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</si>
  <si>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</si>
  <si>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</si>
  <si>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</si>
  <si>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Q9NR46</t>
  </si>
  <si>
    <t>Q9NR50</t>
  </si>
  <si>
    <t>Q9NR82-4</t>
  </si>
  <si>
    <t>Q9NRD1</t>
  </si>
  <si>
    <t>Q9NRD5</t>
  </si>
  <si>
    <t>Q9NRF2-3</t>
  </si>
  <si>
    <t>Q9NRF8</t>
  </si>
  <si>
    <t>Q9NRF9</t>
  </si>
  <si>
    <t>Q9NRG0</t>
  </si>
  <si>
    <t>Q9NRG1</t>
  </si>
  <si>
    <t>Q9NRG4</t>
  </si>
  <si>
    <t>Q9NRH1</t>
  </si>
  <si>
    <t>Q9NRL2-2</t>
  </si>
  <si>
    <t>Q9NRL3</t>
  </si>
  <si>
    <t>Q9NRN7</t>
  </si>
  <si>
    <t>Q9NRN9</t>
  </si>
  <si>
    <t>Q9NRR5</t>
  </si>
  <si>
    <t>Q9NRS6</t>
  </si>
  <si>
    <t>Q9NRV9</t>
  </si>
  <si>
    <t>Q9NRW1</t>
  </si>
  <si>
    <t>Q9NRW4</t>
  </si>
  <si>
    <t>Q9NRW7</t>
  </si>
  <si>
    <t>Q9NRX4</t>
  </si>
  <si>
    <t>Q9NRY2</t>
  </si>
  <si>
    <t>Q9NRY4</t>
  </si>
  <si>
    <t>Q9NRY5</t>
  </si>
  <si>
    <t>Q9NRZ9-6</t>
  </si>
  <si>
    <t>Q9NS18</t>
  </si>
  <si>
    <t>Q9NS56</t>
  </si>
  <si>
    <t>Q9NS73-2</t>
  </si>
  <si>
    <t>Q9NS86</t>
  </si>
  <si>
    <t>Q9NS87-2</t>
  </si>
  <si>
    <t>Q9NS91</t>
  </si>
  <si>
    <t>Q9NSA3</t>
  </si>
  <si>
    <t>Q9NSC5-5</t>
  </si>
  <si>
    <t>Q9NSD9</t>
  </si>
  <si>
    <t>Q9NSE2</t>
  </si>
  <si>
    <t>Q9NSE4</t>
  </si>
  <si>
    <t>Q9NSG2</t>
  </si>
  <si>
    <t>Q9NSI2-2</t>
  </si>
  <si>
    <t>Q9NSI6-3</t>
  </si>
  <si>
    <t>Q9NSI8</t>
  </si>
  <si>
    <t>Q9NSK0</t>
  </si>
  <si>
    <t>Q9NSQ0</t>
  </si>
  <si>
    <t>Q9NSY0</t>
  </si>
  <si>
    <t>Q9NSY1</t>
  </si>
  <si>
    <t>Q9NT62</t>
  </si>
  <si>
    <t>Q9NT99</t>
  </si>
  <si>
    <t>Q9NTG7</t>
  </si>
  <si>
    <t>Q9NTI5-2</t>
  </si>
  <si>
    <t>Q9NTJ3</t>
  </si>
  <si>
    <t>Q9NTJ4-3</t>
  </si>
  <si>
    <t>Q9NTK5</t>
  </si>
  <si>
    <t>Q9NTK5-2</t>
  </si>
  <si>
    <t>Q9NTM9</t>
  </si>
  <si>
    <t>Q9NTX5-2</t>
  </si>
  <si>
    <t>Q9NTZ6</t>
  </si>
  <si>
    <t>Q9NU19</t>
  </si>
  <si>
    <t>Q9NU22</t>
  </si>
  <si>
    <t>Q9NU23</t>
  </si>
  <si>
    <t>Q9NUB1-3</t>
  </si>
  <si>
    <t>Q9NUD5</t>
  </si>
  <si>
    <t>Q9NUG6</t>
  </si>
  <si>
    <t>Q9NUJ1</t>
  </si>
  <si>
    <t>Q9NUJ3</t>
  </si>
  <si>
    <t>Q9NUL3-7</t>
  </si>
  <si>
    <t>Q9NUM4</t>
  </si>
  <si>
    <t>Q9NUP1</t>
  </si>
  <si>
    <t>Q9NUP7</t>
  </si>
  <si>
    <t>Q9NUQ3</t>
  </si>
  <si>
    <t>Q9NUQ6-2</t>
  </si>
  <si>
    <t>Q9NUQ8-2</t>
  </si>
  <si>
    <t>Q9NUQ9</t>
  </si>
  <si>
    <t>Q9NUS5</t>
  </si>
  <si>
    <t>Q9NUU7</t>
  </si>
  <si>
    <t>Q9NUW8</t>
  </si>
  <si>
    <t>Q9NUX5-2</t>
  </si>
  <si>
    <t>Q9NUY8-2</t>
  </si>
  <si>
    <t>Q9NV06</t>
  </si>
  <si>
    <t>Q9NV31</t>
  </si>
  <si>
    <t>Q9NV35</t>
  </si>
  <si>
    <t>Q9NV56</t>
  </si>
  <si>
    <t>Q9NV70-2</t>
  </si>
  <si>
    <t>Q9NV88-3</t>
  </si>
  <si>
    <t>Q9NVA4</t>
  </si>
  <si>
    <t>Q9NVC6</t>
  </si>
  <si>
    <t>Q9NVE5</t>
  </si>
  <si>
    <t>Q9NVE7</t>
  </si>
  <si>
    <t>Q9NVF7</t>
  </si>
  <si>
    <t>Q9NVG8</t>
  </si>
  <si>
    <t>Q9NVH0-2</t>
  </si>
  <si>
    <t>Q9NVH2-3</t>
  </si>
  <si>
    <t>Q9NVH6</t>
  </si>
  <si>
    <t>Q9NVI1</t>
  </si>
  <si>
    <t>Q9NVI7-2</t>
  </si>
  <si>
    <t>Q9NVJ2</t>
  </si>
  <si>
    <t>Q9NVM4-3</t>
  </si>
  <si>
    <t>Q9NVM6</t>
  </si>
  <si>
    <t>Q9NVM9</t>
  </si>
  <si>
    <t>Q9NVN3-3</t>
  </si>
  <si>
    <t>Q9NVN8</t>
  </si>
  <si>
    <t>Q9NVP1</t>
  </si>
  <si>
    <t>Q9NVP2</t>
  </si>
  <si>
    <t>Q9NVR0</t>
  </si>
  <si>
    <t>Q9NVR2</t>
  </si>
  <si>
    <t>Q9NVR5</t>
  </si>
  <si>
    <t>Q9NVT9</t>
  </si>
  <si>
    <t>Q9NVU0-5</t>
  </si>
  <si>
    <t>Q9NVU7-2</t>
  </si>
  <si>
    <t>Q9NVX0</t>
  </si>
  <si>
    <t>Q9NVX2</t>
  </si>
  <si>
    <t>Q9NVZ3</t>
  </si>
  <si>
    <t>Q9NW08-2</t>
  </si>
  <si>
    <t>Q9NW13</t>
  </si>
  <si>
    <t>Q9NW64</t>
  </si>
  <si>
    <t>Q9NW68-4</t>
  </si>
  <si>
    <t>Q9NW75-2</t>
  </si>
  <si>
    <t>Q9NW82</t>
  </si>
  <si>
    <t>Q9NWA0</t>
  </si>
  <si>
    <t>Q9NWB6</t>
  </si>
  <si>
    <t>Q9NWD9</t>
  </si>
  <si>
    <t>Q9NWH9</t>
  </si>
  <si>
    <t>Q9NWK9</t>
  </si>
  <si>
    <t>Q9NWM3</t>
  </si>
  <si>
    <t>Q9NWM8</t>
  </si>
  <si>
    <t>Q9NWS0</t>
  </si>
  <si>
    <t>Q9NWS6</t>
  </si>
  <si>
    <t>Q9NWT1</t>
  </si>
  <si>
    <t>Q9NWT6</t>
  </si>
  <si>
    <t>Q9NWT8</t>
  </si>
  <si>
    <t>Q9NWU1</t>
  </si>
  <si>
    <t>Q9NWU2</t>
  </si>
  <si>
    <t>Q9NWV4</t>
  </si>
  <si>
    <t>Q9NWW7</t>
  </si>
  <si>
    <t>Q9NWX6</t>
  </si>
  <si>
    <t>Q9NWY4</t>
  </si>
  <si>
    <t>Q9NWZ3</t>
  </si>
  <si>
    <t>Q9NWZ5-3</t>
  </si>
  <si>
    <t>Q9NWZ8</t>
  </si>
  <si>
    <t>Q9NX01</t>
  </si>
  <si>
    <t>Q9NX02-5</t>
  </si>
  <si>
    <t>Q9NX07</t>
  </si>
  <si>
    <t>Q9NX08</t>
  </si>
  <si>
    <t>Q9NX09</t>
  </si>
  <si>
    <t>Q9NX24</t>
  </si>
  <si>
    <t>Q9NX38</t>
  </si>
  <si>
    <t>Q9NX46</t>
  </si>
  <si>
    <t>Q9NX55</t>
  </si>
  <si>
    <t>Q9NX58</t>
  </si>
  <si>
    <t>Q9NX63</t>
  </si>
  <si>
    <t>Q9NX70</t>
  </si>
  <si>
    <t>Q9NX74</t>
  </si>
  <si>
    <t>Q9NXA8</t>
  </si>
  <si>
    <t>Q9NXC5</t>
  </si>
  <si>
    <t>Q9NXE8</t>
  </si>
  <si>
    <t>Q9NXF1-2</t>
  </si>
  <si>
    <t>Q9NXF7</t>
  </si>
  <si>
    <t>Q9NXG2</t>
  </si>
  <si>
    <t>Q9NXH9</t>
  </si>
  <si>
    <t>Q9NXJ5</t>
  </si>
  <si>
    <t>Q9NXK8</t>
  </si>
  <si>
    <t>Q9NXR1-2</t>
  </si>
  <si>
    <t>Q9NXR7</t>
  </si>
  <si>
    <t>Q9NXU5</t>
  </si>
  <si>
    <t>Q9NXV2</t>
  </si>
  <si>
    <t>Q9NXV6</t>
  </si>
  <si>
    <t>Q9NXW2</t>
  </si>
  <si>
    <t>Q9NXW9</t>
  </si>
  <si>
    <t>Q9NXZ1</t>
  </si>
  <si>
    <t>Q9NY12-2</t>
  </si>
  <si>
    <t>Q9NY27</t>
  </si>
  <si>
    <t>Q9NY33</t>
  </si>
  <si>
    <t>Q9NY61</t>
  </si>
  <si>
    <t>Q9NY93</t>
  </si>
  <si>
    <t>Q9NYB0</t>
  </si>
  <si>
    <t>Q9NYB9-3</t>
  </si>
  <si>
    <t>Q9NYF3</t>
  </si>
  <si>
    <t>Q9NYF8-2</t>
  </si>
  <si>
    <t>Q9NYG5</t>
  </si>
  <si>
    <t>Q9NYJ1</t>
  </si>
  <si>
    <t>Q9NYJ8</t>
  </si>
  <si>
    <t>Q9NYK6-3</t>
  </si>
  <si>
    <t>Q9NYL2</t>
  </si>
  <si>
    <t>Q9NYL2-2</t>
  </si>
  <si>
    <t>Q9NYL9</t>
  </si>
  <si>
    <t>Q9NYP9</t>
  </si>
  <si>
    <t>Q9NYU2-2</t>
  </si>
  <si>
    <t>Q9NYV4</t>
  </si>
  <si>
    <t>Q9NYV4-2</t>
  </si>
  <si>
    <t>Q9NYW8</t>
  </si>
  <si>
    <t>Q9NYY8-2</t>
  </si>
  <si>
    <t>Q9NYZ3</t>
  </si>
  <si>
    <t>Q9NZ08</t>
  </si>
  <si>
    <t>Q9NZ09-2</t>
  </si>
  <si>
    <t>Q9NZ32</t>
  </si>
  <si>
    <t>Q9NZ52</t>
  </si>
  <si>
    <t>Q9NZ53</t>
  </si>
  <si>
    <t>Q9NZ63</t>
  </si>
  <si>
    <t>Q9NZA1-3</t>
  </si>
  <si>
    <t>Q9NZB2</t>
  </si>
  <si>
    <t>Q9NZC9</t>
  </si>
  <si>
    <t>Q9NZD2</t>
  </si>
  <si>
    <t>Q9NZD4</t>
  </si>
  <si>
    <t>Q9NZI8</t>
  </si>
  <si>
    <t>Q9NZJ6</t>
  </si>
  <si>
    <t>Q9NZJ9</t>
  </si>
  <si>
    <t>Q9NZJ9-2</t>
  </si>
  <si>
    <t>Q9NZL4</t>
  </si>
  <si>
    <t>Q9NZL9</t>
  </si>
  <si>
    <t>Q9NZL9-2</t>
  </si>
  <si>
    <t>Q9NZM3-2</t>
  </si>
  <si>
    <t>Q9NZM4-2</t>
  </si>
  <si>
    <t>Q9NZM5</t>
  </si>
  <si>
    <t>Q9NZN4</t>
  </si>
  <si>
    <t>Q9NZN5-2</t>
  </si>
  <si>
    <t>Q9NZQ3-3</t>
  </si>
  <si>
    <t>Q9NZR2</t>
  </si>
  <si>
    <t>Q9NZT2-2</t>
  </si>
  <si>
    <t>Q9NZV6</t>
  </si>
  <si>
    <t>Q9NZW5</t>
  </si>
  <si>
    <t>Q9NZZ3</t>
  </si>
  <si>
    <t>Q9P000</t>
  </si>
  <si>
    <t>Q9P013</t>
  </si>
  <si>
    <t>Q9P016</t>
  </si>
  <si>
    <t>Q9P031</t>
  </si>
  <si>
    <t>Q9P032</t>
  </si>
  <si>
    <t>Q9P035</t>
  </si>
  <si>
    <t>Q9P0J7</t>
  </si>
  <si>
    <t>Q9P0K7-3</t>
  </si>
  <si>
    <t>Q9P0L0</t>
  </si>
  <si>
    <t>Q9P0N9-3</t>
  </si>
  <si>
    <t>Q9P0R6</t>
  </si>
  <si>
    <t>Q9P0U3-2</t>
  </si>
  <si>
    <t>Q9P0U4</t>
  </si>
  <si>
    <t>Q9P0W2</t>
  </si>
  <si>
    <t>Q9P107</t>
  </si>
  <si>
    <t>Q9P1F3</t>
  </si>
  <si>
    <t>Q9P1Q0-3</t>
  </si>
  <si>
    <t>Q9P1U0</t>
  </si>
  <si>
    <t>Q9P1U1</t>
  </si>
  <si>
    <t>Q9P1Z2-2</t>
  </si>
  <si>
    <t>Q9P206-2</t>
  </si>
  <si>
    <t>Q9P209</t>
  </si>
  <si>
    <t>Q9P219</t>
  </si>
  <si>
    <t>Q9P244</t>
  </si>
  <si>
    <t>Q9P246</t>
  </si>
  <si>
    <t>Q9P253</t>
  </si>
  <si>
    <t>Q9P258</t>
  </si>
  <si>
    <t>Q9P260</t>
  </si>
  <si>
    <t>Q9P265</t>
  </si>
  <si>
    <t>Q9P270</t>
  </si>
  <si>
    <t>Q9P275</t>
  </si>
  <si>
    <t>Q9P287</t>
  </si>
  <si>
    <t>Q9P289</t>
  </si>
  <si>
    <t>Q9P2B4</t>
  </si>
  <si>
    <t>Q9P2B7-2</t>
  </si>
  <si>
    <t>Q9P2D1</t>
  </si>
  <si>
    <t>Q9P2D3</t>
  </si>
  <si>
    <t>Q9P2E3</t>
  </si>
  <si>
    <t>Q9P2E9</t>
  </si>
  <si>
    <t>Q9P2F9</t>
  </si>
  <si>
    <t>Q9P2I0</t>
  </si>
  <si>
    <t>Q9P2J5</t>
  </si>
  <si>
    <t>Q9P2K3</t>
  </si>
  <si>
    <t>Q9P2K5-2</t>
  </si>
  <si>
    <t>Q9P2K6</t>
  </si>
  <si>
    <t>Q9P2K8-2</t>
  </si>
  <si>
    <t>Q9P2M4</t>
  </si>
  <si>
    <t>Q9P2N2-3</t>
  </si>
  <si>
    <t>Q9P2N5</t>
  </si>
  <si>
    <t>Q9P2N6-3</t>
  </si>
  <si>
    <t>Q9P2P1</t>
  </si>
  <si>
    <t>Q9P2R3</t>
  </si>
  <si>
    <t>Q9P2R6</t>
  </si>
  <si>
    <t>Q9P2S5</t>
  </si>
  <si>
    <t>Q9P2W1</t>
  </si>
  <si>
    <t>Q9P2X3</t>
  </si>
  <si>
    <t>Q9P2Y5</t>
  </si>
  <si>
    <t>Q9UBB4</t>
  </si>
  <si>
    <t>Q9UBB5</t>
  </si>
  <si>
    <t>Q9UBB6</t>
  </si>
  <si>
    <t>Q9UBB9</t>
  </si>
  <si>
    <t>Q9UBC2-2</t>
  </si>
  <si>
    <t>Q9UBC3-6</t>
  </si>
  <si>
    <t>Q9UBD5</t>
  </si>
  <si>
    <t>Q9UBE0</t>
  </si>
  <si>
    <t>Q9UBF1</t>
  </si>
  <si>
    <t>Q9UBF2</t>
  </si>
  <si>
    <t>Q9UBF6</t>
  </si>
  <si>
    <t>Q9UBF8-2</t>
  </si>
  <si>
    <t>Q9UBI1</t>
  </si>
  <si>
    <t>Q9UBI9</t>
  </si>
  <si>
    <t>Q9UBK8-2</t>
  </si>
  <si>
    <t>Q9UBK9</t>
  </si>
  <si>
    <t>Q9UBL3-3</t>
  </si>
  <si>
    <t>Q9UBL6-2</t>
  </si>
  <si>
    <t>Q9UBP0-3</t>
  </si>
  <si>
    <t>Q9UBP6</t>
  </si>
  <si>
    <t>Q9UBQ0</t>
  </si>
  <si>
    <t>Q9UBQ7</t>
  </si>
  <si>
    <t>Q9UBR2</t>
  </si>
  <si>
    <t>Q9UBS0</t>
  </si>
  <si>
    <t>Q9UBS4</t>
  </si>
  <si>
    <t>Q9UBS8</t>
  </si>
  <si>
    <t>Q9UBT2</t>
  </si>
  <si>
    <t>Q9UBT7-3</t>
  </si>
  <si>
    <t>Q9UBU7</t>
  </si>
  <si>
    <t>Q9UBU8-2</t>
  </si>
  <si>
    <t>Q9UBU9</t>
  </si>
  <si>
    <t>Q9UBV8</t>
  </si>
  <si>
    <t>Q9UBW7</t>
  </si>
  <si>
    <t>Q9UBW8</t>
  </si>
  <si>
    <t>Q9UDT6-2</t>
  </si>
  <si>
    <t>Q9UDV7</t>
  </si>
  <si>
    <t>Q9UDY2</t>
  </si>
  <si>
    <t>Q9UDY4</t>
  </si>
  <si>
    <t>Q9UDY8</t>
  </si>
  <si>
    <t>Q9UEE9</t>
  </si>
  <si>
    <t>Q9UEG4</t>
  </si>
  <si>
    <t>Q9UER7</t>
  </si>
  <si>
    <t>Q9UET6-2</t>
  </si>
  <si>
    <t>Q9UEU0</t>
  </si>
  <si>
    <t>Q9UEY8-2</t>
  </si>
  <si>
    <t>Q9UFC0</t>
  </si>
  <si>
    <t>Q9UFG5</t>
  </si>
  <si>
    <t>Q9UFN0</t>
  </si>
  <si>
    <t>Q9UFW8</t>
  </si>
  <si>
    <t>Q9UG01</t>
  </si>
  <si>
    <t>Q9UG63</t>
  </si>
  <si>
    <t>Q9UGI8</t>
  </si>
  <si>
    <t>Q9UGI8-2</t>
  </si>
  <si>
    <t>Q9UGK8</t>
  </si>
  <si>
    <t>Q9UGP4</t>
  </si>
  <si>
    <t>Q9UGP8</t>
  </si>
  <si>
    <t>Q9UGR2-2</t>
  </si>
  <si>
    <t>Q9UGU0-2</t>
  </si>
  <si>
    <t>Q9UGU5</t>
  </si>
  <si>
    <t>Q9UGV2</t>
  </si>
  <si>
    <t>Q9UH62</t>
  </si>
  <si>
    <t>Q9UH65</t>
  </si>
  <si>
    <t>Q9UH90</t>
  </si>
  <si>
    <t>Q9UH92-2</t>
  </si>
  <si>
    <t>Q9UHA3</t>
  </si>
  <si>
    <t>Q9UHA4</t>
  </si>
  <si>
    <t>Q9UHB6</t>
  </si>
  <si>
    <t>Q9UHB6-4</t>
  </si>
  <si>
    <t>Q9UHB7</t>
  </si>
  <si>
    <t>Q9UHB9</t>
  </si>
  <si>
    <t>Q9UHD1</t>
  </si>
  <si>
    <t>Q9UHD2</t>
  </si>
  <si>
    <t>Q9UHD8-7</t>
  </si>
  <si>
    <t>Q9UHD9</t>
  </si>
  <si>
    <t>Q9UHF1</t>
  </si>
  <si>
    <t>Q9UHI6</t>
  </si>
  <si>
    <t>Q9UHJ3-2</t>
  </si>
  <si>
    <t>Q9UHJ6</t>
  </si>
  <si>
    <t>Q9UHK0</t>
  </si>
  <si>
    <t>Q9UHL4</t>
  </si>
  <si>
    <t>Q9UHN1</t>
  </si>
  <si>
    <t>Q9UHP3</t>
  </si>
  <si>
    <t>Q9UHQ1-4</t>
  </si>
  <si>
    <t>Q9UHR4</t>
  </si>
  <si>
    <t>Q9UHR5</t>
  </si>
  <si>
    <t>Q9UHR6</t>
  </si>
  <si>
    <t>Q9UHV7</t>
  </si>
  <si>
    <t>Q9UHV9</t>
  </si>
  <si>
    <t>Q9UHW5</t>
  </si>
  <si>
    <t>Q9UHX1-2</t>
  </si>
  <si>
    <t>Q9UHY1</t>
  </si>
  <si>
    <t>Q9UHY7</t>
  </si>
  <si>
    <t>Q9UI08</t>
  </si>
  <si>
    <t>Q9UI10</t>
  </si>
  <si>
    <t>Q9UI10-3</t>
  </si>
  <si>
    <t>Q9UI12</t>
  </si>
  <si>
    <t>Q9UI26</t>
  </si>
  <si>
    <t>Q9UI30</t>
  </si>
  <si>
    <t>Q9UI95</t>
  </si>
  <si>
    <t>Q9UIA9</t>
  </si>
  <si>
    <t>Q9UIC8</t>
  </si>
  <si>
    <t>Q9UID3</t>
  </si>
  <si>
    <t>Q9UIG0-2</t>
  </si>
  <si>
    <t>Q9UII2</t>
  </si>
  <si>
    <t>Q9UIL1-3</t>
  </si>
  <si>
    <t>Q9UIM3</t>
  </si>
  <si>
    <t>Q9UIQ6-3</t>
  </si>
  <si>
    <t>Q9UIU6</t>
  </si>
  <si>
    <t>Q9UIV1</t>
  </si>
  <si>
    <t>Q9UJ04</t>
  </si>
  <si>
    <t>Q9UJ41-2</t>
  </si>
  <si>
    <t>Q9UJ68-2</t>
  </si>
  <si>
    <t>Q9UJ70</t>
  </si>
  <si>
    <t>Q9UJA5</t>
  </si>
  <si>
    <t>Q9UJC5</t>
  </si>
  <si>
    <t>Q9UJJ2</t>
  </si>
  <si>
    <t>Q9UJK0</t>
  </si>
  <si>
    <t>Q9UJM3</t>
  </si>
  <si>
    <t>Q9UJN7</t>
  </si>
  <si>
    <t>Q9UJT0</t>
  </si>
  <si>
    <t>Q9UJT2-2</t>
  </si>
  <si>
    <t>Q9UJU6</t>
  </si>
  <si>
    <t>Q9UJU6-2</t>
  </si>
  <si>
    <t>Q9UJV9</t>
  </si>
  <si>
    <t>Q9UJW0</t>
  </si>
  <si>
    <t>Q9UJX2-3</t>
  </si>
  <si>
    <t>Q9UJX3-2</t>
  </si>
  <si>
    <t>Q9UJX6</t>
  </si>
  <si>
    <t>Q9UJY4</t>
  </si>
  <si>
    <t>Q9UJY5-4</t>
  </si>
  <si>
    <t>Q9UK33</t>
  </si>
  <si>
    <t>Q9UK41</t>
  </si>
  <si>
    <t>Q9UK45</t>
  </si>
  <si>
    <t>Q9UK59</t>
  </si>
  <si>
    <t>Q9UK61-3</t>
  </si>
  <si>
    <t>Q9UK73</t>
  </si>
  <si>
    <t>Q9UK80-2</t>
  </si>
  <si>
    <t>Q9UK97-3</t>
  </si>
  <si>
    <t>Q9UK99-2</t>
  </si>
  <si>
    <t>Q9UKA4</t>
  </si>
  <si>
    <t>Q9UKA9</t>
  </si>
  <si>
    <t>Q9UKB1-2</t>
  </si>
  <si>
    <t>Q9UKB3</t>
  </si>
  <si>
    <t>Q9UKB5</t>
  </si>
  <si>
    <t>Q9UKD2</t>
  </si>
  <si>
    <t>Q9UKE5</t>
  </si>
  <si>
    <t>Q9UKF6</t>
  </si>
  <si>
    <t>Q9UKG1</t>
  </si>
  <si>
    <t>Q9UKI8</t>
  </si>
  <si>
    <t>Q9UKJ3</t>
  </si>
  <si>
    <t>Q9UKK3</t>
  </si>
  <si>
    <t>Q9UKL0</t>
  </si>
  <si>
    <t>Q9UKL3</t>
  </si>
  <si>
    <t>Q9UKL6</t>
  </si>
  <si>
    <t>Q9UKN8</t>
  </si>
  <si>
    <t>Q9UKS6</t>
  </si>
  <si>
    <t>Q9UKT5</t>
  </si>
  <si>
    <t>Q9UKT9-7</t>
  </si>
  <si>
    <t>Q9UKU7</t>
  </si>
  <si>
    <t>Q9UKV3</t>
  </si>
  <si>
    <t>Q9UKV3-5</t>
  </si>
  <si>
    <t>Q9UKV8</t>
  </si>
  <si>
    <t>Q9UKX7</t>
  </si>
  <si>
    <t>Q9UKY1</t>
  </si>
  <si>
    <t>Q9UKY7</t>
  </si>
  <si>
    <t>Q9UKZ1</t>
  </si>
  <si>
    <t>Q9UL03-3</t>
  </si>
  <si>
    <t>Q9UL15</t>
  </si>
  <si>
    <t>Q9UL25</t>
  </si>
  <si>
    <t>Q9UL26</t>
  </si>
  <si>
    <t>Q9UL46</t>
  </si>
  <si>
    <t>Q9UL54-2</t>
  </si>
  <si>
    <t>Q9UL63</t>
  </si>
  <si>
    <t>Q9ULA0</t>
  </si>
  <si>
    <t>Q9ULC3</t>
  </si>
  <si>
    <t>Q9ULC4</t>
  </si>
  <si>
    <t>Q9ULD2-4</t>
  </si>
  <si>
    <t>Q9ULD5</t>
  </si>
  <si>
    <t>Q9ULD9</t>
  </si>
  <si>
    <t>Q9ULE0</t>
  </si>
  <si>
    <t>Q9ULE6</t>
  </si>
  <si>
    <t>Q9ULF5</t>
  </si>
  <si>
    <t>Q9ULH0-5</t>
  </si>
  <si>
    <t>Q9ULH1</t>
  </si>
  <si>
    <t>Q9ULH7-4</t>
  </si>
  <si>
    <t>Q9ULJ3-2</t>
  </si>
  <si>
    <t>Q9ULJ6</t>
  </si>
  <si>
    <t>Q9ULK4-4</t>
  </si>
  <si>
    <t>Q9ULL5-3</t>
  </si>
  <si>
    <t>Q9ULM3</t>
  </si>
  <si>
    <t>Q9ULM6</t>
  </si>
  <si>
    <t>Q9ULP9-2</t>
  </si>
  <si>
    <t>Q9ULR0</t>
  </si>
  <si>
    <t>Q9ULR3</t>
  </si>
  <si>
    <t>Q9ULT8</t>
  </si>
  <si>
    <t>Q9ULU4-12</t>
  </si>
  <si>
    <t>Q9ULV3-5</t>
  </si>
  <si>
    <t>Q9ULV4</t>
  </si>
  <si>
    <t>Q9ULW0</t>
  </si>
  <si>
    <t>Q9ULW3</t>
  </si>
  <si>
    <t>Q9ULX3</t>
  </si>
  <si>
    <t>Q9ULX6</t>
  </si>
  <si>
    <t>Q9ULZ2</t>
  </si>
  <si>
    <t>Q9ULZ3</t>
  </si>
  <si>
    <t>Q9ULZ3-2</t>
  </si>
  <si>
    <t>Q9UM13</t>
  </si>
  <si>
    <t>Q9UM54-6</t>
  </si>
  <si>
    <t>Q9UMF0</t>
  </si>
  <si>
    <t>Q9UMN6</t>
  </si>
  <si>
    <t>Q9UMR2</t>
  </si>
  <si>
    <t>Q9UMS0-3</t>
  </si>
  <si>
    <t>Q9UMS4</t>
  </si>
  <si>
    <t>Q9UMX0</t>
  </si>
  <si>
    <t>Q9UMX5</t>
  </si>
  <si>
    <t>Q9UMY1</t>
  </si>
  <si>
    <t>Q9UMY4-2</t>
  </si>
  <si>
    <t>Q9UMZ2-5</t>
  </si>
  <si>
    <t>Q9UN36-2</t>
  </si>
  <si>
    <t>Q9UN37</t>
  </si>
  <si>
    <t>Q9UN86-2</t>
  </si>
  <si>
    <t>Q9UNE7</t>
  </si>
  <si>
    <t>Q9UNF0-2</t>
  </si>
  <si>
    <t>Q9UNF1</t>
  </si>
  <si>
    <t>Q9UNH7</t>
  </si>
  <si>
    <t>Q9UNL4-8</t>
  </si>
  <si>
    <t>Q9UNM6</t>
  </si>
  <si>
    <t>Q9UNN5</t>
  </si>
  <si>
    <t>Q9UNN8</t>
  </si>
  <si>
    <t>Q9UNP9</t>
  </si>
  <si>
    <t>Q9UNQ2</t>
  </si>
  <si>
    <t>Q9UNS1-2</t>
  </si>
  <si>
    <t>Q9UNS2</t>
  </si>
  <si>
    <t>Q9UNW1</t>
  </si>
  <si>
    <t>Q9UNY4-2</t>
  </si>
  <si>
    <t>Q9UNZ2</t>
  </si>
  <si>
    <t>Q9UNZ5</t>
  </si>
  <si>
    <t>Q9UP83</t>
  </si>
  <si>
    <t>Q9UPA5</t>
  </si>
  <si>
    <t>Q9UPM8</t>
  </si>
  <si>
    <t>Q9UPN4-3</t>
  </si>
  <si>
    <t>Q9UPN6</t>
  </si>
  <si>
    <t>Q9UPN7</t>
  </si>
  <si>
    <t>Q9UPN9</t>
  </si>
  <si>
    <t>Q9UPP5-2</t>
  </si>
  <si>
    <t>Q9UPQ3-2</t>
  </si>
  <si>
    <t>Q9UPQ9-1</t>
  </si>
  <si>
    <t>Q9UPR0</t>
  </si>
  <si>
    <t>Q9UPR3</t>
  </si>
  <si>
    <t>Q9UPS6</t>
  </si>
  <si>
    <t>Q9UPT5-2</t>
  </si>
  <si>
    <t>Q9UPT8</t>
  </si>
  <si>
    <t>Q9UPT9</t>
  </si>
  <si>
    <t>Q9UPU3</t>
  </si>
  <si>
    <t>Q9UPU5</t>
  </si>
  <si>
    <t>Q9UPU7</t>
  </si>
  <si>
    <t>Q9UPV0-2</t>
  </si>
  <si>
    <t>Q9UPW5</t>
  </si>
  <si>
    <t>Q9UPY3</t>
  </si>
  <si>
    <t>Q9UPY8</t>
  </si>
  <si>
    <t>Q9UPY8-2</t>
  </si>
  <si>
    <t>Q9UPZ3-2</t>
  </si>
  <si>
    <t>Q9UQ13-2</t>
  </si>
  <si>
    <t>Q9UQ35</t>
  </si>
  <si>
    <t>Q9UQ80</t>
  </si>
  <si>
    <t>Q9UQ84-4</t>
  </si>
  <si>
    <t>Q9UQB8-3</t>
  </si>
  <si>
    <t>Q9UQC2-2</t>
  </si>
  <si>
    <t>Q9UQE7</t>
  </si>
  <si>
    <t>Q9UQL6</t>
  </si>
  <si>
    <t>Q9UQQ2</t>
  </si>
  <si>
    <t>Q9UQR0</t>
  </si>
  <si>
    <t>Q9UQR1</t>
  </si>
  <si>
    <t>Q9Y217</t>
  </si>
  <si>
    <t>Q9Y221-2</t>
  </si>
  <si>
    <t>Q9Y222-5</t>
  </si>
  <si>
    <t>Q9Y223</t>
  </si>
  <si>
    <t>Q9Y224</t>
  </si>
  <si>
    <t>Q9Y230</t>
  </si>
  <si>
    <t>Q9Y232-2</t>
  </si>
  <si>
    <t>Q9Y232-3</t>
  </si>
  <si>
    <t>Q9Y237</t>
  </si>
  <si>
    <t>Q9Y244</t>
  </si>
  <si>
    <t>Q9Y248</t>
  </si>
  <si>
    <t>Q9Y259</t>
  </si>
  <si>
    <t>Q9Y262</t>
  </si>
  <si>
    <t>Q9Y263</t>
  </si>
  <si>
    <t>Q9Y265</t>
  </si>
  <si>
    <t>Q9Y266</t>
  </si>
  <si>
    <t>Q9Y277</t>
  </si>
  <si>
    <t>Q9Y281-3</t>
  </si>
  <si>
    <t>Q9Y285</t>
  </si>
  <si>
    <t>Q9Y289</t>
  </si>
  <si>
    <t>Q9Y294</t>
  </si>
  <si>
    <t>Q9Y295</t>
  </si>
  <si>
    <t>Q9Y296</t>
  </si>
  <si>
    <t>Q9Y2A7</t>
  </si>
  <si>
    <t>Q9Y2B0</t>
  </si>
  <si>
    <t>Q9Y2F5</t>
  </si>
  <si>
    <t>Q9Y2G2-4</t>
  </si>
  <si>
    <t>Q9Y2H0-3</t>
  </si>
  <si>
    <t>Q9Y2H1</t>
  </si>
  <si>
    <t>Q9Y2H5</t>
  </si>
  <si>
    <t>Q9Y2I1</t>
  </si>
  <si>
    <t>Q9Y2I7</t>
  </si>
  <si>
    <t>Q9Y2I8</t>
  </si>
  <si>
    <t>Q9Y2J2-2</t>
  </si>
  <si>
    <t>Q9Y2K1-2</t>
  </si>
  <si>
    <t>Q9Y2K2</t>
  </si>
  <si>
    <t>Q9Y2K7</t>
  </si>
  <si>
    <t>Q9Y2L1</t>
  </si>
  <si>
    <t>Q9Y2L9-2</t>
  </si>
  <si>
    <t>Q9Y2P8</t>
  </si>
  <si>
    <t>Q9Y2Q3</t>
  </si>
  <si>
    <t>Q9Y2Q5</t>
  </si>
  <si>
    <t>Q9Y2R4</t>
  </si>
  <si>
    <t>Q9Y2S0</t>
  </si>
  <si>
    <t>Q9Y2S2-2</t>
  </si>
  <si>
    <t>Q9Y2S6</t>
  </si>
  <si>
    <t>Q9Y2S7</t>
  </si>
  <si>
    <t>Q9Y2T2</t>
  </si>
  <si>
    <t>Q9Y2T7</t>
  </si>
  <si>
    <t>Q9Y2U5</t>
  </si>
  <si>
    <t>Q9Y2U8</t>
  </si>
  <si>
    <t>Q9Y2V0-2</t>
  </si>
  <si>
    <t>Q9Y2V2</t>
  </si>
  <si>
    <t>Q9Y2V7</t>
  </si>
  <si>
    <t>Q9Y2W1</t>
  </si>
  <si>
    <t>Q9Y2X0-2</t>
  </si>
  <si>
    <t>Q9Y2X3</t>
  </si>
  <si>
    <t>Q9Y2X7</t>
  </si>
  <si>
    <t>Q9Y2Y1</t>
  </si>
  <si>
    <t>Q9Y2Y9</t>
  </si>
  <si>
    <t>Q9Y2Z0</t>
  </si>
  <si>
    <t>Q9Y2Z0-2</t>
  </si>
  <si>
    <t>Q9Y2Z4</t>
  </si>
  <si>
    <t>Q9Y303</t>
  </si>
  <si>
    <t>Q9Y312</t>
  </si>
  <si>
    <t>Q9Y314</t>
  </si>
  <si>
    <t>Q9Y315</t>
  </si>
  <si>
    <t>Q9Y316</t>
  </si>
  <si>
    <t>Q9Y330</t>
  </si>
  <si>
    <t>Q9Y333</t>
  </si>
  <si>
    <t>Q9Y343-2</t>
  </si>
  <si>
    <t>Q9Y371</t>
  </si>
  <si>
    <t>Q9Y376</t>
  </si>
  <si>
    <t>Q9Y383</t>
  </si>
  <si>
    <t>Q9Y385</t>
  </si>
  <si>
    <t>Q9Y388</t>
  </si>
  <si>
    <t>Q9Y399</t>
  </si>
  <si>
    <t>Q9Y3A2</t>
  </si>
  <si>
    <t>Q9Y3A3-2</t>
  </si>
  <si>
    <t>Q9Y3A5</t>
  </si>
  <si>
    <t>Q9Y3B2</t>
  </si>
  <si>
    <t>Q9Y3B3-2</t>
  </si>
  <si>
    <t>Q9Y3B4</t>
  </si>
  <si>
    <t>Q9Y3B7</t>
  </si>
  <si>
    <t>Q9Y3B9</t>
  </si>
  <si>
    <t>Q9Y3C1</t>
  </si>
  <si>
    <t>Q9Y3C4-2</t>
  </si>
  <si>
    <t>Q9Y3C6</t>
  </si>
  <si>
    <t>Q9Y3C8</t>
  </si>
  <si>
    <t>Q9Y3D0</t>
  </si>
  <si>
    <t>Q9Y3D2</t>
  </si>
  <si>
    <t>Q9Y3D6</t>
  </si>
  <si>
    <t>Q9Y3D8</t>
  </si>
  <si>
    <t>Q9Y3D9</t>
  </si>
  <si>
    <t>Q9Y3E1</t>
  </si>
  <si>
    <t>Q9Y3E2</t>
  </si>
  <si>
    <t>Q9Y3E5</t>
  </si>
  <si>
    <t>Q9Y3E7</t>
  </si>
  <si>
    <t>Q9Y3F4</t>
  </si>
  <si>
    <t>Q9Y3I0</t>
  </si>
  <si>
    <t>Q9Y3I1</t>
  </si>
  <si>
    <t>Q9Y3L3</t>
  </si>
  <si>
    <t>Q9Y3P9</t>
  </si>
  <si>
    <t>Q9Y3Q8</t>
  </si>
  <si>
    <t>Q9Y3R5-2</t>
  </si>
  <si>
    <t>Q9Y3S2</t>
  </si>
  <si>
    <t>Q9Y3T6</t>
  </si>
  <si>
    <t>Q9Y3T9</t>
  </si>
  <si>
    <t>Q9Y3U8</t>
  </si>
  <si>
    <t>Q9Y3V2-2</t>
  </si>
  <si>
    <t>Q9Y3X0</t>
  </si>
  <si>
    <t>Q9Y3Y2-4</t>
  </si>
  <si>
    <t>Q9Y3Z3-4</t>
  </si>
  <si>
    <t>Q9Y446</t>
  </si>
  <si>
    <t>Q9Y448</t>
  </si>
  <si>
    <t>Q9Y450</t>
  </si>
  <si>
    <t>Q9Y450-2</t>
  </si>
  <si>
    <t>Q9Y478</t>
  </si>
  <si>
    <t>Q9Y483-3</t>
  </si>
  <si>
    <t>Q9Y485</t>
  </si>
  <si>
    <t>Q9Y490</t>
  </si>
  <si>
    <t>Q9Y496</t>
  </si>
  <si>
    <t>Q9Y4A5-2</t>
  </si>
  <si>
    <t>Q9Y4B4</t>
  </si>
  <si>
    <t>Q9Y4B6</t>
  </si>
  <si>
    <t>Q9Y4C1</t>
  </si>
  <si>
    <t>Q9Y4C2-2</t>
  </si>
  <si>
    <t>Q9Y4E5-2</t>
  </si>
  <si>
    <t>Q9Y4E5-4</t>
  </si>
  <si>
    <t>Q9Y4E8</t>
  </si>
  <si>
    <t>Q9Y4F3-3</t>
  </si>
  <si>
    <t>Q9Y4G6</t>
  </si>
  <si>
    <t>Q9Y4G8</t>
  </si>
  <si>
    <t>Q9Y4H2</t>
  </si>
  <si>
    <t>Q9Y4I1-2</t>
  </si>
  <si>
    <t>Q9Y4I5</t>
  </si>
  <si>
    <t>Q9Y4K1</t>
  </si>
  <si>
    <t>Q9Y4K3</t>
  </si>
  <si>
    <t>Q9Y4K4</t>
  </si>
  <si>
    <t>Q9Y4L1</t>
  </si>
  <si>
    <t>Q9Y4P1-6</t>
  </si>
  <si>
    <t>Q9Y4P8-3</t>
  </si>
  <si>
    <t>Q9Y4R8</t>
  </si>
  <si>
    <t>Q9Y4U1</t>
  </si>
  <si>
    <t>Q9Y4W2-2</t>
  </si>
  <si>
    <t>Q9Y4W6</t>
  </si>
  <si>
    <t>Q9Y4X0</t>
  </si>
  <si>
    <t>Q9Y4X5</t>
  </si>
  <si>
    <t>Q9Y4Z0</t>
  </si>
  <si>
    <t>Q9Y508</t>
  </si>
  <si>
    <t>Q9Y520-4</t>
  </si>
  <si>
    <t>Q9Y535</t>
  </si>
  <si>
    <t>Q9Y547</t>
  </si>
  <si>
    <t>Q9Y570</t>
  </si>
  <si>
    <t>Q9Y580</t>
  </si>
  <si>
    <t>Q9Y592-2</t>
  </si>
  <si>
    <t>Q9Y597-2</t>
  </si>
  <si>
    <t>Q9Y5A6</t>
  </si>
  <si>
    <t>Q9Y5A7-2</t>
  </si>
  <si>
    <t>Q9Y5A9</t>
  </si>
  <si>
    <t>Q9Y5B0</t>
  </si>
  <si>
    <t>Q9Y5B6</t>
  </si>
  <si>
    <t>Q9Y5B8</t>
  </si>
  <si>
    <t>Q9Y5B9</t>
  </si>
  <si>
    <t>Q9Y5J1</t>
  </si>
  <si>
    <t>Q9Y5J6</t>
  </si>
  <si>
    <t>Q9Y5J7</t>
  </si>
  <si>
    <t>Q9Y5J9</t>
  </si>
  <si>
    <t>Q9Y5K5-2</t>
  </si>
  <si>
    <t>Q9Y5K6</t>
  </si>
  <si>
    <t>Q9Y5K8</t>
  </si>
  <si>
    <t>Q9Y5L0</t>
  </si>
  <si>
    <t>Q9Y5L4</t>
  </si>
  <si>
    <t>Q9Y5M8</t>
  </si>
  <si>
    <t>Q9Y5N5</t>
  </si>
  <si>
    <t>Q9Y5P4-2</t>
  </si>
  <si>
    <t>Q9Y5P6</t>
  </si>
  <si>
    <t>Q9Y5Q8</t>
  </si>
  <si>
    <t>Q9Y5Q9</t>
  </si>
  <si>
    <t>Q9Y5R8</t>
  </si>
  <si>
    <t>Q9Y5S1</t>
  </si>
  <si>
    <t>Q9Y5S2</t>
  </si>
  <si>
    <t>Q9Y5S9</t>
  </si>
  <si>
    <t>Q9Y5U2-2</t>
  </si>
  <si>
    <t>Q9Y5V0</t>
  </si>
  <si>
    <t>Q9Y5X1</t>
  </si>
  <si>
    <t>Q9Y5X2</t>
  </si>
  <si>
    <t>Q9Y5X3</t>
  </si>
  <si>
    <t>Q9Y5Y2</t>
  </si>
  <si>
    <t>Q9Y5Z4</t>
  </si>
  <si>
    <t>Q9Y600</t>
  </si>
  <si>
    <t>Q9Y605</t>
  </si>
  <si>
    <t>Q9Y608-4</t>
  </si>
  <si>
    <t>Q9Y613</t>
  </si>
  <si>
    <t>Q9Y617</t>
  </si>
  <si>
    <t>Q9Y646</t>
  </si>
  <si>
    <t>Q9Y651</t>
  </si>
  <si>
    <t>Q9Y657</t>
  </si>
  <si>
    <t>Q9Y678</t>
  </si>
  <si>
    <t>Q9Y679</t>
  </si>
  <si>
    <t>Q9Y680-3</t>
  </si>
  <si>
    <t>Q9Y692-2</t>
  </si>
  <si>
    <t>Q9Y696</t>
  </si>
  <si>
    <t>Q9Y697-2</t>
  </si>
  <si>
    <t>Q9Y6A4</t>
  </si>
  <si>
    <t>Q9Y6A5</t>
  </si>
  <si>
    <t>Q9Y6B6</t>
  </si>
  <si>
    <t>Q9Y6B7</t>
  </si>
  <si>
    <t>Q9Y6C9</t>
  </si>
  <si>
    <t>Q9Y6D5</t>
  </si>
  <si>
    <t>Q9Y6D6</t>
  </si>
  <si>
    <t>Q9Y6D9</t>
  </si>
  <si>
    <t>Q9Y6E0-2</t>
  </si>
  <si>
    <t>Q9Y6G5</t>
  </si>
  <si>
    <t>Q9Y6G9</t>
  </si>
  <si>
    <t>Q9Y6H1</t>
  </si>
  <si>
    <t>Q9Y6I3</t>
  </si>
  <si>
    <t>Q9Y6I4</t>
  </si>
  <si>
    <t>Q9Y6I9</t>
  </si>
  <si>
    <t>Q9Y6J9</t>
  </si>
  <si>
    <t>Q9Y6K0</t>
  </si>
  <si>
    <t>Q9Y6K1</t>
  </si>
  <si>
    <t>Q9Y6K9</t>
  </si>
  <si>
    <t>Q9Y6M1-1</t>
  </si>
  <si>
    <t>Q9Y6M4-3</t>
  </si>
  <si>
    <t>Q9Y6M5</t>
  </si>
  <si>
    <t>Q9Y6M7-6</t>
  </si>
  <si>
    <t>Q9Y6Q9-5</t>
  </si>
  <si>
    <t>Q9Y6V7</t>
  </si>
  <si>
    <t>Q9Y6W3</t>
  </si>
  <si>
    <t>Q9Y6W5</t>
  </si>
  <si>
    <t>Q9Y6X9</t>
  </si>
  <si>
    <t>R4GMN1</t>
  </si>
  <si>
    <t>R4GMR5</t>
  </si>
  <si>
    <t>R4GMX3</t>
  </si>
  <si>
    <t>R4GN55</t>
  </si>
  <si>
    <t>R4GNB1</t>
  </si>
  <si>
    <t>R4GNB2</t>
  </si>
  <si>
    <t>R4GNG2</t>
  </si>
  <si>
    <t>R4GNH2</t>
  </si>
  <si>
    <t>R4GNH3</t>
  </si>
  <si>
    <t>R4GNJ5</t>
  </si>
  <si>
    <t>norm_FC_TMT126_H.sapiens_K562_P013110</t>
  </si>
  <si>
    <t>norm_FC_TMT127L_H.sapiens_K562_P013110</t>
  </si>
  <si>
    <t>norm_FC_TMT127H_H.sapiens_K562_P013110</t>
  </si>
  <si>
    <t>norm_FC_TMT128L_H.sapiens_K562_P013110</t>
  </si>
  <si>
    <t>norm_FC_TMT128H_H.sapiens_K562_P013110</t>
  </si>
  <si>
    <t>norm_FC_TMT129L_H.sapiens_K562_P013110</t>
  </si>
  <si>
    <t>norm_FC_TMT129H_H.sapiens_K562_P013110</t>
  </si>
  <si>
    <t>norm_FC_TMT130L_H.sapiens_K562_P013110</t>
  </si>
  <si>
    <t>norm_FC_TMT130H_H.sapiens_K562_P013110</t>
  </si>
  <si>
    <t>norm_FC_TMT131L_H.sapiens_K562_P013110</t>
  </si>
  <si>
    <t>a_H.sapiens_K562_P013110</t>
  </si>
  <si>
    <t>b_H.sapiens_K562_P013110</t>
  </si>
  <si>
    <t>meltPoint_H.sapiens_K562_P013110</t>
  </si>
  <si>
    <t>inflPoint_H.sapiens_K562_P013110</t>
  </si>
  <si>
    <t>slope_H.sapiens_K562_P013110</t>
  </si>
  <si>
    <t>plateau_H.sapiens_K562_P013110</t>
  </si>
  <si>
    <t>R_sq_H.sapiens_K562_P013110</t>
  </si>
  <si>
    <t>protein_identified_in_H.sapiens_K562_P013110</t>
  </si>
  <si>
    <t>model_converged_H.sapiens_K562_P013110</t>
  </si>
  <si>
    <t>sufficient_data_for_fit_H.sapiens_K562_P013110</t>
  </si>
  <si>
    <t>Proteinname_H.sapiens_K562_P013110</t>
  </si>
  <si>
    <t>numSpec_H.sapiens_K562_P013110</t>
  </si>
  <si>
    <t>Q13505-3_H.sapiens_K562_P0131101</t>
  </si>
  <si>
    <t>Melting_Curves/meltCurve_Q13505_3_H.sapiens_K562_P0131101.pdf</t>
  </si>
  <si>
    <t>H.sapiens_K562_P0131101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</si>
</sst>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15"/>
  <sheetViews>
    <sheetView tabSelected="1" topLeftCell="D1" workbookViewId="0">
      <selection sqref="A1:XFD1"/>
    </sheetView>
  </sheetViews>
  <sheetFormatPr defaultRowHeight="15" x14ac:dyDescent="0.25"/>
  <sheetData>
    <row r="1" spans="1:28" s="2" customFormat="1" ht="90" x14ac:dyDescent="0.25">
      <c r="A1" s="1" t="s">
        <v>0</v>
      </c>
      <c r="B1" s="1" t="s">
        <v>32747</v>
      </c>
      <c r="C1" s="1" t="s">
        <v>32748</v>
      </c>
      <c r="D1" s="1" t="s">
        <v>32749</v>
      </c>
      <c r="E1" s="1" t="s">
        <v>32750</v>
      </c>
      <c r="F1" s="1" t="s">
        <v>32751</v>
      </c>
      <c r="G1" s="1" t="s">
        <v>32752</v>
      </c>
      <c r="H1" s="1" t="s">
        <v>32753</v>
      </c>
      <c r="I1" s="1" t="s">
        <v>32754</v>
      </c>
      <c r="J1" s="1" t="s">
        <v>32755</v>
      </c>
      <c r="K1" s="1" t="s">
        <v>32756</v>
      </c>
      <c r="L1" s="1" t="s">
        <v>32757</v>
      </c>
      <c r="M1" s="1" t="s">
        <v>32758</v>
      </c>
      <c r="N1" s="1" t="s">
        <v>32759</v>
      </c>
      <c r="O1" s="1" t="s">
        <v>32760</v>
      </c>
      <c r="P1" s="1" t="s">
        <v>32761</v>
      </c>
      <c r="Q1" s="1" t="s">
        <v>32762</v>
      </c>
      <c r="R1" s="1" t="s">
        <v>32763</v>
      </c>
      <c r="S1" s="1" t="s">
        <v>1</v>
      </c>
      <c r="T1" s="1" t="s">
        <v>32764</v>
      </c>
      <c r="U1" s="1" t="s">
        <v>32765</v>
      </c>
      <c r="V1" s="1" t="s">
        <v>32766</v>
      </c>
      <c r="W1" s="1" t="s">
        <v>32767</v>
      </c>
      <c r="X1" s="1" t="s">
        <v>32768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0.99930955844802105</v>
      </c>
      <c r="C2">
        <v>1.03597687718303</v>
      </c>
      <c r="D2">
        <v>0.89916793776289305</v>
      </c>
      <c r="E2">
        <v>0.419612909182139</v>
      </c>
      <c r="F2">
        <v>0.21666674231712901</v>
      </c>
      <c r="G2">
        <v>0.14650366686181401</v>
      </c>
      <c r="H2">
        <v>7.8194595379007498E-2</v>
      </c>
      <c r="I2">
        <v>6.6569020843155899E-2</v>
      </c>
      <c r="J2">
        <v>5.2305851061626003E-2</v>
      </c>
      <c r="K2">
        <v>4.2657378257391999E-2</v>
      </c>
      <c r="L2">
        <v>1339.87691534585</v>
      </c>
      <c r="M2">
        <v>27.188167257379501</v>
      </c>
      <c r="N2">
        <v>49.567055761168</v>
      </c>
      <c r="O2">
        <v>49.017331967260702</v>
      </c>
      <c r="P2">
        <v>-0.128619450683299</v>
      </c>
      <c r="Q2">
        <v>7.2461136156664302E-2</v>
      </c>
      <c r="R2">
        <v>0.99472457391421898</v>
      </c>
      <c r="S2" t="s">
        <v>6619</v>
      </c>
      <c r="T2" t="s">
        <v>13232</v>
      </c>
      <c r="U2" t="s">
        <v>13232</v>
      </c>
      <c r="V2" t="s">
        <v>13232</v>
      </c>
      <c r="W2" t="s">
        <v>13234</v>
      </c>
      <c r="X2">
        <v>45</v>
      </c>
      <c r="Y2" t="s">
        <v>19772</v>
      </c>
      <c r="Z2" t="s">
        <v>26133</v>
      </c>
      <c r="AA2">
        <v>0.36636653672214942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0.99930955844802105</v>
      </c>
      <c r="C3">
        <v>0.79005577911905001</v>
      </c>
      <c r="D3">
        <v>0.83265366675730001</v>
      </c>
      <c r="E3">
        <v>0.87744216635347605</v>
      </c>
      <c r="F3">
        <v>0.83909324476436498</v>
      </c>
      <c r="G3">
        <v>0.76277687632990998</v>
      </c>
      <c r="H3">
        <v>0.59051239763102203</v>
      </c>
      <c r="I3">
        <v>0.57916957777136502</v>
      </c>
      <c r="J3">
        <v>0.44527673402983098</v>
      </c>
      <c r="K3">
        <v>0.678496859461863</v>
      </c>
      <c r="L3">
        <v>263.877718547109</v>
      </c>
      <c r="M3">
        <v>4.1148655260356302</v>
      </c>
      <c r="O3">
        <v>53.112751229471002</v>
      </c>
      <c r="P3">
        <v>-1.5206202224815999E-2</v>
      </c>
      <c r="Q3">
        <v>0.22400658788185701</v>
      </c>
      <c r="R3">
        <v>0.71067934979016301</v>
      </c>
      <c r="S3" t="s">
        <v>6620</v>
      </c>
      <c r="T3" t="s">
        <v>13232</v>
      </c>
      <c r="U3" t="s">
        <v>13232</v>
      </c>
      <c r="V3" t="s">
        <v>13232</v>
      </c>
      <c r="W3" t="s">
        <v>13235</v>
      </c>
      <c r="X3">
        <v>2</v>
      </c>
      <c r="Y3" t="s">
        <v>19773</v>
      </c>
      <c r="Z3" t="s">
        <v>26134</v>
      </c>
      <c r="AA3">
        <v>0.74182906772292168</v>
      </c>
      <c r="AB3" t="str">
        <f>HYPERLINK("Melting_Curves/meltCurve_A0JLT2_2_MED19.pdf", "Melting_Curves/meltCurve_A0JLT2_2_MED19.pdf")</f>
        <v>Melting_Curves/meltCurve_A0JLT2_2_MED19.pdf</v>
      </c>
    </row>
    <row r="4" spans="1:28" x14ac:dyDescent="0.25">
      <c r="A4" t="s">
        <v>8</v>
      </c>
      <c r="B4">
        <v>0.99930955844802105</v>
      </c>
      <c r="C4">
        <v>0.955382601847105</v>
      </c>
      <c r="D4">
        <v>0.99084704456357797</v>
      </c>
      <c r="E4">
        <v>0.975997694641627</v>
      </c>
      <c r="F4">
        <v>0.82278583212315703</v>
      </c>
      <c r="G4">
        <v>0.53754387621333</v>
      </c>
      <c r="H4">
        <v>0.39299973024241702</v>
      </c>
      <c r="I4">
        <v>0.37705234621272399</v>
      </c>
      <c r="J4">
        <v>0.38416667685297701</v>
      </c>
      <c r="K4">
        <v>0.30319041681194497</v>
      </c>
      <c r="L4">
        <v>1438.82689123257</v>
      </c>
      <c r="M4">
        <v>26.108281065575699</v>
      </c>
      <c r="N4">
        <v>57.701437657559303</v>
      </c>
      <c r="O4">
        <v>54.789714168231299</v>
      </c>
      <c r="P4">
        <v>-7.8005264264371807E-2</v>
      </c>
      <c r="Q4">
        <v>0.345213460940482</v>
      </c>
      <c r="R4">
        <v>0.99300184783274603</v>
      </c>
      <c r="S4" t="s">
        <v>6621</v>
      </c>
      <c r="T4" t="s">
        <v>13232</v>
      </c>
      <c r="U4" t="s">
        <v>13232</v>
      </c>
      <c r="V4" t="s">
        <v>13232</v>
      </c>
      <c r="W4" t="s">
        <v>13236</v>
      </c>
      <c r="X4">
        <v>13</v>
      </c>
      <c r="Y4" t="s">
        <v>19774</v>
      </c>
      <c r="Z4" t="s">
        <v>26135</v>
      </c>
      <c r="AA4">
        <v>0.68061687580373975</v>
      </c>
      <c r="AB4" t="str">
        <f>HYPERLINK("Melting_Curves/meltCurve_A0JNW5_UHRF1BP1L.pdf", "Melting_Curves/meltCurve_A0JNW5_UHRF1BP1L.pdf")</f>
        <v>Melting_Curves/meltCurve_A0JNW5_UHRF1BP1L.pdf</v>
      </c>
    </row>
    <row r="5" spans="1:28" x14ac:dyDescent="0.25">
      <c r="A5" t="s">
        <v>9</v>
      </c>
      <c r="B5">
        <v>0.99930955844802105</v>
      </c>
      <c r="C5">
        <v>1.03197103800364</v>
      </c>
      <c r="D5">
        <v>0.93464881676742995</v>
      </c>
      <c r="E5">
        <v>0.76223334268010801</v>
      </c>
      <c r="F5">
        <v>0.51233453005789997</v>
      </c>
      <c r="G5">
        <v>0.40608164442522099</v>
      </c>
      <c r="H5">
        <v>0.30997830233054502</v>
      </c>
      <c r="I5">
        <v>0.30827305347155198</v>
      </c>
      <c r="J5">
        <v>0.29559185922791997</v>
      </c>
      <c r="K5">
        <v>0.23291614402276301</v>
      </c>
      <c r="L5">
        <v>1015.92475328111</v>
      </c>
      <c r="M5">
        <v>19.685222122808</v>
      </c>
      <c r="N5">
        <v>53.787139232144497</v>
      </c>
      <c r="O5">
        <v>51.084763014249702</v>
      </c>
      <c r="P5">
        <v>-6.9871177899867201E-2</v>
      </c>
      <c r="Q5">
        <v>0.27473942156706699</v>
      </c>
      <c r="R5">
        <v>0.99229481716875201</v>
      </c>
      <c r="S5" t="s">
        <v>6622</v>
      </c>
      <c r="T5" t="s">
        <v>13232</v>
      </c>
      <c r="U5" t="s">
        <v>13232</v>
      </c>
      <c r="V5" t="s">
        <v>13232</v>
      </c>
      <c r="W5" t="s">
        <v>13237</v>
      </c>
      <c r="X5">
        <v>28</v>
      </c>
      <c r="Y5" t="s">
        <v>19775</v>
      </c>
      <c r="Z5" t="s">
        <v>26136</v>
      </c>
      <c r="AA5">
        <v>0.56572413252820442</v>
      </c>
      <c r="AB5" t="str">
        <f>HYPERLINK("Melting_Curves/meltCurve_A0MZ66_KIAA1598.pdf", "Melting_Curves/meltCurve_A0MZ66_KIAA1598.pdf")</f>
        <v>Melting_Curves/meltCurve_A0MZ66_KIAA1598.pdf</v>
      </c>
    </row>
    <row r="6" spans="1:28" x14ac:dyDescent="0.25">
      <c r="A6" t="s">
        <v>10</v>
      </c>
      <c r="B6">
        <v>0.99930955844802105</v>
      </c>
      <c r="C6">
        <v>1.46938314214537</v>
      </c>
      <c r="D6">
        <v>1.3485977479008899</v>
      </c>
      <c r="E6">
        <v>1.44083976601925</v>
      </c>
      <c r="F6">
        <v>1.1390617482915999</v>
      </c>
      <c r="G6">
        <v>1.30413550969171</v>
      </c>
      <c r="H6">
        <v>1.80809678531531</v>
      </c>
      <c r="I6">
        <v>2.3489223188571802</v>
      </c>
      <c r="J6">
        <v>2.7679685417352702</v>
      </c>
      <c r="K6">
        <v>1.9570207846894601</v>
      </c>
      <c r="L6">
        <v>5704.9744775961999</v>
      </c>
      <c r="M6">
        <v>135.71148533666499</v>
      </c>
      <c r="O6">
        <v>42.028395201135602</v>
      </c>
      <c r="P6">
        <v>0.40363035441964301</v>
      </c>
      <c r="Q6">
        <v>1.5</v>
      </c>
      <c r="R6">
        <v>3.2985938805718502E-4</v>
      </c>
      <c r="S6" t="s">
        <v>6623</v>
      </c>
      <c r="T6" t="s">
        <v>13232</v>
      </c>
      <c r="U6" t="s">
        <v>13232</v>
      </c>
      <c r="V6" t="s">
        <v>13232</v>
      </c>
      <c r="W6" t="s">
        <v>13238</v>
      </c>
      <c r="X6">
        <v>1</v>
      </c>
      <c r="Y6" t="s">
        <v>19776</v>
      </c>
      <c r="Z6" t="s">
        <v>26137</v>
      </c>
      <c r="AA6">
        <v>1.465911480587696</v>
      </c>
      <c r="AB6" t="str">
        <f>HYPERLINK("Melting_Curves/meltCurve_A1L188_C17orf89.pdf", "Melting_Curves/meltCurve_A1L188_C17orf89.pdf")</f>
        <v>Melting_Curves/meltCurve_A1L188_C17orf89.pdf</v>
      </c>
    </row>
    <row r="7" spans="1:28" x14ac:dyDescent="0.25">
      <c r="A7" t="s">
        <v>11</v>
      </c>
      <c r="B7">
        <v>0.99930955844802105</v>
      </c>
      <c r="C7">
        <v>0.76074963424664899</v>
      </c>
      <c r="D7">
        <v>0.63433752920617503</v>
      </c>
      <c r="E7">
        <v>0.54481749889519004</v>
      </c>
      <c r="F7">
        <v>0.33849056582435999</v>
      </c>
      <c r="G7">
        <v>0.21989727868964901</v>
      </c>
      <c r="H7">
        <v>0.15095404065316101</v>
      </c>
      <c r="I7">
        <v>0.15538361403430101</v>
      </c>
      <c r="J7">
        <v>0.124506642350233</v>
      </c>
      <c r="K7">
        <v>0.107562590143751</v>
      </c>
      <c r="L7">
        <v>507.25494662107297</v>
      </c>
      <c r="M7">
        <v>10.4001018075485</v>
      </c>
      <c r="N7">
        <v>49.468611158292298</v>
      </c>
      <c r="O7">
        <v>47.074151801342701</v>
      </c>
      <c r="P7">
        <v>-5.1502064524253301E-2</v>
      </c>
      <c r="Q7">
        <v>6.7931876145492703E-2</v>
      </c>
      <c r="R7">
        <v>0.97911270553027696</v>
      </c>
      <c r="S7" t="s">
        <v>6624</v>
      </c>
      <c r="T7" t="s">
        <v>13232</v>
      </c>
      <c r="U7" t="s">
        <v>13232</v>
      </c>
      <c r="V7" t="s">
        <v>13232</v>
      </c>
      <c r="W7" t="s">
        <v>13239</v>
      </c>
      <c r="X7">
        <v>9</v>
      </c>
      <c r="Y7" t="s">
        <v>19777</v>
      </c>
      <c r="Z7" t="s">
        <v>26138</v>
      </c>
      <c r="AA7">
        <v>0.38429437023071672</v>
      </c>
      <c r="AB7" t="str">
        <f>HYPERLINK("Melting_Curves/meltCurve_A2RRP1_NBAS.pdf", "Melting_Curves/meltCurve_A2RRP1_NBAS.pdf")</f>
        <v>Melting_Curves/meltCurve_A2RRP1_NBAS.pdf</v>
      </c>
    </row>
    <row r="8" spans="1:28" x14ac:dyDescent="0.25">
      <c r="A8" t="s">
        <v>12</v>
      </c>
      <c r="B8">
        <v>0.99930955844802105</v>
      </c>
      <c r="C8">
        <v>1.1092092951905099</v>
      </c>
      <c r="D8">
        <v>1.08073217417833</v>
      </c>
      <c r="E8">
        <v>0.91883496476579896</v>
      </c>
      <c r="F8">
        <v>0.29688208798221499</v>
      </c>
      <c r="G8">
        <v>0.14128313095853201</v>
      </c>
      <c r="H8">
        <v>7.9747873815954495E-2</v>
      </c>
      <c r="I8">
        <v>6.2559573313193603E-2</v>
      </c>
      <c r="J8">
        <v>6.3852641346094405E-2</v>
      </c>
      <c r="K8">
        <v>4.2145546647974902E-2</v>
      </c>
      <c r="L8">
        <v>3030.4989433003002</v>
      </c>
      <c r="M8">
        <v>58.316495517880902</v>
      </c>
      <c r="N8">
        <v>52.114302614111899</v>
      </c>
      <c r="O8">
        <v>51.905420006890303</v>
      </c>
      <c r="P8">
        <v>-0.25945845790668498</v>
      </c>
      <c r="Q8">
        <v>7.6261992398937203E-2</v>
      </c>
      <c r="R8">
        <v>0.98856616147875997</v>
      </c>
      <c r="S8" t="s">
        <v>6625</v>
      </c>
      <c r="T8" t="s">
        <v>13232</v>
      </c>
      <c r="U8" t="s">
        <v>13232</v>
      </c>
      <c r="V8" t="s">
        <v>13232</v>
      </c>
      <c r="W8" t="s">
        <v>13240</v>
      </c>
      <c r="X8">
        <v>9</v>
      </c>
      <c r="Y8" t="s">
        <v>19778</v>
      </c>
      <c r="Z8" t="s">
        <v>26139</v>
      </c>
      <c r="AA8">
        <v>0.44627717475501821</v>
      </c>
      <c r="AB8" t="str">
        <f>HYPERLINK("Melting_Curves/meltCurve_A2RUC4_TYW5.pdf", "Melting_Curves/meltCurve_A2RUC4_TYW5.pdf")</f>
        <v>Melting_Curves/meltCurve_A2RUC4_TYW5.pdf</v>
      </c>
    </row>
    <row r="9" spans="1:28" x14ac:dyDescent="0.25">
      <c r="A9" t="s">
        <v>13</v>
      </c>
      <c r="B9">
        <v>0.99930955844802105</v>
      </c>
      <c r="C9">
        <v>0.91550416390861999</v>
      </c>
      <c r="D9">
        <v>0.86321696278007398</v>
      </c>
      <c r="E9">
        <v>0.69497613828187399</v>
      </c>
      <c r="F9">
        <v>0.48178093469922401</v>
      </c>
      <c r="G9">
        <v>0.31997172934964302</v>
      </c>
      <c r="H9">
        <v>0.211376947462427</v>
      </c>
      <c r="I9">
        <v>0.17894424589824401</v>
      </c>
      <c r="J9">
        <v>0.153232677771757</v>
      </c>
      <c r="K9">
        <v>0.10446850221126699</v>
      </c>
      <c r="L9">
        <v>663.04781560465005</v>
      </c>
      <c r="M9">
        <v>12.6918733199364</v>
      </c>
      <c r="N9">
        <v>53.038387105881398</v>
      </c>
      <c r="O9">
        <v>50.995910068137199</v>
      </c>
      <c r="P9">
        <v>-5.68325548569725E-2</v>
      </c>
      <c r="Q9">
        <v>8.6764954163997807E-2</v>
      </c>
      <c r="R9">
        <v>0.99732412325909503</v>
      </c>
      <c r="S9" t="s">
        <v>6626</v>
      </c>
      <c r="T9" t="s">
        <v>13232</v>
      </c>
      <c r="U9" t="s">
        <v>13232</v>
      </c>
      <c r="V9" t="s">
        <v>13232</v>
      </c>
      <c r="W9" t="s">
        <v>13241</v>
      </c>
      <c r="X9">
        <v>3</v>
      </c>
      <c r="Y9" t="s">
        <v>19779</v>
      </c>
      <c r="Z9" t="s">
        <v>26140</v>
      </c>
      <c r="AA9">
        <v>0.48501467310021401</v>
      </c>
      <c r="AB9" t="str">
        <f>HYPERLINK("Melting_Curves/meltCurve_A2VDF0_2_FUOM.pdf", "Melting_Curves/meltCurve_A2VDF0_2_FUOM.pdf")</f>
        <v>Melting_Curves/meltCurve_A2VDF0_2_FUOM.pdf</v>
      </c>
    </row>
    <row r="10" spans="1:28" x14ac:dyDescent="0.25">
      <c r="A10" t="s">
        <v>14</v>
      </c>
      <c r="B10">
        <v>0.99930955844802105</v>
      </c>
      <c r="C10">
        <v>0.99555803822432298</v>
      </c>
      <c r="D10">
        <v>0.98486802517961503</v>
      </c>
      <c r="E10">
        <v>0.88716838234607098</v>
      </c>
      <c r="F10">
        <v>0.29501658482572402</v>
      </c>
      <c r="G10">
        <v>0.187265063263237</v>
      </c>
      <c r="H10">
        <v>0.11722219053695999</v>
      </c>
      <c r="I10">
        <v>0.10210538320092701</v>
      </c>
      <c r="J10">
        <v>9.0153706969336403E-2</v>
      </c>
      <c r="K10">
        <v>7.3967107128794299E-2</v>
      </c>
      <c r="L10">
        <v>2814.8700117991202</v>
      </c>
      <c r="M10">
        <v>54.419187486894501</v>
      </c>
      <c r="N10">
        <v>51.967981684246503</v>
      </c>
      <c r="O10">
        <v>51.655981328136797</v>
      </c>
      <c r="P10">
        <v>-0.233863485668932</v>
      </c>
      <c r="Q10">
        <v>0.11204550653218801</v>
      </c>
      <c r="R10">
        <v>0.99570462704299201</v>
      </c>
      <c r="S10" t="s">
        <v>6627</v>
      </c>
      <c r="T10" t="s">
        <v>13232</v>
      </c>
      <c r="U10" t="s">
        <v>13232</v>
      </c>
      <c r="V10" t="s">
        <v>13232</v>
      </c>
      <c r="W10" t="s">
        <v>13242</v>
      </c>
      <c r="X10">
        <v>30</v>
      </c>
      <c r="Y10" t="s">
        <v>19780</v>
      </c>
      <c r="Z10" t="s">
        <v>26141</v>
      </c>
      <c r="AA10">
        <v>0.46081691227253613</v>
      </c>
      <c r="AB10" t="str">
        <f>HYPERLINK("Melting_Curves/meltCurve_A3KN83_2_SBNO1.pdf", "Melting_Curves/meltCurve_A3KN83_2_SBNO1.pdf")</f>
        <v>Melting_Curves/meltCurve_A3KN83_2_SBNO1.pdf</v>
      </c>
    </row>
    <row r="11" spans="1:28" x14ac:dyDescent="0.25">
      <c r="A11" t="s">
        <v>15</v>
      </c>
      <c r="B11">
        <v>0.99930955844802105</v>
      </c>
      <c r="C11">
        <v>1.03938460052816</v>
      </c>
      <c r="D11">
        <v>0.98606418040154198</v>
      </c>
      <c r="E11">
        <v>0.93418252476077701</v>
      </c>
      <c r="F11">
        <v>0.833378545230124</v>
      </c>
      <c r="G11">
        <v>0.71023880503982295</v>
      </c>
      <c r="H11">
        <v>0.59375203035088797</v>
      </c>
      <c r="I11">
        <v>0.59048262332750001</v>
      </c>
      <c r="J11">
        <v>0.52541888843664697</v>
      </c>
      <c r="K11">
        <v>0.40359763606874799</v>
      </c>
      <c r="L11">
        <v>641.94888899586294</v>
      </c>
      <c r="M11">
        <v>10.9258954366742</v>
      </c>
      <c r="N11">
        <v>66.333810010077599</v>
      </c>
      <c r="O11">
        <v>56.889391594644003</v>
      </c>
      <c r="P11">
        <v>-3.0907070882999599E-2</v>
      </c>
      <c r="Q11">
        <v>0.35651011282830097</v>
      </c>
      <c r="R11">
        <v>0.97826643289738602</v>
      </c>
      <c r="S11" t="s">
        <v>6628</v>
      </c>
      <c r="T11" t="s">
        <v>13232</v>
      </c>
      <c r="U11" t="s">
        <v>13232</v>
      </c>
      <c r="V11" t="s">
        <v>13232</v>
      </c>
      <c r="W11" t="s">
        <v>13243</v>
      </c>
      <c r="X11">
        <v>4</v>
      </c>
      <c r="Y11" t="s">
        <v>19781</v>
      </c>
      <c r="Z11" t="s">
        <v>26142</v>
      </c>
      <c r="AA11">
        <v>0.76350158297464077</v>
      </c>
      <c r="AB11" t="str">
        <f>HYPERLINK("Melting_Curves/meltCurve_A4D2B0_MBLAC1.pdf", "Melting_Curves/meltCurve_A4D2B0_MBLAC1.pdf")</f>
        <v>Melting_Curves/meltCurve_A4D2B0_MBLAC1.pdf</v>
      </c>
    </row>
    <row r="12" spans="1:28" x14ac:dyDescent="0.25">
      <c r="A12" t="s">
        <v>16</v>
      </c>
      <c r="B12">
        <v>0.99930955844802105</v>
      </c>
      <c r="C12">
        <v>0.97562827423492704</v>
      </c>
      <c r="D12">
        <v>0.91721328791551604</v>
      </c>
      <c r="E12">
        <v>0.851776439930645</v>
      </c>
      <c r="F12">
        <v>0.69723373166508695</v>
      </c>
      <c r="G12">
        <v>0.50908997780382503</v>
      </c>
      <c r="H12">
        <v>0.38644728026376801</v>
      </c>
      <c r="I12">
        <v>0.39095825232116099</v>
      </c>
      <c r="J12">
        <v>0.42171992043198803</v>
      </c>
      <c r="K12">
        <v>0.30785280177216101</v>
      </c>
      <c r="L12">
        <v>840.62184617919797</v>
      </c>
      <c r="M12">
        <v>15.7214489600359</v>
      </c>
      <c r="N12">
        <v>57.501918559244999</v>
      </c>
      <c r="O12">
        <v>52.6270497025723</v>
      </c>
      <c r="P12">
        <v>-4.9745670473447898E-2</v>
      </c>
      <c r="Q12">
        <v>0.33396777790076199</v>
      </c>
      <c r="R12">
        <v>0.98746951495544799</v>
      </c>
      <c r="S12" t="s">
        <v>6629</v>
      </c>
      <c r="T12" t="s">
        <v>13232</v>
      </c>
      <c r="U12" t="s">
        <v>13232</v>
      </c>
      <c r="V12" t="s">
        <v>13232</v>
      </c>
      <c r="W12" t="s">
        <v>13244</v>
      </c>
      <c r="X12">
        <v>9</v>
      </c>
      <c r="Y12" t="s">
        <v>19782</v>
      </c>
      <c r="Z12" t="s">
        <v>26143</v>
      </c>
      <c r="AA12">
        <v>0.64618160649922263</v>
      </c>
      <c r="AB12" t="str">
        <f>HYPERLINK("Melting_Curves/meltCurve_A5PL33_3_KRBA1.pdf", "Melting_Curves/meltCurve_A5PL33_3_KRBA1.pdf")</f>
        <v>Melting_Curves/meltCurve_A5PL33_3_KRBA1.pdf</v>
      </c>
    </row>
    <row r="13" spans="1:28" x14ac:dyDescent="0.25">
      <c r="A13" t="s">
        <v>17</v>
      </c>
      <c r="B13">
        <v>0.99930955844802105</v>
      </c>
      <c r="C13">
        <v>0.61996990589088996</v>
      </c>
      <c r="D13">
        <v>0.68598464256453495</v>
      </c>
      <c r="E13">
        <v>0.41709836913879</v>
      </c>
      <c r="F13">
        <v>0.19152193788757399</v>
      </c>
      <c r="G13">
        <v>0.12478966940022999</v>
      </c>
      <c r="H13">
        <v>5.0635387667012102E-2</v>
      </c>
      <c r="I13">
        <v>3.1330837998026197E-2</v>
      </c>
      <c r="J13">
        <v>2.9842006089641201E-2</v>
      </c>
      <c r="K13">
        <v>1.93988327748724E-2</v>
      </c>
      <c r="L13">
        <v>559.77186492300496</v>
      </c>
      <c r="M13">
        <v>11.7382534314678</v>
      </c>
      <c r="N13">
        <v>47.687833597404399</v>
      </c>
      <c r="O13">
        <v>46.366895121799203</v>
      </c>
      <c r="P13">
        <v>-6.3306673421761106E-2</v>
      </c>
      <c r="Q13">
        <v>0</v>
      </c>
      <c r="R13">
        <v>0.95510234479837597</v>
      </c>
      <c r="S13" t="s">
        <v>6630</v>
      </c>
      <c r="T13" t="s">
        <v>13232</v>
      </c>
      <c r="U13" t="s">
        <v>13232</v>
      </c>
      <c r="V13" t="s">
        <v>13232</v>
      </c>
      <c r="W13" t="s">
        <v>13245</v>
      </c>
      <c r="X13">
        <v>6</v>
      </c>
      <c r="Y13" t="s">
        <v>19783</v>
      </c>
      <c r="Z13" t="s">
        <v>26144</v>
      </c>
      <c r="AA13">
        <v>0.29782163599111489</v>
      </c>
      <c r="AB13" t="str">
        <f>HYPERLINK("Melting_Curves/meltCurve_A5PLN9_2_TRAPPC13.pdf", "Melting_Curves/meltCurve_A5PLN9_2_TRAPPC13.pdf")</f>
        <v>Melting_Curves/meltCurve_A5PLN9_2_TRAPPC13.pdf</v>
      </c>
    </row>
    <row r="14" spans="1:28" x14ac:dyDescent="0.25">
      <c r="A14" t="s">
        <v>18</v>
      </c>
      <c r="B14">
        <v>0.99930955844802105</v>
      </c>
      <c r="C14">
        <v>0.86437421676672099</v>
      </c>
      <c r="D14">
        <v>0.88882324342328001</v>
      </c>
      <c r="E14">
        <v>0.85679710164004297</v>
      </c>
      <c r="F14">
        <v>0.45531772056526199</v>
      </c>
      <c r="G14">
        <v>0.187510387305381</v>
      </c>
      <c r="H14">
        <v>0.108854972639501</v>
      </c>
      <c r="I14">
        <v>8.7030576046552205E-2</v>
      </c>
      <c r="J14">
        <v>7.6353506195757606E-2</v>
      </c>
      <c r="K14">
        <v>5.9196845105695499E-2</v>
      </c>
      <c r="L14">
        <v>1378.4448370280099</v>
      </c>
      <c r="M14">
        <v>26.237188781784401</v>
      </c>
      <c r="N14">
        <v>52.858438738915801</v>
      </c>
      <c r="O14">
        <v>52.235470142773401</v>
      </c>
      <c r="P14">
        <v>-0.116335648668504</v>
      </c>
      <c r="Q14">
        <v>7.3562363060951597E-2</v>
      </c>
      <c r="R14">
        <v>0.97948313912204299</v>
      </c>
      <c r="S14" t="s">
        <v>6631</v>
      </c>
      <c r="T14" t="s">
        <v>13232</v>
      </c>
      <c r="U14" t="s">
        <v>13232</v>
      </c>
      <c r="V14" t="s">
        <v>13232</v>
      </c>
      <c r="W14" t="s">
        <v>13246</v>
      </c>
      <c r="X14">
        <v>84</v>
      </c>
      <c r="Y14" t="s">
        <v>19784</v>
      </c>
      <c r="Z14" t="s">
        <v>26145</v>
      </c>
      <c r="AA14">
        <v>0.46849554695534701</v>
      </c>
      <c r="AB14" t="str">
        <f>HYPERLINK("Melting_Curves/meltCurve_A5YKK6_2_CNOT1.pdf", "Melting_Curves/meltCurve_A5YKK6_2_CNOT1.pdf")</f>
        <v>Melting_Curves/meltCurve_A5YKK6_2_CNOT1.pdf</v>
      </c>
    </row>
    <row r="15" spans="1:28" x14ac:dyDescent="0.25">
      <c r="A15" t="s">
        <v>19</v>
      </c>
      <c r="B15">
        <v>0.99930955844802105</v>
      </c>
      <c r="C15">
        <v>1.1229604421000501</v>
      </c>
      <c r="D15">
        <v>1.1143778024572799</v>
      </c>
      <c r="E15">
        <v>1.0700168726089201</v>
      </c>
      <c r="F15">
        <v>0.95606898383168504</v>
      </c>
      <c r="G15">
        <v>0.94033663663254496</v>
      </c>
      <c r="H15">
        <v>0.94140443311431599</v>
      </c>
      <c r="I15">
        <v>1.0010956635527599</v>
      </c>
      <c r="J15">
        <v>0.97187899083686502</v>
      </c>
      <c r="K15">
        <v>0.83062726663763398</v>
      </c>
      <c r="L15">
        <v>2972.6930043889201</v>
      </c>
      <c r="M15">
        <v>40.875208483773598</v>
      </c>
      <c r="Q15">
        <v>0</v>
      </c>
      <c r="R15">
        <v>0.41032652888414201</v>
      </c>
      <c r="S15" t="s">
        <v>6632</v>
      </c>
      <c r="T15" t="s">
        <v>13232</v>
      </c>
      <c r="U15" t="s">
        <v>13232</v>
      </c>
      <c r="V15" t="s">
        <v>13232</v>
      </c>
      <c r="W15" t="s">
        <v>13247</v>
      </c>
      <c r="X15">
        <v>16</v>
      </c>
      <c r="Y15" t="s">
        <v>19785</v>
      </c>
      <c r="Z15" t="s">
        <v>26146</v>
      </c>
      <c r="AA15">
        <v>0.99028891109467487</v>
      </c>
      <c r="AB15" t="str">
        <f>HYPERLINK("Melting_Curves/meltCurve_A6H8Y1_7_BDP1.pdf", "Melting_Curves/meltCurve_A6H8Y1_7_BDP1.pdf")</f>
        <v>Melting_Curves/meltCurve_A6H8Y1_7_BDP1.pdf</v>
      </c>
    </row>
    <row r="16" spans="1:28" x14ac:dyDescent="0.25">
      <c r="A16" t="s">
        <v>20</v>
      </c>
      <c r="B16">
        <v>0.99930955844802105</v>
      </c>
      <c r="C16">
        <v>1.0751367191911601</v>
      </c>
      <c r="D16">
        <v>1.0739542140763301</v>
      </c>
      <c r="E16">
        <v>1.0410394027676899</v>
      </c>
      <c r="F16">
        <v>1.03787920492309</v>
      </c>
      <c r="G16">
        <v>0.87568236692491797</v>
      </c>
      <c r="H16">
        <v>0.68397422613270598</v>
      </c>
      <c r="I16">
        <v>0.28570246880785799</v>
      </c>
      <c r="J16">
        <v>8.8377010703125494E-2</v>
      </c>
      <c r="K16">
        <v>7.0491262571936095E-2</v>
      </c>
      <c r="L16">
        <v>1958.71238151074</v>
      </c>
      <c r="M16">
        <v>31.519520679086099</v>
      </c>
      <c r="N16">
        <v>62.223145504305698</v>
      </c>
      <c r="O16">
        <v>61.894298987540701</v>
      </c>
      <c r="P16">
        <v>-0.124774897162092</v>
      </c>
      <c r="Q16">
        <v>1.9932630449142601E-2</v>
      </c>
      <c r="R16">
        <v>0.986029829380766</v>
      </c>
      <c r="S16" t="s">
        <v>6633</v>
      </c>
      <c r="T16" t="s">
        <v>13232</v>
      </c>
      <c r="U16" t="s">
        <v>13232</v>
      </c>
      <c r="V16" t="s">
        <v>13232</v>
      </c>
      <c r="W16" t="s">
        <v>13248</v>
      </c>
      <c r="X16">
        <v>14</v>
      </c>
      <c r="Y16" t="s">
        <v>19786</v>
      </c>
      <c r="Z16" t="s">
        <v>26147</v>
      </c>
      <c r="AA16">
        <v>0.74760215946830721</v>
      </c>
      <c r="AB16" t="str">
        <f>HYPERLINK("Melting_Curves/meltCurve_A6NDG6_PGP.pdf", "Melting_Curves/meltCurve_A6NDG6_PGP.pdf")</f>
        <v>Melting_Curves/meltCurve_A6NDG6_PGP.pdf</v>
      </c>
    </row>
    <row r="17" spans="1:28" x14ac:dyDescent="0.25">
      <c r="A17" t="s">
        <v>21</v>
      </c>
      <c r="B17">
        <v>0.99930955844802105</v>
      </c>
      <c r="C17">
        <v>1.1324246306508201</v>
      </c>
      <c r="D17">
        <v>1.0791462677961501</v>
      </c>
      <c r="E17">
        <v>0.81988494086147501</v>
      </c>
      <c r="F17">
        <v>0.26805970289759701</v>
      </c>
      <c r="G17">
        <v>0.17432628148544099</v>
      </c>
      <c r="H17">
        <v>0.117797719110338</v>
      </c>
      <c r="I17">
        <v>9.6572858487183999E-2</v>
      </c>
      <c r="J17">
        <v>8.6682679805718699E-2</v>
      </c>
      <c r="K17">
        <v>7.1610050856168506E-2</v>
      </c>
      <c r="L17">
        <v>2529.9530137370102</v>
      </c>
      <c r="M17">
        <v>49.218774983625799</v>
      </c>
      <c r="N17">
        <v>51.655306886948203</v>
      </c>
      <c r="O17">
        <v>51.317553453358698</v>
      </c>
      <c r="P17">
        <v>-0.214083355031367</v>
      </c>
      <c r="Q17">
        <v>0.107151798128437</v>
      </c>
      <c r="R17">
        <v>0.98438357037987601</v>
      </c>
      <c r="S17" t="s">
        <v>6634</v>
      </c>
      <c r="T17" t="s">
        <v>13232</v>
      </c>
      <c r="U17" t="s">
        <v>13232</v>
      </c>
      <c r="V17" t="s">
        <v>13232</v>
      </c>
      <c r="W17" t="s">
        <v>13249</v>
      </c>
      <c r="X17">
        <v>8</v>
      </c>
      <c r="Y17" t="s">
        <v>19787</v>
      </c>
      <c r="Z17" t="s">
        <v>26148</v>
      </c>
      <c r="AA17">
        <v>0.44858886760069988</v>
      </c>
      <c r="AB17" t="str">
        <f>HYPERLINK("Melting_Curves/meltCurve_A6NDU8_C5orf51.pdf", "Melting_Curves/meltCurve_A6NDU8_C5orf51.pdf")</f>
        <v>Melting_Curves/meltCurve_A6NDU8_C5orf51.pdf</v>
      </c>
    </row>
    <row r="18" spans="1:28" x14ac:dyDescent="0.25">
      <c r="A18" t="s">
        <v>22</v>
      </c>
      <c r="B18">
        <v>0.99930955844802105</v>
      </c>
      <c r="C18">
        <v>1.2225625684918899</v>
      </c>
      <c r="D18">
        <v>1.1929086441966901</v>
      </c>
      <c r="E18">
        <v>1.02192690051524</v>
      </c>
      <c r="F18">
        <v>0.76592425038869705</v>
      </c>
      <c r="G18">
        <v>0.74418257013558398</v>
      </c>
      <c r="H18">
        <v>0.662581568398942</v>
      </c>
      <c r="I18">
        <v>0.81658466370140903</v>
      </c>
      <c r="J18">
        <v>0.80419658046157105</v>
      </c>
      <c r="K18">
        <v>0.65409733938119896</v>
      </c>
      <c r="L18">
        <v>13140.3966499041</v>
      </c>
      <c r="M18">
        <v>250</v>
      </c>
      <c r="O18">
        <v>52.558224030456998</v>
      </c>
      <c r="P18">
        <v>-0.31354698469028702</v>
      </c>
      <c r="Q18">
        <v>0.73632844279660303</v>
      </c>
      <c r="R18">
        <v>0.71544338917827699</v>
      </c>
      <c r="S18" t="s">
        <v>6635</v>
      </c>
      <c r="T18" t="s">
        <v>13232</v>
      </c>
      <c r="U18" t="s">
        <v>13232</v>
      </c>
      <c r="V18" t="s">
        <v>13232</v>
      </c>
      <c r="W18" t="s">
        <v>13250</v>
      </c>
      <c r="X18">
        <v>5</v>
      </c>
      <c r="Y18" t="s">
        <v>19788</v>
      </c>
      <c r="Z18" t="s">
        <v>26149</v>
      </c>
      <c r="AA18">
        <v>0.84675720177335423</v>
      </c>
      <c r="AB18" t="str">
        <f>HYPERLINK("Melting_Curves/meltCurve_A6NE92_ZNF275.pdf", "Melting_Curves/meltCurve_A6NE92_ZNF275.pdf")</f>
        <v>Melting_Curves/meltCurve_A6NE92_ZNF275.pdf</v>
      </c>
    </row>
    <row r="19" spans="1:28" x14ac:dyDescent="0.25">
      <c r="A19" t="s">
        <v>23</v>
      </c>
      <c r="B19">
        <v>0.99930955844802105</v>
      </c>
      <c r="C19">
        <v>1.00907862362256</v>
      </c>
      <c r="D19">
        <v>0.87835846327720501</v>
      </c>
      <c r="E19">
        <v>0.84565240800560604</v>
      </c>
      <c r="F19">
        <v>0.627093979446256</v>
      </c>
      <c r="G19">
        <v>0.31827783089927297</v>
      </c>
      <c r="H19">
        <v>0.23637485461003099</v>
      </c>
      <c r="I19">
        <v>0.23652950106746101</v>
      </c>
      <c r="J19">
        <v>0.24884820717689199</v>
      </c>
      <c r="K19">
        <v>0.16131524409903</v>
      </c>
      <c r="L19">
        <v>1099.1253517262301</v>
      </c>
      <c r="M19">
        <v>20.6886985210771</v>
      </c>
      <c r="N19">
        <v>54.414247109930201</v>
      </c>
      <c r="O19">
        <v>52.637958801470099</v>
      </c>
      <c r="P19">
        <v>-7.9245814573788501E-2</v>
      </c>
      <c r="Q19">
        <v>0.193527009438722</v>
      </c>
      <c r="R19">
        <v>0.98718736294945897</v>
      </c>
      <c r="S19" t="s">
        <v>6636</v>
      </c>
      <c r="T19" t="s">
        <v>13232</v>
      </c>
      <c r="U19" t="s">
        <v>13232</v>
      </c>
      <c r="V19" t="s">
        <v>13232</v>
      </c>
      <c r="W19" t="s">
        <v>13251</v>
      </c>
      <c r="X19">
        <v>14</v>
      </c>
      <c r="Y19" t="s">
        <v>19789</v>
      </c>
      <c r="Z19" t="s">
        <v>26150</v>
      </c>
      <c r="AA19">
        <v>0.55686456427120712</v>
      </c>
      <c r="AB19" t="str">
        <f>HYPERLINK("Melting_Curves/meltCurve_A6NED2_RCCD1.pdf", "Melting_Curves/meltCurve_A6NED2_RCCD1.pdf")</f>
        <v>Melting_Curves/meltCurve_A6NED2_RCCD1.pdf</v>
      </c>
    </row>
    <row r="20" spans="1:28" x14ac:dyDescent="0.25">
      <c r="A20" t="s">
        <v>24</v>
      </c>
      <c r="B20">
        <v>0.99930955844802105</v>
      </c>
      <c r="C20">
        <v>1.0336986132300601</v>
      </c>
      <c r="D20">
        <v>0.93418041670201701</v>
      </c>
      <c r="E20">
        <v>0.79585286721354798</v>
      </c>
      <c r="F20">
        <v>0.58153426381513995</v>
      </c>
      <c r="G20">
        <v>0.57870737775635395</v>
      </c>
      <c r="H20">
        <v>0.54021197117702302</v>
      </c>
      <c r="I20">
        <v>0.60420913592560199</v>
      </c>
      <c r="J20">
        <v>0.595888680702642</v>
      </c>
      <c r="K20">
        <v>0.48132880285095597</v>
      </c>
      <c r="L20">
        <v>1670.96435568429</v>
      </c>
      <c r="M20">
        <v>33.437510031812202</v>
      </c>
      <c r="O20">
        <v>49.795022960413299</v>
      </c>
      <c r="P20">
        <v>-7.47660972105125E-2</v>
      </c>
      <c r="Q20">
        <v>0.55463620725374496</v>
      </c>
      <c r="R20">
        <v>0.96250161713056404</v>
      </c>
      <c r="S20" t="s">
        <v>6637</v>
      </c>
      <c r="T20" t="s">
        <v>13232</v>
      </c>
      <c r="U20" t="s">
        <v>13232</v>
      </c>
      <c r="V20" t="s">
        <v>13232</v>
      </c>
      <c r="W20" t="s">
        <v>13252</v>
      </c>
      <c r="X20">
        <v>11</v>
      </c>
      <c r="Y20" t="s">
        <v>19790</v>
      </c>
      <c r="Z20" t="s">
        <v>26151</v>
      </c>
      <c r="AA20">
        <v>0.70489687848534899</v>
      </c>
      <c r="AB20" t="str">
        <f>HYPERLINK("Melting_Curves/meltCurve_A6NF31_OFD1.pdf", "Melting_Curves/meltCurve_A6NF31_OFD1.pdf")</f>
        <v>Melting_Curves/meltCurve_A6NF31_OFD1.pdf</v>
      </c>
    </row>
    <row r="21" spans="1:28" x14ac:dyDescent="0.25">
      <c r="A21" t="s">
        <v>25</v>
      </c>
      <c r="B21">
        <v>0.99930955844802105</v>
      </c>
      <c r="C21">
        <v>1.0405978997912799</v>
      </c>
      <c r="D21">
        <v>0.98295398040033299</v>
      </c>
      <c r="E21">
        <v>0.94496502456253395</v>
      </c>
      <c r="F21">
        <v>0.83050767086857302</v>
      </c>
      <c r="G21">
        <v>0.66097393934460802</v>
      </c>
      <c r="H21">
        <v>0.65255682807195403</v>
      </c>
      <c r="I21">
        <v>0.685864792414977</v>
      </c>
      <c r="J21">
        <v>0.63505035188204495</v>
      </c>
      <c r="K21">
        <v>0.58090028415170303</v>
      </c>
      <c r="L21">
        <v>1540.36015807016</v>
      </c>
      <c r="M21">
        <v>28.985133615953998</v>
      </c>
      <c r="O21">
        <v>52.892081761002501</v>
      </c>
      <c r="P21">
        <v>-5.0369005846030997E-2</v>
      </c>
      <c r="Q21">
        <v>0.63234924780715196</v>
      </c>
      <c r="R21">
        <v>0.97308540915081998</v>
      </c>
      <c r="S21" t="s">
        <v>6638</v>
      </c>
      <c r="T21" t="s">
        <v>13232</v>
      </c>
      <c r="U21" t="s">
        <v>13232</v>
      </c>
      <c r="V21" t="s">
        <v>13232</v>
      </c>
      <c r="W21" t="s">
        <v>13253</v>
      </c>
      <c r="X21">
        <v>8</v>
      </c>
      <c r="Y21" t="s">
        <v>19791</v>
      </c>
      <c r="Z21" t="s">
        <v>26152</v>
      </c>
      <c r="AA21">
        <v>0.79597308617792917</v>
      </c>
      <c r="AB21" t="str">
        <f>HYPERLINK("Melting_Curves/meltCurve_A6NF48_ZNF281.pdf", "Melting_Curves/meltCurve_A6NF48_ZNF281.pdf")</f>
        <v>Melting_Curves/meltCurve_A6NF48_ZNF281.pdf</v>
      </c>
    </row>
    <row r="22" spans="1:28" x14ac:dyDescent="0.25">
      <c r="A22" t="s">
        <v>26</v>
      </c>
      <c r="B22">
        <v>0.99930955844802105</v>
      </c>
      <c r="C22">
        <v>0.96147264184867998</v>
      </c>
      <c r="D22">
        <v>0.77024105477976401</v>
      </c>
      <c r="E22">
        <v>0.55302969535905</v>
      </c>
      <c r="F22">
        <v>0.38703321104620703</v>
      </c>
      <c r="G22">
        <v>0.28249355853202901</v>
      </c>
      <c r="H22">
        <v>0.22236541511216201</v>
      </c>
      <c r="I22">
        <v>0.22158919166074101</v>
      </c>
      <c r="J22">
        <v>0.22563576000185001</v>
      </c>
      <c r="K22">
        <v>0.17243889247434599</v>
      </c>
      <c r="L22">
        <v>785.44470297766998</v>
      </c>
      <c r="M22">
        <v>15.9683812064977</v>
      </c>
      <c r="N22">
        <v>50.747113557433401</v>
      </c>
      <c r="O22">
        <v>48.435478873349403</v>
      </c>
      <c r="P22">
        <v>-6.6443218259248496E-2</v>
      </c>
      <c r="Q22">
        <v>0.193918331257248</v>
      </c>
      <c r="R22">
        <v>0.99599113301660602</v>
      </c>
      <c r="S22" t="s">
        <v>6639</v>
      </c>
      <c r="T22" t="s">
        <v>13232</v>
      </c>
      <c r="U22" t="s">
        <v>13232</v>
      </c>
      <c r="V22" t="s">
        <v>13232</v>
      </c>
      <c r="W22" t="s">
        <v>13254</v>
      </c>
      <c r="X22">
        <v>11</v>
      </c>
      <c r="Y22" t="s">
        <v>19792</v>
      </c>
      <c r="Z22" t="s">
        <v>26153</v>
      </c>
      <c r="AA22">
        <v>0.45834191951595732</v>
      </c>
      <c r="AB22" t="str">
        <f>HYPERLINK("Melting_Curves/meltCurve_A6NFI3_ZNF316.pdf", "Melting_Curves/meltCurve_A6NFI3_ZNF316.pdf")</f>
        <v>Melting_Curves/meltCurve_A6NFI3_ZNF316.pdf</v>
      </c>
    </row>
    <row r="23" spans="1:28" x14ac:dyDescent="0.25">
      <c r="A23" t="s">
        <v>27</v>
      </c>
      <c r="B23">
        <v>0.99930955844802105</v>
      </c>
      <c r="C23">
        <v>0.99714584772510495</v>
      </c>
      <c r="D23">
        <v>0.99818617899101503</v>
      </c>
      <c r="E23">
        <v>1.0166537551997501</v>
      </c>
      <c r="F23">
        <v>0.95698848412077997</v>
      </c>
      <c r="G23">
        <v>0.808396225612111</v>
      </c>
      <c r="H23">
        <v>0.73565047378479198</v>
      </c>
      <c r="I23">
        <v>0.80498846102750499</v>
      </c>
      <c r="J23">
        <v>0.89703820260312495</v>
      </c>
      <c r="K23">
        <v>0.71697357243140902</v>
      </c>
      <c r="L23">
        <v>3082.1050230113101</v>
      </c>
      <c r="M23">
        <v>56.731408884400601</v>
      </c>
      <c r="O23">
        <v>54.2606527695268</v>
      </c>
      <c r="P23">
        <v>-5.4978448316111199E-2</v>
      </c>
      <c r="Q23">
        <v>0.78966402095959298</v>
      </c>
      <c r="R23">
        <v>0.83464918933822196</v>
      </c>
      <c r="S23" t="s">
        <v>6640</v>
      </c>
      <c r="T23" t="s">
        <v>13232</v>
      </c>
      <c r="U23" t="s">
        <v>13232</v>
      </c>
      <c r="V23" t="s">
        <v>13232</v>
      </c>
      <c r="W23" t="s">
        <v>13255</v>
      </c>
      <c r="X23">
        <v>15</v>
      </c>
      <c r="Y23" t="s">
        <v>19793</v>
      </c>
      <c r="Z23" t="s">
        <v>26154</v>
      </c>
      <c r="AA23">
        <v>0.89051162228393688</v>
      </c>
      <c r="AB23" t="str">
        <f>HYPERLINK("Melting_Curves/meltCurve_A6NFX8_NUDT5.pdf", "Melting_Curves/meltCurve_A6NFX8_NUDT5.pdf")</f>
        <v>Melting_Curves/meltCurve_A6NFX8_NUDT5.pdf</v>
      </c>
    </row>
    <row r="24" spans="1:28" x14ac:dyDescent="0.25">
      <c r="A24" t="s">
        <v>28</v>
      </c>
      <c r="B24">
        <v>0.99930955844802105</v>
      </c>
      <c r="C24">
        <v>1.3747695018819299</v>
      </c>
      <c r="D24">
        <v>1.3520197391864801</v>
      </c>
      <c r="E24">
        <v>1.3275213544862501</v>
      </c>
      <c r="F24">
        <v>1.26704546957078</v>
      </c>
      <c r="G24">
        <v>1.02477737235863</v>
      </c>
      <c r="H24">
        <v>1.2860773406821899</v>
      </c>
      <c r="I24">
        <v>1.8210466457305201</v>
      </c>
      <c r="J24">
        <v>1.6068163483756599</v>
      </c>
      <c r="K24">
        <v>1.1167324611304701</v>
      </c>
      <c r="L24">
        <v>252.94038949514299</v>
      </c>
      <c r="M24">
        <v>5.7369105759691204</v>
      </c>
      <c r="Q24">
        <v>1.4548908594311201</v>
      </c>
      <c r="R24">
        <v>0.125939467355621</v>
      </c>
      <c r="S24" t="s">
        <v>6641</v>
      </c>
      <c r="T24" t="s">
        <v>13232</v>
      </c>
      <c r="U24" t="s">
        <v>13232</v>
      </c>
      <c r="V24" t="s">
        <v>13232</v>
      </c>
      <c r="W24" t="s">
        <v>13256</v>
      </c>
      <c r="X24">
        <v>2</v>
      </c>
      <c r="Y24" t="s">
        <v>19794</v>
      </c>
      <c r="Z24" t="s">
        <v>26155</v>
      </c>
      <c r="AA24">
        <v>1.323910257333142</v>
      </c>
      <c r="AB24" t="str">
        <f>HYPERLINK("Melting_Curves/meltCurve_A6NFY7_SDHAF1.pdf", "Melting_Curves/meltCurve_A6NFY7_SDHAF1.pdf")</f>
        <v>Melting_Curves/meltCurve_A6NFY7_SDHAF1.pdf</v>
      </c>
    </row>
    <row r="25" spans="1:28" x14ac:dyDescent="0.25">
      <c r="A25" t="s">
        <v>29</v>
      </c>
      <c r="B25">
        <v>0.99930955844802105</v>
      </c>
      <c r="C25">
        <v>1.0129516926141999</v>
      </c>
      <c r="D25">
        <v>1.0199070531063901</v>
      </c>
      <c r="E25">
        <v>0.93784226716698604</v>
      </c>
      <c r="F25">
        <v>0.860521146721547</v>
      </c>
      <c r="G25">
        <v>0.81111648328014296</v>
      </c>
      <c r="H25">
        <v>0.83095540389896005</v>
      </c>
      <c r="I25">
        <v>0.88430169909918899</v>
      </c>
      <c r="J25">
        <v>1.04625293535699</v>
      </c>
      <c r="K25">
        <v>0.757596236633582</v>
      </c>
      <c r="L25">
        <v>12507.8458703263</v>
      </c>
      <c r="M25">
        <v>250</v>
      </c>
      <c r="O25">
        <v>50.028181816994802</v>
      </c>
      <c r="P25">
        <v>-0.16850006838591899</v>
      </c>
      <c r="Q25">
        <v>0.865123967273285</v>
      </c>
      <c r="R25">
        <v>0.46288513929898301</v>
      </c>
      <c r="S25" t="s">
        <v>6642</v>
      </c>
      <c r="T25" t="s">
        <v>13232</v>
      </c>
      <c r="U25" t="s">
        <v>13232</v>
      </c>
      <c r="V25" t="s">
        <v>13232</v>
      </c>
      <c r="W25" t="s">
        <v>13257</v>
      </c>
      <c r="X25">
        <v>7</v>
      </c>
      <c r="Y25" t="s">
        <v>19795</v>
      </c>
      <c r="Z25" t="s">
        <v>26156</v>
      </c>
      <c r="AA25">
        <v>0.91023558352612921</v>
      </c>
      <c r="AB25" t="str">
        <f>HYPERLINK("Melting_Curves/meltCurve_A6NG32_CHMP1A.pdf", "Melting_Curves/meltCurve_A6NG32_CHMP1A.pdf")</f>
        <v>Melting_Curves/meltCurve_A6NG32_CHMP1A.pdf</v>
      </c>
    </row>
    <row r="26" spans="1:28" x14ac:dyDescent="0.25">
      <c r="A26" t="s">
        <v>30</v>
      </c>
      <c r="B26">
        <v>0.99930955844802105</v>
      </c>
      <c r="C26">
        <v>1.0873841681688301</v>
      </c>
      <c r="D26">
        <v>0.90375787105346095</v>
      </c>
      <c r="E26">
        <v>0.89470700069237596</v>
      </c>
      <c r="F26">
        <v>0.95264050051125704</v>
      </c>
      <c r="G26">
        <v>0.77059535598972995</v>
      </c>
      <c r="H26">
        <v>0.991904854200794</v>
      </c>
      <c r="I26">
        <v>1.2110796407891899</v>
      </c>
      <c r="J26">
        <v>1.2250080723593899</v>
      </c>
      <c r="K26">
        <v>0.92096279777198997</v>
      </c>
      <c r="L26">
        <v>15000</v>
      </c>
      <c r="M26">
        <v>241.29572736689499</v>
      </c>
      <c r="O26">
        <v>62.160112707721503</v>
      </c>
      <c r="P26">
        <v>0.11548000557461301</v>
      </c>
      <c r="Q26">
        <v>1.1189950643354301</v>
      </c>
      <c r="R26">
        <v>0.22952337433744499</v>
      </c>
      <c r="S26" t="s">
        <v>6643</v>
      </c>
      <c r="T26" t="s">
        <v>13232</v>
      </c>
      <c r="U26" t="s">
        <v>13232</v>
      </c>
      <c r="V26" t="s">
        <v>13232</v>
      </c>
      <c r="W26" t="s">
        <v>13258</v>
      </c>
      <c r="X26">
        <v>163</v>
      </c>
      <c r="Y26" t="s">
        <v>19796</v>
      </c>
      <c r="Z26" t="s">
        <v>26157</v>
      </c>
      <c r="AA26">
        <v>1.031066056044265</v>
      </c>
      <c r="AB26" t="str">
        <f>HYPERLINK("Melting_Curves/meltCurve_A6NG51_SPTAN1.pdf", "Melting_Curves/meltCurve_A6NG51_SPTAN1.pdf")</f>
        <v>Melting_Curves/meltCurve_A6NG51_SPTAN1.pdf</v>
      </c>
    </row>
    <row r="27" spans="1:28" x14ac:dyDescent="0.25">
      <c r="A27" t="s">
        <v>31</v>
      </c>
      <c r="B27">
        <v>0.99930955844802105</v>
      </c>
      <c r="C27">
        <v>1.1302179804075501</v>
      </c>
      <c r="D27">
        <v>1.0864257778690001</v>
      </c>
      <c r="E27">
        <v>1.11167989048805</v>
      </c>
      <c r="F27">
        <v>0.97463468876509796</v>
      </c>
      <c r="G27">
        <v>0.85544596313489096</v>
      </c>
      <c r="H27">
        <v>0.84050369686797799</v>
      </c>
      <c r="I27">
        <v>0.84053385667793201</v>
      </c>
      <c r="J27">
        <v>0.83414503309557597</v>
      </c>
      <c r="K27">
        <v>0.690527773560487</v>
      </c>
      <c r="L27">
        <v>1041.00663644421</v>
      </c>
      <c r="M27">
        <v>17.564595358613602</v>
      </c>
      <c r="O27">
        <v>58.515109103198697</v>
      </c>
      <c r="P27">
        <v>-1.90387721324701E-2</v>
      </c>
      <c r="Q27">
        <v>0.74630891748560801</v>
      </c>
      <c r="R27">
        <v>0.72275318022574897</v>
      </c>
      <c r="S27" t="s">
        <v>6644</v>
      </c>
      <c r="T27" t="s">
        <v>13232</v>
      </c>
      <c r="U27" t="s">
        <v>13232</v>
      </c>
      <c r="V27" t="s">
        <v>13232</v>
      </c>
      <c r="W27" t="s">
        <v>13259</v>
      </c>
      <c r="X27">
        <v>7</v>
      </c>
      <c r="Y27" t="s">
        <v>19797</v>
      </c>
      <c r="Z27" t="s">
        <v>26158</v>
      </c>
      <c r="AA27">
        <v>0.91179077056390956</v>
      </c>
      <c r="AB27" t="str">
        <f>HYPERLINK("Melting_Curves/meltCurve_A6NG79_PRCC.pdf", "Melting_Curves/meltCurve_A6NG79_PRCC.pdf")</f>
        <v>Melting_Curves/meltCurve_A6NG79_PRCC.pdf</v>
      </c>
    </row>
    <row r="28" spans="1:28" x14ac:dyDescent="0.25">
      <c r="A28" t="s">
        <v>32</v>
      </c>
      <c r="B28">
        <v>0.99930955844802105</v>
      </c>
      <c r="C28">
        <v>1.1171725660312499</v>
      </c>
      <c r="D28">
        <v>1.12395014443936</v>
      </c>
      <c r="E28">
        <v>1.0743976722250099</v>
      </c>
      <c r="F28">
        <v>1.09757279075571</v>
      </c>
      <c r="G28">
        <v>0.90451877234497102</v>
      </c>
      <c r="H28">
        <v>0.97790710110010104</v>
      </c>
      <c r="I28">
        <v>1.0355200204180599</v>
      </c>
      <c r="J28">
        <v>1.09590830654264</v>
      </c>
      <c r="K28">
        <v>0.85312584169065397</v>
      </c>
      <c r="L28">
        <v>15000</v>
      </c>
      <c r="M28">
        <v>212.52631177452801</v>
      </c>
      <c r="Q28">
        <v>0</v>
      </c>
      <c r="R28">
        <v>0.17650976639482899</v>
      </c>
      <c r="S28" t="s">
        <v>6645</v>
      </c>
      <c r="T28" t="s">
        <v>13232</v>
      </c>
      <c r="U28" t="s">
        <v>13232</v>
      </c>
      <c r="V28" t="s">
        <v>13232</v>
      </c>
      <c r="W28" t="s">
        <v>13260</v>
      </c>
      <c r="X28">
        <v>9</v>
      </c>
      <c r="Y28" t="s">
        <v>19798</v>
      </c>
      <c r="Z28" t="s">
        <v>26159</v>
      </c>
      <c r="AA28">
        <v>0.99828699340156568</v>
      </c>
      <c r="AB28" t="str">
        <f>HYPERLINK("Melting_Curves/meltCurve_A6NGB9_WIPF3.pdf", "Melting_Curves/meltCurve_A6NGB9_WIPF3.pdf")</f>
        <v>Melting_Curves/meltCurve_A6NGB9_WIPF3.pdf</v>
      </c>
    </row>
    <row r="29" spans="1:28" x14ac:dyDescent="0.25">
      <c r="A29" t="s">
        <v>33</v>
      </c>
      <c r="B29">
        <v>0.99930955844802105</v>
      </c>
      <c r="C29">
        <v>1.1422349572766399</v>
      </c>
      <c r="D29">
        <v>1.2255029817191401</v>
      </c>
      <c r="E29">
        <v>0.78861453798213499</v>
      </c>
      <c r="F29">
        <v>0.56189367086117503</v>
      </c>
      <c r="G29">
        <v>0.28301509592333002</v>
      </c>
      <c r="H29">
        <v>7.5644471551258002E-2</v>
      </c>
      <c r="I29">
        <v>6.3754861372506605E-2</v>
      </c>
      <c r="J29">
        <v>3.4626265730395497E-2</v>
      </c>
      <c r="K29">
        <v>3.3370187857909003E-2</v>
      </c>
      <c r="L29">
        <v>1230.2606324163</v>
      </c>
      <c r="M29">
        <v>22.939957784225001</v>
      </c>
      <c r="N29">
        <v>53.8018823093308</v>
      </c>
      <c r="O29">
        <v>53.227042187851097</v>
      </c>
      <c r="P29">
        <v>-0.10393160344091899</v>
      </c>
      <c r="Q29">
        <v>3.5418067062982901E-2</v>
      </c>
      <c r="R29">
        <v>0.95823424771522903</v>
      </c>
      <c r="S29" t="s">
        <v>6646</v>
      </c>
      <c r="T29" t="s">
        <v>13232</v>
      </c>
      <c r="U29" t="s">
        <v>13232</v>
      </c>
      <c r="V29" t="s">
        <v>13232</v>
      </c>
      <c r="W29" t="s">
        <v>13261</v>
      </c>
      <c r="X29">
        <v>1</v>
      </c>
      <c r="Y29" t="s">
        <v>19799</v>
      </c>
      <c r="Z29" t="s">
        <v>26160</v>
      </c>
      <c r="AA29">
        <v>0.48406328771930363</v>
      </c>
      <c r="AB29" t="str">
        <f>HYPERLINK("Melting_Curves/meltCurve_A6NGH7_CCDC160.pdf", "Melting_Curves/meltCurve_A6NGH7_CCDC160.pdf")</f>
        <v>Melting_Curves/meltCurve_A6NGH7_CCDC160.pdf</v>
      </c>
    </row>
    <row r="30" spans="1:28" x14ac:dyDescent="0.25">
      <c r="A30" t="s">
        <v>34</v>
      </c>
      <c r="B30">
        <v>0.99930955844802105</v>
      </c>
      <c r="C30">
        <v>1.03210713764525</v>
      </c>
      <c r="D30">
        <v>1.06231572948457</v>
      </c>
      <c r="E30">
        <v>1.0106928169768199</v>
      </c>
      <c r="F30">
        <v>0.90542857399099597</v>
      </c>
      <c r="G30">
        <v>0.86350281014691699</v>
      </c>
      <c r="H30">
        <v>0.87156101248851203</v>
      </c>
      <c r="I30">
        <v>0.99639570638002295</v>
      </c>
      <c r="J30">
        <v>0.98595776558680304</v>
      </c>
      <c r="K30">
        <v>0.79244998925537002</v>
      </c>
      <c r="L30">
        <v>13074.660204711099</v>
      </c>
      <c r="M30">
        <v>250</v>
      </c>
      <c r="O30">
        <v>52.295294109863796</v>
      </c>
      <c r="P30">
        <v>-0.11715582909199</v>
      </c>
      <c r="Q30">
        <v>0.90197282359720399</v>
      </c>
      <c r="R30">
        <v>0.48935960540291401</v>
      </c>
      <c r="S30" t="s">
        <v>6647</v>
      </c>
      <c r="T30" t="s">
        <v>13232</v>
      </c>
      <c r="U30" t="s">
        <v>13232</v>
      </c>
      <c r="V30" t="s">
        <v>13232</v>
      </c>
      <c r="W30" t="s">
        <v>13262</v>
      </c>
      <c r="X30">
        <v>14</v>
      </c>
      <c r="Y30" t="s">
        <v>19800</v>
      </c>
      <c r="Z30" t="s">
        <v>26161</v>
      </c>
      <c r="AA30">
        <v>0.94216852195712797</v>
      </c>
      <c r="AB30" t="str">
        <f>HYPERLINK("Melting_Curves/meltCurve_A6NGP5_HN1L.pdf", "Melting_Curves/meltCurve_A6NGP5_HN1L.pdf")</f>
        <v>Melting_Curves/meltCurve_A6NGP5_HN1L.pdf</v>
      </c>
    </row>
    <row r="31" spans="1:28" x14ac:dyDescent="0.25">
      <c r="A31" t="s">
        <v>35</v>
      </c>
      <c r="B31">
        <v>0.99930955844802105</v>
      </c>
      <c r="C31">
        <v>1.0701332662894201</v>
      </c>
      <c r="D31">
        <v>1.0588018018607099</v>
      </c>
      <c r="E31">
        <v>0.88822279241750901</v>
      </c>
      <c r="F31">
        <v>0.62712767482797305</v>
      </c>
      <c r="G31">
        <v>0.32890644421735399</v>
      </c>
      <c r="H31">
        <v>0.16019396341098599</v>
      </c>
      <c r="I31">
        <v>0.111102909626899</v>
      </c>
      <c r="J31">
        <v>7.3629421361556299E-2</v>
      </c>
      <c r="K31">
        <v>6.1203728309863398E-2</v>
      </c>
      <c r="L31">
        <v>1188.37659757746</v>
      </c>
      <c r="M31">
        <v>21.8832148549279</v>
      </c>
      <c r="N31">
        <v>54.678221799710698</v>
      </c>
      <c r="O31">
        <v>53.857976349433599</v>
      </c>
      <c r="P31">
        <v>-9.4540421811349598E-2</v>
      </c>
      <c r="Q31">
        <v>6.9306391973475198E-2</v>
      </c>
      <c r="R31">
        <v>0.99239411229756902</v>
      </c>
      <c r="S31" t="s">
        <v>6648</v>
      </c>
      <c r="T31" t="s">
        <v>13232</v>
      </c>
      <c r="U31" t="s">
        <v>13232</v>
      </c>
      <c r="V31" t="s">
        <v>13232</v>
      </c>
      <c r="W31" t="s">
        <v>13263</v>
      </c>
      <c r="X31">
        <v>3</v>
      </c>
      <c r="Y31" t="s">
        <v>19801</v>
      </c>
      <c r="Z31" t="s">
        <v>26162</v>
      </c>
      <c r="AA31">
        <v>0.52397216454692397</v>
      </c>
      <c r="AB31" t="str">
        <f>HYPERLINK("Melting_Curves/meltCurve_A6NGQ3_OBSCN.pdf", "Melting_Curves/meltCurve_A6NGQ3_OBSCN.pdf")</f>
        <v>Melting_Curves/meltCurve_A6NGQ3_OBSCN.pdf</v>
      </c>
    </row>
    <row r="32" spans="1:28" x14ac:dyDescent="0.25">
      <c r="A32" t="s">
        <v>36</v>
      </c>
      <c r="B32">
        <v>0.99930955844802105</v>
      </c>
      <c r="C32">
        <v>0.73665046195807604</v>
      </c>
      <c r="D32">
        <v>0.714372750129877</v>
      </c>
      <c r="E32">
        <v>0.74258061873678105</v>
      </c>
      <c r="F32">
        <v>0.42696193340995497</v>
      </c>
      <c r="G32">
        <v>0.27440010447332203</v>
      </c>
      <c r="H32">
        <v>0.16289103749025999</v>
      </c>
      <c r="I32">
        <v>0.12404512169754001</v>
      </c>
      <c r="J32">
        <v>0.109503569622803</v>
      </c>
      <c r="K32">
        <v>7.1092154146239095E-2</v>
      </c>
      <c r="L32">
        <v>485.050327982299</v>
      </c>
      <c r="M32">
        <v>9.3654315382389601</v>
      </c>
      <c r="N32">
        <v>51.791554961371602</v>
      </c>
      <c r="O32">
        <v>49.594795956677501</v>
      </c>
      <c r="P32">
        <v>-4.7239230733711501E-2</v>
      </c>
      <c r="Q32">
        <v>0</v>
      </c>
      <c r="R32">
        <v>0.947956099981341</v>
      </c>
      <c r="S32" t="s">
        <v>6649</v>
      </c>
      <c r="T32" t="s">
        <v>13232</v>
      </c>
      <c r="U32" t="s">
        <v>13232</v>
      </c>
      <c r="V32" t="s">
        <v>13232</v>
      </c>
      <c r="W32" t="s">
        <v>13264</v>
      </c>
      <c r="X32">
        <v>2</v>
      </c>
      <c r="Y32" t="s">
        <v>19802</v>
      </c>
      <c r="Z32" t="s">
        <v>26163</v>
      </c>
      <c r="AA32">
        <v>0.43462840423700821</v>
      </c>
      <c r="AB32" t="str">
        <f>HYPERLINK("Melting_Curves/meltCurve_A6NGU5_GGT3P.pdf", "Melting_Curves/meltCurve_A6NGU5_GGT3P.pdf")</f>
        <v>Melting_Curves/meltCurve_A6NGU5_GGT3P.pdf</v>
      </c>
    </row>
    <row r="33" spans="1:28" x14ac:dyDescent="0.25">
      <c r="A33" t="s">
        <v>37</v>
      </c>
      <c r="B33">
        <v>0.99930955844802105</v>
      </c>
      <c r="C33">
        <v>1.0878765584697601</v>
      </c>
      <c r="D33">
        <v>1.0127591011485999</v>
      </c>
      <c r="E33">
        <v>1.3309088076758799</v>
      </c>
      <c r="F33">
        <v>1.15328489664973</v>
      </c>
      <c r="G33">
        <v>1.3435864468494401</v>
      </c>
      <c r="H33">
        <v>2.0769750757251302</v>
      </c>
      <c r="I33">
        <v>2.65691518745203</v>
      </c>
      <c r="J33">
        <v>4.6190737612856703</v>
      </c>
      <c r="K33">
        <v>2.86594892762339</v>
      </c>
      <c r="L33">
        <v>1409.03404697573</v>
      </c>
      <c r="M33">
        <v>27.685504158882701</v>
      </c>
      <c r="O33">
        <v>50.630979360595397</v>
      </c>
      <c r="P33">
        <v>6.8351810524777096E-2</v>
      </c>
      <c r="Q33">
        <v>1.5</v>
      </c>
      <c r="R33">
        <v>-8.0535916548247502E-2</v>
      </c>
      <c r="S33" t="s">
        <v>6650</v>
      </c>
      <c r="T33" t="s">
        <v>13232</v>
      </c>
      <c r="U33" t="s">
        <v>13232</v>
      </c>
      <c r="V33" t="s">
        <v>13232</v>
      </c>
      <c r="W33" t="s">
        <v>13265</v>
      </c>
      <c r="X33">
        <v>1</v>
      </c>
      <c r="Y33" t="s">
        <v>19803</v>
      </c>
      <c r="Z33" t="s">
        <v>26164</v>
      </c>
      <c r="AA33">
        <v>1.3147435782282439</v>
      </c>
      <c r="AB33" t="str">
        <f>HYPERLINK("Melting_Curves/meltCurve_A6NGX6_POLR3GL.pdf", "Melting_Curves/meltCurve_A6NGX6_POLR3GL.pdf")</f>
        <v>Melting_Curves/meltCurve_A6NGX6_POLR3GL.pdf</v>
      </c>
    </row>
    <row r="34" spans="1:28" x14ac:dyDescent="0.25">
      <c r="A34" t="s">
        <v>38</v>
      </c>
      <c r="B34">
        <v>0.99930955844802105</v>
      </c>
      <c r="C34">
        <v>0.85728157990755505</v>
      </c>
      <c r="D34">
        <v>0.86904244670671005</v>
      </c>
      <c r="E34">
        <v>0.761772367106616</v>
      </c>
      <c r="F34">
        <v>0.67601126616941598</v>
      </c>
      <c r="G34">
        <v>0.41683839194523398</v>
      </c>
      <c r="H34">
        <v>0.36299873553707701</v>
      </c>
      <c r="I34">
        <v>0.23446240756293599</v>
      </c>
      <c r="J34">
        <v>0.15912124621950999</v>
      </c>
      <c r="K34">
        <v>7.0159367613169293E-2</v>
      </c>
      <c r="L34">
        <v>532.45882689436496</v>
      </c>
      <c r="M34">
        <v>9.52010610343312</v>
      </c>
      <c r="N34">
        <v>55.929925685774499</v>
      </c>
      <c r="O34">
        <v>53.628968543236297</v>
      </c>
      <c r="P34">
        <v>-4.4405545170983197E-2</v>
      </c>
      <c r="Q34">
        <v>0</v>
      </c>
      <c r="R34">
        <v>0.98101730141038102</v>
      </c>
      <c r="S34" t="s">
        <v>6651</v>
      </c>
      <c r="T34" t="s">
        <v>13232</v>
      </c>
      <c r="U34" t="s">
        <v>13232</v>
      </c>
      <c r="V34" t="s">
        <v>13232</v>
      </c>
      <c r="W34" t="s">
        <v>13266</v>
      </c>
      <c r="X34">
        <v>4</v>
      </c>
      <c r="Y34" t="s">
        <v>19804</v>
      </c>
      <c r="Z34" t="s">
        <v>26165</v>
      </c>
      <c r="AA34">
        <v>0.55240839848815249</v>
      </c>
      <c r="AB34" t="str">
        <f>HYPERLINK("Melting_Curves/meltCurve_A6NHF2_BTD.pdf", "Melting_Curves/meltCurve_A6NHF2_BTD.pdf")</f>
        <v>Melting_Curves/meltCurve_A6NHF2_BTD.pdf</v>
      </c>
    </row>
    <row r="35" spans="1:28" x14ac:dyDescent="0.25">
      <c r="A35" t="s">
        <v>39</v>
      </c>
      <c r="B35">
        <v>0.99930955844802105</v>
      </c>
      <c r="C35">
        <v>0.66960335306349905</v>
      </c>
      <c r="D35">
        <v>0.26515552550288302</v>
      </c>
      <c r="E35">
        <v>0.186554688323432</v>
      </c>
      <c r="F35">
        <v>0.118170773333292</v>
      </c>
      <c r="G35">
        <v>8.8938119541012994E-2</v>
      </c>
      <c r="H35">
        <v>6.0228044206985999E-2</v>
      </c>
      <c r="I35">
        <v>5.6177590963549198E-2</v>
      </c>
      <c r="J35">
        <v>4.93280775090549E-2</v>
      </c>
      <c r="K35">
        <v>3.9855014592807401E-2</v>
      </c>
      <c r="L35">
        <v>1226.96842321844</v>
      </c>
      <c r="M35">
        <v>27.944499159925002</v>
      </c>
      <c r="N35">
        <v>44.174324904566703</v>
      </c>
      <c r="O35">
        <v>43.684325665065401</v>
      </c>
      <c r="P35">
        <v>-0.14749759547325</v>
      </c>
      <c r="Q35">
        <v>7.7703643770211606E-2</v>
      </c>
      <c r="R35">
        <v>0.98510832867674003</v>
      </c>
      <c r="S35" t="s">
        <v>6652</v>
      </c>
      <c r="T35" t="s">
        <v>13232</v>
      </c>
      <c r="U35" t="s">
        <v>13232</v>
      </c>
      <c r="V35" t="s">
        <v>13232</v>
      </c>
      <c r="W35" t="s">
        <v>13267</v>
      </c>
      <c r="X35">
        <v>54</v>
      </c>
      <c r="Y35" t="s">
        <v>19805</v>
      </c>
      <c r="Z35" t="s">
        <v>26166</v>
      </c>
      <c r="AA35">
        <v>0.20599572008610831</v>
      </c>
      <c r="AB35" t="str">
        <f>HYPERLINK("Melting_Curves/meltCurve_A6NHR9_SMCHD1.pdf", "Melting_Curves/meltCurve_A6NHR9_SMCHD1.pdf")</f>
        <v>Melting_Curves/meltCurve_A6NHR9_SMCHD1.pdf</v>
      </c>
    </row>
    <row r="36" spans="1:28" x14ac:dyDescent="0.25">
      <c r="A36" t="s">
        <v>40</v>
      </c>
      <c r="B36">
        <v>0.99930955844802105</v>
      </c>
      <c r="C36">
        <v>1.34194535458357</v>
      </c>
      <c r="D36">
        <v>1.2716958838607799</v>
      </c>
      <c r="E36">
        <v>1.1677290947099801</v>
      </c>
      <c r="F36">
        <v>1.2556572020622201</v>
      </c>
      <c r="G36">
        <v>1.0042433293802899</v>
      </c>
      <c r="H36">
        <v>0.71915840808182696</v>
      </c>
      <c r="I36">
        <v>0.28949325799430498</v>
      </c>
      <c r="J36">
        <v>9.8806736216966104E-2</v>
      </c>
      <c r="K36">
        <v>8.3844886256597501E-2</v>
      </c>
      <c r="L36">
        <v>2754.3056064807802</v>
      </c>
      <c r="M36">
        <v>44.276091982368897</v>
      </c>
      <c r="N36">
        <v>62.4268859787149</v>
      </c>
      <c r="O36">
        <v>62.0810270210658</v>
      </c>
      <c r="P36">
        <v>-0.16545444548553201</v>
      </c>
      <c r="Q36">
        <v>7.2044069233341002E-2</v>
      </c>
      <c r="R36">
        <v>0.870780723980497</v>
      </c>
      <c r="S36" t="s">
        <v>6653</v>
      </c>
      <c r="T36" t="s">
        <v>13232</v>
      </c>
      <c r="U36" t="s">
        <v>13232</v>
      </c>
      <c r="V36" t="s">
        <v>13232</v>
      </c>
      <c r="W36" t="s">
        <v>13268</v>
      </c>
      <c r="X36">
        <v>5</v>
      </c>
      <c r="Y36" t="s">
        <v>19806</v>
      </c>
      <c r="Z36" t="s">
        <v>26167</v>
      </c>
      <c r="AA36">
        <v>0.76179756081448757</v>
      </c>
      <c r="AB36" t="str">
        <f>HYPERLINK("Melting_Curves/meltCurve_A6NHX0_GATSL2.pdf", "Melting_Curves/meltCurve_A6NHX0_GATSL2.pdf")</f>
        <v>Melting_Curves/meltCurve_A6NHX0_GATSL2.pdf</v>
      </c>
    </row>
    <row r="37" spans="1:28" x14ac:dyDescent="0.25">
      <c r="A37" t="s">
        <v>41</v>
      </c>
      <c r="B37">
        <v>0.99930955844802105</v>
      </c>
      <c r="C37">
        <v>0.92747165008416499</v>
      </c>
      <c r="D37">
        <v>0.95393330209134897</v>
      </c>
      <c r="E37">
        <v>0.86513325038820199</v>
      </c>
      <c r="F37">
        <v>0.55819600865931696</v>
      </c>
      <c r="G37">
        <v>0.34297400926390298</v>
      </c>
      <c r="H37">
        <v>0.277213599176522</v>
      </c>
      <c r="I37">
        <v>0.23067162133543501</v>
      </c>
      <c r="J37">
        <v>0.21126306752459501</v>
      </c>
      <c r="K37">
        <v>0.17551400728334501</v>
      </c>
      <c r="L37">
        <v>1162.24799480973</v>
      </c>
      <c r="M37">
        <v>21.986207457682699</v>
      </c>
      <c r="N37">
        <v>54.160645641567299</v>
      </c>
      <c r="O37">
        <v>52.431098765150402</v>
      </c>
      <c r="P37">
        <v>-8.3366283991827606E-2</v>
      </c>
      <c r="Q37">
        <v>0.20479444720926701</v>
      </c>
      <c r="R37">
        <v>0.99087037519502197</v>
      </c>
      <c r="S37" t="s">
        <v>6654</v>
      </c>
      <c r="T37" t="s">
        <v>13232</v>
      </c>
      <c r="U37" t="s">
        <v>13232</v>
      </c>
      <c r="V37" t="s">
        <v>13232</v>
      </c>
      <c r="W37" t="s">
        <v>13269</v>
      </c>
      <c r="X37">
        <v>6</v>
      </c>
      <c r="Y37" t="s">
        <v>19807</v>
      </c>
      <c r="Z37" t="s">
        <v>26168</v>
      </c>
      <c r="AA37">
        <v>0.55501024431161894</v>
      </c>
      <c r="AB37" t="str">
        <f>HYPERLINK("Melting_Curves/meltCurve_A6NIH7_UNC119B.pdf", "Melting_Curves/meltCurve_A6NIH7_UNC119B.pdf")</f>
        <v>Melting_Curves/meltCurve_A6NIH7_UNC119B.pdf</v>
      </c>
    </row>
    <row r="38" spans="1:28" x14ac:dyDescent="0.25">
      <c r="A38" t="s">
        <v>42</v>
      </c>
      <c r="B38">
        <v>0.99930955844802105</v>
      </c>
      <c r="C38">
        <v>0.87105259178171901</v>
      </c>
      <c r="D38">
        <v>0.83348274603928996</v>
      </c>
      <c r="E38">
        <v>0.76938914516672896</v>
      </c>
      <c r="F38">
        <v>0.61413469187413305</v>
      </c>
      <c r="G38">
        <v>0.45518588156562401</v>
      </c>
      <c r="H38">
        <v>0.33496480696883901</v>
      </c>
      <c r="I38">
        <v>0.36740635148268402</v>
      </c>
      <c r="J38">
        <v>0.33937200858951999</v>
      </c>
      <c r="K38">
        <v>0.29430008617682302</v>
      </c>
      <c r="L38">
        <v>532.01297846856596</v>
      </c>
      <c r="M38">
        <v>10.120762433630601</v>
      </c>
      <c r="N38">
        <v>56.151031280967601</v>
      </c>
      <c r="O38">
        <v>50.638057332910698</v>
      </c>
      <c r="P38">
        <v>-3.8094239282969199E-2</v>
      </c>
      <c r="Q38">
        <v>0.23795388195181599</v>
      </c>
      <c r="R38">
        <v>0.980486998131466</v>
      </c>
      <c r="S38" t="s">
        <v>6655</v>
      </c>
      <c r="T38" t="s">
        <v>13232</v>
      </c>
      <c r="U38" t="s">
        <v>13232</v>
      </c>
      <c r="V38" t="s">
        <v>13232</v>
      </c>
      <c r="W38" t="s">
        <v>13270</v>
      </c>
      <c r="X38">
        <v>1</v>
      </c>
      <c r="Y38" t="s">
        <v>19808</v>
      </c>
      <c r="Z38" t="s">
        <v>26169</v>
      </c>
      <c r="AA38">
        <v>0.58416747138964387</v>
      </c>
      <c r="AB38" t="str">
        <f>HYPERLINK("Melting_Curves/meltCurve_A6NJX6_CHCHD1.pdf", "Melting_Curves/meltCurve_A6NJX6_CHCHD1.pdf")</f>
        <v>Melting_Curves/meltCurve_A6NJX6_CHCHD1.pdf</v>
      </c>
    </row>
    <row r="39" spans="1:28" x14ac:dyDescent="0.25">
      <c r="A39" t="s">
        <v>43</v>
      </c>
      <c r="B39">
        <v>0.99930955844802105</v>
      </c>
      <c r="C39">
        <v>0.83782792832383102</v>
      </c>
      <c r="D39">
        <v>0.74105893552002899</v>
      </c>
      <c r="E39">
        <v>0.67932248705809095</v>
      </c>
      <c r="F39">
        <v>0.51289848320322495</v>
      </c>
      <c r="G39">
        <v>0.40255701161955099</v>
      </c>
      <c r="H39">
        <v>0.26744606087974299</v>
      </c>
      <c r="I39">
        <v>0.19405100549070201</v>
      </c>
      <c r="J39">
        <v>0.18525157237121301</v>
      </c>
      <c r="K39">
        <v>0.144347819084167</v>
      </c>
      <c r="L39">
        <v>419.13304681544099</v>
      </c>
      <c r="M39">
        <v>7.82007753713048</v>
      </c>
      <c r="N39">
        <v>53.597044642852097</v>
      </c>
      <c r="O39">
        <v>50.431153922437403</v>
      </c>
      <c r="P39">
        <v>-3.8813831433117597E-2</v>
      </c>
      <c r="Q39">
        <v>0</v>
      </c>
      <c r="R39">
        <v>0.98731761963598896</v>
      </c>
      <c r="S39" t="s">
        <v>6656</v>
      </c>
      <c r="T39" t="s">
        <v>13232</v>
      </c>
      <c r="U39" t="s">
        <v>13232</v>
      </c>
      <c r="V39" t="s">
        <v>13232</v>
      </c>
      <c r="W39" t="s">
        <v>13271</v>
      </c>
      <c r="X39">
        <v>7</v>
      </c>
      <c r="Y39" t="s">
        <v>19809</v>
      </c>
      <c r="Z39" t="s">
        <v>26170</v>
      </c>
      <c r="AA39">
        <v>0.49047357987625101</v>
      </c>
      <c r="AB39" t="str">
        <f>HYPERLINK("Melting_Curves/meltCurve_A6NJZ9_NOC3L.pdf", "Melting_Curves/meltCurve_A6NJZ9_NOC3L.pdf")</f>
        <v>Melting_Curves/meltCurve_A6NJZ9_NOC3L.pdf</v>
      </c>
    </row>
    <row r="40" spans="1:28" x14ac:dyDescent="0.25">
      <c r="A40" t="s">
        <v>44</v>
      </c>
      <c r="B40">
        <v>0.99930955844802105</v>
      </c>
      <c r="C40">
        <v>0.98597475703233195</v>
      </c>
      <c r="D40">
        <v>0.90037523910749695</v>
      </c>
      <c r="E40">
        <v>0.71887320381575803</v>
      </c>
      <c r="F40">
        <v>0.62144029457078998</v>
      </c>
      <c r="G40">
        <v>0.52335473241955199</v>
      </c>
      <c r="H40">
        <v>0.42747485641727201</v>
      </c>
      <c r="I40">
        <v>0.392050923600469</v>
      </c>
      <c r="J40">
        <v>0.408821533949143</v>
      </c>
      <c r="K40">
        <v>0.32099420810544399</v>
      </c>
      <c r="L40">
        <v>654.72313586102803</v>
      </c>
      <c r="M40">
        <v>12.608919186908899</v>
      </c>
      <c r="N40">
        <v>57.0122548286936</v>
      </c>
      <c r="O40">
        <v>50.671238540637603</v>
      </c>
      <c r="P40">
        <v>-4.1210971460552498E-2</v>
      </c>
      <c r="Q40">
        <v>0.33767658477505003</v>
      </c>
      <c r="R40">
        <v>0.990866067936647</v>
      </c>
      <c r="S40" t="s">
        <v>6657</v>
      </c>
      <c r="T40" t="s">
        <v>13232</v>
      </c>
      <c r="U40" t="s">
        <v>13232</v>
      </c>
      <c r="V40" t="s">
        <v>13232</v>
      </c>
      <c r="W40" t="s">
        <v>13272</v>
      </c>
      <c r="X40">
        <v>5</v>
      </c>
      <c r="Y40" t="s">
        <v>19810</v>
      </c>
      <c r="Z40" t="s">
        <v>26171</v>
      </c>
      <c r="AA40">
        <v>0.6200385849096578</v>
      </c>
      <c r="AB40" t="str">
        <f>HYPERLINK("Melting_Curves/meltCurve_A6NKD9_CCDC85C.pdf", "Melting_Curves/meltCurve_A6NKD9_CCDC85C.pdf")</f>
        <v>Melting_Curves/meltCurve_A6NKD9_CCDC85C.pdf</v>
      </c>
    </row>
    <row r="41" spans="1:28" x14ac:dyDescent="0.25">
      <c r="A41" t="s">
        <v>45</v>
      </c>
      <c r="B41">
        <v>0.99930955844802105</v>
      </c>
      <c r="C41">
        <v>0.79516329892103199</v>
      </c>
      <c r="D41">
        <v>0.481113127094974</v>
      </c>
      <c r="E41">
        <v>0.27040031315534702</v>
      </c>
      <c r="F41">
        <v>0.221315353516645</v>
      </c>
      <c r="G41">
        <v>0.131853831221277</v>
      </c>
      <c r="H41">
        <v>6.3389617666381501E-2</v>
      </c>
      <c r="I41">
        <v>3.3341587203768903E-2</v>
      </c>
      <c r="J41">
        <v>2.2669345667504399E-2</v>
      </c>
      <c r="K41">
        <v>2.00316628342012E-2</v>
      </c>
      <c r="L41">
        <v>711.42873405990997</v>
      </c>
      <c r="M41">
        <v>15.362856236633601</v>
      </c>
      <c r="N41">
        <v>46.559485897342</v>
      </c>
      <c r="O41">
        <v>45.545005569385097</v>
      </c>
      <c r="P41">
        <v>-8.0982429652959903E-2</v>
      </c>
      <c r="Q41">
        <v>3.9760349157808503E-2</v>
      </c>
      <c r="R41">
        <v>0.98404440358983902</v>
      </c>
      <c r="S41" t="s">
        <v>6658</v>
      </c>
      <c r="T41" t="s">
        <v>13232</v>
      </c>
      <c r="U41" t="s">
        <v>13232</v>
      </c>
      <c r="V41" t="s">
        <v>13232</v>
      </c>
      <c r="W41" t="s">
        <v>13273</v>
      </c>
      <c r="X41">
        <v>3</v>
      </c>
      <c r="Y41" t="s">
        <v>19811</v>
      </c>
      <c r="Z41" t="s">
        <v>26172</v>
      </c>
      <c r="AA41">
        <v>0.26770091704260729</v>
      </c>
      <c r="AB41" t="str">
        <f>HYPERLINK("Melting_Curves/meltCurve_A6NML8_DIAPH2.pdf", "Melting_Curves/meltCurve_A6NML8_DIAPH2.pdf")</f>
        <v>Melting_Curves/meltCurve_A6NML8_DIAPH2.pdf</v>
      </c>
    </row>
    <row r="42" spans="1:28" x14ac:dyDescent="0.25">
      <c r="A42" t="s">
        <v>46</v>
      </c>
      <c r="B42">
        <v>0.99930955844802105</v>
      </c>
      <c r="C42">
        <v>1.0114615898330299</v>
      </c>
      <c r="D42">
        <v>0.95690378502552498</v>
      </c>
      <c r="E42">
        <v>0.69499517143260003</v>
      </c>
      <c r="F42">
        <v>0.22132930501176901</v>
      </c>
      <c r="G42">
        <v>0.146513800506512</v>
      </c>
      <c r="H42">
        <v>7.8414863187881198E-2</v>
      </c>
      <c r="I42">
        <v>6.1741169488105298E-2</v>
      </c>
      <c r="J42">
        <v>5.4425214160445899E-2</v>
      </c>
      <c r="K42">
        <v>4.0668598687853198E-2</v>
      </c>
      <c r="L42">
        <v>1901.82282764449</v>
      </c>
      <c r="M42">
        <v>37.3701080398031</v>
      </c>
      <c r="N42">
        <v>51.0967788029904</v>
      </c>
      <c r="O42">
        <v>50.746489148498299</v>
      </c>
      <c r="P42">
        <v>-0.17127298996071799</v>
      </c>
      <c r="Q42">
        <v>6.9686658688821304E-2</v>
      </c>
      <c r="R42">
        <v>0.996349165663035</v>
      </c>
      <c r="S42" t="s">
        <v>6659</v>
      </c>
      <c r="T42" t="s">
        <v>13232</v>
      </c>
      <c r="U42" t="s">
        <v>13232</v>
      </c>
      <c r="V42" t="s">
        <v>13232</v>
      </c>
      <c r="W42" t="s">
        <v>13274</v>
      </c>
      <c r="X42">
        <v>54</v>
      </c>
      <c r="Y42" t="s">
        <v>19812</v>
      </c>
      <c r="Z42" t="s">
        <v>26173</v>
      </c>
      <c r="AA42">
        <v>0.41119171759618511</v>
      </c>
      <c r="AB42" t="str">
        <f>HYPERLINK("Melting_Curves/meltCurve_A6NN80_ANXA6.pdf", "Melting_Curves/meltCurve_A6NN80_ANXA6.pdf")</f>
        <v>Melting_Curves/meltCurve_A6NN80_ANXA6.pdf</v>
      </c>
    </row>
    <row r="43" spans="1:28" x14ac:dyDescent="0.25">
      <c r="A43" t="s">
        <v>47</v>
      </c>
      <c r="B43">
        <v>0.99930955844802105</v>
      </c>
      <c r="C43">
        <v>0.92081383220012303</v>
      </c>
      <c r="D43">
        <v>0.72911512062553197</v>
      </c>
      <c r="E43">
        <v>0.47663376160488702</v>
      </c>
      <c r="F43">
        <v>0.24031700759286101</v>
      </c>
      <c r="G43">
        <v>0.13425835787672299</v>
      </c>
      <c r="H43">
        <v>6.82481782874758E-2</v>
      </c>
      <c r="I43">
        <v>4.8128065372519999E-2</v>
      </c>
      <c r="J43">
        <v>3.5678028349536699E-2</v>
      </c>
      <c r="K43">
        <v>3.7083587740898198E-2</v>
      </c>
      <c r="L43">
        <v>775.51722902859399</v>
      </c>
      <c r="M43">
        <v>15.7690886801806</v>
      </c>
      <c r="N43">
        <v>49.339009871152001</v>
      </c>
      <c r="O43">
        <v>48.409057444329903</v>
      </c>
      <c r="P43">
        <v>-7.9420487884358501E-2</v>
      </c>
      <c r="Q43">
        <v>2.4838544899543701E-2</v>
      </c>
      <c r="R43">
        <v>0.99801668839750601</v>
      </c>
      <c r="S43" t="s">
        <v>6660</v>
      </c>
      <c r="T43" t="s">
        <v>13232</v>
      </c>
      <c r="U43" t="s">
        <v>13232</v>
      </c>
      <c r="V43" t="s">
        <v>13232</v>
      </c>
      <c r="W43" t="s">
        <v>13275</v>
      </c>
      <c r="X43">
        <v>4</v>
      </c>
      <c r="Y43" t="s">
        <v>19813</v>
      </c>
      <c r="Z43" t="s">
        <v>26174</v>
      </c>
      <c r="AA43">
        <v>0.34498812738320062</v>
      </c>
      <c r="AB43" t="str">
        <f>HYPERLINK("Melting_Curves/meltCurve_A6ZKI3_FAM127A.pdf", "Melting_Curves/meltCurve_A6ZKI3_FAM127A.pdf")</f>
        <v>Melting_Curves/meltCurve_A6ZKI3_FAM127A.pdf</v>
      </c>
    </row>
    <row r="44" spans="1:28" x14ac:dyDescent="0.25">
      <c r="A44" t="s">
        <v>48</v>
      </c>
      <c r="B44">
        <v>0.99930955844802105</v>
      </c>
      <c r="C44">
        <v>0.73510793027592503</v>
      </c>
      <c r="D44">
        <v>0.59787026511271002</v>
      </c>
      <c r="E44">
        <v>0.48124292897326898</v>
      </c>
      <c r="F44">
        <v>0.42385066040348002</v>
      </c>
      <c r="G44">
        <v>0.37053315776992701</v>
      </c>
      <c r="H44">
        <v>0.31201405955859901</v>
      </c>
      <c r="I44">
        <v>0.36330055040197901</v>
      </c>
      <c r="J44">
        <v>0.39072038928568698</v>
      </c>
      <c r="K44">
        <v>0.25560507138837901</v>
      </c>
      <c r="L44">
        <v>682.34979255445296</v>
      </c>
      <c r="M44">
        <v>15.1443662204929</v>
      </c>
      <c r="N44">
        <v>48.586374757565899</v>
      </c>
      <c r="O44">
        <v>44.292658027593802</v>
      </c>
      <c r="P44">
        <v>-5.6967455578375001E-2</v>
      </c>
      <c r="Q44">
        <v>0.33361522291492701</v>
      </c>
      <c r="R44">
        <v>0.95063786057950905</v>
      </c>
      <c r="S44" t="s">
        <v>6661</v>
      </c>
      <c r="T44" t="s">
        <v>13232</v>
      </c>
      <c r="U44" t="s">
        <v>13232</v>
      </c>
      <c r="V44" t="s">
        <v>13232</v>
      </c>
      <c r="W44" t="s">
        <v>13276</v>
      </c>
      <c r="X44">
        <v>2</v>
      </c>
      <c r="Y44" t="s">
        <v>19814</v>
      </c>
      <c r="Z44" t="s">
        <v>26175</v>
      </c>
      <c r="AA44">
        <v>0.46678262962214018</v>
      </c>
      <c r="AB44" t="str">
        <f>HYPERLINK("Melting_Curves/meltCurve_A7MCY6_TBKBP1.pdf", "Melting_Curves/meltCurve_A7MCY6_TBKBP1.pdf")</f>
        <v>Melting_Curves/meltCurve_A7MCY6_TBKBP1.pdf</v>
      </c>
    </row>
    <row r="45" spans="1:28" x14ac:dyDescent="0.25">
      <c r="A45" t="s">
        <v>49</v>
      </c>
      <c r="B45">
        <v>0.99930955844802105</v>
      </c>
      <c r="C45">
        <v>1.0361819701781401</v>
      </c>
      <c r="D45">
        <v>1.12046817499816</v>
      </c>
      <c r="E45">
        <v>1.07169735377705</v>
      </c>
      <c r="F45">
        <v>0.94262684785929096</v>
      </c>
      <c r="G45">
        <v>0.842574908344491</v>
      </c>
      <c r="H45">
        <v>0.78262827237321597</v>
      </c>
      <c r="I45">
        <v>0.755283213621042</v>
      </c>
      <c r="J45">
        <v>0.710779219095373</v>
      </c>
      <c r="K45">
        <v>0.61432526830408396</v>
      </c>
      <c r="L45">
        <v>947.54035253352902</v>
      </c>
      <c r="M45">
        <v>15.774396368171701</v>
      </c>
      <c r="O45">
        <v>59.127739296864199</v>
      </c>
      <c r="P45">
        <v>-2.5477370410188799E-2</v>
      </c>
      <c r="Q45">
        <v>0.61804067991217704</v>
      </c>
      <c r="R45">
        <v>0.88600798489960497</v>
      </c>
      <c r="S45" t="s">
        <v>6662</v>
      </c>
      <c r="T45" t="s">
        <v>13232</v>
      </c>
      <c r="U45" t="s">
        <v>13232</v>
      </c>
      <c r="V45" t="s">
        <v>13232</v>
      </c>
      <c r="W45" t="s">
        <v>13277</v>
      </c>
      <c r="X45">
        <v>5</v>
      </c>
      <c r="Y45" t="s">
        <v>19815</v>
      </c>
      <c r="Z45" t="s">
        <v>26176</v>
      </c>
      <c r="AA45">
        <v>0.87629653091807591</v>
      </c>
      <c r="AB45" t="str">
        <f>HYPERLINK("Melting_Curves/meltCurve_A8CG34_2_POM121C.pdf", "Melting_Curves/meltCurve_A8CG34_2_POM121C.pdf")</f>
        <v>Melting_Curves/meltCurve_A8CG34_2_POM121C.pdf</v>
      </c>
    </row>
    <row r="46" spans="1:28" x14ac:dyDescent="0.25">
      <c r="A46" t="s">
        <v>50</v>
      </c>
      <c r="B46">
        <v>0.99930955844802105</v>
      </c>
      <c r="C46">
        <v>1.1018532644146599</v>
      </c>
      <c r="D46">
        <v>1.0382018296636999</v>
      </c>
      <c r="E46">
        <v>0.98180870663181197</v>
      </c>
      <c r="F46">
        <v>0.80705544554802899</v>
      </c>
      <c r="G46">
        <v>0.56172925187894196</v>
      </c>
      <c r="H46">
        <v>0.44697839798689998</v>
      </c>
      <c r="I46">
        <v>0.39823733142058698</v>
      </c>
      <c r="J46">
        <v>0.36003569693562298</v>
      </c>
      <c r="K46">
        <v>0.27433999258066</v>
      </c>
      <c r="L46">
        <v>1155.3590561477399</v>
      </c>
      <c r="M46">
        <v>20.734306910879599</v>
      </c>
      <c r="N46">
        <v>58.650319056266802</v>
      </c>
      <c r="O46">
        <v>55.2115425441634</v>
      </c>
      <c r="P46">
        <v>-6.3616728832865496E-2</v>
      </c>
      <c r="Q46">
        <v>0.32242178455149401</v>
      </c>
      <c r="R46">
        <v>0.97763908352802098</v>
      </c>
      <c r="S46" t="s">
        <v>6663</v>
      </c>
      <c r="T46" t="s">
        <v>13232</v>
      </c>
      <c r="U46" t="s">
        <v>13232</v>
      </c>
      <c r="V46" t="s">
        <v>13232</v>
      </c>
      <c r="W46" t="s">
        <v>13278</v>
      </c>
      <c r="X46">
        <v>25</v>
      </c>
      <c r="Y46" t="s">
        <v>19816</v>
      </c>
      <c r="Z46" t="s">
        <v>26177</v>
      </c>
      <c r="AA46">
        <v>0.68589994911229091</v>
      </c>
      <c r="AB46" t="str">
        <f>HYPERLINK("Melting_Curves/meltCurve_A8CTY3_ITSN1.pdf", "Melting_Curves/meltCurve_A8CTY3_ITSN1.pdf")</f>
        <v>Melting_Curves/meltCurve_A8CTY3_ITSN1.pdf</v>
      </c>
    </row>
    <row r="47" spans="1:28" x14ac:dyDescent="0.25">
      <c r="A47" t="s">
        <v>51</v>
      </c>
      <c r="B47">
        <v>0.99930955844802105</v>
      </c>
      <c r="C47">
        <v>1.22798069593078</v>
      </c>
      <c r="D47">
        <v>1.1747964088256</v>
      </c>
      <c r="E47">
        <v>0.94388497654149905</v>
      </c>
      <c r="F47">
        <v>0.43690117977391602</v>
      </c>
      <c r="G47">
        <v>0.37926726492877799</v>
      </c>
      <c r="H47">
        <v>0.31788991636796698</v>
      </c>
      <c r="I47">
        <v>0.344133112747319</v>
      </c>
      <c r="J47">
        <v>0.41969162486585798</v>
      </c>
      <c r="K47">
        <v>0.28539318683835002</v>
      </c>
      <c r="L47">
        <v>3729.37270297446</v>
      </c>
      <c r="M47">
        <v>72.220073583786103</v>
      </c>
      <c r="N47">
        <v>52.509906918494799</v>
      </c>
      <c r="O47">
        <v>51.5994643689043</v>
      </c>
      <c r="P47">
        <v>-0.22776394336143099</v>
      </c>
      <c r="Q47">
        <v>0.34907335805851802</v>
      </c>
      <c r="R47">
        <v>0.92952640606394399</v>
      </c>
      <c r="S47" t="s">
        <v>6664</v>
      </c>
      <c r="T47" t="s">
        <v>13232</v>
      </c>
      <c r="U47" t="s">
        <v>13232</v>
      </c>
      <c r="V47" t="s">
        <v>13232</v>
      </c>
      <c r="W47" t="s">
        <v>13279</v>
      </c>
      <c r="X47">
        <v>2</v>
      </c>
      <c r="Y47" t="s">
        <v>19817</v>
      </c>
      <c r="Z47" t="s">
        <v>26178</v>
      </c>
      <c r="AA47">
        <v>0.60231990444301486</v>
      </c>
      <c r="AB47" t="str">
        <f>HYPERLINK("Melting_Curves/meltCurve_A8K2U1_EOGT.pdf", "Melting_Curves/meltCurve_A8K2U1_EOGT.pdf")</f>
        <v>Melting_Curves/meltCurve_A8K2U1_EOGT.pdf</v>
      </c>
    </row>
    <row r="48" spans="1:28" x14ac:dyDescent="0.25">
      <c r="A48" t="s">
        <v>52</v>
      </c>
      <c r="B48">
        <v>0.99930955844802105</v>
      </c>
      <c r="C48">
        <v>1.4739671547311</v>
      </c>
      <c r="D48">
        <v>1.22869650076935</v>
      </c>
      <c r="E48">
        <v>1.2132686550221301</v>
      </c>
      <c r="F48">
        <v>1.4466845921960001</v>
      </c>
      <c r="G48">
        <v>1.4997441706091601</v>
      </c>
      <c r="H48">
        <v>1.97305823589302</v>
      </c>
      <c r="I48">
        <v>2.3159455075594599</v>
      </c>
      <c r="J48">
        <v>2.45314795395428</v>
      </c>
      <c r="K48">
        <v>1.8809495128781699</v>
      </c>
      <c r="L48">
        <v>709.31983568755504</v>
      </c>
      <c r="M48">
        <v>16.488127052655202</v>
      </c>
      <c r="O48">
        <v>42.402154933942199</v>
      </c>
      <c r="P48">
        <v>4.8609780921180103E-2</v>
      </c>
      <c r="Q48">
        <v>1.5</v>
      </c>
      <c r="R48">
        <v>1.58110882269616E-2</v>
      </c>
      <c r="S48" t="s">
        <v>6665</v>
      </c>
      <c r="T48" t="s">
        <v>13232</v>
      </c>
      <c r="U48" t="s">
        <v>13232</v>
      </c>
      <c r="V48" t="s">
        <v>13232</v>
      </c>
      <c r="W48" t="s">
        <v>13280</v>
      </c>
      <c r="X48">
        <v>1</v>
      </c>
      <c r="Y48" t="s">
        <v>19818</v>
      </c>
      <c r="Z48" t="s">
        <v>26179</v>
      </c>
      <c r="AA48">
        <v>1.4322068988453489</v>
      </c>
      <c r="AB48" t="str">
        <f>HYPERLINK("Melting_Curves/meltCurve_A8K8P3_5_SFI1.pdf", "Melting_Curves/meltCurve_A8K8P3_5_SFI1.pdf")</f>
        <v>Melting_Curves/meltCurve_A8K8P3_5_SFI1.pdf</v>
      </c>
    </row>
    <row r="49" spans="1:28" x14ac:dyDescent="0.25">
      <c r="A49" t="s">
        <v>53</v>
      </c>
      <c r="B49">
        <v>0.99930955844802105</v>
      </c>
      <c r="C49">
        <v>1.0757602859140001</v>
      </c>
      <c r="D49">
        <v>1.0700706834422</v>
      </c>
      <c r="E49">
        <v>0.948175845990892</v>
      </c>
      <c r="F49">
        <v>0.58952379113620801</v>
      </c>
      <c r="G49">
        <v>0.28192576387104501</v>
      </c>
      <c r="H49">
        <v>0.15575807611989001</v>
      </c>
      <c r="I49">
        <v>0.13863772374340699</v>
      </c>
      <c r="J49">
        <v>0.12648760820673399</v>
      </c>
      <c r="K49">
        <v>9.9709356234962104E-2</v>
      </c>
      <c r="L49">
        <v>1629.13691444591</v>
      </c>
      <c r="M49">
        <v>30.453254479312701</v>
      </c>
      <c r="N49">
        <v>54.022775379117398</v>
      </c>
      <c r="O49">
        <v>53.267232878616397</v>
      </c>
      <c r="P49">
        <v>-0.124576756570715</v>
      </c>
      <c r="Q49">
        <v>0.12839302070380501</v>
      </c>
      <c r="R49">
        <v>0.98996344303636497</v>
      </c>
      <c r="S49" t="s">
        <v>6666</v>
      </c>
      <c r="T49" t="s">
        <v>13232</v>
      </c>
      <c r="U49" t="s">
        <v>13232</v>
      </c>
      <c r="V49" t="s">
        <v>13232</v>
      </c>
      <c r="W49" t="s">
        <v>13281</v>
      </c>
      <c r="X49">
        <v>13</v>
      </c>
      <c r="Y49" t="s">
        <v>19819</v>
      </c>
      <c r="Z49" t="s">
        <v>26180</v>
      </c>
      <c r="AA49">
        <v>0.52603558417344054</v>
      </c>
      <c r="AB49" t="str">
        <f>HYPERLINK("Melting_Curves/meltCurve_A8MPS7_YDJC.pdf", "Melting_Curves/meltCurve_A8MPS7_YDJC.pdf")</f>
        <v>Melting_Curves/meltCurve_A8MPS7_YDJC.pdf</v>
      </c>
    </row>
    <row r="50" spans="1:28" x14ac:dyDescent="0.25">
      <c r="A50" t="s">
        <v>54</v>
      </c>
      <c r="B50">
        <v>0.99930955844802105</v>
      </c>
      <c r="C50">
        <v>0.90872868718510602</v>
      </c>
      <c r="D50">
        <v>0.928897139179375</v>
      </c>
      <c r="E50">
        <v>0.88163928710538597</v>
      </c>
      <c r="F50">
        <v>0.78844876544676901</v>
      </c>
      <c r="G50">
        <v>0.54841416136334897</v>
      </c>
      <c r="H50">
        <v>0.50935232728982005</v>
      </c>
      <c r="I50">
        <v>0.52354923293872302</v>
      </c>
      <c r="J50">
        <v>0.48485637284254801</v>
      </c>
      <c r="K50">
        <v>0.37702567464741399</v>
      </c>
      <c r="L50">
        <v>661.90872115586706</v>
      </c>
      <c r="M50">
        <v>12.110072302082701</v>
      </c>
      <c r="N50">
        <v>62.2147131727668</v>
      </c>
      <c r="O50">
        <v>53.2313153450675</v>
      </c>
      <c r="P50">
        <v>-3.4977657048229402E-2</v>
      </c>
      <c r="Q50">
        <v>0.38514866114430202</v>
      </c>
      <c r="R50">
        <v>0.95961544882684302</v>
      </c>
      <c r="S50" t="s">
        <v>6667</v>
      </c>
      <c r="T50" t="s">
        <v>13232</v>
      </c>
      <c r="U50" t="s">
        <v>13232</v>
      </c>
      <c r="V50" t="s">
        <v>13232</v>
      </c>
      <c r="W50" t="s">
        <v>13282</v>
      </c>
      <c r="X50">
        <v>2</v>
      </c>
      <c r="Z50" t="s">
        <v>26181</v>
      </c>
      <c r="AA50">
        <v>0.70045729384522804</v>
      </c>
      <c r="AB50" t="str">
        <f>HYPERLINK("Melting_Curves/meltCurve_A8MPV3_.pdf", "Melting_Curves/meltCurve_A8MPV3_.pdf")</f>
        <v>Melting_Curves/meltCurve_A8MPV3_.pdf</v>
      </c>
    </row>
    <row r="51" spans="1:28" x14ac:dyDescent="0.25">
      <c r="A51" t="s">
        <v>55</v>
      </c>
      <c r="B51">
        <v>0.99930955844802105</v>
      </c>
      <c r="C51">
        <v>1.0946950811235601</v>
      </c>
      <c r="D51">
        <v>1.0555200325054801</v>
      </c>
      <c r="E51">
        <v>0.92230429271088399</v>
      </c>
      <c r="F51">
        <v>0.576412077755727</v>
      </c>
      <c r="G51">
        <v>0.37785253843669597</v>
      </c>
      <c r="H51">
        <v>0.33750059548014699</v>
      </c>
      <c r="I51">
        <v>0.37242051583337099</v>
      </c>
      <c r="J51">
        <v>0.38468089480550899</v>
      </c>
      <c r="K51">
        <v>0.27620874123335898</v>
      </c>
      <c r="L51">
        <v>2286.5258964517102</v>
      </c>
      <c r="M51">
        <v>43.7326127522782</v>
      </c>
      <c r="N51">
        <v>53.728236083889598</v>
      </c>
      <c r="O51">
        <v>52.1752735946679</v>
      </c>
      <c r="P51">
        <v>-0.137117775470912</v>
      </c>
      <c r="Q51">
        <v>0.34564670177677698</v>
      </c>
      <c r="R51">
        <v>0.98079732194254798</v>
      </c>
      <c r="S51" t="s">
        <v>6668</v>
      </c>
      <c r="T51" t="s">
        <v>13232</v>
      </c>
      <c r="U51" t="s">
        <v>13232</v>
      </c>
      <c r="V51" t="s">
        <v>13232</v>
      </c>
      <c r="W51" t="s">
        <v>13283</v>
      </c>
      <c r="X51">
        <v>10</v>
      </c>
      <c r="Y51" t="s">
        <v>19820</v>
      </c>
      <c r="Z51" t="s">
        <v>26182</v>
      </c>
      <c r="AA51">
        <v>0.6155628783332413</v>
      </c>
      <c r="AB51" t="str">
        <f>HYPERLINK("Melting_Curves/meltCurve_A8MQB8_FMR1.pdf", "Melting_Curves/meltCurve_A8MQB8_FMR1.pdf")</f>
        <v>Melting_Curves/meltCurve_A8MQB8_FMR1.pdf</v>
      </c>
    </row>
    <row r="52" spans="1:28" x14ac:dyDescent="0.25">
      <c r="A52" t="s">
        <v>56</v>
      </c>
      <c r="B52">
        <v>0.99930955844802105</v>
      </c>
      <c r="C52">
        <v>0.92636613581848104</v>
      </c>
      <c r="D52">
        <v>0.82944343457677805</v>
      </c>
      <c r="E52">
        <v>0.65811985047402599</v>
      </c>
      <c r="F52">
        <v>0.38215843324426102</v>
      </c>
      <c r="G52">
        <v>0.21787776980536999</v>
      </c>
      <c r="H52">
        <v>0.159890036403495</v>
      </c>
      <c r="I52">
        <v>0.13148233757318101</v>
      </c>
      <c r="J52">
        <v>9.7592584713686398E-2</v>
      </c>
      <c r="K52">
        <v>7.56452379253095E-2</v>
      </c>
      <c r="L52">
        <v>764.94366247933999</v>
      </c>
      <c r="M52">
        <v>14.976240656026601</v>
      </c>
      <c r="N52">
        <v>51.6111071480831</v>
      </c>
      <c r="O52">
        <v>50.192395111245403</v>
      </c>
      <c r="P52">
        <v>-6.9247769598438993E-2</v>
      </c>
      <c r="Q52">
        <v>7.1767317228488406E-2</v>
      </c>
      <c r="R52">
        <v>0.99569457559524599</v>
      </c>
      <c r="S52" t="s">
        <v>6669</v>
      </c>
      <c r="T52" t="s">
        <v>13232</v>
      </c>
      <c r="U52" t="s">
        <v>13232</v>
      </c>
      <c r="V52" t="s">
        <v>13232</v>
      </c>
      <c r="W52" t="s">
        <v>13284</v>
      </c>
      <c r="X52">
        <v>1</v>
      </c>
      <c r="Y52" t="s">
        <v>19821</v>
      </c>
      <c r="Z52" t="s">
        <v>26183</v>
      </c>
      <c r="AA52">
        <v>0.43595651655842071</v>
      </c>
      <c r="AB52" t="str">
        <f>HYPERLINK("Melting_Curves/meltCurve_A8MSI8_LYRM9.pdf", "Melting_Curves/meltCurve_A8MSI8_LYRM9.pdf")</f>
        <v>Melting_Curves/meltCurve_A8MSI8_LYRM9.pdf</v>
      </c>
    </row>
    <row r="53" spans="1:28" x14ac:dyDescent="0.25">
      <c r="A53" t="s">
        <v>57</v>
      </c>
      <c r="B53">
        <v>0.99930955844802105</v>
      </c>
      <c r="C53">
        <v>0.98698695745157605</v>
      </c>
      <c r="D53">
        <v>0.89717300072660999</v>
      </c>
      <c r="E53">
        <v>0.62868626435784702</v>
      </c>
      <c r="F53">
        <v>0.25149717618063899</v>
      </c>
      <c r="G53">
        <v>0.150829731160116</v>
      </c>
      <c r="H53">
        <v>7.7743694706327193E-2</v>
      </c>
      <c r="I53">
        <v>6.7654666550018797E-2</v>
      </c>
      <c r="J53">
        <v>5.38568084256364E-2</v>
      </c>
      <c r="K53">
        <v>4.4242042251055401E-2</v>
      </c>
      <c r="L53">
        <v>1234.8606318382199</v>
      </c>
      <c r="M53">
        <v>24.404750027254099</v>
      </c>
      <c r="N53">
        <v>50.857758710116599</v>
      </c>
      <c r="O53">
        <v>50.263122797243902</v>
      </c>
      <c r="P53">
        <v>-0.11430459343666501</v>
      </c>
      <c r="Q53">
        <v>5.83438393492242E-2</v>
      </c>
      <c r="R53">
        <v>0.99678175393964596</v>
      </c>
      <c r="S53" t="s">
        <v>6670</v>
      </c>
      <c r="T53" t="s">
        <v>13232</v>
      </c>
      <c r="U53" t="s">
        <v>13232</v>
      </c>
      <c r="V53" t="s">
        <v>13232</v>
      </c>
      <c r="W53" t="s">
        <v>13285</v>
      </c>
      <c r="X53">
        <v>13</v>
      </c>
      <c r="Y53" t="s">
        <v>19822</v>
      </c>
      <c r="Z53" t="s">
        <v>26184</v>
      </c>
      <c r="AA53">
        <v>0.39992101913098532</v>
      </c>
      <c r="AB53" t="str">
        <f>HYPERLINK("Melting_Curves/meltCurve_A8MT37_GSK3A.pdf", "Melting_Curves/meltCurve_A8MT37_GSK3A.pdf")</f>
        <v>Melting_Curves/meltCurve_A8MT37_GSK3A.pdf</v>
      </c>
    </row>
    <row r="54" spans="1:28" x14ac:dyDescent="0.25">
      <c r="A54" t="s">
        <v>58</v>
      </c>
      <c r="B54">
        <v>0.99930955844802105</v>
      </c>
      <c r="C54">
        <v>0.72209147366633797</v>
      </c>
      <c r="D54">
        <v>0.77978195741659995</v>
      </c>
      <c r="E54">
        <v>0.78893736098627598</v>
      </c>
      <c r="F54">
        <v>0.314684527264537</v>
      </c>
      <c r="G54">
        <v>0.195379256072095</v>
      </c>
      <c r="H54">
        <v>0.13300788581962</v>
      </c>
      <c r="I54">
        <v>0.14638488392426499</v>
      </c>
      <c r="J54">
        <v>0.15786876509363801</v>
      </c>
      <c r="K54">
        <v>0.19917307423110001</v>
      </c>
      <c r="L54">
        <v>644.11106530485199</v>
      </c>
      <c r="M54">
        <v>12.775165480268001</v>
      </c>
      <c r="N54">
        <v>51.296527806269701</v>
      </c>
      <c r="O54">
        <v>49.2315071188236</v>
      </c>
      <c r="P54">
        <v>-5.8516326306451497E-2</v>
      </c>
      <c r="Q54">
        <v>9.8156031431545998E-2</v>
      </c>
      <c r="R54">
        <v>0.89418018514630804</v>
      </c>
      <c r="S54" t="s">
        <v>6671</v>
      </c>
      <c r="T54" t="s">
        <v>13232</v>
      </c>
      <c r="U54" t="s">
        <v>13232</v>
      </c>
      <c r="V54" t="s">
        <v>13232</v>
      </c>
      <c r="W54" t="s">
        <v>13286</v>
      </c>
      <c r="X54">
        <v>6</v>
      </c>
      <c r="Y54" t="s">
        <v>19823</v>
      </c>
      <c r="Z54" t="s">
        <v>26185</v>
      </c>
      <c r="AA54">
        <v>0.43902224653565092</v>
      </c>
      <c r="AB54" t="str">
        <f>HYPERLINK("Melting_Curves/meltCurve_A8MTY9_DSCR3.pdf", "Melting_Curves/meltCurve_A8MTY9_DSCR3.pdf")</f>
        <v>Melting_Curves/meltCurve_A8MTY9_DSCR3.pdf</v>
      </c>
    </row>
    <row r="55" spans="1:28" x14ac:dyDescent="0.25">
      <c r="A55" t="s">
        <v>59</v>
      </c>
      <c r="B55">
        <v>0.99930955844802105</v>
      </c>
      <c r="C55">
        <v>0.96298940135348698</v>
      </c>
      <c r="D55">
        <v>0.95828548638691102</v>
      </c>
      <c r="E55">
        <v>0.93456511911081397</v>
      </c>
      <c r="F55">
        <v>0.88282752316875002</v>
      </c>
      <c r="G55">
        <v>0.74437972781140604</v>
      </c>
      <c r="H55">
        <v>0.65888726624301697</v>
      </c>
      <c r="I55">
        <v>0.71933588613896204</v>
      </c>
      <c r="J55">
        <v>0.68424221487689696</v>
      </c>
      <c r="K55">
        <v>0.583984174148521</v>
      </c>
      <c r="L55">
        <v>709.715436398522</v>
      </c>
      <c r="M55">
        <v>12.7984629503859</v>
      </c>
      <c r="O55">
        <v>54.151654567053399</v>
      </c>
      <c r="P55">
        <v>-2.3303009623018001E-2</v>
      </c>
      <c r="Q55">
        <v>0.60568390521536697</v>
      </c>
      <c r="R55">
        <v>0.94802523205080003</v>
      </c>
      <c r="S55" t="s">
        <v>6672</v>
      </c>
      <c r="T55" t="s">
        <v>13232</v>
      </c>
      <c r="U55" t="s">
        <v>13232</v>
      </c>
      <c r="V55" t="s">
        <v>13232</v>
      </c>
      <c r="W55" t="s">
        <v>13287</v>
      </c>
      <c r="X55">
        <v>6</v>
      </c>
      <c r="Y55" t="s">
        <v>19824</v>
      </c>
      <c r="Z55" t="s">
        <v>26186</v>
      </c>
      <c r="AA55">
        <v>0.81717564382918717</v>
      </c>
      <c r="AB55" t="str">
        <f>HYPERLINK("Melting_Curves/meltCurve_A8MTZ6_S100PBP.pdf", "Melting_Curves/meltCurve_A8MTZ6_S100PBP.pdf")</f>
        <v>Melting_Curves/meltCurve_A8MTZ6_S100PBP.pdf</v>
      </c>
    </row>
    <row r="56" spans="1:28" x14ac:dyDescent="0.25">
      <c r="A56" t="s">
        <v>60</v>
      </c>
      <c r="B56">
        <v>0.99930955844802105</v>
      </c>
      <c r="C56">
        <v>1.02464115401605</v>
      </c>
      <c r="D56">
        <v>0.89889718004333696</v>
      </c>
      <c r="E56">
        <v>0.63252002968643695</v>
      </c>
      <c r="F56">
        <v>0.42053910753099799</v>
      </c>
      <c r="G56">
        <v>0.318289901777557</v>
      </c>
      <c r="H56">
        <v>0.21602508752389499</v>
      </c>
      <c r="I56">
        <v>0.18636723310717099</v>
      </c>
      <c r="J56">
        <v>0.187263992246888</v>
      </c>
      <c r="K56">
        <v>0.15035041395458101</v>
      </c>
      <c r="L56">
        <v>925.98687283023798</v>
      </c>
      <c r="M56">
        <v>18.2263631974829</v>
      </c>
      <c r="N56">
        <v>52.017961724756503</v>
      </c>
      <c r="O56">
        <v>50.205052740399701</v>
      </c>
      <c r="P56">
        <v>-7.5049012149393607E-2</v>
      </c>
      <c r="Q56">
        <v>0.17313972048836901</v>
      </c>
      <c r="R56">
        <v>0.99455373224239096</v>
      </c>
      <c r="S56" t="s">
        <v>6673</v>
      </c>
      <c r="T56" t="s">
        <v>13232</v>
      </c>
      <c r="U56" t="s">
        <v>13232</v>
      </c>
      <c r="V56" t="s">
        <v>13232</v>
      </c>
      <c r="W56" t="s">
        <v>13288</v>
      </c>
      <c r="X56">
        <v>25</v>
      </c>
      <c r="Y56" t="s">
        <v>19825</v>
      </c>
      <c r="Z56" t="s">
        <v>26187</v>
      </c>
      <c r="AA56">
        <v>0.48459054574353888</v>
      </c>
      <c r="AB56" t="str">
        <f>HYPERLINK("Melting_Curves/meltCurve_A8MU44_HOOK1.pdf", "Melting_Curves/meltCurve_A8MU44_HOOK1.pdf")</f>
        <v>Melting_Curves/meltCurve_A8MU44_HOOK1.pdf</v>
      </c>
    </row>
    <row r="57" spans="1:28" x14ac:dyDescent="0.25">
      <c r="A57" t="s">
        <v>61</v>
      </c>
      <c r="B57">
        <v>0.99930955844802105</v>
      </c>
      <c r="C57">
        <v>0.96389220595234704</v>
      </c>
      <c r="D57">
        <v>0.92108163329152803</v>
      </c>
      <c r="E57">
        <v>0.83883804891872205</v>
      </c>
      <c r="F57">
        <v>0.86546321567589302</v>
      </c>
      <c r="G57">
        <v>0.51826147569548398</v>
      </c>
      <c r="H57">
        <v>0.33003689883718601</v>
      </c>
      <c r="I57">
        <v>0.220371718173899</v>
      </c>
      <c r="J57">
        <v>0.18814998295576901</v>
      </c>
      <c r="K57">
        <v>0.153634128541282</v>
      </c>
      <c r="L57">
        <v>875.570889547099</v>
      </c>
      <c r="M57">
        <v>15.3848894888669</v>
      </c>
      <c r="N57">
        <v>57.721451356504701</v>
      </c>
      <c r="O57">
        <v>55.975569211901799</v>
      </c>
      <c r="P57">
        <v>-6.2044257810365398E-2</v>
      </c>
      <c r="Q57">
        <v>9.7128382272280406E-2</v>
      </c>
      <c r="R57">
        <v>0.98514966938267401</v>
      </c>
      <c r="S57" t="s">
        <v>6674</v>
      </c>
      <c r="T57" t="s">
        <v>13232</v>
      </c>
      <c r="U57" t="s">
        <v>13232</v>
      </c>
      <c r="V57" t="s">
        <v>13232</v>
      </c>
      <c r="X57">
        <v>4</v>
      </c>
      <c r="Z57" t="s">
        <v>26188</v>
      </c>
      <c r="AA57">
        <v>0.62030510220292023</v>
      </c>
      <c r="AB57" t="str">
        <f>HYPERLINK("Melting_Curves/meltCurve_A8MUN2_.pdf", "Melting_Curves/meltCurve_A8MUN2_.pdf")</f>
        <v>Melting_Curves/meltCurve_A8MUN2_.pdf</v>
      </c>
    </row>
    <row r="58" spans="1:28" x14ac:dyDescent="0.25">
      <c r="A58" t="s">
        <v>62</v>
      </c>
      <c r="B58">
        <v>0.99930955844802105</v>
      </c>
      <c r="C58">
        <v>0.89277983536090599</v>
      </c>
      <c r="D58">
        <v>0.82493868932459702</v>
      </c>
      <c r="E58">
        <v>0.541493178343735</v>
      </c>
      <c r="F58">
        <v>0.37864778617091599</v>
      </c>
      <c r="G58">
        <v>0.27041553186056599</v>
      </c>
      <c r="H58">
        <v>0.178292914239782</v>
      </c>
      <c r="I58">
        <v>0.111102016295265</v>
      </c>
      <c r="J58">
        <v>9.1443875332085298E-2</v>
      </c>
      <c r="K58">
        <v>8.2824257582656102E-2</v>
      </c>
      <c r="L58">
        <v>651.75196727923503</v>
      </c>
      <c r="M58">
        <v>12.8987347630655</v>
      </c>
      <c r="N58">
        <v>51.076093944729102</v>
      </c>
      <c r="O58">
        <v>49.360109898756399</v>
      </c>
      <c r="P58">
        <v>-6.1121135059602601E-2</v>
      </c>
      <c r="Q58">
        <v>6.4591494607433506E-2</v>
      </c>
      <c r="R58">
        <v>0.99583561339472604</v>
      </c>
      <c r="S58" t="s">
        <v>6675</v>
      </c>
      <c r="T58" t="s">
        <v>13232</v>
      </c>
      <c r="U58" t="s">
        <v>13232</v>
      </c>
      <c r="V58" t="s">
        <v>13232</v>
      </c>
      <c r="W58" t="s">
        <v>13289</v>
      </c>
      <c r="X58">
        <v>1</v>
      </c>
      <c r="Y58" t="s">
        <v>19826</v>
      </c>
      <c r="Z58" t="s">
        <v>26189</v>
      </c>
      <c r="AA58">
        <v>0.42096751312092112</v>
      </c>
      <c r="AB58" t="str">
        <f>HYPERLINK("Melting_Curves/meltCurve_A8MVR0_IVNS1ABP.pdf", "Melting_Curves/meltCurve_A8MVR0_IVNS1ABP.pdf")</f>
        <v>Melting_Curves/meltCurve_A8MVR0_IVNS1ABP.pdf</v>
      </c>
    </row>
    <row r="59" spans="1:28" x14ac:dyDescent="0.25">
      <c r="A59" t="s">
        <v>63</v>
      </c>
      <c r="B59">
        <v>0.99930955844802105</v>
      </c>
      <c r="C59">
        <v>0.93328806753675098</v>
      </c>
      <c r="D59">
        <v>0.94932120370459305</v>
      </c>
      <c r="E59">
        <v>0.94525102830227603</v>
      </c>
      <c r="F59">
        <v>0.94095327853354704</v>
      </c>
      <c r="G59">
        <v>0.80129912095988098</v>
      </c>
      <c r="H59">
        <v>0.65430547181555598</v>
      </c>
      <c r="I59">
        <v>0.63715630715337301</v>
      </c>
      <c r="J59">
        <v>0.65769765721217399</v>
      </c>
      <c r="K59">
        <v>0.52265943793104397</v>
      </c>
      <c r="L59">
        <v>708.37322958595496</v>
      </c>
      <c r="M59">
        <v>11.987522856760499</v>
      </c>
      <c r="O59">
        <v>57.5201223219726</v>
      </c>
      <c r="P59">
        <v>-2.64397501732885E-2</v>
      </c>
      <c r="Q59">
        <v>0.49265596821553598</v>
      </c>
      <c r="R59">
        <v>0.94496394117813298</v>
      </c>
      <c r="S59" t="s">
        <v>6676</v>
      </c>
      <c r="T59" t="s">
        <v>13232</v>
      </c>
      <c r="U59" t="s">
        <v>13232</v>
      </c>
      <c r="V59" t="s">
        <v>13232</v>
      </c>
      <c r="W59" t="s">
        <v>13290</v>
      </c>
      <c r="X59">
        <v>2</v>
      </c>
      <c r="Y59" t="s">
        <v>19827</v>
      </c>
      <c r="Z59" t="s">
        <v>26190</v>
      </c>
      <c r="AA59">
        <v>0.81929996910303082</v>
      </c>
      <c r="AB59" t="str">
        <f>HYPERLINK("Melting_Curves/meltCurve_A8MVW0_FAM171A2.pdf", "Melting_Curves/meltCurve_A8MVW0_FAM171A2.pdf")</f>
        <v>Melting_Curves/meltCurve_A8MVW0_FAM171A2.pdf</v>
      </c>
    </row>
    <row r="60" spans="1:28" x14ac:dyDescent="0.25">
      <c r="A60" t="s">
        <v>64</v>
      </c>
      <c r="B60">
        <v>0.99930955844802105</v>
      </c>
      <c r="C60">
        <v>1.1303001512045801</v>
      </c>
      <c r="D60">
        <v>1.17223624149678</v>
      </c>
      <c r="E60">
        <v>1.0361840981238</v>
      </c>
      <c r="F60">
        <v>0.93280726739301101</v>
      </c>
      <c r="G60">
        <v>0.95341843390082903</v>
      </c>
      <c r="H60">
        <v>0.94048638548359698</v>
      </c>
      <c r="I60">
        <v>1.00493942904496</v>
      </c>
      <c r="J60">
        <v>1.0063431854048099</v>
      </c>
      <c r="K60">
        <v>0.765498646970874</v>
      </c>
      <c r="L60">
        <v>15000</v>
      </c>
      <c r="M60">
        <v>213.10264407733101</v>
      </c>
      <c r="Q60">
        <v>0</v>
      </c>
      <c r="R60">
        <v>0.48407335674512703</v>
      </c>
      <c r="S60" t="s">
        <v>6677</v>
      </c>
      <c r="T60" t="s">
        <v>13232</v>
      </c>
      <c r="U60" t="s">
        <v>13232</v>
      </c>
      <c r="V60" t="s">
        <v>13232</v>
      </c>
      <c r="W60" t="s">
        <v>13291</v>
      </c>
      <c r="X60">
        <v>1</v>
      </c>
      <c r="Y60" t="s">
        <v>19828</v>
      </c>
      <c r="Z60" t="s">
        <v>26191</v>
      </c>
      <c r="AA60">
        <v>0.99711880999087377</v>
      </c>
      <c r="AB60" t="str">
        <f>HYPERLINK("Melting_Curves/meltCurve_A8MVX0_ARHGEF33.pdf", "Melting_Curves/meltCurve_A8MVX0_ARHGEF33.pdf")</f>
        <v>Melting_Curves/meltCurve_A8MVX0_ARHGEF33.pdf</v>
      </c>
    </row>
    <row r="61" spans="1:28" x14ac:dyDescent="0.25">
      <c r="A61" t="s">
        <v>65</v>
      </c>
      <c r="B61">
        <v>0.99930955844802105</v>
      </c>
      <c r="C61">
        <v>1.1075192741794799</v>
      </c>
      <c r="D61">
        <v>0.85875565841137402</v>
      </c>
      <c r="E61">
        <v>0.69168425234893904</v>
      </c>
      <c r="F61">
        <v>0.56837407320520505</v>
      </c>
      <c r="G61">
        <v>0.52678992265205205</v>
      </c>
      <c r="H61">
        <v>0.44207922901950603</v>
      </c>
      <c r="I61">
        <v>0.522195883586276</v>
      </c>
      <c r="J61">
        <v>0.59986931960751699</v>
      </c>
      <c r="K61">
        <v>0.46632303491175697</v>
      </c>
      <c r="L61">
        <v>1230.9768395425999</v>
      </c>
      <c r="M61">
        <v>25.289599367997699</v>
      </c>
      <c r="O61">
        <v>48.373913940466302</v>
      </c>
      <c r="P61">
        <v>-6.4069744910257201E-2</v>
      </c>
      <c r="Q61">
        <v>0.509796032517563</v>
      </c>
      <c r="R61">
        <v>0.932116084231145</v>
      </c>
      <c r="S61" t="s">
        <v>6678</v>
      </c>
      <c r="T61" t="s">
        <v>13232</v>
      </c>
      <c r="U61" t="s">
        <v>13232</v>
      </c>
      <c r="V61" t="s">
        <v>13232</v>
      </c>
      <c r="W61" t="s">
        <v>13292</v>
      </c>
      <c r="X61">
        <v>4</v>
      </c>
      <c r="Y61" t="s">
        <v>19829</v>
      </c>
      <c r="Z61" t="s">
        <v>26192</v>
      </c>
      <c r="AA61">
        <v>0.65578401861779712</v>
      </c>
      <c r="AB61" t="str">
        <f>HYPERLINK("Melting_Curves/meltCurve_A8MVZ6_BICD1.pdf", "Melting_Curves/meltCurve_A8MVZ6_BICD1.pdf")</f>
        <v>Melting_Curves/meltCurve_A8MVZ6_BICD1.pdf</v>
      </c>
    </row>
    <row r="62" spans="1:28" x14ac:dyDescent="0.25">
      <c r="A62" t="s">
        <v>66</v>
      </c>
      <c r="B62">
        <v>0.99930955844802105</v>
      </c>
      <c r="C62">
        <v>0.67443816921656896</v>
      </c>
      <c r="D62">
        <v>0.47719897661020799</v>
      </c>
      <c r="E62">
        <v>0.32820759531114102</v>
      </c>
      <c r="F62">
        <v>0.22015013512697601</v>
      </c>
      <c r="G62">
        <v>0.15382337865568699</v>
      </c>
      <c r="H62">
        <v>8.1781111744178805E-2</v>
      </c>
      <c r="I62">
        <v>6.3928186678905097E-2</v>
      </c>
      <c r="J62">
        <v>4.4999769407451103E-2</v>
      </c>
      <c r="K62">
        <v>4.2806260212641098E-2</v>
      </c>
      <c r="L62">
        <v>597.26774791121704</v>
      </c>
      <c r="M62">
        <v>12.984228100632899</v>
      </c>
      <c r="N62">
        <v>46.3679284218764</v>
      </c>
      <c r="O62">
        <v>44.949387451254402</v>
      </c>
      <c r="P62">
        <v>-6.8688347131018304E-2</v>
      </c>
      <c r="Q62">
        <v>4.90154456222998E-2</v>
      </c>
      <c r="R62">
        <v>0.97502832721863497</v>
      </c>
      <c r="S62" t="s">
        <v>6679</v>
      </c>
      <c r="T62" t="s">
        <v>13232</v>
      </c>
      <c r="U62" t="s">
        <v>13232</v>
      </c>
      <c r="V62" t="s">
        <v>13232</v>
      </c>
      <c r="W62" t="s">
        <v>13293</v>
      </c>
      <c r="X62">
        <v>15</v>
      </c>
      <c r="Y62" t="s">
        <v>19830</v>
      </c>
      <c r="Z62" t="s">
        <v>26193</v>
      </c>
      <c r="AA62">
        <v>0.27642910587395941</v>
      </c>
      <c r="AB62" t="str">
        <f>HYPERLINK("Melting_Curves/meltCurve_A8MX75_ERCC2.pdf", "Melting_Curves/meltCurve_A8MX75_ERCC2.pdf")</f>
        <v>Melting_Curves/meltCurve_A8MX75_ERCC2.pdf</v>
      </c>
    </row>
    <row r="63" spans="1:28" x14ac:dyDescent="0.25">
      <c r="A63" t="s">
        <v>67</v>
      </c>
      <c r="B63">
        <v>0.99930955844802105</v>
      </c>
      <c r="C63">
        <v>0.83262445100899796</v>
      </c>
      <c r="D63">
        <v>0.78070577703835697</v>
      </c>
      <c r="E63">
        <v>0.70894473975244598</v>
      </c>
      <c r="F63">
        <v>0.52458865561286905</v>
      </c>
      <c r="G63">
        <v>0.420928939086681</v>
      </c>
      <c r="H63">
        <v>0.28850730173175299</v>
      </c>
      <c r="I63">
        <v>0.25876124691484997</v>
      </c>
      <c r="J63">
        <v>0.22527764644710399</v>
      </c>
      <c r="K63">
        <v>0.19490148558485301</v>
      </c>
      <c r="L63">
        <v>443.13816129109398</v>
      </c>
      <c r="M63">
        <v>8.3465466400657995</v>
      </c>
      <c r="N63">
        <v>54.234955013840398</v>
      </c>
      <c r="O63">
        <v>50.306892945949699</v>
      </c>
      <c r="P63">
        <v>-3.8170883327053803E-2</v>
      </c>
      <c r="Q63">
        <v>8.0622213166321996E-2</v>
      </c>
      <c r="R63">
        <v>0.98603919240775595</v>
      </c>
      <c r="S63" t="s">
        <v>6680</v>
      </c>
      <c r="T63" t="s">
        <v>13232</v>
      </c>
      <c r="U63" t="s">
        <v>13232</v>
      </c>
      <c r="V63" t="s">
        <v>13232</v>
      </c>
      <c r="W63" t="s">
        <v>13294</v>
      </c>
      <c r="X63">
        <v>4</v>
      </c>
      <c r="Y63" t="s">
        <v>19831</v>
      </c>
      <c r="Z63" t="s">
        <v>26194</v>
      </c>
      <c r="AA63">
        <v>0.51770528829621432</v>
      </c>
      <c r="AB63" t="str">
        <f>HYPERLINK("Melting_Curves/meltCurve_A8MXP8_RCN2.pdf", "Melting_Curves/meltCurve_A8MXP8_RCN2.pdf")</f>
        <v>Melting_Curves/meltCurve_A8MXP8_RCN2.pdf</v>
      </c>
    </row>
    <row r="64" spans="1:28" x14ac:dyDescent="0.25">
      <c r="A64" t="s">
        <v>68</v>
      </c>
      <c r="B64">
        <v>0.99930955844802105</v>
      </c>
      <c r="C64">
        <v>0.99057876478415396</v>
      </c>
      <c r="D64">
        <v>0.93809635784340495</v>
      </c>
      <c r="E64">
        <v>0.85118456945770504</v>
      </c>
      <c r="F64">
        <v>0.68753257795626399</v>
      </c>
      <c r="G64">
        <v>0.5177745980599</v>
      </c>
      <c r="H64">
        <v>0.41536922696899697</v>
      </c>
      <c r="I64">
        <v>0.37873006472437498</v>
      </c>
      <c r="J64">
        <v>0.35569460121844998</v>
      </c>
      <c r="K64">
        <v>0.299787263817134</v>
      </c>
      <c r="L64">
        <v>781.34305768649006</v>
      </c>
      <c r="M64">
        <v>14.4585763742284</v>
      </c>
      <c r="N64">
        <v>57.681622231995803</v>
      </c>
      <c r="O64">
        <v>53.03790815384</v>
      </c>
      <c r="P64">
        <v>-4.7759861650810302E-2</v>
      </c>
      <c r="Q64">
        <v>0.29929818843943501</v>
      </c>
      <c r="R64">
        <v>0.99768690291043005</v>
      </c>
      <c r="S64" t="s">
        <v>6681</v>
      </c>
      <c r="T64" t="s">
        <v>13232</v>
      </c>
      <c r="U64" t="s">
        <v>13232</v>
      </c>
      <c r="V64" t="s">
        <v>13232</v>
      </c>
      <c r="W64" t="s">
        <v>13295</v>
      </c>
      <c r="X64">
        <v>43</v>
      </c>
      <c r="Y64" t="s">
        <v>19832</v>
      </c>
      <c r="Z64" t="s">
        <v>26195</v>
      </c>
      <c r="AA64">
        <v>0.64222555441312368</v>
      </c>
      <c r="AB64" t="str">
        <f>HYPERLINK("Melting_Curves/meltCurve_A8MXP9_MATR3.pdf", "Melting_Curves/meltCurve_A8MXP9_MATR3.pdf")</f>
        <v>Melting_Curves/meltCurve_A8MXP9_MATR3.pdf</v>
      </c>
    </row>
    <row r="65" spans="1:28" x14ac:dyDescent="0.25">
      <c r="A65" t="s">
        <v>69</v>
      </c>
      <c r="B65">
        <v>0.99930955844802105</v>
      </c>
      <c r="C65">
        <v>0.99580791975788396</v>
      </c>
      <c r="D65">
        <v>0.98772787416268104</v>
      </c>
      <c r="E65">
        <v>0.89735978755607104</v>
      </c>
      <c r="F65">
        <v>0.62258909104011995</v>
      </c>
      <c r="G65">
        <v>0.25005156225498099</v>
      </c>
      <c r="H65">
        <v>0.121387329990672</v>
      </c>
      <c r="I65">
        <v>0.113519005604461</v>
      </c>
      <c r="J65">
        <v>9.2629003212061203E-2</v>
      </c>
      <c r="K65">
        <v>6.3250750891340995E-2</v>
      </c>
      <c r="L65">
        <v>1423.57742854958</v>
      </c>
      <c r="M65">
        <v>26.481763672763201</v>
      </c>
      <c r="N65">
        <v>54.128313910561801</v>
      </c>
      <c r="O65">
        <v>53.453174557753101</v>
      </c>
      <c r="P65">
        <v>-0.113566399518912</v>
      </c>
      <c r="Q65">
        <v>8.3079504555788095E-2</v>
      </c>
      <c r="R65">
        <v>0.99944731596235203</v>
      </c>
      <c r="S65" t="s">
        <v>6682</v>
      </c>
      <c r="T65" t="s">
        <v>13232</v>
      </c>
      <c r="U65" t="s">
        <v>13232</v>
      </c>
      <c r="V65" t="s">
        <v>13232</v>
      </c>
      <c r="W65" t="s">
        <v>13296</v>
      </c>
      <c r="X65">
        <v>9</v>
      </c>
      <c r="Y65" t="s">
        <v>19833</v>
      </c>
      <c r="Z65" t="s">
        <v>26196</v>
      </c>
      <c r="AA65">
        <v>0.51116450159174809</v>
      </c>
      <c r="AB65" t="str">
        <f>HYPERLINK("Melting_Curves/meltCurve_A8MXV4_NUDT19.pdf", "Melting_Curves/meltCurve_A8MXV4_NUDT19.pdf")</f>
        <v>Melting_Curves/meltCurve_A8MXV4_NUDT19.pdf</v>
      </c>
    </row>
    <row r="66" spans="1:28" x14ac:dyDescent="0.25">
      <c r="A66" t="s">
        <v>70</v>
      </c>
      <c r="B66">
        <v>0.99930955844802105</v>
      </c>
      <c r="C66">
        <v>0.57419640370576597</v>
      </c>
      <c r="D66">
        <v>0.60953271023353905</v>
      </c>
      <c r="E66">
        <v>0.58486105259125098</v>
      </c>
      <c r="F66">
        <v>0.42404445197288698</v>
      </c>
      <c r="G66">
        <v>0.24101271977730901</v>
      </c>
      <c r="H66">
        <v>0.15641957625726899</v>
      </c>
      <c r="I66">
        <v>0.10720828518596701</v>
      </c>
      <c r="J66">
        <v>8.8556027338658597E-2</v>
      </c>
      <c r="K66">
        <v>5.2401802857630297E-2</v>
      </c>
      <c r="L66">
        <v>391.95855863032301</v>
      </c>
      <c r="M66">
        <v>7.94302285779293</v>
      </c>
      <c r="N66">
        <v>49.346271156147097</v>
      </c>
      <c r="O66">
        <v>46.512679654843502</v>
      </c>
      <c r="P66">
        <v>-4.2742372353525897E-2</v>
      </c>
      <c r="Q66">
        <v>0</v>
      </c>
      <c r="R66">
        <v>0.91158965538597603</v>
      </c>
      <c r="S66" t="s">
        <v>6683</v>
      </c>
      <c r="T66" t="s">
        <v>13232</v>
      </c>
      <c r="U66" t="s">
        <v>13232</v>
      </c>
      <c r="V66" t="s">
        <v>13232</v>
      </c>
      <c r="W66" t="s">
        <v>13297</v>
      </c>
      <c r="X66">
        <v>2</v>
      </c>
      <c r="Y66" t="s">
        <v>19834</v>
      </c>
      <c r="Z66" t="s">
        <v>26197</v>
      </c>
      <c r="AA66">
        <v>0.3758664395528214</v>
      </c>
      <c r="AB66" t="str">
        <f>HYPERLINK("Melting_Curves/meltCurve_A8MYC1_POP4.pdf", "Melting_Curves/meltCurve_A8MYC1_POP4.pdf")</f>
        <v>Melting_Curves/meltCurve_A8MYC1_POP4.pdf</v>
      </c>
    </row>
    <row r="67" spans="1:28" x14ac:dyDescent="0.25">
      <c r="A67" t="s">
        <v>71</v>
      </c>
      <c r="B67">
        <v>0.99930955844802105</v>
      </c>
      <c r="C67">
        <v>1.2614440513827101</v>
      </c>
      <c r="D67">
        <v>1.18246102145328</v>
      </c>
      <c r="E67">
        <v>1.22321342475852</v>
      </c>
      <c r="F67">
        <v>1.2312172727067301</v>
      </c>
      <c r="G67">
        <v>1.0850966161700299</v>
      </c>
      <c r="H67">
        <v>1.0496219436271199</v>
      </c>
      <c r="I67">
        <v>1.1609330872035999</v>
      </c>
      <c r="J67">
        <v>1.2122771800693199</v>
      </c>
      <c r="K67">
        <v>0.899851713144739</v>
      </c>
      <c r="L67">
        <v>10251.833682648101</v>
      </c>
      <c r="M67">
        <v>250</v>
      </c>
      <c r="O67">
        <v>41.004710811898597</v>
      </c>
      <c r="P67">
        <v>0.22120002937149799</v>
      </c>
      <c r="Q67">
        <v>1.1451238906188901</v>
      </c>
      <c r="R67">
        <v>0.15281452142681301</v>
      </c>
      <c r="S67" t="s">
        <v>6684</v>
      </c>
      <c r="T67" t="s">
        <v>13232</v>
      </c>
      <c r="U67" t="s">
        <v>13232</v>
      </c>
      <c r="V67" t="s">
        <v>13232</v>
      </c>
      <c r="W67" t="s">
        <v>13298</v>
      </c>
      <c r="X67">
        <v>29</v>
      </c>
      <c r="Y67" t="s">
        <v>19835</v>
      </c>
      <c r="Z67" t="s">
        <v>26198</v>
      </c>
      <c r="AA67">
        <v>1.140239121808736</v>
      </c>
      <c r="AB67" t="str">
        <f>HYPERLINK("Melting_Curves/meltCurve_A9Z1X7_SRRM1.pdf", "Melting_Curves/meltCurve_A9Z1X7_SRRM1.pdf")</f>
        <v>Melting_Curves/meltCurve_A9Z1X7_SRRM1.pdf</v>
      </c>
    </row>
    <row r="68" spans="1:28" x14ac:dyDescent="0.25">
      <c r="A68" t="s">
        <v>72</v>
      </c>
      <c r="B68">
        <v>0.99930955844802105</v>
      </c>
      <c r="C68">
        <v>0.82240553634425495</v>
      </c>
      <c r="D68">
        <v>0.73669172907590696</v>
      </c>
      <c r="E68">
        <v>0.71387546714374195</v>
      </c>
      <c r="F68">
        <v>0.474741750442009</v>
      </c>
      <c r="G68">
        <v>0.18793888041134901</v>
      </c>
      <c r="H68">
        <v>0.116640142847307</v>
      </c>
      <c r="I68">
        <v>9.6360260293903197E-2</v>
      </c>
      <c r="J68">
        <v>8.3745209029812098E-2</v>
      </c>
      <c r="K68">
        <v>6.4713419357044402E-2</v>
      </c>
      <c r="L68">
        <v>588.12634337247403</v>
      </c>
      <c r="M68">
        <v>11.346966742290199</v>
      </c>
      <c r="N68">
        <v>51.831138480052203</v>
      </c>
      <c r="O68">
        <v>50.299610596953201</v>
      </c>
      <c r="P68">
        <v>-5.6413774224032098E-2</v>
      </c>
      <c r="Q68">
        <v>0</v>
      </c>
      <c r="R68">
        <v>0.96952195049989598</v>
      </c>
      <c r="S68" t="s">
        <v>6685</v>
      </c>
      <c r="T68" t="s">
        <v>13232</v>
      </c>
      <c r="U68" t="s">
        <v>13232</v>
      </c>
      <c r="V68" t="s">
        <v>13232</v>
      </c>
      <c r="W68" t="s">
        <v>13299</v>
      </c>
      <c r="X68">
        <v>26</v>
      </c>
      <c r="Y68" t="s">
        <v>19836</v>
      </c>
      <c r="Z68" t="s">
        <v>26199</v>
      </c>
      <c r="AA68">
        <v>0.42761617218383452</v>
      </c>
      <c r="AB68" t="str">
        <f>HYPERLINK("Melting_Curves/meltCurve_B0FLL2_PFKFB2.pdf", "Melting_Curves/meltCurve_B0FLL2_PFKFB2.pdf")</f>
        <v>Melting_Curves/meltCurve_B0FLL2_PFKFB2.pdf</v>
      </c>
    </row>
    <row r="69" spans="1:28" x14ac:dyDescent="0.25">
      <c r="A69" t="s">
        <v>73</v>
      </c>
      <c r="B69">
        <v>0.99930955844802105</v>
      </c>
      <c r="C69">
        <v>0.99880823984772504</v>
      </c>
      <c r="D69">
        <v>1.02788112587898</v>
      </c>
      <c r="E69">
        <v>0.65499130763397895</v>
      </c>
      <c r="F69">
        <v>0.26706512381236802</v>
      </c>
      <c r="G69">
        <v>0.141134249636194</v>
      </c>
      <c r="H69">
        <v>5.3046915777386398E-2</v>
      </c>
      <c r="I69">
        <v>6.17695468111212E-2</v>
      </c>
      <c r="J69">
        <v>4.8593622692129801E-2</v>
      </c>
      <c r="K69">
        <v>2.5135503746853801E-2</v>
      </c>
      <c r="L69">
        <v>1612.97478161597</v>
      </c>
      <c r="M69">
        <v>31.654694537274001</v>
      </c>
      <c r="N69">
        <v>51.149621095916402</v>
      </c>
      <c r="O69">
        <v>50.753245266060297</v>
      </c>
      <c r="P69">
        <v>-0.147092418574199</v>
      </c>
      <c r="Q69">
        <v>5.6648237562955499E-2</v>
      </c>
      <c r="R69">
        <v>0.995734786763107</v>
      </c>
      <c r="S69" t="s">
        <v>6686</v>
      </c>
      <c r="T69" t="s">
        <v>13232</v>
      </c>
      <c r="U69" t="s">
        <v>13232</v>
      </c>
      <c r="V69" t="s">
        <v>13232</v>
      </c>
      <c r="W69" t="s">
        <v>13300</v>
      </c>
      <c r="X69">
        <v>1</v>
      </c>
      <c r="Y69" t="s">
        <v>19837</v>
      </c>
      <c r="Z69" t="s">
        <v>26200</v>
      </c>
      <c r="AA69">
        <v>0.40646025114602508</v>
      </c>
      <c r="AB69" t="str">
        <f>HYPERLINK("Melting_Curves/meltCurve_B0QXZ5_DNAL4.pdf", "Melting_Curves/meltCurve_B0QXZ5_DNAL4.pdf")</f>
        <v>Melting_Curves/meltCurve_B0QXZ5_DNAL4.pdf</v>
      </c>
    </row>
    <row r="70" spans="1:28" x14ac:dyDescent="0.25">
      <c r="A70" t="s">
        <v>74</v>
      </c>
      <c r="B70">
        <v>0.99930955844802105</v>
      </c>
      <c r="C70">
        <v>1.0443667494186699</v>
      </c>
      <c r="D70">
        <v>1.07367486978253</v>
      </c>
      <c r="E70">
        <v>1.09612353159241</v>
      </c>
      <c r="F70">
        <v>0.95560875871686102</v>
      </c>
      <c r="G70">
        <v>0.80635981718835603</v>
      </c>
      <c r="H70">
        <v>0.79785756331079705</v>
      </c>
      <c r="I70">
        <v>0.81006342121035202</v>
      </c>
      <c r="J70">
        <v>0.755827013238214</v>
      </c>
      <c r="K70">
        <v>0.65962783620501697</v>
      </c>
      <c r="L70">
        <v>2243.0576200591199</v>
      </c>
      <c r="M70">
        <v>40.488224727267102</v>
      </c>
      <c r="O70">
        <v>55.265631539979204</v>
      </c>
      <c r="P70">
        <v>-4.5327396141006303E-2</v>
      </c>
      <c r="Q70">
        <v>0.75251654993741202</v>
      </c>
      <c r="R70">
        <v>0.85217475425648104</v>
      </c>
      <c r="S70" t="s">
        <v>6687</v>
      </c>
      <c r="T70" t="s">
        <v>13232</v>
      </c>
      <c r="U70" t="s">
        <v>13232</v>
      </c>
      <c r="V70" t="s">
        <v>13232</v>
      </c>
      <c r="W70" t="s">
        <v>13301</v>
      </c>
      <c r="X70">
        <v>3</v>
      </c>
      <c r="Y70" t="s">
        <v>19838</v>
      </c>
      <c r="Z70" t="s">
        <v>26201</v>
      </c>
      <c r="AA70">
        <v>0.88048101330254069</v>
      </c>
      <c r="AB70" t="str">
        <f>HYPERLINK("Melting_Curves/meltCurve_B0QXZ6_CBX6.pdf", "Melting_Curves/meltCurve_B0QXZ6_CBX6.pdf")</f>
        <v>Melting_Curves/meltCurve_B0QXZ6_CBX6.pdf</v>
      </c>
    </row>
    <row r="71" spans="1:28" x14ac:dyDescent="0.25">
      <c r="A71" t="s">
        <v>75</v>
      </c>
      <c r="B71">
        <v>0.99930955844802105</v>
      </c>
      <c r="C71">
        <v>0.97141189168428599</v>
      </c>
      <c r="D71">
        <v>0.95707939175981704</v>
      </c>
      <c r="E71">
        <v>0.92303463687762199</v>
      </c>
      <c r="F71">
        <v>0.76054088888829297</v>
      </c>
      <c r="G71">
        <v>0.51530249992900301</v>
      </c>
      <c r="H71">
        <v>0.34757077708300099</v>
      </c>
      <c r="I71">
        <v>0.31919151206835999</v>
      </c>
      <c r="J71">
        <v>0.24468426922633699</v>
      </c>
      <c r="K71">
        <v>0.19614747063013399</v>
      </c>
      <c r="L71">
        <v>911.958526972036</v>
      </c>
      <c r="M71">
        <v>16.326063661806302</v>
      </c>
      <c r="N71">
        <v>57.5637115495092</v>
      </c>
      <c r="O71">
        <v>55.041155430921897</v>
      </c>
      <c r="P71">
        <v>-5.9944338976055701E-2</v>
      </c>
      <c r="Q71">
        <v>0.19168105719276701</v>
      </c>
      <c r="R71">
        <v>0.99604669243983801</v>
      </c>
      <c r="S71" t="s">
        <v>6688</v>
      </c>
      <c r="T71" t="s">
        <v>13232</v>
      </c>
      <c r="U71" t="s">
        <v>13232</v>
      </c>
      <c r="V71" t="s">
        <v>13232</v>
      </c>
      <c r="W71" t="s">
        <v>13302</v>
      </c>
      <c r="X71">
        <v>2</v>
      </c>
      <c r="Y71" t="s">
        <v>19839</v>
      </c>
      <c r="Z71" t="s">
        <v>26202</v>
      </c>
      <c r="AA71">
        <v>0.63238483667569245</v>
      </c>
      <c r="AB71" t="str">
        <f>HYPERLINK("Melting_Curves/meltCurve_B0QY16_KIAA0930.pdf", "Melting_Curves/meltCurve_B0QY16_KIAA0930.pdf")</f>
        <v>Melting_Curves/meltCurve_B0QY16_KIAA0930.pdf</v>
      </c>
    </row>
    <row r="72" spans="1:28" x14ac:dyDescent="0.25">
      <c r="A72" t="s">
        <v>76</v>
      </c>
      <c r="B72">
        <v>0.99930955844802105</v>
      </c>
      <c r="C72">
        <v>1.0765088190471499</v>
      </c>
      <c r="D72">
        <v>0.98285033445710801</v>
      </c>
      <c r="E72">
        <v>0.91550181554481702</v>
      </c>
      <c r="F72">
        <v>0.85768873307315396</v>
      </c>
      <c r="G72">
        <v>0.72266468161554898</v>
      </c>
      <c r="H72">
        <v>0.54067042900312501</v>
      </c>
      <c r="I72">
        <v>0.45523881797826998</v>
      </c>
      <c r="J72">
        <v>0.47441648969404698</v>
      </c>
      <c r="K72">
        <v>0.37484601926236499</v>
      </c>
      <c r="L72">
        <v>835.91322907505401</v>
      </c>
      <c r="M72">
        <v>14.486871964288399</v>
      </c>
      <c r="N72">
        <v>62.954061174656097</v>
      </c>
      <c r="O72">
        <v>56.635375860819799</v>
      </c>
      <c r="P72">
        <v>-4.1525512442410303E-2</v>
      </c>
      <c r="Q72">
        <v>0.35071124935703102</v>
      </c>
      <c r="R72">
        <v>0.98238156320412895</v>
      </c>
      <c r="S72" t="s">
        <v>6689</v>
      </c>
      <c r="T72" t="s">
        <v>13232</v>
      </c>
      <c r="U72" t="s">
        <v>13232</v>
      </c>
      <c r="V72" t="s">
        <v>13232</v>
      </c>
      <c r="W72" t="s">
        <v>13303</v>
      </c>
      <c r="X72">
        <v>14</v>
      </c>
      <c r="Y72" t="s">
        <v>19840</v>
      </c>
      <c r="Z72" t="s">
        <v>26203</v>
      </c>
      <c r="AA72">
        <v>0.74312490025737266</v>
      </c>
      <c r="AB72" t="str">
        <f>HYPERLINK("Melting_Curves/meltCurve_B0QYI3_TBC1D22A.pdf", "Melting_Curves/meltCurve_B0QYI3_TBC1D22A.pdf")</f>
        <v>Melting_Curves/meltCurve_B0QYI3_TBC1D22A.pdf</v>
      </c>
    </row>
    <row r="73" spans="1:28" x14ac:dyDescent="0.25">
      <c r="A73" t="s">
        <v>77</v>
      </c>
      <c r="B73">
        <v>0.99930955844802105</v>
      </c>
      <c r="C73">
        <v>0.96905120161244196</v>
      </c>
      <c r="D73">
        <v>0.94355346183488897</v>
      </c>
      <c r="E73">
        <v>0.87280011268359503</v>
      </c>
      <c r="F73">
        <v>0.73366659901916598</v>
      </c>
      <c r="G73">
        <v>0.51874266390122103</v>
      </c>
      <c r="H73">
        <v>0.36963702110352897</v>
      </c>
      <c r="I73">
        <v>0.32621130811084498</v>
      </c>
      <c r="J73">
        <v>0.27876864012358898</v>
      </c>
      <c r="K73">
        <v>0.20197681223467401</v>
      </c>
      <c r="L73">
        <v>738.18621705799501</v>
      </c>
      <c r="M73">
        <v>13.208416149152701</v>
      </c>
      <c r="N73">
        <v>57.763054700552203</v>
      </c>
      <c r="O73">
        <v>54.653103391332003</v>
      </c>
      <c r="P73">
        <v>-4.98920213102481E-2</v>
      </c>
      <c r="Q73">
        <v>0.17437456862242301</v>
      </c>
      <c r="R73">
        <v>0.99707083856494905</v>
      </c>
      <c r="S73" t="s">
        <v>6690</v>
      </c>
      <c r="T73" t="s">
        <v>13232</v>
      </c>
      <c r="U73" t="s">
        <v>13232</v>
      </c>
      <c r="V73" t="s">
        <v>13232</v>
      </c>
      <c r="W73" t="s">
        <v>13304</v>
      </c>
      <c r="X73">
        <v>33</v>
      </c>
      <c r="Y73" t="s">
        <v>19841</v>
      </c>
      <c r="Z73" t="s">
        <v>26204</v>
      </c>
      <c r="AA73">
        <v>0.62790314979330786</v>
      </c>
      <c r="AB73" t="str">
        <f>HYPERLINK("Melting_Curves/meltCurve_B0UX83_BAG6.pdf", "Melting_Curves/meltCurve_B0UX83_BAG6.pdf")</f>
        <v>Melting_Curves/meltCurve_B0UX83_BAG6.pdf</v>
      </c>
    </row>
    <row r="74" spans="1:28" x14ac:dyDescent="0.25">
      <c r="A74" t="s">
        <v>78</v>
      </c>
      <c r="B74">
        <v>0.99930955844802105</v>
      </c>
      <c r="C74">
        <v>0.95645371057378403</v>
      </c>
      <c r="D74">
        <v>0.83948393777838703</v>
      </c>
      <c r="E74">
        <v>0.73122893367019304</v>
      </c>
      <c r="F74">
        <v>0.52120430147478003</v>
      </c>
      <c r="G74">
        <v>0.43191985084796503</v>
      </c>
      <c r="H74">
        <v>0.47959938442725503</v>
      </c>
      <c r="I74">
        <v>0.57537981523544401</v>
      </c>
      <c r="J74">
        <v>0.70993910781498804</v>
      </c>
      <c r="K74">
        <v>0.48381800446439699</v>
      </c>
      <c r="L74">
        <v>1093.5032853484199</v>
      </c>
      <c r="M74">
        <v>22.8436981226881</v>
      </c>
      <c r="O74">
        <v>47.506617382178</v>
      </c>
      <c r="P74">
        <v>-5.6312385765396801E-2</v>
      </c>
      <c r="Q74">
        <v>0.53157155196713102</v>
      </c>
      <c r="R74">
        <v>0.84241634361344797</v>
      </c>
      <c r="S74" t="s">
        <v>6691</v>
      </c>
      <c r="T74" t="s">
        <v>13232</v>
      </c>
      <c r="U74" t="s">
        <v>13232</v>
      </c>
      <c r="V74" t="s">
        <v>13232</v>
      </c>
      <c r="W74" t="s">
        <v>13305</v>
      </c>
      <c r="X74">
        <v>19</v>
      </c>
      <c r="Y74" t="s">
        <v>19842</v>
      </c>
      <c r="Z74" t="s">
        <v>26205</v>
      </c>
      <c r="AA74">
        <v>0.65946232629093415</v>
      </c>
      <c r="AB74" t="str">
        <f>HYPERLINK("Melting_Curves/meltCurve_B0UZY3_EHMT2.pdf", "Melting_Curves/meltCurve_B0UZY3_EHMT2.pdf")</f>
        <v>Melting_Curves/meltCurve_B0UZY3_EHMT2.pdf</v>
      </c>
    </row>
    <row r="75" spans="1:28" x14ac:dyDescent="0.25">
      <c r="A75" t="s">
        <v>79</v>
      </c>
      <c r="B75">
        <v>0.99930955844802105</v>
      </c>
      <c r="C75">
        <v>0.88896239378098296</v>
      </c>
      <c r="D75">
        <v>0.60320722441529095</v>
      </c>
      <c r="E75">
        <v>0.76129003931256001</v>
      </c>
      <c r="F75">
        <v>0.37496158871879098</v>
      </c>
      <c r="G75">
        <v>0.21018386647371901</v>
      </c>
      <c r="H75">
        <v>0.14307592809254899</v>
      </c>
      <c r="I75">
        <v>0.119172324669525</v>
      </c>
      <c r="J75">
        <v>0.10221668318454299</v>
      </c>
      <c r="K75">
        <v>3.7053734043190401E-2</v>
      </c>
      <c r="L75">
        <v>535.42891338392894</v>
      </c>
      <c r="M75">
        <v>10.4376622227126</v>
      </c>
      <c r="N75">
        <v>51.297762021069801</v>
      </c>
      <c r="O75">
        <v>49.5220393536991</v>
      </c>
      <c r="P75">
        <v>-5.2713758927686302E-2</v>
      </c>
      <c r="Q75">
        <v>0</v>
      </c>
      <c r="R75">
        <v>0.93735585274037503</v>
      </c>
      <c r="S75" t="s">
        <v>6692</v>
      </c>
      <c r="T75" t="s">
        <v>13232</v>
      </c>
      <c r="U75" t="s">
        <v>13232</v>
      </c>
      <c r="V75" t="s">
        <v>13232</v>
      </c>
      <c r="W75" t="s">
        <v>13306</v>
      </c>
      <c r="X75">
        <v>1</v>
      </c>
      <c r="Y75" t="s">
        <v>19843</v>
      </c>
      <c r="Z75" t="s">
        <v>26206</v>
      </c>
      <c r="AA75">
        <v>0.4150554185707242</v>
      </c>
      <c r="AB75" t="str">
        <f>HYPERLINK("Melting_Curves/meltCurve_B1AHJ7_TPST2.pdf", "Melting_Curves/meltCurve_B1AHJ7_TPST2.pdf")</f>
        <v>Melting_Curves/meltCurve_B1AHJ7_TPST2.pdf</v>
      </c>
    </row>
    <row r="76" spans="1:28" x14ac:dyDescent="0.25">
      <c r="A76" t="s">
        <v>80</v>
      </c>
      <c r="B76">
        <v>0.99930955844802105</v>
      </c>
      <c r="C76">
        <v>1.0187084457114599</v>
      </c>
      <c r="D76">
        <v>1.0805384519919199</v>
      </c>
      <c r="E76">
        <v>0.80733251523359495</v>
      </c>
      <c r="F76">
        <v>0.35426820182845098</v>
      </c>
      <c r="G76">
        <v>0.174464466704085</v>
      </c>
      <c r="H76">
        <v>0.109008283910183</v>
      </c>
      <c r="I76">
        <v>7.1380654868471297E-2</v>
      </c>
      <c r="J76">
        <v>0.10406108616213</v>
      </c>
      <c r="K76">
        <v>4.8232631493850403E-2</v>
      </c>
      <c r="L76">
        <v>1910.8089973476499</v>
      </c>
      <c r="M76">
        <v>36.897737619119297</v>
      </c>
      <c r="N76">
        <v>52.076174095070797</v>
      </c>
      <c r="O76">
        <v>51.635205618070401</v>
      </c>
      <c r="P76">
        <v>-0.16207866796311299</v>
      </c>
      <c r="Q76">
        <v>9.2742053570159702E-2</v>
      </c>
      <c r="R76">
        <v>0.99214979568970596</v>
      </c>
      <c r="S76" t="s">
        <v>6693</v>
      </c>
      <c r="T76" t="s">
        <v>13232</v>
      </c>
      <c r="U76" t="s">
        <v>13232</v>
      </c>
      <c r="V76" t="s">
        <v>13232</v>
      </c>
      <c r="W76" t="s">
        <v>13307</v>
      </c>
      <c r="X76">
        <v>3</v>
      </c>
      <c r="Y76" t="s">
        <v>19844</v>
      </c>
      <c r="Z76" t="s">
        <v>26207</v>
      </c>
      <c r="AA76">
        <v>0.45301069591664239</v>
      </c>
      <c r="AB76" t="str">
        <f>HYPERLINK("Melting_Curves/meltCurve_B1AHQ6_CENPM.pdf", "Melting_Curves/meltCurve_B1AHQ6_CENPM.pdf")</f>
        <v>Melting_Curves/meltCurve_B1AHQ6_CENPM.pdf</v>
      </c>
    </row>
    <row r="77" spans="1:28" x14ac:dyDescent="0.25">
      <c r="A77" t="s">
        <v>81</v>
      </c>
      <c r="B77">
        <v>0.99930955844802105</v>
      </c>
      <c r="C77">
        <v>0.94928872164472999</v>
      </c>
      <c r="D77">
        <v>0.956206282921648</v>
      </c>
      <c r="E77">
        <v>0.88192114161878499</v>
      </c>
      <c r="F77">
        <v>0.39469049721800198</v>
      </c>
      <c r="G77">
        <v>0.23393154587453299</v>
      </c>
      <c r="H77">
        <v>0.13235057890188301</v>
      </c>
      <c r="I77">
        <v>0.10973283891390501</v>
      </c>
      <c r="J77">
        <v>0.102185123607286</v>
      </c>
      <c r="K77">
        <v>7.2765087923075594E-2</v>
      </c>
      <c r="L77">
        <v>1968.4273785476</v>
      </c>
      <c r="M77">
        <v>37.769411094807602</v>
      </c>
      <c r="N77">
        <v>52.494538522517999</v>
      </c>
      <c r="O77">
        <v>51.971516877091503</v>
      </c>
      <c r="P77">
        <v>-0.160073892225886</v>
      </c>
      <c r="Q77">
        <v>0.11894192494198</v>
      </c>
      <c r="R77">
        <v>0.99000637338657504</v>
      </c>
      <c r="S77" t="s">
        <v>6694</v>
      </c>
      <c r="T77" t="s">
        <v>13232</v>
      </c>
      <c r="U77" t="s">
        <v>13232</v>
      </c>
      <c r="V77" t="s">
        <v>13232</v>
      </c>
      <c r="W77" t="s">
        <v>13308</v>
      </c>
      <c r="X77">
        <v>11</v>
      </c>
      <c r="Y77" t="s">
        <v>19845</v>
      </c>
      <c r="Z77" t="s">
        <v>26208</v>
      </c>
      <c r="AA77">
        <v>0.47836049908957728</v>
      </c>
      <c r="AB77" t="str">
        <f>HYPERLINK("Melting_Curves/meltCurve_B1AJY7_PSMD10.pdf", "Melting_Curves/meltCurve_B1AJY7_PSMD10.pdf")</f>
        <v>Melting_Curves/meltCurve_B1AJY7_PSMD10.pdf</v>
      </c>
    </row>
    <row r="78" spans="1:28" x14ac:dyDescent="0.25">
      <c r="A78" t="s">
        <v>82</v>
      </c>
      <c r="B78">
        <v>0.99930955844802105</v>
      </c>
      <c r="C78">
        <v>1.0656855392223099</v>
      </c>
      <c r="D78">
        <v>0.50099789785725002</v>
      </c>
      <c r="E78">
        <v>0.56308182806495599</v>
      </c>
      <c r="F78">
        <v>0.29429738946421302</v>
      </c>
      <c r="G78">
        <v>0.18705716723282401</v>
      </c>
      <c r="H78">
        <v>0.12959178182536699</v>
      </c>
      <c r="I78">
        <v>0.115635812071372</v>
      </c>
      <c r="J78">
        <v>0.105575270786332</v>
      </c>
      <c r="K78">
        <v>7.9485452469942403E-2</v>
      </c>
      <c r="L78">
        <v>688.83352786379999</v>
      </c>
      <c r="M78">
        <v>14.155194216851701</v>
      </c>
      <c r="N78">
        <v>49.304557579379299</v>
      </c>
      <c r="O78">
        <v>47.722608636702198</v>
      </c>
      <c r="P78">
        <v>-6.7924552168837402E-2</v>
      </c>
      <c r="Q78">
        <v>8.41166330761286E-2</v>
      </c>
      <c r="R78">
        <v>0.92301243435380498</v>
      </c>
      <c r="S78" t="s">
        <v>6695</v>
      </c>
      <c r="T78" t="s">
        <v>13232</v>
      </c>
      <c r="U78" t="s">
        <v>13232</v>
      </c>
      <c r="V78" t="s">
        <v>13232</v>
      </c>
      <c r="W78" t="s">
        <v>13309</v>
      </c>
      <c r="X78">
        <v>11</v>
      </c>
      <c r="Y78" t="s">
        <v>19846</v>
      </c>
      <c r="Z78" t="s">
        <v>26209</v>
      </c>
      <c r="AA78">
        <v>0.37414731679803781</v>
      </c>
      <c r="AB78" t="str">
        <f>HYPERLINK("Melting_Curves/meltCurve_B1AK13_HMGCL.pdf", "Melting_Curves/meltCurve_B1AK13_HMGCL.pdf")</f>
        <v>Melting_Curves/meltCurve_B1AK13_HMGCL.pdf</v>
      </c>
    </row>
    <row r="79" spans="1:28" x14ac:dyDescent="0.25">
      <c r="A79" t="s">
        <v>83</v>
      </c>
      <c r="B79">
        <v>0.99930955844802105</v>
      </c>
      <c r="C79">
        <v>0.86336047431112295</v>
      </c>
      <c r="D79">
        <v>0.69915631294323699</v>
      </c>
      <c r="E79">
        <v>0.86188601885984695</v>
      </c>
      <c r="F79">
        <v>0.47419398873428398</v>
      </c>
      <c r="G79">
        <v>0.15911058657801799</v>
      </c>
      <c r="H79">
        <v>8.3786746506968907E-2</v>
      </c>
      <c r="I79">
        <v>7.0470895078034695E-2</v>
      </c>
      <c r="J79">
        <v>7.6583166330289401E-2</v>
      </c>
      <c r="K79">
        <v>4.5291813636532799E-2</v>
      </c>
      <c r="L79">
        <v>757.29024054741205</v>
      </c>
      <c r="M79">
        <v>14.4010048681613</v>
      </c>
      <c r="N79">
        <v>52.585945909637999</v>
      </c>
      <c r="O79">
        <v>51.603130676121403</v>
      </c>
      <c r="P79">
        <v>-6.9776352501285901E-2</v>
      </c>
      <c r="Q79">
        <v>0</v>
      </c>
      <c r="R79">
        <v>0.93449042844366303</v>
      </c>
      <c r="S79" t="s">
        <v>6696</v>
      </c>
      <c r="T79" t="s">
        <v>13232</v>
      </c>
      <c r="U79" t="s">
        <v>13232</v>
      </c>
      <c r="V79" t="s">
        <v>13232</v>
      </c>
      <c r="W79" t="s">
        <v>13310</v>
      </c>
      <c r="X79">
        <v>1</v>
      </c>
      <c r="Y79" t="s">
        <v>19847</v>
      </c>
      <c r="Z79" t="s">
        <v>26210</v>
      </c>
      <c r="AA79">
        <v>0.44272211608558998</v>
      </c>
      <c r="AB79" t="str">
        <f>HYPERLINK("Melting_Curves/meltCurve_B1AK81_PIGK.pdf", "Melting_Curves/meltCurve_B1AK81_PIGK.pdf")</f>
        <v>Melting_Curves/meltCurve_B1AK81_PIGK.pdf</v>
      </c>
    </row>
    <row r="80" spans="1:28" x14ac:dyDescent="0.25">
      <c r="A80" t="s">
        <v>84</v>
      </c>
      <c r="B80">
        <v>0.99930955844802105</v>
      </c>
      <c r="C80">
        <v>1.05088460160104</v>
      </c>
      <c r="D80">
        <v>1.0523038446417099</v>
      </c>
      <c r="E80">
        <v>1.03256043578506</v>
      </c>
      <c r="F80">
        <v>1.0135892062783101</v>
      </c>
      <c r="G80">
        <v>0.76314587391939903</v>
      </c>
      <c r="H80">
        <v>0.41028517556060201</v>
      </c>
      <c r="I80">
        <v>0.16643788151571501</v>
      </c>
      <c r="J80">
        <v>9.3119455987316593E-2</v>
      </c>
      <c r="K80">
        <v>7.5656560022896405E-2</v>
      </c>
      <c r="L80">
        <v>1618.9821958451801</v>
      </c>
      <c r="M80">
        <v>27.137860726334299</v>
      </c>
      <c r="N80">
        <v>59.8970599827679</v>
      </c>
      <c r="O80">
        <v>59.336574598446603</v>
      </c>
      <c r="P80">
        <v>-0.108464235744176</v>
      </c>
      <c r="Q80">
        <v>5.13867247843518E-2</v>
      </c>
      <c r="R80">
        <v>0.99382751533451796</v>
      </c>
      <c r="S80" t="s">
        <v>6697</v>
      </c>
      <c r="T80" t="s">
        <v>13232</v>
      </c>
      <c r="U80" t="s">
        <v>13232</v>
      </c>
      <c r="V80" t="s">
        <v>13232</v>
      </c>
      <c r="W80" t="s">
        <v>13311</v>
      </c>
      <c r="X80">
        <v>29</v>
      </c>
      <c r="Y80" t="s">
        <v>19848</v>
      </c>
      <c r="Z80" t="s">
        <v>26211</v>
      </c>
      <c r="AA80">
        <v>0.67967003985492624</v>
      </c>
      <c r="AB80" t="str">
        <f>HYPERLINK("Melting_Curves/meltCurve_B1AK87_CAPZB.pdf", "Melting_Curves/meltCurve_B1AK87_CAPZB.pdf")</f>
        <v>Melting_Curves/meltCurve_B1AK87_CAPZB.pdf</v>
      </c>
    </row>
    <row r="81" spans="1:28" x14ac:dyDescent="0.25">
      <c r="A81" t="s">
        <v>85</v>
      </c>
      <c r="B81">
        <v>0.99930955844802105</v>
      </c>
      <c r="C81">
        <v>1.05410132626565</v>
      </c>
      <c r="D81">
        <v>1.08259781021146</v>
      </c>
      <c r="E81">
        <v>1.0514193853692</v>
      </c>
      <c r="F81">
        <v>0.87824841223767902</v>
      </c>
      <c r="G81">
        <v>0.37525511711024701</v>
      </c>
      <c r="H81">
        <v>0.229810089690238</v>
      </c>
      <c r="I81">
        <v>0.231695821978667</v>
      </c>
      <c r="J81">
        <v>0.22349649676434499</v>
      </c>
      <c r="K81">
        <v>0.19330613902411201</v>
      </c>
      <c r="L81">
        <v>2402.8684185380098</v>
      </c>
      <c r="M81">
        <v>43.547643604056397</v>
      </c>
      <c r="N81">
        <v>55.9056703313803</v>
      </c>
      <c r="O81">
        <v>55.0619633294734</v>
      </c>
      <c r="P81">
        <v>-0.15494391573605901</v>
      </c>
      <c r="Q81">
        <v>0.21635249948976401</v>
      </c>
      <c r="R81">
        <v>0.990513950924653</v>
      </c>
      <c r="S81" t="s">
        <v>6698</v>
      </c>
      <c r="T81" t="s">
        <v>13232</v>
      </c>
      <c r="U81" t="s">
        <v>13232</v>
      </c>
      <c r="V81" t="s">
        <v>13232</v>
      </c>
      <c r="W81" t="s">
        <v>13312</v>
      </c>
      <c r="X81">
        <v>3</v>
      </c>
      <c r="Y81" t="s">
        <v>19849</v>
      </c>
      <c r="Z81" t="s">
        <v>26212</v>
      </c>
      <c r="AA81">
        <v>0.61533716300123231</v>
      </c>
      <c r="AB81" t="str">
        <f>HYPERLINK("Melting_Curves/meltCurve_B1AKD8_CROCC.pdf", "Melting_Curves/meltCurve_B1AKD8_CROCC.pdf")</f>
        <v>Melting_Curves/meltCurve_B1AKD8_CROCC.pdf</v>
      </c>
    </row>
    <row r="82" spans="1:28" x14ac:dyDescent="0.25">
      <c r="A82" t="s">
        <v>86</v>
      </c>
      <c r="B82">
        <v>0.99930955844802105</v>
      </c>
      <c r="C82">
        <v>1.4149632828629799</v>
      </c>
      <c r="D82">
        <v>1.2086893791182001</v>
      </c>
      <c r="E82">
        <v>1.1793130359020201</v>
      </c>
      <c r="F82">
        <v>1.4762002877651099</v>
      </c>
      <c r="G82">
        <v>1.34439595116676</v>
      </c>
      <c r="H82">
        <v>1.72638529850902</v>
      </c>
      <c r="I82">
        <v>2.1712719170366701</v>
      </c>
      <c r="J82">
        <v>2.2132509200655601</v>
      </c>
      <c r="K82">
        <v>1.5941633248148801</v>
      </c>
      <c r="L82">
        <v>634.86766628125702</v>
      </c>
      <c r="M82">
        <v>14.287017286905099</v>
      </c>
      <c r="O82">
        <v>43.593297288623297</v>
      </c>
      <c r="P82">
        <v>4.0971792685942102E-2</v>
      </c>
      <c r="Q82">
        <v>1.5</v>
      </c>
      <c r="R82">
        <v>0.200485125740713</v>
      </c>
      <c r="S82" t="s">
        <v>6699</v>
      </c>
      <c r="T82" t="s">
        <v>13232</v>
      </c>
      <c r="U82" t="s">
        <v>13232</v>
      </c>
      <c r="V82" t="s">
        <v>13232</v>
      </c>
      <c r="W82" t="s">
        <v>13313</v>
      </c>
      <c r="X82">
        <v>11</v>
      </c>
      <c r="Y82" t="s">
        <v>19850</v>
      </c>
      <c r="Z82" t="s">
        <v>26213</v>
      </c>
      <c r="AA82">
        <v>1.407118750150312</v>
      </c>
      <c r="AB82" t="str">
        <f>HYPERLINK("Melting_Curves/meltCurve_B1AKL4_EIF4ENIF1.pdf", "Melting_Curves/meltCurve_B1AKL4_EIF4ENIF1.pdf")</f>
        <v>Melting_Curves/meltCurve_B1AKL4_EIF4ENIF1.pdf</v>
      </c>
    </row>
    <row r="83" spans="1:28" x14ac:dyDescent="0.25">
      <c r="A83" t="s">
        <v>87</v>
      </c>
      <c r="B83">
        <v>0.99930955844802105</v>
      </c>
      <c r="C83">
        <v>1.1843049505215799</v>
      </c>
      <c r="D83">
        <v>1.0529165394789699</v>
      </c>
      <c r="E83">
        <v>1.0200097801713599</v>
      </c>
      <c r="F83">
        <v>1.0561797595892199</v>
      </c>
      <c r="G83">
        <v>1.0129968827984701</v>
      </c>
      <c r="H83">
        <v>1.3143721709749401</v>
      </c>
      <c r="I83">
        <v>1.69443283249743</v>
      </c>
      <c r="J83">
        <v>1.7421442237142899</v>
      </c>
      <c r="K83">
        <v>1.2806433357257301</v>
      </c>
      <c r="L83">
        <v>15000</v>
      </c>
      <c r="M83">
        <v>246.42851472912099</v>
      </c>
      <c r="O83">
        <v>60.865567875153701</v>
      </c>
      <c r="P83">
        <v>0.50609177318627196</v>
      </c>
      <c r="Q83">
        <v>1.5</v>
      </c>
      <c r="R83">
        <v>0.73389634278173999</v>
      </c>
      <c r="S83" t="s">
        <v>6700</v>
      </c>
      <c r="T83" t="s">
        <v>13232</v>
      </c>
      <c r="U83" t="s">
        <v>13232</v>
      </c>
      <c r="V83" t="s">
        <v>13232</v>
      </c>
      <c r="W83" t="s">
        <v>13314</v>
      </c>
      <c r="X83">
        <v>6</v>
      </c>
      <c r="Y83" t="s">
        <v>19851</v>
      </c>
      <c r="Z83" t="s">
        <v>26214</v>
      </c>
      <c r="AA83">
        <v>1.152118707252078</v>
      </c>
      <c r="AB83" t="str">
        <f>HYPERLINK("Melting_Curves/meltCurve_B1AKN7_NFIA.pdf", "Melting_Curves/meltCurve_B1AKN7_NFIA.pdf")</f>
        <v>Melting_Curves/meltCurve_B1AKN7_NFIA.pdf</v>
      </c>
    </row>
    <row r="84" spans="1:28" x14ac:dyDescent="0.25">
      <c r="A84" t="s">
        <v>88</v>
      </c>
      <c r="B84">
        <v>0.99930955844802105</v>
      </c>
      <c r="C84">
        <v>1.2926556798036499</v>
      </c>
      <c r="D84">
        <v>1.0786828789466401</v>
      </c>
      <c r="E84">
        <v>1.0293209312495299</v>
      </c>
      <c r="F84">
        <v>0.91558608765483795</v>
      </c>
      <c r="G84">
        <v>0.88977475875712797</v>
      </c>
      <c r="H84">
        <v>0.96937162330923599</v>
      </c>
      <c r="I84">
        <v>1.1447623109428799</v>
      </c>
      <c r="J84">
        <v>1.1231360894017901</v>
      </c>
      <c r="K84">
        <v>0.86811282201342599</v>
      </c>
      <c r="L84">
        <v>15000</v>
      </c>
      <c r="M84">
        <v>212.40124228343299</v>
      </c>
      <c r="Q84">
        <v>0</v>
      </c>
      <c r="R84">
        <v>4.9355185743142502E-2</v>
      </c>
      <c r="S84" t="s">
        <v>6701</v>
      </c>
      <c r="T84" t="s">
        <v>13232</v>
      </c>
      <c r="U84" t="s">
        <v>13232</v>
      </c>
      <c r="V84" t="s">
        <v>13232</v>
      </c>
      <c r="W84" t="s">
        <v>13315</v>
      </c>
      <c r="X84">
        <v>2</v>
      </c>
      <c r="Y84" t="s">
        <v>19852</v>
      </c>
      <c r="Z84" t="s">
        <v>26215</v>
      </c>
      <c r="AA84">
        <v>0.99847476521029133</v>
      </c>
      <c r="AB84" t="str">
        <f>HYPERLINK("Melting_Curves/meltCurve_B1AL16_FAM178A.pdf", "Melting_Curves/meltCurve_B1AL16_FAM178A.pdf")</f>
        <v>Melting_Curves/meltCurve_B1AL16_FAM178A.pdf</v>
      </c>
    </row>
    <row r="85" spans="1:28" x14ac:dyDescent="0.25">
      <c r="A85" t="s">
        <v>89</v>
      </c>
      <c r="B85">
        <v>0.99930955844802105</v>
      </c>
      <c r="C85">
        <v>1.04299624857243</v>
      </c>
      <c r="D85">
        <v>0.98604021610582704</v>
      </c>
      <c r="E85">
        <v>0.93331505738572396</v>
      </c>
      <c r="F85">
        <v>0.78438486643300198</v>
      </c>
      <c r="G85">
        <v>0.55940889226802804</v>
      </c>
      <c r="H85">
        <v>0.44501115178230699</v>
      </c>
      <c r="I85">
        <v>0.48161049261997901</v>
      </c>
      <c r="J85">
        <v>0.51824627033979198</v>
      </c>
      <c r="K85">
        <v>0.347791618743932</v>
      </c>
      <c r="L85">
        <v>1319.36929925193</v>
      </c>
      <c r="M85">
        <v>24.411314142732898</v>
      </c>
      <c r="N85">
        <v>58.982286899544803</v>
      </c>
      <c r="O85">
        <v>53.688667708913101</v>
      </c>
      <c r="P85">
        <v>-6.4208757914338804E-2</v>
      </c>
      <c r="Q85">
        <v>0.43514194582172799</v>
      </c>
      <c r="R85">
        <v>0.97218054843178603</v>
      </c>
      <c r="S85" t="s">
        <v>6702</v>
      </c>
      <c r="T85" t="s">
        <v>13232</v>
      </c>
      <c r="U85" t="s">
        <v>13232</v>
      </c>
      <c r="V85" t="s">
        <v>13232</v>
      </c>
      <c r="W85" t="s">
        <v>13316</v>
      </c>
      <c r="X85">
        <v>5</v>
      </c>
      <c r="Y85" t="s">
        <v>19853</v>
      </c>
      <c r="Z85" t="s">
        <v>26216</v>
      </c>
      <c r="AA85">
        <v>0.70509376115038447</v>
      </c>
      <c r="AB85" t="str">
        <f>HYPERLINK("Melting_Curves/meltCurve_B1AL69_CDC37L1.pdf", "Melting_Curves/meltCurve_B1AL69_CDC37L1.pdf")</f>
        <v>Melting_Curves/meltCurve_B1AL69_CDC37L1.pdf</v>
      </c>
    </row>
    <row r="86" spans="1:28" x14ac:dyDescent="0.25">
      <c r="A86" t="s">
        <v>90</v>
      </c>
      <c r="B86">
        <v>0.99930955844802105</v>
      </c>
      <c r="C86">
        <v>0.79658914673216796</v>
      </c>
      <c r="D86">
        <v>0.83453292733901996</v>
      </c>
      <c r="E86">
        <v>0.59142132706768802</v>
      </c>
      <c r="F86">
        <v>0.49381992800514102</v>
      </c>
      <c r="G86">
        <v>0.388900018193581</v>
      </c>
      <c r="H86">
        <v>0.27594834415290298</v>
      </c>
      <c r="I86">
        <v>0.33204460550071002</v>
      </c>
      <c r="J86">
        <v>0.32558956184420501</v>
      </c>
      <c r="K86">
        <v>0.28708118525063098</v>
      </c>
      <c r="L86">
        <v>581.71787473745803</v>
      </c>
      <c r="M86">
        <v>11.8222337340015</v>
      </c>
      <c r="N86">
        <v>52.598858533735203</v>
      </c>
      <c r="O86">
        <v>47.860866575278997</v>
      </c>
      <c r="P86">
        <v>-4.5288803131310798E-2</v>
      </c>
      <c r="Q86">
        <v>0.26680257462051399</v>
      </c>
      <c r="R86">
        <v>0.96918331774032096</v>
      </c>
      <c r="S86" t="s">
        <v>6703</v>
      </c>
      <c r="T86" t="s">
        <v>13232</v>
      </c>
      <c r="U86" t="s">
        <v>13232</v>
      </c>
      <c r="V86" t="s">
        <v>13232</v>
      </c>
      <c r="W86" t="s">
        <v>13317</v>
      </c>
      <c r="X86">
        <v>1</v>
      </c>
      <c r="Y86" t="s">
        <v>19854</v>
      </c>
      <c r="Z86" t="s">
        <v>26217</v>
      </c>
      <c r="AA86">
        <v>0.51904736315472089</v>
      </c>
      <c r="AB86" t="str">
        <f>HYPERLINK("Melting_Curves/meltCurve_B1AMU5_ZDHHC16.pdf", "Melting_Curves/meltCurve_B1AMU5_ZDHHC16.pdf")</f>
        <v>Melting_Curves/meltCurve_B1AMU5_ZDHHC16.pdf</v>
      </c>
    </row>
    <row r="87" spans="1:28" x14ac:dyDescent="0.25">
      <c r="A87" t="s">
        <v>91</v>
      </c>
      <c r="B87">
        <v>0.99930955844802105</v>
      </c>
      <c r="C87">
        <v>0.82937894604207296</v>
      </c>
      <c r="D87">
        <v>0.70140649287017998</v>
      </c>
      <c r="E87">
        <v>0.649861072511978</v>
      </c>
      <c r="F87">
        <v>0.73334560609218102</v>
      </c>
      <c r="G87">
        <v>0.53301243162408396</v>
      </c>
      <c r="H87">
        <v>0.52621790286714698</v>
      </c>
      <c r="I87">
        <v>0.66185317568590696</v>
      </c>
      <c r="J87">
        <v>0.45488538037084503</v>
      </c>
      <c r="K87">
        <v>0.45501257143919499</v>
      </c>
      <c r="L87">
        <v>403.40065296630098</v>
      </c>
      <c r="M87">
        <v>8.4790158649775496</v>
      </c>
      <c r="O87">
        <v>45.151204873941303</v>
      </c>
      <c r="P87">
        <v>-2.4769587680584199E-2</v>
      </c>
      <c r="Q87">
        <v>0.47288168672713399</v>
      </c>
      <c r="R87">
        <v>0.80627347856596998</v>
      </c>
      <c r="S87" t="s">
        <v>6704</v>
      </c>
      <c r="T87" t="s">
        <v>13232</v>
      </c>
      <c r="U87" t="s">
        <v>13232</v>
      </c>
      <c r="V87" t="s">
        <v>13232</v>
      </c>
      <c r="W87" t="s">
        <v>13318</v>
      </c>
      <c r="X87">
        <v>12</v>
      </c>
      <c r="Y87" t="s">
        <v>19855</v>
      </c>
      <c r="Z87" t="s">
        <v>26218</v>
      </c>
      <c r="AA87">
        <v>0.64284851439726765</v>
      </c>
      <c r="AB87" t="str">
        <f>HYPERLINK("Melting_Curves/meltCurve_B1AN89_EIF4G3.pdf", "Melting_Curves/meltCurve_B1AN89_EIF4G3.pdf")</f>
        <v>Melting_Curves/meltCurve_B1AN89_EIF4G3.pdf</v>
      </c>
    </row>
    <row r="88" spans="1:28" x14ac:dyDescent="0.25">
      <c r="A88" t="s">
        <v>92</v>
      </c>
      <c r="B88">
        <v>0.99930955844802105</v>
      </c>
      <c r="C88">
        <v>1.17146401660094</v>
      </c>
      <c r="D88">
        <v>1.2121136399127601</v>
      </c>
      <c r="E88">
        <v>1.2603667398888101</v>
      </c>
      <c r="F88">
        <v>1.1208877588827499</v>
      </c>
      <c r="G88">
        <v>0.95802443895391098</v>
      </c>
      <c r="H88">
        <v>1.08739655687931</v>
      </c>
      <c r="I88">
        <v>1.5004600973795399</v>
      </c>
      <c r="J88">
        <v>1.14597171735522</v>
      </c>
      <c r="K88">
        <v>0.97368170955125799</v>
      </c>
      <c r="L88">
        <v>10294.0525753067</v>
      </c>
      <c r="M88">
        <v>250</v>
      </c>
      <c r="O88">
        <v>41.173576489124002</v>
      </c>
      <c r="P88">
        <v>0.24125042400673499</v>
      </c>
      <c r="Q88">
        <v>1.1589302797877099</v>
      </c>
      <c r="R88">
        <v>9.7882031065546896E-2</v>
      </c>
      <c r="S88" t="s">
        <v>6705</v>
      </c>
      <c r="T88" t="s">
        <v>13232</v>
      </c>
      <c r="U88" t="s">
        <v>13232</v>
      </c>
      <c r="V88" t="s">
        <v>13232</v>
      </c>
      <c r="W88" t="s">
        <v>13319</v>
      </c>
      <c r="X88">
        <v>1</v>
      </c>
      <c r="Y88" t="s">
        <v>19856</v>
      </c>
      <c r="Z88" t="s">
        <v>26219</v>
      </c>
      <c r="AA88">
        <v>1.152687089639685</v>
      </c>
      <c r="AB88" t="str">
        <f>HYPERLINK("Melting_Curves/meltCurve_B1AN99_PRSS3.pdf", "Melting_Curves/meltCurve_B1AN99_PRSS3.pdf")</f>
        <v>Melting_Curves/meltCurve_B1AN99_PRSS3.pdf</v>
      </c>
    </row>
    <row r="89" spans="1:28" x14ac:dyDescent="0.25">
      <c r="A89" t="s">
        <v>93</v>
      </c>
      <c r="B89">
        <v>0.99930955844802105</v>
      </c>
      <c r="C89">
        <v>1.1096540110139299</v>
      </c>
      <c r="D89">
        <v>0.953543238194975</v>
      </c>
      <c r="E89">
        <v>0.37840766392949099</v>
      </c>
      <c r="F89">
        <v>0.19665775999559401</v>
      </c>
      <c r="G89">
        <v>0.14563687321212701</v>
      </c>
      <c r="H89">
        <v>0.107745331144818</v>
      </c>
      <c r="I89">
        <v>0.109659220416871</v>
      </c>
      <c r="J89">
        <v>0.110317893820728</v>
      </c>
      <c r="K89">
        <v>8.1749348507445196E-2</v>
      </c>
      <c r="L89">
        <v>1998.33955200429</v>
      </c>
      <c r="M89">
        <v>40.762018458783601</v>
      </c>
      <c r="N89">
        <v>49.345688817170803</v>
      </c>
      <c r="O89">
        <v>48.906998187967702</v>
      </c>
      <c r="P89">
        <v>-0.18409131668357301</v>
      </c>
      <c r="Q89">
        <v>0.116497492403936</v>
      </c>
      <c r="R89">
        <v>0.98981009938045805</v>
      </c>
      <c r="S89" t="s">
        <v>6706</v>
      </c>
      <c r="T89" t="s">
        <v>13232</v>
      </c>
      <c r="U89" t="s">
        <v>13232</v>
      </c>
      <c r="V89" t="s">
        <v>13232</v>
      </c>
      <c r="W89" t="s">
        <v>13320</v>
      </c>
      <c r="X89">
        <v>9</v>
      </c>
      <c r="Y89" t="s">
        <v>19857</v>
      </c>
      <c r="Z89" t="s">
        <v>26220</v>
      </c>
      <c r="AA89">
        <v>0.38515604209080528</v>
      </c>
      <c r="AB89" t="str">
        <f>HYPERLINK("Melting_Curves/meltCurve_B1ANH0_GUK1.pdf", "Melting_Curves/meltCurve_B1ANH0_GUK1.pdf")</f>
        <v>Melting_Curves/meltCurve_B1ANH0_GUK1.pdf</v>
      </c>
    </row>
    <row r="90" spans="1:28" x14ac:dyDescent="0.25">
      <c r="A90" t="s">
        <v>94</v>
      </c>
      <c r="B90">
        <v>0.99930955844802105</v>
      </c>
      <c r="C90">
        <v>1.0323715068343899</v>
      </c>
      <c r="D90">
        <v>0.99844093062892902</v>
      </c>
      <c r="E90">
        <v>0.86881561230610704</v>
      </c>
      <c r="F90">
        <v>0.51181864146423195</v>
      </c>
      <c r="G90">
        <v>0.25297476123347701</v>
      </c>
      <c r="H90">
        <v>0.16916928163959599</v>
      </c>
      <c r="I90">
        <v>0.14795002366624399</v>
      </c>
      <c r="J90">
        <v>0.13076508549863899</v>
      </c>
      <c r="K90">
        <v>9.7489934023548996E-2</v>
      </c>
      <c r="L90">
        <v>1485.59257238997</v>
      </c>
      <c r="M90">
        <v>28.1664300866857</v>
      </c>
      <c r="N90">
        <v>53.3274228179624</v>
      </c>
      <c r="O90">
        <v>52.479663925241603</v>
      </c>
      <c r="P90">
        <v>-0.116370808632645</v>
      </c>
      <c r="Q90">
        <v>0.132719441680337</v>
      </c>
      <c r="R90">
        <v>0.99684553942262599</v>
      </c>
      <c r="S90" t="s">
        <v>6707</v>
      </c>
      <c r="T90" t="s">
        <v>13232</v>
      </c>
      <c r="U90" t="s">
        <v>13232</v>
      </c>
      <c r="V90" t="s">
        <v>13232</v>
      </c>
      <c r="W90" t="s">
        <v>13321</v>
      </c>
      <c r="X90">
        <v>5</v>
      </c>
      <c r="Y90" t="s">
        <v>19858</v>
      </c>
      <c r="Z90" t="s">
        <v>26221</v>
      </c>
      <c r="AA90">
        <v>0.50746152665049027</v>
      </c>
      <c r="AB90" t="str">
        <f>HYPERLINK("Melting_Curves/meltCurve_B1APY4_ROR2.pdf", "Melting_Curves/meltCurve_B1APY4_ROR2.pdf")</f>
        <v>Melting_Curves/meltCurve_B1APY4_ROR2.pdf</v>
      </c>
    </row>
    <row r="91" spans="1:28" x14ac:dyDescent="0.25">
      <c r="A91" t="s">
        <v>95</v>
      </c>
      <c r="B91">
        <v>0.99930955844802105</v>
      </c>
      <c r="C91">
        <v>1.1077368491535799</v>
      </c>
      <c r="D91">
        <v>1.0110561974447201</v>
      </c>
      <c r="E91">
        <v>1.0060327499675901</v>
      </c>
      <c r="F91">
        <v>0.88613262060900799</v>
      </c>
      <c r="G91">
        <v>0.75978158557526798</v>
      </c>
      <c r="H91">
        <v>0.71537711661760295</v>
      </c>
      <c r="I91">
        <v>0.79886471851225804</v>
      </c>
      <c r="J91">
        <v>0.79808045657353699</v>
      </c>
      <c r="K91">
        <v>0.53034917324987296</v>
      </c>
      <c r="L91">
        <v>1563.7590752850999</v>
      </c>
      <c r="M91">
        <v>28.845826935596701</v>
      </c>
      <c r="O91">
        <v>53.9523951428625</v>
      </c>
      <c r="P91">
        <v>-3.9416998517660201E-2</v>
      </c>
      <c r="Q91">
        <v>0.705104624780444</v>
      </c>
      <c r="R91">
        <v>0.77952627019453702</v>
      </c>
      <c r="S91" t="s">
        <v>6708</v>
      </c>
      <c r="T91" t="s">
        <v>13232</v>
      </c>
      <c r="U91" t="s">
        <v>13232</v>
      </c>
      <c r="V91" t="s">
        <v>13232</v>
      </c>
      <c r="W91" t="s">
        <v>13322</v>
      </c>
      <c r="X91">
        <v>1</v>
      </c>
      <c r="Y91" t="s">
        <v>19859</v>
      </c>
      <c r="Z91" t="s">
        <v>26222</v>
      </c>
      <c r="AA91">
        <v>0.84688873722767233</v>
      </c>
      <c r="AB91" t="str">
        <f>HYPERLINK("Melting_Curves/meltCurve_B1B1H9_FGF13.pdf", "Melting_Curves/meltCurve_B1B1H9_FGF13.pdf")</f>
        <v>Melting_Curves/meltCurve_B1B1H9_FGF13.pdf</v>
      </c>
    </row>
    <row r="92" spans="1:28" x14ac:dyDescent="0.25">
      <c r="A92" t="s">
        <v>96</v>
      </c>
      <c r="B92">
        <v>0.99930955844802105</v>
      </c>
      <c r="C92">
        <v>1.01358676902116</v>
      </c>
      <c r="D92">
        <v>1.0021083409606499</v>
      </c>
      <c r="E92">
        <v>0.95320859840730998</v>
      </c>
      <c r="F92">
        <v>0.922864271285882</v>
      </c>
      <c r="G92">
        <v>0.77739028552226097</v>
      </c>
      <c r="H92">
        <v>0.60040741508595896</v>
      </c>
      <c r="I92">
        <v>0.55323471281480696</v>
      </c>
      <c r="J92">
        <v>0.42447899356958801</v>
      </c>
      <c r="K92">
        <v>0.19100243884197801</v>
      </c>
      <c r="L92">
        <v>737.06624585342297</v>
      </c>
      <c r="M92">
        <v>11.530218284477099</v>
      </c>
      <c r="N92">
        <v>63.924750048427697</v>
      </c>
      <c r="O92">
        <v>62.092588437119304</v>
      </c>
      <c r="P92">
        <v>-4.6436532593356401E-2</v>
      </c>
      <c r="Q92">
        <v>0</v>
      </c>
      <c r="R92">
        <v>0.98050734845973198</v>
      </c>
      <c r="S92" t="s">
        <v>6709</v>
      </c>
      <c r="T92" t="s">
        <v>13232</v>
      </c>
      <c r="U92" t="s">
        <v>13232</v>
      </c>
      <c r="V92" t="s">
        <v>13232</v>
      </c>
      <c r="W92" t="s">
        <v>13323</v>
      </c>
      <c r="X92">
        <v>28</v>
      </c>
      <c r="Y92" t="s">
        <v>19860</v>
      </c>
      <c r="Z92" t="s">
        <v>26223</v>
      </c>
      <c r="AA92">
        <v>0.76643647837881623</v>
      </c>
      <c r="AB92" t="str">
        <f>HYPERLINK("Melting_Curves/meltCurve_B2R5P6_TXNRD1.pdf", "Melting_Curves/meltCurve_B2R5P6_TXNRD1.pdf")</f>
        <v>Melting_Curves/meltCurve_B2R5P6_TXNRD1.pdf</v>
      </c>
    </row>
    <row r="93" spans="1:28" x14ac:dyDescent="0.25">
      <c r="A93" t="s">
        <v>97</v>
      </c>
      <c r="B93">
        <v>0.99930955844802105</v>
      </c>
      <c r="C93">
        <v>0.78660834860197604</v>
      </c>
      <c r="D93">
        <v>0.86377853651463299</v>
      </c>
      <c r="E93">
        <v>0.88193608907701104</v>
      </c>
      <c r="F93">
        <v>0.89855109797937205</v>
      </c>
      <c r="G93">
        <v>0.62707584477240097</v>
      </c>
      <c r="H93">
        <v>0.32425191491205602</v>
      </c>
      <c r="I93">
        <v>0.31822032941825401</v>
      </c>
      <c r="J93">
        <v>0.27087762545938698</v>
      </c>
      <c r="K93">
        <v>0.21093934288625499</v>
      </c>
      <c r="L93">
        <v>940.756847150407</v>
      </c>
      <c r="M93">
        <v>16.415079610114098</v>
      </c>
      <c r="N93">
        <v>58.848793419814903</v>
      </c>
      <c r="O93">
        <v>56.480244658558803</v>
      </c>
      <c r="P93">
        <v>-5.9987794446981102E-2</v>
      </c>
      <c r="Q93">
        <v>0.17444587871436801</v>
      </c>
      <c r="R93">
        <v>0.91329797035315796</v>
      </c>
      <c r="S93" t="s">
        <v>6710</v>
      </c>
      <c r="T93" t="s">
        <v>13232</v>
      </c>
      <c r="U93" t="s">
        <v>13232</v>
      </c>
      <c r="V93" t="s">
        <v>13232</v>
      </c>
      <c r="W93" t="s">
        <v>13324</v>
      </c>
      <c r="X93">
        <v>20</v>
      </c>
      <c r="Y93" t="s">
        <v>19861</v>
      </c>
      <c r="Z93" t="s">
        <v>26224</v>
      </c>
      <c r="AA93">
        <v>0.66266176522870368</v>
      </c>
      <c r="AB93" t="str">
        <f>HYPERLINK("Melting_Curves/meltCurve_B2RCS5_ACTN2.pdf", "Melting_Curves/meltCurve_B2RCS5_ACTN2.pdf")</f>
        <v>Melting_Curves/meltCurve_B2RCS5_ACTN2.pdf</v>
      </c>
    </row>
    <row r="94" spans="1:28" x14ac:dyDescent="0.25">
      <c r="A94" t="s">
        <v>98</v>
      </c>
      <c r="B94">
        <v>0.99930955844802105</v>
      </c>
      <c r="C94">
        <v>0.73153347735921204</v>
      </c>
      <c r="D94">
        <v>0.69750600345695402</v>
      </c>
      <c r="E94">
        <v>0.59331867292271601</v>
      </c>
      <c r="F94">
        <v>0.56976506355791801</v>
      </c>
      <c r="G94">
        <v>0.37443999503075898</v>
      </c>
      <c r="H94">
        <v>0.28245486938067799</v>
      </c>
      <c r="I94">
        <v>0.35541710809702898</v>
      </c>
      <c r="J94">
        <v>0.38221567703814402</v>
      </c>
      <c r="K94">
        <v>0.191769685430936</v>
      </c>
      <c r="L94">
        <v>388.37435805973303</v>
      </c>
      <c r="M94">
        <v>7.8087266862806599</v>
      </c>
      <c r="N94">
        <v>53.051725797348297</v>
      </c>
      <c r="O94">
        <v>46.790380138004501</v>
      </c>
      <c r="P94">
        <v>-3.3707458317165297E-2</v>
      </c>
      <c r="Q94">
        <v>0.193089837118988</v>
      </c>
      <c r="R94">
        <v>0.91568299526556796</v>
      </c>
      <c r="S94" t="s">
        <v>6711</v>
      </c>
      <c r="T94" t="s">
        <v>13232</v>
      </c>
      <c r="U94" t="s">
        <v>13232</v>
      </c>
      <c r="V94" t="s">
        <v>13232</v>
      </c>
      <c r="W94" t="s">
        <v>13325</v>
      </c>
      <c r="X94">
        <v>1</v>
      </c>
      <c r="Y94" t="s">
        <v>19862</v>
      </c>
      <c r="Z94" t="s">
        <v>26225</v>
      </c>
      <c r="AA94">
        <v>0.5058018347012353</v>
      </c>
      <c r="AB94" t="str">
        <f>HYPERLINK("Melting_Curves/meltCurve_B2RPG6_ZCCHC2.pdf", "Melting_Curves/meltCurve_B2RPG6_ZCCHC2.pdf")</f>
        <v>Melting_Curves/meltCurve_B2RPG6_ZCCHC2.pdf</v>
      </c>
    </row>
    <row r="95" spans="1:28" x14ac:dyDescent="0.25">
      <c r="A95" t="s">
        <v>99</v>
      </c>
      <c r="B95">
        <v>0.99930955844802105</v>
      </c>
      <c r="C95">
        <v>0.90104300672162496</v>
      </c>
      <c r="D95">
        <v>0.76563756258781401</v>
      </c>
      <c r="E95">
        <v>0.48146212450709203</v>
      </c>
      <c r="F95">
        <v>0.28016913345022798</v>
      </c>
      <c r="G95">
        <v>0.18796256865827399</v>
      </c>
      <c r="H95">
        <v>0.113843142842073</v>
      </c>
      <c r="I95">
        <v>9.8087435676750004E-2</v>
      </c>
      <c r="J95">
        <v>7.5273979930760501E-2</v>
      </c>
      <c r="K95">
        <v>5.49050721271419E-2</v>
      </c>
      <c r="L95">
        <v>753.16969456642903</v>
      </c>
      <c r="M95">
        <v>15.292518139798799</v>
      </c>
      <c r="N95">
        <v>49.683309424146202</v>
      </c>
      <c r="O95">
        <v>48.431717251139602</v>
      </c>
      <c r="P95">
        <v>-7.4026468648334495E-2</v>
      </c>
      <c r="Q95">
        <v>6.2314446165119199E-2</v>
      </c>
      <c r="R95">
        <v>0.99829390873051005</v>
      </c>
      <c r="S95" t="s">
        <v>6712</v>
      </c>
      <c r="T95" t="s">
        <v>13232</v>
      </c>
      <c r="U95" t="s">
        <v>13232</v>
      </c>
      <c r="V95" t="s">
        <v>13232</v>
      </c>
      <c r="W95" t="s">
        <v>13326</v>
      </c>
      <c r="X95">
        <v>13</v>
      </c>
      <c r="Y95" t="s">
        <v>19863</v>
      </c>
      <c r="Z95" t="s">
        <v>26226</v>
      </c>
      <c r="AA95">
        <v>0.37358336324073321</v>
      </c>
      <c r="AB95" t="str">
        <f>HYPERLINK("Melting_Curves/meltCurve_B2WTI3_JMJD6.pdf", "Melting_Curves/meltCurve_B2WTI3_JMJD6.pdf")</f>
        <v>Melting_Curves/meltCurve_B2WTI3_JMJD6.pdf</v>
      </c>
    </row>
    <row r="96" spans="1:28" x14ac:dyDescent="0.25">
      <c r="A96" t="s">
        <v>100</v>
      </c>
      <c r="B96">
        <v>0.99930955844802105</v>
      </c>
      <c r="C96">
        <v>0.958104315340775</v>
      </c>
      <c r="D96">
        <v>0.81678123504717504</v>
      </c>
      <c r="E96">
        <v>0.55848148005179599</v>
      </c>
      <c r="F96">
        <v>0.32147766766340602</v>
      </c>
      <c r="G96">
        <v>0.19521875671993699</v>
      </c>
      <c r="H96">
        <v>0.10240359974825899</v>
      </c>
      <c r="I96">
        <v>6.2375373533522002E-2</v>
      </c>
      <c r="J96">
        <v>6.7107772938349297E-2</v>
      </c>
      <c r="K96">
        <v>5.5594472061573502E-2</v>
      </c>
      <c r="L96">
        <v>810.04430033743904</v>
      </c>
      <c r="M96">
        <v>16.094448356294301</v>
      </c>
      <c r="N96">
        <v>50.6397422599793</v>
      </c>
      <c r="O96">
        <v>49.572880418313403</v>
      </c>
      <c r="P96">
        <v>-7.7374556370213302E-2</v>
      </c>
      <c r="Q96">
        <v>4.6780459084156102E-2</v>
      </c>
      <c r="R96">
        <v>0.99875703794263404</v>
      </c>
      <c r="S96" t="s">
        <v>6713</v>
      </c>
      <c r="T96" t="s">
        <v>13232</v>
      </c>
      <c r="U96" t="s">
        <v>13232</v>
      </c>
      <c r="V96" t="s">
        <v>13232</v>
      </c>
      <c r="W96" t="s">
        <v>13327</v>
      </c>
      <c r="X96">
        <v>3</v>
      </c>
      <c r="Y96" t="s">
        <v>19864</v>
      </c>
      <c r="Z96" t="s">
        <v>26227</v>
      </c>
      <c r="AA96">
        <v>0.39489423404815338</v>
      </c>
      <c r="AB96" t="str">
        <f>HYPERLINK("Melting_Curves/meltCurve_B3KMG0_GLE1.pdf", "Melting_Curves/meltCurve_B3KMG0_GLE1.pdf")</f>
        <v>Melting_Curves/meltCurve_B3KMG0_GLE1.pdf</v>
      </c>
    </row>
    <row r="97" spans="1:28" x14ac:dyDescent="0.25">
      <c r="A97" t="s">
        <v>101</v>
      </c>
      <c r="B97">
        <v>0.99930955844802105</v>
      </c>
      <c r="C97">
        <v>1.03348271670535</v>
      </c>
      <c r="D97">
        <v>0.99408387107097296</v>
      </c>
      <c r="E97">
        <v>0.98838790836292401</v>
      </c>
      <c r="F97">
        <v>0.73364772355222796</v>
      </c>
      <c r="G97">
        <v>0.65718695653733905</v>
      </c>
      <c r="H97">
        <v>0.55889331807492404</v>
      </c>
      <c r="I97">
        <v>0.63132715548226503</v>
      </c>
      <c r="J97">
        <v>0.60015183808584704</v>
      </c>
      <c r="K97">
        <v>0.47046641328021699</v>
      </c>
      <c r="L97">
        <v>2422.4746833424601</v>
      </c>
      <c r="M97">
        <v>46.099882800494299</v>
      </c>
      <c r="O97">
        <v>52.449777897282601</v>
      </c>
      <c r="P97">
        <v>-9.2407163037561704E-2</v>
      </c>
      <c r="Q97">
        <v>0.57945827353488499</v>
      </c>
      <c r="R97">
        <v>0.94743516168868602</v>
      </c>
      <c r="S97" t="s">
        <v>6714</v>
      </c>
      <c r="T97" t="s">
        <v>13232</v>
      </c>
      <c r="U97" t="s">
        <v>13232</v>
      </c>
      <c r="V97" t="s">
        <v>13232</v>
      </c>
      <c r="W97" t="s">
        <v>13328</v>
      </c>
      <c r="X97">
        <v>4</v>
      </c>
      <c r="Y97" t="s">
        <v>19865</v>
      </c>
      <c r="Z97" t="s">
        <v>26228</v>
      </c>
      <c r="AA97">
        <v>0.75650988729326996</v>
      </c>
      <c r="AB97" t="str">
        <f>HYPERLINK("Melting_Curves/meltCurve_B3KNQ0_CCDC92.pdf", "Melting_Curves/meltCurve_B3KNQ0_CCDC92.pdf")</f>
        <v>Melting_Curves/meltCurve_B3KNQ0_CCDC92.pdf</v>
      </c>
    </row>
    <row r="98" spans="1:28" x14ac:dyDescent="0.25">
      <c r="A98" t="s">
        <v>102</v>
      </c>
      <c r="B98">
        <v>0.99930955844802105</v>
      </c>
      <c r="C98">
        <v>1.0949900333952001</v>
      </c>
      <c r="D98">
        <v>0.94517575810938204</v>
      </c>
      <c r="E98">
        <v>0.65366061931627295</v>
      </c>
      <c r="F98">
        <v>0.37552268049222998</v>
      </c>
      <c r="G98">
        <v>0.29429319674923399</v>
      </c>
      <c r="H98">
        <v>0.21067679885627899</v>
      </c>
      <c r="I98">
        <v>0.17092311941164401</v>
      </c>
      <c r="J98">
        <v>0.153941684750521</v>
      </c>
      <c r="K98">
        <v>0.115745040943991</v>
      </c>
      <c r="L98">
        <v>1167.1780403744699</v>
      </c>
      <c r="M98">
        <v>22.952604240230301</v>
      </c>
      <c r="N98">
        <v>51.7553550232399</v>
      </c>
      <c r="O98">
        <v>50.470375051709397</v>
      </c>
      <c r="P98">
        <v>-9.49245784884752E-2</v>
      </c>
      <c r="Q98">
        <v>0.16509889284197801</v>
      </c>
      <c r="R98">
        <v>0.98507869237049195</v>
      </c>
      <c r="S98" t="s">
        <v>6715</v>
      </c>
      <c r="T98" t="s">
        <v>13232</v>
      </c>
      <c r="U98" t="s">
        <v>13232</v>
      </c>
      <c r="V98" t="s">
        <v>13232</v>
      </c>
      <c r="W98" t="s">
        <v>13329</v>
      </c>
      <c r="X98">
        <v>5</v>
      </c>
      <c r="Y98" t="s">
        <v>19866</v>
      </c>
      <c r="Z98" t="s">
        <v>26229</v>
      </c>
      <c r="AA98">
        <v>0.47600486500263173</v>
      </c>
      <c r="AB98" t="str">
        <f>HYPERLINK("Melting_Curves/meltCurve_B3KP96_TRIM16.pdf", "Melting_Curves/meltCurve_B3KP96_TRIM16.pdf")</f>
        <v>Melting_Curves/meltCurve_B3KP96_TRIM16.pdf</v>
      </c>
    </row>
    <row r="99" spans="1:28" x14ac:dyDescent="0.25">
      <c r="A99" t="s">
        <v>103</v>
      </c>
      <c r="B99">
        <v>0.99930955844802105</v>
      </c>
      <c r="C99">
        <v>0.88629716098907096</v>
      </c>
      <c r="D99">
        <v>0.85626772888486402</v>
      </c>
      <c r="E99">
        <v>0.66927069550181095</v>
      </c>
      <c r="F99">
        <v>0.49712603169445002</v>
      </c>
      <c r="G99">
        <v>0.178930471503331</v>
      </c>
      <c r="H99">
        <v>7.7146177152768405E-2</v>
      </c>
      <c r="I99">
        <v>5.2594837925282703E-2</v>
      </c>
      <c r="J99">
        <v>4.71265006765215E-2</v>
      </c>
      <c r="K99">
        <v>4.1384263737417402E-2</v>
      </c>
      <c r="L99">
        <v>770.07253052443696</v>
      </c>
      <c r="M99">
        <v>14.750911846490499</v>
      </c>
      <c r="N99">
        <v>52.205102862942198</v>
      </c>
      <c r="O99">
        <v>51.273789851088097</v>
      </c>
      <c r="P99">
        <v>-7.1930047721321097E-2</v>
      </c>
      <c r="Q99">
        <v>0</v>
      </c>
      <c r="R99">
        <v>0.99107251114323502</v>
      </c>
      <c r="S99" t="s">
        <v>6716</v>
      </c>
      <c r="T99" t="s">
        <v>13232</v>
      </c>
      <c r="U99" t="s">
        <v>13232</v>
      </c>
      <c r="V99" t="s">
        <v>13232</v>
      </c>
      <c r="W99" t="s">
        <v>13330</v>
      </c>
      <c r="X99">
        <v>1</v>
      </c>
      <c r="Y99" t="s">
        <v>19867</v>
      </c>
      <c r="Z99" t="s">
        <v>26230</v>
      </c>
      <c r="AA99">
        <v>0.4295920911984964</v>
      </c>
      <c r="AB99" t="str">
        <f>HYPERLINK("Melting_Curves/meltCurve_B3KR00_STAMBPL1.pdf", "Melting_Curves/meltCurve_B3KR00_STAMBPL1.pdf")</f>
        <v>Melting_Curves/meltCurve_B3KR00_STAMBPL1.pdf</v>
      </c>
    </row>
    <row r="100" spans="1:28" x14ac:dyDescent="0.25">
      <c r="A100" t="s">
        <v>104</v>
      </c>
      <c r="B100">
        <v>0.99930955844802105</v>
      </c>
      <c r="C100">
        <v>1.20669197402683</v>
      </c>
      <c r="D100">
        <v>1.2109741617910399</v>
      </c>
      <c r="E100">
        <v>1.1620406321016501</v>
      </c>
      <c r="F100">
        <v>0.75768475200748597</v>
      </c>
      <c r="G100">
        <v>0.19505465507115799</v>
      </c>
      <c r="H100">
        <v>8.5189222886560403E-2</v>
      </c>
      <c r="I100">
        <v>6.2517571010484399E-2</v>
      </c>
      <c r="J100">
        <v>5.1798277479261301E-2</v>
      </c>
      <c r="K100">
        <v>3.8901613619765997E-2</v>
      </c>
      <c r="L100">
        <v>2471.0474242453702</v>
      </c>
      <c r="M100">
        <v>45.377917738521298</v>
      </c>
      <c r="N100">
        <v>54.613424030648801</v>
      </c>
      <c r="O100">
        <v>54.349405086848897</v>
      </c>
      <c r="P100">
        <v>-0.19584888702242001</v>
      </c>
      <c r="Q100">
        <v>6.1723630386911497E-2</v>
      </c>
      <c r="R100">
        <v>0.95266645040437903</v>
      </c>
      <c r="S100" t="s">
        <v>6717</v>
      </c>
      <c r="T100" t="s">
        <v>13232</v>
      </c>
      <c r="U100" t="s">
        <v>13232</v>
      </c>
      <c r="V100" t="s">
        <v>13232</v>
      </c>
      <c r="W100" t="s">
        <v>13331</v>
      </c>
      <c r="X100">
        <v>15</v>
      </c>
      <c r="Y100" t="s">
        <v>19868</v>
      </c>
      <c r="Z100" t="s">
        <v>26231</v>
      </c>
      <c r="AA100">
        <v>0.51654839708425671</v>
      </c>
      <c r="AB100" t="str">
        <f>HYPERLINK("Melting_Curves/meltCurve_B3KSI9_LZTFL1.pdf", "Melting_Curves/meltCurve_B3KSI9_LZTFL1.pdf")</f>
        <v>Melting_Curves/meltCurve_B3KSI9_LZTFL1.pdf</v>
      </c>
    </row>
    <row r="101" spans="1:28" x14ac:dyDescent="0.25">
      <c r="A101" t="s">
        <v>105</v>
      </c>
      <c r="B101">
        <v>0.99930955844802105</v>
      </c>
      <c r="C101">
        <v>1.03565821082625</v>
      </c>
      <c r="D101">
        <v>0.92711656052243596</v>
      </c>
      <c r="E101">
        <v>0.86341052591735901</v>
      </c>
      <c r="F101">
        <v>0.79596130593354497</v>
      </c>
      <c r="G101">
        <v>0.70010321525960395</v>
      </c>
      <c r="H101">
        <v>0.63134513698387695</v>
      </c>
      <c r="I101">
        <v>0.73702344185717905</v>
      </c>
      <c r="J101">
        <v>0.69793471945100305</v>
      </c>
      <c r="K101">
        <v>0.57346473350280003</v>
      </c>
      <c r="L101">
        <v>801.24361743256804</v>
      </c>
      <c r="M101">
        <v>15.533378928264799</v>
      </c>
      <c r="O101">
        <v>50.749841401247302</v>
      </c>
      <c r="P101">
        <v>-2.7273743714374299E-2</v>
      </c>
      <c r="Q101">
        <v>0.64360205349670296</v>
      </c>
      <c r="R101">
        <v>0.91409272030807998</v>
      </c>
      <c r="S101" t="s">
        <v>6718</v>
      </c>
      <c r="T101" t="s">
        <v>13232</v>
      </c>
      <c r="U101" t="s">
        <v>13232</v>
      </c>
      <c r="V101" t="s">
        <v>13232</v>
      </c>
      <c r="W101" t="s">
        <v>13332</v>
      </c>
      <c r="X101">
        <v>4</v>
      </c>
      <c r="Y101" t="s">
        <v>19869</v>
      </c>
      <c r="Z101" t="s">
        <v>26232</v>
      </c>
      <c r="AA101">
        <v>0.78883857425592374</v>
      </c>
      <c r="AB101" t="str">
        <f>HYPERLINK("Melting_Curves/meltCurve_B3KSJ7_DCLRE1C.pdf", "Melting_Curves/meltCurve_B3KSJ7_DCLRE1C.pdf")</f>
        <v>Melting_Curves/meltCurve_B3KSJ7_DCLRE1C.pdf</v>
      </c>
    </row>
    <row r="102" spans="1:28" x14ac:dyDescent="0.25">
      <c r="A102" t="s">
        <v>106</v>
      </c>
      <c r="B102">
        <v>0.99930955844802105</v>
      </c>
      <c r="C102">
        <v>1.1110775579866401</v>
      </c>
      <c r="D102">
        <v>1.03848715988059</v>
      </c>
      <c r="E102">
        <v>1.1020369747045</v>
      </c>
      <c r="F102">
        <v>0.82035350024921405</v>
      </c>
      <c r="G102">
        <v>0.89313611750463995</v>
      </c>
      <c r="H102">
        <v>0.77328039666674497</v>
      </c>
      <c r="I102">
        <v>0.97941568892335296</v>
      </c>
      <c r="J102">
        <v>0.77400007942416804</v>
      </c>
      <c r="K102">
        <v>0.73139449351283103</v>
      </c>
      <c r="L102">
        <v>12929.376853903501</v>
      </c>
      <c r="M102">
        <v>250</v>
      </c>
      <c r="O102">
        <v>51.714197790424002</v>
      </c>
      <c r="P102">
        <v>-0.207225497259444</v>
      </c>
      <c r="Q102">
        <v>0.82853599440275405</v>
      </c>
      <c r="R102">
        <v>0.63449243243984299</v>
      </c>
      <c r="S102" t="s">
        <v>6719</v>
      </c>
      <c r="T102" t="s">
        <v>13232</v>
      </c>
      <c r="U102" t="s">
        <v>13232</v>
      </c>
      <c r="V102" t="s">
        <v>13232</v>
      </c>
      <c r="W102" t="s">
        <v>13333</v>
      </c>
      <c r="X102">
        <v>1</v>
      </c>
      <c r="Y102" t="s">
        <v>19870</v>
      </c>
      <c r="Z102" t="s">
        <v>26233</v>
      </c>
      <c r="AA102">
        <v>0.89552258229896775</v>
      </c>
      <c r="AB102" t="str">
        <f>HYPERLINK("Melting_Curves/meltCurve_B3KU87_SLC30A6.pdf", "Melting_Curves/meltCurve_B3KU87_SLC30A6.pdf")</f>
        <v>Melting_Curves/meltCurve_B3KU87_SLC30A6.pdf</v>
      </c>
    </row>
    <row r="103" spans="1:28" x14ac:dyDescent="0.25">
      <c r="A103" t="s">
        <v>107</v>
      </c>
      <c r="B103">
        <v>0.99930955844802105</v>
      </c>
      <c r="C103">
        <v>1.1044794876461801</v>
      </c>
      <c r="D103">
        <v>1.10139417013151</v>
      </c>
      <c r="E103">
        <v>1.0885357310755399</v>
      </c>
      <c r="F103">
        <v>1.06570796218287</v>
      </c>
      <c r="G103">
        <v>0.96088143303723295</v>
      </c>
      <c r="H103">
        <v>0.92299568137423105</v>
      </c>
      <c r="I103">
        <v>0.86759254960719301</v>
      </c>
      <c r="J103">
        <v>0.87720416207588003</v>
      </c>
      <c r="K103">
        <v>0.60878785722460305</v>
      </c>
      <c r="L103">
        <v>1285.9377804158401</v>
      </c>
      <c r="M103">
        <v>17.7970964896606</v>
      </c>
      <c r="Q103">
        <v>0</v>
      </c>
      <c r="R103">
        <v>0.78789503721582099</v>
      </c>
      <c r="S103" t="s">
        <v>6720</v>
      </c>
      <c r="T103" t="s">
        <v>13232</v>
      </c>
      <c r="U103" t="s">
        <v>13232</v>
      </c>
      <c r="V103" t="s">
        <v>13232</v>
      </c>
      <c r="W103" t="s">
        <v>13334</v>
      </c>
      <c r="X103">
        <v>10</v>
      </c>
      <c r="Y103" t="s">
        <v>19871</v>
      </c>
      <c r="Z103" t="s">
        <v>26234</v>
      </c>
      <c r="AA103">
        <v>0.94914952227480709</v>
      </c>
      <c r="AB103" t="str">
        <f>HYPERLINK("Melting_Curves/meltCurve_B3KUK2_SOD2.pdf", "Melting_Curves/meltCurve_B3KUK2_SOD2.pdf")</f>
        <v>Melting_Curves/meltCurve_B3KUK2_SOD2.pdf</v>
      </c>
    </row>
    <row r="104" spans="1:28" x14ac:dyDescent="0.25">
      <c r="A104" t="s">
        <v>108</v>
      </c>
      <c r="B104">
        <v>0.99930955844802105</v>
      </c>
      <c r="C104">
        <v>1.18433651363626</v>
      </c>
      <c r="D104">
        <v>1.1638245869547099</v>
      </c>
      <c r="E104">
        <v>1.0727434963578999</v>
      </c>
      <c r="F104">
        <v>0.96511682596725701</v>
      </c>
      <c r="G104">
        <v>0.85343942052779398</v>
      </c>
      <c r="H104">
        <v>0.80726250337746697</v>
      </c>
      <c r="I104">
        <v>0.78340675661088599</v>
      </c>
      <c r="J104">
        <v>0.788089606113478</v>
      </c>
      <c r="K104">
        <v>0.631177500461921</v>
      </c>
      <c r="L104">
        <v>966.09647374947804</v>
      </c>
      <c r="M104">
        <v>16.008082227332</v>
      </c>
      <c r="O104">
        <v>59.432316464284597</v>
      </c>
      <c r="P104">
        <v>-2.2725068490373101E-2</v>
      </c>
      <c r="Q104">
        <v>0.662546036140223</v>
      </c>
      <c r="R104">
        <v>0.72710213778956401</v>
      </c>
      <c r="S104" t="s">
        <v>6721</v>
      </c>
      <c r="T104" t="s">
        <v>13232</v>
      </c>
      <c r="U104" t="s">
        <v>13232</v>
      </c>
      <c r="V104" t="s">
        <v>13232</v>
      </c>
      <c r="W104" t="s">
        <v>13335</v>
      </c>
      <c r="X104">
        <v>9</v>
      </c>
      <c r="Y104" t="s">
        <v>19872</v>
      </c>
      <c r="Z104" t="s">
        <v>26235</v>
      </c>
      <c r="AA104">
        <v>0.89358941430425221</v>
      </c>
      <c r="AB104" t="str">
        <f>HYPERLINK("Melting_Curves/meltCurve_B3KVH8_PHF23.pdf", "Melting_Curves/meltCurve_B3KVH8_PHF23.pdf")</f>
        <v>Melting_Curves/meltCurve_B3KVH8_PHF23.pdf</v>
      </c>
    </row>
    <row r="105" spans="1:28" x14ac:dyDescent="0.25">
      <c r="A105" t="s">
        <v>109</v>
      </c>
      <c r="B105">
        <v>0.99930955844802105</v>
      </c>
      <c r="C105">
        <v>0.93753272837577695</v>
      </c>
      <c r="D105">
        <v>0.76263990510744095</v>
      </c>
      <c r="E105">
        <v>0.50006581499994196</v>
      </c>
      <c r="F105">
        <v>0.32724867747652098</v>
      </c>
      <c r="G105">
        <v>0.205023080553948</v>
      </c>
      <c r="H105">
        <v>0.128602849985583</v>
      </c>
      <c r="I105">
        <v>0.112244334255218</v>
      </c>
      <c r="J105">
        <v>0.110551362123931</v>
      </c>
      <c r="K105">
        <v>8.4651714324454896E-2</v>
      </c>
      <c r="L105">
        <v>759.440870650742</v>
      </c>
      <c r="M105">
        <v>15.369408945061201</v>
      </c>
      <c r="N105">
        <v>50.034261170766698</v>
      </c>
      <c r="O105">
        <v>48.598649663386901</v>
      </c>
      <c r="P105">
        <v>-7.2196605421427598E-2</v>
      </c>
      <c r="Q105">
        <v>8.6930411130559895E-2</v>
      </c>
      <c r="R105">
        <v>0.99866671965953602</v>
      </c>
      <c r="S105" t="s">
        <v>6722</v>
      </c>
      <c r="T105" t="s">
        <v>13232</v>
      </c>
      <c r="U105" t="s">
        <v>13232</v>
      </c>
      <c r="V105" t="s">
        <v>13232</v>
      </c>
      <c r="W105" t="s">
        <v>13336</v>
      </c>
      <c r="X105">
        <v>8</v>
      </c>
      <c r="Y105" t="s">
        <v>19873</v>
      </c>
      <c r="Z105" t="s">
        <v>26236</v>
      </c>
      <c r="AA105">
        <v>0.3946344881213471</v>
      </c>
      <c r="AB105" t="str">
        <f>HYPERLINK("Melting_Curves/meltCurve_B3KVZ3_CENPH.pdf", "Melting_Curves/meltCurve_B3KVZ3_CENPH.pdf")</f>
        <v>Melting_Curves/meltCurve_B3KVZ3_CENPH.pdf</v>
      </c>
    </row>
    <row r="106" spans="1:28" x14ac:dyDescent="0.25">
      <c r="A106" t="s">
        <v>110</v>
      </c>
      <c r="B106">
        <v>0.99930955844802105</v>
      </c>
      <c r="C106">
        <v>1.0194716010040901</v>
      </c>
      <c r="D106">
        <v>0.741929764580879</v>
      </c>
      <c r="E106">
        <v>0.33281046038821899</v>
      </c>
      <c r="F106">
        <v>0.16184635029803099</v>
      </c>
      <c r="G106">
        <v>0.150887348677401</v>
      </c>
      <c r="H106">
        <v>6.9070245634275204E-2</v>
      </c>
      <c r="I106">
        <v>4.31629429521595E-2</v>
      </c>
      <c r="J106">
        <v>4.0014819467167097E-2</v>
      </c>
      <c r="K106">
        <v>2.7484558802711698E-2</v>
      </c>
      <c r="L106">
        <v>1127.9203721270701</v>
      </c>
      <c r="M106">
        <v>23.415954974475301</v>
      </c>
      <c r="N106">
        <v>48.424284824948103</v>
      </c>
      <c r="O106">
        <v>47.821697032860698</v>
      </c>
      <c r="P106">
        <v>-0.11530398957982101</v>
      </c>
      <c r="Q106">
        <v>5.8089056510956298E-2</v>
      </c>
      <c r="R106">
        <v>0.99192137389034896</v>
      </c>
      <c r="S106" t="s">
        <v>6723</v>
      </c>
      <c r="T106" t="s">
        <v>13232</v>
      </c>
      <c r="U106" t="s">
        <v>13232</v>
      </c>
      <c r="V106" t="s">
        <v>13232</v>
      </c>
      <c r="W106" t="s">
        <v>13337</v>
      </c>
      <c r="X106">
        <v>5</v>
      </c>
      <c r="Y106" t="s">
        <v>19874</v>
      </c>
      <c r="Z106" t="s">
        <v>26237</v>
      </c>
      <c r="AA106">
        <v>0.32412676675080387</v>
      </c>
      <c r="AB106" t="str">
        <f>HYPERLINK("Melting_Curves/meltCurve_B3KWW1_DDX58.pdf", "Melting_Curves/meltCurve_B3KWW1_DDX58.pdf")</f>
        <v>Melting_Curves/meltCurve_B3KWW1_DDX58.pdf</v>
      </c>
    </row>
    <row r="107" spans="1:28" x14ac:dyDescent="0.25">
      <c r="A107" t="s">
        <v>111</v>
      </c>
      <c r="B107">
        <v>0.99930955844802105</v>
      </c>
      <c r="C107">
        <v>1.12959569306855</v>
      </c>
      <c r="D107">
        <v>0.71348249776953698</v>
      </c>
      <c r="E107">
        <v>0.66329763920430496</v>
      </c>
      <c r="F107">
        <v>0.49154872612836398</v>
      </c>
      <c r="G107">
        <v>0.337295583182954</v>
      </c>
      <c r="H107">
        <v>0.37270946759602702</v>
      </c>
      <c r="I107">
        <v>0.56226358719879299</v>
      </c>
      <c r="J107">
        <v>0.36306620582839599</v>
      </c>
      <c r="K107">
        <v>0.40570758651817501</v>
      </c>
      <c r="L107">
        <v>1024.89969660257</v>
      </c>
      <c r="M107">
        <v>21.310739955477199</v>
      </c>
      <c r="N107">
        <v>52.293965523318398</v>
      </c>
      <c r="O107">
        <v>47.675631647743103</v>
      </c>
      <c r="P107">
        <v>-6.5962304983658696E-2</v>
      </c>
      <c r="Q107">
        <v>0.40974082844911902</v>
      </c>
      <c r="R107">
        <v>0.87534960576073195</v>
      </c>
      <c r="S107" t="s">
        <v>6724</v>
      </c>
      <c r="T107" t="s">
        <v>13232</v>
      </c>
      <c r="U107" t="s">
        <v>13232</v>
      </c>
      <c r="V107" t="s">
        <v>13232</v>
      </c>
      <c r="W107" t="s">
        <v>13338</v>
      </c>
      <c r="X107">
        <v>4</v>
      </c>
      <c r="Y107" t="s">
        <v>19875</v>
      </c>
      <c r="Z107" t="s">
        <v>26238</v>
      </c>
      <c r="AA107">
        <v>0.57629496760324328</v>
      </c>
      <c r="AB107" t="str">
        <f>HYPERLINK("Melting_Curves/meltCurve_B3KY83_RXRA.pdf", "Melting_Curves/meltCurve_B3KY83_RXRA.pdf")</f>
        <v>Melting_Curves/meltCurve_B3KY83_RXRA.pdf</v>
      </c>
    </row>
    <row r="108" spans="1:28" x14ac:dyDescent="0.25">
      <c r="A108" t="s">
        <v>112</v>
      </c>
      <c r="B108">
        <v>0.99930955844802105</v>
      </c>
      <c r="C108">
        <v>1.14525366102077</v>
      </c>
      <c r="D108">
        <v>1.1726883501021701</v>
      </c>
      <c r="E108">
        <v>1.01142746113139</v>
      </c>
      <c r="F108">
        <v>0.67010226781109905</v>
      </c>
      <c r="G108">
        <v>0.387368892701278</v>
      </c>
      <c r="H108">
        <v>0.25443655037686203</v>
      </c>
      <c r="I108">
        <v>0.21807775990304301</v>
      </c>
      <c r="J108">
        <v>0.19838552828296199</v>
      </c>
      <c r="K108">
        <v>0.14664182582017199</v>
      </c>
      <c r="L108">
        <v>1567.4192181829101</v>
      </c>
      <c r="M108">
        <v>28.905289026847999</v>
      </c>
      <c r="N108">
        <v>55.177866255479401</v>
      </c>
      <c r="O108">
        <v>53.968483543762602</v>
      </c>
      <c r="P108">
        <v>-0.10761313738296301</v>
      </c>
      <c r="Q108">
        <v>0.19631679023589099</v>
      </c>
      <c r="R108">
        <v>0.95942769035263797</v>
      </c>
      <c r="S108" t="s">
        <v>6725</v>
      </c>
      <c r="T108" t="s">
        <v>13232</v>
      </c>
      <c r="U108" t="s">
        <v>13232</v>
      </c>
      <c r="V108" t="s">
        <v>13232</v>
      </c>
      <c r="W108" t="s">
        <v>13339</v>
      </c>
      <c r="X108">
        <v>11</v>
      </c>
      <c r="Y108" t="s">
        <v>19876</v>
      </c>
      <c r="Z108" t="s">
        <v>26239</v>
      </c>
      <c r="AA108">
        <v>0.58310655029655523</v>
      </c>
      <c r="AB108" t="str">
        <f>HYPERLINK("Melting_Curves/meltCurve_B4DDF4_CNN2.pdf", "Melting_Curves/meltCurve_B4DDF4_CNN2.pdf")</f>
        <v>Melting_Curves/meltCurve_B4DDF4_CNN2.pdf</v>
      </c>
    </row>
    <row r="109" spans="1:28" x14ac:dyDescent="0.25">
      <c r="A109" t="s">
        <v>113</v>
      </c>
      <c r="B109">
        <v>0.99930955844802105</v>
      </c>
      <c r="C109">
        <v>0.79749332618086799</v>
      </c>
      <c r="D109">
        <v>0.46702964413586401</v>
      </c>
      <c r="E109">
        <v>0.37678907174100701</v>
      </c>
      <c r="F109">
        <v>0.21856307720923901</v>
      </c>
      <c r="G109">
        <v>0.15247528267837801</v>
      </c>
      <c r="H109">
        <v>8.7842712481378302E-2</v>
      </c>
      <c r="I109">
        <v>8.9218085770913294E-2</v>
      </c>
      <c r="J109">
        <v>7.2739527152533595E-2</v>
      </c>
      <c r="K109">
        <v>5.53337015236849E-2</v>
      </c>
      <c r="L109">
        <v>667.357664664205</v>
      </c>
      <c r="M109">
        <v>14.381859584312499</v>
      </c>
      <c r="N109">
        <v>46.904235249068797</v>
      </c>
      <c r="O109">
        <v>45.533254785108703</v>
      </c>
      <c r="P109">
        <v>-7.3344867539361105E-2</v>
      </c>
      <c r="Q109">
        <v>7.1265368517492295E-2</v>
      </c>
      <c r="R109">
        <v>0.97761659878779805</v>
      </c>
      <c r="S109" t="s">
        <v>6726</v>
      </c>
      <c r="T109" t="s">
        <v>13232</v>
      </c>
      <c r="U109" t="s">
        <v>13232</v>
      </c>
      <c r="V109" t="s">
        <v>13232</v>
      </c>
      <c r="W109" t="s">
        <v>13340</v>
      </c>
      <c r="X109">
        <v>2</v>
      </c>
      <c r="Y109" t="s">
        <v>19877</v>
      </c>
      <c r="Z109" t="s">
        <v>26240</v>
      </c>
      <c r="AA109">
        <v>0.29815323880021899</v>
      </c>
      <c r="AB109" t="str">
        <f>HYPERLINK("Melting_Curves/meltCurve_B4DE93_NDUFV1.pdf", "Melting_Curves/meltCurve_B4DE93_NDUFV1.pdf")</f>
        <v>Melting_Curves/meltCurve_B4DE93_NDUFV1.pdf</v>
      </c>
    </row>
    <row r="110" spans="1:28" x14ac:dyDescent="0.25">
      <c r="A110" t="s">
        <v>114</v>
      </c>
      <c r="B110">
        <v>0.99930955844802105</v>
      </c>
      <c r="C110">
        <v>0.78577532557035301</v>
      </c>
      <c r="D110">
        <v>0.64504428452487494</v>
      </c>
      <c r="E110">
        <v>0.52051175439502395</v>
      </c>
      <c r="F110">
        <v>0.28474795753121501</v>
      </c>
      <c r="G110">
        <v>0.18430323708510801</v>
      </c>
      <c r="H110">
        <v>0.12903219856603201</v>
      </c>
      <c r="I110">
        <v>0.101502993980895</v>
      </c>
      <c r="J110">
        <v>8.8013706801938305E-2</v>
      </c>
      <c r="K110">
        <v>7.0046916485144398E-2</v>
      </c>
      <c r="L110">
        <v>554.84490130467498</v>
      </c>
      <c r="M110">
        <v>11.379036152068799</v>
      </c>
      <c r="N110">
        <v>49.124556408385999</v>
      </c>
      <c r="O110">
        <v>47.3271886973438</v>
      </c>
      <c r="P110">
        <v>-5.7693461673627697E-2</v>
      </c>
      <c r="Q110">
        <v>4.0459612309981498E-2</v>
      </c>
      <c r="R110">
        <v>0.985862384080615</v>
      </c>
      <c r="S110" t="s">
        <v>6727</v>
      </c>
      <c r="T110" t="s">
        <v>13232</v>
      </c>
      <c r="U110" t="s">
        <v>13232</v>
      </c>
      <c r="V110" t="s">
        <v>13232</v>
      </c>
      <c r="W110" t="s">
        <v>13341</v>
      </c>
      <c r="X110">
        <v>12</v>
      </c>
      <c r="Y110" t="s">
        <v>19878</v>
      </c>
      <c r="Z110" t="s">
        <v>26241</v>
      </c>
      <c r="AA110">
        <v>0.35974446356993151</v>
      </c>
      <c r="AB110" t="str">
        <f>HYPERLINK("Melting_Curves/meltCurve_B4DFA2_NSF.pdf", "Melting_Curves/meltCurve_B4DFA2_NSF.pdf")</f>
        <v>Melting_Curves/meltCurve_B4DFA2_NSF.pdf</v>
      </c>
    </row>
    <row r="111" spans="1:28" x14ac:dyDescent="0.25">
      <c r="A111" t="s">
        <v>115</v>
      </c>
      <c r="B111">
        <v>0.99930955844802105</v>
      </c>
      <c r="C111">
        <v>1.0187329892289501</v>
      </c>
      <c r="D111">
        <v>1.0094986993280499</v>
      </c>
      <c r="E111">
        <v>0.92351063466017902</v>
      </c>
      <c r="F111">
        <v>0.78008408260616202</v>
      </c>
      <c r="G111">
        <v>0.72338919377470601</v>
      </c>
      <c r="H111">
        <v>0.76732929105637704</v>
      </c>
      <c r="I111">
        <v>0.83485982493186395</v>
      </c>
      <c r="J111">
        <v>0.83289489381191795</v>
      </c>
      <c r="K111">
        <v>0.63617387915144097</v>
      </c>
      <c r="L111">
        <v>2899.4862326720599</v>
      </c>
      <c r="M111">
        <v>57.212328242008503</v>
      </c>
      <c r="O111">
        <v>50.617590264872099</v>
      </c>
      <c r="P111">
        <v>-6.8015216308702206E-2</v>
      </c>
      <c r="Q111">
        <v>0.75929910633239905</v>
      </c>
      <c r="R111">
        <v>0.81912540110676102</v>
      </c>
      <c r="S111" t="s">
        <v>6728</v>
      </c>
      <c r="T111" t="s">
        <v>13232</v>
      </c>
      <c r="U111" t="s">
        <v>13232</v>
      </c>
      <c r="V111" t="s">
        <v>13232</v>
      </c>
      <c r="W111" t="s">
        <v>13342</v>
      </c>
      <c r="X111">
        <v>12</v>
      </c>
      <c r="Y111" t="s">
        <v>19879</v>
      </c>
      <c r="Z111" t="s">
        <v>26242</v>
      </c>
      <c r="AA111">
        <v>0.84539420194620662</v>
      </c>
      <c r="AB111" t="str">
        <f>HYPERLINK("Melting_Curves/meltCurve_B4DFG0_DEK.pdf", "Melting_Curves/meltCurve_B4DFG0_DEK.pdf")</f>
        <v>Melting_Curves/meltCurve_B4DFG0_DEK.pdf</v>
      </c>
    </row>
    <row r="112" spans="1:28" x14ac:dyDescent="0.25">
      <c r="A112" t="s">
        <v>116</v>
      </c>
      <c r="B112">
        <v>0.99930955844802105</v>
      </c>
      <c r="C112">
        <v>0.72933211175667301</v>
      </c>
      <c r="D112">
        <v>0.52891920739638998</v>
      </c>
      <c r="E112">
        <v>0.62805314503707099</v>
      </c>
      <c r="F112">
        <v>0.51408366291996599</v>
      </c>
      <c r="G112">
        <v>0.44090001500088799</v>
      </c>
      <c r="H112">
        <v>0.42093441854453001</v>
      </c>
      <c r="I112">
        <v>0.47167465980809198</v>
      </c>
      <c r="J112">
        <v>0.47942124799735503</v>
      </c>
      <c r="K112">
        <v>0.37293904803351902</v>
      </c>
      <c r="L112">
        <v>1378.7503371185201</v>
      </c>
      <c r="M112">
        <v>32.051256491458503</v>
      </c>
      <c r="N112">
        <v>47.3265367380938</v>
      </c>
      <c r="O112">
        <v>42.850630947361203</v>
      </c>
      <c r="P112">
        <v>-9.8547506710714702E-2</v>
      </c>
      <c r="Q112">
        <v>0.47299399558743099</v>
      </c>
      <c r="R112">
        <v>0.87251279290606998</v>
      </c>
      <c r="S112" t="s">
        <v>6729</v>
      </c>
      <c r="T112" t="s">
        <v>13232</v>
      </c>
      <c r="U112" t="s">
        <v>13232</v>
      </c>
      <c r="V112" t="s">
        <v>13232</v>
      </c>
      <c r="W112" t="s">
        <v>13343</v>
      </c>
      <c r="X112">
        <v>1</v>
      </c>
      <c r="Y112" t="s">
        <v>19880</v>
      </c>
      <c r="Z112" t="s">
        <v>26243</v>
      </c>
      <c r="AA112">
        <v>0.53009311888677813</v>
      </c>
      <c r="AB112" t="str">
        <f>HYPERLINK("Melting_Curves/meltCurve_B4DFG6_MRPS18B.pdf", "Melting_Curves/meltCurve_B4DFG6_MRPS18B.pdf")</f>
        <v>Melting_Curves/meltCurve_B4DFG6_MRPS18B.pdf</v>
      </c>
    </row>
    <row r="113" spans="1:28" x14ac:dyDescent="0.25">
      <c r="A113" t="s">
        <v>117</v>
      </c>
      <c r="B113">
        <v>0.99930955844802105</v>
      </c>
      <c r="C113">
        <v>0.92306888577507895</v>
      </c>
      <c r="D113">
        <v>0.72345598716505999</v>
      </c>
      <c r="E113">
        <v>0.33475588722327199</v>
      </c>
      <c r="F113">
        <v>0.196541503145506</v>
      </c>
      <c r="G113">
        <v>0.118137271756161</v>
      </c>
      <c r="H113">
        <v>7.0900794128484504E-2</v>
      </c>
      <c r="I113">
        <v>6.3410359864741903E-2</v>
      </c>
      <c r="J113">
        <v>5.26660044323694E-2</v>
      </c>
      <c r="K113">
        <v>3.8309849967227201E-2</v>
      </c>
      <c r="L113">
        <v>948.62448524200397</v>
      </c>
      <c r="M113">
        <v>19.7545342005217</v>
      </c>
      <c r="N113">
        <v>48.308288880665401</v>
      </c>
      <c r="O113">
        <v>47.536627674586903</v>
      </c>
      <c r="P113">
        <v>-9.8128821152422399E-2</v>
      </c>
      <c r="Q113">
        <v>5.5497082382064002E-2</v>
      </c>
      <c r="R113">
        <v>0.99870357349303696</v>
      </c>
      <c r="S113" t="s">
        <v>6730</v>
      </c>
      <c r="T113" t="s">
        <v>13232</v>
      </c>
      <c r="U113" t="s">
        <v>13232</v>
      </c>
      <c r="V113" t="s">
        <v>13232</v>
      </c>
      <c r="W113" t="s">
        <v>13344</v>
      </c>
      <c r="X113">
        <v>16</v>
      </c>
      <c r="Y113" t="s">
        <v>19881</v>
      </c>
      <c r="Z113" t="s">
        <v>26244</v>
      </c>
      <c r="AA113">
        <v>0.32178536896232779</v>
      </c>
      <c r="AB113" t="str">
        <f>HYPERLINK("Melting_Curves/meltCurve_B4DFL2_IDH2.pdf", "Melting_Curves/meltCurve_B4DFL2_IDH2.pdf")</f>
        <v>Melting_Curves/meltCurve_B4DFL2_IDH2.pdf</v>
      </c>
    </row>
    <row r="114" spans="1:28" x14ac:dyDescent="0.25">
      <c r="A114" t="s">
        <v>118</v>
      </c>
      <c r="B114">
        <v>0.99930955844802105</v>
      </c>
      <c r="C114">
        <v>0.962589494494001</v>
      </c>
      <c r="D114">
        <v>0.78751723794070205</v>
      </c>
      <c r="E114">
        <v>0.74204187643813802</v>
      </c>
      <c r="F114">
        <v>0.58762218572899105</v>
      </c>
      <c r="G114">
        <v>0.33133147234428301</v>
      </c>
      <c r="H114">
        <v>0.18670232817761601</v>
      </c>
      <c r="I114">
        <v>0.189949049429677</v>
      </c>
      <c r="J114">
        <v>0.213481478287739</v>
      </c>
      <c r="K114">
        <v>0.16822366293035901</v>
      </c>
      <c r="L114">
        <v>669.70956640385702</v>
      </c>
      <c r="M114">
        <v>12.7230422922316</v>
      </c>
      <c r="N114">
        <v>53.761941607028398</v>
      </c>
      <c r="O114">
        <v>51.387993370260901</v>
      </c>
      <c r="P114">
        <v>-5.46768140786777E-2</v>
      </c>
      <c r="Q114">
        <v>0.11681750120224101</v>
      </c>
      <c r="R114">
        <v>0.98117148711742697</v>
      </c>
      <c r="S114" t="s">
        <v>6731</v>
      </c>
      <c r="T114" t="s">
        <v>13232</v>
      </c>
      <c r="U114" t="s">
        <v>13232</v>
      </c>
      <c r="V114" t="s">
        <v>13232</v>
      </c>
      <c r="W114" t="s">
        <v>13345</v>
      </c>
      <c r="X114">
        <v>7</v>
      </c>
      <c r="Y114" t="s">
        <v>19882</v>
      </c>
      <c r="Z114" t="s">
        <v>26245</v>
      </c>
      <c r="AA114">
        <v>0.5129321341960128</v>
      </c>
      <c r="AB114" t="str">
        <f>HYPERLINK("Melting_Curves/meltCurve_B4DGU4_CTNNB1.pdf", "Melting_Curves/meltCurve_B4DGU4_CTNNB1.pdf")</f>
        <v>Melting_Curves/meltCurve_B4DGU4_CTNNB1.pdf</v>
      </c>
    </row>
    <row r="115" spans="1:28" x14ac:dyDescent="0.25">
      <c r="A115" t="s">
        <v>119</v>
      </c>
      <c r="B115">
        <v>0.99930955844802105</v>
      </c>
      <c r="C115">
        <v>0.828570521145362</v>
      </c>
      <c r="D115">
        <v>0.70707711690024</v>
      </c>
      <c r="E115">
        <v>0.57497211208271504</v>
      </c>
      <c r="F115">
        <v>0.37925942199554402</v>
      </c>
      <c r="G115">
        <v>0.21763198015412699</v>
      </c>
      <c r="H115">
        <v>0.106739917118232</v>
      </c>
      <c r="I115">
        <v>7.5804546374673099E-2</v>
      </c>
      <c r="J115">
        <v>6.2922716804308707E-2</v>
      </c>
      <c r="K115">
        <v>4.4041644407006801E-2</v>
      </c>
      <c r="L115">
        <v>552.997019960849</v>
      </c>
      <c r="M115">
        <v>10.9567517247051</v>
      </c>
      <c r="N115">
        <v>50.470890796817898</v>
      </c>
      <c r="O115">
        <v>48.877028077709198</v>
      </c>
      <c r="P115">
        <v>-5.6061637716276397E-2</v>
      </c>
      <c r="Q115">
        <v>0</v>
      </c>
      <c r="R115">
        <v>0.99164809888546102</v>
      </c>
      <c r="S115" t="s">
        <v>6732</v>
      </c>
      <c r="T115" t="s">
        <v>13232</v>
      </c>
      <c r="U115" t="s">
        <v>13232</v>
      </c>
      <c r="V115" t="s">
        <v>13232</v>
      </c>
      <c r="W115" t="s">
        <v>13346</v>
      </c>
      <c r="X115">
        <v>14</v>
      </c>
      <c r="Y115" t="s">
        <v>19883</v>
      </c>
      <c r="Z115" t="s">
        <v>26246</v>
      </c>
      <c r="AA115">
        <v>0.38745685560504001</v>
      </c>
      <c r="AB115" t="str">
        <f>HYPERLINK("Melting_Curves/meltCurve_B4DGX2_PIP4K2A.pdf", "Melting_Curves/meltCurve_B4DGX2_PIP4K2A.pdf")</f>
        <v>Melting_Curves/meltCurve_B4DGX2_PIP4K2A.pdf</v>
      </c>
    </row>
    <row r="116" spans="1:28" x14ac:dyDescent="0.25">
      <c r="A116" t="s">
        <v>120</v>
      </c>
      <c r="B116">
        <v>0.99930955844802105</v>
      </c>
      <c r="C116">
        <v>0.89510266219520196</v>
      </c>
      <c r="D116">
        <v>0.77699067406811895</v>
      </c>
      <c r="E116">
        <v>0.50320517371397899</v>
      </c>
      <c r="F116">
        <v>0.25744295823657598</v>
      </c>
      <c r="G116">
        <v>0.18884657857300599</v>
      </c>
      <c r="H116">
        <v>0.13141974186422301</v>
      </c>
      <c r="I116">
        <v>0.124663151269182</v>
      </c>
      <c r="J116">
        <v>0.111005182744441</v>
      </c>
      <c r="K116">
        <v>8.7402378661074004E-2</v>
      </c>
      <c r="L116">
        <v>818.16280292200099</v>
      </c>
      <c r="M116">
        <v>16.686848932769099</v>
      </c>
      <c r="N116">
        <v>49.663262977167001</v>
      </c>
      <c r="O116">
        <v>48.342473806177303</v>
      </c>
      <c r="P116">
        <v>-7.8035015035645194E-2</v>
      </c>
      <c r="Q116">
        <v>9.5777748695166101E-2</v>
      </c>
      <c r="R116">
        <v>0.99643236356350595</v>
      </c>
      <c r="S116" t="s">
        <v>6733</v>
      </c>
      <c r="T116" t="s">
        <v>13232</v>
      </c>
      <c r="U116" t="s">
        <v>13232</v>
      </c>
      <c r="V116" t="s">
        <v>13232</v>
      </c>
      <c r="W116" t="s">
        <v>13347</v>
      </c>
      <c r="X116">
        <v>30</v>
      </c>
      <c r="Y116" t="s">
        <v>19884</v>
      </c>
      <c r="Z116" t="s">
        <v>26247</v>
      </c>
      <c r="AA116">
        <v>0.38613516526888603</v>
      </c>
      <c r="AB116" t="str">
        <f>HYPERLINK("Melting_Curves/meltCurve_B4DH53_MAP1S.pdf", "Melting_Curves/meltCurve_B4DH53_MAP1S.pdf")</f>
        <v>Melting_Curves/meltCurve_B4DH53_MAP1S.pdf</v>
      </c>
    </row>
    <row r="117" spans="1:28" x14ac:dyDescent="0.25">
      <c r="A117" t="s">
        <v>121</v>
      </c>
      <c r="B117">
        <v>0.99930955844802105</v>
      </c>
      <c r="C117">
        <v>0.96024103163470298</v>
      </c>
      <c r="D117">
        <v>0.95048525203093004</v>
      </c>
      <c r="E117">
        <v>0.82917877806928997</v>
      </c>
      <c r="F117">
        <v>0.56184703830587501</v>
      </c>
      <c r="G117">
        <v>0.23944586029035</v>
      </c>
      <c r="H117">
        <v>0.12849713635108401</v>
      </c>
      <c r="I117">
        <v>8.7551290596764406E-2</v>
      </c>
      <c r="J117">
        <v>8.91365314841496E-2</v>
      </c>
      <c r="K117">
        <v>7.1250822141778899E-2</v>
      </c>
      <c r="L117">
        <v>1171.8054981222699</v>
      </c>
      <c r="M117">
        <v>22.003283008994199</v>
      </c>
      <c r="N117">
        <v>53.624110960708101</v>
      </c>
      <c r="O117">
        <v>52.821924888365402</v>
      </c>
      <c r="P117">
        <v>-9.6840379464791806E-2</v>
      </c>
      <c r="Q117">
        <v>7.0106220522884205E-2</v>
      </c>
      <c r="R117">
        <v>0.99868367561480897</v>
      </c>
      <c r="S117" t="s">
        <v>6734</v>
      </c>
      <c r="T117" t="s">
        <v>13232</v>
      </c>
      <c r="U117" t="s">
        <v>13232</v>
      </c>
      <c r="V117" t="s">
        <v>13232</v>
      </c>
      <c r="W117" t="s">
        <v>13348</v>
      </c>
      <c r="X117">
        <v>5</v>
      </c>
      <c r="Y117" t="s">
        <v>19885</v>
      </c>
      <c r="Z117" t="s">
        <v>26248</v>
      </c>
      <c r="AA117">
        <v>0.49181234311671368</v>
      </c>
      <c r="AB117" t="str">
        <f>HYPERLINK("Melting_Curves/meltCurve_B4DIP4_EIF2AK1.pdf", "Melting_Curves/meltCurve_B4DIP4_EIF2AK1.pdf")</f>
        <v>Melting_Curves/meltCurve_B4DIP4_EIF2AK1.pdf</v>
      </c>
    </row>
    <row r="118" spans="1:28" x14ac:dyDescent="0.25">
      <c r="A118" t="s">
        <v>122</v>
      </c>
      <c r="B118">
        <v>0.99930955844802105</v>
      </c>
      <c r="C118">
        <v>0.87403042306823298</v>
      </c>
      <c r="D118">
        <v>0.91498380010368197</v>
      </c>
      <c r="E118">
        <v>0.87285816006224004</v>
      </c>
      <c r="F118">
        <v>0.92372584397989899</v>
      </c>
      <c r="G118">
        <v>0.750408412679475</v>
      </c>
      <c r="H118">
        <v>0.68184919603887795</v>
      </c>
      <c r="I118">
        <v>0.63973572558599001</v>
      </c>
      <c r="J118">
        <v>0.71069576618168095</v>
      </c>
      <c r="K118">
        <v>0.47761812238900098</v>
      </c>
      <c r="L118">
        <v>315.75895887541702</v>
      </c>
      <c r="M118">
        <v>4.2939359898041198</v>
      </c>
      <c r="O118">
        <v>61.681771052571698</v>
      </c>
      <c r="P118">
        <v>-1.7581303552374701E-2</v>
      </c>
      <c r="Q118">
        <v>0</v>
      </c>
      <c r="R118">
        <v>0.85504470789711995</v>
      </c>
      <c r="S118" t="s">
        <v>6735</v>
      </c>
      <c r="T118" t="s">
        <v>13232</v>
      </c>
      <c r="U118" t="s">
        <v>13232</v>
      </c>
      <c r="V118" t="s">
        <v>13232</v>
      </c>
      <c r="W118" t="s">
        <v>13349</v>
      </c>
      <c r="X118">
        <v>17</v>
      </c>
      <c r="Y118" t="s">
        <v>19886</v>
      </c>
      <c r="Z118" t="s">
        <v>26249</v>
      </c>
      <c r="AA118">
        <v>0.79356257686164555</v>
      </c>
      <c r="AB118" t="str">
        <f>HYPERLINK("Melting_Curves/meltCurve_B4DJ25_NCOR1.pdf", "Melting_Curves/meltCurve_B4DJ25_NCOR1.pdf")</f>
        <v>Melting_Curves/meltCurve_B4DJ25_NCOR1.pdf</v>
      </c>
    </row>
    <row r="119" spans="1:28" x14ac:dyDescent="0.25">
      <c r="A119" t="s">
        <v>123</v>
      </c>
      <c r="B119">
        <v>0.99930955844802105</v>
      </c>
      <c r="C119">
        <v>1.0103586251189001</v>
      </c>
      <c r="D119">
        <v>1.01151923538365</v>
      </c>
      <c r="E119">
        <v>0.82282344133139396</v>
      </c>
      <c r="F119">
        <v>0.505562481264761</v>
      </c>
      <c r="G119">
        <v>0.36617073763656499</v>
      </c>
      <c r="H119">
        <v>0.25073727542101498</v>
      </c>
      <c r="I119">
        <v>0.229412487030111</v>
      </c>
      <c r="J119">
        <v>0.19640429777799401</v>
      </c>
      <c r="K119">
        <v>0.148548088781536</v>
      </c>
      <c r="L119">
        <v>1156.1073581401099</v>
      </c>
      <c r="M119">
        <v>22.008291122891301</v>
      </c>
      <c r="N119">
        <v>53.742241765731102</v>
      </c>
      <c r="O119">
        <v>52.102605483756697</v>
      </c>
      <c r="P119">
        <v>-8.49488285207399E-2</v>
      </c>
      <c r="Q119">
        <v>0.19558377114186501</v>
      </c>
      <c r="R119">
        <v>0.99071237523254096</v>
      </c>
      <c r="S119" t="s">
        <v>6736</v>
      </c>
      <c r="T119" t="s">
        <v>13232</v>
      </c>
      <c r="U119" t="s">
        <v>13232</v>
      </c>
      <c r="V119" t="s">
        <v>13232</v>
      </c>
      <c r="W119" t="s">
        <v>13350</v>
      </c>
      <c r="X119">
        <v>2</v>
      </c>
      <c r="Y119" t="s">
        <v>19887</v>
      </c>
      <c r="Z119" t="s">
        <v>26250</v>
      </c>
      <c r="AA119">
        <v>0.54093373701729985</v>
      </c>
      <c r="AB119" t="str">
        <f>HYPERLINK("Melting_Curves/meltCurve_B4DJ68_TDRKH.pdf", "Melting_Curves/meltCurve_B4DJ68_TDRKH.pdf")</f>
        <v>Melting_Curves/meltCurve_B4DJ68_TDRKH.pdf</v>
      </c>
    </row>
    <row r="120" spans="1:28" x14ac:dyDescent="0.25">
      <c r="A120" t="s">
        <v>124</v>
      </c>
      <c r="B120">
        <v>0.99930955844802105</v>
      </c>
      <c r="C120">
        <v>0.96176089940193799</v>
      </c>
      <c r="D120">
        <v>0.95833583417944501</v>
      </c>
      <c r="E120">
        <v>0.86601505805783097</v>
      </c>
      <c r="F120">
        <v>0.68990988475294202</v>
      </c>
      <c r="G120">
        <v>0.32225589288537299</v>
      </c>
      <c r="H120">
        <v>8.4657289823322601E-2</v>
      </c>
      <c r="I120">
        <v>6.1394911629305798E-2</v>
      </c>
      <c r="J120">
        <v>4.5706465374343502E-2</v>
      </c>
      <c r="K120">
        <v>3.4083663646756197E-2</v>
      </c>
      <c r="L120">
        <v>1157.2894337886501</v>
      </c>
      <c r="M120">
        <v>21.1298171344568</v>
      </c>
      <c r="N120">
        <v>54.848888856321899</v>
      </c>
      <c r="O120">
        <v>54.286961108769503</v>
      </c>
      <c r="P120">
        <v>-9.5860346185487902E-2</v>
      </c>
      <c r="Q120">
        <v>1.48841842235497E-2</v>
      </c>
      <c r="R120">
        <v>0.99776184587072703</v>
      </c>
      <c r="S120" t="s">
        <v>6737</v>
      </c>
      <c r="T120" t="s">
        <v>13232</v>
      </c>
      <c r="U120" t="s">
        <v>13232</v>
      </c>
      <c r="V120" t="s">
        <v>13232</v>
      </c>
      <c r="W120" t="s">
        <v>13351</v>
      </c>
      <c r="X120">
        <v>8</v>
      </c>
      <c r="Y120" t="s">
        <v>19888</v>
      </c>
      <c r="Z120" t="s">
        <v>26251</v>
      </c>
      <c r="AA120">
        <v>0.51201188567764322</v>
      </c>
      <c r="AB120" t="str">
        <f>HYPERLINK("Melting_Curves/meltCurve_B4DJA5_RAB5A.pdf", "Melting_Curves/meltCurve_B4DJA5_RAB5A.pdf")</f>
        <v>Melting_Curves/meltCurve_B4DJA5_RAB5A.pdf</v>
      </c>
    </row>
    <row r="121" spans="1:28" x14ac:dyDescent="0.25">
      <c r="A121" t="s">
        <v>125</v>
      </c>
      <c r="B121">
        <v>0.99930955844802105</v>
      </c>
      <c r="C121">
        <v>0.84323087739170799</v>
      </c>
      <c r="D121">
        <v>0.88313776831385604</v>
      </c>
      <c r="E121">
        <v>0.93171758353044798</v>
      </c>
      <c r="F121">
        <v>0.88919390398841303</v>
      </c>
      <c r="G121">
        <v>0.80433999535381495</v>
      </c>
      <c r="H121">
        <v>0.49195353858573099</v>
      </c>
      <c r="I121">
        <v>0.464105458360416</v>
      </c>
      <c r="J121">
        <v>0.41500251851141901</v>
      </c>
      <c r="K121">
        <v>0.26773614541934099</v>
      </c>
      <c r="L121">
        <v>580.947914181285</v>
      </c>
      <c r="M121">
        <v>9.2034452586086992</v>
      </c>
      <c r="N121">
        <v>63.122861838562102</v>
      </c>
      <c r="O121">
        <v>60.3572243247988</v>
      </c>
      <c r="P121">
        <v>-3.8146179035416797E-2</v>
      </c>
      <c r="Q121">
        <v>0</v>
      </c>
      <c r="R121">
        <v>0.92581217777971903</v>
      </c>
      <c r="S121" t="s">
        <v>6738</v>
      </c>
      <c r="T121" t="s">
        <v>13232</v>
      </c>
      <c r="U121" t="s">
        <v>13232</v>
      </c>
      <c r="V121" t="s">
        <v>13232</v>
      </c>
      <c r="W121" t="s">
        <v>13352</v>
      </c>
      <c r="X121">
        <v>4</v>
      </c>
      <c r="Y121" t="s">
        <v>19889</v>
      </c>
      <c r="Z121" t="s">
        <v>26252</v>
      </c>
      <c r="AA121">
        <v>0.73203318097802395</v>
      </c>
      <c r="AB121" t="str">
        <f>HYPERLINK("Melting_Curves/meltCurve_B4DJP7_SNRPD3.pdf", "Melting_Curves/meltCurve_B4DJP7_SNRPD3.pdf")</f>
        <v>Melting_Curves/meltCurve_B4DJP7_SNRPD3.pdf</v>
      </c>
    </row>
    <row r="122" spans="1:28" x14ac:dyDescent="0.25">
      <c r="A122" t="s">
        <v>126</v>
      </c>
      <c r="B122">
        <v>0.99930955844802105</v>
      </c>
      <c r="C122">
        <v>1.0448555370991399</v>
      </c>
      <c r="D122">
        <v>0.99871224970598305</v>
      </c>
      <c r="E122">
        <v>0.80863628801014897</v>
      </c>
      <c r="F122">
        <v>0.41181057199396698</v>
      </c>
      <c r="G122">
        <v>0.18254030531501</v>
      </c>
      <c r="H122">
        <v>0.107886589172902</v>
      </c>
      <c r="I122">
        <v>9.7481739209819507E-2</v>
      </c>
      <c r="J122">
        <v>9.1415926267733899E-2</v>
      </c>
      <c r="K122">
        <v>6.67253583506143E-2</v>
      </c>
      <c r="L122">
        <v>1592.65493507009</v>
      </c>
      <c r="M122">
        <v>30.586079621202501</v>
      </c>
      <c r="N122">
        <v>52.421019457326601</v>
      </c>
      <c r="O122">
        <v>51.850164998561802</v>
      </c>
      <c r="P122">
        <v>-0.133861672213761</v>
      </c>
      <c r="Q122">
        <v>9.2304995940398496E-2</v>
      </c>
      <c r="R122">
        <v>0.99744171923645897</v>
      </c>
      <c r="S122" t="s">
        <v>6739</v>
      </c>
      <c r="T122" t="s">
        <v>13232</v>
      </c>
      <c r="U122" t="s">
        <v>13232</v>
      </c>
      <c r="V122" t="s">
        <v>13232</v>
      </c>
      <c r="W122" t="s">
        <v>13353</v>
      </c>
      <c r="X122">
        <v>21</v>
      </c>
      <c r="Y122" t="s">
        <v>19890</v>
      </c>
      <c r="Z122" t="s">
        <v>26253</v>
      </c>
      <c r="AA122">
        <v>0.4631257528459129</v>
      </c>
      <c r="AB122" t="str">
        <f>HYPERLINK("Melting_Curves/meltCurve_B4DJV2_CS.pdf", "Melting_Curves/meltCurve_B4DJV2_CS.pdf")</f>
        <v>Melting_Curves/meltCurve_B4DJV2_CS.pdf</v>
      </c>
    </row>
    <row r="123" spans="1:28" x14ac:dyDescent="0.25">
      <c r="A123" t="s">
        <v>127</v>
      </c>
      <c r="B123">
        <v>0.99930955844802105</v>
      </c>
      <c r="C123">
        <v>0.80249262037439295</v>
      </c>
      <c r="D123">
        <v>0.43780138767072402</v>
      </c>
      <c r="E123">
        <v>0.30871865384450597</v>
      </c>
      <c r="F123">
        <v>0.226062573932865</v>
      </c>
      <c r="G123">
        <v>0.173582974799489</v>
      </c>
      <c r="H123">
        <v>0.163228442118416</v>
      </c>
      <c r="I123">
        <v>0.14352674334108301</v>
      </c>
      <c r="J123">
        <v>0.107134059636892</v>
      </c>
      <c r="K123">
        <v>7.9547980967360696E-2</v>
      </c>
      <c r="L123">
        <v>893.13487437413403</v>
      </c>
      <c r="M123">
        <v>19.7282044835904</v>
      </c>
      <c r="N123">
        <v>46.035893608683999</v>
      </c>
      <c r="O123">
        <v>44.814515684583903</v>
      </c>
      <c r="P123">
        <v>-9.4695420618134005E-2</v>
      </c>
      <c r="Q123">
        <v>0.13959050886072499</v>
      </c>
      <c r="R123">
        <v>0.97959620230014899</v>
      </c>
      <c r="S123" t="s">
        <v>6740</v>
      </c>
      <c r="T123" t="s">
        <v>13232</v>
      </c>
      <c r="U123" t="s">
        <v>13232</v>
      </c>
      <c r="V123" t="s">
        <v>13232</v>
      </c>
      <c r="W123" t="s">
        <v>13354</v>
      </c>
      <c r="X123">
        <v>6</v>
      </c>
      <c r="Y123" t="s">
        <v>19891</v>
      </c>
      <c r="Z123" t="s">
        <v>26254</v>
      </c>
      <c r="AA123">
        <v>0.30539893586930339</v>
      </c>
      <c r="AB123" t="str">
        <f>HYPERLINK("Melting_Curves/meltCurve_B4DK80_TOP3A.pdf", "Melting_Curves/meltCurve_B4DK80_TOP3A.pdf")</f>
        <v>Melting_Curves/meltCurve_B4DK80_TOP3A.pdf</v>
      </c>
    </row>
    <row r="124" spans="1:28" x14ac:dyDescent="0.25">
      <c r="A124" t="s">
        <v>128</v>
      </c>
      <c r="B124">
        <v>0.99930955844802105</v>
      </c>
      <c r="C124">
        <v>0.92804738806503495</v>
      </c>
      <c r="D124">
        <v>0.85621101654352105</v>
      </c>
      <c r="E124">
        <v>0.808417649583825</v>
      </c>
      <c r="F124">
        <v>0.611965363581218</v>
      </c>
      <c r="G124">
        <v>0.55481467466673895</v>
      </c>
      <c r="H124">
        <v>0.47382209823417298</v>
      </c>
      <c r="I124">
        <v>0.53632700903087405</v>
      </c>
      <c r="J124">
        <v>0.560670190466522</v>
      </c>
      <c r="K124">
        <v>0.35023826728393798</v>
      </c>
      <c r="L124">
        <v>585.84934072074805</v>
      </c>
      <c r="M124">
        <v>11.4597374744387</v>
      </c>
      <c r="N124">
        <v>61.6259036225537</v>
      </c>
      <c r="O124">
        <v>49.639984716320399</v>
      </c>
      <c r="P124">
        <v>-3.2959149444756301E-2</v>
      </c>
      <c r="Q124">
        <v>0.42908977514090602</v>
      </c>
      <c r="R124">
        <v>0.926392321850945</v>
      </c>
      <c r="S124" t="s">
        <v>6741</v>
      </c>
      <c r="T124" t="s">
        <v>13232</v>
      </c>
      <c r="U124" t="s">
        <v>13232</v>
      </c>
      <c r="V124" t="s">
        <v>13232</v>
      </c>
      <c r="W124" t="s">
        <v>13355</v>
      </c>
      <c r="X124">
        <v>3</v>
      </c>
      <c r="Y124" t="s">
        <v>19892</v>
      </c>
      <c r="Z124" t="s">
        <v>26255</v>
      </c>
      <c r="AA124">
        <v>0.66045547943491134</v>
      </c>
      <c r="AB124" t="str">
        <f>HYPERLINK("Melting_Curves/meltCurve_B4DKF9_ZNF286A.pdf", "Melting_Curves/meltCurve_B4DKF9_ZNF286A.pdf")</f>
        <v>Melting_Curves/meltCurve_B4DKF9_ZNF286A.pdf</v>
      </c>
    </row>
    <row r="125" spans="1:28" x14ac:dyDescent="0.25">
      <c r="A125" t="s">
        <v>129</v>
      </c>
      <c r="B125">
        <v>0.99930955844802105</v>
      </c>
      <c r="C125">
        <v>1.0728388034403</v>
      </c>
      <c r="D125">
        <v>1.0796095319002399</v>
      </c>
      <c r="E125">
        <v>0.98853827780888603</v>
      </c>
      <c r="F125">
        <v>0.86972622439881697</v>
      </c>
      <c r="G125">
        <v>0.83223847493186598</v>
      </c>
      <c r="H125">
        <v>0.76952979116683595</v>
      </c>
      <c r="I125">
        <v>0.761899113840244</v>
      </c>
      <c r="J125">
        <v>0.74122922402834301</v>
      </c>
      <c r="K125">
        <v>0.854383012848134</v>
      </c>
      <c r="L125">
        <v>2225.0296890168702</v>
      </c>
      <c r="M125">
        <v>42.283717145348099</v>
      </c>
      <c r="O125">
        <v>52.504141351702302</v>
      </c>
      <c r="P125">
        <v>-4.2469759797688099E-2</v>
      </c>
      <c r="Q125">
        <v>0.78905974282356595</v>
      </c>
      <c r="R125">
        <v>0.85977946467317201</v>
      </c>
      <c r="S125" t="s">
        <v>6742</v>
      </c>
      <c r="T125" t="s">
        <v>13232</v>
      </c>
      <c r="U125" t="s">
        <v>13232</v>
      </c>
      <c r="V125" t="s">
        <v>13232</v>
      </c>
      <c r="W125" t="s">
        <v>13356</v>
      </c>
      <c r="X125">
        <v>17</v>
      </c>
      <c r="Y125" t="s">
        <v>19893</v>
      </c>
      <c r="Z125" t="s">
        <v>26256</v>
      </c>
      <c r="AA125">
        <v>0.87849106526974829</v>
      </c>
      <c r="AB125" t="str">
        <f>HYPERLINK("Melting_Curves/meltCurve_B4DKL4_LSR.pdf", "Melting_Curves/meltCurve_B4DKL4_LSR.pdf")</f>
        <v>Melting_Curves/meltCurve_B4DKL4_LSR.pdf</v>
      </c>
    </row>
    <row r="126" spans="1:28" x14ac:dyDescent="0.25">
      <c r="A126" t="s">
        <v>130</v>
      </c>
      <c r="B126">
        <v>0.99930955844802105</v>
      </c>
      <c r="C126">
        <v>1.16443801930345</v>
      </c>
      <c r="D126">
        <v>1.1192170074076999</v>
      </c>
      <c r="E126">
        <v>1.07916324139733</v>
      </c>
      <c r="F126">
        <v>0.94685873413060495</v>
      </c>
      <c r="G126">
        <v>0.86587900125401696</v>
      </c>
      <c r="H126">
        <v>0.84766092633287804</v>
      </c>
      <c r="I126">
        <v>0.90236971584282</v>
      </c>
      <c r="J126">
        <v>0.91110169765048998</v>
      </c>
      <c r="K126">
        <v>0.66361674949745697</v>
      </c>
      <c r="L126">
        <v>637.75001709709102</v>
      </c>
      <c r="M126">
        <v>8.11110080688049</v>
      </c>
      <c r="Q126">
        <v>0</v>
      </c>
      <c r="R126">
        <v>0.58756852971621898</v>
      </c>
      <c r="S126" t="s">
        <v>6743</v>
      </c>
      <c r="T126" t="s">
        <v>13232</v>
      </c>
      <c r="U126" t="s">
        <v>13232</v>
      </c>
      <c r="V126" t="s">
        <v>13232</v>
      </c>
      <c r="W126" t="s">
        <v>13357</v>
      </c>
      <c r="X126">
        <v>3</v>
      </c>
      <c r="Y126" t="s">
        <v>19894</v>
      </c>
      <c r="Z126" t="s">
        <v>26257</v>
      </c>
      <c r="AA126">
        <v>0.93421682476177614</v>
      </c>
      <c r="AB126" t="str">
        <f>HYPERLINK("Melting_Curves/meltCurve_B4DKV7_EPS8L1.pdf", "Melting_Curves/meltCurve_B4DKV7_EPS8L1.pdf")</f>
        <v>Melting_Curves/meltCurve_B4DKV7_EPS8L1.pdf</v>
      </c>
    </row>
    <row r="127" spans="1:28" x14ac:dyDescent="0.25">
      <c r="A127" t="s">
        <v>131</v>
      </c>
      <c r="B127">
        <v>0.99930955844802105</v>
      </c>
      <c r="C127">
        <v>0.91176126929115198</v>
      </c>
      <c r="D127">
        <v>0.74368614030050195</v>
      </c>
      <c r="E127">
        <v>0.47729094596828803</v>
      </c>
      <c r="F127">
        <v>0.25320895670098098</v>
      </c>
      <c r="G127">
        <v>0.176035567328932</v>
      </c>
      <c r="H127">
        <v>9.1644123042683504E-2</v>
      </c>
      <c r="I127">
        <v>7.4133661956068603E-2</v>
      </c>
      <c r="J127">
        <v>6.5861621462262404E-2</v>
      </c>
      <c r="K127">
        <v>4.8763879664159897E-2</v>
      </c>
      <c r="L127">
        <v>766.28141404811095</v>
      </c>
      <c r="M127">
        <v>15.598060398671199</v>
      </c>
      <c r="N127">
        <v>49.460823501354596</v>
      </c>
      <c r="O127">
        <v>48.340490946716997</v>
      </c>
      <c r="P127">
        <v>-7.6640727965307701E-2</v>
      </c>
      <c r="Q127">
        <v>5.0002540940056503E-2</v>
      </c>
      <c r="R127">
        <v>0.997872791982371</v>
      </c>
      <c r="S127" t="s">
        <v>6744</v>
      </c>
      <c r="T127" t="s">
        <v>13232</v>
      </c>
      <c r="U127" t="s">
        <v>13232</v>
      </c>
      <c r="V127" t="s">
        <v>13232</v>
      </c>
      <c r="W127" t="s">
        <v>13358</v>
      </c>
      <c r="X127">
        <v>5</v>
      </c>
      <c r="Y127" t="s">
        <v>19895</v>
      </c>
      <c r="Z127" t="s">
        <v>26258</v>
      </c>
      <c r="AA127">
        <v>0.3606958060418396</v>
      </c>
      <c r="AB127" t="str">
        <f>HYPERLINK("Melting_Curves/meltCurve_B4DL54_CHURC1_FNTB.pdf", "Melting_Curves/meltCurve_B4DL54_CHURC1_FNTB.pdf")</f>
        <v>Melting_Curves/meltCurve_B4DL54_CHURC1_FNTB.pdf</v>
      </c>
    </row>
    <row r="128" spans="1:28" x14ac:dyDescent="0.25">
      <c r="A128" t="s">
        <v>132</v>
      </c>
      <c r="B128">
        <v>0.99930955844802105</v>
      </c>
      <c r="C128">
        <v>1.1131776057438201</v>
      </c>
      <c r="D128">
        <v>1.02906116901167</v>
      </c>
      <c r="E128">
        <v>0.96455058167614205</v>
      </c>
      <c r="F128">
        <v>0.87281601974584</v>
      </c>
      <c r="G128">
        <v>0.81328800730237905</v>
      </c>
      <c r="H128">
        <v>0.80790214513935299</v>
      </c>
      <c r="I128">
        <v>0.89568280599519701</v>
      </c>
      <c r="J128">
        <v>0.88546224464976098</v>
      </c>
      <c r="K128">
        <v>0.72758721809445404</v>
      </c>
      <c r="L128">
        <v>2319.8548081485101</v>
      </c>
      <c r="M128">
        <v>44.882184667364598</v>
      </c>
      <c r="O128">
        <v>51.585356942348398</v>
      </c>
      <c r="P128">
        <v>-3.78663751155787E-2</v>
      </c>
      <c r="Q128">
        <v>0.82591329700192995</v>
      </c>
      <c r="R128">
        <v>0.73389714818246898</v>
      </c>
      <c r="S128" t="s">
        <v>6745</v>
      </c>
      <c r="T128" t="s">
        <v>13232</v>
      </c>
      <c r="U128" t="s">
        <v>13232</v>
      </c>
      <c r="V128" t="s">
        <v>13232</v>
      </c>
      <c r="W128" t="s">
        <v>13359</v>
      </c>
      <c r="X128">
        <v>4</v>
      </c>
      <c r="Y128" t="s">
        <v>19896</v>
      </c>
      <c r="Z128" t="s">
        <v>26259</v>
      </c>
      <c r="AA128">
        <v>0.89422863140833408</v>
      </c>
      <c r="AB128" t="str">
        <f>HYPERLINK("Melting_Curves/meltCurve_B4DLE8_CRYBG3.pdf", "Melting_Curves/meltCurve_B4DLE8_CRYBG3.pdf")</f>
        <v>Melting_Curves/meltCurve_B4DLE8_CRYBG3.pdf</v>
      </c>
    </row>
    <row r="129" spans="1:28" x14ac:dyDescent="0.25">
      <c r="A129" t="s">
        <v>133</v>
      </c>
      <c r="B129">
        <v>0.99930955844802105</v>
      </c>
      <c r="C129">
        <v>1.1366230532616499</v>
      </c>
      <c r="D129">
        <v>1.10583450447187</v>
      </c>
      <c r="E129">
        <v>0.81202019195949404</v>
      </c>
      <c r="F129">
        <v>0.36736548956702197</v>
      </c>
      <c r="G129">
        <v>0.21711391410000799</v>
      </c>
      <c r="H129">
        <v>0.125012648759702</v>
      </c>
      <c r="I129">
        <v>9.3108629034821699E-2</v>
      </c>
      <c r="J129">
        <v>8.0314707164868104E-2</v>
      </c>
      <c r="K129">
        <v>5.97459499531139E-2</v>
      </c>
      <c r="L129">
        <v>1847.29835129192</v>
      </c>
      <c r="M129">
        <v>35.624249958502801</v>
      </c>
      <c r="N129">
        <v>52.196437678107401</v>
      </c>
      <c r="O129">
        <v>51.692493435509498</v>
      </c>
      <c r="P129">
        <v>-0.15438645533744</v>
      </c>
      <c r="Q129">
        <v>0.10391437240661</v>
      </c>
      <c r="R129">
        <v>0.97798960819859104</v>
      </c>
      <c r="S129" t="s">
        <v>6746</v>
      </c>
      <c r="T129" t="s">
        <v>13232</v>
      </c>
      <c r="U129" t="s">
        <v>13232</v>
      </c>
      <c r="V129" t="s">
        <v>13232</v>
      </c>
      <c r="W129" t="s">
        <v>13360</v>
      </c>
      <c r="X129">
        <v>8</v>
      </c>
      <c r="Y129" t="s">
        <v>19897</v>
      </c>
      <c r="Z129" t="s">
        <v>26260</v>
      </c>
      <c r="AA129">
        <v>0.46207223118595481</v>
      </c>
      <c r="AB129" t="str">
        <f>HYPERLINK("Melting_Curves/meltCurve_B4DLR8_NQO1.pdf", "Melting_Curves/meltCurve_B4DLR8_NQO1.pdf")</f>
        <v>Melting_Curves/meltCurve_B4DLR8_NQO1.pdf</v>
      </c>
    </row>
    <row r="130" spans="1:28" x14ac:dyDescent="0.25">
      <c r="A130" t="s">
        <v>134</v>
      </c>
      <c r="B130">
        <v>0.99930955844802105</v>
      </c>
      <c r="C130">
        <v>0.97330605041426399</v>
      </c>
      <c r="D130">
        <v>0.90154710279977501</v>
      </c>
      <c r="E130">
        <v>0.62363390288006804</v>
      </c>
      <c r="F130">
        <v>0.22610283688125701</v>
      </c>
      <c r="G130">
        <v>0.125824694437386</v>
      </c>
      <c r="H130">
        <v>6.8160016433071305E-2</v>
      </c>
      <c r="I130">
        <v>5.6339730798561298E-2</v>
      </c>
      <c r="J130">
        <v>5.16066267869092E-2</v>
      </c>
      <c r="K130">
        <v>3.84458217604427E-2</v>
      </c>
      <c r="L130">
        <v>1342.27583091012</v>
      </c>
      <c r="M130">
        <v>26.564683641569701</v>
      </c>
      <c r="N130">
        <v>50.738562685615598</v>
      </c>
      <c r="O130">
        <v>50.244851056475902</v>
      </c>
      <c r="P130">
        <v>-0.125297127806899</v>
      </c>
      <c r="Q130">
        <v>5.20543764022229E-2</v>
      </c>
      <c r="R130">
        <v>0.99675992678535097</v>
      </c>
      <c r="S130" t="s">
        <v>6747</v>
      </c>
      <c r="T130" t="s">
        <v>13232</v>
      </c>
      <c r="U130" t="s">
        <v>13232</v>
      </c>
      <c r="V130" t="s">
        <v>13232</v>
      </c>
      <c r="W130" t="s">
        <v>13361</v>
      </c>
      <c r="X130">
        <v>10</v>
      </c>
      <c r="Y130" t="s">
        <v>19898</v>
      </c>
      <c r="Z130" t="s">
        <v>26261</v>
      </c>
      <c r="AA130">
        <v>0.39228719267173712</v>
      </c>
      <c r="AB130" t="str">
        <f>HYPERLINK("Melting_Curves/meltCurve_B4DLT4_RPS6KB1.pdf", "Melting_Curves/meltCurve_B4DLT4_RPS6KB1.pdf")</f>
        <v>Melting_Curves/meltCurve_B4DLT4_RPS6KB1.pdf</v>
      </c>
    </row>
    <row r="131" spans="1:28" x14ac:dyDescent="0.25">
      <c r="A131" t="s">
        <v>135</v>
      </c>
      <c r="B131">
        <v>0.99930955844802105</v>
      </c>
      <c r="C131">
        <v>1.6635262658427299</v>
      </c>
      <c r="D131">
        <v>0.558002850896967</v>
      </c>
      <c r="E131">
        <v>1.20526234085845</v>
      </c>
      <c r="F131">
        <v>0.69005969333970496</v>
      </c>
      <c r="G131">
        <v>0.86226254637313404</v>
      </c>
      <c r="H131">
        <v>0.34127262715679402</v>
      </c>
      <c r="I131">
        <v>1.3869575622177099</v>
      </c>
      <c r="J131">
        <v>0.39298645910691299</v>
      </c>
      <c r="K131">
        <v>0.27272757216642701</v>
      </c>
      <c r="L131">
        <v>641.98734487220497</v>
      </c>
      <c r="M131">
        <v>9.3980223230656907</v>
      </c>
      <c r="N131">
        <v>68.310898010594599</v>
      </c>
      <c r="O131">
        <v>65.4321368301337</v>
      </c>
      <c r="P131">
        <v>-3.5929646131920498E-2</v>
      </c>
      <c r="Q131">
        <v>0</v>
      </c>
      <c r="R131">
        <v>0.247761947683769</v>
      </c>
      <c r="S131" t="s">
        <v>6748</v>
      </c>
      <c r="T131" t="s">
        <v>13232</v>
      </c>
      <c r="U131" t="s">
        <v>13232</v>
      </c>
      <c r="V131" t="s">
        <v>13232</v>
      </c>
      <c r="W131" t="s">
        <v>13362</v>
      </c>
      <c r="X131">
        <v>24</v>
      </c>
      <c r="Y131" t="s">
        <v>19899</v>
      </c>
      <c r="Z131" t="s">
        <v>26262</v>
      </c>
      <c r="AA131">
        <v>0.8343499680242058</v>
      </c>
      <c r="AB131" t="str">
        <f>HYPERLINK("Melting_Curves/meltCurve_B4DLV4_SHMT2.pdf", "Melting_Curves/meltCurve_B4DLV4_SHMT2.pdf")</f>
        <v>Melting_Curves/meltCurve_B4DLV4_SHMT2.pdf</v>
      </c>
    </row>
    <row r="132" spans="1:28" x14ac:dyDescent="0.25">
      <c r="A132" t="s">
        <v>136</v>
      </c>
      <c r="B132">
        <v>0.99930955844802105</v>
      </c>
      <c r="C132">
        <v>1.09922445218542</v>
      </c>
      <c r="D132">
        <v>0.91012010834865897</v>
      </c>
      <c r="E132">
        <v>0.54683334672025896</v>
      </c>
      <c r="F132">
        <v>0.30837506683937899</v>
      </c>
      <c r="G132">
        <v>0.24081320000162701</v>
      </c>
      <c r="H132">
        <v>0.1701891422672</v>
      </c>
      <c r="I132">
        <v>0.163038864085054</v>
      </c>
      <c r="J132">
        <v>0.15416057450701301</v>
      </c>
      <c r="K132">
        <v>0.12825507784224</v>
      </c>
      <c r="L132">
        <v>1309.7507966195799</v>
      </c>
      <c r="M132">
        <v>26.296646592134799</v>
      </c>
      <c r="N132">
        <v>50.561984084664097</v>
      </c>
      <c r="O132">
        <v>49.521417920488403</v>
      </c>
      <c r="P132">
        <v>-0.111194333337687</v>
      </c>
      <c r="Q132">
        <v>0.162411973327969</v>
      </c>
      <c r="R132">
        <v>0.98799316232310996</v>
      </c>
      <c r="S132" t="s">
        <v>6749</v>
      </c>
      <c r="T132" t="s">
        <v>13232</v>
      </c>
      <c r="U132" t="s">
        <v>13232</v>
      </c>
      <c r="V132" t="s">
        <v>13232</v>
      </c>
      <c r="W132" t="s">
        <v>13363</v>
      </c>
      <c r="X132">
        <v>8</v>
      </c>
      <c r="Y132" t="s">
        <v>19900</v>
      </c>
      <c r="Z132" t="s">
        <v>26263</v>
      </c>
      <c r="AA132">
        <v>0.44295839051938479</v>
      </c>
      <c r="AB132" t="str">
        <f>HYPERLINK("Melting_Curves/meltCurve_B4DLZ9_RNF220.pdf", "Melting_Curves/meltCurve_B4DLZ9_RNF220.pdf")</f>
        <v>Melting_Curves/meltCurve_B4DLZ9_RNF220.pdf</v>
      </c>
    </row>
    <row r="133" spans="1:28" x14ac:dyDescent="0.25">
      <c r="A133" t="s">
        <v>137</v>
      </c>
      <c r="B133">
        <v>0.99930955844802105</v>
      </c>
      <c r="C133">
        <v>0.86449286672863401</v>
      </c>
      <c r="D133">
        <v>0.68042296668459301</v>
      </c>
      <c r="E133">
        <v>0.85913034179792502</v>
      </c>
      <c r="F133">
        <v>0.61652342091041701</v>
      </c>
      <c r="G133">
        <v>0.36056195109984401</v>
      </c>
      <c r="H133">
        <v>0.33496495718811697</v>
      </c>
      <c r="I133">
        <v>0.301534700290083</v>
      </c>
      <c r="J133">
        <v>0.40014988584219502</v>
      </c>
      <c r="K133">
        <v>0.32321482551186997</v>
      </c>
      <c r="L133">
        <v>491.81880533950402</v>
      </c>
      <c r="M133">
        <v>9.5167969391966896</v>
      </c>
      <c r="N133">
        <v>55.560716231218102</v>
      </c>
      <c r="O133">
        <v>49.551561053866997</v>
      </c>
      <c r="P133">
        <v>-3.6376428717571498E-2</v>
      </c>
      <c r="Q133">
        <v>0.24283331416325199</v>
      </c>
      <c r="R133">
        <v>0.87478376001821101</v>
      </c>
      <c r="S133" t="s">
        <v>6750</v>
      </c>
      <c r="T133" t="s">
        <v>13232</v>
      </c>
      <c r="U133" t="s">
        <v>13232</v>
      </c>
      <c r="V133" t="s">
        <v>13232</v>
      </c>
      <c r="W133" t="s">
        <v>13364</v>
      </c>
      <c r="X133">
        <v>1</v>
      </c>
      <c r="Y133" t="s">
        <v>19901</v>
      </c>
      <c r="Z133" t="s">
        <v>26264</v>
      </c>
      <c r="AA133">
        <v>0.56890594427561847</v>
      </c>
      <c r="AB133" t="str">
        <f>HYPERLINK("Melting_Curves/meltCurve_B4DMD6_RNF185.pdf", "Melting_Curves/meltCurve_B4DMD6_RNF185.pdf")</f>
        <v>Melting_Curves/meltCurve_B4DMD6_RNF185.pdf</v>
      </c>
    </row>
    <row r="134" spans="1:28" x14ac:dyDescent="0.25">
      <c r="A134" t="s">
        <v>138</v>
      </c>
      <c r="B134">
        <v>0.99930955844802105</v>
      </c>
      <c r="C134">
        <v>1.38579518887002</v>
      </c>
      <c r="D134">
        <v>0.53068698943665005</v>
      </c>
      <c r="E134">
        <v>0.29533743234924797</v>
      </c>
      <c r="F134">
        <v>0.18257526130031601</v>
      </c>
      <c r="G134">
        <v>0.18791117276701999</v>
      </c>
      <c r="H134">
        <v>0.165163336816812</v>
      </c>
      <c r="I134">
        <v>0.116269262338283</v>
      </c>
      <c r="J134">
        <v>0.11163659247249</v>
      </c>
      <c r="K134">
        <v>6.3032674337096903E-2</v>
      </c>
      <c r="L134">
        <v>11489.113906648599</v>
      </c>
      <c r="M134">
        <v>250</v>
      </c>
      <c r="N134">
        <v>46.027624061764499</v>
      </c>
      <c r="O134">
        <v>45.953515023391603</v>
      </c>
      <c r="P134">
        <v>-1.1420846991755</v>
      </c>
      <c r="Q134">
        <v>0.160275104454812</v>
      </c>
      <c r="R134">
        <v>0.89788205079149497</v>
      </c>
      <c r="S134" t="s">
        <v>6751</v>
      </c>
      <c r="T134" t="s">
        <v>13232</v>
      </c>
      <c r="U134" t="s">
        <v>13232</v>
      </c>
      <c r="V134" t="s">
        <v>13232</v>
      </c>
      <c r="W134" t="s">
        <v>13365</v>
      </c>
      <c r="X134">
        <v>7</v>
      </c>
      <c r="Y134" t="s">
        <v>19902</v>
      </c>
      <c r="Z134" t="s">
        <v>26265</v>
      </c>
      <c r="AA134">
        <v>0.32706896663498342</v>
      </c>
      <c r="AB134" t="str">
        <f>HYPERLINK("Melting_Curves/meltCurve_B4DNZ7_EYA3.pdf", "Melting_Curves/meltCurve_B4DNZ7_EYA3.pdf")</f>
        <v>Melting_Curves/meltCurve_B4DNZ7_EYA3.pdf</v>
      </c>
    </row>
    <row r="135" spans="1:28" x14ac:dyDescent="0.25">
      <c r="A135" t="s">
        <v>139</v>
      </c>
      <c r="B135">
        <v>0.99930955844802105</v>
      </c>
      <c r="C135">
        <v>1.01659984788526</v>
      </c>
      <c r="D135">
        <v>1.0773908255278599</v>
      </c>
      <c r="E135">
        <v>0.99080168392984602</v>
      </c>
      <c r="F135">
        <v>0.60122139114871498</v>
      </c>
      <c r="G135">
        <v>0.25497671399261101</v>
      </c>
      <c r="H135">
        <v>0.124321606431787</v>
      </c>
      <c r="I135">
        <v>9.5245960788541806E-2</v>
      </c>
      <c r="J135">
        <v>8.17216331808686E-2</v>
      </c>
      <c r="K135">
        <v>6.3685645951066905E-2</v>
      </c>
      <c r="L135">
        <v>1723.46936895562</v>
      </c>
      <c r="M135">
        <v>32.071452779257797</v>
      </c>
      <c r="N135">
        <v>54.073727040454102</v>
      </c>
      <c r="O135">
        <v>53.530788727469997</v>
      </c>
      <c r="P135">
        <v>-0.13627506831192401</v>
      </c>
      <c r="Q135">
        <v>9.0172128588955902E-2</v>
      </c>
      <c r="R135">
        <v>0.99127275249398905</v>
      </c>
      <c r="S135" t="s">
        <v>6752</v>
      </c>
      <c r="T135" t="s">
        <v>13232</v>
      </c>
      <c r="U135" t="s">
        <v>13232</v>
      </c>
      <c r="V135" t="s">
        <v>13232</v>
      </c>
      <c r="W135" t="s">
        <v>13366</v>
      </c>
      <c r="X135">
        <v>8</v>
      </c>
      <c r="Y135" t="s">
        <v>19903</v>
      </c>
      <c r="Z135" t="s">
        <v>26266</v>
      </c>
      <c r="AA135">
        <v>0.51205621041585292</v>
      </c>
      <c r="AB135" t="str">
        <f>HYPERLINK("Melting_Curves/meltCurve_B4DP21_PTGES3.pdf", "Melting_Curves/meltCurve_B4DP21_PTGES3.pdf")</f>
        <v>Melting_Curves/meltCurve_B4DP21_PTGES3.pdf</v>
      </c>
    </row>
    <row r="136" spans="1:28" x14ac:dyDescent="0.25">
      <c r="A136" t="s">
        <v>140</v>
      </c>
      <c r="B136">
        <v>0.99930955844802105</v>
      </c>
      <c r="C136">
        <v>0.57388791051967403</v>
      </c>
      <c r="D136">
        <v>0.42845487396475002</v>
      </c>
      <c r="E136">
        <v>0.59741512383495099</v>
      </c>
      <c r="F136">
        <v>0.33243010292856601</v>
      </c>
      <c r="G136">
        <v>0.11159233148616</v>
      </c>
      <c r="H136">
        <v>7.4211423042743294E-2</v>
      </c>
      <c r="I136">
        <v>6.3405051830880299E-2</v>
      </c>
      <c r="J136">
        <v>5.1306554057823098E-2</v>
      </c>
      <c r="K136">
        <v>3.39579780141872E-2</v>
      </c>
      <c r="L136">
        <v>425.14689899597602</v>
      </c>
      <c r="M136">
        <v>8.9704691784728396</v>
      </c>
      <c r="N136">
        <v>47.394054705410099</v>
      </c>
      <c r="O136">
        <v>45.216422040890897</v>
      </c>
      <c r="P136">
        <v>-4.96338557736783E-2</v>
      </c>
      <c r="Q136">
        <v>0</v>
      </c>
      <c r="R136">
        <v>0.87025189137066306</v>
      </c>
      <c r="S136" t="s">
        <v>6753</v>
      </c>
      <c r="T136" t="s">
        <v>13232</v>
      </c>
      <c r="U136" t="s">
        <v>13232</v>
      </c>
      <c r="V136" t="s">
        <v>13232</v>
      </c>
      <c r="X136">
        <v>1</v>
      </c>
      <c r="Z136" t="s">
        <v>26267</v>
      </c>
      <c r="AA136">
        <v>0.31206967627789411</v>
      </c>
      <c r="AB136" t="str">
        <f>HYPERLINK("Melting_Curves/meltCurve_B4DP62_.pdf", "Melting_Curves/meltCurve_B4DP62_.pdf")</f>
        <v>Melting_Curves/meltCurve_B4DP62_.pdf</v>
      </c>
    </row>
    <row r="137" spans="1:28" x14ac:dyDescent="0.25">
      <c r="A137" t="s">
        <v>141</v>
      </c>
      <c r="B137">
        <v>0.99930955844802105</v>
      </c>
      <c r="C137">
        <v>0.73583075156121103</v>
      </c>
      <c r="D137">
        <v>0.50569003710948701</v>
      </c>
      <c r="E137">
        <v>0.34255404594010602</v>
      </c>
      <c r="F137">
        <v>0.240858917888743</v>
      </c>
      <c r="G137">
        <v>0.13393572991753799</v>
      </c>
      <c r="H137">
        <v>5.5208613275007999E-2</v>
      </c>
      <c r="I137">
        <v>4.2953669114642601E-2</v>
      </c>
      <c r="J137">
        <v>3.9384494893196703E-2</v>
      </c>
      <c r="K137">
        <v>2.87410897811511E-2</v>
      </c>
      <c r="L137">
        <v>593.00893726558604</v>
      </c>
      <c r="M137">
        <v>12.6760762561715</v>
      </c>
      <c r="N137">
        <v>46.957460306269802</v>
      </c>
      <c r="O137">
        <v>45.6632843337363</v>
      </c>
      <c r="P137">
        <v>-6.7805554687628403E-2</v>
      </c>
      <c r="Q137">
        <v>2.3160996580912301E-2</v>
      </c>
      <c r="R137">
        <v>0.983167029293739</v>
      </c>
      <c r="S137" t="s">
        <v>6754</v>
      </c>
      <c r="T137" t="s">
        <v>13232</v>
      </c>
      <c r="U137" t="s">
        <v>13232</v>
      </c>
      <c r="V137" t="s">
        <v>13232</v>
      </c>
      <c r="W137" t="s">
        <v>13367</v>
      </c>
      <c r="X137">
        <v>4</v>
      </c>
      <c r="Y137" t="s">
        <v>19904</v>
      </c>
      <c r="Z137" t="s">
        <v>26268</v>
      </c>
      <c r="AA137">
        <v>0.28161384620584062</v>
      </c>
      <c r="AB137" t="str">
        <f>HYPERLINK("Melting_Curves/meltCurve_B4DPR4_MKRN2.pdf", "Melting_Curves/meltCurve_B4DPR4_MKRN2.pdf")</f>
        <v>Melting_Curves/meltCurve_B4DPR4_MKRN2.pdf</v>
      </c>
    </row>
    <row r="138" spans="1:28" x14ac:dyDescent="0.25">
      <c r="A138" t="s">
        <v>142</v>
      </c>
      <c r="B138">
        <v>0.99930955844802105</v>
      </c>
      <c r="C138">
        <v>1.0902356679068199</v>
      </c>
      <c r="D138">
        <v>1.0887124577096201</v>
      </c>
      <c r="E138">
        <v>1.03958478456601</v>
      </c>
      <c r="F138">
        <v>0.94991005135083595</v>
      </c>
      <c r="G138">
        <v>0.84715373276818395</v>
      </c>
      <c r="H138">
        <v>0.82580237657975297</v>
      </c>
      <c r="I138">
        <v>0.84332765403526799</v>
      </c>
      <c r="J138">
        <v>0.81255378349838203</v>
      </c>
      <c r="K138">
        <v>0.68584420597309004</v>
      </c>
      <c r="L138">
        <v>853.83832877996804</v>
      </c>
      <c r="M138">
        <v>14.364075118667801</v>
      </c>
      <c r="O138">
        <v>58.326128889932697</v>
      </c>
      <c r="P138">
        <v>-1.7287607304246801E-2</v>
      </c>
      <c r="Q138">
        <v>0.71924442774774799</v>
      </c>
      <c r="R138">
        <v>0.80717040503015602</v>
      </c>
      <c r="S138" t="s">
        <v>6755</v>
      </c>
      <c r="T138" t="s">
        <v>13232</v>
      </c>
      <c r="U138" t="s">
        <v>13232</v>
      </c>
      <c r="V138" t="s">
        <v>13232</v>
      </c>
      <c r="W138" t="s">
        <v>13368</v>
      </c>
      <c r="X138">
        <v>13</v>
      </c>
      <c r="Y138" t="s">
        <v>19905</v>
      </c>
      <c r="Z138" t="s">
        <v>26269</v>
      </c>
      <c r="AA138">
        <v>0.90360144309321488</v>
      </c>
      <c r="AB138" t="str">
        <f>HYPERLINK("Melting_Curves/meltCurve_B4DPY8_TOX4.pdf", "Melting_Curves/meltCurve_B4DPY8_TOX4.pdf")</f>
        <v>Melting_Curves/meltCurve_B4DPY8_TOX4.pdf</v>
      </c>
    </row>
    <row r="139" spans="1:28" x14ac:dyDescent="0.25">
      <c r="A139" t="s">
        <v>143</v>
      </c>
      <c r="B139">
        <v>0.99930955844802105</v>
      </c>
      <c r="C139">
        <v>0.85142667883383005</v>
      </c>
      <c r="D139">
        <v>0.61131818319325504</v>
      </c>
      <c r="E139">
        <v>0.40217374236384101</v>
      </c>
      <c r="F139">
        <v>0.223934235952396</v>
      </c>
      <c r="G139">
        <v>0.145838745502407</v>
      </c>
      <c r="H139">
        <v>8.15345736173156E-2</v>
      </c>
      <c r="I139">
        <v>6.9175088568923598E-2</v>
      </c>
      <c r="J139">
        <v>6.0932687763723403E-2</v>
      </c>
      <c r="K139">
        <v>4.5686959451811802E-2</v>
      </c>
      <c r="L139">
        <v>689.639239597759</v>
      </c>
      <c r="M139">
        <v>14.4336476442563</v>
      </c>
      <c r="N139">
        <v>48.101345777281601</v>
      </c>
      <c r="O139">
        <v>46.890895559870302</v>
      </c>
      <c r="P139">
        <v>-7.3424738405673401E-2</v>
      </c>
      <c r="Q139">
        <v>4.5966072199950601E-2</v>
      </c>
      <c r="R139">
        <v>0.99487238601773997</v>
      </c>
      <c r="S139" t="s">
        <v>6756</v>
      </c>
      <c r="T139" t="s">
        <v>13232</v>
      </c>
      <c r="U139" t="s">
        <v>13232</v>
      </c>
      <c r="V139" t="s">
        <v>13232</v>
      </c>
      <c r="W139" t="s">
        <v>13369</v>
      </c>
      <c r="X139">
        <v>6</v>
      </c>
      <c r="Y139" t="s">
        <v>19906</v>
      </c>
      <c r="Z139" t="s">
        <v>26270</v>
      </c>
      <c r="AA139">
        <v>0.32016009717241328</v>
      </c>
      <c r="AB139" t="str">
        <f>HYPERLINK("Melting_Curves/meltCurve_B4DQ51_ACADSB.pdf", "Melting_Curves/meltCurve_B4DQ51_ACADSB.pdf")</f>
        <v>Melting_Curves/meltCurve_B4DQ51_ACADSB.pdf</v>
      </c>
    </row>
    <row r="140" spans="1:28" x14ac:dyDescent="0.25">
      <c r="A140" t="s">
        <v>144</v>
      </c>
      <c r="B140">
        <v>0.99930955844802105</v>
      </c>
      <c r="C140">
        <v>0.77881809929142498</v>
      </c>
      <c r="D140">
        <v>0.277980337442361</v>
      </c>
      <c r="E140">
        <v>0.25287350391187102</v>
      </c>
      <c r="F140">
        <v>0.14718260080266801</v>
      </c>
      <c r="G140">
        <v>8.5086229018709894E-2</v>
      </c>
      <c r="H140">
        <v>4.3068855292772101E-2</v>
      </c>
      <c r="I140">
        <v>3.9279815701875803E-2</v>
      </c>
      <c r="J140">
        <v>3.6327068002896999E-2</v>
      </c>
      <c r="K140">
        <v>3.0810457964066399E-2</v>
      </c>
      <c r="L140">
        <v>1258.8136111573299</v>
      </c>
      <c r="M140">
        <v>28.311437933422798</v>
      </c>
      <c r="N140">
        <v>44.729633901636497</v>
      </c>
      <c r="O140">
        <v>44.242998652248502</v>
      </c>
      <c r="P140">
        <v>-0.14755973072817499</v>
      </c>
      <c r="Q140">
        <v>7.7625964736107805E-2</v>
      </c>
      <c r="R140">
        <v>0.9677440154618</v>
      </c>
      <c r="S140" t="s">
        <v>6757</v>
      </c>
      <c r="T140" t="s">
        <v>13232</v>
      </c>
      <c r="U140" t="s">
        <v>13232</v>
      </c>
      <c r="V140" t="s">
        <v>13232</v>
      </c>
      <c r="W140" t="s">
        <v>13370</v>
      </c>
      <c r="X140">
        <v>2</v>
      </c>
      <c r="Y140" t="s">
        <v>19907</v>
      </c>
      <c r="Z140" t="s">
        <v>26271</v>
      </c>
      <c r="AA140">
        <v>0.2220841709957963</v>
      </c>
      <c r="AB140" t="str">
        <f>HYPERLINK("Melting_Curves/meltCurve_B4DQE7_HDAC8.pdf", "Melting_Curves/meltCurve_B4DQE7_HDAC8.pdf")</f>
        <v>Melting_Curves/meltCurve_B4DQE7_HDAC8.pdf</v>
      </c>
    </row>
    <row r="141" spans="1:28" x14ac:dyDescent="0.25">
      <c r="A141" t="s">
        <v>145</v>
      </c>
      <c r="B141">
        <v>0.99930955844802105</v>
      </c>
      <c r="C141">
        <v>0.50485142151791496</v>
      </c>
      <c r="D141">
        <v>0.59021183071706596</v>
      </c>
      <c r="E141">
        <v>0.446006090291164</v>
      </c>
      <c r="F141">
        <v>0.35301712712277</v>
      </c>
      <c r="G141">
        <v>0.24431971340640299</v>
      </c>
      <c r="H141">
        <v>0.13561448349598401</v>
      </c>
      <c r="I141">
        <v>3.9639879896924003E-2</v>
      </c>
      <c r="J141">
        <v>5.4145470003096302E-2</v>
      </c>
      <c r="K141">
        <v>4.8196781259379699E-2</v>
      </c>
      <c r="L141">
        <v>396.90824532719301</v>
      </c>
      <c r="M141">
        <v>8.3207275172836095</v>
      </c>
      <c r="N141">
        <v>47.701147465396801</v>
      </c>
      <c r="O141">
        <v>45.184292414073703</v>
      </c>
      <c r="P141">
        <v>-4.608268473695E-2</v>
      </c>
      <c r="Q141">
        <v>0</v>
      </c>
      <c r="R141">
        <v>0.89964464646867703</v>
      </c>
      <c r="S141" t="s">
        <v>6758</v>
      </c>
      <c r="T141" t="s">
        <v>13232</v>
      </c>
      <c r="U141" t="s">
        <v>13232</v>
      </c>
      <c r="V141" t="s">
        <v>13232</v>
      </c>
      <c r="W141" t="s">
        <v>13371</v>
      </c>
      <c r="X141">
        <v>6</v>
      </c>
      <c r="Y141" t="s">
        <v>19908</v>
      </c>
      <c r="Z141" t="s">
        <v>26272</v>
      </c>
      <c r="AA141">
        <v>0.32761444865401662</v>
      </c>
      <c r="AB141" t="str">
        <f>HYPERLINK("Melting_Curves/meltCurve_B4DQH9_RANBP10.pdf", "Melting_Curves/meltCurve_B4DQH9_RANBP10.pdf")</f>
        <v>Melting_Curves/meltCurve_B4DQH9_RANBP10.pdf</v>
      </c>
    </row>
    <row r="142" spans="1:28" x14ac:dyDescent="0.25">
      <c r="A142" t="s">
        <v>146</v>
      </c>
      <c r="B142">
        <v>0.99930955844802105</v>
      </c>
      <c r="C142">
        <v>0.98585063195234401</v>
      </c>
      <c r="D142">
        <v>1.0795055758709799</v>
      </c>
      <c r="E142">
        <v>0.97977442046845598</v>
      </c>
      <c r="F142">
        <v>0.73568940246764503</v>
      </c>
      <c r="G142">
        <v>0.178753642438674</v>
      </c>
      <c r="H142">
        <v>9.6158031627814694E-2</v>
      </c>
      <c r="I142">
        <v>7.0270080460561102E-2</v>
      </c>
      <c r="J142">
        <v>6.1308432740542401E-2</v>
      </c>
      <c r="K142">
        <v>4.7318892488153401E-2</v>
      </c>
      <c r="L142">
        <v>2202.7438581664901</v>
      </c>
      <c r="M142">
        <v>40.617928806291602</v>
      </c>
      <c r="N142">
        <v>54.418432810248099</v>
      </c>
      <c r="O142">
        <v>54.099870856346001</v>
      </c>
      <c r="P142">
        <v>-0.175435996227462</v>
      </c>
      <c r="Q142">
        <v>6.5334272885923902E-2</v>
      </c>
      <c r="R142">
        <v>0.996156909960623</v>
      </c>
      <c r="S142" t="s">
        <v>6759</v>
      </c>
      <c r="T142" t="s">
        <v>13232</v>
      </c>
      <c r="U142" t="s">
        <v>13232</v>
      </c>
      <c r="V142" t="s">
        <v>13232</v>
      </c>
      <c r="W142" t="s">
        <v>13372</v>
      </c>
      <c r="X142">
        <v>32</v>
      </c>
      <c r="Y142" t="s">
        <v>19909</v>
      </c>
      <c r="Z142" t="s">
        <v>26273</v>
      </c>
      <c r="AA142">
        <v>0.51209322240126964</v>
      </c>
      <c r="AB142" t="str">
        <f>HYPERLINK("Melting_Curves/meltCurve_B4DQJ8_PGD.pdf", "Melting_Curves/meltCurve_B4DQJ8_PGD.pdf")</f>
        <v>Melting_Curves/meltCurve_B4DQJ8_PGD.pdf</v>
      </c>
    </row>
    <row r="143" spans="1:28" x14ac:dyDescent="0.25">
      <c r="A143" t="s">
        <v>147</v>
      </c>
      <c r="B143">
        <v>0.99930955844802105</v>
      </c>
      <c r="C143">
        <v>0.85960363905525405</v>
      </c>
      <c r="D143">
        <v>0.58965629097290195</v>
      </c>
      <c r="E143">
        <v>0.37530934950438499</v>
      </c>
      <c r="F143">
        <v>0.22357195607076299</v>
      </c>
      <c r="G143">
        <v>0.12156692699011699</v>
      </c>
      <c r="H143">
        <v>8.10484386262708E-2</v>
      </c>
      <c r="I143">
        <v>4.3583247841795202E-2</v>
      </c>
      <c r="J143">
        <v>2.9347274104412999E-2</v>
      </c>
      <c r="K143">
        <v>2.0079031322955101E-2</v>
      </c>
      <c r="L143">
        <v>685.86142970079197</v>
      </c>
      <c r="M143">
        <v>14.366201846773301</v>
      </c>
      <c r="N143">
        <v>47.9095401862185</v>
      </c>
      <c r="O143">
        <v>46.844861188887101</v>
      </c>
      <c r="P143">
        <v>-7.4792295578042706E-2</v>
      </c>
      <c r="Q143">
        <v>2.4595139854717701E-2</v>
      </c>
      <c r="R143">
        <v>0.99377572520506796</v>
      </c>
      <c r="S143" t="s">
        <v>6760</v>
      </c>
      <c r="T143" t="s">
        <v>13232</v>
      </c>
      <c r="U143" t="s">
        <v>13232</v>
      </c>
      <c r="V143" t="s">
        <v>13232</v>
      </c>
      <c r="W143" t="s">
        <v>13373</v>
      </c>
      <c r="X143">
        <v>1</v>
      </c>
      <c r="Y143" t="s">
        <v>19910</v>
      </c>
      <c r="Z143" t="s">
        <v>26274</v>
      </c>
      <c r="AA143">
        <v>0.30398544596771748</v>
      </c>
      <c r="AB143" t="str">
        <f>HYPERLINK("Melting_Curves/meltCurve_B4DR03_NAA40.pdf", "Melting_Curves/meltCurve_B4DR03_NAA40.pdf")</f>
        <v>Melting_Curves/meltCurve_B4DR03_NAA40.pdf</v>
      </c>
    </row>
    <row r="144" spans="1:28" x14ac:dyDescent="0.25">
      <c r="A144" t="s">
        <v>148</v>
      </c>
      <c r="B144">
        <v>0.99930955844802105</v>
      </c>
      <c r="C144">
        <v>0.82024439081856904</v>
      </c>
      <c r="D144">
        <v>0.78534556608114103</v>
      </c>
      <c r="E144">
        <v>0.81774811795940705</v>
      </c>
      <c r="F144">
        <v>0.501019329228512</v>
      </c>
      <c r="G144">
        <v>0.27459987473589298</v>
      </c>
      <c r="H144">
        <v>0.13565937500897199</v>
      </c>
      <c r="I144">
        <v>0.13674666825839599</v>
      </c>
      <c r="J144">
        <v>7.2074407360115306E-2</v>
      </c>
      <c r="K144">
        <v>8.2628080988540506E-2</v>
      </c>
      <c r="L144">
        <v>624.74346914683099</v>
      </c>
      <c r="M144">
        <v>11.7467546463088</v>
      </c>
      <c r="N144">
        <v>53.184344745002797</v>
      </c>
      <c r="O144">
        <v>51.7131912134342</v>
      </c>
      <c r="P144">
        <v>-5.6802867508387103E-2</v>
      </c>
      <c r="Q144">
        <v>0</v>
      </c>
      <c r="R144">
        <v>0.96182364923706298</v>
      </c>
      <c r="S144" t="s">
        <v>6761</v>
      </c>
      <c r="T144" t="s">
        <v>13232</v>
      </c>
      <c r="U144" t="s">
        <v>13232</v>
      </c>
      <c r="V144" t="s">
        <v>13232</v>
      </c>
      <c r="W144" t="s">
        <v>13374</v>
      </c>
      <c r="X144">
        <v>1</v>
      </c>
      <c r="Y144" t="s">
        <v>19911</v>
      </c>
      <c r="Z144" t="s">
        <v>26275</v>
      </c>
      <c r="AA144">
        <v>0.46818244889965449</v>
      </c>
      <c r="AB144" t="str">
        <f>HYPERLINK("Melting_Curves/meltCurve_B4DR67_ALG5.pdf", "Melting_Curves/meltCurve_B4DR67_ALG5.pdf")</f>
        <v>Melting_Curves/meltCurve_B4DR67_ALG5.pdf</v>
      </c>
    </row>
    <row r="145" spans="1:28" x14ac:dyDescent="0.25">
      <c r="A145" t="s">
        <v>149</v>
      </c>
      <c r="B145">
        <v>0.99930955844802105</v>
      </c>
      <c r="C145">
        <v>0.91385784864274</v>
      </c>
      <c r="D145">
        <v>0.79565245559450803</v>
      </c>
      <c r="E145">
        <v>0.58373549385006895</v>
      </c>
      <c r="F145">
        <v>0.43112447586995001</v>
      </c>
      <c r="G145">
        <v>0.36565229923006098</v>
      </c>
      <c r="H145">
        <v>0.314963954323147</v>
      </c>
      <c r="I145">
        <v>0.29879259370941502</v>
      </c>
      <c r="J145">
        <v>0.34919097869738402</v>
      </c>
      <c r="K145">
        <v>0.25134292367385302</v>
      </c>
      <c r="L145">
        <v>760.71702549739598</v>
      </c>
      <c r="M145">
        <v>15.613874144979601</v>
      </c>
      <c r="N145">
        <v>51.564759806906601</v>
      </c>
      <c r="O145">
        <v>47.9423864153963</v>
      </c>
      <c r="P145">
        <v>-5.7920945566316898E-2</v>
      </c>
      <c r="Q145">
        <v>0.28867638257379302</v>
      </c>
      <c r="R145">
        <v>0.991995441923199</v>
      </c>
      <c r="S145" t="s">
        <v>6762</v>
      </c>
      <c r="T145" t="s">
        <v>13232</v>
      </c>
      <c r="U145" t="s">
        <v>13232</v>
      </c>
      <c r="V145" t="s">
        <v>13232</v>
      </c>
      <c r="W145" t="s">
        <v>13375</v>
      </c>
      <c r="X145">
        <v>2</v>
      </c>
      <c r="Y145" t="s">
        <v>19912</v>
      </c>
      <c r="Z145" t="s">
        <v>26276</v>
      </c>
      <c r="AA145">
        <v>0.51187483160852121</v>
      </c>
      <c r="AB145" t="str">
        <f>HYPERLINK("Melting_Curves/meltCurve_B4DRC4_ASB6.pdf", "Melting_Curves/meltCurve_B4DRC4_ASB6.pdf")</f>
        <v>Melting_Curves/meltCurve_B4DRC4_ASB6.pdf</v>
      </c>
    </row>
    <row r="146" spans="1:28" x14ac:dyDescent="0.25">
      <c r="A146" t="s">
        <v>150</v>
      </c>
      <c r="B146">
        <v>0.99930955844802105</v>
      </c>
      <c r="C146">
        <v>1.18132533002604</v>
      </c>
      <c r="D146">
        <v>1.15722318502036</v>
      </c>
      <c r="E146">
        <v>1.1619194773495101</v>
      </c>
      <c r="F146">
        <v>1.1427188857002599</v>
      </c>
      <c r="G146">
        <v>1.06065807784544</v>
      </c>
      <c r="H146">
        <v>1.06822893791258</v>
      </c>
      <c r="I146">
        <v>1.13675526395364</v>
      </c>
      <c r="J146">
        <v>0.94157095004315206</v>
      </c>
      <c r="K146">
        <v>0.74194079803084401</v>
      </c>
      <c r="L146">
        <v>15000</v>
      </c>
      <c r="M146">
        <v>222.65150143991499</v>
      </c>
      <c r="O146">
        <v>67.364422585794898</v>
      </c>
      <c r="P146">
        <v>-0.21328287515408301</v>
      </c>
      <c r="Q146">
        <v>0.74188042535318999</v>
      </c>
      <c r="R146">
        <v>0.21057527302655099</v>
      </c>
      <c r="S146" t="s">
        <v>6763</v>
      </c>
      <c r="T146" t="s">
        <v>13232</v>
      </c>
      <c r="U146" t="s">
        <v>13232</v>
      </c>
      <c r="V146" t="s">
        <v>13232</v>
      </c>
      <c r="W146" t="s">
        <v>13376</v>
      </c>
      <c r="X146">
        <v>7</v>
      </c>
      <c r="Y146" t="s">
        <v>19913</v>
      </c>
      <c r="Z146" t="s">
        <v>26277</v>
      </c>
      <c r="AA146">
        <v>0.97740811212309542</v>
      </c>
      <c r="AB146" t="str">
        <f>HYPERLINK("Melting_Curves/meltCurve_B4DRD1_DCP1B.pdf", "Melting_Curves/meltCurve_B4DRD1_DCP1B.pdf")</f>
        <v>Melting_Curves/meltCurve_B4DRD1_DCP1B.pdf</v>
      </c>
    </row>
    <row r="147" spans="1:28" x14ac:dyDescent="0.25">
      <c r="A147" t="s">
        <v>151</v>
      </c>
      <c r="B147">
        <v>0.99930955844802105</v>
      </c>
      <c r="C147">
        <v>0.92004703977596902</v>
      </c>
      <c r="D147">
        <v>0.83151451829633505</v>
      </c>
      <c r="E147">
        <v>0.76292877784500301</v>
      </c>
      <c r="F147">
        <v>0.48066988952450201</v>
      </c>
      <c r="G147">
        <v>0.21625715177747001</v>
      </c>
      <c r="H147">
        <v>0.148166376409924</v>
      </c>
      <c r="I147">
        <v>0.11822550735364901</v>
      </c>
      <c r="J147">
        <v>9.7279011860815404E-2</v>
      </c>
      <c r="K147">
        <v>7.9423835677316798E-2</v>
      </c>
      <c r="L147">
        <v>812.44015380996802</v>
      </c>
      <c r="M147">
        <v>15.523313612698299</v>
      </c>
      <c r="N147">
        <v>52.740000437331197</v>
      </c>
      <c r="O147">
        <v>51.491311166253098</v>
      </c>
      <c r="P147">
        <v>-7.1157569577106297E-2</v>
      </c>
      <c r="Q147">
        <v>5.5955944560349198E-2</v>
      </c>
      <c r="R147">
        <v>0.98850765590588996</v>
      </c>
      <c r="S147" t="s">
        <v>6764</v>
      </c>
      <c r="T147" t="s">
        <v>13232</v>
      </c>
      <c r="U147" t="s">
        <v>13232</v>
      </c>
      <c r="V147" t="s">
        <v>13232</v>
      </c>
      <c r="W147" t="s">
        <v>13377</v>
      </c>
      <c r="X147">
        <v>1</v>
      </c>
      <c r="Y147" t="s">
        <v>19914</v>
      </c>
      <c r="Z147" t="s">
        <v>26278</v>
      </c>
      <c r="AA147">
        <v>0.46397634938442101</v>
      </c>
      <c r="AB147" t="str">
        <f>HYPERLINK("Melting_Curves/meltCurve_B4DRL8_SEMA3C.pdf", "Melting_Curves/meltCurve_B4DRL8_SEMA3C.pdf")</f>
        <v>Melting_Curves/meltCurve_B4DRL8_SEMA3C.pdf</v>
      </c>
    </row>
    <row r="148" spans="1:28" x14ac:dyDescent="0.25">
      <c r="A148" t="s">
        <v>152</v>
      </c>
      <c r="B148">
        <v>0.99930955844802105</v>
      </c>
      <c r="C148">
        <v>1.01163950270033</v>
      </c>
      <c r="D148">
        <v>0.94362646102358105</v>
      </c>
      <c r="E148">
        <v>0.87503549762166499</v>
      </c>
      <c r="F148">
        <v>0.54955381957720695</v>
      </c>
      <c r="G148">
        <v>0.24989669595828101</v>
      </c>
      <c r="H148">
        <v>0.14220091279758401</v>
      </c>
      <c r="I148">
        <v>0.133170021532658</v>
      </c>
      <c r="J148">
        <v>0.13631230387798901</v>
      </c>
      <c r="K148">
        <v>8.5572057770263998E-2</v>
      </c>
      <c r="L148">
        <v>1380.9892710137301</v>
      </c>
      <c r="M148">
        <v>26.019546728256</v>
      </c>
      <c r="N148">
        <v>53.607910150289896</v>
      </c>
      <c r="O148">
        <v>52.764541537957101</v>
      </c>
      <c r="P148">
        <v>-0.109235626921666</v>
      </c>
      <c r="Q148">
        <v>0.113942804905123</v>
      </c>
      <c r="R148">
        <v>0.99726837910314003</v>
      </c>
      <c r="S148" t="s">
        <v>6765</v>
      </c>
      <c r="T148" t="s">
        <v>13232</v>
      </c>
      <c r="U148" t="s">
        <v>13232</v>
      </c>
      <c r="V148" t="s">
        <v>13232</v>
      </c>
      <c r="W148" t="s">
        <v>13378</v>
      </c>
      <c r="X148">
        <v>11</v>
      </c>
      <c r="Y148" t="s">
        <v>19915</v>
      </c>
      <c r="Z148" t="s">
        <v>26279</v>
      </c>
      <c r="AA148">
        <v>0.50768801753200055</v>
      </c>
      <c r="AB148" t="str">
        <f>HYPERLINK("Melting_Curves/meltCurve_B4DRL9_CHM.pdf", "Melting_Curves/meltCurve_B4DRL9_CHM.pdf")</f>
        <v>Melting_Curves/meltCurve_B4DRL9_CHM.pdf</v>
      </c>
    </row>
    <row r="149" spans="1:28" x14ac:dyDescent="0.25">
      <c r="A149" t="s">
        <v>153</v>
      </c>
      <c r="B149">
        <v>0.99930955844802105</v>
      </c>
      <c r="C149">
        <v>0.99527627471278901</v>
      </c>
      <c r="D149">
        <v>1.0504913919046599</v>
      </c>
      <c r="E149">
        <v>0.95738218513290796</v>
      </c>
      <c r="F149">
        <v>0.75252980678293702</v>
      </c>
      <c r="G149">
        <v>0.58425985712238704</v>
      </c>
      <c r="H149">
        <v>0.53206049735485295</v>
      </c>
      <c r="I149">
        <v>0.537920023874084</v>
      </c>
      <c r="J149">
        <v>0.55739431786011495</v>
      </c>
      <c r="K149">
        <v>0.41137284540805003</v>
      </c>
      <c r="L149">
        <v>1596.3760363403601</v>
      </c>
      <c r="M149">
        <v>29.976344059870399</v>
      </c>
      <c r="O149">
        <v>53.019203714093599</v>
      </c>
      <c r="P149">
        <v>-6.9573943982378206E-2</v>
      </c>
      <c r="Q149">
        <v>0.50778100397561099</v>
      </c>
      <c r="R149">
        <v>0.96836882520367895</v>
      </c>
      <c r="S149" t="s">
        <v>6766</v>
      </c>
      <c r="T149" t="s">
        <v>13232</v>
      </c>
      <c r="U149" t="s">
        <v>13232</v>
      </c>
      <c r="V149" t="s">
        <v>13232</v>
      </c>
      <c r="W149" t="s">
        <v>13379</v>
      </c>
      <c r="X149">
        <v>4</v>
      </c>
      <c r="Y149" t="s">
        <v>19916</v>
      </c>
      <c r="Z149" t="s">
        <v>26280</v>
      </c>
      <c r="AA149">
        <v>0.728460161247664</v>
      </c>
      <c r="AB149" t="str">
        <f>HYPERLINK("Melting_Curves/meltCurve_B4DRM7_SIMC1.pdf", "Melting_Curves/meltCurve_B4DRM7_SIMC1.pdf")</f>
        <v>Melting_Curves/meltCurve_B4DRM7_SIMC1.pdf</v>
      </c>
    </row>
    <row r="150" spans="1:28" x14ac:dyDescent="0.25">
      <c r="A150" t="s">
        <v>154</v>
      </c>
      <c r="B150">
        <v>0.99930955844802105</v>
      </c>
      <c r="C150">
        <v>0.94887624319376396</v>
      </c>
      <c r="D150">
        <v>0.89756728114302398</v>
      </c>
      <c r="E150">
        <v>0.67293614721193096</v>
      </c>
      <c r="F150">
        <v>0.34653827422663402</v>
      </c>
      <c r="G150">
        <v>0.146512881987274</v>
      </c>
      <c r="H150">
        <v>8.1474252840866901E-2</v>
      </c>
      <c r="I150">
        <v>5.8554685028842701E-2</v>
      </c>
      <c r="J150">
        <v>7.0936853187163598E-2</v>
      </c>
      <c r="K150">
        <v>5.1359506329526898E-2</v>
      </c>
      <c r="L150">
        <v>1082.5712658436701</v>
      </c>
      <c r="M150">
        <v>21.133854329202599</v>
      </c>
      <c r="N150">
        <v>51.482264171534801</v>
      </c>
      <c r="O150">
        <v>50.772477799440701</v>
      </c>
      <c r="P150">
        <v>-9.8840056790813993E-2</v>
      </c>
      <c r="Q150">
        <v>5.0201859650199701E-2</v>
      </c>
      <c r="R150">
        <v>0.99789948874352996</v>
      </c>
      <c r="S150" t="s">
        <v>6767</v>
      </c>
      <c r="T150" t="s">
        <v>13232</v>
      </c>
      <c r="U150" t="s">
        <v>13232</v>
      </c>
      <c r="V150" t="s">
        <v>13232</v>
      </c>
      <c r="W150" t="s">
        <v>13380</v>
      </c>
      <c r="X150">
        <v>4</v>
      </c>
      <c r="Y150" t="s">
        <v>19917</v>
      </c>
      <c r="Z150" t="s">
        <v>26281</v>
      </c>
      <c r="AA150">
        <v>0.41745486642469942</v>
      </c>
      <c r="AB150" t="str">
        <f>HYPERLINK("Melting_Curves/meltCurve_B4DRS7_SH2D3A.pdf", "Melting_Curves/meltCurve_B4DRS7_SH2D3A.pdf")</f>
        <v>Melting_Curves/meltCurve_B4DRS7_SH2D3A.pdf</v>
      </c>
    </row>
    <row r="151" spans="1:28" x14ac:dyDescent="0.25">
      <c r="A151" t="s">
        <v>155</v>
      </c>
      <c r="B151">
        <v>0.99930955844802105</v>
      </c>
      <c r="C151">
        <v>0.90790784659144397</v>
      </c>
      <c r="D151">
        <v>0.90459436724076103</v>
      </c>
      <c r="E151">
        <v>0.729298799249672</v>
      </c>
      <c r="F151">
        <v>0.383728115189716</v>
      </c>
      <c r="G151">
        <v>0.28264834658844001</v>
      </c>
      <c r="H151">
        <v>0.21773952806687899</v>
      </c>
      <c r="I151">
        <v>0.19910517048815499</v>
      </c>
      <c r="J151">
        <v>0.192953686488186</v>
      </c>
      <c r="K151">
        <v>0.14929278424860401</v>
      </c>
      <c r="L151">
        <v>1046.0168043204901</v>
      </c>
      <c r="M151">
        <v>20.488861856470098</v>
      </c>
      <c r="N151">
        <v>52.1598083990596</v>
      </c>
      <c r="O151">
        <v>50.574076894453597</v>
      </c>
      <c r="P151">
        <v>-8.3428185883236902E-2</v>
      </c>
      <c r="Q151">
        <v>0.17629808563746999</v>
      </c>
      <c r="R151">
        <v>0.987276604619167</v>
      </c>
      <c r="S151" t="s">
        <v>6768</v>
      </c>
      <c r="T151" t="s">
        <v>13232</v>
      </c>
      <c r="U151" t="s">
        <v>13232</v>
      </c>
      <c r="V151" t="s">
        <v>13232</v>
      </c>
      <c r="W151" t="s">
        <v>13381</v>
      </c>
      <c r="X151">
        <v>15</v>
      </c>
      <c r="Y151" t="s">
        <v>19918</v>
      </c>
      <c r="Z151" t="s">
        <v>26282</v>
      </c>
      <c r="AA151">
        <v>0.49070265035989868</v>
      </c>
      <c r="AB151" t="str">
        <f>HYPERLINK("Melting_Curves/meltCurve_B4DS61_SRPK1.pdf", "Melting_Curves/meltCurve_B4DS61_SRPK1.pdf")</f>
        <v>Melting_Curves/meltCurve_B4DS61_SRPK1.pdf</v>
      </c>
    </row>
    <row r="152" spans="1:28" x14ac:dyDescent="0.25">
      <c r="A152" t="s">
        <v>156</v>
      </c>
      <c r="B152">
        <v>0.99930955844802105</v>
      </c>
      <c r="C152">
        <v>1.0872963568109</v>
      </c>
      <c r="D152">
        <v>0.92871857060227303</v>
      </c>
      <c r="E152">
        <v>0.88170884229623203</v>
      </c>
      <c r="F152">
        <v>0.65778788808329702</v>
      </c>
      <c r="G152">
        <v>0.67770356780730601</v>
      </c>
      <c r="H152">
        <v>0.65857131754438802</v>
      </c>
      <c r="I152">
        <v>0.71840576358197805</v>
      </c>
      <c r="J152">
        <v>0.67178338268354099</v>
      </c>
      <c r="K152">
        <v>0.47105459285139001</v>
      </c>
      <c r="L152">
        <v>2782.7075574279502</v>
      </c>
      <c r="M152">
        <v>54.975292073395401</v>
      </c>
      <c r="O152">
        <v>50.550560841976399</v>
      </c>
      <c r="P152">
        <v>-9.8431091760497302E-2</v>
      </c>
      <c r="Q152">
        <v>0.63796495426599997</v>
      </c>
      <c r="R152">
        <v>0.84656298164743304</v>
      </c>
      <c r="S152" t="s">
        <v>6769</v>
      </c>
      <c r="T152" t="s">
        <v>13232</v>
      </c>
      <c r="U152" t="s">
        <v>13232</v>
      </c>
      <c r="V152" t="s">
        <v>13232</v>
      </c>
      <c r="W152" t="s">
        <v>13382</v>
      </c>
      <c r="X152">
        <v>3</v>
      </c>
      <c r="Y152" t="s">
        <v>19919</v>
      </c>
      <c r="Z152" t="s">
        <v>26283</v>
      </c>
      <c r="AA152">
        <v>0.76676224410084437</v>
      </c>
      <c r="AB152" t="str">
        <f>HYPERLINK("Melting_Curves/meltCurve_B4DS76_MAP3K11.pdf", "Melting_Curves/meltCurve_B4DS76_MAP3K11.pdf")</f>
        <v>Melting_Curves/meltCurve_B4DS76_MAP3K11.pdf</v>
      </c>
    </row>
    <row r="153" spans="1:28" x14ac:dyDescent="0.25">
      <c r="A153" t="s">
        <v>157</v>
      </c>
      <c r="B153">
        <v>0.99930955844802105</v>
      </c>
      <c r="C153">
        <v>0.93146365699557498</v>
      </c>
      <c r="D153">
        <v>0.71791024707954099</v>
      </c>
      <c r="E153">
        <v>0.49417795871081899</v>
      </c>
      <c r="F153">
        <v>0.32309530807243197</v>
      </c>
      <c r="G153">
        <v>0.20731220932368299</v>
      </c>
      <c r="H153">
        <v>0.13043861662261999</v>
      </c>
      <c r="I153">
        <v>0.1048955832266</v>
      </c>
      <c r="J153">
        <v>8.4724306811421304E-2</v>
      </c>
      <c r="K153">
        <v>7.0195580683522801E-2</v>
      </c>
      <c r="L153">
        <v>693.53886299702697</v>
      </c>
      <c r="M153">
        <v>14.054967391936099</v>
      </c>
      <c r="N153">
        <v>49.858203105406801</v>
      </c>
      <c r="O153">
        <v>48.378025041620198</v>
      </c>
      <c r="P153">
        <v>-6.7746098228225998E-2</v>
      </c>
      <c r="Q153">
        <v>6.7377061402462399E-2</v>
      </c>
      <c r="R153">
        <v>0.99668054307974396</v>
      </c>
      <c r="S153" t="s">
        <v>6770</v>
      </c>
      <c r="T153" t="s">
        <v>13232</v>
      </c>
      <c r="U153" t="s">
        <v>13232</v>
      </c>
      <c r="V153" t="s">
        <v>13232</v>
      </c>
      <c r="W153" t="s">
        <v>13383</v>
      </c>
      <c r="X153">
        <v>9</v>
      </c>
      <c r="Y153" t="s">
        <v>19920</v>
      </c>
      <c r="Z153" t="s">
        <v>26284</v>
      </c>
      <c r="AA153">
        <v>0.38346854784479772</v>
      </c>
      <c r="AB153" t="str">
        <f>HYPERLINK("Melting_Curves/meltCurve_B4DSS5_KIAA0513.pdf", "Melting_Curves/meltCurve_B4DSS5_KIAA0513.pdf")</f>
        <v>Melting_Curves/meltCurve_B4DSS5_KIAA0513.pdf</v>
      </c>
    </row>
    <row r="154" spans="1:28" x14ac:dyDescent="0.25">
      <c r="A154" t="s">
        <v>158</v>
      </c>
      <c r="B154">
        <v>0.99930955844802105</v>
      </c>
      <c r="C154">
        <v>1.06970181058499</v>
      </c>
      <c r="D154">
        <v>1.03842119329095</v>
      </c>
      <c r="E154">
        <v>0.95218322746297301</v>
      </c>
      <c r="F154">
        <v>0.847778652281025</v>
      </c>
      <c r="G154">
        <v>0.46349303868762998</v>
      </c>
      <c r="H154">
        <v>0.169213063582145</v>
      </c>
      <c r="I154">
        <v>9.6982354139161994E-2</v>
      </c>
      <c r="J154">
        <v>6.7439219560802594E-2</v>
      </c>
      <c r="K154">
        <v>5.1695858982548699E-2</v>
      </c>
      <c r="L154">
        <v>1432.9161703251</v>
      </c>
      <c r="M154">
        <v>25.3967247348013</v>
      </c>
      <c r="N154">
        <v>56.648823608407398</v>
      </c>
      <c r="O154">
        <v>56.074964094297101</v>
      </c>
      <c r="P154">
        <v>-0.107737982205348</v>
      </c>
      <c r="Q154">
        <v>4.8487117003784899E-2</v>
      </c>
      <c r="R154">
        <v>0.99619502953264805</v>
      </c>
      <c r="S154" t="s">
        <v>6771</v>
      </c>
      <c r="T154" t="s">
        <v>13232</v>
      </c>
      <c r="U154" t="s">
        <v>13232</v>
      </c>
      <c r="V154" t="s">
        <v>13232</v>
      </c>
      <c r="W154" t="s">
        <v>13384</v>
      </c>
      <c r="X154">
        <v>9</v>
      </c>
      <c r="Y154" t="s">
        <v>19921</v>
      </c>
      <c r="Z154" t="s">
        <v>26285</v>
      </c>
      <c r="AA154">
        <v>0.57778299192960147</v>
      </c>
      <c r="AB154" t="str">
        <f>HYPERLINK("Melting_Curves/meltCurve_B4DT55_WDR41.pdf", "Melting_Curves/meltCurve_B4DT55_WDR41.pdf")</f>
        <v>Melting_Curves/meltCurve_B4DT55_WDR41.pdf</v>
      </c>
    </row>
    <row r="155" spans="1:28" x14ac:dyDescent="0.25">
      <c r="A155" t="s">
        <v>159</v>
      </c>
      <c r="B155">
        <v>0.99930955844802105</v>
      </c>
      <c r="C155">
        <v>1.1009934985923699</v>
      </c>
      <c r="D155">
        <v>1.08525933025494</v>
      </c>
      <c r="E155">
        <v>0.93725253205175596</v>
      </c>
      <c r="F155">
        <v>0.26001016091554602</v>
      </c>
      <c r="G155">
        <v>0.14839131571599201</v>
      </c>
      <c r="H155">
        <v>9.5340063832685798E-2</v>
      </c>
      <c r="I155">
        <v>8.5812239682420396E-2</v>
      </c>
      <c r="J155">
        <v>7.92355720156427E-2</v>
      </c>
      <c r="K155">
        <v>6.2771826981145196E-2</v>
      </c>
      <c r="L155">
        <v>3584.9813566490302</v>
      </c>
      <c r="M155">
        <v>69.124090050625398</v>
      </c>
      <c r="N155">
        <v>52.0191958289588</v>
      </c>
      <c r="O155">
        <v>51.819619526019302</v>
      </c>
      <c r="P155">
        <v>-0.30222795527594198</v>
      </c>
      <c r="Q155">
        <v>9.3726342306951704E-2</v>
      </c>
      <c r="R155">
        <v>0.98937944494269403</v>
      </c>
      <c r="S155" t="s">
        <v>6772</v>
      </c>
      <c r="T155" t="s">
        <v>13232</v>
      </c>
      <c r="U155" t="s">
        <v>13232</v>
      </c>
      <c r="V155" t="s">
        <v>13232</v>
      </c>
      <c r="W155" t="s">
        <v>13274</v>
      </c>
      <c r="X155">
        <v>27</v>
      </c>
      <c r="Y155" t="s">
        <v>19922</v>
      </c>
      <c r="Z155" t="s">
        <v>26286</v>
      </c>
      <c r="AA155">
        <v>0.45317845185837602</v>
      </c>
      <c r="AB155" t="str">
        <f>HYPERLINK("Melting_Curves/meltCurve_B4DT77_ANXA7.pdf", "Melting_Curves/meltCurve_B4DT77_ANXA7.pdf")</f>
        <v>Melting_Curves/meltCurve_B4DT77_ANXA7.pdf</v>
      </c>
    </row>
    <row r="156" spans="1:28" x14ac:dyDescent="0.25">
      <c r="A156" t="s">
        <v>160</v>
      </c>
      <c r="B156">
        <v>0.99930955844802105</v>
      </c>
      <c r="C156">
        <v>1.01467731177237</v>
      </c>
      <c r="D156">
        <v>0.84006563537924295</v>
      </c>
      <c r="E156">
        <v>0.547217711325936</v>
      </c>
      <c r="F156">
        <v>0.371212463116875</v>
      </c>
      <c r="G156">
        <v>0.28552228058151102</v>
      </c>
      <c r="H156">
        <v>0.24455512295263901</v>
      </c>
      <c r="I156">
        <v>0.23672384582404901</v>
      </c>
      <c r="J156">
        <v>0.23203352567683999</v>
      </c>
      <c r="K156">
        <v>0.195073749965085</v>
      </c>
      <c r="L156">
        <v>1026.1972659193</v>
      </c>
      <c r="M156">
        <v>20.837816983357001</v>
      </c>
      <c r="N156">
        <v>50.698677819740603</v>
      </c>
      <c r="O156">
        <v>48.800060563645097</v>
      </c>
      <c r="P156">
        <v>-8.2767205180259706E-2</v>
      </c>
      <c r="Q156">
        <v>0.22469190935694</v>
      </c>
      <c r="R156">
        <v>0.99594179095066104</v>
      </c>
      <c r="S156" t="s">
        <v>6773</v>
      </c>
      <c r="T156" t="s">
        <v>13232</v>
      </c>
      <c r="U156" t="s">
        <v>13232</v>
      </c>
      <c r="V156" t="s">
        <v>13232</v>
      </c>
      <c r="W156" t="s">
        <v>13385</v>
      </c>
      <c r="X156">
        <v>30</v>
      </c>
      <c r="Y156" t="s">
        <v>19923</v>
      </c>
      <c r="Z156" t="s">
        <v>26287</v>
      </c>
      <c r="AA156">
        <v>0.47364077008826189</v>
      </c>
      <c r="AB156" t="str">
        <f>HYPERLINK("Melting_Curves/meltCurve_B4DTU4_LIG1.pdf", "Melting_Curves/meltCurve_B4DTU4_LIG1.pdf")</f>
        <v>Melting_Curves/meltCurve_B4DTU4_LIG1.pdf</v>
      </c>
    </row>
    <row r="157" spans="1:28" x14ac:dyDescent="0.25">
      <c r="A157" t="s">
        <v>161</v>
      </c>
      <c r="B157">
        <v>0.99930955844802105</v>
      </c>
      <c r="C157">
        <v>0.820400350279885</v>
      </c>
      <c r="D157">
        <v>0.95295340932012196</v>
      </c>
      <c r="E157">
        <v>0.82627024564108897</v>
      </c>
      <c r="F157">
        <v>0.83160290777514201</v>
      </c>
      <c r="G157">
        <v>0.75995960221271697</v>
      </c>
      <c r="H157">
        <v>0.64426583785028102</v>
      </c>
      <c r="I157">
        <v>0.68593928640312696</v>
      </c>
      <c r="J157">
        <v>0.67744770403161503</v>
      </c>
      <c r="K157">
        <v>0.55312728000901701</v>
      </c>
      <c r="L157">
        <v>235.54912216345599</v>
      </c>
      <c r="M157">
        <v>3.00592154508201</v>
      </c>
      <c r="O157">
        <v>57.748131550221402</v>
      </c>
      <c r="P157">
        <v>-1.34127700482395E-2</v>
      </c>
      <c r="Q157">
        <v>0</v>
      </c>
      <c r="R157">
        <v>0.851487241016607</v>
      </c>
      <c r="S157" t="s">
        <v>6774</v>
      </c>
      <c r="T157" t="s">
        <v>13232</v>
      </c>
      <c r="U157" t="s">
        <v>13232</v>
      </c>
      <c r="V157" t="s">
        <v>13232</v>
      </c>
      <c r="W157" t="s">
        <v>13386</v>
      </c>
      <c r="X157">
        <v>1</v>
      </c>
      <c r="Y157" t="s">
        <v>19924</v>
      </c>
      <c r="Z157" t="s">
        <v>26288</v>
      </c>
      <c r="AA157">
        <v>0.77755236021311924</v>
      </c>
      <c r="AB157" t="str">
        <f>HYPERLINK("Melting_Curves/meltCurve_B4DTZ6_SLC9A1.pdf", "Melting_Curves/meltCurve_B4DTZ6_SLC9A1.pdf")</f>
        <v>Melting_Curves/meltCurve_B4DTZ6_SLC9A1.pdf</v>
      </c>
    </row>
    <row r="158" spans="1:28" x14ac:dyDescent="0.25">
      <c r="A158" t="s">
        <v>162</v>
      </c>
      <c r="B158">
        <v>0.99930955844802105</v>
      </c>
      <c r="C158">
        <v>0.84639142999466499</v>
      </c>
      <c r="D158">
        <v>0.84001243670862102</v>
      </c>
      <c r="E158">
        <v>0.78351699808040698</v>
      </c>
      <c r="F158">
        <v>0.58585939611229598</v>
      </c>
      <c r="G158">
        <v>0.25318120484364998</v>
      </c>
      <c r="H158">
        <v>0.132252327283048</v>
      </c>
      <c r="I158">
        <v>9.5290847320139593E-2</v>
      </c>
      <c r="J158">
        <v>4.3807102240017201E-2</v>
      </c>
      <c r="K158">
        <v>7.0323869097471597E-2</v>
      </c>
      <c r="L158">
        <v>740.97145012415206</v>
      </c>
      <c r="M158">
        <v>13.8300072814807</v>
      </c>
      <c r="N158">
        <v>53.5770849005701</v>
      </c>
      <c r="O158">
        <v>52.494178233757196</v>
      </c>
      <c r="P158">
        <v>-6.5873623030947501E-2</v>
      </c>
      <c r="Q158">
        <v>0</v>
      </c>
      <c r="R158">
        <v>0.97765601413991299</v>
      </c>
      <c r="S158" t="s">
        <v>6775</v>
      </c>
      <c r="T158" t="s">
        <v>13232</v>
      </c>
      <c r="U158" t="s">
        <v>13232</v>
      </c>
      <c r="V158" t="s">
        <v>13232</v>
      </c>
      <c r="W158" t="s">
        <v>13387</v>
      </c>
      <c r="X158">
        <v>3</v>
      </c>
      <c r="Y158" t="s">
        <v>19925</v>
      </c>
      <c r="Z158" t="s">
        <v>26289</v>
      </c>
      <c r="AA158">
        <v>0.47577969892960092</v>
      </c>
      <c r="AB158" t="str">
        <f>HYPERLINK("Melting_Curves/meltCurve_B4DU60_CLYBL.pdf", "Melting_Curves/meltCurve_B4DU60_CLYBL.pdf")</f>
        <v>Melting_Curves/meltCurve_B4DU60_CLYBL.pdf</v>
      </c>
    </row>
    <row r="159" spans="1:28" x14ac:dyDescent="0.25">
      <c r="A159" t="s">
        <v>163</v>
      </c>
      <c r="B159">
        <v>0.99930955844802105</v>
      </c>
      <c r="C159">
        <v>1.05923926909292</v>
      </c>
      <c r="D159">
        <v>1.1779211214540299</v>
      </c>
      <c r="E159">
        <v>1.1469654970196299</v>
      </c>
      <c r="F159">
        <v>1.08448328623637</v>
      </c>
      <c r="G159">
        <v>0.87174063800046397</v>
      </c>
      <c r="H159">
        <v>0.90455636745207801</v>
      </c>
      <c r="I159">
        <v>0.87576226574611804</v>
      </c>
      <c r="J159">
        <v>0.942254662194284</v>
      </c>
      <c r="K159">
        <v>0.83809957313010497</v>
      </c>
      <c r="L159">
        <v>6215.5070896387797</v>
      </c>
      <c r="M159">
        <v>112.3196021663</v>
      </c>
      <c r="O159">
        <v>55.320151516856797</v>
      </c>
      <c r="P159">
        <v>-5.7921654256100699E-2</v>
      </c>
      <c r="Q159">
        <v>0.88588867768826796</v>
      </c>
      <c r="R159">
        <v>0.47332474951839898</v>
      </c>
      <c r="S159" t="s">
        <v>6776</v>
      </c>
      <c r="T159" t="s">
        <v>13232</v>
      </c>
      <c r="U159" t="s">
        <v>13232</v>
      </c>
      <c r="V159" t="s">
        <v>13232</v>
      </c>
      <c r="W159" t="s">
        <v>13388</v>
      </c>
      <c r="X159">
        <v>12</v>
      </c>
      <c r="Y159" t="s">
        <v>19926</v>
      </c>
      <c r="Z159" t="s">
        <v>26290</v>
      </c>
      <c r="AA159">
        <v>0.94428375653627583</v>
      </c>
      <c r="AB159" t="str">
        <f>HYPERLINK("Melting_Curves/meltCurve_B4DUI3_EIF3J.pdf", "Melting_Curves/meltCurve_B4DUI3_EIF3J.pdf")</f>
        <v>Melting_Curves/meltCurve_B4DUI3_EIF3J.pdf</v>
      </c>
    </row>
    <row r="160" spans="1:28" x14ac:dyDescent="0.25">
      <c r="A160" t="s">
        <v>164</v>
      </c>
      <c r="B160">
        <v>0.99930955844802105</v>
      </c>
      <c r="C160">
        <v>1.1495309810121099</v>
      </c>
      <c r="D160">
        <v>1.1402287672746001</v>
      </c>
      <c r="E160">
        <v>1.1923464548152001</v>
      </c>
      <c r="F160">
        <v>1.24234624034867</v>
      </c>
      <c r="G160">
        <v>1.06550088149497</v>
      </c>
      <c r="H160">
        <v>1.3080068218727701</v>
      </c>
      <c r="I160">
        <v>1.4430799129385801</v>
      </c>
      <c r="J160">
        <v>1.9451498853126199</v>
      </c>
      <c r="K160">
        <v>1.2689828535195</v>
      </c>
      <c r="L160">
        <v>514.76614977782504</v>
      </c>
      <c r="M160">
        <v>9.5717601245959294</v>
      </c>
      <c r="O160">
        <v>51.589397973285699</v>
      </c>
      <c r="P160">
        <v>2.3205498838370399E-2</v>
      </c>
      <c r="Q160">
        <v>1.5</v>
      </c>
      <c r="R160">
        <v>0.40758223565301999</v>
      </c>
      <c r="S160" t="s">
        <v>6777</v>
      </c>
      <c r="T160" t="s">
        <v>13232</v>
      </c>
      <c r="U160" t="s">
        <v>13232</v>
      </c>
      <c r="V160" t="s">
        <v>13232</v>
      </c>
      <c r="W160" t="s">
        <v>13389</v>
      </c>
      <c r="X160">
        <v>3</v>
      </c>
      <c r="Y160" t="s">
        <v>19927</v>
      </c>
      <c r="Z160" t="s">
        <v>26291</v>
      </c>
      <c r="AA160">
        <v>1.2542927898536691</v>
      </c>
      <c r="AB160" t="str">
        <f>HYPERLINK("Melting_Curves/meltCurve_B4DV96_RBKS.pdf", "Melting_Curves/meltCurve_B4DV96_RBKS.pdf")</f>
        <v>Melting_Curves/meltCurve_B4DV96_RBKS.pdf</v>
      </c>
    </row>
    <row r="161" spans="1:28" x14ac:dyDescent="0.25">
      <c r="A161" t="s">
        <v>165</v>
      </c>
      <c r="B161">
        <v>0.99930955844802105</v>
      </c>
      <c r="C161">
        <v>1.0934586904494199</v>
      </c>
      <c r="D161">
        <v>0.85405850691108098</v>
      </c>
      <c r="E161">
        <v>0.68160403818840298</v>
      </c>
      <c r="F161">
        <v>0.185047348303505</v>
      </c>
      <c r="G161">
        <v>0.13861804660407201</v>
      </c>
      <c r="H161">
        <v>8.9754566504242794E-2</v>
      </c>
      <c r="I161">
        <v>7.8138048431267398E-2</v>
      </c>
      <c r="J161">
        <v>7.1613225674140704E-2</v>
      </c>
      <c r="K161">
        <v>5.4143172492932497E-2</v>
      </c>
      <c r="L161">
        <v>1911.19832337549</v>
      </c>
      <c r="M161">
        <v>37.727549402533398</v>
      </c>
      <c r="N161">
        <v>50.887615057738103</v>
      </c>
      <c r="O161">
        <v>50.516221618104197</v>
      </c>
      <c r="P161">
        <v>-0.17209235823664301</v>
      </c>
      <c r="Q161">
        <v>7.8293780554963194E-2</v>
      </c>
      <c r="R161">
        <v>0.98179708160819801</v>
      </c>
      <c r="S161" t="s">
        <v>6778</v>
      </c>
      <c r="T161" t="s">
        <v>13232</v>
      </c>
      <c r="U161" t="s">
        <v>13232</v>
      </c>
      <c r="V161" t="s">
        <v>13232</v>
      </c>
      <c r="W161" t="s">
        <v>13274</v>
      </c>
      <c r="X161">
        <v>27</v>
      </c>
      <c r="Y161" t="s">
        <v>19928</v>
      </c>
      <c r="Z161" t="s">
        <v>26292</v>
      </c>
      <c r="AA161">
        <v>0.40937369921962807</v>
      </c>
      <c r="AB161" t="str">
        <f>HYPERLINK("Melting_Curves/meltCurve_B4DVE7_ANXA11.pdf", "Melting_Curves/meltCurve_B4DVE7_ANXA11.pdf")</f>
        <v>Melting_Curves/meltCurve_B4DVE7_ANXA11.pdf</v>
      </c>
    </row>
    <row r="162" spans="1:28" x14ac:dyDescent="0.25">
      <c r="A162" t="s">
        <v>166</v>
      </c>
      <c r="B162">
        <v>0.99930955844802105</v>
      </c>
      <c r="C162">
        <v>0.91564063032842702</v>
      </c>
      <c r="D162">
        <v>0.76224605861690298</v>
      </c>
      <c r="E162">
        <v>0.33323836238277799</v>
      </c>
      <c r="F162">
        <v>0.20401301532671701</v>
      </c>
      <c r="G162">
        <v>0.16065929857920699</v>
      </c>
      <c r="H162">
        <v>0.129274275128024</v>
      </c>
      <c r="I162">
        <v>0.122437283575006</v>
      </c>
      <c r="J162">
        <v>0.116170154125514</v>
      </c>
      <c r="K162">
        <v>9.2701029145790495E-2</v>
      </c>
      <c r="L162">
        <v>1105.61505127091</v>
      </c>
      <c r="M162">
        <v>23.139623052557099</v>
      </c>
      <c r="N162">
        <v>48.338125578690303</v>
      </c>
      <c r="O162">
        <v>47.427608399274099</v>
      </c>
      <c r="P162">
        <v>-0.107680007892695</v>
      </c>
      <c r="Q162">
        <v>0.11720049937221701</v>
      </c>
      <c r="R162">
        <v>0.99783145986250998</v>
      </c>
      <c r="S162" t="s">
        <v>6779</v>
      </c>
      <c r="T162" t="s">
        <v>13232</v>
      </c>
      <c r="U162" t="s">
        <v>13232</v>
      </c>
      <c r="V162" t="s">
        <v>13232</v>
      </c>
      <c r="W162" t="s">
        <v>13390</v>
      </c>
      <c r="X162">
        <v>19</v>
      </c>
      <c r="Y162" t="s">
        <v>19929</v>
      </c>
      <c r="Z162" t="s">
        <v>26293</v>
      </c>
      <c r="AA162">
        <v>0.35536277755221418</v>
      </c>
      <c r="AB162" t="str">
        <f>HYPERLINK("Melting_Curves/meltCurve_B4DVY1_EIF3D.pdf", "Melting_Curves/meltCurve_B4DVY1_EIF3D.pdf")</f>
        <v>Melting_Curves/meltCurve_B4DVY1_EIF3D.pdf</v>
      </c>
    </row>
    <row r="163" spans="1:28" x14ac:dyDescent="0.25">
      <c r="A163" t="s">
        <v>167</v>
      </c>
      <c r="B163">
        <v>0.99930955844802105</v>
      </c>
      <c r="C163">
        <v>0.85177545078788497</v>
      </c>
      <c r="D163">
        <v>0.84711450292694002</v>
      </c>
      <c r="E163">
        <v>0.66154488353122798</v>
      </c>
      <c r="F163">
        <v>0.34570517629450798</v>
      </c>
      <c r="G163">
        <v>0.260727481421347</v>
      </c>
      <c r="H163">
        <v>0.176850649422086</v>
      </c>
      <c r="I163">
        <v>0.14971431715578901</v>
      </c>
      <c r="J163">
        <v>0.12306835669699499</v>
      </c>
      <c r="K163">
        <v>9.5999868167334801E-2</v>
      </c>
      <c r="L163">
        <v>710.40948427718399</v>
      </c>
      <c r="M163">
        <v>13.980701704777101</v>
      </c>
      <c r="N163">
        <v>51.532934739707898</v>
      </c>
      <c r="O163">
        <v>49.807832066065799</v>
      </c>
      <c r="P163">
        <v>-6.3961007116347196E-2</v>
      </c>
      <c r="Q163">
        <v>8.8647946001113795E-2</v>
      </c>
      <c r="R163">
        <v>0.98419164448329299</v>
      </c>
      <c r="S163" t="s">
        <v>6780</v>
      </c>
      <c r="T163" t="s">
        <v>13232</v>
      </c>
      <c r="U163" t="s">
        <v>13232</v>
      </c>
      <c r="V163" t="s">
        <v>13232</v>
      </c>
      <c r="W163" t="s">
        <v>13391</v>
      </c>
      <c r="X163">
        <v>2</v>
      </c>
      <c r="Y163" t="s">
        <v>19930</v>
      </c>
      <c r="Z163" t="s">
        <v>26294</v>
      </c>
      <c r="AA163">
        <v>0.44092522026312231</v>
      </c>
      <c r="AB163" t="str">
        <f>HYPERLINK("Melting_Curves/meltCurve_B4DWB0_NUBPL.pdf", "Melting_Curves/meltCurve_B4DWB0_NUBPL.pdf")</f>
        <v>Melting_Curves/meltCurve_B4DWB0_NUBPL.pdf</v>
      </c>
    </row>
    <row r="164" spans="1:28" x14ac:dyDescent="0.25">
      <c r="A164" t="s">
        <v>168</v>
      </c>
      <c r="B164">
        <v>0.99930955844802105</v>
      </c>
      <c r="C164">
        <v>0.88895508704224302</v>
      </c>
      <c r="D164">
        <v>0.80142019842715995</v>
      </c>
      <c r="E164">
        <v>0.61383567981486997</v>
      </c>
      <c r="F164">
        <v>0.39862159650141799</v>
      </c>
      <c r="G164">
        <v>0.27453748108043602</v>
      </c>
      <c r="H164">
        <v>0.136430721673831</v>
      </c>
      <c r="I164">
        <v>9.0866533516373804E-2</v>
      </c>
      <c r="J164">
        <v>6.2753676550274404E-2</v>
      </c>
      <c r="K164">
        <v>4.53615762694859E-2</v>
      </c>
      <c r="L164">
        <v>599.127514327163</v>
      </c>
      <c r="M164">
        <v>11.605749208406101</v>
      </c>
      <c r="N164">
        <v>51.623338030022097</v>
      </c>
      <c r="O164">
        <v>50.162094336601299</v>
      </c>
      <c r="P164">
        <v>-5.7857119799343597E-2</v>
      </c>
      <c r="Q164">
        <v>0</v>
      </c>
      <c r="R164">
        <v>0.99714534075609396</v>
      </c>
      <c r="S164" t="s">
        <v>6781</v>
      </c>
      <c r="T164" t="s">
        <v>13232</v>
      </c>
      <c r="U164" t="s">
        <v>13232</v>
      </c>
      <c r="V164" t="s">
        <v>13232</v>
      </c>
      <c r="W164" t="s">
        <v>13392</v>
      </c>
      <c r="X164">
        <v>4</v>
      </c>
      <c r="Y164" t="s">
        <v>19931</v>
      </c>
      <c r="Z164" t="s">
        <v>26295</v>
      </c>
      <c r="AA164">
        <v>0.42023154238421562</v>
      </c>
      <c r="AB164" t="str">
        <f>HYPERLINK("Melting_Curves/meltCurve_B4DWW1_ARL1.pdf", "Melting_Curves/meltCurve_B4DWW1_ARL1.pdf")</f>
        <v>Melting_Curves/meltCurve_B4DWW1_ARL1.pdf</v>
      </c>
    </row>
    <row r="165" spans="1:28" x14ac:dyDescent="0.25">
      <c r="A165" t="s">
        <v>169</v>
      </c>
      <c r="B165">
        <v>0.99930955844802105</v>
      </c>
      <c r="C165">
        <v>1.0817230071507999</v>
      </c>
      <c r="D165">
        <v>0.91138852556231698</v>
      </c>
      <c r="E165">
        <v>0.70993527825478697</v>
      </c>
      <c r="F165">
        <v>0.37059707420097598</v>
      </c>
      <c r="G165">
        <v>0.22203968088103199</v>
      </c>
      <c r="H165">
        <v>0.17906421250756799</v>
      </c>
      <c r="I165">
        <v>0.172952344179127</v>
      </c>
      <c r="J165">
        <v>0.13425881894098801</v>
      </c>
      <c r="K165">
        <v>8.3752334200744905E-2</v>
      </c>
      <c r="L165">
        <v>1244.7873623678599</v>
      </c>
      <c r="M165">
        <v>24.324448990373401</v>
      </c>
      <c r="N165">
        <v>51.855692734010098</v>
      </c>
      <c r="O165">
        <v>50.832217263501597</v>
      </c>
      <c r="P165">
        <v>-0.10326884347174101</v>
      </c>
      <c r="Q165">
        <v>0.13678528187606301</v>
      </c>
      <c r="R165">
        <v>0.98910480793866196</v>
      </c>
      <c r="S165" t="s">
        <v>6782</v>
      </c>
      <c r="T165" t="s">
        <v>13232</v>
      </c>
      <c r="U165" t="s">
        <v>13232</v>
      </c>
      <c r="V165" t="s">
        <v>13232</v>
      </c>
      <c r="W165" t="s">
        <v>13393</v>
      </c>
      <c r="X165">
        <v>12</v>
      </c>
      <c r="Y165" t="s">
        <v>19932</v>
      </c>
      <c r="Z165" t="s">
        <v>26296</v>
      </c>
      <c r="AA165">
        <v>0.4665565030861934</v>
      </c>
      <c r="AB165" t="str">
        <f>HYPERLINK("Melting_Curves/meltCurve_B4DXW4_CLPB.pdf", "Melting_Curves/meltCurve_B4DXW4_CLPB.pdf")</f>
        <v>Melting_Curves/meltCurve_B4DXW4_CLPB.pdf</v>
      </c>
    </row>
    <row r="166" spans="1:28" x14ac:dyDescent="0.25">
      <c r="A166" t="s">
        <v>170</v>
      </c>
      <c r="B166">
        <v>0.99930955844802105</v>
      </c>
      <c r="C166">
        <v>0.86459695878012599</v>
      </c>
      <c r="D166">
        <v>0.60391808889807197</v>
      </c>
      <c r="E166">
        <v>0.463059099599267</v>
      </c>
      <c r="F166">
        <v>0.35419510616848898</v>
      </c>
      <c r="G166">
        <v>0.29860796572660703</v>
      </c>
      <c r="H166">
        <v>0.27583609074207599</v>
      </c>
      <c r="I166">
        <v>0.286909052422327</v>
      </c>
      <c r="J166">
        <v>0.26741937341184202</v>
      </c>
      <c r="K166">
        <v>0.224769473522477</v>
      </c>
      <c r="L166">
        <v>775.28546861482596</v>
      </c>
      <c r="M166">
        <v>16.725577953990999</v>
      </c>
      <c r="N166">
        <v>48.513009567661399</v>
      </c>
      <c r="O166">
        <v>45.705864681905197</v>
      </c>
      <c r="P166">
        <v>-6.7471120808426502E-2</v>
      </c>
      <c r="Q166">
        <v>0.26253723357879</v>
      </c>
      <c r="R166">
        <v>0.98762121931293501</v>
      </c>
      <c r="S166" t="s">
        <v>6783</v>
      </c>
      <c r="T166" t="s">
        <v>13232</v>
      </c>
      <c r="U166" t="s">
        <v>13232</v>
      </c>
      <c r="V166" t="s">
        <v>13232</v>
      </c>
      <c r="W166" t="s">
        <v>13394</v>
      </c>
      <c r="X166">
        <v>19</v>
      </c>
      <c r="Y166" t="s">
        <v>19933</v>
      </c>
      <c r="Z166" t="s">
        <v>26297</v>
      </c>
      <c r="AA166">
        <v>0.43531046094268688</v>
      </c>
      <c r="AB166" t="str">
        <f>HYPERLINK("Melting_Curves/meltCurve_B4DXZ6_FXR1.pdf", "Melting_Curves/meltCurve_B4DXZ6_FXR1.pdf")</f>
        <v>Melting_Curves/meltCurve_B4DXZ6_FXR1.pdf</v>
      </c>
    </row>
    <row r="167" spans="1:28" x14ac:dyDescent="0.25">
      <c r="A167" t="s">
        <v>171</v>
      </c>
      <c r="B167">
        <v>0.99930955844802105</v>
      </c>
      <c r="C167">
        <v>1.0340156041566799</v>
      </c>
      <c r="D167">
        <v>0.99276508468753</v>
      </c>
      <c r="E167">
        <v>0.87257368065791296</v>
      </c>
      <c r="F167">
        <v>0.67085997817674303</v>
      </c>
      <c r="G167">
        <v>0.49130789551126902</v>
      </c>
      <c r="H167">
        <v>0.434571517622584</v>
      </c>
      <c r="I167">
        <v>0.41459478704979702</v>
      </c>
      <c r="J167">
        <v>0.40161414850846699</v>
      </c>
      <c r="K167">
        <v>0.32274848957157898</v>
      </c>
      <c r="L167">
        <v>1132.30898456102</v>
      </c>
      <c r="M167">
        <v>21.3693387542992</v>
      </c>
      <c r="N167">
        <v>56.697686582054999</v>
      </c>
      <c r="O167">
        <v>52.530079901514199</v>
      </c>
      <c r="P167">
        <v>-6.3412168146626494E-2</v>
      </c>
      <c r="Q167">
        <v>0.37649684981051901</v>
      </c>
      <c r="R167">
        <v>0.99085609115138895</v>
      </c>
      <c r="S167" t="s">
        <v>6784</v>
      </c>
      <c r="T167" t="s">
        <v>13232</v>
      </c>
      <c r="U167" t="s">
        <v>13232</v>
      </c>
      <c r="V167" t="s">
        <v>13232</v>
      </c>
      <c r="W167" t="s">
        <v>13395</v>
      </c>
      <c r="X167">
        <v>4</v>
      </c>
      <c r="Y167" t="s">
        <v>19934</v>
      </c>
      <c r="Z167" t="s">
        <v>26298</v>
      </c>
      <c r="AA167">
        <v>0.65406709136609353</v>
      </c>
      <c r="AB167" t="str">
        <f>HYPERLINK("Melting_Curves/meltCurve_B4DY82_SENP5.pdf", "Melting_Curves/meltCurve_B4DY82_SENP5.pdf")</f>
        <v>Melting_Curves/meltCurve_B4DY82_SENP5.pdf</v>
      </c>
    </row>
    <row r="168" spans="1:28" x14ac:dyDescent="0.25">
      <c r="A168" t="s">
        <v>172</v>
      </c>
      <c r="B168">
        <v>0.99930955844802105</v>
      </c>
      <c r="C168">
        <v>0.925175526781707</v>
      </c>
      <c r="D168">
        <v>0.90446165576259097</v>
      </c>
      <c r="E168">
        <v>0.72565167373804396</v>
      </c>
      <c r="F168">
        <v>0.56243574979036204</v>
      </c>
      <c r="G168">
        <v>0.43892795691527697</v>
      </c>
      <c r="H168">
        <v>0.407880044354057</v>
      </c>
      <c r="I168">
        <v>0.46680279958736098</v>
      </c>
      <c r="J168">
        <v>0.34623173638562998</v>
      </c>
      <c r="K168">
        <v>0.31828390955015001</v>
      </c>
      <c r="L168">
        <v>751.48467218102303</v>
      </c>
      <c r="M168">
        <v>14.795399675086699</v>
      </c>
      <c r="N168">
        <v>55.337880834904603</v>
      </c>
      <c r="O168">
        <v>49.890977503904303</v>
      </c>
      <c r="P168">
        <v>-4.8068141770862403E-2</v>
      </c>
      <c r="Q168">
        <v>0.35171445593267803</v>
      </c>
      <c r="R168">
        <v>0.97920354867549098</v>
      </c>
      <c r="S168" t="s">
        <v>6785</v>
      </c>
      <c r="T168" t="s">
        <v>13232</v>
      </c>
      <c r="U168" t="s">
        <v>13232</v>
      </c>
      <c r="V168" t="s">
        <v>13232</v>
      </c>
      <c r="W168" t="s">
        <v>13396</v>
      </c>
      <c r="X168">
        <v>2</v>
      </c>
      <c r="Y168" t="s">
        <v>19935</v>
      </c>
      <c r="Z168" t="s">
        <v>26299</v>
      </c>
      <c r="AA168">
        <v>0.60034697296322881</v>
      </c>
      <c r="AB168" t="str">
        <f>HYPERLINK("Melting_Curves/meltCurve_B4DYB4_NUP35.pdf", "Melting_Curves/meltCurve_B4DYB4_NUP35.pdf")</f>
        <v>Melting_Curves/meltCurve_B4DYB4_NUP35.pdf</v>
      </c>
    </row>
    <row r="169" spans="1:28" x14ac:dyDescent="0.25">
      <c r="A169" t="s">
        <v>173</v>
      </c>
      <c r="B169">
        <v>0.99930955844802105</v>
      </c>
      <c r="C169">
        <v>1.02720456369666</v>
      </c>
      <c r="D169">
        <v>0.969587728708316</v>
      </c>
      <c r="E169">
        <v>0.72595191254814095</v>
      </c>
      <c r="F169">
        <v>0.44945539017838598</v>
      </c>
      <c r="G169">
        <v>0.43354339268986702</v>
      </c>
      <c r="H169">
        <v>0.417398689707703</v>
      </c>
      <c r="I169">
        <v>0.41559851221076999</v>
      </c>
      <c r="J169">
        <v>0.40713947757872598</v>
      </c>
      <c r="K169">
        <v>0.292155200363441</v>
      </c>
      <c r="L169">
        <v>1911.60568511929</v>
      </c>
      <c r="M169">
        <v>38.061649426738299</v>
      </c>
      <c r="N169">
        <v>52.299962031175802</v>
      </c>
      <c r="O169">
        <v>50.085893383549099</v>
      </c>
      <c r="P169">
        <v>-0.11595796876632899</v>
      </c>
      <c r="Q169">
        <v>0.38963825494497201</v>
      </c>
      <c r="R169">
        <v>0.981470399347943</v>
      </c>
      <c r="S169" t="s">
        <v>6786</v>
      </c>
      <c r="T169" t="s">
        <v>13232</v>
      </c>
      <c r="U169" t="s">
        <v>13232</v>
      </c>
      <c r="V169" t="s">
        <v>13232</v>
      </c>
      <c r="W169" t="s">
        <v>13397</v>
      </c>
      <c r="X169">
        <v>18</v>
      </c>
      <c r="Y169" t="s">
        <v>19936</v>
      </c>
      <c r="Z169" t="s">
        <v>26300</v>
      </c>
      <c r="AA169">
        <v>0.5999910384415218</v>
      </c>
      <c r="AB169" t="str">
        <f>HYPERLINK("Melting_Curves/meltCurve_B4DZH6_HDAC6.pdf", "Melting_Curves/meltCurve_B4DZH6_HDAC6.pdf")</f>
        <v>Melting_Curves/meltCurve_B4DZH6_HDAC6.pdf</v>
      </c>
    </row>
    <row r="170" spans="1:28" x14ac:dyDescent="0.25">
      <c r="A170" t="s">
        <v>174</v>
      </c>
      <c r="B170">
        <v>0.99930955844802105</v>
      </c>
      <c r="C170">
        <v>1.10988369403841</v>
      </c>
      <c r="D170">
        <v>0.99279192304623598</v>
      </c>
      <c r="E170">
        <v>0.91088657125638195</v>
      </c>
      <c r="F170">
        <v>0.81893936700486702</v>
      </c>
      <c r="G170">
        <v>0.68830840558598605</v>
      </c>
      <c r="H170">
        <v>0.64261143460060299</v>
      </c>
      <c r="I170">
        <v>0.50725109400286295</v>
      </c>
      <c r="J170">
        <v>0.47331580705155202</v>
      </c>
      <c r="K170">
        <v>0.27796327253775599</v>
      </c>
      <c r="L170">
        <v>535.05657897159006</v>
      </c>
      <c r="M170">
        <v>8.3385876129642007</v>
      </c>
      <c r="N170">
        <v>64.166328826857907</v>
      </c>
      <c r="O170">
        <v>60.793952349482602</v>
      </c>
      <c r="P170">
        <v>-3.43235740353122E-2</v>
      </c>
      <c r="Q170">
        <v>0</v>
      </c>
      <c r="R170">
        <v>0.95642007235262105</v>
      </c>
      <c r="S170" t="s">
        <v>6787</v>
      </c>
      <c r="T170" t="s">
        <v>13232</v>
      </c>
      <c r="U170" t="s">
        <v>13232</v>
      </c>
      <c r="V170" t="s">
        <v>13232</v>
      </c>
      <c r="W170" t="s">
        <v>13398</v>
      </c>
      <c r="X170">
        <v>2</v>
      </c>
      <c r="Y170" t="s">
        <v>19937</v>
      </c>
      <c r="Z170" t="s">
        <v>26301</v>
      </c>
      <c r="AA170">
        <v>0.74553378511306112</v>
      </c>
      <c r="AB170" t="str">
        <f>HYPERLINK("Melting_Curves/meltCurve_B4DZK7_TK2.pdf", "Melting_Curves/meltCurve_B4DZK7_TK2.pdf")</f>
        <v>Melting_Curves/meltCurve_B4DZK7_TK2.pdf</v>
      </c>
    </row>
    <row r="171" spans="1:28" x14ac:dyDescent="0.25">
      <c r="A171" t="s">
        <v>175</v>
      </c>
      <c r="B171">
        <v>0.99930955844802105</v>
      </c>
      <c r="C171">
        <v>1.0008922931213</v>
      </c>
      <c r="D171">
        <v>0.89326897813203499</v>
      </c>
      <c r="E171">
        <v>0.70941824506987206</v>
      </c>
      <c r="F171">
        <v>0.33580136730813498</v>
      </c>
      <c r="G171">
        <v>0.23409336093788599</v>
      </c>
      <c r="H171">
        <v>0.14304987080245599</v>
      </c>
      <c r="I171">
        <v>0.137452255607176</v>
      </c>
      <c r="J171">
        <v>0.12601200460492901</v>
      </c>
      <c r="K171">
        <v>0.100417884172011</v>
      </c>
      <c r="L171">
        <v>1175.2622070678001</v>
      </c>
      <c r="M171">
        <v>23.017788980163601</v>
      </c>
      <c r="N171">
        <v>51.686094776289004</v>
      </c>
      <c r="O171">
        <v>50.678144052331902</v>
      </c>
      <c r="P171">
        <v>-9.9714394281582699E-2</v>
      </c>
      <c r="Q171">
        <v>0.12185340006361001</v>
      </c>
      <c r="R171">
        <v>0.99371219412068501</v>
      </c>
      <c r="S171" t="s">
        <v>6788</v>
      </c>
      <c r="T171" t="s">
        <v>13232</v>
      </c>
      <c r="U171" t="s">
        <v>13232</v>
      </c>
      <c r="V171" t="s">
        <v>13232</v>
      </c>
      <c r="W171" t="s">
        <v>13399</v>
      </c>
      <c r="X171">
        <v>12</v>
      </c>
      <c r="Y171" t="s">
        <v>19938</v>
      </c>
      <c r="Z171" t="s">
        <v>26302</v>
      </c>
      <c r="AA171">
        <v>0.45489041277096998</v>
      </c>
      <c r="AB171" t="str">
        <f>HYPERLINK("Melting_Curves/meltCurve_B4E0G4_PHF6.pdf", "Melting_Curves/meltCurve_B4E0G4_PHF6.pdf")</f>
        <v>Melting_Curves/meltCurve_B4E0G4_PHF6.pdf</v>
      </c>
    </row>
    <row r="172" spans="1:28" x14ac:dyDescent="0.25">
      <c r="A172" t="s">
        <v>176</v>
      </c>
      <c r="B172">
        <v>0.99930955844802105</v>
      </c>
      <c r="C172">
        <v>1.07193367215742</v>
      </c>
      <c r="D172">
        <v>1.0612435222046399</v>
      </c>
      <c r="E172">
        <v>0.94450503044416401</v>
      </c>
      <c r="F172">
        <v>0.45057217102929997</v>
      </c>
      <c r="G172">
        <v>0.27543576721396501</v>
      </c>
      <c r="H172">
        <v>0.17064976948254701</v>
      </c>
      <c r="I172">
        <v>0.15156564683951201</v>
      </c>
      <c r="J172">
        <v>0.12510330510199399</v>
      </c>
      <c r="K172">
        <v>9.59034374764417E-2</v>
      </c>
      <c r="L172">
        <v>2418.5265143634501</v>
      </c>
      <c r="M172">
        <v>46.153340052817697</v>
      </c>
      <c r="N172">
        <v>52.8332828566516</v>
      </c>
      <c r="O172">
        <v>52.303896593990999</v>
      </c>
      <c r="P172">
        <v>-0.18597582222480699</v>
      </c>
      <c r="Q172">
        <v>0.15696266787827701</v>
      </c>
      <c r="R172">
        <v>0.98502083648324301</v>
      </c>
      <c r="S172" t="s">
        <v>6789</v>
      </c>
      <c r="T172" t="s">
        <v>13232</v>
      </c>
      <c r="U172" t="s">
        <v>13232</v>
      </c>
      <c r="V172" t="s">
        <v>13232</v>
      </c>
      <c r="W172" t="s">
        <v>13400</v>
      </c>
      <c r="X172">
        <v>11</v>
      </c>
      <c r="Y172" t="s">
        <v>19939</v>
      </c>
      <c r="Z172" t="s">
        <v>26303</v>
      </c>
      <c r="AA172">
        <v>0.50776252763327945</v>
      </c>
      <c r="AB172" t="str">
        <f>HYPERLINK("Melting_Curves/meltCurve_B4E1D7_PNPO.pdf", "Melting_Curves/meltCurve_B4E1D7_PNPO.pdf")</f>
        <v>Melting_Curves/meltCurve_B4E1D7_PNPO.pdf</v>
      </c>
    </row>
    <row r="173" spans="1:28" x14ac:dyDescent="0.25">
      <c r="A173" t="s">
        <v>177</v>
      </c>
      <c r="B173">
        <v>0.99930955844802105</v>
      </c>
      <c r="C173">
        <v>0.96609072722713796</v>
      </c>
      <c r="D173">
        <v>0.94242524263517202</v>
      </c>
      <c r="E173">
        <v>0.93155462598060301</v>
      </c>
      <c r="F173">
        <v>0.81136340906950299</v>
      </c>
      <c r="G173">
        <v>0.61958097365753595</v>
      </c>
      <c r="H173">
        <v>0.36701033226298102</v>
      </c>
      <c r="I173">
        <v>0.38370847859991902</v>
      </c>
      <c r="J173">
        <v>0.367031211298945</v>
      </c>
      <c r="K173">
        <v>0.27686525757691999</v>
      </c>
      <c r="L173">
        <v>989.92629487113504</v>
      </c>
      <c r="M173">
        <v>17.6450734644704</v>
      </c>
      <c r="N173">
        <v>58.940432420087298</v>
      </c>
      <c r="O173">
        <v>55.396434397893898</v>
      </c>
      <c r="P173">
        <v>-5.6841232228576302E-2</v>
      </c>
      <c r="Q173">
        <v>0.286229426941708</v>
      </c>
      <c r="R173">
        <v>0.98686475227304304</v>
      </c>
      <c r="S173" t="s">
        <v>6790</v>
      </c>
      <c r="T173" t="s">
        <v>13232</v>
      </c>
      <c r="U173" t="s">
        <v>13232</v>
      </c>
      <c r="V173" t="s">
        <v>13232</v>
      </c>
      <c r="W173" t="s">
        <v>13401</v>
      </c>
      <c r="X173">
        <v>3</v>
      </c>
      <c r="Y173" t="s">
        <v>19940</v>
      </c>
      <c r="Z173" t="s">
        <v>26304</v>
      </c>
      <c r="AA173">
        <v>0.68002977742519455</v>
      </c>
      <c r="AB173" t="str">
        <f>HYPERLINK("Melting_Curves/meltCurve_B4E1M0_MSANTD2.pdf", "Melting_Curves/meltCurve_B4E1M0_MSANTD2.pdf")</f>
        <v>Melting_Curves/meltCurve_B4E1M0_MSANTD2.pdf</v>
      </c>
    </row>
    <row r="174" spans="1:28" x14ac:dyDescent="0.25">
      <c r="A174" t="s">
        <v>178</v>
      </c>
      <c r="B174">
        <v>0.99930955844802105</v>
      </c>
      <c r="C174">
        <v>0.92206943731831303</v>
      </c>
      <c r="D174">
        <v>0.85037648528079401</v>
      </c>
      <c r="E174">
        <v>0.82346690621656105</v>
      </c>
      <c r="F174">
        <v>0.69686067787817096</v>
      </c>
      <c r="G174">
        <v>0.61144638811302499</v>
      </c>
      <c r="H174">
        <v>0.59079753877835595</v>
      </c>
      <c r="I174">
        <v>0.67329150144578898</v>
      </c>
      <c r="J174">
        <v>0.67552816334531296</v>
      </c>
      <c r="K174">
        <v>0.56066113352293701</v>
      </c>
      <c r="L174">
        <v>627.78082659493305</v>
      </c>
      <c r="M174">
        <v>12.879258432697601</v>
      </c>
      <c r="O174">
        <v>47.613284309761703</v>
      </c>
      <c r="P174">
        <v>-2.6864643243840899E-2</v>
      </c>
      <c r="Q174">
        <v>0.60280955063441899</v>
      </c>
      <c r="R174">
        <v>0.91526960192182205</v>
      </c>
      <c r="S174" t="s">
        <v>6791</v>
      </c>
      <c r="T174" t="s">
        <v>13232</v>
      </c>
      <c r="U174" t="s">
        <v>13232</v>
      </c>
      <c r="V174" t="s">
        <v>13232</v>
      </c>
      <c r="W174" t="s">
        <v>13402</v>
      </c>
      <c r="X174">
        <v>6</v>
      </c>
      <c r="Y174" t="s">
        <v>19941</v>
      </c>
      <c r="Z174" t="s">
        <v>26305</v>
      </c>
      <c r="AA174">
        <v>0.73168147823955743</v>
      </c>
      <c r="AB174" t="str">
        <f>HYPERLINK("Melting_Curves/meltCurve_B4E1Q4_RIOK3.pdf", "Melting_Curves/meltCurve_B4E1Q4_RIOK3.pdf")</f>
        <v>Melting_Curves/meltCurve_B4E1Q4_RIOK3.pdf</v>
      </c>
    </row>
    <row r="175" spans="1:28" x14ac:dyDescent="0.25">
      <c r="A175" t="s">
        <v>179</v>
      </c>
      <c r="B175">
        <v>0.99930955844802105</v>
      </c>
      <c r="C175">
        <v>0.81526538365492396</v>
      </c>
      <c r="D175">
        <v>0.83409486114565101</v>
      </c>
      <c r="E175">
        <v>0.75991529285411996</v>
      </c>
      <c r="F175">
        <v>0.51573981932292101</v>
      </c>
      <c r="G175">
        <v>0.36947824405590102</v>
      </c>
      <c r="H175">
        <v>0.27294936833019701</v>
      </c>
      <c r="I175">
        <v>0.32997853734499699</v>
      </c>
      <c r="J175">
        <v>0.39396494301511797</v>
      </c>
      <c r="K175">
        <v>0.27725919339423799</v>
      </c>
      <c r="L175">
        <v>624.32617093439796</v>
      </c>
      <c r="M175">
        <v>12.3352221710508</v>
      </c>
      <c r="N175">
        <v>53.9876998854783</v>
      </c>
      <c r="O175">
        <v>49.338250393085097</v>
      </c>
      <c r="P175">
        <v>-4.57171579534967E-2</v>
      </c>
      <c r="Q175">
        <v>0.26872307528999001</v>
      </c>
      <c r="R175">
        <v>0.93909219613316897</v>
      </c>
      <c r="S175" t="s">
        <v>6792</v>
      </c>
      <c r="T175" t="s">
        <v>13232</v>
      </c>
      <c r="U175" t="s">
        <v>13232</v>
      </c>
      <c r="V175" t="s">
        <v>13232</v>
      </c>
      <c r="W175" t="s">
        <v>13403</v>
      </c>
      <c r="X175">
        <v>6</v>
      </c>
      <c r="Y175" t="s">
        <v>19942</v>
      </c>
      <c r="Z175" t="s">
        <v>26306</v>
      </c>
      <c r="AA175">
        <v>0.5508570683046472</v>
      </c>
      <c r="AB175" t="str">
        <f>HYPERLINK("Melting_Curves/meltCurve_B4E241_SFRS3.pdf", "Melting_Curves/meltCurve_B4E241_SFRS3.pdf")</f>
        <v>Melting_Curves/meltCurve_B4E241_SFRS3.pdf</v>
      </c>
    </row>
    <row r="176" spans="1:28" x14ac:dyDescent="0.25">
      <c r="A176" t="s">
        <v>180</v>
      </c>
      <c r="B176">
        <v>0.99930955844802105</v>
      </c>
      <c r="C176">
        <v>1.0442050788002599</v>
      </c>
      <c r="D176">
        <v>1.10674966324364</v>
      </c>
      <c r="E176">
        <v>1.0354021560498701</v>
      </c>
      <c r="F176">
        <v>0.91889905267679295</v>
      </c>
      <c r="G176">
        <v>0.82231315755831202</v>
      </c>
      <c r="H176">
        <v>0.79484917220253304</v>
      </c>
      <c r="I176">
        <v>0.77250310916398202</v>
      </c>
      <c r="J176">
        <v>0.99616708181362801</v>
      </c>
      <c r="K176">
        <v>0.97944404006117303</v>
      </c>
      <c r="L176">
        <v>13219.7660017408</v>
      </c>
      <c r="M176">
        <v>250</v>
      </c>
      <c r="O176">
        <v>52.875694827081198</v>
      </c>
      <c r="P176">
        <v>-0.150050901419259</v>
      </c>
      <c r="Q176">
        <v>0.87305530460623504</v>
      </c>
      <c r="R176">
        <v>0.49649036148577003</v>
      </c>
      <c r="S176" t="s">
        <v>6793</v>
      </c>
      <c r="T176" t="s">
        <v>13232</v>
      </c>
      <c r="U176" t="s">
        <v>13232</v>
      </c>
      <c r="V176" t="s">
        <v>13232</v>
      </c>
      <c r="W176" t="s">
        <v>13404</v>
      </c>
      <c r="X176">
        <v>3</v>
      </c>
      <c r="Y176" t="s">
        <v>19943</v>
      </c>
      <c r="Z176" t="s">
        <v>26307</v>
      </c>
      <c r="AA176">
        <v>0.92756471389688144</v>
      </c>
      <c r="AB176" t="str">
        <f>HYPERLINK("Melting_Curves/meltCurve_B4E2S7_LAMP2.pdf", "Melting_Curves/meltCurve_B4E2S7_LAMP2.pdf")</f>
        <v>Melting_Curves/meltCurve_B4E2S7_LAMP2.pdf</v>
      </c>
    </row>
    <row r="177" spans="1:28" x14ac:dyDescent="0.25">
      <c r="A177" t="s">
        <v>181</v>
      </c>
      <c r="B177">
        <v>0.99930955844802105</v>
      </c>
      <c r="C177">
        <v>0.81521398872769602</v>
      </c>
      <c r="D177">
        <v>0.74118290235939499</v>
      </c>
      <c r="E177">
        <v>0.82134387114853202</v>
      </c>
      <c r="F177">
        <v>0.40595667052519302</v>
      </c>
      <c r="G177">
        <v>0.20067281239201601</v>
      </c>
      <c r="H177">
        <v>0.118974936343596</v>
      </c>
      <c r="I177">
        <v>0.12703684629043099</v>
      </c>
      <c r="J177">
        <v>0.13696094894838801</v>
      </c>
      <c r="K177">
        <v>0.107274488767204</v>
      </c>
      <c r="L177">
        <v>654.22669675568795</v>
      </c>
      <c r="M177">
        <v>12.645441448143499</v>
      </c>
      <c r="N177">
        <v>52.1269760941709</v>
      </c>
      <c r="O177">
        <v>50.493503558266099</v>
      </c>
      <c r="P177">
        <v>-5.9789499661138203E-2</v>
      </c>
      <c r="Q177">
        <v>4.5225099499342399E-2</v>
      </c>
      <c r="R177">
        <v>0.93579120147644101</v>
      </c>
      <c r="S177" t="s">
        <v>6794</v>
      </c>
      <c r="T177" t="s">
        <v>13232</v>
      </c>
      <c r="U177" t="s">
        <v>13232</v>
      </c>
      <c r="V177" t="s">
        <v>13232</v>
      </c>
      <c r="W177" t="s">
        <v>13405</v>
      </c>
      <c r="X177">
        <v>2</v>
      </c>
      <c r="Y177" t="s">
        <v>19944</v>
      </c>
      <c r="Z177" t="s">
        <v>26308</v>
      </c>
      <c r="AA177">
        <v>0.44643706251365461</v>
      </c>
      <c r="AB177" t="str">
        <f>HYPERLINK("Melting_Curves/meltCurve_B4E2V5_STOM.pdf", "Melting_Curves/meltCurve_B4E2V5_STOM.pdf")</f>
        <v>Melting_Curves/meltCurve_B4E2V5_STOM.pdf</v>
      </c>
    </row>
    <row r="178" spans="1:28" x14ac:dyDescent="0.25">
      <c r="A178" t="s">
        <v>182</v>
      </c>
      <c r="B178">
        <v>0.99930955844802105</v>
      </c>
      <c r="C178">
        <v>0.64667482981536395</v>
      </c>
      <c r="D178">
        <v>0.67860277019453097</v>
      </c>
      <c r="E178">
        <v>0.520385046031132</v>
      </c>
      <c r="F178">
        <v>0.22642888870149899</v>
      </c>
      <c r="G178">
        <v>0.13116832607697201</v>
      </c>
      <c r="H178">
        <v>7.5942938818913105E-2</v>
      </c>
      <c r="I178">
        <v>7.3923962865891896E-2</v>
      </c>
      <c r="J178">
        <v>6.9502958206855106E-2</v>
      </c>
      <c r="K178">
        <v>5.7039394774629902E-2</v>
      </c>
      <c r="L178">
        <v>516.69618444354796</v>
      </c>
      <c r="M178">
        <v>10.6631149726826</v>
      </c>
      <c r="N178">
        <v>48.456402030009201</v>
      </c>
      <c r="O178">
        <v>46.8453738390483</v>
      </c>
      <c r="P178">
        <v>-5.6927552035282103E-2</v>
      </c>
      <c r="Q178">
        <v>0</v>
      </c>
      <c r="R178">
        <v>0.950741325230682</v>
      </c>
      <c r="S178" t="s">
        <v>6795</v>
      </c>
      <c r="T178" t="s">
        <v>13232</v>
      </c>
      <c r="U178" t="s">
        <v>13232</v>
      </c>
      <c r="V178" t="s">
        <v>13232</v>
      </c>
      <c r="W178" t="s">
        <v>13406</v>
      </c>
      <c r="X178">
        <v>12</v>
      </c>
      <c r="Y178" t="s">
        <v>19945</v>
      </c>
      <c r="Z178" t="s">
        <v>26309</v>
      </c>
      <c r="AA178">
        <v>0.32811084939841501</v>
      </c>
      <c r="AB178" t="str">
        <f>HYPERLINK("Melting_Curves/meltCurve_B4E2W0_HADHB.pdf", "Melting_Curves/meltCurve_B4E2W0_HADHB.pdf")</f>
        <v>Melting_Curves/meltCurve_B4E2W0_HADHB.pdf</v>
      </c>
    </row>
    <row r="179" spans="1:28" x14ac:dyDescent="0.25">
      <c r="A179" t="s">
        <v>183</v>
      </c>
      <c r="B179">
        <v>0.99930955844802105</v>
      </c>
      <c r="C179">
        <v>0.73573976758455395</v>
      </c>
      <c r="D179">
        <v>0.454876696773866</v>
      </c>
      <c r="E179">
        <v>0.29852434402686701</v>
      </c>
      <c r="F179">
        <v>0.20079689188876801</v>
      </c>
      <c r="G179">
        <v>0.13483340043509501</v>
      </c>
      <c r="H179">
        <v>8.00549939246787E-2</v>
      </c>
      <c r="I179">
        <v>6.7841599323833907E-2</v>
      </c>
      <c r="J179">
        <v>6.5594687906595797E-2</v>
      </c>
      <c r="K179">
        <v>4.5763938027455098E-2</v>
      </c>
      <c r="L179">
        <v>711.28296450818902</v>
      </c>
      <c r="M179">
        <v>15.560608379645601</v>
      </c>
      <c r="N179">
        <v>46.151370218137799</v>
      </c>
      <c r="O179">
        <v>44.975488913181998</v>
      </c>
      <c r="P179">
        <v>-8.0528172514580595E-2</v>
      </c>
      <c r="Q179">
        <v>6.90650489552109E-2</v>
      </c>
      <c r="R179">
        <v>0.98357390898161201</v>
      </c>
      <c r="S179" t="s">
        <v>6796</v>
      </c>
      <c r="T179" t="s">
        <v>13232</v>
      </c>
      <c r="U179" t="s">
        <v>13232</v>
      </c>
      <c r="V179" t="s">
        <v>13232</v>
      </c>
      <c r="W179" t="s">
        <v>13407</v>
      </c>
      <c r="X179">
        <v>18</v>
      </c>
      <c r="Y179" t="s">
        <v>19946</v>
      </c>
      <c r="Z179" t="s">
        <v>26310</v>
      </c>
      <c r="AA179">
        <v>0.27205330211515011</v>
      </c>
      <c r="AB179" t="str">
        <f>HYPERLINK("Melting_Curves/meltCurve_B4E2X3_METTL13.pdf", "Melting_Curves/meltCurve_B4E2X3_METTL13.pdf")</f>
        <v>Melting_Curves/meltCurve_B4E2X3_METTL13.pdf</v>
      </c>
    </row>
    <row r="180" spans="1:28" x14ac:dyDescent="0.25">
      <c r="A180" t="s">
        <v>184</v>
      </c>
      <c r="B180">
        <v>0.99930955844802105</v>
      </c>
      <c r="C180">
        <v>1.1505881222776899</v>
      </c>
      <c r="D180">
        <v>1.1397317487724199</v>
      </c>
      <c r="E180">
        <v>1.07844131666057</v>
      </c>
      <c r="F180">
        <v>0.83656771103202598</v>
      </c>
      <c r="G180">
        <v>0.88392323007548601</v>
      </c>
      <c r="H180">
        <v>1.16921340416112</v>
      </c>
      <c r="I180">
        <v>1.4776656267272299</v>
      </c>
      <c r="J180">
        <v>1.87486613000757</v>
      </c>
      <c r="K180">
        <v>1.27093842600531</v>
      </c>
      <c r="L180">
        <v>6185.4058250385897</v>
      </c>
      <c r="M180">
        <v>100.72199285995499</v>
      </c>
      <c r="O180">
        <v>61.386480259768497</v>
      </c>
      <c r="P180">
        <v>0.205098089100546</v>
      </c>
      <c r="Q180">
        <v>1.5</v>
      </c>
      <c r="R180">
        <v>0.66050216009319296</v>
      </c>
      <c r="S180" t="s">
        <v>6797</v>
      </c>
      <c r="T180" t="s">
        <v>13232</v>
      </c>
      <c r="U180" t="s">
        <v>13232</v>
      </c>
      <c r="V180" t="s">
        <v>13232</v>
      </c>
      <c r="W180" t="s">
        <v>13408</v>
      </c>
      <c r="X180">
        <v>3</v>
      </c>
      <c r="Y180" t="s">
        <v>19947</v>
      </c>
      <c r="Z180" t="s">
        <v>26311</v>
      </c>
      <c r="AA180">
        <v>1.142823067132885</v>
      </c>
      <c r="AB180" t="str">
        <f>HYPERLINK("Melting_Curves/meltCurve_B4E351_IGFBP4.pdf", "Melting_Curves/meltCurve_B4E351_IGFBP4.pdf")</f>
        <v>Melting_Curves/meltCurve_B4E351_IGFBP4.pdf</v>
      </c>
    </row>
    <row r="181" spans="1:28" x14ac:dyDescent="0.25">
      <c r="A181" t="s">
        <v>185</v>
      </c>
      <c r="B181">
        <v>0.99930955844802105</v>
      </c>
      <c r="C181">
        <v>1.02601691637432</v>
      </c>
      <c r="D181">
        <v>0.92049383730547396</v>
      </c>
      <c r="E181">
        <v>0.74716224190598302</v>
      </c>
      <c r="F181">
        <v>0.57682588217016995</v>
      </c>
      <c r="G181">
        <v>0.44305052072252299</v>
      </c>
      <c r="H181">
        <v>0.40188265014982599</v>
      </c>
      <c r="I181">
        <v>0.40995108620324699</v>
      </c>
      <c r="J181">
        <v>0.38876039414379998</v>
      </c>
      <c r="K181">
        <v>0.32004734947257202</v>
      </c>
      <c r="L181">
        <v>963.65824884798201</v>
      </c>
      <c r="M181">
        <v>18.856893153337499</v>
      </c>
      <c r="N181">
        <v>54.933329175502102</v>
      </c>
      <c r="O181">
        <v>50.539442299066501</v>
      </c>
      <c r="P181">
        <v>-5.9168267492443798E-2</v>
      </c>
      <c r="Q181">
        <v>0.365704964223242</v>
      </c>
      <c r="R181">
        <v>0.99175401726439505</v>
      </c>
      <c r="S181" t="s">
        <v>6798</v>
      </c>
      <c r="T181" t="s">
        <v>13232</v>
      </c>
      <c r="U181" t="s">
        <v>13232</v>
      </c>
      <c r="V181" t="s">
        <v>13232</v>
      </c>
      <c r="W181" t="s">
        <v>13409</v>
      </c>
      <c r="X181">
        <v>5</v>
      </c>
      <c r="Y181" t="s">
        <v>19948</v>
      </c>
      <c r="Z181" t="s">
        <v>26312</v>
      </c>
      <c r="AA181">
        <v>0.61028637818511033</v>
      </c>
      <c r="AB181" t="str">
        <f>HYPERLINK("Melting_Curves/meltCurve_B4E3E5_DVL3.pdf", "Melting_Curves/meltCurve_B4E3E5_DVL3.pdf")</f>
        <v>Melting_Curves/meltCurve_B4E3E5_DVL3.pdf</v>
      </c>
    </row>
    <row r="182" spans="1:28" x14ac:dyDescent="0.25">
      <c r="A182" t="s">
        <v>186</v>
      </c>
      <c r="B182">
        <v>0.99930955844802105</v>
      </c>
      <c r="C182">
        <v>1.0312710831490499</v>
      </c>
      <c r="D182">
        <v>0.93825988901430302</v>
      </c>
      <c r="E182">
        <v>0.50227586556418302</v>
      </c>
      <c r="F182">
        <v>0.34282930616880503</v>
      </c>
      <c r="G182">
        <v>0.201581772882064</v>
      </c>
      <c r="H182">
        <v>0.146648928352761</v>
      </c>
      <c r="I182">
        <v>0.108582357927883</v>
      </c>
      <c r="J182">
        <v>9.9593136343689298E-2</v>
      </c>
      <c r="K182">
        <v>8.0961781046644504E-2</v>
      </c>
      <c r="L182">
        <v>1134.5463928209299</v>
      </c>
      <c r="M182">
        <v>22.6782815476686</v>
      </c>
      <c r="N182">
        <v>50.598367085853802</v>
      </c>
      <c r="O182">
        <v>49.6437598482133</v>
      </c>
      <c r="P182">
        <v>-0.101323848030725</v>
      </c>
      <c r="Q182">
        <v>0.112808047560622</v>
      </c>
      <c r="R182">
        <v>0.99128130112146595</v>
      </c>
      <c r="S182" t="s">
        <v>6799</v>
      </c>
      <c r="T182" t="s">
        <v>13232</v>
      </c>
      <c r="U182" t="s">
        <v>13232</v>
      </c>
      <c r="V182" t="s">
        <v>13232</v>
      </c>
      <c r="W182" t="s">
        <v>13410</v>
      </c>
      <c r="X182">
        <v>2</v>
      </c>
      <c r="Y182" t="s">
        <v>19949</v>
      </c>
      <c r="Z182" t="s">
        <v>26313</v>
      </c>
      <c r="AA182">
        <v>0.41900296146503108</v>
      </c>
      <c r="AB182" t="str">
        <f>HYPERLINK("Melting_Curves/meltCurve_B4E3T2_RRN3.pdf", "Melting_Curves/meltCurve_B4E3T2_RRN3.pdf")</f>
        <v>Melting_Curves/meltCurve_B4E3T2_RRN3.pdf</v>
      </c>
    </row>
    <row r="183" spans="1:28" x14ac:dyDescent="0.25">
      <c r="A183" t="s">
        <v>187</v>
      </c>
      <c r="B183">
        <v>0.99930955844802105</v>
      </c>
      <c r="C183">
        <v>1.1174570574829901</v>
      </c>
      <c r="D183">
        <v>1.0541763274117999</v>
      </c>
      <c r="E183">
        <v>1.01667631005088</v>
      </c>
      <c r="F183">
        <v>0.94616310515859803</v>
      </c>
      <c r="G183">
        <v>0.72788349533381702</v>
      </c>
      <c r="H183">
        <v>0.447726988511576</v>
      </c>
      <c r="I183">
        <v>0.41423274433961499</v>
      </c>
      <c r="J183">
        <v>0.363122301852357</v>
      </c>
      <c r="K183">
        <v>0.26468653050254798</v>
      </c>
      <c r="L183">
        <v>1416.2109514250001</v>
      </c>
      <c r="M183">
        <v>24.3791799766454</v>
      </c>
      <c r="N183">
        <v>60.431112716221698</v>
      </c>
      <c r="O183">
        <v>57.704372449765501</v>
      </c>
      <c r="P183">
        <v>-7.3357474713065904E-2</v>
      </c>
      <c r="Q183">
        <v>0.30547556331395298</v>
      </c>
      <c r="R183">
        <v>0.97582966496605705</v>
      </c>
      <c r="S183" t="s">
        <v>6800</v>
      </c>
      <c r="T183" t="s">
        <v>13232</v>
      </c>
      <c r="U183" t="s">
        <v>13232</v>
      </c>
      <c r="V183" t="s">
        <v>13232</v>
      </c>
      <c r="W183" t="s">
        <v>13411</v>
      </c>
      <c r="X183">
        <v>12</v>
      </c>
      <c r="Y183" t="s">
        <v>19950</v>
      </c>
      <c r="Z183" t="s">
        <v>26314</v>
      </c>
      <c r="AA183">
        <v>0.73052067123418274</v>
      </c>
      <c r="AB183" t="str">
        <f>HYPERLINK("Melting_Curves/meltCurve_B4E3W0_ELP4.pdf", "Melting_Curves/meltCurve_B4E3W0_ELP4.pdf")</f>
        <v>Melting_Curves/meltCurve_B4E3W0_ELP4.pdf</v>
      </c>
    </row>
    <row r="184" spans="1:28" x14ac:dyDescent="0.25">
      <c r="A184" t="s">
        <v>188</v>
      </c>
      <c r="B184">
        <v>0.99930955844802105</v>
      </c>
      <c r="C184">
        <v>1.2057106789835299</v>
      </c>
      <c r="D184">
        <v>0.91114848660830805</v>
      </c>
      <c r="E184">
        <v>1.1236896684277</v>
      </c>
      <c r="F184">
        <v>0.60828977947573903</v>
      </c>
      <c r="G184">
        <v>0.60727233551039705</v>
      </c>
      <c r="H184">
        <v>0.14619685580651401</v>
      </c>
      <c r="I184">
        <v>0.102005616557139</v>
      </c>
      <c r="J184">
        <v>0.145806880770041</v>
      </c>
      <c r="K184">
        <v>8.7510879123948795E-2</v>
      </c>
      <c r="L184">
        <v>1147.52298694449</v>
      </c>
      <c r="M184">
        <v>20.367887409978898</v>
      </c>
      <c r="N184">
        <v>56.712148800555802</v>
      </c>
      <c r="O184">
        <v>55.805155777902897</v>
      </c>
      <c r="P184">
        <v>-8.5537672154140307E-2</v>
      </c>
      <c r="Q184">
        <v>6.2583480808593397E-2</v>
      </c>
      <c r="R184">
        <v>0.91877821788451197</v>
      </c>
      <c r="S184" t="s">
        <v>6801</v>
      </c>
      <c r="T184" t="s">
        <v>13232</v>
      </c>
      <c r="U184" t="s">
        <v>13232</v>
      </c>
      <c r="V184" t="s">
        <v>13232</v>
      </c>
      <c r="W184" t="s">
        <v>13412</v>
      </c>
      <c r="X184">
        <v>2</v>
      </c>
      <c r="Y184" t="s">
        <v>19951</v>
      </c>
      <c r="Z184" t="s">
        <v>26315</v>
      </c>
      <c r="AA184">
        <v>0.58477029354987731</v>
      </c>
      <c r="AB184" t="str">
        <f>HYPERLINK("Melting_Curves/meltCurve_B5MC20_JMJD7.pdf", "Melting_Curves/meltCurve_B5MC20_JMJD7.pdf")</f>
        <v>Melting_Curves/meltCurve_B5MC20_JMJD7.pdf</v>
      </c>
    </row>
    <row r="185" spans="1:28" x14ac:dyDescent="0.25">
      <c r="A185" t="s">
        <v>189</v>
      </c>
      <c r="B185">
        <v>0.99930955844802105</v>
      </c>
      <c r="C185">
        <v>1.1759603294465599</v>
      </c>
      <c r="D185">
        <v>0.99701603834542296</v>
      </c>
      <c r="E185">
        <v>0.813041779451669</v>
      </c>
      <c r="F185">
        <v>0.72054195763454398</v>
      </c>
      <c r="G185">
        <v>0.50297814194578405</v>
      </c>
      <c r="H185">
        <v>0.47473826124868301</v>
      </c>
      <c r="I185">
        <v>0.474588389573952</v>
      </c>
      <c r="J185">
        <v>0.458135232287395</v>
      </c>
      <c r="K185">
        <v>0.37669795674809797</v>
      </c>
      <c r="L185">
        <v>1116.90103037324</v>
      </c>
      <c r="M185">
        <v>21.2418451217032</v>
      </c>
      <c r="N185">
        <v>57.978787432127902</v>
      </c>
      <c r="O185">
        <v>52.120878147438901</v>
      </c>
      <c r="P185">
        <v>-5.7993802508368199E-2</v>
      </c>
      <c r="Q185">
        <v>0.43081961716759298</v>
      </c>
      <c r="R185">
        <v>0.94274616900545305</v>
      </c>
      <c r="S185" t="s">
        <v>6802</v>
      </c>
      <c r="T185" t="s">
        <v>13232</v>
      </c>
      <c r="U185" t="s">
        <v>13232</v>
      </c>
      <c r="V185" t="s">
        <v>13232</v>
      </c>
      <c r="W185" t="s">
        <v>13413</v>
      </c>
      <c r="X185">
        <v>5</v>
      </c>
      <c r="Y185" t="s">
        <v>19952</v>
      </c>
      <c r="Z185" t="s">
        <v>26316</v>
      </c>
      <c r="AA185">
        <v>0.67655954990411959</v>
      </c>
      <c r="AB185" t="str">
        <f>HYPERLINK("Melting_Curves/meltCurve_B5MC51_LIMK2.pdf", "Melting_Curves/meltCurve_B5MC51_LIMK2.pdf")</f>
        <v>Melting_Curves/meltCurve_B5MC51_LIMK2.pdf</v>
      </c>
    </row>
    <row r="186" spans="1:28" x14ac:dyDescent="0.25">
      <c r="A186" t="s">
        <v>190</v>
      </c>
      <c r="B186">
        <v>0.99930955844802105</v>
      </c>
      <c r="C186">
        <v>0.95082074502838299</v>
      </c>
      <c r="D186">
        <v>0.76802620061621396</v>
      </c>
      <c r="E186">
        <v>0.44013427269465299</v>
      </c>
      <c r="F186">
        <v>0.32863894561517099</v>
      </c>
      <c r="G186">
        <v>0.261423207372664</v>
      </c>
      <c r="H186">
        <v>0.273067716371238</v>
      </c>
      <c r="I186">
        <v>0.29517376388863797</v>
      </c>
      <c r="J186">
        <v>0.30895804821457301</v>
      </c>
      <c r="K186">
        <v>0.22665398218077401</v>
      </c>
      <c r="L186">
        <v>1149.1731146479599</v>
      </c>
      <c r="M186">
        <v>24.199593983612601</v>
      </c>
      <c r="N186">
        <v>49.065523492075599</v>
      </c>
      <c r="O186">
        <v>47.166578411928</v>
      </c>
      <c r="P186">
        <v>-9.3580925619605806E-2</v>
      </c>
      <c r="Q186">
        <v>0.27042998734093399</v>
      </c>
      <c r="R186">
        <v>0.99451780296264902</v>
      </c>
      <c r="S186" t="s">
        <v>6803</v>
      </c>
      <c r="T186" t="s">
        <v>13232</v>
      </c>
      <c r="U186" t="s">
        <v>13232</v>
      </c>
      <c r="V186" t="s">
        <v>13232</v>
      </c>
      <c r="W186" t="s">
        <v>13414</v>
      </c>
      <c r="X186">
        <v>16</v>
      </c>
      <c r="Y186" t="s">
        <v>19953</v>
      </c>
      <c r="Z186" t="s">
        <v>26317</v>
      </c>
      <c r="AA186">
        <v>0.45945353716132897</v>
      </c>
      <c r="AB186" t="str">
        <f>HYPERLINK("Melting_Curves/meltCurve_B5MCF9_PES1.pdf", "Melting_Curves/meltCurve_B5MCF9_PES1.pdf")</f>
        <v>Melting_Curves/meltCurve_B5MCF9_PES1.pdf</v>
      </c>
    </row>
    <row r="187" spans="1:28" x14ac:dyDescent="0.25">
      <c r="A187" t="s">
        <v>191</v>
      </c>
      <c r="B187">
        <v>0.99930955844802105</v>
      </c>
      <c r="C187">
        <v>1.1344204697853699</v>
      </c>
      <c r="D187">
        <v>1.0971686239434799</v>
      </c>
      <c r="E187">
        <v>0.93867216045709301</v>
      </c>
      <c r="F187">
        <v>0.72598597840717005</v>
      </c>
      <c r="G187">
        <v>0.55775385804010602</v>
      </c>
      <c r="H187">
        <v>0.43163811180881101</v>
      </c>
      <c r="I187">
        <v>0.26740481281922701</v>
      </c>
      <c r="J187">
        <v>0.16774140795399201</v>
      </c>
      <c r="K187">
        <v>7.6527841793268297E-2</v>
      </c>
      <c r="L187">
        <v>764.62533203082603</v>
      </c>
      <c r="M187">
        <v>13.036708645433899</v>
      </c>
      <c r="N187">
        <v>58.651715989580303</v>
      </c>
      <c r="O187">
        <v>57.323108217462</v>
      </c>
      <c r="P187">
        <v>-5.6866167104756497E-2</v>
      </c>
      <c r="Q187">
        <v>0</v>
      </c>
      <c r="R187">
        <v>0.96596687411508797</v>
      </c>
      <c r="S187" t="s">
        <v>6804</v>
      </c>
      <c r="T187" t="s">
        <v>13232</v>
      </c>
      <c r="U187" t="s">
        <v>13232</v>
      </c>
      <c r="V187" t="s">
        <v>13232</v>
      </c>
      <c r="W187" t="s">
        <v>13415</v>
      </c>
      <c r="X187">
        <v>5</v>
      </c>
      <c r="Y187" t="s">
        <v>19954</v>
      </c>
      <c r="Z187" t="s">
        <v>26318</v>
      </c>
      <c r="AA187">
        <v>0.63244673253709016</v>
      </c>
      <c r="AB187" t="str">
        <f>HYPERLINK("Melting_Curves/meltCurve_B5MCM0_TEAD3.pdf", "Melting_Curves/meltCurve_B5MCM0_TEAD3.pdf")</f>
        <v>Melting_Curves/meltCurve_B5MCM0_TEAD3.pdf</v>
      </c>
    </row>
    <row r="188" spans="1:28" x14ac:dyDescent="0.25">
      <c r="A188" t="s">
        <v>192</v>
      </c>
      <c r="B188">
        <v>0.99930955844802105</v>
      </c>
      <c r="C188">
        <v>0.90431777129507096</v>
      </c>
      <c r="D188">
        <v>0.67254420153808103</v>
      </c>
      <c r="E188">
        <v>0.509131539229289</v>
      </c>
      <c r="F188">
        <v>0.29076458566360203</v>
      </c>
      <c r="G188">
        <v>0.18730762303625301</v>
      </c>
      <c r="H188">
        <v>7.9111191557589805E-2</v>
      </c>
      <c r="I188">
        <v>7.1174233489372393E-2</v>
      </c>
      <c r="J188">
        <v>5.1597055814867003E-2</v>
      </c>
      <c r="K188">
        <v>5.6263920291140398E-2</v>
      </c>
      <c r="L188">
        <v>648.81134144237001</v>
      </c>
      <c r="M188">
        <v>13.149651800437701</v>
      </c>
      <c r="N188">
        <v>49.546263926393898</v>
      </c>
      <c r="O188">
        <v>48.2413154194981</v>
      </c>
      <c r="P188">
        <v>-6.6346186346938493E-2</v>
      </c>
      <c r="Q188">
        <v>2.65638001687316E-2</v>
      </c>
      <c r="R188">
        <v>0.99323585275397896</v>
      </c>
      <c r="S188" t="s">
        <v>6805</v>
      </c>
      <c r="T188" t="s">
        <v>13232</v>
      </c>
      <c r="U188" t="s">
        <v>13232</v>
      </c>
      <c r="V188" t="s">
        <v>13232</v>
      </c>
      <c r="W188" t="s">
        <v>13416</v>
      </c>
      <c r="X188">
        <v>2</v>
      </c>
      <c r="Y188" t="s">
        <v>19955</v>
      </c>
      <c r="Z188" t="s">
        <v>26319</v>
      </c>
      <c r="AA188">
        <v>0.35967891463559287</v>
      </c>
      <c r="AB188" t="str">
        <f>HYPERLINK("Melting_Curves/meltCurve_B5MCQ4_DGCR6L.pdf", "Melting_Curves/meltCurve_B5MCQ4_DGCR6L.pdf")</f>
        <v>Melting_Curves/meltCurve_B5MCQ4_DGCR6L.pdf</v>
      </c>
    </row>
    <row r="189" spans="1:28" x14ac:dyDescent="0.25">
      <c r="A189" t="s">
        <v>193</v>
      </c>
      <c r="B189">
        <v>0.99930955844802105</v>
      </c>
      <c r="C189">
        <v>0.95797252324033699</v>
      </c>
      <c r="D189">
        <v>0.96076556882589403</v>
      </c>
      <c r="E189">
        <v>0.88249736167634496</v>
      </c>
      <c r="F189">
        <v>0.68354372773866601</v>
      </c>
      <c r="G189">
        <v>0.57420132768884402</v>
      </c>
      <c r="H189">
        <v>0.55222003239146999</v>
      </c>
      <c r="I189">
        <v>0.63222376392688495</v>
      </c>
      <c r="J189">
        <v>0.63913702034651798</v>
      </c>
      <c r="K189">
        <v>0.46527067562862601</v>
      </c>
      <c r="L189">
        <v>1669.9961408214699</v>
      </c>
      <c r="M189">
        <v>32.500266903569702</v>
      </c>
      <c r="O189">
        <v>51.190706470434201</v>
      </c>
      <c r="P189">
        <v>-6.8470463564271902E-2</v>
      </c>
      <c r="Q189">
        <v>0.56861464376223703</v>
      </c>
      <c r="R189">
        <v>0.93442966817361395</v>
      </c>
      <c r="S189" t="s">
        <v>6806</v>
      </c>
      <c r="T189" t="s">
        <v>13232</v>
      </c>
      <c r="U189" t="s">
        <v>13232</v>
      </c>
      <c r="V189" t="s">
        <v>13232</v>
      </c>
      <c r="W189" t="s">
        <v>13417</v>
      </c>
      <c r="X189">
        <v>11</v>
      </c>
      <c r="Y189" t="s">
        <v>19956</v>
      </c>
      <c r="Z189" t="s">
        <v>26320</v>
      </c>
      <c r="AA189">
        <v>0.73463755621525262</v>
      </c>
      <c r="AB189" t="str">
        <f>HYPERLINK("Melting_Curves/meltCurve_B5MCU0_R3HDM2.pdf", "Melting_Curves/meltCurve_B5MCU0_R3HDM2.pdf")</f>
        <v>Melting_Curves/meltCurve_B5MCU0_R3HDM2.pdf</v>
      </c>
    </row>
    <row r="190" spans="1:28" x14ac:dyDescent="0.25">
      <c r="A190" t="s">
        <v>194</v>
      </c>
      <c r="B190">
        <v>0.99930955844802105</v>
      </c>
      <c r="C190">
        <v>1.1323508670405</v>
      </c>
      <c r="D190">
        <v>1.1608165086917901</v>
      </c>
      <c r="E190">
        <v>1.16086983857287</v>
      </c>
      <c r="F190">
        <v>1.0292321544493099</v>
      </c>
      <c r="G190">
        <v>0.89977059956483996</v>
      </c>
      <c r="H190">
        <v>0.90312024870746399</v>
      </c>
      <c r="I190">
        <v>0.89959364859985402</v>
      </c>
      <c r="J190">
        <v>0.93139163793621105</v>
      </c>
      <c r="K190">
        <v>0.72250568201593801</v>
      </c>
      <c r="L190">
        <v>868.40570944226101</v>
      </c>
      <c r="M190">
        <v>11.248728359286201</v>
      </c>
      <c r="Q190">
        <v>0</v>
      </c>
      <c r="R190">
        <v>0.50105525597113898</v>
      </c>
      <c r="S190" t="s">
        <v>6807</v>
      </c>
      <c r="T190" t="s">
        <v>13232</v>
      </c>
      <c r="U190" t="s">
        <v>13232</v>
      </c>
      <c r="V190" t="s">
        <v>13232</v>
      </c>
      <c r="W190" t="s">
        <v>13418</v>
      </c>
      <c r="X190">
        <v>9</v>
      </c>
      <c r="Y190" t="s">
        <v>19957</v>
      </c>
      <c r="Z190" t="s">
        <v>26321</v>
      </c>
      <c r="AA190">
        <v>0.95575974338157321</v>
      </c>
      <c r="AB190" t="str">
        <f>HYPERLINK("Melting_Curves/meltCurve_B5MDQ0_ERCC6L.pdf", "Melting_Curves/meltCurve_B5MDQ0_ERCC6L.pdf")</f>
        <v>Melting_Curves/meltCurve_B5MDQ0_ERCC6L.pdf</v>
      </c>
    </row>
    <row r="191" spans="1:28" x14ac:dyDescent="0.25">
      <c r="A191" t="s">
        <v>195</v>
      </c>
      <c r="B191">
        <v>0.99930955844802105</v>
      </c>
      <c r="C191">
        <v>0.91093637805350702</v>
      </c>
      <c r="D191">
        <v>0.61128217632428405</v>
      </c>
      <c r="E191">
        <v>0.55231937161023903</v>
      </c>
      <c r="F191">
        <v>0.47036572787189601</v>
      </c>
      <c r="G191">
        <v>0.40944688160819098</v>
      </c>
      <c r="H191">
        <v>0.42277824181885798</v>
      </c>
      <c r="I191">
        <v>0.47431035809070798</v>
      </c>
      <c r="J191">
        <v>0.49455474423840201</v>
      </c>
      <c r="K191">
        <v>0.374434922551176</v>
      </c>
      <c r="L191">
        <v>1235.47370417209</v>
      </c>
      <c r="M191">
        <v>27.4244426517647</v>
      </c>
      <c r="N191">
        <v>49.071189120498701</v>
      </c>
      <c r="O191">
        <v>44.812596340490103</v>
      </c>
      <c r="P191">
        <v>-8.4583176517886799E-2</v>
      </c>
      <c r="Q191">
        <v>0.44715642524405902</v>
      </c>
      <c r="R191">
        <v>0.95708275838132695</v>
      </c>
      <c r="S191" t="s">
        <v>6808</v>
      </c>
      <c r="T191" t="s">
        <v>13232</v>
      </c>
      <c r="U191" t="s">
        <v>13232</v>
      </c>
      <c r="V191" t="s">
        <v>13232</v>
      </c>
      <c r="W191" t="s">
        <v>13419</v>
      </c>
      <c r="X191">
        <v>20</v>
      </c>
      <c r="Y191" t="s">
        <v>19958</v>
      </c>
      <c r="Z191" t="s">
        <v>26322</v>
      </c>
      <c r="AA191">
        <v>0.54460946283158196</v>
      </c>
      <c r="AB191" t="str">
        <f>HYPERLINK("Melting_Curves/meltCurve_B7WP27_CWC22.pdf", "Melting_Curves/meltCurve_B7WP27_CWC22.pdf")</f>
        <v>Melting_Curves/meltCurve_B7WP27_CWC22.pdf</v>
      </c>
    </row>
    <row r="192" spans="1:28" x14ac:dyDescent="0.25">
      <c r="A192" t="s">
        <v>196</v>
      </c>
      <c r="B192">
        <v>0.99930955844802105</v>
      </c>
      <c r="C192">
        <v>0.987038246343243</v>
      </c>
      <c r="D192">
        <v>1.00743233765618</v>
      </c>
      <c r="E192">
        <v>0.92361656291127103</v>
      </c>
      <c r="F192">
        <v>0.84171281325728398</v>
      </c>
      <c r="G192">
        <v>0.78085421495974805</v>
      </c>
      <c r="H192">
        <v>0.71053185199689495</v>
      </c>
      <c r="I192">
        <v>0.82442083434817204</v>
      </c>
      <c r="J192">
        <v>0.754962283890106</v>
      </c>
      <c r="K192">
        <v>0.58557947215338901</v>
      </c>
      <c r="L192">
        <v>512.47438920802495</v>
      </c>
      <c r="M192">
        <v>8.9557656369832106</v>
      </c>
      <c r="O192">
        <v>54.585637377547101</v>
      </c>
      <c r="P192">
        <v>-1.5885688282805802E-2</v>
      </c>
      <c r="Q192">
        <v>0.61299152002897395</v>
      </c>
      <c r="R192">
        <v>0.83697189527748195</v>
      </c>
      <c r="S192" t="s">
        <v>6809</v>
      </c>
      <c r="T192" t="s">
        <v>13232</v>
      </c>
      <c r="U192" t="s">
        <v>13232</v>
      </c>
      <c r="V192" t="s">
        <v>13232</v>
      </c>
      <c r="W192" t="s">
        <v>13420</v>
      </c>
      <c r="X192">
        <v>8</v>
      </c>
      <c r="Y192" t="s">
        <v>19959</v>
      </c>
      <c r="Z192" t="s">
        <v>26323</v>
      </c>
      <c r="AA192">
        <v>0.8401019886093184</v>
      </c>
      <c r="AB192" t="str">
        <f>HYPERLINK("Melting_Curves/meltCurve_B7WPH3_CECR2.pdf", "Melting_Curves/meltCurve_B7WPH3_CECR2.pdf")</f>
        <v>Melting_Curves/meltCurve_B7WPH3_CECR2.pdf</v>
      </c>
    </row>
    <row r="193" spans="1:28" x14ac:dyDescent="0.25">
      <c r="A193" t="s">
        <v>197</v>
      </c>
      <c r="B193">
        <v>0.99930955844802105</v>
      </c>
      <c r="C193">
        <v>1.0057449742378499</v>
      </c>
      <c r="D193">
        <v>0.83769030381289999</v>
      </c>
      <c r="E193">
        <v>0.77021238801069203</v>
      </c>
      <c r="F193">
        <v>0.441145805911621</v>
      </c>
      <c r="G193">
        <v>0.33006476587634898</v>
      </c>
      <c r="H193">
        <v>0.16005095278390899</v>
      </c>
      <c r="I193">
        <v>0.12545081596393601</v>
      </c>
      <c r="J193">
        <v>0.12827457074984899</v>
      </c>
      <c r="K193">
        <v>7.3818276015311907E-2</v>
      </c>
      <c r="L193">
        <v>774.40805023605799</v>
      </c>
      <c r="M193">
        <v>14.7335494197406</v>
      </c>
      <c r="N193">
        <v>53.0833493513178</v>
      </c>
      <c r="O193">
        <v>51.621073637861201</v>
      </c>
      <c r="P193">
        <v>-6.6545334402818193E-2</v>
      </c>
      <c r="Q193">
        <v>6.7497107358019698E-2</v>
      </c>
      <c r="R193">
        <v>0.98726563402741097</v>
      </c>
      <c r="S193" t="s">
        <v>6810</v>
      </c>
      <c r="T193" t="s">
        <v>13232</v>
      </c>
      <c r="U193" t="s">
        <v>13232</v>
      </c>
      <c r="V193" t="s">
        <v>13232</v>
      </c>
      <c r="W193" t="s">
        <v>13421</v>
      </c>
      <c r="X193">
        <v>2</v>
      </c>
      <c r="Y193" t="s">
        <v>19960</v>
      </c>
      <c r="Z193" t="s">
        <v>26324</v>
      </c>
      <c r="AA193">
        <v>0.47889110378374472</v>
      </c>
      <c r="AB193" t="str">
        <f>HYPERLINK("Melting_Curves/meltCurve_B7Z1N3_PIGT.pdf", "Melting_Curves/meltCurve_B7Z1N3_PIGT.pdf")</f>
        <v>Melting_Curves/meltCurve_B7Z1N3_PIGT.pdf</v>
      </c>
    </row>
    <row r="194" spans="1:28" x14ac:dyDescent="0.25">
      <c r="A194" t="s">
        <v>198</v>
      </c>
      <c r="B194">
        <v>0.99930955844802105</v>
      </c>
      <c r="C194">
        <v>0.996755448217027</v>
      </c>
      <c r="D194">
        <v>1.00786766653602</v>
      </c>
      <c r="E194">
        <v>0.93656078355613903</v>
      </c>
      <c r="F194">
        <v>0.85213731522082503</v>
      </c>
      <c r="G194">
        <v>0.33186847190294999</v>
      </c>
      <c r="H194">
        <v>0.100265468465167</v>
      </c>
      <c r="I194">
        <v>6.3006455992586002E-2</v>
      </c>
      <c r="J194">
        <v>4.6770559601090299E-2</v>
      </c>
      <c r="K194">
        <v>3.4914090782933199E-2</v>
      </c>
      <c r="L194">
        <v>1800.38161870313</v>
      </c>
      <c r="M194">
        <v>32.386997501886199</v>
      </c>
      <c r="N194">
        <v>55.743810041672397</v>
      </c>
      <c r="O194">
        <v>55.379009636589302</v>
      </c>
      <c r="P194">
        <v>-0.13994363082721001</v>
      </c>
      <c r="Q194">
        <v>4.28381098577367E-2</v>
      </c>
      <c r="R194">
        <v>0.99890636402814503</v>
      </c>
      <c r="S194" t="s">
        <v>6811</v>
      </c>
      <c r="T194" t="s">
        <v>13232</v>
      </c>
      <c r="U194" t="s">
        <v>13232</v>
      </c>
      <c r="V194" t="s">
        <v>13232</v>
      </c>
      <c r="W194" t="s">
        <v>13422</v>
      </c>
      <c r="X194">
        <v>19</v>
      </c>
      <c r="Y194" t="s">
        <v>19961</v>
      </c>
      <c r="Z194" t="s">
        <v>26325</v>
      </c>
      <c r="AA194">
        <v>0.54575018280445908</v>
      </c>
      <c r="AB194" t="str">
        <f>HYPERLINK("Melting_Curves/meltCurve_B7Z254_PDIA6.pdf", "Melting_Curves/meltCurve_B7Z254_PDIA6.pdf")</f>
        <v>Melting_Curves/meltCurve_B7Z254_PDIA6.pdf</v>
      </c>
    </row>
    <row r="195" spans="1:28" x14ac:dyDescent="0.25">
      <c r="A195" t="s">
        <v>199</v>
      </c>
      <c r="B195">
        <v>0.99930955844802105</v>
      </c>
      <c r="C195">
        <v>1.00297520937111</v>
      </c>
      <c r="D195">
        <v>0.88321444217810197</v>
      </c>
      <c r="E195">
        <v>0.68330520862682798</v>
      </c>
      <c r="F195">
        <v>0.47651758095257701</v>
      </c>
      <c r="G195">
        <v>0.20506032902114699</v>
      </c>
      <c r="H195">
        <v>0.13382473719669399</v>
      </c>
      <c r="I195">
        <v>0.101043596145049</v>
      </c>
      <c r="J195">
        <v>8.6822297919922298E-2</v>
      </c>
      <c r="K195">
        <v>8.0429868589664194E-2</v>
      </c>
      <c r="L195">
        <v>899.65139872058705</v>
      </c>
      <c r="M195">
        <v>17.315995631114401</v>
      </c>
      <c r="N195">
        <v>52.3773163864685</v>
      </c>
      <c r="O195">
        <v>51.276865780492201</v>
      </c>
      <c r="P195">
        <v>-7.8927114080282704E-2</v>
      </c>
      <c r="Q195">
        <v>6.5164369246680107E-2</v>
      </c>
      <c r="R195">
        <v>0.99806733792847202</v>
      </c>
      <c r="S195" t="s">
        <v>6812</v>
      </c>
      <c r="T195" t="s">
        <v>13232</v>
      </c>
      <c r="U195" t="s">
        <v>13232</v>
      </c>
      <c r="V195" t="s">
        <v>13232</v>
      </c>
      <c r="W195" t="s">
        <v>13423</v>
      </c>
      <c r="X195">
        <v>6</v>
      </c>
      <c r="Y195" t="s">
        <v>19962</v>
      </c>
      <c r="Z195" t="s">
        <v>26326</v>
      </c>
      <c r="AA195">
        <v>0.45431557401355088</v>
      </c>
      <c r="AB195" t="str">
        <f>HYPERLINK("Melting_Curves/meltCurve_B7Z2G1_KLHL22.pdf", "Melting_Curves/meltCurve_B7Z2G1_KLHL22.pdf")</f>
        <v>Melting_Curves/meltCurve_B7Z2G1_KLHL22.pdf</v>
      </c>
    </row>
    <row r="196" spans="1:28" x14ac:dyDescent="0.25">
      <c r="A196" t="s">
        <v>200</v>
      </c>
      <c r="B196">
        <v>0.99930955844802105</v>
      </c>
      <c r="C196">
        <v>0.84244739560833903</v>
      </c>
      <c r="D196">
        <v>0.77980998910236199</v>
      </c>
      <c r="E196">
        <v>0.84042777791707501</v>
      </c>
      <c r="F196">
        <v>0.52263673749162998</v>
      </c>
      <c r="G196">
        <v>0.54380098191524295</v>
      </c>
      <c r="H196">
        <v>0.41149953723737898</v>
      </c>
      <c r="I196">
        <v>0.44643147579964498</v>
      </c>
      <c r="J196">
        <v>0.41037417468005</v>
      </c>
      <c r="K196">
        <v>0.35612115093036401</v>
      </c>
      <c r="L196">
        <v>441.59253460952698</v>
      </c>
      <c r="M196">
        <v>8.5175044315377892</v>
      </c>
      <c r="N196">
        <v>58.151423786972899</v>
      </c>
      <c r="O196">
        <v>49.224444234181199</v>
      </c>
      <c r="P196">
        <v>-3.02444039028355E-2</v>
      </c>
      <c r="Q196">
        <v>0.301469566728504</v>
      </c>
      <c r="R196">
        <v>0.91727225467468798</v>
      </c>
      <c r="S196" t="s">
        <v>6813</v>
      </c>
      <c r="T196" t="s">
        <v>13232</v>
      </c>
      <c r="U196" t="s">
        <v>13232</v>
      </c>
      <c r="V196" t="s">
        <v>13232</v>
      </c>
      <c r="W196" t="s">
        <v>13424</v>
      </c>
      <c r="X196">
        <v>2</v>
      </c>
      <c r="Y196" t="s">
        <v>19963</v>
      </c>
      <c r="Z196" t="s">
        <v>26327</v>
      </c>
      <c r="AA196">
        <v>0.60900404238437034</v>
      </c>
      <c r="AB196" t="str">
        <f>HYPERLINK("Melting_Curves/meltCurve_B7Z2L0_BCAP29.pdf", "Melting_Curves/meltCurve_B7Z2L0_BCAP29.pdf")</f>
        <v>Melting_Curves/meltCurve_B7Z2L0_BCAP29.pdf</v>
      </c>
    </row>
    <row r="197" spans="1:28" x14ac:dyDescent="0.25">
      <c r="A197" t="s">
        <v>201</v>
      </c>
      <c r="B197">
        <v>0.99930955844802105</v>
      </c>
      <c r="C197">
        <v>0.76460128525069504</v>
      </c>
      <c r="D197">
        <v>0.84154660597591502</v>
      </c>
      <c r="E197">
        <v>0.51415628038507699</v>
      </c>
      <c r="F197">
        <v>0.402999473840918</v>
      </c>
      <c r="G197">
        <v>0.18587504472927499</v>
      </c>
      <c r="H197">
        <v>0.117164058649362</v>
      </c>
      <c r="I197">
        <v>6.8011795840582798E-2</v>
      </c>
      <c r="J197">
        <v>5.3981159804005398E-2</v>
      </c>
      <c r="K197">
        <v>3.8094863536096597E-2</v>
      </c>
      <c r="L197">
        <v>591.71065335766104</v>
      </c>
      <c r="M197">
        <v>11.6912359837286</v>
      </c>
      <c r="N197">
        <v>50.611471120260497</v>
      </c>
      <c r="O197">
        <v>49.198757364675799</v>
      </c>
      <c r="P197">
        <v>-5.9424015563167003E-2</v>
      </c>
      <c r="Q197">
        <v>0</v>
      </c>
      <c r="R197">
        <v>0.97792734105184298</v>
      </c>
      <c r="S197" t="s">
        <v>6814</v>
      </c>
      <c r="T197" t="s">
        <v>13232</v>
      </c>
      <c r="U197" t="s">
        <v>13232</v>
      </c>
      <c r="V197" t="s">
        <v>13232</v>
      </c>
      <c r="W197" t="s">
        <v>13425</v>
      </c>
      <c r="X197">
        <v>2</v>
      </c>
      <c r="Y197" t="s">
        <v>19964</v>
      </c>
      <c r="Z197" t="s">
        <v>26328</v>
      </c>
      <c r="AA197">
        <v>0.38840649331710442</v>
      </c>
      <c r="AB197" t="str">
        <f>HYPERLINK("Melting_Curves/meltCurve_B7Z2T3_TTC26.pdf", "Melting_Curves/meltCurve_B7Z2T3_TTC26.pdf")</f>
        <v>Melting_Curves/meltCurve_B7Z2T3_TTC26.pdf</v>
      </c>
    </row>
    <row r="198" spans="1:28" x14ac:dyDescent="0.25">
      <c r="A198" t="s">
        <v>202</v>
      </c>
      <c r="B198">
        <v>0.99930955844802105</v>
      </c>
      <c r="C198">
        <v>1.0244122129631501</v>
      </c>
      <c r="D198">
        <v>1.00038008606677</v>
      </c>
      <c r="E198">
        <v>0.99274480378370999</v>
      </c>
      <c r="F198">
        <v>0.95279393856314698</v>
      </c>
      <c r="G198">
        <v>0.77660935752658</v>
      </c>
      <c r="H198">
        <v>0.57671344989330497</v>
      </c>
      <c r="I198">
        <v>0.29430775060229197</v>
      </c>
      <c r="J198">
        <v>7.2405651005948604E-2</v>
      </c>
      <c r="K198">
        <v>4.7284355145501299E-2</v>
      </c>
      <c r="L198">
        <v>1330.3166507739099</v>
      </c>
      <c r="M198">
        <v>21.722917733478202</v>
      </c>
      <c r="N198">
        <v>61.240252723080197</v>
      </c>
      <c r="O198">
        <v>60.7283367342093</v>
      </c>
      <c r="P198">
        <v>-8.9428702164571897E-2</v>
      </c>
      <c r="Q198">
        <v>0</v>
      </c>
      <c r="R198">
        <v>0.99209023217240599</v>
      </c>
      <c r="S198" t="s">
        <v>6815</v>
      </c>
      <c r="T198" t="s">
        <v>13232</v>
      </c>
      <c r="U198" t="s">
        <v>13232</v>
      </c>
      <c r="V198" t="s">
        <v>13232</v>
      </c>
      <c r="W198" t="s">
        <v>13426</v>
      </c>
      <c r="X198">
        <v>12</v>
      </c>
      <c r="Y198" t="s">
        <v>19965</v>
      </c>
      <c r="Z198" t="s">
        <v>26329</v>
      </c>
      <c r="AA198">
        <v>0.71383167391413305</v>
      </c>
      <c r="AB198" t="str">
        <f>HYPERLINK("Melting_Curves/meltCurve_B7Z2X9_ENO2.pdf", "Melting_Curves/meltCurve_B7Z2X9_ENO2.pdf")</f>
        <v>Melting_Curves/meltCurve_B7Z2X9_ENO2.pdf</v>
      </c>
    </row>
    <row r="199" spans="1:28" x14ac:dyDescent="0.25">
      <c r="A199" t="s">
        <v>203</v>
      </c>
      <c r="B199">
        <v>0.99930955844802105</v>
      </c>
      <c r="C199">
        <v>1.01845552716142</v>
      </c>
      <c r="D199">
        <v>0.78918363743295705</v>
      </c>
      <c r="E199">
        <v>0.434600093950053</v>
      </c>
      <c r="F199">
        <v>0.232086719277771</v>
      </c>
      <c r="G199">
        <v>0.146460306077075</v>
      </c>
      <c r="H199">
        <v>6.6158704652697103E-2</v>
      </c>
      <c r="I199">
        <v>5.2097895323060299E-2</v>
      </c>
      <c r="J199">
        <v>5.9290171113936897E-2</v>
      </c>
      <c r="K199">
        <v>5.3927246137048801E-2</v>
      </c>
      <c r="L199">
        <v>1010.49610761545</v>
      </c>
      <c r="M199">
        <v>20.585168652509299</v>
      </c>
      <c r="N199">
        <v>49.387656808851801</v>
      </c>
      <c r="O199">
        <v>48.6323408698196</v>
      </c>
      <c r="P199">
        <v>-9.9621594509813602E-2</v>
      </c>
      <c r="Q199">
        <v>5.8605650786100499E-2</v>
      </c>
      <c r="R199">
        <v>0.99555699135599396</v>
      </c>
      <c r="S199" t="s">
        <v>6816</v>
      </c>
      <c r="T199" t="s">
        <v>13232</v>
      </c>
      <c r="U199" t="s">
        <v>13232</v>
      </c>
      <c r="V199" t="s">
        <v>13232</v>
      </c>
      <c r="W199" t="s">
        <v>13427</v>
      </c>
      <c r="X199">
        <v>2</v>
      </c>
      <c r="Y199" t="s">
        <v>19966</v>
      </c>
      <c r="Z199" t="s">
        <v>26330</v>
      </c>
      <c r="AA199">
        <v>0.35622997039701843</v>
      </c>
      <c r="AB199" t="str">
        <f>HYPERLINK("Melting_Curves/meltCurve_B7Z367_ZNF346.pdf", "Melting_Curves/meltCurve_B7Z367_ZNF346.pdf")</f>
        <v>Melting_Curves/meltCurve_B7Z367_ZNF346.pdf</v>
      </c>
    </row>
    <row r="200" spans="1:28" x14ac:dyDescent="0.25">
      <c r="A200" t="s">
        <v>204</v>
      </c>
      <c r="B200">
        <v>0.99930955844802105</v>
      </c>
      <c r="C200">
        <v>0.85187221375345101</v>
      </c>
      <c r="D200">
        <v>0.68589744075525705</v>
      </c>
      <c r="E200">
        <v>0.57289676661787303</v>
      </c>
      <c r="F200">
        <v>0.49564476826014697</v>
      </c>
      <c r="G200">
        <v>0.43006507029732299</v>
      </c>
      <c r="H200">
        <v>0.32425015548957897</v>
      </c>
      <c r="I200">
        <v>0.34698556832757999</v>
      </c>
      <c r="J200">
        <v>0.32878198590454</v>
      </c>
      <c r="K200">
        <v>0.244291602336005</v>
      </c>
      <c r="L200">
        <v>507.43961624705599</v>
      </c>
      <c r="M200">
        <v>10.455441994802699</v>
      </c>
      <c r="N200">
        <v>52.370507190943499</v>
      </c>
      <c r="O200">
        <v>46.858870316665097</v>
      </c>
      <c r="P200">
        <v>-4.08727678081207E-2</v>
      </c>
      <c r="Q200">
        <v>0.26757124353814499</v>
      </c>
      <c r="R200">
        <v>0.97647263238897197</v>
      </c>
      <c r="S200" t="s">
        <v>6817</v>
      </c>
      <c r="T200" t="s">
        <v>13232</v>
      </c>
      <c r="U200" t="s">
        <v>13232</v>
      </c>
      <c r="V200" t="s">
        <v>13232</v>
      </c>
      <c r="W200" t="s">
        <v>13428</v>
      </c>
      <c r="X200">
        <v>1</v>
      </c>
      <c r="Y200" t="s">
        <v>19967</v>
      </c>
      <c r="Z200" t="s">
        <v>26331</v>
      </c>
      <c r="AA200">
        <v>0.5106405817567099</v>
      </c>
      <c r="AB200" t="str">
        <f>HYPERLINK("Melting_Curves/meltCurve_B7Z3A7_PDE1A.pdf", "Melting_Curves/meltCurve_B7Z3A7_PDE1A.pdf")</f>
        <v>Melting_Curves/meltCurve_B7Z3A7_PDE1A.pdf</v>
      </c>
    </row>
    <row r="201" spans="1:28" x14ac:dyDescent="0.25">
      <c r="A201" t="s">
        <v>205</v>
      </c>
      <c r="B201">
        <v>0.99930955844802105</v>
      </c>
      <c r="C201">
        <v>1.0694418005192601</v>
      </c>
      <c r="D201">
        <v>0.99460404965328997</v>
      </c>
      <c r="E201">
        <v>0.91921014123589395</v>
      </c>
      <c r="F201">
        <v>0.73069571116282195</v>
      </c>
      <c r="G201">
        <v>0.60101502255302597</v>
      </c>
      <c r="H201">
        <v>0.55060427647646404</v>
      </c>
      <c r="I201">
        <v>0.58445772103275995</v>
      </c>
      <c r="J201">
        <v>0.55659208776748703</v>
      </c>
      <c r="K201">
        <v>0.484783294068379</v>
      </c>
      <c r="L201">
        <v>1476.6625262755099</v>
      </c>
      <c r="M201">
        <v>28.114850644858599</v>
      </c>
      <c r="O201">
        <v>52.258930662052997</v>
      </c>
      <c r="P201">
        <v>-6.15347374316354E-2</v>
      </c>
      <c r="Q201">
        <v>0.54248901949066897</v>
      </c>
      <c r="R201">
        <v>0.97688950239440397</v>
      </c>
      <c r="S201" t="s">
        <v>6818</v>
      </c>
      <c r="T201" t="s">
        <v>13232</v>
      </c>
      <c r="U201" t="s">
        <v>13232</v>
      </c>
      <c r="V201" t="s">
        <v>13232</v>
      </c>
      <c r="W201" t="s">
        <v>13429</v>
      </c>
      <c r="X201">
        <v>6</v>
      </c>
      <c r="Y201" t="s">
        <v>19968</v>
      </c>
      <c r="Z201" t="s">
        <v>26332</v>
      </c>
      <c r="AA201">
        <v>0.73680847481208267</v>
      </c>
      <c r="AB201" t="str">
        <f>HYPERLINK("Melting_Curves/meltCurve_B7Z3B9_GAB1.pdf", "Melting_Curves/meltCurve_B7Z3B9_GAB1.pdf")</f>
        <v>Melting_Curves/meltCurve_B7Z3B9_GAB1.pdf</v>
      </c>
    </row>
    <row r="202" spans="1:28" x14ac:dyDescent="0.25">
      <c r="A202" t="s">
        <v>206</v>
      </c>
      <c r="B202">
        <v>0.99930955844802105</v>
      </c>
      <c r="C202">
        <v>0.82528301927879</v>
      </c>
      <c r="D202">
        <v>0.87163044200108297</v>
      </c>
      <c r="E202">
        <v>0.92421539319342405</v>
      </c>
      <c r="F202">
        <v>0.97731892894244399</v>
      </c>
      <c r="G202">
        <v>0.72388358659727003</v>
      </c>
      <c r="H202">
        <v>0.56625133017295104</v>
      </c>
      <c r="I202">
        <v>0.65563462574047204</v>
      </c>
      <c r="J202">
        <v>0.63743799928045097</v>
      </c>
      <c r="K202">
        <v>0.50440746408117199</v>
      </c>
      <c r="L202">
        <v>317.75857854624098</v>
      </c>
      <c r="M202">
        <v>4.4259889242345301</v>
      </c>
      <c r="O202">
        <v>60.739590346796497</v>
      </c>
      <c r="P202">
        <v>-1.8385415371637199E-2</v>
      </c>
      <c r="Q202">
        <v>0</v>
      </c>
      <c r="R202">
        <v>0.76691578584710396</v>
      </c>
      <c r="S202" t="s">
        <v>6819</v>
      </c>
      <c r="T202" t="s">
        <v>13232</v>
      </c>
      <c r="U202" t="s">
        <v>13232</v>
      </c>
      <c r="V202" t="s">
        <v>13232</v>
      </c>
      <c r="W202" t="s">
        <v>13430</v>
      </c>
      <c r="X202">
        <v>14</v>
      </c>
      <c r="Y202" t="s">
        <v>19969</v>
      </c>
      <c r="Z202" t="s">
        <v>26333</v>
      </c>
      <c r="AA202">
        <v>0.77886474834212238</v>
      </c>
      <c r="AB202" t="str">
        <f>HYPERLINK("Melting_Curves/meltCurve_B7Z3I9_ALAD.pdf", "Melting_Curves/meltCurve_B7Z3I9_ALAD.pdf")</f>
        <v>Melting_Curves/meltCurve_B7Z3I9_ALAD.pdf</v>
      </c>
    </row>
    <row r="203" spans="1:28" x14ac:dyDescent="0.25">
      <c r="A203" t="s">
        <v>207</v>
      </c>
      <c r="B203">
        <v>0.99930955844802105</v>
      </c>
      <c r="C203">
        <v>1.08847516057506</v>
      </c>
      <c r="D203">
        <v>1.0848447178095699</v>
      </c>
      <c r="E203">
        <v>1.00493907127544</v>
      </c>
      <c r="F203">
        <v>0.90075533321335299</v>
      </c>
      <c r="G203">
        <v>0.76195602981381605</v>
      </c>
      <c r="H203">
        <v>0.73847106518988603</v>
      </c>
      <c r="I203">
        <v>0.74129622945568197</v>
      </c>
      <c r="J203">
        <v>0.690786835342034</v>
      </c>
      <c r="K203">
        <v>0.46886923159904897</v>
      </c>
      <c r="L203">
        <v>521.32020275786999</v>
      </c>
      <c r="M203">
        <v>7.3325826871446198</v>
      </c>
      <c r="O203">
        <v>66.381651519102107</v>
      </c>
      <c r="P203">
        <v>-2.7658407986875501E-2</v>
      </c>
      <c r="Q203">
        <v>0</v>
      </c>
      <c r="R203">
        <v>0.87392786613602003</v>
      </c>
      <c r="S203" t="s">
        <v>6820</v>
      </c>
      <c r="T203" t="s">
        <v>13232</v>
      </c>
      <c r="U203" t="s">
        <v>13232</v>
      </c>
      <c r="V203" t="s">
        <v>13232</v>
      </c>
      <c r="W203" t="s">
        <v>13431</v>
      </c>
      <c r="X203">
        <v>8</v>
      </c>
      <c r="Y203" t="s">
        <v>19970</v>
      </c>
      <c r="Z203" t="s">
        <v>26334</v>
      </c>
      <c r="AA203">
        <v>0.8452972573519657</v>
      </c>
      <c r="AB203" t="str">
        <f>HYPERLINK("Melting_Curves/meltCurve_B7Z4K6_DNASE2.pdf", "Melting_Curves/meltCurve_B7Z4K6_DNASE2.pdf")</f>
        <v>Melting_Curves/meltCurve_B7Z4K6_DNASE2.pdf</v>
      </c>
    </row>
    <row r="204" spans="1:28" x14ac:dyDescent="0.25">
      <c r="A204" t="s">
        <v>208</v>
      </c>
      <c r="B204">
        <v>0.99930955844802105</v>
      </c>
      <c r="C204">
        <v>0.89937900079990896</v>
      </c>
      <c r="D204">
        <v>1.21232806223933</v>
      </c>
      <c r="E204">
        <v>1.19251557575881</v>
      </c>
      <c r="F204">
        <v>1.11466065317344</v>
      </c>
      <c r="G204">
        <v>1.06630573609631</v>
      </c>
      <c r="H204">
        <v>1.1329758286520699</v>
      </c>
      <c r="I204">
        <v>1.24228531208133</v>
      </c>
      <c r="J204">
        <v>1.16634829337088</v>
      </c>
      <c r="K204">
        <v>0.98131867324927802</v>
      </c>
      <c r="L204">
        <v>11107.4346453898</v>
      </c>
      <c r="M204">
        <v>250</v>
      </c>
      <c r="O204">
        <v>44.426895377194299</v>
      </c>
      <c r="P204">
        <v>0.19497173054070799</v>
      </c>
      <c r="Q204">
        <v>1.1385918186123001</v>
      </c>
      <c r="R204">
        <v>0.46273862942577698</v>
      </c>
      <c r="S204" t="s">
        <v>6821</v>
      </c>
      <c r="T204" t="s">
        <v>13232</v>
      </c>
      <c r="U204" t="s">
        <v>13232</v>
      </c>
      <c r="V204" t="s">
        <v>13232</v>
      </c>
      <c r="W204" t="s">
        <v>13432</v>
      </c>
      <c r="X204">
        <v>6</v>
      </c>
      <c r="Y204" t="s">
        <v>19971</v>
      </c>
      <c r="Z204" t="s">
        <v>26335</v>
      </c>
      <c r="AA204">
        <v>1.1181168279233229</v>
      </c>
      <c r="AB204" t="str">
        <f>HYPERLINK("Melting_Curves/meltCurve_B7Z4R0_ERF.pdf", "Melting_Curves/meltCurve_B7Z4R0_ERF.pdf")</f>
        <v>Melting_Curves/meltCurve_B7Z4R0_ERF.pdf</v>
      </c>
    </row>
    <row r="205" spans="1:28" x14ac:dyDescent="0.25">
      <c r="A205" t="s">
        <v>209</v>
      </c>
      <c r="B205">
        <v>0.99930955844802105</v>
      </c>
      <c r="C205">
        <v>1.0560626604291701</v>
      </c>
      <c r="D205">
        <v>1.07447004737767</v>
      </c>
      <c r="E205">
        <v>1.02038230961465</v>
      </c>
      <c r="F205">
        <v>0.83228731957457402</v>
      </c>
      <c r="G205">
        <v>0.73715022749811698</v>
      </c>
      <c r="H205">
        <v>0.72463937972396797</v>
      </c>
      <c r="I205">
        <v>0.84968492569787901</v>
      </c>
      <c r="J205">
        <v>0.71337309872194399</v>
      </c>
      <c r="K205">
        <v>0.526593531104392</v>
      </c>
      <c r="L205">
        <v>13233.1333795392</v>
      </c>
      <c r="M205">
        <v>250</v>
      </c>
      <c r="O205">
        <v>52.929150436733799</v>
      </c>
      <c r="P205">
        <v>-0.34209857968533502</v>
      </c>
      <c r="Q205">
        <v>0.71028822855747797</v>
      </c>
      <c r="R205">
        <v>0.78648668852874504</v>
      </c>
      <c r="S205" t="s">
        <v>6822</v>
      </c>
      <c r="T205" t="s">
        <v>13232</v>
      </c>
      <c r="U205" t="s">
        <v>13232</v>
      </c>
      <c r="V205" t="s">
        <v>13232</v>
      </c>
      <c r="W205" t="s">
        <v>13433</v>
      </c>
      <c r="X205">
        <v>3</v>
      </c>
      <c r="Y205" t="s">
        <v>19972</v>
      </c>
      <c r="Z205" t="s">
        <v>26336</v>
      </c>
      <c r="AA205">
        <v>0.83520538138245903</v>
      </c>
      <c r="AB205" t="str">
        <f>HYPERLINK("Melting_Curves/meltCurve_B7Z588_TNFRSF10B.pdf", "Melting_Curves/meltCurve_B7Z588_TNFRSF10B.pdf")</f>
        <v>Melting_Curves/meltCurve_B7Z588_TNFRSF10B.pdf</v>
      </c>
    </row>
    <row r="206" spans="1:28" x14ac:dyDescent="0.25">
      <c r="A206" t="s">
        <v>210</v>
      </c>
      <c r="B206">
        <v>0.99930955844802105</v>
      </c>
      <c r="C206">
        <v>1.12125027741522</v>
      </c>
      <c r="D206">
        <v>1.0075587741984799</v>
      </c>
      <c r="E206">
        <v>0.94045373126971699</v>
      </c>
      <c r="F206">
        <v>0.88399431371163895</v>
      </c>
      <c r="G206">
        <v>0.79029310115645102</v>
      </c>
      <c r="H206">
        <v>0.84098359820014101</v>
      </c>
      <c r="I206">
        <v>0.91554446048209204</v>
      </c>
      <c r="J206">
        <v>0.91821014423737402</v>
      </c>
      <c r="K206">
        <v>0.71878273340868304</v>
      </c>
      <c r="L206">
        <v>1937.21363267177</v>
      </c>
      <c r="M206">
        <v>37.990552809009799</v>
      </c>
      <c r="O206">
        <v>50.851310324404203</v>
      </c>
      <c r="P206">
        <v>-3.02169330426404E-2</v>
      </c>
      <c r="Q206">
        <v>0.83821591248429805</v>
      </c>
      <c r="R206">
        <v>0.62853858417776998</v>
      </c>
      <c r="S206" t="s">
        <v>6823</v>
      </c>
      <c r="T206" t="s">
        <v>13232</v>
      </c>
      <c r="U206" t="s">
        <v>13232</v>
      </c>
      <c r="V206" t="s">
        <v>13232</v>
      </c>
      <c r="W206" t="s">
        <v>13434</v>
      </c>
      <c r="X206">
        <v>5</v>
      </c>
      <c r="Y206" t="s">
        <v>19973</v>
      </c>
      <c r="Z206" t="s">
        <v>26337</v>
      </c>
      <c r="AA206">
        <v>0.89812610625096889</v>
      </c>
      <c r="AB206" t="str">
        <f>HYPERLINK("Melting_Curves/meltCurve_B7Z5G4_STMN3.pdf", "Melting_Curves/meltCurve_B7Z5G4_STMN3.pdf")</f>
        <v>Melting_Curves/meltCurve_B7Z5G4_STMN3.pdf</v>
      </c>
    </row>
    <row r="207" spans="1:28" x14ac:dyDescent="0.25">
      <c r="A207" t="s">
        <v>211</v>
      </c>
      <c r="B207">
        <v>0.99930955844802105</v>
      </c>
      <c r="C207">
        <v>0.989190409545322</v>
      </c>
      <c r="D207">
        <v>0.95506037432692303</v>
      </c>
      <c r="E207">
        <v>0.68863651723790198</v>
      </c>
      <c r="F207">
        <v>0.38703724353413299</v>
      </c>
      <c r="G207">
        <v>0.24388848559653301</v>
      </c>
      <c r="H207">
        <v>0.249087886226</v>
      </c>
      <c r="I207">
        <v>0.276561371393234</v>
      </c>
      <c r="J207">
        <v>0.31501310697228802</v>
      </c>
      <c r="K207">
        <v>0.39921264226708902</v>
      </c>
      <c r="L207">
        <v>1923.11974067246</v>
      </c>
      <c r="M207">
        <v>38.252066943850799</v>
      </c>
      <c r="N207">
        <v>51.482342225246803</v>
      </c>
      <c r="O207">
        <v>50.138110761520899</v>
      </c>
      <c r="P207">
        <v>-0.134252336325248</v>
      </c>
      <c r="Q207">
        <v>0.296127786017164</v>
      </c>
      <c r="R207">
        <v>0.98086065802975497</v>
      </c>
      <c r="S207" t="s">
        <v>6824</v>
      </c>
      <c r="T207" t="s">
        <v>13232</v>
      </c>
      <c r="U207" t="s">
        <v>13232</v>
      </c>
      <c r="V207" t="s">
        <v>13232</v>
      </c>
      <c r="W207" t="s">
        <v>13435</v>
      </c>
      <c r="X207">
        <v>1</v>
      </c>
      <c r="Y207" t="s">
        <v>19974</v>
      </c>
      <c r="Z207" t="s">
        <v>26338</v>
      </c>
      <c r="AA207">
        <v>0.53987960854480732</v>
      </c>
      <c r="AB207" t="str">
        <f>HYPERLINK("Melting_Curves/meltCurve_B7Z5R0_ZNF747.pdf", "Melting_Curves/meltCurve_B7Z5R0_ZNF747.pdf")</f>
        <v>Melting_Curves/meltCurve_B7Z5R0_ZNF747.pdf</v>
      </c>
    </row>
    <row r="208" spans="1:28" x14ac:dyDescent="0.25">
      <c r="A208" t="s">
        <v>212</v>
      </c>
      <c r="B208">
        <v>0.99930955844802105</v>
      </c>
      <c r="C208">
        <v>1.14205590132446</v>
      </c>
      <c r="D208">
        <v>0.88038618578749495</v>
      </c>
      <c r="E208">
        <v>0.62035949873710405</v>
      </c>
      <c r="F208">
        <v>0.25475319300583699</v>
      </c>
      <c r="G208">
        <v>0.19160934064176699</v>
      </c>
      <c r="H208">
        <v>0.12977357490647801</v>
      </c>
      <c r="I208">
        <v>0.116841686461645</v>
      </c>
      <c r="J208">
        <v>0.13180437946519</v>
      </c>
      <c r="K208">
        <v>9.9065111127411495E-2</v>
      </c>
      <c r="L208">
        <v>1414.2307769967199</v>
      </c>
      <c r="M208">
        <v>28.1336934553396</v>
      </c>
      <c r="N208">
        <v>50.772602006569301</v>
      </c>
      <c r="O208">
        <v>50.016312263233502</v>
      </c>
      <c r="P208">
        <v>-0.12348000747813299</v>
      </c>
      <c r="Q208">
        <v>0.12191243837148</v>
      </c>
      <c r="R208">
        <v>0.98061970270995102</v>
      </c>
      <c r="S208" t="s">
        <v>6825</v>
      </c>
      <c r="T208" t="s">
        <v>13232</v>
      </c>
      <c r="U208" t="s">
        <v>13232</v>
      </c>
      <c r="V208" t="s">
        <v>13232</v>
      </c>
      <c r="W208" t="s">
        <v>13436</v>
      </c>
      <c r="X208">
        <v>2</v>
      </c>
      <c r="Y208" t="s">
        <v>19975</v>
      </c>
      <c r="Z208" t="s">
        <v>26339</v>
      </c>
      <c r="AA208">
        <v>0.42866808093484299</v>
      </c>
      <c r="AB208" t="str">
        <f>HYPERLINK("Melting_Curves/meltCurve_B7Z5X7_WARS2.pdf", "Melting_Curves/meltCurve_B7Z5X7_WARS2.pdf")</f>
        <v>Melting_Curves/meltCurve_B7Z5X7_WARS2.pdf</v>
      </c>
    </row>
    <row r="209" spans="1:28" x14ac:dyDescent="0.25">
      <c r="A209" t="s">
        <v>213</v>
      </c>
      <c r="B209">
        <v>0.99930955844802105</v>
      </c>
      <c r="C209">
        <v>0.59108635628034001</v>
      </c>
      <c r="D209">
        <v>0.65191388225682301</v>
      </c>
      <c r="E209">
        <v>0.69925031454805997</v>
      </c>
      <c r="F209">
        <v>0.40910284198998098</v>
      </c>
      <c r="G209">
        <v>0.21385421876969801</v>
      </c>
      <c r="H209">
        <v>7.8132239424584499E-2</v>
      </c>
      <c r="I209">
        <v>6.2817208336206701E-2</v>
      </c>
      <c r="J209">
        <v>5.5602386513337598E-2</v>
      </c>
      <c r="K209">
        <v>4.0713315496392399E-2</v>
      </c>
      <c r="L209">
        <v>460.42302193277902</v>
      </c>
      <c r="M209">
        <v>9.2184986488728207</v>
      </c>
      <c r="N209">
        <v>49.945564925720497</v>
      </c>
      <c r="O209">
        <v>47.763865469508701</v>
      </c>
      <c r="P209">
        <v>-4.8282375942867203E-2</v>
      </c>
      <c r="Q209">
        <v>0</v>
      </c>
      <c r="R209">
        <v>0.88906733192655596</v>
      </c>
      <c r="S209" t="s">
        <v>6826</v>
      </c>
      <c r="T209" t="s">
        <v>13232</v>
      </c>
      <c r="U209" t="s">
        <v>13232</v>
      </c>
      <c r="V209" t="s">
        <v>13232</v>
      </c>
      <c r="W209" t="s">
        <v>13437</v>
      </c>
      <c r="X209">
        <v>11</v>
      </c>
      <c r="Y209" t="s">
        <v>19976</v>
      </c>
      <c r="Z209" t="s">
        <v>26340</v>
      </c>
      <c r="AA209">
        <v>0.38209616723958129</v>
      </c>
      <c r="AB209" t="str">
        <f>HYPERLINK("Melting_Curves/meltCurve_B7Z637_ARMC8.pdf", "Melting_Curves/meltCurve_B7Z637_ARMC8.pdf")</f>
        <v>Melting_Curves/meltCurve_B7Z637_ARMC8.pdf</v>
      </c>
    </row>
    <row r="210" spans="1:28" x14ac:dyDescent="0.25">
      <c r="A210" t="s">
        <v>214</v>
      </c>
      <c r="B210">
        <v>0.99930955844802105</v>
      </c>
      <c r="C210">
        <v>0.90608069355101295</v>
      </c>
      <c r="D210">
        <v>0.83595785266218303</v>
      </c>
      <c r="E210">
        <v>0.60114976389257702</v>
      </c>
      <c r="F210">
        <v>0.26430229933329602</v>
      </c>
      <c r="G210">
        <v>0.14105937951074499</v>
      </c>
      <c r="H210">
        <v>7.4989348640257206E-2</v>
      </c>
      <c r="I210">
        <v>5.8653554335772802E-2</v>
      </c>
      <c r="J210">
        <v>4.7514018867650498E-2</v>
      </c>
      <c r="K210">
        <v>3.5119930324366999E-2</v>
      </c>
      <c r="L210">
        <v>898.56208781004204</v>
      </c>
      <c r="M210">
        <v>17.8412036875126</v>
      </c>
      <c r="N210">
        <v>50.545341609281898</v>
      </c>
      <c r="O210">
        <v>49.744481480353798</v>
      </c>
      <c r="P210">
        <v>-8.6895157623997396E-2</v>
      </c>
      <c r="Q210">
        <v>3.0932395004667101E-2</v>
      </c>
      <c r="R210">
        <v>0.99400921848464097</v>
      </c>
      <c r="S210" t="s">
        <v>6827</v>
      </c>
      <c r="T210" t="s">
        <v>13232</v>
      </c>
      <c r="U210" t="s">
        <v>13232</v>
      </c>
      <c r="V210" t="s">
        <v>13232</v>
      </c>
      <c r="W210" t="s">
        <v>13438</v>
      </c>
      <c r="X210">
        <v>18</v>
      </c>
      <c r="Y210" t="s">
        <v>19977</v>
      </c>
      <c r="Z210" t="s">
        <v>26341</v>
      </c>
      <c r="AA210">
        <v>0.38245117336080409</v>
      </c>
      <c r="AB210" t="str">
        <f>HYPERLINK("Melting_Curves/meltCurve_B7Z6B8_DECR1.pdf", "Melting_Curves/meltCurve_B7Z6B8_DECR1.pdf")</f>
        <v>Melting_Curves/meltCurve_B7Z6B8_DECR1.pdf</v>
      </c>
    </row>
    <row r="211" spans="1:28" x14ac:dyDescent="0.25">
      <c r="A211" t="s">
        <v>215</v>
      </c>
      <c r="B211">
        <v>0.99930955844802105</v>
      </c>
      <c r="C211">
        <v>0.87383377695921205</v>
      </c>
      <c r="D211">
        <v>0.80481999977987495</v>
      </c>
      <c r="E211">
        <v>0.59696510338420605</v>
      </c>
      <c r="F211">
        <v>0.37378816137432203</v>
      </c>
      <c r="G211">
        <v>0.33040595784692101</v>
      </c>
      <c r="H211">
        <v>0.26834888633465398</v>
      </c>
      <c r="I211">
        <v>0.25258196440344</v>
      </c>
      <c r="J211">
        <v>0.24256450970319601</v>
      </c>
      <c r="K211">
        <v>0.185341467292755</v>
      </c>
      <c r="L211">
        <v>693.17935089062905</v>
      </c>
      <c r="M211">
        <v>14.0475669862746</v>
      </c>
      <c r="N211">
        <v>51.304129428801197</v>
      </c>
      <c r="O211">
        <v>48.377434682351101</v>
      </c>
      <c r="P211">
        <v>-5.7532807005178502E-2</v>
      </c>
      <c r="Q211">
        <v>0.20757041983476701</v>
      </c>
      <c r="R211">
        <v>0.98982698377705702</v>
      </c>
      <c r="S211" t="s">
        <v>6828</v>
      </c>
      <c r="T211" t="s">
        <v>13232</v>
      </c>
      <c r="U211" t="s">
        <v>13232</v>
      </c>
      <c r="V211" t="s">
        <v>13232</v>
      </c>
      <c r="W211" t="s">
        <v>13439</v>
      </c>
      <c r="X211">
        <v>5</v>
      </c>
      <c r="Y211" t="s">
        <v>19978</v>
      </c>
      <c r="Z211" t="s">
        <v>26342</v>
      </c>
      <c r="AA211">
        <v>0.47617730776086531</v>
      </c>
      <c r="AB211" t="str">
        <f>HYPERLINK("Melting_Curves/meltCurve_B7Z6M3_DGKZ.pdf", "Melting_Curves/meltCurve_B7Z6M3_DGKZ.pdf")</f>
        <v>Melting_Curves/meltCurve_B7Z6M3_DGKZ.pdf</v>
      </c>
    </row>
    <row r="212" spans="1:28" x14ac:dyDescent="0.25">
      <c r="A212" t="s">
        <v>216</v>
      </c>
      <c r="B212">
        <v>0.99930955844802105</v>
      </c>
      <c r="C212">
        <v>1.2105009775189799</v>
      </c>
      <c r="D212">
        <v>1.2300202322493901</v>
      </c>
      <c r="E212">
        <v>1.0248419951263199</v>
      </c>
      <c r="F212">
        <v>0.48356123647136201</v>
      </c>
      <c r="G212">
        <v>0.92557104541392898</v>
      </c>
      <c r="H212">
        <v>1.2168304961018701</v>
      </c>
      <c r="I212">
        <v>1.3216745048274401</v>
      </c>
      <c r="J212">
        <v>1.43151051090347</v>
      </c>
      <c r="K212">
        <v>1.0807172603027</v>
      </c>
      <c r="L212">
        <v>15000</v>
      </c>
      <c r="M212">
        <v>247.16765229840601</v>
      </c>
      <c r="O212">
        <v>60.6835607558939</v>
      </c>
      <c r="P212">
        <v>0.283044303956344</v>
      </c>
      <c r="Q212">
        <v>1.2779674683004401</v>
      </c>
      <c r="R212">
        <v>0.30795028273764502</v>
      </c>
      <c r="S212" t="s">
        <v>6829</v>
      </c>
      <c r="T212" t="s">
        <v>13232</v>
      </c>
      <c r="U212" t="s">
        <v>13232</v>
      </c>
      <c r="V212" t="s">
        <v>13232</v>
      </c>
      <c r="W212" t="s">
        <v>13440</v>
      </c>
      <c r="X212">
        <v>2</v>
      </c>
      <c r="Y212" t="s">
        <v>19979</v>
      </c>
      <c r="Z212" t="s">
        <v>26343</v>
      </c>
      <c r="AA212">
        <v>1.086254956160783</v>
      </c>
      <c r="AB212" t="str">
        <f>HYPERLINK("Melting_Curves/meltCurve_B7Z7E1_CNN1.pdf", "Melting_Curves/meltCurve_B7Z7E1_CNN1.pdf")</f>
        <v>Melting_Curves/meltCurve_B7Z7E1_CNN1.pdf</v>
      </c>
    </row>
    <row r="213" spans="1:28" x14ac:dyDescent="0.25">
      <c r="A213" t="s">
        <v>217</v>
      </c>
      <c r="B213">
        <v>0.99930955844802105</v>
      </c>
      <c r="C213">
        <v>0.73478420459829896</v>
      </c>
      <c r="D213">
        <v>0.42374805505146101</v>
      </c>
      <c r="E213">
        <v>0.22746239920243599</v>
      </c>
      <c r="F213">
        <v>0.110821199396279</v>
      </c>
      <c r="G213">
        <v>7.6348117889350101E-2</v>
      </c>
      <c r="H213">
        <v>3.7750314538526397E-2</v>
      </c>
      <c r="I213">
        <v>2.7512914908458599E-2</v>
      </c>
      <c r="J213">
        <v>2.66992624978779E-2</v>
      </c>
      <c r="K213">
        <v>9.9934014845904605E-3</v>
      </c>
      <c r="L213">
        <v>826.22736036881702</v>
      </c>
      <c r="M213">
        <v>18.196568685531901</v>
      </c>
      <c r="N213">
        <v>45.575366485790603</v>
      </c>
      <c r="O213">
        <v>44.867936490376401</v>
      </c>
      <c r="P213">
        <v>-9.8073190326054105E-2</v>
      </c>
      <c r="Q213">
        <v>3.2755137247655199E-2</v>
      </c>
      <c r="R213">
        <v>0.99036554167348301</v>
      </c>
      <c r="S213" t="s">
        <v>6830</v>
      </c>
      <c r="T213" t="s">
        <v>13232</v>
      </c>
      <c r="U213" t="s">
        <v>13232</v>
      </c>
      <c r="V213" t="s">
        <v>13232</v>
      </c>
      <c r="W213" t="s">
        <v>13441</v>
      </c>
      <c r="X213">
        <v>2</v>
      </c>
      <c r="Y213" t="s">
        <v>19980</v>
      </c>
      <c r="Z213" t="s">
        <v>26344</v>
      </c>
      <c r="AA213">
        <v>0.22654847673948111</v>
      </c>
      <c r="AB213" t="str">
        <f>HYPERLINK("Melting_Curves/meltCurve_B7Z7N6_PDK1.pdf", "Melting_Curves/meltCurve_B7Z7N6_PDK1.pdf")</f>
        <v>Melting_Curves/meltCurve_B7Z7N6_PDK1.pdf</v>
      </c>
    </row>
    <row r="214" spans="1:28" x14ac:dyDescent="0.25">
      <c r="A214" t="s">
        <v>218</v>
      </c>
      <c r="B214">
        <v>0.99930955844802105</v>
      </c>
      <c r="C214">
        <v>0.76898321548872395</v>
      </c>
      <c r="D214">
        <v>0.61112464564026303</v>
      </c>
      <c r="E214">
        <v>0.30986934445750303</v>
      </c>
      <c r="F214">
        <v>0.17150088995115201</v>
      </c>
      <c r="G214">
        <v>0.117618019077303</v>
      </c>
      <c r="H214">
        <v>7.4094541195744795E-2</v>
      </c>
      <c r="I214">
        <v>6.20110385929665E-2</v>
      </c>
      <c r="J214">
        <v>5.6014047599072199E-2</v>
      </c>
      <c r="K214">
        <v>4.1313106911212302E-2</v>
      </c>
      <c r="L214">
        <v>729.47950454492502</v>
      </c>
      <c r="M214">
        <v>15.5592970647354</v>
      </c>
      <c r="N214">
        <v>47.1799080781256</v>
      </c>
      <c r="O214">
        <v>46.129867221733598</v>
      </c>
      <c r="P214">
        <v>-8.0408256050825994E-2</v>
      </c>
      <c r="Q214">
        <v>4.6512847425297398E-2</v>
      </c>
      <c r="R214">
        <v>0.99370924478571698</v>
      </c>
      <c r="S214" t="s">
        <v>6831</v>
      </c>
      <c r="T214" t="s">
        <v>13232</v>
      </c>
      <c r="U214" t="s">
        <v>13232</v>
      </c>
      <c r="V214" t="s">
        <v>13232</v>
      </c>
      <c r="W214" t="s">
        <v>13442</v>
      </c>
      <c r="X214">
        <v>56</v>
      </c>
      <c r="Y214" t="s">
        <v>19981</v>
      </c>
      <c r="Z214" t="s">
        <v>26345</v>
      </c>
      <c r="AA214">
        <v>0.28948499347496348</v>
      </c>
      <c r="AB214" t="str">
        <f>HYPERLINK("Melting_Curves/meltCurve_B7Z815_USP7.pdf", "Melting_Curves/meltCurve_B7Z815_USP7.pdf")</f>
        <v>Melting_Curves/meltCurve_B7Z815_USP7.pdf</v>
      </c>
    </row>
    <row r="215" spans="1:28" x14ac:dyDescent="0.25">
      <c r="A215" t="s">
        <v>219</v>
      </c>
      <c r="B215">
        <v>0.99930955844802105</v>
      </c>
      <c r="C215">
        <v>0.69366533455092405</v>
      </c>
      <c r="D215">
        <v>0.53769925879342895</v>
      </c>
      <c r="E215">
        <v>0.75989203072536604</v>
      </c>
      <c r="F215">
        <v>0.37850157254538802</v>
      </c>
      <c r="G215">
        <v>0.13969657232167701</v>
      </c>
      <c r="H215">
        <v>5.3087744595721797E-2</v>
      </c>
      <c r="I215">
        <v>3.4242370213172502E-2</v>
      </c>
      <c r="J215">
        <v>1.5446039525856501E-2</v>
      </c>
      <c r="K215">
        <v>2.5356285932047199E-2</v>
      </c>
      <c r="L215">
        <v>509.05109276556402</v>
      </c>
      <c r="M215">
        <v>10.2477373394353</v>
      </c>
      <c r="N215">
        <v>49.6744888324599</v>
      </c>
      <c r="O215">
        <v>47.894380754797503</v>
      </c>
      <c r="P215">
        <v>-5.3515026428398303E-2</v>
      </c>
      <c r="Q215">
        <v>0</v>
      </c>
      <c r="R215">
        <v>0.87813090338120903</v>
      </c>
      <c r="S215" t="s">
        <v>6832</v>
      </c>
      <c r="T215" t="s">
        <v>13232</v>
      </c>
      <c r="U215" t="s">
        <v>13232</v>
      </c>
      <c r="V215" t="s">
        <v>13232</v>
      </c>
      <c r="W215" t="s">
        <v>13443</v>
      </c>
      <c r="X215">
        <v>2</v>
      </c>
      <c r="Y215" t="s">
        <v>19982</v>
      </c>
      <c r="Z215" t="s">
        <v>26346</v>
      </c>
      <c r="AA215">
        <v>0.36730584370172931</v>
      </c>
      <c r="AB215" t="str">
        <f>HYPERLINK("Melting_Curves/meltCurve_B7Z844_SLC2A14.pdf", "Melting_Curves/meltCurve_B7Z844_SLC2A14.pdf")</f>
        <v>Melting_Curves/meltCurve_B7Z844_SLC2A14.pdf</v>
      </c>
    </row>
    <row r="216" spans="1:28" x14ac:dyDescent="0.25">
      <c r="A216" t="s">
        <v>220</v>
      </c>
      <c r="B216">
        <v>0.99930955844802105</v>
      </c>
      <c r="C216">
        <v>1.0702922838298901</v>
      </c>
      <c r="D216">
        <v>1.0370126480367301</v>
      </c>
      <c r="E216">
        <v>0.99275309713565896</v>
      </c>
      <c r="F216">
        <v>0.94049529036676804</v>
      </c>
      <c r="G216">
        <v>0.72538968773274204</v>
      </c>
      <c r="H216">
        <v>0.69763821214982802</v>
      </c>
      <c r="I216">
        <v>0.71998338646571503</v>
      </c>
      <c r="J216">
        <v>0.73919460196340003</v>
      </c>
      <c r="K216">
        <v>0.55943367806445798</v>
      </c>
      <c r="L216">
        <v>2302.2668112537799</v>
      </c>
      <c r="M216">
        <v>42.0000779516919</v>
      </c>
      <c r="O216">
        <v>54.691947098326501</v>
      </c>
      <c r="P216">
        <v>-6.2078964620391398E-2</v>
      </c>
      <c r="Q216">
        <v>0.67664693587509095</v>
      </c>
      <c r="R216">
        <v>0.90903565899376204</v>
      </c>
      <c r="S216" t="s">
        <v>6833</v>
      </c>
      <c r="T216" t="s">
        <v>13232</v>
      </c>
      <c r="U216" t="s">
        <v>13232</v>
      </c>
      <c r="V216" t="s">
        <v>13232</v>
      </c>
      <c r="X216">
        <v>8</v>
      </c>
      <c r="Z216" t="s">
        <v>26347</v>
      </c>
      <c r="AA216">
        <v>0.83744578654662927</v>
      </c>
      <c r="AB216" t="str">
        <f>HYPERLINK("Melting_Curves/meltCurve_B7Z8R6_.pdf", "Melting_Curves/meltCurve_B7Z8R6_.pdf")</f>
        <v>Melting_Curves/meltCurve_B7Z8R6_.pdf</v>
      </c>
    </row>
    <row r="217" spans="1:28" x14ac:dyDescent="0.25">
      <c r="A217" t="s">
        <v>221</v>
      </c>
      <c r="B217">
        <v>0.99930955844802105</v>
      </c>
      <c r="C217">
        <v>0.82283118848390302</v>
      </c>
      <c r="D217">
        <v>0.67572424961771704</v>
      </c>
      <c r="E217">
        <v>0.59573022243961204</v>
      </c>
      <c r="F217">
        <v>0.262559650945908</v>
      </c>
      <c r="G217">
        <v>9.5149036741108903E-2</v>
      </c>
      <c r="H217">
        <v>5.5457284441517297E-2</v>
      </c>
      <c r="I217">
        <v>3.9164840418834002E-2</v>
      </c>
      <c r="J217">
        <v>3.3420629668424497E-2</v>
      </c>
      <c r="K217">
        <v>3.0678044283962699E-2</v>
      </c>
      <c r="L217">
        <v>651.35147924403998</v>
      </c>
      <c r="M217">
        <v>13.1535708604522</v>
      </c>
      <c r="N217">
        <v>49.518984983446799</v>
      </c>
      <c r="O217">
        <v>48.4163865627999</v>
      </c>
      <c r="P217">
        <v>-6.7930461867959105E-2</v>
      </c>
      <c r="Q217">
        <v>0</v>
      </c>
      <c r="R217">
        <v>0.97651983465717496</v>
      </c>
      <c r="S217" t="s">
        <v>6834</v>
      </c>
      <c r="T217" t="s">
        <v>13232</v>
      </c>
      <c r="U217" t="s">
        <v>13232</v>
      </c>
      <c r="V217" t="s">
        <v>13232</v>
      </c>
      <c r="W217" t="s">
        <v>13444</v>
      </c>
      <c r="X217">
        <v>2</v>
      </c>
      <c r="Y217" t="s">
        <v>19983</v>
      </c>
      <c r="Z217" t="s">
        <v>26348</v>
      </c>
      <c r="AA217">
        <v>0.34786722265695841</v>
      </c>
      <c r="AB217" t="str">
        <f>HYPERLINK("Melting_Curves/meltCurve_B7ZAB3_B3GAT3.pdf", "Melting_Curves/meltCurve_B7ZAB3_B3GAT3.pdf")</f>
        <v>Melting_Curves/meltCurve_B7ZAB3_B3GAT3.pdf</v>
      </c>
    </row>
    <row r="218" spans="1:28" x14ac:dyDescent="0.25">
      <c r="A218" t="s">
        <v>222</v>
      </c>
      <c r="B218">
        <v>0.99930955844802105</v>
      </c>
      <c r="C218">
        <v>0.82316240070642599</v>
      </c>
      <c r="D218">
        <v>0.83025672061223299</v>
      </c>
      <c r="E218">
        <v>0.76644386853774404</v>
      </c>
      <c r="F218">
        <v>0.58470698002557397</v>
      </c>
      <c r="G218">
        <v>0.26704599316912597</v>
      </c>
      <c r="H218">
        <v>0.10039950363709001</v>
      </c>
      <c r="I218">
        <v>7.6804583566386697E-2</v>
      </c>
      <c r="J218">
        <v>6.3735368558725497E-2</v>
      </c>
      <c r="K218">
        <v>5.2348958051961901E-2</v>
      </c>
      <c r="L218">
        <v>729.34223301625605</v>
      </c>
      <c r="M218">
        <v>13.658294189133001</v>
      </c>
      <c r="N218">
        <v>53.399221093450002</v>
      </c>
      <c r="O218">
        <v>52.293532264127698</v>
      </c>
      <c r="P218">
        <v>-6.5305803897684506E-2</v>
      </c>
      <c r="Q218">
        <v>0</v>
      </c>
      <c r="R218">
        <v>0.97274593806788001</v>
      </c>
      <c r="S218" t="s">
        <v>6835</v>
      </c>
      <c r="T218" t="s">
        <v>13232</v>
      </c>
      <c r="U218" t="s">
        <v>13232</v>
      </c>
      <c r="V218" t="s">
        <v>13232</v>
      </c>
      <c r="W218" t="s">
        <v>13445</v>
      </c>
      <c r="X218">
        <v>14</v>
      </c>
      <c r="Y218" t="s">
        <v>19984</v>
      </c>
      <c r="Z218" t="s">
        <v>26349</v>
      </c>
      <c r="AA218">
        <v>0.47046126772578067</v>
      </c>
      <c r="AB218" t="str">
        <f>HYPERLINK("Melting_Curves/meltCurve_B7ZAX5_GALK2.pdf", "Melting_Curves/meltCurve_B7ZAX5_GALK2.pdf")</f>
        <v>Melting_Curves/meltCurve_B7ZAX5_GALK2.pdf</v>
      </c>
    </row>
    <row r="219" spans="1:28" x14ac:dyDescent="0.25">
      <c r="A219" t="s">
        <v>223</v>
      </c>
      <c r="B219">
        <v>0.99930955844802105</v>
      </c>
      <c r="C219">
        <v>0.80775426260982397</v>
      </c>
      <c r="D219">
        <v>0.76621135532814399</v>
      </c>
      <c r="E219">
        <v>0.46664077960942302</v>
      </c>
      <c r="F219">
        <v>0.26022452783415101</v>
      </c>
      <c r="G219">
        <v>0.16750720254842999</v>
      </c>
      <c r="H219">
        <v>0.10423663062564301</v>
      </c>
      <c r="I219">
        <v>8.7722462112044403E-2</v>
      </c>
      <c r="J219">
        <v>7.7597494542443399E-2</v>
      </c>
      <c r="K219">
        <v>5.9117903520782999E-2</v>
      </c>
      <c r="L219">
        <v>687.84555921133494</v>
      </c>
      <c r="M219">
        <v>14.0572039720522</v>
      </c>
      <c r="N219">
        <v>49.296220386620803</v>
      </c>
      <c r="O219">
        <v>47.973582838800098</v>
      </c>
      <c r="P219">
        <v>-6.9649733073905304E-2</v>
      </c>
      <c r="Q219">
        <v>4.9338521249956802E-2</v>
      </c>
      <c r="R219">
        <v>0.99095331016745603</v>
      </c>
      <c r="S219" t="s">
        <v>6836</v>
      </c>
      <c r="T219" t="s">
        <v>13232</v>
      </c>
      <c r="U219" t="s">
        <v>13232</v>
      </c>
      <c r="V219" t="s">
        <v>13232</v>
      </c>
      <c r="W219" t="s">
        <v>13446</v>
      </c>
      <c r="X219">
        <v>11</v>
      </c>
      <c r="Y219" t="s">
        <v>19985</v>
      </c>
      <c r="Z219" t="s">
        <v>26350</v>
      </c>
      <c r="AA219">
        <v>0.35892348154966558</v>
      </c>
      <c r="AB219" t="str">
        <f>HYPERLINK("Melting_Curves/meltCurve_B7ZKK9_PPP2R5E.pdf", "Melting_Curves/meltCurve_B7ZKK9_PPP2R5E.pdf")</f>
        <v>Melting_Curves/meltCurve_B7ZKK9_PPP2R5E.pdf</v>
      </c>
    </row>
    <row r="220" spans="1:28" x14ac:dyDescent="0.25">
      <c r="A220" t="s">
        <v>224</v>
      </c>
      <c r="B220">
        <v>0.99930955844802105</v>
      </c>
      <c r="C220">
        <v>0.59816995634157699</v>
      </c>
      <c r="D220">
        <v>0.48423748533198901</v>
      </c>
      <c r="E220">
        <v>0.44696808210937</v>
      </c>
      <c r="F220">
        <v>0.40111473150578297</v>
      </c>
      <c r="G220">
        <v>0.19218284256913401</v>
      </c>
      <c r="H220">
        <v>5.9972444729989097E-2</v>
      </c>
      <c r="I220">
        <v>8.0346519080642304E-2</v>
      </c>
      <c r="J220">
        <v>0</v>
      </c>
      <c r="K220">
        <v>4.41451256787318E-2</v>
      </c>
      <c r="L220">
        <v>427.67382692782002</v>
      </c>
      <c r="M220">
        <v>8.9993510845412992</v>
      </c>
      <c r="N220">
        <v>47.522741392811497</v>
      </c>
      <c r="O220">
        <v>45.352190184259598</v>
      </c>
      <c r="P220">
        <v>-4.9644200848010099E-2</v>
      </c>
      <c r="Q220">
        <v>0</v>
      </c>
      <c r="R220">
        <v>0.91864078986518605</v>
      </c>
      <c r="S220" t="s">
        <v>6837</v>
      </c>
      <c r="T220" t="s">
        <v>13232</v>
      </c>
      <c r="U220" t="s">
        <v>13232</v>
      </c>
      <c r="V220" t="s">
        <v>13232</v>
      </c>
      <c r="W220" t="s">
        <v>13447</v>
      </c>
      <c r="X220">
        <v>1</v>
      </c>
      <c r="Y220" t="s">
        <v>19986</v>
      </c>
      <c r="Z220" t="s">
        <v>26351</v>
      </c>
      <c r="AA220">
        <v>0.31533000148604839</v>
      </c>
      <c r="AB220" t="str">
        <f>HYPERLINK("Melting_Curves/meltCurve_B7ZKP8_UBXN2A.pdf", "Melting_Curves/meltCurve_B7ZKP8_UBXN2A.pdf")</f>
        <v>Melting_Curves/meltCurve_B7ZKP8_UBXN2A.pdf</v>
      </c>
    </row>
    <row r="221" spans="1:28" x14ac:dyDescent="0.25">
      <c r="A221" t="s">
        <v>225</v>
      </c>
      <c r="B221">
        <v>0.99930955844802105</v>
      </c>
      <c r="C221">
        <v>1.038980132289</v>
      </c>
      <c r="D221">
        <v>1.0428853468369601</v>
      </c>
      <c r="E221">
        <v>1.02980166130261</v>
      </c>
      <c r="F221">
        <v>0.99056243417843604</v>
      </c>
      <c r="G221">
        <v>0.78761951329385604</v>
      </c>
      <c r="H221">
        <v>0.71692455015439704</v>
      </c>
      <c r="I221">
        <v>0.75038989063805195</v>
      </c>
      <c r="J221">
        <v>0.72644964607221496</v>
      </c>
      <c r="K221">
        <v>0.441552214483242</v>
      </c>
      <c r="L221">
        <v>593.73815474545495</v>
      </c>
      <c r="M221">
        <v>8.4038785957942093</v>
      </c>
      <c r="O221">
        <v>66.989960784720495</v>
      </c>
      <c r="P221">
        <v>-3.1391949064473901E-2</v>
      </c>
      <c r="Q221">
        <v>0</v>
      </c>
      <c r="R221">
        <v>0.87215965078422297</v>
      </c>
      <c r="S221" t="s">
        <v>6838</v>
      </c>
      <c r="T221" t="s">
        <v>13232</v>
      </c>
      <c r="U221" t="s">
        <v>13232</v>
      </c>
      <c r="V221" t="s">
        <v>13232</v>
      </c>
      <c r="W221" t="s">
        <v>13448</v>
      </c>
      <c r="X221">
        <v>2</v>
      </c>
      <c r="Y221" t="s">
        <v>19987</v>
      </c>
      <c r="Z221" t="s">
        <v>26352</v>
      </c>
      <c r="AA221">
        <v>0.85673341970138972</v>
      </c>
      <c r="AB221" t="str">
        <f>HYPERLINK("Melting_Curves/meltCurve_B7ZKR7_AP3B2.pdf", "Melting_Curves/meltCurve_B7ZKR7_AP3B2.pdf")</f>
        <v>Melting_Curves/meltCurve_B7ZKR7_AP3B2.pdf</v>
      </c>
    </row>
    <row r="222" spans="1:28" x14ac:dyDescent="0.25">
      <c r="A222" t="s">
        <v>226</v>
      </c>
      <c r="B222">
        <v>0.99930955844802105</v>
      </c>
      <c r="C222">
        <v>0.97211059754139495</v>
      </c>
      <c r="D222">
        <v>0.78266991533758201</v>
      </c>
      <c r="E222">
        <v>0.44058939051783702</v>
      </c>
      <c r="F222">
        <v>0.32398341626676602</v>
      </c>
      <c r="G222">
        <v>0.322499640561623</v>
      </c>
      <c r="H222">
        <v>0.26072409232103799</v>
      </c>
      <c r="I222">
        <v>0.32308431580688102</v>
      </c>
      <c r="J222">
        <v>0.27573034980141098</v>
      </c>
      <c r="K222">
        <v>0.224344504616763</v>
      </c>
      <c r="L222">
        <v>1212.7589488927199</v>
      </c>
      <c r="M222">
        <v>25.486637488650398</v>
      </c>
      <c r="N222">
        <v>49.144977379512099</v>
      </c>
      <c r="O222">
        <v>47.294076359166098</v>
      </c>
      <c r="P222">
        <v>-9.7345954085535397E-2</v>
      </c>
      <c r="Q222">
        <v>0.27745223446564299</v>
      </c>
      <c r="R222">
        <v>0.99199506432951401</v>
      </c>
      <c r="S222" t="s">
        <v>6839</v>
      </c>
      <c r="T222" t="s">
        <v>13232</v>
      </c>
      <c r="U222" t="s">
        <v>13232</v>
      </c>
      <c r="V222" t="s">
        <v>13232</v>
      </c>
      <c r="W222" t="s">
        <v>13449</v>
      </c>
      <c r="X222">
        <v>9</v>
      </c>
      <c r="Y222" t="s">
        <v>19988</v>
      </c>
      <c r="Z222" t="s">
        <v>26353</v>
      </c>
      <c r="AA222">
        <v>0.46625465887528122</v>
      </c>
      <c r="AB222" t="str">
        <f>HYPERLINK("Melting_Curves/meltCurve_B7ZKT6_SOS2.pdf", "Melting_Curves/meltCurve_B7ZKT6_SOS2.pdf")</f>
        <v>Melting_Curves/meltCurve_B7ZKT6_SOS2.pdf</v>
      </c>
    </row>
    <row r="223" spans="1:28" x14ac:dyDescent="0.25">
      <c r="A223" t="s">
        <v>227</v>
      </c>
      <c r="B223">
        <v>0.99930955844802105</v>
      </c>
      <c r="C223">
        <v>0.92907656178877795</v>
      </c>
      <c r="D223">
        <v>0.88470821407974898</v>
      </c>
      <c r="E223">
        <v>0.74407536869433899</v>
      </c>
      <c r="F223">
        <v>0.49805025198177499</v>
      </c>
      <c r="G223">
        <v>0.25468533166849799</v>
      </c>
      <c r="H223">
        <v>0.110316169361254</v>
      </c>
      <c r="I223">
        <v>0.103930614488991</v>
      </c>
      <c r="J223">
        <v>8.9131362703932904E-2</v>
      </c>
      <c r="K223">
        <v>7.4416704446644805E-2</v>
      </c>
      <c r="L223">
        <v>851.67935738521305</v>
      </c>
      <c r="M223">
        <v>16.1853580154492</v>
      </c>
      <c r="N223">
        <v>52.950070569975203</v>
      </c>
      <c r="O223">
        <v>51.836756899347399</v>
      </c>
      <c r="P223">
        <v>-7.4323025421974498E-2</v>
      </c>
      <c r="Q223">
        <v>4.7935604877190299E-2</v>
      </c>
      <c r="R223">
        <v>0.99604907182254399</v>
      </c>
      <c r="S223" t="s">
        <v>6840</v>
      </c>
      <c r="T223" t="s">
        <v>13232</v>
      </c>
      <c r="U223" t="s">
        <v>13232</v>
      </c>
      <c r="V223" t="s">
        <v>13232</v>
      </c>
      <c r="W223" t="s">
        <v>13450</v>
      </c>
      <c r="X223">
        <v>8</v>
      </c>
      <c r="Y223" t="s">
        <v>19989</v>
      </c>
      <c r="Z223" t="s">
        <v>26354</v>
      </c>
      <c r="AA223">
        <v>0.4670271220179778</v>
      </c>
      <c r="AB223" t="str">
        <f>HYPERLINK("Melting_Curves/meltCurve_B7ZLQ8_CPEB4.pdf", "Melting_Curves/meltCurve_B7ZLQ8_CPEB4.pdf")</f>
        <v>Melting_Curves/meltCurve_B7ZLQ8_CPEB4.pdf</v>
      </c>
    </row>
    <row r="224" spans="1:28" x14ac:dyDescent="0.25">
      <c r="A224" t="s">
        <v>228</v>
      </c>
      <c r="B224">
        <v>0.99930955844802105</v>
      </c>
      <c r="C224">
        <v>1.04091759644207</v>
      </c>
      <c r="D224">
        <v>1.03718224458451</v>
      </c>
      <c r="E224">
        <v>0.97693271935104697</v>
      </c>
      <c r="F224">
        <v>0.79802808270967995</v>
      </c>
      <c r="G224">
        <v>0.65492357448636696</v>
      </c>
      <c r="H224">
        <v>0.535277709671376</v>
      </c>
      <c r="I224">
        <v>0.53035508295679301</v>
      </c>
      <c r="J224">
        <v>0.496618588907138</v>
      </c>
      <c r="K224">
        <v>0.39408779208498401</v>
      </c>
      <c r="L224">
        <v>1029.02433096649</v>
      </c>
      <c r="M224">
        <v>18.539104703607499</v>
      </c>
      <c r="N224">
        <v>63.025090426893698</v>
      </c>
      <c r="O224">
        <v>54.8718837686082</v>
      </c>
      <c r="P224">
        <v>-4.68589677590079E-2</v>
      </c>
      <c r="Q224">
        <v>0.44525324208882699</v>
      </c>
      <c r="R224">
        <v>0.97579177740034995</v>
      </c>
      <c r="S224" t="s">
        <v>6841</v>
      </c>
      <c r="T224" t="s">
        <v>13232</v>
      </c>
      <c r="U224" t="s">
        <v>13232</v>
      </c>
      <c r="V224" t="s">
        <v>13232</v>
      </c>
      <c r="W224" t="s">
        <v>13451</v>
      </c>
      <c r="X224">
        <v>24</v>
      </c>
      <c r="Y224" t="s">
        <v>19990</v>
      </c>
      <c r="Z224" t="s">
        <v>26355</v>
      </c>
      <c r="AA224">
        <v>0.74005309082966675</v>
      </c>
      <c r="AB224" t="str">
        <f>HYPERLINK("Melting_Curves/meltCurve_B7ZM82_WIZ.pdf", "Melting_Curves/meltCurve_B7ZM82_WIZ.pdf")</f>
        <v>Melting_Curves/meltCurve_B7ZM82_WIZ.pdf</v>
      </c>
    </row>
    <row r="225" spans="1:28" x14ac:dyDescent="0.25">
      <c r="A225" t="s">
        <v>229</v>
      </c>
      <c r="B225">
        <v>0.99930955844802105</v>
      </c>
      <c r="C225">
        <v>0.999032253397374</v>
      </c>
      <c r="D225">
        <v>0.74371400171485502</v>
      </c>
      <c r="E225">
        <v>0.75582753690377602</v>
      </c>
      <c r="F225">
        <v>0.58455174305590296</v>
      </c>
      <c r="G225">
        <v>0.44535872113685598</v>
      </c>
      <c r="H225">
        <v>0.37470797328532102</v>
      </c>
      <c r="I225">
        <v>0.33423394487480901</v>
      </c>
      <c r="J225">
        <v>0.36170060899856399</v>
      </c>
      <c r="K225">
        <v>0.22063564871051</v>
      </c>
      <c r="L225">
        <v>527.326770697499</v>
      </c>
      <c r="M225">
        <v>10.040647165477299</v>
      </c>
      <c r="N225">
        <v>55.709832688105799</v>
      </c>
      <c r="O225">
        <v>50.563508322785701</v>
      </c>
      <c r="P225">
        <v>-3.8807165049185501E-2</v>
      </c>
      <c r="Q225">
        <v>0.21866124916008101</v>
      </c>
      <c r="R225">
        <v>0.96125463808671896</v>
      </c>
      <c r="S225" t="s">
        <v>6842</v>
      </c>
      <c r="T225" t="s">
        <v>13232</v>
      </c>
      <c r="U225" t="s">
        <v>13232</v>
      </c>
      <c r="V225" t="s">
        <v>13232</v>
      </c>
      <c r="W225" t="s">
        <v>13452</v>
      </c>
      <c r="X225">
        <v>3</v>
      </c>
      <c r="Y225" t="s">
        <v>19991</v>
      </c>
      <c r="Z225" t="s">
        <v>26356</v>
      </c>
      <c r="AA225">
        <v>0.57276488657068825</v>
      </c>
      <c r="AB225" t="str">
        <f>HYPERLINK("Melting_Curves/meltCurve_B8ZZ99_CCDC115.pdf", "Melting_Curves/meltCurve_B8ZZ99_CCDC115.pdf")</f>
        <v>Melting_Curves/meltCurve_B8ZZ99_CCDC115.pdf</v>
      </c>
    </row>
    <row r="226" spans="1:28" x14ac:dyDescent="0.25">
      <c r="A226" t="s">
        <v>230</v>
      </c>
      <c r="B226">
        <v>0.99930955844802105</v>
      </c>
      <c r="C226">
        <v>1.21480718460796</v>
      </c>
      <c r="D226">
        <v>1.4618212366151</v>
      </c>
      <c r="E226">
        <v>1.2176770728248301</v>
      </c>
      <c r="F226">
        <v>1.1452038754837699</v>
      </c>
      <c r="G226">
        <v>1.09609126567489</v>
      </c>
      <c r="H226">
        <v>0.88730258372167803</v>
      </c>
      <c r="I226">
        <v>0.634716378734549</v>
      </c>
      <c r="J226">
        <v>0.79513166920286305</v>
      </c>
      <c r="K226">
        <v>0.51357040362145501</v>
      </c>
      <c r="L226">
        <v>15000</v>
      </c>
      <c r="M226">
        <v>245.14781435192401</v>
      </c>
      <c r="O226">
        <v>61.183501801282198</v>
      </c>
      <c r="P226">
        <v>-0.35279159385214498</v>
      </c>
      <c r="Q226">
        <v>0.64780391568070195</v>
      </c>
      <c r="R226">
        <v>0.50504506375202496</v>
      </c>
      <c r="S226" t="s">
        <v>6843</v>
      </c>
      <c r="T226" t="s">
        <v>13232</v>
      </c>
      <c r="U226" t="s">
        <v>13232</v>
      </c>
      <c r="V226" t="s">
        <v>13232</v>
      </c>
      <c r="W226" t="s">
        <v>13453</v>
      </c>
      <c r="X226">
        <v>1</v>
      </c>
      <c r="Y226" t="s">
        <v>19992</v>
      </c>
      <c r="Z226" t="s">
        <v>26357</v>
      </c>
      <c r="AA226">
        <v>0.89658259972229515</v>
      </c>
      <c r="AB226" t="str">
        <f>HYPERLINK("Melting_Curves/meltCurve_B8ZZF8_LSM5.pdf", "Melting_Curves/meltCurve_B8ZZF8_LSM5.pdf")</f>
        <v>Melting_Curves/meltCurve_B8ZZF8_LSM5.pdf</v>
      </c>
    </row>
    <row r="227" spans="1:28" x14ac:dyDescent="0.25">
      <c r="A227" t="s">
        <v>231</v>
      </c>
      <c r="B227">
        <v>0.99930955844802105</v>
      </c>
      <c r="C227">
        <v>0.99982207847293503</v>
      </c>
      <c r="D227">
        <v>0.89673322002896605</v>
      </c>
      <c r="E227">
        <v>0.80125817449933401</v>
      </c>
      <c r="F227">
        <v>0.38731118051917601</v>
      </c>
      <c r="G227">
        <v>0.15495699251144801</v>
      </c>
      <c r="H227">
        <v>0.109243967191669</v>
      </c>
      <c r="I227">
        <v>9.1850168698991305E-2</v>
      </c>
      <c r="J227">
        <v>9.2331450639496507E-2</v>
      </c>
      <c r="K227">
        <v>6.7671836538701305E-2</v>
      </c>
      <c r="L227">
        <v>1515.84373373771</v>
      </c>
      <c r="M227">
        <v>29.218143257024899</v>
      </c>
      <c r="N227">
        <v>52.217614836181497</v>
      </c>
      <c r="O227">
        <v>51.6390325610991</v>
      </c>
      <c r="P227">
        <v>-0.129287076978787</v>
      </c>
      <c r="Q227">
        <v>8.6018659620608701E-2</v>
      </c>
      <c r="R227">
        <v>0.994438782071139</v>
      </c>
      <c r="S227" t="s">
        <v>6844</v>
      </c>
      <c r="T227" t="s">
        <v>13232</v>
      </c>
      <c r="U227" t="s">
        <v>13232</v>
      </c>
      <c r="V227" t="s">
        <v>13232</v>
      </c>
      <c r="W227" t="s">
        <v>13454</v>
      </c>
      <c r="X227">
        <v>8</v>
      </c>
      <c r="Y227" t="s">
        <v>19993</v>
      </c>
      <c r="Z227" t="s">
        <v>26358</v>
      </c>
      <c r="AA227">
        <v>0.45410405717502911</v>
      </c>
      <c r="AB227" t="str">
        <f>HYPERLINK("Melting_Curves/meltCurve_B8ZZJ9_EIF4E2.pdf", "Melting_Curves/meltCurve_B8ZZJ9_EIF4E2.pdf")</f>
        <v>Melting_Curves/meltCurve_B8ZZJ9_EIF4E2.pdf</v>
      </c>
    </row>
    <row r="228" spans="1:28" x14ac:dyDescent="0.25">
      <c r="A228" t="s">
        <v>232</v>
      </c>
      <c r="B228">
        <v>0.99930955844802105</v>
      </c>
      <c r="C228">
        <v>1.0684106954341399</v>
      </c>
      <c r="D228">
        <v>0.92734859686346705</v>
      </c>
      <c r="E228">
        <v>0.86144345546165102</v>
      </c>
      <c r="F228">
        <v>0.54356590404341898</v>
      </c>
      <c r="G228">
        <v>0.28314435870830301</v>
      </c>
      <c r="H228">
        <v>0.200148503838215</v>
      </c>
      <c r="I228">
        <v>0.20661746208392501</v>
      </c>
      <c r="J228">
        <v>0.17652107505247899</v>
      </c>
      <c r="K228">
        <v>0.159573101030489</v>
      </c>
      <c r="L228">
        <v>1386.2737490685499</v>
      </c>
      <c r="M228">
        <v>26.3103419657713</v>
      </c>
      <c r="N228">
        <v>53.582911287174198</v>
      </c>
      <c r="O228">
        <v>52.387752665638402</v>
      </c>
      <c r="P228">
        <v>-0.103259729563176</v>
      </c>
      <c r="Q228">
        <v>0.177587959143894</v>
      </c>
      <c r="R228">
        <v>0.99272177085001201</v>
      </c>
      <c r="S228" t="s">
        <v>6845</v>
      </c>
      <c r="T228" t="s">
        <v>13232</v>
      </c>
      <c r="U228" t="s">
        <v>13232</v>
      </c>
      <c r="V228" t="s">
        <v>13232</v>
      </c>
      <c r="W228" t="s">
        <v>13455</v>
      </c>
      <c r="X228">
        <v>4</v>
      </c>
      <c r="Y228" t="s">
        <v>19994</v>
      </c>
      <c r="Z228" t="s">
        <v>26359</v>
      </c>
      <c r="AA228">
        <v>0.53230275224199319</v>
      </c>
      <c r="AB228" t="str">
        <f>HYPERLINK("Melting_Curves/meltCurve_B8ZZK4_RPL31.pdf", "Melting_Curves/meltCurve_B8ZZK4_RPL31.pdf")</f>
        <v>Melting_Curves/meltCurve_B8ZZK4_RPL31.pdf</v>
      </c>
    </row>
    <row r="229" spans="1:28" x14ac:dyDescent="0.25">
      <c r="A229" t="s">
        <v>233</v>
      </c>
      <c r="B229">
        <v>0.99930955844802105</v>
      </c>
      <c r="C229">
        <v>1.2508938570395001</v>
      </c>
      <c r="D229">
        <v>1.1945892575324499</v>
      </c>
      <c r="E229">
        <v>1.3004354949563</v>
      </c>
      <c r="F229">
        <v>1.24550390748863</v>
      </c>
      <c r="G229">
        <v>1.42137023903</v>
      </c>
      <c r="H229">
        <v>1.84981945791225</v>
      </c>
      <c r="I229">
        <v>2.19185400932765</v>
      </c>
      <c r="J229">
        <v>2.55115781366962</v>
      </c>
      <c r="K229">
        <v>1.8575162722851499</v>
      </c>
      <c r="L229">
        <v>795.20650167759504</v>
      </c>
      <c r="M229">
        <v>17.033157354348099</v>
      </c>
      <c r="O229">
        <v>46.056549669136302</v>
      </c>
      <c r="P229">
        <v>4.6231759317617797E-2</v>
      </c>
      <c r="Q229">
        <v>1.5</v>
      </c>
      <c r="R229">
        <v>0.15255400904015101</v>
      </c>
      <c r="S229" t="s">
        <v>6846</v>
      </c>
      <c r="T229" t="s">
        <v>13232</v>
      </c>
      <c r="U229" t="s">
        <v>13232</v>
      </c>
      <c r="V229" t="s">
        <v>13232</v>
      </c>
      <c r="W229" t="s">
        <v>13456</v>
      </c>
      <c r="X229">
        <v>9</v>
      </c>
      <c r="Y229" t="s">
        <v>19995</v>
      </c>
      <c r="Z229" t="s">
        <v>26360</v>
      </c>
      <c r="AA229">
        <v>1.3779875736691269</v>
      </c>
      <c r="AB229" t="str">
        <f>HYPERLINK("Melting_Curves/meltCurve_B8ZZQ6_PTMA.pdf", "Melting_Curves/meltCurve_B8ZZQ6_PTMA.pdf")</f>
        <v>Melting_Curves/meltCurve_B8ZZQ6_PTMA.pdf</v>
      </c>
    </row>
    <row r="230" spans="1:28" x14ac:dyDescent="0.25">
      <c r="A230" t="s">
        <v>234</v>
      </c>
      <c r="B230">
        <v>0.99930955844802105</v>
      </c>
      <c r="C230">
        <v>1.0006886042923999</v>
      </c>
      <c r="D230">
        <v>1.0424035139875201</v>
      </c>
      <c r="E230">
        <v>1.04580309543628</v>
      </c>
      <c r="F230">
        <v>0.877495031667197</v>
      </c>
      <c r="G230">
        <v>0.80430722825489298</v>
      </c>
      <c r="H230">
        <v>0.81077016625071296</v>
      </c>
      <c r="I230">
        <v>0.87406281431757604</v>
      </c>
      <c r="J230">
        <v>0.82039963850086595</v>
      </c>
      <c r="K230">
        <v>0.68610967061883898</v>
      </c>
      <c r="L230">
        <v>13226.3211719068</v>
      </c>
      <c r="M230">
        <v>250</v>
      </c>
      <c r="O230">
        <v>52.901903817602303</v>
      </c>
      <c r="P230">
        <v>-0.237314383460387</v>
      </c>
      <c r="Q230">
        <v>0.79912989510857801</v>
      </c>
      <c r="R230">
        <v>0.82621387461094897</v>
      </c>
      <c r="S230" t="s">
        <v>6847</v>
      </c>
      <c r="T230" t="s">
        <v>13232</v>
      </c>
      <c r="U230" t="s">
        <v>13232</v>
      </c>
      <c r="V230" t="s">
        <v>13232</v>
      </c>
      <c r="W230" t="s">
        <v>13457</v>
      </c>
      <c r="X230">
        <v>7</v>
      </c>
      <c r="Y230" t="s">
        <v>19996</v>
      </c>
      <c r="Z230" t="s">
        <v>26361</v>
      </c>
      <c r="AA230">
        <v>0.8855580751148604</v>
      </c>
      <c r="AB230" t="str">
        <f>HYPERLINK("Melting_Curves/meltCurve_B8ZZU6_ATF2.pdf", "Melting_Curves/meltCurve_B8ZZU6_ATF2.pdf")</f>
        <v>Melting_Curves/meltCurve_B8ZZU6_ATF2.pdf</v>
      </c>
    </row>
    <row r="231" spans="1:28" x14ac:dyDescent="0.25">
      <c r="A231" t="s">
        <v>235</v>
      </c>
      <c r="B231">
        <v>0.99930955844802105</v>
      </c>
      <c r="C231">
        <v>1.1182637480839599</v>
      </c>
      <c r="D231">
        <v>1.1411560991419301</v>
      </c>
      <c r="E231">
        <v>1.14666513085552</v>
      </c>
      <c r="F231">
        <v>0.99119343096592305</v>
      </c>
      <c r="G231">
        <v>0.53836976737583597</v>
      </c>
      <c r="H231">
        <v>0.205807626408051</v>
      </c>
      <c r="I231">
        <v>0.12589547216524399</v>
      </c>
      <c r="J231">
        <v>0.102515435974917</v>
      </c>
      <c r="K231">
        <v>8.5155290600129593E-2</v>
      </c>
      <c r="L231">
        <v>2362.6455461407199</v>
      </c>
      <c r="M231">
        <v>41.456006460782</v>
      </c>
      <c r="N231">
        <v>57.339097876822102</v>
      </c>
      <c r="O231">
        <v>56.859507977603698</v>
      </c>
      <c r="P231">
        <v>-0.162028396518445</v>
      </c>
      <c r="Q231">
        <v>0.111073372119145</v>
      </c>
      <c r="R231">
        <v>0.97084099081048603</v>
      </c>
      <c r="S231" t="s">
        <v>6848</v>
      </c>
      <c r="T231" t="s">
        <v>13232</v>
      </c>
      <c r="U231" t="s">
        <v>13232</v>
      </c>
      <c r="V231" t="s">
        <v>13232</v>
      </c>
      <c r="W231" t="s">
        <v>13458</v>
      </c>
      <c r="X231">
        <v>13</v>
      </c>
      <c r="Y231" t="s">
        <v>19997</v>
      </c>
      <c r="Z231" t="s">
        <v>26362</v>
      </c>
      <c r="AA231">
        <v>0.61778018167417514</v>
      </c>
      <c r="AB231" t="str">
        <f>HYPERLINK("Melting_Curves/meltCurve_B8ZZU8_TCEB2.pdf", "Melting_Curves/meltCurve_B8ZZU8_TCEB2.pdf")</f>
        <v>Melting_Curves/meltCurve_B8ZZU8_TCEB2.pdf</v>
      </c>
    </row>
    <row r="232" spans="1:28" x14ac:dyDescent="0.25">
      <c r="A232" t="s">
        <v>236</v>
      </c>
      <c r="B232">
        <v>0.99930955844802105</v>
      </c>
      <c r="C232">
        <v>0.90455417872087895</v>
      </c>
      <c r="D232">
        <v>0.80190278724472996</v>
      </c>
      <c r="E232">
        <v>0.820563258247759</v>
      </c>
      <c r="F232">
        <v>0.68798887942404097</v>
      </c>
      <c r="G232">
        <v>0.51450974560101304</v>
      </c>
      <c r="H232">
        <v>0.41128777530655403</v>
      </c>
      <c r="I232">
        <v>0.39603183461276198</v>
      </c>
      <c r="J232">
        <v>0.30219008195231101</v>
      </c>
      <c r="K232">
        <v>0.26381757415936202</v>
      </c>
      <c r="L232">
        <v>410.19568049416802</v>
      </c>
      <c r="M232">
        <v>7.1167925187432504</v>
      </c>
      <c r="N232">
        <v>58.559743929764998</v>
      </c>
      <c r="O232">
        <v>53.606673749167399</v>
      </c>
      <c r="P232">
        <v>-3.14855673033596E-2</v>
      </c>
      <c r="Q232">
        <v>5.30021125426757E-2</v>
      </c>
      <c r="R232">
        <v>0.98060977859801801</v>
      </c>
      <c r="S232" t="s">
        <v>6849</v>
      </c>
      <c r="T232" t="s">
        <v>13232</v>
      </c>
      <c r="U232" t="s">
        <v>13232</v>
      </c>
      <c r="V232" t="s">
        <v>13232</v>
      </c>
      <c r="W232" t="s">
        <v>13459</v>
      </c>
      <c r="X232">
        <v>2</v>
      </c>
      <c r="Y232" t="s">
        <v>19998</v>
      </c>
      <c r="Z232" t="s">
        <v>26363</v>
      </c>
      <c r="AA232">
        <v>0.61234524356879694</v>
      </c>
      <c r="AB232" t="str">
        <f>HYPERLINK("Melting_Curves/meltCurve_B8ZZW9_C7orf41.pdf", "Melting_Curves/meltCurve_B8ZZW9_C7orf41.pdf")</f>
        <v>Melting_Curves/meltCurve_B8ZZW9_C7orf41.pdf</v>
      </c>
    </row>
    <row r="233" spans="1:28" x14ac:dyDescent="0.25">
      <c r="A233" t="s">
        <v>237</v>
      </c>
      <c r="B233">
        <v>0.99930955844802105</v>
      </c>
      <c r="C233">
        <v>0.95934012818013403</v>
      </c>
      <c r="D233">
        <v>1.0211350270438799</v>
      </c>
      <c r="E233">
        <v>1.01886683255239</v>
      </c>
      <c r="F233">
        <v>0.247486963004901</v>
      </c>
      <c r="G233">
        <v>0.176164105660227</v>
      </c>
      <c r="H233">
        <v>9.3038203971591196E-2</v>
      </c>
      <c r="I233">
        <v>7.7053752303400905E-2</v>
      </c>
      <c r="J233">
        <v>6.6279509184395402E-2</v>
      </c>
      <c r="K233">
        <v>5.30393976223133E-2</v>
      </c>
      <c r="L233">
        <v>13166.04528688</v>
      </c>
      <c r="M233">
        <v>250</v>
      </c>
      <c r="N233">
        <v>52.707628674381198</v>
      </c>
      <c r="O233">
        <v>52.660808917982003</v>
      </c>
      <c r="P233">
        <v>-1.0763281842277499</v>
      </c>
      <c r="Q233">
        <v>9.3114959888695406E-2</v>
      </c>
      <c r="R233">
        <v>0.99369647781287596</v>
      </c>
      <c r="S233" t="s">
        <v>6850</v>
      </c>
      <c r="T233" t="s">
        <v>13232</v>
      </c>
      <c r="U233" t="s">
        <v>13232</v>
      </c>
      <c r="V233" t="s">
        <v>13232</v>
      </c>
      <c r="W233" t="s">
        <v>13460</v>
      </c>
      <c r="X233">
        <v>22</v>
      </c>
      <c r="Y233" t="s">
        <v>19999</v>
      </c>
      <c r="Z233" t="s">
        <v>26364</v>
      </c>
      <c r="AA233">
        <v>0.47603065950524359</v>
      </c>
      <c r="AB233" t="str">
        <f>HYPERLINK("Melting_Curves/meltCurve_B9A018_USP39.pdf", "Melting_Curves/meltCurve_B9A018_USP39.pdf")</f>
        <v>Melting_Curves/meltCurve_B9A018_USP39.pdf</v>
      </c>
    </row>
    <row r="234" spans="1:28" x14ac:dyDescent="0.25">
      <c r="A234" t="s">
        <v>238</v>
      </c>
      <c r="B234">
        <v>0.99930955844802105</v>
      </c>
      <c r="C234">
        <v>1.12040184561358</v>
      </c>
      <c r="D234">
        <v>1.08615921528545</v>
      </c>
      <c r="E234">
        <v>1.0991987258984499</v>
      </c>
      <c r="F234">
        <v>0.95229144532091803</v>
      </c>
      <c r="G234">
        <v>0.84320815902114099</v>
      </c>
      <c r="H234">
        <v>0.90313191206295995</v>
      </c>
      <c r="I234">
        <v>0.83920293905291798</v>
      </c>
      <c r="J234">
        <v>0.89703933739252095</v>
      </c>
      <c r="K234">
        <v>0.69068059985379204</v>
      </c>
      <c r="L234">
        <v>582.75909303063304</v>
      </c>
      <c r="M234">
        <v>7.2981827379830202</v>
      </c>
      <c r="Q234">
        <v>0</v>
      </c>
      <c r="R234">
        <v>0.64849155598698804</v>
      </c>
      <c r="S234" t="s">
        <v>6851</v>
      </c>
      <c r="T234" t="s">
        <v>13232</v>
      </c>
      <c r="U234" t="s">
        <v>13232</v>
      </c>
      <c r="V234" t="s">
        <v>13232</v>
      </c>
      <c r="W234" t="s">
        <v>13461</v>
      </c>
      <c r="X234">
        <v>1</v>
      </c>
      <c r="Y234" t="s">
        <v>20000</v>
      </c>
      <c r="Z234" t="s">
        <v>26365</v>
      </c>
      <c r="AA234">
        <v>0.9307817764503622</v>
      </c>
      <c r="AB234" t="str">
        <f>HYPERLINK("Melting_Curves/meltCurve_B9A057_COA5.pdf", "Melting_Curves/meltCurve_B9A057_COA5.pdf")</f>
        <v>Melting_Curves/meltCurve_B9A057_COA5.pdf</v>
      </c>
    </row>
    <row r="235" spans="1:28" x14ac:dyDescent="0.25">
      <c r="A235" t="s">
        <v>239</v>
      </c>
      <c r="B235">
        <v>0.99930955844802105</v>
      </c>
      <c r="C235">
        <v>0.97864841441210704</v>
      </c>
      <c r="D235">
        <v>0.98204284161644795</v>
      </c>
      <c r="E235">
        <v>0.78961877655288004</v>
      </c>
      <c r="F235">
        <v>0.54759958364546002</v>
      </c>
      <c r="G235">
        <v>0.461488780693462</v>
      </c>
      <c r="H235">
        <v>0.38806222723537798</v>
      </c>
      <c r="I235">
        <v>0.37484151793288101</v>
      </c>
      <c r="J235">
        <v>0.35677227380855597</v>
      </c>
      <c r="K235">
        <v>0.292608793182842</v>
      </c>
      <c r="L235">
        <v>1092.4059373109101</v>
      </c>
      <c r="M235">
        <v>21.1678174016693</v>
      </c>
      <c r="N235">
        <v>54.647268841649002</v>
      </c>
      <c r="O235">
        <v>51.152965949712801</v>
      </c>
      <c r="P235">
        <v>-6.7659836343390997E-2</v>
      </c>
      <c r="Q235">
        <v>0.34600508096467403</v>
      </c>
      <c r="R235">
        <v>0.98988664376596003</v>
      </c>
      <c r="S235" t="s">
        <v>6852</v>
      </c>
      <c r="T235" t="s">
        <v>13232</v>
      </c>
      <c r="U235" t="s">
        <v>13232</v>
      </c>
      <c r="V235" t="s">
        <v>13232</v>
      </c>
      <c r="W235" t="s">
        <v>13462</v>
      </c>
      <c r="X235">
        <v>20</v>
      </c>
      <c r="Y235" t="s">
        <v>20001</v>
      </c>
      <c r="Z235" t="s">
        <v>26366</v>
      </c>
      <c r="AA235">
        <v>0.60719768615179237</v>
      </c>
      <c r="AB235" t="str">
        <f>HYPERLINK("Melting_Curves/meltCurve_B9EGH5_PLCB2.pdf", "Melting_Curves/meltCurve_B9EGH5_PLCB2.pdf")</f>
        <v>Melting_Curves/meltCurve_B9EGH5_PLCB2.pdf</v>
      </c>
    </row>
    <row r="236" spans="1:28" x14ac:dyDescent="0.25">
      <c r="A236" t="s">
        <v>240</v>
      </c>
      <c r="B236">
        <v>0.99930955844802105</v>
      </c>
      <c r="C236">
        <v>1.0590829892923099</v>
      </c>
      <c r="D236">
        <v>1.0666913951304999</v>
      </c>
      <c r="E236">
        <v>0.84822176438567898</v>
      </c>
      <c r="F236">
        <v>0.75662805933614596</v>
      </c>
      <c r="G236">
        <v>0.54413886676873502</v>
      </c>
      <c r="H236">
        <v>0.41337592424321401</v>
      </c>
      <c r="I236">
        <v>0.36458149260343498</v>
      </c>
      <c r="J236">
        <v>0.35396275156163398</v>
      </c>
      <c r="K236">
        <v>0.23047478700000101</v>
      </c>
      <c r="L236">
        <v>874.09481241604897</v>
      </c>
      <c r="M236">
        <v>15.772122937143401</v>
      </c>
      <c r="N236">
        <v>58.200323618305397</v>
      </c>
      <c r="O236">
        <v>54.552286664339199</v>
      </c>
      <c r="P236">
        <v>-5.3157724701738997E-2</v>
      </c>
      <c r="Q236">
        <v>0.26461807070645799</v>
      </c>
      <c r="R236">
        <v>0.97714528722722005</v>
      </c>
      <c r="S236" t="s">
        <v>6853</v>
      </c>
      <c r="T236" t="s">
        <v>13232</v>
      </c>
      <c r="U236" t="s">
        <v>13232</v>
      </c>
      <c r="V236" t="s">
        <v>13232</v>
      </c>
      <c r="W236" t="s">
        <v>13463</v>
      </c>
      <c r="X236">
        <v>4</v>
      </c>
      <c r="Y236" t="s">
        <v>20002</v>
      </c>
      <c r="Z236" t="s">
        <v>26367</v>
      </c>
      <c r="AA236">
        <v>0.65565784053320308</v>
      </c>
      <c r="AB236" t="str">
        <f>HYPERLINK("Melting_Curves/meltCurve_B9ZVT1_RBM12B.pdf", "Melting_Curves/meltCurve_B9ZVT1_RBM12B.pdf")</f>
        <v>Melting_Curves/meltCurve_B9ZVT1_RBM12B.pdf</v>
      </c>
    </row>
    <row r="237" spans="1:28" x14ac:dyDescent="0.25">
      <c r="A237" t="s">
        <v>241</v>
      </c>
      <c r="B237">
        <v>0.99930955844802105</v>
      </c>
      <c r="C237">
        <v>0.90231314032363497</v>
      </c>
      <c r="D237">
        <v>0.94728909004967099</v>
      </c>
      <c r="E237">
        <v>1.1244440048664099</v>
      </c>
      <c r="F237">
        <v>1.50411350895686</v>
      </c>
      <c r="G237">
        <v>1.2060315387854099</v>
      </c>
      <c r="H237">
        <v>0.50713421522135205</v>
      </c>
      <c r="I237">
        <v>0.53244699275519003</v>
      </c>
      <c r="J237">
        <v>0.46022754609432098</v>
      </c>
      <c r="K237">
        <v>0.296727035925063</v>
      </c>
      <c r="L237">
        <v>12574.8934852772</v>
      </c>
      <c r="M237">
        <v>207.997603965704</v>
      </c>
      <c r="N237">
        <v>61.032977108334499</v>
      </c>
      <c r="O237">
        <v>60.451326562974998</v>
      </c>
      <c r="P237">
        <v>-0.49048310048798199</v>
      </c>
      <c r="Q237">
        <v>0.42979431913786198</v>
      </c>
      <c r="R237">
        <v>0.73631398154533201</v>
      </c>
      <c r="S237" t="s">
        <v>6854</v>
      </c>
      <c r="T237" t="s">
        <v>13232</v>
      </c>
      <c r="U237" t="s">
        <v>13232</v>
      </c>
      <c r="V237" t="s">
        <v>13232</v>
      </c>
      <c r="W237" t="s">
        <v>13464</v>
      </c>
      <c r="X237">
        <v>8</v>
      </c>
      <c r="Y237" t="s">
        <v>20003</v>
      </c>
      <c r="Z237" t="s">
        <v>26368</v>
      </c>
      <c r="AA237">
        <v>0.81870336850251035</v>
      </c>
      <c r="AB237" t="str">
        <f>HYPERLINK("Melting_Curves/meltCurve_B9ZVU2_DNPEP.pdf", "Melting_Curves/meltCurve_B9ZVU2_DNPEP.pdf")</f>
        <v>Melting_Curves/meltCurve_B9ZVU2_DNPEP.pdf</v>
      </c>
    </row>
    <row r="238" spans="1:28" x14ac:dyDescent="0.25">
      <c r="A238" t="s">
        <v>242</v>
      </c>
      <c r="B238">
        <v>0.99930955844802105</v>
      </c>
      <c r="C238">
        <v>0.96470612017024204</v>
      </c>
      <c r="D238">
        <v>0.89437294816679502</v>
      </c>
      <c r="E238">
        <v>0.92597249555762096</v>
      </c>
      <c r="F238">
        <v>0.77730708851221797</v>
      </c>
      <c r="G238">
        <v>0.62098423608354503</v>
      </c>
      <c r="H238">
        <v>0.53215262415615905</v>
      </c>
      <c r="I238">
        <v>0.54410407034101704</v>
      </c>
      <c r="J238">
        <v>0.55842399774122498</v>
      </c>
      <c r="K238">
        <v>0.434006576239654</v>
      </c>
      <c r="L238">
        <v>728.51039010111299</v>
      </c>
      <c r="M238">
        <v>13.4075087478041</v>
      </c>
      <c r="N238">
        <v>66.596539623765295</v>
      </c>
      <c r="O238">
        <v>53.169935733633601</v>
      </c>
      <c r="P238">
        <v>-3.4196343358540902E-2</v>
      </c>
      <c r="Q238">
        <v>0.45763745521081201</v>
      </c>
      <c r="R238">
        <v>0.96132604358116702</v>
      </c>
      <c r="S238" t="s">
        <v>6855</v>
      </c>
      <c r="T238" t="s">
        <v>13232</v>
      </c>
      <c r="U238" t="s">
        <v>13232</v>
      </c>
      <c r="V238" t="s">
        <v>13232</v>
      </c>
      <c r="W238" t="s">
        <v>13465</v>
      </c>
      <c r="X238">
        <v>10</v>
      </c>
      <c r="Y238" t="s">
        <v>20004</v>
      </c>
      <c r="Z238" t="s">
        <v>26369</v>
      </c>
      <c r="AA238">
        <v>0.72916818031669606</v>
      </c>
      <c r="AB238" t="str">
        <f>HYPERLINK("Melting_Curves/meltCurve_C4AMC7_WASH3P.pdf", "Melting_Curves/meltCurve_C4AMC7_WASH3P.pdf")</f>
        <v>Melting_Curves/meltCurve_C4AMC7_WASH3P.pdf</v>
      </c>
    </row>
    <row r="239" spans="1:28" x14ac:dyDescent="0.25">
      <c r="A239" t="s">
        <v>243</v>
      </c>
      <c r="B239">
        <v>0.99930955844802105</v>
      </c>
      <c r="C239">
        <v>0.998413916765582</v>
      </c>
      <c r="D239">
        <v>0.92366227564940295</v>
      </c>
      <c r="E239">
        <v>0.87415500062278995</v>
      </c>
      <c r="F239">
        <v>0.86146980720055499</v>
      </c>
      <c r="G239">
        <v>0.60860996578287996</v>
      </c>
      <c r="H239">
        <v>0.56208906320213203</v>
      </c>
      <c r="I239">
        <v>0.65759321912379498</v>
      </c>
      <c r="J239">
        <v>0.57228712721227104</v>
      </c>
      <c r="K239">
        <v>0.48112885474463402</v>
      </c>
      <c r="L239">
        <v>770.78408583413</v>
      </c>
      <c r="M239">
        <v>14.2568769335954</v>
      </c>
      <c r="O239">
        <v>53.033703437991903</v>
      </c>
      <c r="P239">
        <v>-3.23315628916526E-2</v>
      </c>
      <c r="Q239">
        <v>0.51898267435680201</v>
      </c>
      <c r="R239">
        <v>0.93084853286205704</v>
      </c>
      <c r="S239" t="s">
        <v>6856</v>
      </c>
      <c r="T239" t="s">
        <v>13232</v>
      </c>
      <c r="U239" t="s">
        <v>13232</v>
      </c>
      <c r="V239" t="s">
        <v>13232</v>
      </c>
      <c r="W239" t="s">
        <v>13466</v>
      </c>
      <c r="X239">
        <v>6</v>
      </c>
      <c r="Y239" t="s">
        <v>20005</v>
      </c>
      <c r="Z239" t="s">
        <v>26370</v>
      </c>
      <c r="AA239">
        <v>0.75493353161612997</v>
      </c>
      <c r="AB239" t="str">
        <f>HYPERLINK("Melting_Curves/meltCurve_C6G496_MAZ.pdf", "Melting_Curves/meltCurve_C6G496_MAZ.pdf")</f>
        <v>Melting_Curves/meltCurve_C6G496_MAZ.pdf</v>
      </c>
    </row>
    <row r="240" spans="1:28" x14ac:dyDescent="0.25">
      <c r="A240" t="s">
        <v>244</v>
      </c>
      <c r="B240">
        <v>0.99930955844802105</v>
      </c>
      <c r="C240">
        <v>0.95791369373912905</v>
      </c>
      <c r="D240">
        <v>0.94246366049205799</v>
      </c>
      <c r="E240">
        <v>0.920092011387449</v>
      </c>
      <c r="F240">
        <v>0.74959209292432205</v>
      </c>
      <c r="G240">
        <v>0.429221150447268</v>
      </c>
      <c r="H240">
        <v>0.17460054838587699</v>
      </c>
      <c r="I240">
        <v>0.130921754185364</v>
      </c>
      <c r="J240">
        <v>0.10363139264947401</v>
      </c>
      <c r="K240">
        <v>8.3153028740132195E-2</v>
      </c>
      <c r="L240">
        <v>1141.56797047893</v>
      </c>
      <c r="M240">
        <v>20.535871144246101</v>
      </c>
      <c r="N240">
        <v>55.988103530977</v>
      </c>
      <c r="O240">
        <v>55.069907339487699</v>
      </c>
      <c r="P240">
        <v>-8.6880686220646694E-2</v>
      </c>
      <c r="Q240">
        <v>6.8094943860439003E-2</v>
      </c>
      <c r="R240">
        <v>0.99697119135491397</v>
      </c>
      <c r="S240" t="s">
        <v>6857</v>
      </c>
      <c r="T240" t="s">
        <v>13232</v>
      </c>
      <c r="U240" t="s">
        <v>13232</v>
      </c>
      <c r="V240" t="s">
        <v>13232</v>
      </c>
      <c r="W240" t="s">
        <v>13467</v>
      </c>
      <c r="X240">
        <v>3</v>
      </c>
      <c r="Y240" t="s">
        <v>20006</v>
      </c>
      <c r="Z240" t="s">
        <v>26371</v>
      </c>
      <c r="AA240">
        <v>0.56407875658200168</v>
      </c>
      <c r="AB240" t="str">
        <f>HYPERLINK("Melting_Curves/meltCurve_C6GKU9_MED30S.pdf", "Melting_Curves/meltCurve_C6GKU9_MED30S.pdf")</f>
        <v>Melting_Curves/meltCurve_C6GKU9_MED30S.pdf</v>
      </c>
    </row>
    <row r="241" spans="1:28" x14ac:dyDescent="0.25">
      <c r="A241" t="s">
        <v>245</v>
      </c>
      <c r="B241">
        <v>0.99930955844802105</v>
      </c>
      <c r="C241">
        <v>0.990904774893548</v>
      </c>
      <c r="D241">
        <v>0.726789126999146</v>
      </c>
      <c r="E241">
        <v>0.43125341622841001</v>
      </c>
      <c r="F241">
        <v>0.280322430119614</v>
      </c>
      <c r="G241">
        <v>0.21539733100748401</v>
      </c>
      <c r="H241">
        <v>0.12636946274000899</v>
      </c>
      <c r="I241">
        <v>0.10829964351957599</v>
      </c>
      <c r="J241">
        <v>0.107164256886883</v>
      </c>
      <c r="K241">
        <v>7.6645484077764003E-2</v>
      </c>
      <c r="L241">
        <v>861.77182671084097</v>
      </c>
      <c r="M241">
        <v>17.721620776697701</v>
      </c>
      <c r="N241">
        <v>49.272192529405899</v>
      </c>
      <c r="O241">
        <v>48.021749638549302</v>
      </c>
      <c r="P241">
        <v>-8.2726176772827301E-2</v>
      </c>
      <c r="Q241">
        <v>0.10336703885833801</v>
      </c>
      <c r="R241">
        <v>0.99184892328364904</v>
      </c>
      <c r="S241" t="s">
        <v>6858</v>
      </c>
      <c r="T241" t="s">
        <v>13232</v>
      </c>
      <c r="U241" t="s">
        <v>13232</v>
      </c>
      <c r="V241" t="s">
        <v>13232</v>
      </c>
      <c r="W241" t="s">
        <v>13468</v>
      </c>
      <c r="X241">
        <v>4</v>
      </c>
      <c r="Y241" t="s">
        <v>20007</v>
      </c>
      <c r="Z241" t="s">
        <v>26372</v>
      </c>
      <c r="AA241">
        <v>0.37739835542513323</v>
      </c>
      <c r="AB241" t="str">
        <f>HYPERLINK("Melting_Curves/meltCurve_C9IYZ1_ASNSD1.pdf", "Melting_Curves/meltCurve_C9IYZ1_ASNSD1.pdf")</f>
        <v>Melting_Curves/meltCurve_C9IYZ1_ASNSD1.pdf</v>
      </c>
    </row>
    <row r="242" spans="1:28" x14ac:dyDescent="0.25">
      <c r="A242" t="s">
        <v>246</v>
      </c>
      <c r="B242">
        <v>0.99930955844802105</v>
      </c>
      <c r="C242">
        <v>0.912005045946916</v>
      </c>
      <c r="D242">
        <v>0.84921434071178203</v>
      </c>
      <c r="E242">
        <v>0.73532629627618595</v>
      </c>
      <c r="F242">
        <v>0.54279545011675501</v>
      </c>
      <c r="G242">
        <v>0.66722161708815197</v>
      </c>
      <c r="H242">
        <v>0.64746211095976902</v>
      </c>
      <c r="I242">
        <v>0.70476759324389204</v>
      </c>
      <c r="J242">
        <v>0.85166692537363298</v>
      </c>
      <c r="K242">
        <v>0.56805587279229597</v>
      </c>
      <c r="L242">
        <v>1144.5985074523201</v>
      </c>
      <c r="M242">
        <v>24.980051538790601</v>
      </c>
      <c r="O242">
        <v>45.529884149069296</v>
      </c>
      <c r="P242">
        <v>-4.5577235115175099E-2</v>
      </c>
      <c r="Q242">
        <v>0.66771915444694796</v>
      </c>
      <c r="R242">
        <v>0.67237616234519204</v>
      </c>
      <c r="S242" t="s">
        <v>6859</v>
      </c>
      <c r="T242" t="s">
        <v>13232</v>
      </c>
      <c r="U242" t="s">
        <v>13232</v>
      </c>
      <c r="V242" t="s">
        <v>13232</v>
      </c>
      <c r="W242" t="s">
        <v>13469</v>
      </c>
      <c r="X242">
        <v>29</v>
      </c>
      <c r="Y242" t="s">
        <v>20008</v>
      </c>
      <c r="Z242" t="s">
        <v>26373</v>
      </c>
      <c r="AA242">
        <v>0.73529313946109154</v>
      </c>
      <c r="AB242" t="str">
        <f>HYPERLINK("Melting_Curves/meltCurve_C9IZE4_PSMD6.pdf", "Melting_Curves/meltCurve_C9IZE4_PSMD6.pdf")</f>
        <v>Melting_Curves/meltCurve_C9IZE4_PSMD6.pdf</v>
      </c>
    </row>
    <row r="243" spans="1:28" x14ac:dyDescent="0.25">
      <c r="A243" t="s">
        <v>247</v>
      </c>
      <c r="B243">
        <v>0.99930955844802105</v>
      </c>
      <c r="C243">
        <v>1.0080799345215801</v>
      </c>
      <c r="D243">
        <v>0.91625525634087002</v>
      </c>
      <c r="E243">
        <v>0.91918138687845397</v>
      </c>
      <c r="F243">
        <v>0.72787470475185201</v>
      </c>
      <c r="G243">
        <v>0.59861311291178199</v>
      </c>
      <c r="H243">
        <v>0.50505313316604405</v>
      </c>
      <c r="I243">
        <v>0.50929135579407503</v>
      </c>
      <c r="J243">
        <v>0.49414368563123001</v>
      </c>
      <c r="K243">
        <v>0.40161608103200003</v>
      </c>
      <c r="L243">
        <v>837.47812598525297</v>
      </c>
      <c r="M243">
        <v>15.5386612121608</v>
      </c>
      <c r="N243">
        <v>61.978492485074199</v>
      </c>
      <c r="O243">
        <v>53.027422138782399</v>
      </c>
      <c r="P243">
        <v>-4.1461157561569699E-2</v>
      </c>
      <c r="Q243">
        <v>0.43408632148843002</v>
      </c>
      <c r="R243">
        <v>0.979546581172132</v>
      </c>
      <c r="S243" t="s">
        <v>6860</v>
      </c>
      <c r="T243" t="s">
        <v>13232</v>
      </c>
      <c r="U243" t="s">
        <v>13232</v>
      </c>
      <c r="V243" t="s">
        <v>13232</v>
      </c>
      <c r="W243" t="s">
        <v>13470</v>
      </c>
      <c r="X243">
        <v>3</v>
      </c>
      <c r="Y243" t="s">
        <v>20009</v>
      </c>
      <c r="Z243" t="s">
        <v>26374</v>
      </c>
      <c r="AA243">
        <v>0.70738491967397676</v>
      </c>
      <c r="AB243" t="str">
        <f>HYPERLINK("Melting_Curves/meltCurve_C9IZI4_ARHGAP19.pdf", "Melting_Curves/meltCurve_C9IZI4_ARHGAP19.pdf")</f>
        <v>Melting_Curves/meltCurve_C9IZI4_ARHGAP19.pdf</v>
      </c>
    </row>
    <row r="244" spans="1:28" x14ac:dyDescent="0.25">
      <c r="A244" t="s">
        <v>248</v>
      </c>
      <c r="B244">
        <v>0.99930955844802105</v>
      </c>
      <c r="C244">
        <v>1.1812104288674601</v>
      </c>
      <c r="D244">
        <v>1.2027298513243301</v>
      </c>
      <c r="E244">
        <v>1.2032085877188201</v>
      </c>
      <c r="F244">
        <v>1.0791857436477801</v>
      </c>
      <c r="G244">
        <v>1.11970214212992</v>
      </c>
      <c r="H244">
        <v>1.40424345464558</v>
      </c>
      <c r="I244">
        <v>1.77443753200924</v>
      </c>
      <c r="J244">
        <v>2.4102000435600899</v>
      </c>
      <c r="K244">
        <v>1.6938964460332699</v>
      </c>
      <c r="L244">
        <v>3267.3553441292902</v>
      </c>
      <c r="M244">
        <v>56.081657569282001</v>
      </c>
      <c r="O244">
        <v>58.186738167062501</v>
      </c>
      <c r="P244">
        <v>0.12047781351009799</v>
      </c>
      <c r="Q244">
        <v>1.5</v>
      </c>
      <c r="R244">
        <v>0.37670187693090801</v>
      </c>
      <c r="S244" t="s">
        <v>6861</v>
      </c>
      <c r="T244" t="s">
        <v>13232</v>
      </c>
      <c r="U244" t="s">
        <v>13232</v>
      </c>
      <c r="V244" t="s">
        <v>13232</v>
      </c>
      <c r="W244" t="s">
        <v>13471</v>
      </c>
      <c r="X244">
        <v>5</v>
      </c>
      <c r="Y244" t="s">
        <v>20010</v>
      </c>
      <c r="Z244" t="s">
        <v>26375</v>
      </c>
      <c r="AA244">
        <v>1.1946373355150179</v>
      </c>
      <c r="AB244" t="str">
        <f>HYPERLINK("Melting_Curves/meltCurve_C9J0A7_CHMP2B.pdf", "Melting_Curves/meltCurve_C9J0A7_CHMP2B.pdf")</f>
        <v>Melting_Curves/meltCurve_C9J0A7_CHMP2B.pdf</v>
      </c>
    </row>
    <row r="245" spans="1:28" x14ac:dyDescent="0.25">
      <c r="A245" t="s">
        <v>249</v>
      </c>
      <c r="B245">
        <v>0.99930955844802105</v>
      </c>
      <c r="C245">
        <v>0.91577818933203903</v>
      </c>
      <c r="D245">
        <v>0.70035682566692103</v>
      </c>
      <c r="E245">
        <v>0.50536153678930995</v>
      </c>
      <c r="F245">
        <v>0.350584519959667</v>
      </c>
      <c r="G245">
        <v>0.31154160353716698</v>
      </c>
      <c r="H245">
        <v>0.23551855756125301</v>
      </c>
      <c r="I245">
        <v>0.22293150372864601</v>
      </c>
      <c r="J245">
        <v>0.21217553817773199</v>
      </c>
      <c r="K245">
        <v>0.17272295394717899</v>
      </c>
      <c r="L245">
        <v>712.93793418663802</v>
      </c>
      <c r="M245">
        <v>14.786640115830499</v>
      </c>
      <c r="N245">
        <v>49.916322209168598</v>
      </c>
      <c r="O245">
        <v>47.3589294407425</v>
      </c>
      <c r="P245">
        <v>-6.2612582950294898E-2</v>
      </c>
      <c r="Q245">
        <v>0.19793883347230201</v>
      </c>
      <c r="R245">
        <v>0.99259825845317895</v>
      </c>
      <c r="S245" t="s">
        <v>6862</v>
      </c>
      <c r="T245" t="s">
        <v>13232</v>
      </c>
      <c r="U245" t="s">
        <v>13232</v>
      </c>
      <c r="V245" t="s">
        <v>13232</v>
      </c>
      <c r="W245" t="s">
        <v>13472</v>
      </c>
      <c r="X245">
        <v>14</v>
      </c>
      <c r="Y245" t="s">
        <v>20011</v>
      </c>
      <c r="Z245" t="s">
        <v>26376</v>
      </c>
      <c r="AA245">
        <v>0.43858750397336183</v>
      </c>
      <c r="AB245" t="str">
        <f>HYPERLINK("Melting_Curves/meltCurve_C9J0I9_ZC3HC1.pdf", "Melting_Curves/meltCurve_C9J0I9_ZC3HC1.pdf")</f>
        <v>Melting_Curves/meltCurve_C9J0I9_ZC3HC1.pdf</v>
      </c>
    </row>
    <row r="246" spans="1:28" x14ac:dyDescent="0.25">
      <c r="A246" t="s">
        <v>250</v>
      </c>
      <c r="B246">
        <v>0.99930955844802105</v>
      </c>
      <c r="C246">
        <v>1.0665407869615</v>
      </c>
      <c r="D246">
        <v>1.119700952169</v>
      </c>
      <c r="E246">
        <v>1.06328553649774</v>
      </c>
      <c r="F246">
        <v>0.89788018965904004</v>
      </c>
      <c r="G246">
        <v>0.51499196501083</v>
      </c>
      <c r="H246">
        <v>0.18596516168291399</v>
      </c>
      <c r="I246">
        <v>0.119129990938405</v>
      </c>
      <c r="J246">
        <v>9.0205477147226001E-2</v>
      </c>
      <c r="K246">
        <v>6.5571224326635993E-2</v>
      </c>
      <c r="L246">
        <v>1766.83138442227</v>
      </c>
      <c r="M246">
        <v>31.0903021181323</v>
      </c>
      <c r="N246">
        <v>57.151047434874798</v>
      </c>
      <c r="O246">
        <v>56.595460493323699</v>
      </c>
      <c r="P246">
        <v>-0.12630154584058101</v>
      </c>
      <c r="Q246">
        <v>8.0349415775609306E-2</v>
      </c>
      <c r="R246">
        <v>0.98664636996694899</v>
      </c>
      <c r="S246" t="s">
        <v>6863</v>
      </c>
      <c r="T246" t="s">
        <v>13232</v>
      </c>
      <c r="U246" t="s">
        <v>13232</v>
      </c>
      <c r="V246" t="s">
        <v>13232</v>
      </c>
      <c r="W246" t="s">
        <v>13473</v>
      </c>
      <c r="X246">
        <v>13</v>
      </c>
      <c r="Y246" t="s">
        <v>20012</v>
      </c>
      <c r="Z246" t="s">
        <v>26377</v>
      </c>
      <c r="AA246">
        <v>0.60199364258416033</v>
      </c>
      <c r="AB246" t="str">
        <f>HYPERLINK("Melting_Curves/meltCurve_C9J0K6_SRI.pdf", "Melting_Curves/meltCurve_C9J0K6_SRI.pdf")</f>
        <v>Melting_Curves/meltCurve_C9J0K6_SRI.pdf</v>
      </c>
    </row>
    <row r="247" spans="1:28" x14ac:dyDescent="0.25">
      <c r="A247" t="s">
        <v>251</v>
      </c>
      <c r="B247">
        <v>0.99930955844802105</v>
      </c>
      <c r="C247">
        <v>0.99327083065266297</v>
      </c>
      <c r="D247">
        <v>0.97769360060716004</v>
      </c>
      <c r="E247">
        <v>0.920994705195051</v>
      </c>
      <c r="F247">
        <v>0.792938222425984</v>
      </c>
      <c r="G247">
        <v>0.73489636147057102</v>
      </c>
      <c r="H247">
        <v>0.792062596769748</v>
      </c>
      <c r="I247">
        <v>0.88581596043186395</v>
      </c>
      <c r="J247">
        <v>1.00584838536532</v>
      </c>
      <c r="K247">
        <v>0.74276835792450002</v>
      </c>
      <c r="L247">
        <v>12509.3614924461</v>
      </c>
      <c r="M247">
        <v>250</v>
      </c>
      <c r="O247">
        <v>50.034243917619101</v>
      </c>
      <c r="P247">
        <v>-0.217698858890463</v>
      </c>
      <c r="Q247">
        <v>0.82572163534676402</v>
      </c>
      <c r="R247">
        <v>0.50584840751835203</v>
      </c>
      <c r="S247" t="s">
        <v>6864</v>
      </c>
      <c r="T247" t="s">
        <v>13232</v>
      </c>
      <c r="U247" t="s">
        <v>13232</v>
      </c>
      <c r="V247" t="s">
        <v>13232</v>
      </c>
      <c r="W247" t="s">
        <v>13474</v>
      </c>
      <c r="X247">
        <v>5</v>
      </c>
      <c r="Y247" t="s">
        <v>20013</v>
      </c>
      <c r="Z247" t="s">
        <v>26378</v>
      </c>
      <c r="AA247">
        <v>0.88404726188768612</v>
      </c>
      <c r="AB247" t="str">
        <f>HYPERLINK("Melting_Curves/meltCurve_C9J1C6_RNF181.pdf", "Melting_Curves/meltCurve_C9J1C6_RNF181.pdf")</f>
        <v>Melting_Curves/meltCurve_C9J1C6_RNF181.pdf</v>
      </c>
    </row>
    <row r="248" spans="1:28" x14ac:dyDescent="0.25">
      <c r="A248" t="s">
        <v>252</v>
      </c>
      <c r="B248">
        <v>0.99930955844802105</v>
      </c>
      <c r="C248">
        <v>0.97899377669630305</v>
      </c>
      <c r="D248">
        <v>1.0117987708691001</v>
      </c>
      <c r="E248">
        <v>0.88582513500578397</v>
      </c>
      <c r="F248">
        <v>0.54200276476961995</v>
      </c>
      <c r="G248">
        <v>0.48432759175778101</v>
      </c>
      <c r="H248">
        <v>0.44934661864812803</v>
      </c>
      <c r="I248">
        <v>0.45050083621962</v>
      </c>
      <c r="J248">
        <v>0.39178326597714502</v>
      </c>
      <c r="K248">
        <v>0.30577598900740199</v>
      </c>
      <c r="L248">
        <v>2197.94507416024</v>
      </c>
      <c r="M248">
        <v>42.6108754870043</v>
      </c>
      <c r="N248">
        <v>53.778586055887203</v>
      </c>
      <c r="O248">
        <v>51.468568192836898</v>
      </c>
      <c r="P248">
        <v>-0.12164088295129501</v>
      </c>
      <c r="Q248">
        <v>0.41229353711480599</v>
      </c>
      <c r="R248">
        <v>0.97330792713442504</v>
      </c>
      <c r="S248" t="s">
        <v>6865</v>
      </c>
      <c r="T248" t="s">
        <v>13232</v>
      </c>
      <c r="U248" t="s">
        <v>13232</v>
      </c>
      <c r="V248" t="s">
        <v>13232</v>
      </c>
      <c r="W248" t="s">
        <v>13475</v>
      </c>
      <c r="X248">
        <v>2</v>
      </c>
      <c r="Y248" t="s">
        <v>20014</v>
      </c>
      <c r="Z248" t="s">
        <v>26379</v>
      </c>
      <c r="AA248">
        <v>0.64102777141727019</v>
      </c>
      <c r="AB248" t="str">
        <f>HYPERLINK("Melting_Curves/meltCurve_C9J1J0_ADCY1.pdf", "Melting_Curves/meltCurve_C9J1J0_ADCY1.pdf")</f>
        <v>Melting_Curves/meltCurve_C9J1J0_ADCY1.pdf</v>
      </c>
    </row>
    <row r="249" spans="1:28" x14ac:dyDescent="0.25">
      <c r="A249" t="s">
        <v>253</v>
      </c>
      <c r="B249">
        <v>0.99930955844802105</v>
      </c>
      <c r="C249">
        <v>0.81850441208944902</v>
      </c>
      <c r="D249">
        <v>0.81667332411529103</v>
      </c>
      <c r="E249">
        <v>0.672603180082057</v>
      </c>
      <c r="F249">
        <v>0.498622676553794</v>
      </c>
      <c r="G249">
        <v>0.41360020535596798</v>
      </c>
      <c r="H249">
        <v>0.38324205862024302</v>
      </c>
      <c r="I249">
        <v>0.398231384101633</v>
      </c>
      <c r="J249">
        <v>0.35613350719589798</v>
      </c>
      <c r="K249">
        <v>0.25846345248652502</v>
      </c>
      <c r="L249">
        <v>514.80389076742904</v>
      </c>
      <c r="M249">
        <v>10.303580164826</v>
      </c>
      <c r="N249">
        <v>54.269283537759897</v>
      </c>
      <c r="O249">
        <v>48.191359057487801</v>
      </c>
      <c r="P249">
        <v>-3.85429550391461E-2</v>
      </c>
      <c r="Q249">
        <v>0.27922840105051899</v>
      </c>
      <c r="R249">
        <v>0.96757773528490099</v>
      </c>
      <c r="S249" t="s">
        <v>6866</v>
      </c>
      <c r="T249" t="s">
        <v>13232</v>
      </c>
      <c r="U249" t="s">
        <v>13232</v>
      </c>
      <c r="V249" t="s">
        <v>13232</v>
      </c>
      <c r="W249" t="s">
        <v>13476</v>
      </c>
      <c r="X249">
        <v>12</v>
      </c>
      <c r="Y249" t="s">
        <v>20015</v>
      </c>
      <c r="Z249" t="s">
        <v>26380</v>
      </c>
      <c r="AA249">
        <v>0.54996366713807654</v>
      </c>
      <c r="AB249" t="str">
        <f>HYPERLINK("Melting_Curves/meltCurve_C9J1X0_WDR91.pdf", "Melting_Curves/meltCurve_C9J1X0_WDR91.pdf")</f>
        <v>Melting_Curves/meltCurve_C9J1X0_WDR91.pdf</v>
      </c>
    </row>
    <row r="250" spans="1:28" x14ac:dyDescent="0.25">
      <c r="A250" t="s">
        <v>254</v>
      </c>
      <c r="B250">
        <v>0.99930955844802105</v>
      </c>
      <c r="C250">
        <v>1.1280625699097599</v>
      </c>
      <c r="D250">
        <v>1.1188151118318399</v>
      </c>
      <c r="E250">
        <v>1.08277631972971</v>
      </c>
      <c r="F250">
        <v>0.93516684820343998</v>
      </c>
      <c r="G250">
        <v>0.55811654370582098</v>
      </c>
      <c r="H250">
        <v>0.31508818315981801</v>
      </c>
      <c r="I250">
        <v>0.27054317716195603</v>
      </c>
      <c r="J250">
        <v>0.27441914791803201</v>
      </c>
      <c r="K250">
        <v>0.213079689475909</v>
      </c>
      <c r="L250">
        <v>2097.62643374037</v>
      </c>
      <c r="M250">
        <v>37.137167973346997</v>
      </c>
      <c r="N250">
        <v>57.5760966664036</v>
      </c>
      <c r="O250">
        <v>56.3201835723805</v>
      </c>
      <c r="P250">
        <v>-0.12315416893687101</v>
      </c>
      <c r="Q250">
        <v>0.25292682483033202</v>
      </c>
      <c r="R250">
        <v>0.97121462556080496</v>
      </c>
      <c r="S250" t="s">
        <v>6867</v>
      </c>
      <c r="T250" t="s">
        <v>13232</v>
      </c>
      <c r="U250" t="s">
        <v>13232</v>
      </c>
      <c r="V250" t="s">
        <v>13232</v>
      </c>
      <c r="W250" t="s">
        <v>13477</v>
      </c>
      <c r="X250">
        <v>10</v>
      </c>
      <c r="Y250" t="s">
        <v>20016</v>
      </c>
      <c r="Z250" t="s">
        <v>26381</v>
      </c>
      <c r="AA250">
        <v>0.66674056857391339</v>
      </c>
      <c r="AB250" t="str">
        <f>HYPERLINK("Melting_Curves/meltCurve_C9J212_UBE2F.pdf", "Melting_Curves/meltCurve_C9J212_UBE2F.pdf")</f>
        <v>Melting_Curves/meltCurve_C9J212_UBE2F.pdf</v>
      </c>
    </row>
    <row r="251" spans="1:28" x14ac:dyDescent="0.25">
      <c r="A251" t="s">
        <v>255</v>
      </c>
      <c r="B251">
        <v>0.99930955844802105</v>
      </c>
      <c r="C251">
        <v>0.98632567630189805</v>
      </c>
      <c r="D251">
        <v>0.97949709104400395</v>
      </c>
      <c r="E251">
        <v>0.53186576189540302</v>
      </c>
      <c r="F251">
        <v>0.23357007543568301</v>
      </c>
      <c r="G251">
        <v>0.17266865706999299</v>
      </c>
      <c r="H251">
        <v>0.127194734756259</v>
      </c>
      <c r="I251">
        <v>0.128041163241502</v>
      </c>
      <c r="J251">
        <v>0.117678656964842</v>
      </c>
      <c r="K251">
        <v>7.5914540444143502E-2</v>
      </c>
      <c r="L251">
        <v>1696.98681776384</v>
      </c>
      <c r="M251">
        <v>34.023438897835597</v>
      </c>
      <c r="N251">
        <v>50.289421483256298</v>
      </c>
      <c r="O251">
        <v>49.705632330981601</v>
      </c>
      <c r="P251">
        <v>-0.150292342543692</v>
      </c>
      <c r="Q251">
        <v>0.121741176619632</v>
      </c>
      <c r="R251">
        <v>0.99680741755415003</v>
      </c>
      <c r="S251" t="s">
        <v>6868</v>
      </c>
      <c r="T251" t="s">
        <v>13232</v>
      </c>
      <c r="U251" t="s">
        <v>13232</v>
      </c>
      <c r="V251" t="s">
        <v>13232</v>
      </c>
      <c r="W251" t="s">
        <v>13478</v>
      </c>
      <c r="X251">
        <v>6</v>
      </c>
      <c r="Y251" t="s">
        <v>20017</v>
      </c>
      <c r="Z251" t="s">
        <v>26382</v>
      </c>
      <c r="AA251">
        <v>0.41509444610451468</v>
      </c>
      <c r="AB251" t="str">
        <f>HYPERLINK("Melting_Curves/meltCurve_C9J2P0_UBE2E1.pdf", "Melting_Curves/meltCurve_C9J2P0_UBE2E1.pdf")</f>
        <v>Melting_Curves/meltCurve_C9J2P0_UBE2E1.pdf</v>
      </c>
    </row>
    <row r="252" spans="1:28" x14ac:dyDescent="0.25">
      <c r="A252" t="s">
        <v>256</v>
      </c>
      <c r="B252">
        <v>0.99930955844802105</v>
      </c>
      <c r="C252">
        <v>0.50102978596082703</v>
      </c>
      <c r="D252">
        <v>0.457382463513683</v>
      </c>
      <c r="E252">
        <v>0.37250380022479601</v>
      </c>
      <c r="F252">
        <v>0.24178620463536199</v>
      </c>
      <c r="G252">
        <v>0.17994860570842799</v>
      </c>
      <c r="H252">
        <v>0.12063001515498301</v>
      </c>
      <c r="I252">
        <v>0.112177383373174</v>
      </c>
      <c r="J252">
        <v>0.102363225731244</v>
      </c>
      <c r="K252">
        <v>8.6131634487968206E-2</v>
      </c>
      <c r="L252">
        <v>541.91125767930498</v>
      </c>
      <c r="M252">
        <v>12.1134852204317</v>
      </c>
      <c r="N252">
        <v>45.571031219553703</v>
      </c>
      <c r="O252">
        <v>43.569358708046501</v>
      </c>
      <c r="P252">
        <v>-6.2605026755908399E-2</v>
      </c>
      <c r="Q252">
        <v>9.95070576356063E-2</v>
      </c>
      <c r="R252">
        <v>0.91128509399562996</v>
      </c>
      <c r="S252" t="s">
        <v>6869</v>
      </c>
      <c r="T252" t="s">
        <v>13232</v>
      </c>
      <c r="U252" t="s">
        <v>13232</v>
      </c>
      <c r="V252" t="s">
        <v>13232</v>
      </c>
      <c r="W252" t="s">
        <v>13479</v>
      </c>
      <c r="X252">
        <v>23</v>
      </c>
      <c r="Y252" t="s">
        <v>20018</v>
      </c>
      <c r="Z252" t="s">
        <v>26383</v>
      </c>
      <c r="AA252">
        <v>0.2870792015846767</v>
      </c>
      <c r="AB252" t="str">
        <f>HYPERLINK("Melting_Curves/meltCurve_C9J2Y9_POLR2B.pdf", "Melting_Curves/meltCurve_C9J2Y9_POLR2B.pdf")</f>
        <v>Melting_Curves/meltCurve_C9J2Y9_POLR2B.pdf</v>
      </c>
    </row>
    <row r="253" spans="1:28" x14ac:dyDescent="0.25">
      <c r="A253" t="s">
        <v>257</v>
      </c>
      <c r="B253">
        <v>0.99930955844802105</v>
      </c>
      <c r="C253">
        <v>0.51102650840513097</v>
      </c>
      <c r="D253">
        <v>0.57346800752979699</v>
      </c>
      <c r="E253">
        <v>0.50030842904059802</v>
      </c>
      <c r="F253">
        <v>0.23970365707050501</v>
      </c>
      <c r="G253">
        <v>0.13399077500923701</v>
      </c>
      <c r="H253">
        <v>5.5687153665314702E-2</v>
      </c>
      <c r="I253">
        <v>4.15659501829162E-2</v>
      </c>
      <c r="J253">
        <v>3.7909095021779103E-2</v>
      </c>
      <c r="K253">
        <v>2.5240653668035799E-2</v>
      </c>
      <c r="L253">
        <v>459.31870869676698</v>
      </c>
      <c r="M253">
        <v>9.7502662514718601</v>
      </c>
      <c r="N253">
        <v>47.1083261794412</v>
      </c>
      <c r="O253">
        <v>45.254880735672401</v>
      </c>
      <c r="P253">
        <v>-5.3891913415150997E-2</v>
      </c>
      <c r="Q253">
        <v>0</v>
      </c>
      <c r="R253">
        <v>0.90524179297374296</v>
      </c>
      <c r="S253" t="s">
        <v>6870</v>
      </c>
      <c r="T253" t="s">
        <v>13232</v>
      </c>
      <c r="U253" t="s">
        <v>13232</v>
      </c>
      <c r="V253" t="s">
        <v>13232</v>
      </c>
      <c r="W253" t="s">
        <v>13480</v>
      </c>
      <c r="X253">
        <v>3</v>
      </c>
      <c r="Y253" t="s">
        <v>20019</v>
      </c>
      <c r="Z253" t="s">
        <v>26384</v>
      </c>
      <c r="AA253">
        <v>0.29620725189268682</v>
      </c>
      <c r="AB253" t="str">
        <f>HYPERLINK("Melting_Curves/meltCurve_C9J384_CMSS1.pdf", "Melting_Curves/meltCurve_C9J384_CMSS1.pdf")</f>
        <v>Melting_Curves/meltCurve_C9J384_CMSS1.pdf</v>
      </c>
    </row>
    <row r="254" spans="1:28" x14ac:dyDescent="0.25">
      <c r="A254" t="s">
        <v>258</v>
      </c>
      <c r="B254">
        <v>0.99930955844802105</v>
      </c>
      <c r="C254">
        <v>0.76182570393778803</v>
      </c>
      <c r="D254">
        <v>0.586867279200184</v>
      </c>
      <c r="E254">
        <v>0.82167425680413697</v>
      </c>
      <c r="F254">
        <v>0.46920738867858702</v>
      </c>
      <c r="G254">
        <v>0.17414979743919901</v>
      </c>
      <c r="H254">
        <v>9.4744053751299198E-2</v>
      </c>
      <c r="I254">
        <v>5.8931208734038197E-2</v>
      </c>
      <c r="J254">
        <v>4.57119450712314E-2</v>
      </c>
      <c r="K254">
        <v>3.2366689614884099E-2</v>
      </c>
      <c r="L254">
        <v>549.81584086463999</v>
      </c>
      <c r="M254">
        <v>10.713248488916699</v>
      </c>
      <c r="N254">
        <v>51.321093937983697</v>
      </c>
      <c r="O254">
        <v>49.629916064124501</v>
      </c>
      <c r="P254">
        <v>-5.3985836264025998E-2</v>
      </c>
      <c r="Q254">
        <v>0</v>
      </c>
      <c r="R254">
        <v>0.89069965707770604</v>
      </c>
      <c r="S254" t="s">
        <v>6871</v>
      </c>
      <c r="T254" t="s">
        <v>13232</v>
      </c>
      <c r="U254" t="s">
        <v>13232</v>
      </c>
      <c r="V254" t="s">
        <v>13232</v>
      </c>
      <c r="W254" t="s">
        <v>13481</v>
      </c>
      <c r="X254">
        <v>2</v>
      </c>
      <c r="Y254" t="s">
        <v>20020</v>
      </c>
      <c r="Z254" t="s">
        <v>26385</v>
      </c>
      <c r="AA254">
        <v>0.41452920665606757</v>
      </c>
      <c r="AB254" t="str">
        <f>HYPERLINK("Melting_Curves/meltCurve_C9J3L8_SSR1.pdf", "Melting_Curves/meltCurve_C9J3L8_SSR1.pdf")</f>
        <v>Melting_Curves/meltCurve_C9J3L8_SSR1.pdf</v>
      </c>
    </row>
    <row r="255" spans="1:28" x14ac:dyDescent="0.25">
      <c r="A255" t="s">
        <v>259</v>
      </c>
      <c r="B255">
        <v>0.99930955844802105</v>
      </c>
      <c r="C255">
        <v>1.4125973089586801</v>
      </c>
      <c r="D255">
        <v>1.38801993459664</v>
      </c>
      <c r="E255">
        <v>1.3555537635133199</v>
      </c>
      <c r="F255">
        <v>1.23894110469782</v>
      </c>
      <c r="G255">
        <v>1.5163829233367501</v>
      </c>
      <c r="H255">
        <v>1.76989008068861</v>
      </c>
      <c r="I255">
        <v>2.3211069294056998</v>
      </c>
      <c r="J255">
        <v>2.1290479214484099</v>
      </c>
      <c r="K255">
        <v>1.79130836938168</v>
      </c>
      <c r="L255">
        <v>3437.8777557630301</v>
      </c>
      <c r="M255">
        <v>81.669091054169598</v>
      </c>
      <c r="O255">
        <v>42.069995020746497</v>
      </c>
      <c r="P255">
        <v>0.242658411259315</v>
      </c>
      <c r="Q255">
        <v>1.5</v>
      </c>
      <c r="R255">
        <v>0.115351642186887</v>
      </c>
      <c r="S255" t="s">
        <v>6872</v>
      </c>
      <c r="T255" t="s">
        <v>13232</v>
      </c>
      <c r="U255" t="s">
        <v>13232</v>
      </c>
      <c r="V255" t="s">
        <v>13232</v>
      </c>
      <c r="W255" t="s">
        <v>13482</v>
      </c>
      <c r="X255">
        <v>13</v>
      </c>
      <c r="Y255" t="s">
        <v>20021</v>
      </c>
      <c r="Z255" t="s">
        <v>26386</v>
      </c>
      <c r="AA255">
        <v>1.4646285611730361</v>
      </c>
      <c r="AB255" t="str">
        <f>HYPERLINK("Melting_Curves/meltCurve_C9J3R0_RCC1.pdf", "Melting_Curves/meltCurve_C9J3R0_RCC1.pdf")</f>
        <v>Melting_Curves/meltCurve_C9J3R0_RCC1.pdf</v>
      </c>
    </row>
    <row r="256" spans="1:28" x14ac:dyDescent="0.25">
      <c r="A256" t="s">
        <v>260</v>
      </c>
      <c r="B256">
        <v>0.99930955844802105</v>
      </c>
      <c r="C256">
        <v>1.02320132853631</v>
      </c>
      <c r="D256">
        <v>0.96557931608104497</v>
      </c>
      <c r="E256">
        <v>0.89651288604642498</v>
      </c>
      <c r="F256">
        <v>0.80213597806900705</v>
      </c>
      <c r="G256">
        <v>0.55179444005250899</v>
      </c>
      <c r="H256">
        <v>0.52436936590869898</v>
      </c>
      <c r="I256">
        <v>0.59863655601058197</v>
      </c>
      <c r="J256">
        <v>0.52183320349110296</v>
      </c>
      <c r="K256">
        <v>0.46269153218397302</v>
      </c>
      <c r="L256">
        <v>1333.5668551229001</v>
      </c>
      <c r="M256">
        <v>25.058089733362799</v>
      </c>
      <c r="O256">
        <v>52.8835357488379</v>
      </c>
      <c r="P256">
        <v>-5.7606140508051303E-2</v>
      </c>
      <c r="Q256">
        <v>0.51370970889388501</v>
      </c>
      <c r="R256">
        <v>0.97071980071588204</v>
      </c>
      <c r="S256" t="s">
        <v>6873</v>
      </c>
      <c r="T256" t="s">
        <v>13232</v>
      </c>
      <c r="U256" t="s">
        <v>13232</v>
      </c>
      <c r="V256" t="s">
        <v>13232</v>
      </c>
      <c r="W256" t="s">
        <v>13483</v>
      </c>
      <c r="X256">
        <v>2</v>
      </c>
      <c r="Y256" t="s">
        <v>20022</v>
      </c>
      <c r="Z256" t="s">
        <v>26387</v>
      </c>
      <c r="AA256">
        <v>0.7324501820580539</v>
      </c>
      <c r="AB256" t="str">
        <f>HYPERLINK("Melting_Curves/meltCurve_C9J3R1_ZNF639.pdf", "Melting_Curves/meltCurve_C9J3R1_ZNF639.pdf")</f>
        <v>Melting_Curves/meltCurve_C9J3R1_ZNF639.pdf</v>
      </c>
    </row>
    <row r="257" spans="1:28" x14ac:dyDescent="0.25">
      <c r="A257" t="s">
        <v>261</v>
      </c>
      <c r="B257">
        <v>0.99930955844802105</v>
      </c>
      <c r="C257">
        <v>0.95888380931417905</v>
      </c>
      <c r="D257">
        <v>0.93461294484475999</v>
      </c>
      <c r="E257">
        <v>0.74837367351325601</v>
      </c>
      <c r="F257">
        <v>0.48690984122729097</v>
      </c>
      <c r="G257">
        <v>0.358435057607985</v>
      </c>
      <c r="H257">
        <v>0.55836925887942901</v>
      </c>
      <c r="I257">
        <v>0.79566877701106298</v>
      </c>
      <c r="J257">
        <v>0.89897915425250396</v>
      </c>
      <c r="K257">
        <v>0.68505495269012495</v>
      </c>
      <c r="L257">
        <v>2053.9996349050898</v>
      </c>
      <c r="M257">
        <v>42.506032433061399</v>
      </c>
      <c r="O257">
        <v>48.215959750429903</v>
      </c>
      <c r="P257">
        <v>-8.0450365514885297E-2</v>
      </c>
      <c r="Q257">
        <v>0.63497087374861905</v>
      </c>
      <c r="R257">
        <v>0.50996430459285602</v>
      </c>
      <c r="S257" t="s">
        <v>6874</v>
      </c>
      <c r="T257" t="s">
        <v>13232</v>
      </c>
      <c r="U257" t="s">
        <v>13232</v>
      </c>
      <c r="V257" t="s">
        <v>13232</v>
      </c>
      <c r="W257" t="s">
        <v>13484</v>
      </c>
      <c r="X257">
        <v>4</v>
      </c>
      <c r="Y257" t="s">
        <v>20023</v>
      </c>
      <c r="Z257" t="s">
        <v>26388</v>
      </c>
      <c r="AA257">
        <v>0.73731678193421402</v>
      </c>
      <c r="AB257" t="str">
        <f>HYPERLINK("Melting_Curves/meltCurve_C9J4K0_C2orf49.pdf", "Melting_Curves/meltCurve_C9J4K0_C2orf49.pdf")</f>
        <v>Melting_Curves/meltCurve_C9J4K0_C2orf49.pdf</v>
      </c>
    </row>
    <row r="258" spans="1:28" x14ac:dyDescent="0.25">
      <c r="A258" t="s">
        <v>262</v>
      </c>
      <c r="B258">
        <v>0.99930955844802105</v>
      </c>
      <c r="C258">
        <v>0.96106217335490496</v>
      </c>
      <c r="D258">
        <v>0.932002100641805</v>
      </c>
      <c r="E258">
        <v>0.84394114317291502</v>
      </c>
      <c r="F258">
        <v>0.74799248585800704</v>
      </c>
      <c r="G258">
        <v>0.66734857314990703</v>
      </c>
      <c r="H258">
        <v>0.60036646516731995</v>
      </c>
      <c r="I258">
        <v>0.63425231846725805</v>
      </c>
      <c r="J258">
        <v>0.54985242185606198</v>
      </c>
      <c r="K258">
        <v>0.46601875165809997</v>
      </c>
      <c r="L258">
        <v>479.27555223137699</v>
      </c>
      <c r="M258">
        <v>8.6446325474556307</v>
      </c>
      <c r="O258">
        <v>52.7146152468097</v>
      </c>
      <c r="P258">
        <v>-2.3295097234031E-2</v>
      </c>
      <c r="Q258">
        <v>0.432270078027928</v>
      </c>
      <c r="R258">
        <v>0.97356720974364097</v>
      </c>
      <c r="S258" t="s">
        <v>6875</v>
      </c>
      <c r="T258" t="s">
        <v>13232</v>
      </c>
      <c r="U258" t="s">
        <v>13232</v>
      </c>
      <c r="V258" t="s">
        <v>13232</v>
      </c>
      <c r="W258" t="s">
        <v>13485</v>
      </c>
      <c r="X258">
        <v>2</v>
      </c>
      <c r="Y258" t="s">
        <v>20024</v>
      </c>
      <c r="Z258" t="s">
        <v>26389</v>
      </c>
      <c r="AA258">
        <v>0.73821657749372838</v>
      </c>
      <c r="AB258" t="str">
        <f>HYPERLINK("Melting_Curves/meltCurve_C9J4L5_CREB1.pdf", "Melting_Curves/meltCurve_C9J4L5_CREB1.pdf")</f>
        <v>Melting_Curves/meltCurve_C9J4L5_CREB1.pdf</v>
      </c>
    </row>
    <row r="259" spans="1:28" x14ac:dyDescent="0.25">
      <c r="A259" t="s">
        <v>263</v>
      </c>
      <c r="B259">
        <v>0.99930955844802105</v>
      </c>
      <c r="C259">
        <v>1.0004430317247901</v>
      </c>
      <c r="D259">
        <v>0.986704053226653</v>
      </c>
      <c r="E259">
        <v>0.88296990726611402</v>
      </c>
      <c r="F259">
        <v>0.75425003363357401</v>
      </c>
      <c r="G259">
        <v>0.61955183254449697</v>
      </c>
      <c r="H259">
        <v>0.41454886992481399</v>
      </c>
      <c r="I259">
        <v>0.16117371252416299</v>
      </c>
      <c r="J259">
        <v>4.5568424093318002E-2</v>
      </c>
      <c r="K259">
        <v>4.3614124305612102E-2</v>
      </c>
      <c r="L259">
        <v>880.61545865425796</v>
      </c>
      <c r="M259">
        <v>15.133466867930601</v>
      </c>
      <c r="N259">
        <v>58.189935614682398</v>
      </c>
      <c r="O259">
        <v>57.202240695397002</v>
      </c>
      <c r="P259">
        <v>-6.6146637926805904E-2</v>
      </c>
      <c r="Q259">
        <v>0</v>
      </c>
      <c r="R259">
        <v>0.98461408610794998</v>
      </c>
      <c r="S259" t="s">
        <v>6876</v>
      </c>
      <c r="T259" t="s">
        <v>13232</v>
      </c>
      <c r="U259" t="s">
        <v>13232</v>
      </c>
      <c r="V259" t="s">
        <v>13232</v>
      </c>
      <c r="W259" t="s">
        <v>13486</v>
      </c>
      <c r="X259">
        <v>12</v>
      </c>
      <c r="Y259" t="s">
        <v>20025</v>
      </c>
      <c r="Z259" t="s">
        <v>26390</v>
      </c>
      <c r="AA259">
        <v>0.61923780858401478</v>
      </c>
      <c r="AB259" t="str">
        <f>HYPERLINK("Melting_Curves/meltCurve_C9J5C3_PDCD10.pdf", "Melting_Curves/meltCurve_C9J5C3_PDCD10.pdf")</f>
        <v>Melting_Curves/meltCurve_C9J5C3_PDCD10.pdf</v>
      </c>
    </row>
    <row r="260" spans="1:28" x14ac:dyDescent="0.25">
      <c r="A260" t="s">
        <v>264</v>
      </c>
      <c r="B260">
        <v>0.99930955844802105</v>
      </c>
      <c r="C260">
        <v>0.94519414795701795</v>
      </c>
      <c r="D260">
        <v>0.99645892149831095</v>
      </c>
      <c r="E260">
        <v>0.90107296925538205</v>
      </c>
      <c r="F260">
        <v>0.788319764119916</v>
      </c>
      <c r="G260">
        <v>0.76385655245495998</v>
      </c>
      <c r="H260">
        <v>0.60893007053511405</v>
      </c>
      <c r="I260">
        <v>0.70063809091137896</v>
      </c>
      <c r="J260">
        <v>0.60282094910325201</v>
      </c>
      <c r="K260">
        <v>0.513234296657886</v>
      </c>
      <c r="L260">
        <v>500.39764317510799</v>
      </c>
      <c r="M260">
        <v>8.6399640884677904</v>
      </c>
      <c r="O260">
        <v>55.064680013525297</v>
      </c>
      <c r="P260">
        <v>-2.1404428169893502E-2</v>
      </c>
      <c r="Q260">
        <v>0.45479858619616298</v>
      </c>
      <c r="R260">
        <v>0.93594409787964405</v>
      </c>
      <c r="S260" t="s">
        <v>6877</v>
      </c>
      <c r="T260" t="s">
        <v>13232</v>
      </c>
      <c r="U260" t="s">
        <v>13232</v>
      </c>
      <c r="V260" t="s">
        <v>13232</v>
      </c>
      <c r="W260" t="s">
        <v>13487</v>
      </c>
      <c r="X260">
        <v>10</v>
      </c>
      <c r="Y260" t="s">
        <v>20026</v>
      </c>
      <c r="Z260" t="s">
        <v>26391</v>
      </c>
      <c r="AA260">
        <v>0.78409550470073919</v>
      </c>
      <c r="AB260" t="str">
        <f>HYPERLINK("Melting_Curves/meltCurve_C9J5J4_LIN9.pdf", "Melting_Curves/meltCurve_C9J5J4_LIN9.pdf")</f>
        <v>Melting_Curves/meltCurve_C9J5J4_LIN9.pdf</v>
      </c>
    </row>
    <row r="261" spans="1:28" x14ac:dyDescent="0.25">
      <c r="A261" t="s">
        <v>265</v>
      </c>
      <c r="B261">
        <v>0.99930955844802105</v>
      </c>
      <c r="C261">
        <v>0.90702006980787198</v>
      </c>
      <c r="D261">
        <v>0.81939689094050705</v>
      </c>
      <c r="E261">
        <v>0.85394464633368194</v>
      </c>
      <c r="F261">
        <v>0.56431626785731803</v>
      </c>
      <c r="G261">
        <v>0.36862076766898499</v>
      </c>
      <c r="H261">
        <v>0.244741919762441</v>
      </c>
      <c r="I261">
        <v>0.19464586449780399</v>
      </c>
      <c r="J261">
        <v>0.16923896797492399</v>
      </c>
      <c r="K261">
        <v>0.13400841338482899</v>
      </c>
      <c r="L261">
        <v>660.30871768114605</v>
      </c>
      <c r="M261">
        <v>12.2415479851462</v>
      </c>
      <c r="N261">
        <v>54.688662489148498</v>
      </c>
      <c r="O261">
        <v>52.561122155966601</v>
      </c>
      <c r="P261">
        <v>-5.3745335456013697E-2</v>
      </c>
      <c r="Q261">
        <v>7.7147781513047298E-2</v>
      </c>
      <c r="R261">
        <v>0.97821416177170994</v>
      </c>
      <c r="S261" t="s">
        <v>6878</v>
      </c>
      <c r="T261" t="s">
        <v>13232</v>
      </c>
      <c r="U261" t="s">
        <v>13232</v>
      </c>
      <c r="V261" t="s">
        <v>13232</v>
      </c>
      <c r="W261" t="s">
        <v>13488</v>
      </c>
      <c r="X261">
        <v>2</v>
      </c>
      <c r="Y261" t="s">
        <v>20027</v>
      </c>
      <c r="Z261" t="s">
        <v>26392</v>
      </c>
      <c r="AA261">
        <v>0.52975128236055591</v>
      </c>
      <c r="AB261" t="str">
        <f>HYPERLINK("Melting_Curves/meltCurve_C9J5W6_TAGLN3.pdf", "Melting_Curves/meltCurve_C9J5W6_TAGLN3.pdf")</f>
        <v>Melting_Curves/meltCurve_C9J5W6_TAGLN3.pdf</v>
      </c>
    </row>
    <row r="262" spans="1:28" x14ac:dyDescent="0.25">
      <c r="A262" t="s">
        <v>266</v>
      </c>
      <c r="B262">
        <v>0.99930955844802105</v>
      </c>
      <c r="C262">
        <v>0.73786489485029105</v>
      </c>
      <c r="D262">
        <v>0.75126214610025099</v>
      </c>
      <c r="E262">
        <v>0.68951571547600798</v>
      </c>
      <c r="F262">
        <v>0.62922407881857501</v>
      </c>
      <c r="G262">
        <v>0.409831914498901</v>
      </c>
      <c r="H262">
        <v>0.18058093839577799</v>
      </c>
      <c r="I262">
        <v>0.121204069716043</v>
      </c>
      <c r="J262">
        <v>9.7697201902086001E-2</v>
      </c>
      <c r="K262">
        <v>9.0138544081840605E-2</v>
      </c>
      <c r="L262">
        <v>483.63671481216397</v>
      </c>
      <c r="M262">
        <v>9.0575151337824291</v>
      </c>
      <c r="N262">
        <v>53.396180118813199</v>
      </c>
      <c r="O262">
        <v>50.986248193690997</v>
      </c>
      <c r="P262">
        <v>-4.4443025597579101E-2</v>
      </c>
      <c r="Q262">
        <v>0</v>
      </c>
      <c r="R262">
        <v>0.94111733089913496</v>
      </c>
      <c r="S262" t="s">
        <v>6879</v>
      </c>
      <c r="T262" t="s">
        <v>13232</v>
      </c>
      <c r="U262" t="s">
        <v>13232</v>
      </c>
      <c r="V262" t="s">
        <v>13232</v>
      </c>
      <c r="W262" t="s">
        <v>13489</v>
      </c>
      <c r="X262">
        <v>3</v>
      </c>
      <c r="Y262" t="s">
        <v>20028</v>
      </c>
      <c r="Z262" t="s">
        <v>26393</v>
      </c>
      <c r="AA262">
        <v>0.48175475785596761</v>
      </c>
      <c r="AB262" t="str">
        <f>HYPERLINK("Melting_Curves/meltCurve_C9J5X9_FANCB.pdf", "Melting_Curves/meltCurve_C9J5X9_FANCB.pdf")</f>
        <v>Melting_Curves/meltCurve_C9J5X9_FANCB.pdf</v>
      </c>
    </row>
    <row r="263" spans="1:28" x14ac:dyDescent="0.25">
      <c r="A263" t="s">
        <v>267</v>
      </c>
      <c r="B263">
        <v>0.99930955844802105</v>
      </c>
      <c r="C263">
        <v>1.5311866760797599</v>
      </c>
      <c r="D263">
        <v>1.18098733768084</v>
      </c>
      <c r="E263">
        <v>1.07474833812917</v>
      </c>
      <c r="F263">
        <v>1.10608956780246</v>
      </c>
      <c r="G263">
        <v>0.94081930985169804</v>
      </c>
      <c r="H263">
        <v>1.16686073761968</v>
      </c>
      <c r="I263">
        <v>0.85619242043186194</v>
      </c>
      <c r="J263">
        <v>0.41779833172775999</v>
      </c>
      <c r="K263">
        <v>0.16459112836248099</v>
      </c>
      <c r="L263">
        <v>3757.09851139393</v>
      </c>
      <c r="M263">
        <v>56.838567775579101</v>
      </c>
      <c r="N263">
        <v>66.464102186488702</v>
      </c>
      <c r="O263">
        <v>66.019544715892593</v>
      </c>
      <c r="P263">
        <v>-0.18652266214893001</v>
      </c>
      <c r="Q263">
        <v>0.133395861430289</v>
      </c>
      <c r="R263">
        <v>0.73618252050169097</v>
      </c>
      <c r="S263" t="s">
        <v>6880</v>
      </c>
      <c r="T263" t="s">
        <v>13232</v>
      </c>
      <c r="U263" t="s">
        <v>13232</v>
      </c>
      <c r="V263" t="s">
        <v>13232</v>
      </c>
      <c r="W263" t="s">
        <v>13490</v>
      </c>
      <c r="X263">
        <v>8</v>
      </c>
      <c r="Y263" t="s">
        <v>20029</v>
      </c>
      <c r="Z263" t="s">
        <v>26394</v>
      </c>
      <c r="AA263">
        <v>0.88771070835253829</v>
      </c>
      <c r="AB263" t="str">
        <f>HYPERLINK("Melting_Curves/meltCurve_C9J6N9_UFD1L.pdf", "Melting_Curves/meltCurve_C9J6N9_UFD1L.pdf")</f>
        <v>Melting_Curves/meltCurve_C9J6N9_UFD1L.pdf</v>
      </c>
    </row>
    <row r="264" spans="1:28" x14ac:dyDescent="0.25">
      <c r="A264" t="s">
        <v>268</v>
      </c>
      <c r="B264">
        <v>0.99930955844802105</v>
      </c>
      <c r="C264">
        <v>0.830884372791862</v>
      </c>
      <c r="D264">
        <v>0.73304336418914995</v>
      </c>
      <c r="E264">
        <v>0.95743896747742596</v>
      </c>
      <c r="F264">
        <v>0.83729662331031096</v>
      </c>
      <c r="G264">
        <v>0.64257003892687403</v>
      </c>
      <c r="H264">
        <v>0.67495231528899002</v>
      </c>
      <c r="I264">
        <v>0.59118352856743395</v>
      </c>
      <c r="J264">
        <v>0.61935590206632596</v>
      </c>
      <c r="K264">
        <v>0.56946103181568097</v>
      </c>
      <c r="L264">
        <v>214.05828010921601</v>
      </c>
      <c r="M264">
        <v>2.8073509295285399</v>
      </c>
      <c r="O264">
        <v>54.469250895898597</v>
      </c>
      <c r="P264">
        <v>-1.3365584704711201E-2</v>
      </c>
      <c r="Q264">
        <v>0</v>
      </c>
      <c r="R264">
        <v>0.71680991530249505</v>
      </c>
      <c r="S264" t="s">
        <v>6881</v>
      </c>
      <c r="T264" t="s">
        <v>13232</v>
      </c>
      <c r="U264" t="s">
        <v>13232</v>
      </c>
      <c r="V264" t="s">
        <v>13232</v>
      </c>
      <c r="W264" t="s">
        <v>13476</v>
      </c>
      <c r="X264">
        <v>2</v>
      </c>
      <c r="Z264" t="s">
        <v>26395</v>
      </c>
      <c r="AA264">
        <v>0.7470676446551493</v>
      </c>
      <c r="AB264" t="str">
        <f>HYPERLINK("Melting_Curves/meltCurve_C9J7I0_.pdf", "Melting_Curves/meltCurve_C9J7I0_.pdf")</f>
        <v>Melting_Curves/meltCurve_C9J7I0_.pdf</v>
      </c>
    </row>
    <row r="265" spans="1:28" x14ac:dyDescent="0.25">
      <c r="A265" t="s">
        <v>269</v>
      </c>
      <c r="B265">
        <v>0.99930955844802105</v>
      </c>
      <c r="C265">
        <v>0.88855818786371199</v>
      </c>
      <c r="D265">
        <v>0.81795967532121405</v>
      </c>
      <c r="E265">
        <v>0.75174478922017995</v>
      </c>
      <c r="F265">
        <v>0.60897689031146496</v>
      </c>
      <c r="G265">
        <v>0.29343206405149902</v>
      </c>
      <c r="H265">
        <v>0.186276838636557</v>
      </c>
      <c r="I265">
        <v>0.15364285714603099</v>
      </c>
      <c r="J265">
        <v>0.11273461644890501</v>
      </c>
      <c r="K265">
        <v>7.4721608279805798E-2</v>
      </c>
      <c r="L265">
        <v>609.08880706427101</v>
      </c>
      <c r="M265">
        <v>11.2957238057043</v>
      </c>
      <c r="N265">
        <v>53.9220694308529</v>
      </c>
      <c r="O265">
        <v>52.314966322993399</v>
      </c>
      <c r="P265">
        <v>-5.3995852982227401E-2</v>
      </c>
      <c r="Q265">
        <v>0</v>
      </c>
      <c r="R265">
        <v>0.98540433649536896</v>
      </c>
      <c r="S265" t="s">
        <v>6882</v>
      </c>
      <c r="T265" t="s">
        <v>13232</v>
      </c>
      <c r="U265" t="s">
        <v>13232</v>
      </c>
      <c r="V265" t="s">
        <v>13232</v>
      </c>
      <c r="W265" t="s">
        <v>13491</v>
      </c>
      <c r="X265">
        <v>4</v>
      </c>
      <c r="Y265" t="s">
        <v>20030</v>
      </c>
      <c r="Z265" t="s">
        <v>26396</v>
      </c>
      <c r="AA265">
        <v>0.4918486567162097</v>
      </c>
      <c r="AB265" t="str">
        <f>HYPERLINK("Melting_Curves/meltCurve_C9J8B8_HDAC10.pdf", "Melting_Curves/meltCurve_C9J8B8_HDAC10.pdf")</f>
        <v>Melting_Curves/meltCurve_C9J8B8_HDAC10.pdf</v>
      </c>
    </row>
    <row r="266" spans="1:28" x14ac:dyDescent="0.25">
      <c r="A266" t="s">
        <v>270</v>
      </c>
      <c r="B266">
        <v>0.99930955844802105</v>
      </c>
      <c r="C266">
        <v>1.4175746307849499</v>
      </c>
      <c r="D266">
        <v>1.1902113478293099</v>
      </c>
      <c r="E266">
        <v>0.89958355985791805</v>
      </c>
      <c r="F266">
        <v>0.81062427779924096</v>
      </c>
      <c r="G266">
        <v>0.55381358761438204</v>
      </c>
      <c r="H266">
        <v>0.50514879561260795</v>
      </c>
      <c r="I266">
        <v>0.44833130315915098</v>
      </c>
      <c r="J266">
        <v>0.378340343388197</v>
      </c>
      <c r="K266">
        <v>0.27961425863978701</v>
      </c>
      <c r="L266">
        <v>1093.77135964385</v>
      </c>
      <c r="M266">
        <v>19.6934251473178</v>
      </c>
      <c r="N266">
        <v>59.162328613346602</v>
      </c>
      <c r="O266">
        <v>54.9767553842129</v>
      </c>
      <c r="P266">
        <v>-5.8187339471404899E-2</v>
      </c>
      <c r="Q266">
        <v>0.35027240960801098</v>
      </c>
      <c r="R266">
        <v>0.81790720678318696</v>
      </c>
      <c r="S266" t="s">
        <v>6883</v>
      </c>
      <c r="T266" t="s">
        <v>13232</v>
      </c>
      <c r="U266" t="s">
        <v>13232</v>
      </c>
      <c r="V266" t="s">
        <v>13232</v>
      </c>
      <c r="W266" t="s">
        <v>13492</v>
      </c>
      <c r="X266">
        <v>2</v>
      </c>
      <c r="Y266" t="s">
        <v>20031</v>
      </c>
      <c r="Z266" t="s">
        <v>26397</v>
      </c>
      <c r="AA266">
        <v>0.69553130102818572</v>
      </c>
      <c r="AB266" t="str">
        <f>HYPERLINK("Melting_Curves/meltCurve_C9J8L0_CDCA7L.pdf", "Melting_Curves/meltCurve_C9J8L0_CDCA7L.pdf")</f>
        <v>Melting_Curves/meltCurve_C9J8L0_CDCA7L.pdf</v>
      </c>
    </row>
    <row r="267" spans="1:28" x14ac:dyDescent="0.25">
      <c r="A267" t="s">
        <v>271</v>
      </c>
      <c r="B267">
        <v>0.99930955844802105</v>
      </c>
      <c r="C267">
        <v>0.70688927703319904</v>
      </c>
      <c r="D267">
        <v>0.44407861818182898</v>
      </c>
      <c r="E267">
        <v>0.117111518486946</v>
      </c>
      <c r="F267">
        <v>5.5170364209037398E-2</v>
      </c>
      <c r="G267">
        <v>4.91101057753126E-2</v>
      </c>
      <c r="H267">
        <v>2.4662258150696299E-2</v>
      </c>
      <c r="I267">
        <v>6.8429651702634903E-3</v>
      </c>
      <c r="J267">
        <v>7.1924070185745504E-3</v>
      </c>
      <c r="K267">
        <v>5.3857908949621596E-3</v>
      </c>
      <c r="L267">
        <v>934.39609522599801</v>
      </c>
      <c r="M267">
        <v>20.676854289195699</v>
      </c>
      <c r="N267">
        <v>45.2468922921096</v>
      </c>
      <c r="O267">
        <v>44.774111891141303</v>
      </c>
      <c r="P267">
        <v>-0.11398401127839999</v>
      </c>
      <c r="Q267">
        <v>1.2734304119427199E-2</v>
      </c>
      <c r="R267">
        <v>0.99309662729619097</v>
      </c>
      <c r="S267" t="s">
        <v>6884</v>
      </c>
      <c r="T267" t="s">
        <v>13232</v>
      </c>
      <c r="U267" t="s">
        <v>13232</v>
      </c>
      <c r="V267" t="s">
        <v>13232</v>
      </c>
      <c r="W267" t="s">
        <v>13493</v>
      </c>
      <c r="X267">
        <v>2</v>
      </c>
      <c r="Y267" t="s">
        <v>20032</v>
      </c>
      <c r="Z267" t="s">
        <v>26398</v>
      </c>
      <c r="AA267">
        <v>0.19869255854221141</v>
      </c>
      <c r="AB267" t="str">
        <f>HYPERLINK("Melting_Curves/meltCurve_C9J8R7_GTPBP10.pdf", "Melting_Curves/meltCurve_C9J8R7_GTPBP10.pdf")</f>
        <v>Melting_Curves/meltCurve_C9J8R7_GTPBP10.pdf</v>
      </c>
    </row>
    <row r="268" spans="1:28" x14ac:dyDescent="0.25">
      <c r="A268" t="s">
        <v>272</v>
      </c>
      <c r="B268">
        <v>0.99930955844802105</v>
      </c>
      <c r="C268">
        <v>0.80288619215532497</v>
      </c>
      <c r="D268">
        <v>0.58257219622161105</v>
      </c>
      <c r="E268">
        <v>0.321506223821245</v>
      </c>
      <c r="F268">
        <v>0.17019555706210099</v>
      </c>
      <c r="G268">
        <v>0.114388447092846</v>
      </c>
      <c r="H268">
        <v>6.2439202561541597E-2</v>
      </c>
      <c r="I268">
        <v>3.9914724958111603E-2</v>
      </c>
      <c r="J268">
        <v>2.77804946564882E-2</v>
      </c>
      <c r="K268">
        <v>2.2389300595123899E-2</v>
      </c>
      <c r="L268">
        <v>719.83927097197295</v>
      </c>
      <c r="M268">
        <v>15.2936968499024</v>
      </c>
      <c r="N268">
        <v>47.242408261239802</v>
      </c>
      <c r="O268">
        <v>46.285001551042299</v>
      </c>
      <c r="P268">
        <v>-8.0342496165715302E-2</v>
      </c>
      <c r="Q268">
        <v>2.7493797372403199E-2</v>
      </c>
      <c r="R268">
        <v>0.99540450718293405</v>
      </c>
      <c r="S268" t="s">
        <v>6885</v>
      </c>
      <c r="T268" t="s">
        <v>13232</v>
      </c>
      <c r="U268" t="s">
        <v>13232</v>
      </c>
      <c r="V268" t="s">
        <v>13232</v>
      </c>
      <c r="W268" t="s">
        <v>13494</v>
      </c>
      <c r="X268">
        <v>11</v>
      </c>
      <c r="Y268" t="s">
        <v>20033</v>
      </c>
      <c r="Z268" t="s">
        <v>26399</v>
      </c>
      <c r="AA268">
        <v>0.28188817102788732</v>
      </c>
      <c r="AB268" t="str">
        <f>HYPERLINK("Melting_Curves/meltCurve_C9J9K3_RPSA.pdf", "Melting_Curves/meltCurve_C9J9K3_RPSA.pdf")</f>
        <v>Melting_Curves/meltCurve_C9J9K3_RPSA.pdf</v>
      </c>
    </row>
    <row r="269" spans="1:28" x14ac:dyDescent="0.25">
      <c r="A269" t="s">
        <v>273</v>
      </c>
      <c r="B269">
        <v>0.99930955844802105</v>
      </c>
      <c r="C269">
        <v>1.0904319602258199</v>
      </c>
      <c r="D269">
        <v>1.09111251841937</v>
      </c>
      <c r="E269">
        <v>0.943478206563512</v>
      </c>
      <c r="F269">
        <v>0.82099446360210704</v>
      </c>
      <c r="G269">
        <v>0.78213262739158196</v>
      </c>
      <c r="H269">
        <v>0.82509305657837195</v>
      </c>
      <c r="I269">
        <v>0.96087301322519503</v>
      </c>
      <c r="J269">
        <v>0.93656175319364499</v>
      </c>
      <c r="K269">
        <v>0.75632220826452101</v>
      </c>
      <c r="L269">
        <v>12526.7363530123</v>
      </c>
      <c r="M269">
        <v>250</v>
      </c>
      <c r="O269">
        <v>50.103738135039102</v>
      </c>
      <c r="P269">
        <v>-0.19085879855320401</v>
      </c>
      <c r="Q269">
        <v>0.84699616962745305</v>
      </c>
      <c r="R269">
        <v>0.61238766050186699</v>
      </c>
      <c r="S269" t="s">
        <v>6886</v>
      </c>
      <c r="T269" t="s">
        <v>13232</v>
      </c>
      <c r="U269" t="s">
        <v>13232</v>
      </c>
      <c r="V269" t="s">
        <v>13232</v>
      </c>
      <c r="W269" t="s">
        <v>13495</v>
      </c>
      <c r="X269">
        <v>8</v>
      </c>
      <c r="Y269" t="s">
        <v>20034</v>
      </c>
      <c r="Z269" t="s">
        <v>26400</v>
      </c>
      <c r="AA269">
        <v>0.89855633635840892</v>
      </c>
      <c r="AB269" t="str">
        <f>HYPERLINK("Melting_Curves/meltCurve_C9JA69_BBX.pdf", "Melting_Curves/meltCurve_C9JA69_BBX.pdf")</f>
        <v>Melting_Curves/meltCurve_C9JA69_BBX.pdf</v>
      </c>
    </row>
    <row r="270" spans="1:28" x14ac:dyDescent="0.25">
      <c r="A270" t="s">
        <v>274</v>
      </c>
      <c r="B270">
        <v>0.99930955844802105</v>
      </c>
      <c r="C270">
        <v>1.26543144202597</v>
      </c>
      <c r="D270">
        <v>1.08266636996342</v>
      </c>
      <c r="E270">
        <v>1.0195683059679399</v>
      </c>
      <c r="F270">
        <v>0.76597293068778405</v>
      </c>
      <c r="G270">
        <v>0.89683535648746904</v>
      </c>
      <c r="H270">
        <v>0.68223593519429204</v>
      </c>
      <c r="I270">
        <v>0.89909221721525101</v>
      </c>
      <c r="J270">
        <v>0.97351584337207597</v>
      </c>
      <c r="K270">
        <v>0.578837240971395</v>
      </c>
      <c r="L270">
        <v>12851.920351087299</v>
      </c>
      <c r="M270">
        <v>250</v>
      </c>
      <c r="O270">
        <v>51.404410400533799</v>
      </c>
      <c r="P270">
        <v>-0.24389625285175001</v>
      </c>
      <c r="Q270">
        <v>0.79940258374719397</v>
      </c>
      <c r="R270">
        <v>0.47307285983900099</v>
      </c>
      <c r="S270" t="s">
        <v>6887</v>
      </c>
      <c r="T270" t="s">
        <v>13232</v>
      </c>
      <c r="U270" t="s">
        <v>13232</v>
      </c>
      <c r="V270" t="s">
        <v>13232</v>
      </c>
      <c r="W270" t="s">
        <v>13496</v>
      </c>
      <c r="X270">
        <v>3</v>
      </c>
      <c r="Y270" t="s">
        <v>20035</v>
      </c>
      <c r="Z270" t="s">
        <v>26401</v>
      </c>
      <c r="AA270">
        <v>0.87569906208697534</v>
      </c>
      <c r="AB270" t="str">
        <f>HYPERLINK("Melting_Curves/meltCurve_C9JAX3_ZNF467.pdf", "Melting_Curves/meltCurve_C9JAX3_ZNF467.pdf")</f>
        <v>Melting_Curves/meltCurve_C9JAX3_ZNF467.pdf</v>
      </c>
    </row>
    <row r="271" spans="1:28" x14ac:dyDescent="0.25">
      <c r="A271" t="s">
        <v>275</v>
      </c>
      <c r="B271">
        <v>0.99930955844802105</v>
      </c>
      <c r="C271">
        <v>1.0480295459561999</v>
      </c>
      <c r="D271">
        <v>1.03109122602196</v>
      </c>
      <c r="E271">
        <v>0.97488717430570804</v>
      </c>
      <c r="F271">
        <v>0.85042503167375305</v>
      </c>
      <c r="G271">
        <v>0.706716666419967</v>
      </c>
      <c r="H271">
        <v>0.73685401511419202</v>
      </c>
      <c r="I271">
        <v>0.77947463222941804</v>
      </c>
      <c r="J271">
        <v>0.870872918929115</v>
      </c>
      <c r="K271">
        <v>0.66574905855436906</v>
      </c>
      <c r="L271">
        <v>3063.27222563431</v>
      </c>
      <c r="M271">
        <v>58.2945316762396</v>
      </c>
      <c r="O271">
        <v>52.486459714853602</v>
      </c>
      <c r="P271">
        <v>-6.8874193434993902E-2</v>
      </c>
      <c r="Q271">
        <v>0.75195197211023301</v>
      </c>
      <c r="R271">
        <v>0.84261781997569496</v>
      </c>
      <c r="S271" t="s">
        <v>6888</v>
      </c>
      <c r="T271" t="s">
        <v>13232</v>
      </c>
      <c r="U271" t="s">
        <v>13232</v>
      </c>
      <c r="V271" t="s">
        <v>13232</v>
      </c>
      <c r="W271" t="s">
        <v>13497</v>
      </c>
      <c r="X271">
        <v>13</v>
      </c>
      <c r="Y271" t="s">
        <v>20036</v>
      </c>
      <c r="Z271" t="s">
        <v>26402</v>
      </c>
      <c r="AA271">
        <v>0.85612612355593076</v>
      </c>
      <c r="AB271" t="str">
        <f>HYPERLINK("Melting_Curves/meltCurve_C9JB13_BSDC1.pdf", "Melting_Curves/meltCurve_C9JB13_BSDC1.pdf")</f>
        <v>Melting_Curves/meltCurve_C9JB13_BSDC1.pdf</v>
      </c>
    </row>
    <row r="272" spans="1:28" x14ac:dyDescent="0.25">
      <c r="A272" t="s">
        <v>276</v>
      </c>
      <c r="B272">
        <v>0.99930955844802105</v>
      </c>
      <c r="C272">
        <v>0.78823159247149199</v>
      </c>
      <c r="D272">
        <v>0.51626104443182896</v>
      </c>
      <c r="E272">
        <v>0.441445135876876</v>
      </c>
      <c r="F272">
        <v>0.33397040213671503</v>
      </c>
      <c r="G272">
        <v>0.27468290919018301</v>
      </c>
      <c r="H272">
        <v>0.26233511210945898</v>
      </c>
      <c r="I272">
        <v>0.31044916195286598</v>
      </c>
      <c r="J272">
        <v>0.32530920810041197</v>
      </c>
      <c r="K272">
        <v>0.23956224657700501</v>
      </c>
      <c r="L272">
        <v>887.28968532048498</v>
      </c>
      <c r="M272">
        <v>19.776100642329201</v>
      </c>
      <c r="N272">
        <v>46.912668850646597</v>
      </c>
      <c r="O272">
        <v>44.415553243044897</v>
      </c>
      <c r="P272">
        <v>-7.9152958585071806E-2</v>
      </c>
      <c r="Q272">
        <v>0.28893913095025398</v>
      </c>
      <c r="R272">
        <v>0.97235657913251095</v>
      </c>
      <c r="S272" t="s">
        <v>6889</v>
      </c>
      <c r="T272" t="s">
        <v>13232</v>
      </c>
      <c r="U272" t="s">
        <v>13232</v>
      </c>
      <c r="V272" t="s">
        <v>13232</v>
      </c>
      <c r="W272" t="s">
        <v>13498</v>
      </c>
      <c r="X272">
        <v>22</v>
      </c>
      <c r="Y272" t="s">
        <v>20037</v>
      </c>
      <c r="Z272" t="s">
        <v>26403</v>
      </c>
      <c r="AA272">
        <v>0.41684121197587992</v>
      </c>
      <c r="AB272" t="str">
        <f>HYPERLINK("Melting_Curves/meltCurve_C9JDG0_DIAPH3.pdf", "Melting_Curves/meltCurve_C9JDG0_DIAPH3.pdf")</f>
        <v>Melting_Curves/meltCurve_C9JDG0_DIAPH3.pdf</v>
      </c>
    </row>
    <row r="273" spans="1:28" x14ac:dyDescent="0.25">
      <c r="A273" t="s">
        <v>277</v>
      </c>
      <c r="B273">
        <v>0.99930955844802105</v>
      </c>
      <c r="C273">
        <v>1.1279247596770301</v>
      </c>
      <c r="D273">
        <v>1.04318351529527</v>
      </c>
      <c r="E273">
        <v>1.0212692581532199</v>
      </c>
      <c r="F273">
        <v>0.78600905220585704</v>
      </c>
      <c r="G273">
        <v>0.66915758728335795</v>
      </c>
      <c r="H273">
        <v>0.71796617423528297</v>
      </c>
      <c r="I273">
        <v>0.72558520577144303</v>
      </c>
      <c r="J273">
        <v>0.71174832662318999</v>
      </c>
      <c r="K273">
        <v>0.57736776288826896</v>
      </c>
      <c r="L273">
        <v>13212.5895583704</v>
      </c>
      <c r="M273">
        <v>250</v>
      </c>
      <c r="O273">
        <v>52.846991511318599</v>
      </c>
      <c r="P273">
        <v>-0.37801949441763899</v>
      </c>
      <c r="Q273">
        <v>0.68036500459505</v>
      </c>
      <c r="R273">
        <v>0.89673327938809</v>
      </c>
      <c r="S273" t="s">
        <v>6890</v>
      </c>
      <c r="T273" t="s">
        <v>13232</v>
      </c>
      <c r="U273" t="s">
        <v>13232</v>
      </c>
      <c r="V273" t="s">
        <v>13232</v>
      </c>
      <c r="W273" t="s">
        <v>13499</v>
      </c>
      <c r="X273">
        <v>2</v>
      </c>
      <c r="Y273" t="s">
        <v>20038</v>
      </c>
      <c r="Z273" t="s">
        <v>26404</v>
      </c>
      <c r="AA273">
        <v>0.81730879106863952</v>
      </c>
      <c r="AB273" t="str">
        <f>HYPERLINK("Melting_Curves/meltCurve_C9JE12_TMUB1.pdf", "Melting_Curves/meltCurve_C9JE12_TMUB1.pdf")</f>
        <v>Melting_Curves/meltCurve_C9JE12_TMUB1.pdf</v>
      </c>
    </row>
    <row r="274" spans="1:28" x14ac:dyDescent="0.25">
      <c r="A274" t="s">
        <v>278</v>
      </c>
      <c r="B274">
        <v>0.99930955844802105</v>
      </c>
      <c r="C274">
        <v>1.0371848269384001</v>
      </c>
      <c r="D274">
        <v>1.0261134716806699</v>
      </c>
      <c r="E274">
        <v>0.92981848833080105</v>
      </c>
      <c r="F274">
        <v>0.865556864696027</v>
      </c>
      <c r="G274">
        <v>0.68131700995219302</v>
      </c>
      <c r="H274">
        <v>0.58540464775204903</v>
      </c>
      <c r="I274">
        <v>0.66706010129010296</v>
      </c>
      <c r="J274">
        <v>0.65824356190648903</v>
      </c>
      <c r="K274">
        <v>0.51966961081266605</v>
      </c>
      <c r="L274">
        <v>1350.4058286274301</v>
      </c>
      <c r="M274">
        <v>24.956675182322702</v>
      </c>
      <c r="O274">
        <v>53.7661723826835</v>
      </c>
      <c r="P274">
        <v>-4.6584363904335097E-2</v>
      </c>
      <c r="Q274">
        <v>0.59856366980585896</v>
      </c>
      <c r="R274">
        <v>0.94844406741621301</v>
      </c>
      <c r="S274" t="s">
        <v>6891</v>
      </c>
      <c r="T274" t="s">
        <v>13232</v>
      </c>
      <c r="U274" t="s">
        <v>13232</v>
      </c>
      <c r="V274" t="s">
        <v>13232</v>
      </c>
      <c r="W274" t="s">
        <v>13500</v>
      </c>
      <c r="X274">
        <v>46</v>
      </c>
      <c r="Y274" t="s">
        <v>20039</v>
      </c>
      <c r="Z274" t="s">
        <v>26405</v>
      </c>
      <c r="AA274">
        <v>0.79110012101202687</v>
      </c>
      <c r="AB274" t="str">
        <f>HYPERLINK("Melting_Curves/meltCurve_C9JE98_NCOR2.pdf", "Melting_Curves/meltCurve_C9JE98_NCOR2.pdf")</f>
        <v>Melting_Curves/meltCurve_C9JE98_NCOR2.pdf</v>
      </c>
    </row>
    <row r="275" spans="1:28" x14ac:dyDescent="0.25">
      <c r="A275" t="s">
        <v>279</v>
      </c>
      <c r="B275">
        <v>0.99930955844802105</v>
      </c>
      <c r="C275">
        <v>0.770821451398367</v>
      </c>
      <c r="D275">
        <v>0.81806733879827498</v>
      </c>
      <c r="E275">
        <v>0.84704810344637504</v>
      </c>
      <c r="F275">
        <v>0.86969369272876895</v>
      </c>
      <c r="G275">
        <v>0.44090507706457199</v>
      </c>
      <c r="H275">
        <v>0.14691170481111701</v>
      </c>
      <c r="I275">
        <v>0.12332541641330599</v>
      </c>
      <c r="J275">
        <v>0.10493979652508</v>
      </c>
      <c r="K275">
        <v>7.9987127059068006E-2</v>
      </c>
      <c r="L275">
        <v>1256.77463677025</v>
      </c>
      <c r="M275">
        <v>22.424984480701099</v>
      </c>
      <c r="N275">
        <v>56.376606596113803</v>
      </c>
      <c r="O275">
        <v>55.603541412029301</v>
      </c>
      <c r="P275">
        <v>-9.4571498851706098E-2</v>
      </c>
      <c r="Q275">
        <v>6.2045918508349403E-2</v>
      </c>
      <c r="R275">
        <v>0.92226738594455004</v>
      </c>
      <c r="S275" t="s">
        <v>6892</v>
      </c>
      <c r="T275" t="s">
        <v>13232</v>
      </c>
      <c r="U275" t="s">
        <v>13232</v>
      </c>
      <c r="V275" t="s">
        <v>13232</v>
      </c>
      <c r="W275" t="s">
        <v>13501</v>
      </c>
      <c r="X275">
        <v>25</v>
      </c>
      <c r="Y275" t="s">
        <v>20040</v>
      </c>
      <c r="Z275" t="s">
        <v>26406</v>
      </c>
      <c r="AA275">
        <v>0.57387802035479329</v>
      </c>
      <c r="AB275" t="str">
        <f>HYPERLINK("Melting_Curves/meltCurve_C9JFE4_GPS1.pdf", "Melting_Curves/meltCurve_C9JFE4_GPS1.pdf")</f>
        <v>Melting_Curves/meltCurve_C9JFE4_GPS1.pdf</v>
      </c>
    </row>
    <row r="276" spans="1:28" x14ac:dyDescent="0.25">
      <c r="A276" t="s">
        <v>280</v>
      </c>
      <c r="B276">
        <v>0.99930955844802105</v>
      </c>
      <c r="C276">
        <v>1.0407138427418801</v>
      </c>
      <c r="D276">
        <v>0.885804693236381</v>
      </c>
      <c r="E276">
        <v>0.74199428132075995</v>
      </c>
      <c r="F276">
        <v>0.97463222330781296</v>
      </c>
      <c r="G276">
        <v>0.63367112895787703</v>
      </c>
      <c r="H276">
        <v>0.78265105355512499</v>
      </c>
      <c r="I276">
        <v>1.1838241881687701</v>
      </c>
      <c r="J276">
        <v>1.1954580167987701</v>
      </c>
      <c r="K276">
        <v>0.86347776008479404</v>
      </c>
      <c r="L276">
        <v>11114.2301052368</v>
      </c>
      <c r="M276">
        <v>250</v>
      </c>
      <c r="O276">
        <v>44.454075455470097</v>
      </c>
      <c r="P276">
        <v>-0.12978598261607299</v>
      </c>
      <c r="Q276">
        <v>0.90768774624353799</v>
      </c>
      <c r="R276">
        <v>6.3511675393136097E-2</v>
      </c>
      <c r="S276" t="s">
        <v>6893</v>
      </c>
      <c r="T276" t="s">
        <v>13232</v>
      </c>
      <c r="U276" t="s">
        <v>13232</v>
      </c>
      <c r="V276" t="s">
        <v>13232</v>
      </c>
      <c r="W276" t="s">
        <v>13502</v>
      </c>
      <c r="X276">
        <v>15</v>
      </c>
      <c r="Y276" t="s">
        <v>20041</v>
      </c>
      <c r="Z276" t="s">
        <v>26407</v>
      </c>
      <c r="AA276">
        <v>0.92140922751902954</v>
      </c>
      <c r="AB276" t="str">
        <f>HYPERLINK("Melting_Curves/meltCurve_C9JFK9_BAG3.pdf", "Melting_Curves/meltCurve_C9JFK9_BAG3.pdf")</f>
        <v>Melting_Curves/meltCurve_C9JFK9_BAG3.pdf</v>
      </c>
    </row>
    <row r="277" spans="1:28" x14ac:dyDescent="0.25">
      <c r="A277" t="s">
        <v>281</v>
      </c>
      <c r="B277">
        <v>0.99930955844802105</v>
      </c>
      <c r="C277">
        <v>1.64299708249996</v>
      </c>
      <c r="D277">
        <v>1.8540988754408501</v>
      </c>
      <c r="E277">
        <v>1.0600936269391701</v>
      </c>
      <c r="F277">
        <v>0.338380904137417</v>
      </c>
      <c r="G277">
        <v>0.40183127058422302</v>
      </c>
      <c r="H277">
        <v>0.115838984472953</v>
      </c>
      <c r="I277">
        <v>8.2220753228001001E-2</v>
      </c>
      <c r="J277">
        <v>4.7529165457667999E-2</v>
      </c>
      <c r="K277">
        <v>6.8429895066870902E-2</v>
      </c>
      <c r="L277">
        <v>13185.307854302901</v>
      </c>
      <c r="M277">
        <v>250</v>
      </c>
      <c r="N277">
        <v>52.812494952916502</v>
      </c>
      <c r="O277">
        <v>52.737856348366698</v>
      </c>
      <c r="P277">
        <v>-1.01543523448633</v>
      </c>
      <c r="Q277">
        <v>0.143169960892985</v>
      </c>
      <c r="R277">
        <v>0.70598550750579903</v>
      </c>
      <c r="S277" t="s">
        <v>6894</v>
      </c>
      <c r="T277" t="s">
        <v>13232</v>
      </c>
      <c r="U277" t="s">
        <v>13232</v>
      </c>
      <c r="V277" t="s">
        <v>13232</v>
      </c>
      <c r="W277" t="s">
        <v>13503</v>
      </c>
      <c r="X277">
        <v>1</v>
      </c>
      <c r="Y277" t="s">
        <v>20042</v>
      </c>
      <c r="Z277" t="s">
        <v>26408</v>
      </c>
      <c r="AA277">
        <v>0.50715159623196848</v>
      </c>
      <c r="AB277" t="str">
        <f>HYPERLINK("Melting_Curves/meltCurve_C9JFL5_ACTG2.pdf", "Melting_Curves/meltCurve_C9JFL5_ACTG2.pdf")</f>
        <v>Melting_Curves/meltCurve_C9JFL5_ACTG2.pdf</v>
      </c>
    </row>
    <row r="278" spans="1:28" x14ac:dyDescent="0.25">
      <c r="A278" t="s">
        <v>282</v>
      </c>
      <c r="B278">
        <v>0.99930955844802105</v>
      </c>
      <c r="C278">
        <v>0.93517868867501797</v>
      </c>
      <c r="D278">
        <v>0.88094305105973603</v>
      </c>
      <c r="E278">
        <v>0.89196730304794103</v>
      </c>
      <c r="F278">
        <v>0.65664621431571202</v>
      </c>
      <c r="G278">
        <v>0.41149363858253801</v>
      </c>
      <c r="H278">
        <v>0.28526134306249101</v>
      </c>
      <c r="I278">
        <v>0.24819895358406899</v>
      </c>
      <c r="J278">
        <v>0.21277786027027101</v>
      </c>
      <c r="K278">
        <v>0.16334330430964999</v>
      </c>
      <c r="L278">
        <v>844.25550461359796</v>
      </c>
      <c r="M278">
        <v>15.5145535324582</v>
      </c>
      <c r="N278">
        <v>55.749387223086998</v>
      </c>
      <c r="O278">
        <v>53.5369691603075</v>
      </c>
      <c r="P278">
        <v>-6.12306818674207E-2</v>
      </c>
      <c r="Q278">
        <v>0.154905750618063</v>
      </c>
      <c r="R278">
        <v>0.98701373896714495</v>
      </c>
      <c r="S278" t="s">
        <v>6895</v>
      </c>
      <c r="T278" t="s">
        <v>13232</v>
      </c>
      <c r="U278" t="s">
        <v>13232</v>
      </c>
      <c r="V278" t="s">
        <v>13232</v>
      </c>
      <c r="W278" t="s">
        <v>13504</v>
      </c>
      <c r="X278">
        <v>4</v>
      </c>
      <c r="Y278" t="s">
        <v>20043</v>
      </c>
      <c r="Z278" t="s">
        <v>26409</v>
      </c>
      <c r="AA278">
        <v>0.57729279819641544</v>
      </c>
      <c r="AB278" t="str">
        <f>HYPERLINK("Melting_Curves/meltCurve_C9JFM5_STX4.pdf", "Melting_Curves/meltCurve_C9JFM5_STX4.pdf")</f>
        <v>Melting_Curves/meltCurve_C9JFM5_STX4.pdf</v>
      </c>
    </row>
    <row r="279" spans="1:28" x14ac:dyDescent="0.25">
      <c r="A279" t="s">
        <v>283</v>
      </c>
      <c r="B279">
        <v>0.99930955844802105</v>
      </c>
      <c r="C279">
        <v>1.1422085630163601</v>
      </c>
      <c r="D279">
        <v>1.22107891820353</v>
      </c>
      <c r="E279">
        <v>1.1568755419074399</v>
      </c>
      <c r="F279">
        <v>1.0012472949600899</v>
      </c>
      <c r="G279">
        <v>1.1835968176387399</v>
      </c>
      <c r="H279">
        <v>1.02738798414948</v>
      </c>
      <c r="I279">
        <v>0.95661629738320297</v>
      </c>
      <c r="J279">
        <v>1.0628498083065301</v>
      </c>
      <c r="K279">
        <v>0.79415703927675896</v>
      </c>
      <c r="L279">
        <v>15000</v>
      </c>
      <c r="M279">
        <v>212.935505104051</v>
      </c>
      <c r="Q279">
        <v>0</v>
      </c>
      <c r="R279">
        <v>8.6138499234227603E-2</v>
      </c>
      <c r="S279" t="s">
        <v>6896</v>
      </c>
      <c r="T279" t="s">
        <v>13232</v>
      </c>
      <c r="U279" t="s">
        <v>13232</v>
      </c>
      <c r="V279" t="s">
        <v>13232</v>
      </c>
      <c r="W279" t="s">
        <v>13505</v>
      </c>
      <c r="X279">
        <v>14</v>
      </c>
      <c r="Y279" t="s">
        <v>20044</v>
      </c>
      <c r="Z279" t="s">
        <v>26410</v>
      </c>
      <c r="AA279">
        <v>0.99751494179069899</v>
      </c>
      <c r="AB279" t="str">
        <f>HYPERLINK("Melting_Curves/meltCurve_C9JFR7_CYCS.pdf", "Melting_Curves/meltCurve_C9JFR7_CYCS.pdf")</f>
        <v>Melting_Curves/meltCurve_C9JFR7_CYCS.pdf</v>
      </c>
    </row>
    <row r="280" spans="1:28" x14ac:dyDescent="0.25">
      <c r="A280" t="s">
        <v>284</v>
      </c>
      <c r="B280">
        <v>0.99930955844802105</v>
      </c>
      <c r="C280">
        <v>1.14399222403199</v>
      </c>
      <c r="D280">
        <v>1.0446872140416801</v>
      </c>
      <c r="E280">
        <v>1.0997828986396201</v>
      </c>
      <c r="F280">
        <v>1.2018642220095599</v>
      </c>
      <c r="G280">
        <v>1.12024245075355</v>
      </c>
      <c r="H280">
        <v>1.4624521318863499</v>
      </c>
      <c r="I280">
        <v>1.7683523593714101</v>
      </c>
      <c r="J280">
        <v>1.80641721297555</v>
      </c>
      <c r="K280">
        <v>1.37646163073131</v>
      </c>
      <c r="L280">
        <v>3711.2068720868301</v>
      </c>
      <c r="M280">
        <v>63.9899038177359</v>
      </c>
      <c r="O280">
        <v>57.940193300267602</v>
      </c>
      <c r="P280">
        <v>0.13805167129260301</v>
      </c>
      <c r="Q280">
        <v>1.5</v>
      </c>
      <c r="R280">
        <v>0.66864149233609405</v>
      </c>
      <c r="S280" t="s">
        <v>6897</v>
      </c>
      <c r="T280" t="s">
        <v>13232</v>
      </c>
      <c r="U280" t="s">
        <v>13232</v>
      </c>
      <c r="V280" t="s">
        <v>13232</v>
      </c>
      <c r="W280" t="s">
        <v>13506</v>
      </c>
      <c r="X280">
        <v>4</v>
      </c>
      <c r="Y280" t="s">
        <v>20045</v>
      </c>
      <c r="Z280" t="s">
        <v>26411</v>
      </c>
      <c r="AA280">
        <v>1.199275190694403</v>
      </c>
      <c r="AB280" t="str">
        <f>HYPERLINK("Melting_Curves/meltCurve_C9JG15_ATAD2B.pdf", "Melting_Curves/meltCurve_C9JG15_ATAD2B.pdf")</f>
        <v>Melting_Curves/meltCurve_C9JG15_ATAD2B.pdf</v>
      </c>
    </row>
    <row r="281" spans="1:28" x14ac:dyDescent="0.25">
      <c r="A281" t="s">
        <v>285</v>
      </c>
      <c r="B281">
        <v>0.99930955844802105</v>
      </c>
      <c r="C281">
        <v>0.99632377670081895</v>
      </c>
      <c r="D281">
        <v>0.93836820807420496</v>
      </c>
      <c r="E281">
        <v>0.86286937415192699</v>
      </c>
      <c r="F281">
        <v>0.72514892440385703</v>
      </c>
      <c r="G281">
        <v>0.56977717674817097</v>
      </c>
      <c r="H281">
        <v>0.27703944492571198</v>
      </c>
      <c r="I281">
        <v>0.13923262933892699</v>
      </c>
      <c r="J281">
        <v>0.109623616556593</v>
      </c>
      <c r="K281">
        <v>8.3209855921524203E-2</v>
      </c>
      <c r="L281">
        <v>799.21395853108902</v>
      </c>
      <c r="M281">
        <v>13.9923230368377</v>
      </c>
      <c r="N281">
        <v>57.118032265379</v>
      </c>
      <c r="O281">
        <v>55.989318637627399</v>
      </c>
      <c r="P281">
        <v>-6.2485930409488702E-2</v>
      </c>
      <c r="Q281">
        <v>0</v>
      </c>
      <c r="R281">
        <v>0.99418144867344005</v>
      </c>
      <c r="S281" t="s">
        <v>6898</v>
      </c>
      <c r="T281" t="s">
        <v>13232</v>
      </c>
      <c r="U281" t="s">
        <v>13232</v>
      </c>
      <c r="V281" t="s">
        <v>13232</v>
      </c>
      <c r="W281" t="s">
        <v>13507</v>
      </c>
      <c r="X281">
        <v>11</v>
      </c>
      <c r="Y281" t="s">
        <v>20046</v>
      </c>
      <c r="Z281" t="s">
        <v>26412</v>
      </c>
      <c r="AA281">
        <v>0.58665032181778842</v>
      </c>
      <c r="AB281" t="str">
        <f>HYPERLINK("Melting_Curves/meltCurve_C9JG97_AAMP.pdf", "Melting_Curves/meltCurve_C9JG97_AAMP.pdf")</f>
        <v>Melting_Curves/meltCurve_C9JG97_AAMP.pdf</v>
      </c>
    </row>
    <row r="282" spans="1:28" x14ac:dyDescent="0.25">
      <c r="A282" t="s">
        <v>286</v>
      </c>
      <c r="B282">
        <v>0.99930955844802105</v>
      </c>
      <c r="C282">
        <v>0.83786245103462198</v>
      </c>
      <c r="D282">
        <v>0.90657041227121604</v>
      </c>
      <c r="E282">
        <v>0.76904884093547099</v>
      </c>
      <c r="F282">
        <v>0.50187801594829695</v>
      </c>
      <c r="G282">
        <v>0.48600515910542702</v>
      </c>
      <c r="H282">
        <v>0.36973938381792498</v>
      </c>
      <c r="I282">
        <v>0.42685906026227899</v>
      </c>
      <c r="J282">
        <v>0.35905944677853102</v>
      </c>
      <c r="K282">
        <v>0.28790270254793598</v>
      </c>
      <c r="L282">
        <v>603.18457602659203</v>
      </c>
      <c r="M282">
        <v>11.749283519772201</v>
      </c>
      <c r="N282">
        <v>55.7266890162389</v>
      </c>
      <c r="O282">
        <v>49.918489639957599</v>
      </c>
      <c r="P282">
        <v>-4.1094799553340701E-2</v>
      </c>
      <c r="Q282">
        <v>0.301794432035842</v>
      </c>
      <c r="R282">
        <v>0.947994774300145</v>
      </c>
      <c r="S282" t="s">
        <v>6899</v>
      </c>
      <c r="T282" t="s">
        <v>13232</v>
      </c>
      <c r="U282" t="s">
        <v>13232</v>
      </c>
      <c r="V282" t="s">
        <v>13232</v>
      </c>
      <c r="W282" t="s">
        <v>13508</v>
      </c>
      <c r="X282">
        <v>11</v>
      </c>
      <c r="Y282" t="s">
        <v>20047</v>
      </c>
      <c r="Z282" t="s">
        <v>26413</v>
      </c>
      <c r="AA282">
        <v>0.58862662124804899</v>
      </c>
      <c r="AB282" t="str">
        <f>HYPERLINK("Melting_Curves/meltCurve_C9JHL4_NELFA.pdf", "Melting_Curves/meltCurve_C9JHL4_NELFA.pdf")</f>
        <v>Melting_Curves/meltCurve_C9JHL4_NELFA.pdf</v>
      </c>
    </row>
    <row r="283" spans="1:28" x14ac:dyDescent="0.25">
      <c r="A283" t="s">
        <v>287</v>
      </c>
      <c r="B283">
        <v>0.99930955844802105</v>
      </c>
      <c r="C283">
        <v>1.1320195532970101</v>
      </c>
      <c r="D283">
        <v>1.0070154023590401</v>
      </c>
      <c r="E283">
        <v>0.78393411535509705</v>
      </c>
      <c r="F283">
        <v>0.59732874681709403</v>
      </c>
      <c r="G283">
        <v>0.40358642870492301</v>
      </c>
      <c r="H283">
        <v>0.283270688940503</v>
      </c>
      <c r="I283">
        <v>0.222696046839651</v>
      </c>
      <c r="J283">
        <v>0.20010786304029199</v>
      </c>
      <c r="K283">
        <v>0.14047051030385699</v>
      </c>
      <c r="L283">
        <v>930.56006387631999</v>
      </c>
      <c r="M283">
        <v>17.378090536096401</v>
      </c>
      <c r="N283">
        <v>54.842010588698201</v>
      </c>
      <c r="O283">
        <v>52.8539099979117</v>
      </c>
      <c r="P283">
        <v>-6.8376845948610904E-2</v>
      </c>
      <c r="Q283">
        <v>0.16819886458445801</v>
      </c>
      <c r="R283">
        <v>0.97864659553822697</v>
      </c>
      <c r="S283" t="s">
        <v>6900</v>
      </c>
      <c r="T283" t="s">
        <v>13232</v>
      </c>
      <c r="U283" t="s">
        <v>13232</v>
      </c>
      <c r="V283" t="s">
        <v>13232</v>
      </c>
      <c r="W283" t="s">
        <v>13509</v>
      </c>
      <c r="X283">
        <v>5</v>
      </c>
      <c r="Y283" t="s">
        <v>20048</v>
      </c>
      <c r="Z283" t="s">
        <v>26414</v>
      </c>
      <c r="AA283">
        <v>0.55803832263856712</v>
      </c>
      <c r="AB283" t="str">
        <f>HYPERLINK("Melting_Curves/meltCurve_C9JIE5_EP400NL.pdf", "Melting_Curves/meltCurve_C9JIE5_EP400NL.pdf")</f>
        <v>Melting_Curves/meltCurve_C9JIE5_EP400NL.pdf</v>
      </c>
    </row>
    <row r="284" spans="1:28" x14ac:dyDescent="0.25">
      <c r="A284" t="s">
        <v>288</v>
      </c>
      <c r="B284">
        <v>0.99930955844802105</v>
      </c>
      <c r="C284">
        <v>0.658247461481973</v>
      </c>
      <c r="D284">
        <v>0.53294894776662405</v>
      </c>
      <c r="E284">
        <v>0.597759997406763</v>
      </c>
      <c r="F284">
        <v>0.26289577387452101</v>
      </c>
      <c r="G284">
        <v>0.13296612063367</v>
      </c>
      <c r="H284">
        <v>7.0512513131694404E-2</v>
      </c>
      <c r="I284">
        <v>6.9441798482368602E-2</v>
      </c>
      <c r="J284">
        <v>5.9683933748370097E-2</v>
      </c>
      <c r="K284">
        <v>4.7566007749796697E-2</v>
      </c>
      <c r="L284">
        <v>475.61774652757498</v>
      </c>
      <c r="M284">
        <v>9.8669136275248608</v>
      </c>
      <c r="N284">
        <v>48.203295204175298</v>
      </c>
      <c r="O284">
        <v>46.348548595788202</v>
      </c>
      <c r="P284">
        <v>-5.3248510986275303E-2</v>
      </c>
      <c r="Q284">
        <v>0</v>
      </c>
      <c r="R284">
        <v>0.92741252923876105</v>
      </c>
      <c r="S284" t="s">
        <v>6901</v>
      </c>
      <c r="T284" t="s">
        <v>13232</v>
      </c>
      <c r="U284" t="s">
        <v>13232</v>
      </c>
      <c r="V284" t="s">
        <v>13232</v>
      </c>
      <c r="W284" t="s">
        <v>13510</v>
      </c>
      <c r="X284">
        <v>4</v>
      </c>
      <c r="Y284" t="s">
        <v>20049</v>
      </c>
      <c r="Z284" t="s">
        <v>26415</v>
      </c>
      <c r="AA284">
        <v>0.32664208394561478</v>
      </c>
      <c r="AB284" t="str">
        <f>HYPERLINK("Melting_Curves/meltCurve_C9JIS1_GNB2.pdf", "Melting_Curves/meltCurve_C9JIS1_GNB2.pdf")</f>
        <v>Melting_Curves/meltCurve_C9JIS1_GNB2.pdf</v>
      </c>
    </row>
    <row r="285" spans="1:28" x14ac:dyDescent="0.25">
      <c r="A285" t="s">
        <v>289</v>
      </c>
      <c r="B285">
        <v>0.99930955844802105</v>
      </c>
      <c r="C285">
        <v>0.58764331177705598</v>
      </c>
      <c r="D285">
        <v>0.41742224826120999</v>
      </c>
      <c r="E285">
        <v>0.81077176935211703</v>
      </c>
      <c r="F285">
        <v>0.330613351755074</v>
      </c>
      <c r="G285">
        <v>0.11022503999194901</v>
      </c>
      <c r="H285">
        <v>3.9662735567839003E-2</v>
      </c>
      <c r="I285">
        <v>2.52718182014719E-2</v>
      </c>
      <c r="J285">
        <v>2.9946797845306301E-2</v>
      </c>
      <c r="K285">
        <v>2.8295062252047198E-2</v>
      </c>
      <c r="L285">
        <v>444.01489162113199</v>
      </c>
      <c r="M285">
        <v>9.1827365070748197</v>
      </c>
      <c r="N285">
        <v>48.353221768942603</v>
      </c>
      <c r="O285">
        <v>46.225786518556497</v>
      </c>
      <c r="P285">
        <v>-4.9695834662497801E-2</v>
      </c>
      <c r="Q285">
        <v>0</v>
      </c>
      <c r="R285">
        <v>0.776715367448502</v>
      </c>
      <c r="S285" t="s">
        <v>6902</v>
      </c>
      <c r="T285" t="s">
        <v>13232</v>
      </c>
      <c r="U285" t="s">
        <v>13232</v>
      </c>
      <c r="V285" t="s">
        <v>13232</v>
      </c>
      <c r="W285" t="s">
        <v>13511</v>
      </c>
      <c r="X285">
        <v>1</v>
      </c>
      <c r="Y285" t="s">
        <v>20050</v>
      </c>
      <c r="Z285" t="s">
        <v>26416</v>
      </c>
      <c r="AA285">
        <v>0.33684619473550048</v>
      </c>
      <c r="AB285" t="str">
        <f>HYPERLINK("Melting_Curves/meltCurve_C9JJV6_MYADM.pdf", "Melting_Curves/meltCurve_C9JJV6_MYADM.pdf")</f>
        <v>Melting_Curves/meltCurve_C9JJV6_MYADM.pdf</v>
      </c>
    </row>
    <row r="286" spans="1:28" x14ac:dyDescent="0.25">
      <c r="A286" t="s">
        <v>290</v>
      </c>
      <c r="B286">
        <v>0.99930955844802105</v>
      </c>
      <c r="C286">
        <v>0.89507690072732504</v>
      </c>
      <c r="D286">
        <v>0.87301400399081597</v>
      </c>
      <c r="E286">
        <v>0.828022516193888</v>
      </c>
      <c r="F286">
        <v>0.542312185348508</v>
      </c>
      <c r="G286">
        <v>0.30627077961754501</v>
      </c>
      <c r="H286">
        <v>0.18362442548977001</v>
      </c>
      <c r="I286">
        <v>0.16132981884668901</v>
      </c>
      <c r="J286">
        <v>0.141661801831099</v>
      </c>
      <c r="K286">
        <v>0.120962563712816</v>
      </c>
      <c r="L286">
        <v>866.89719098743001</v>
      </c>
      <c r="M286">
        <v>16.325820794608202</v>
      </c>
      <c r="N286">
        <v>53.844806826065799</v>
      </c>
      <c r="O286">
        <v>52.3222392293859</v>
      </c>
      <c r="P286">
        <v>-7.0124746068219904E-2</v>
      </c>
      <c r="Q286">
        <v>0.101100534813497</v>
      </c>
      <c r="R286">
        <v>0.98589547536408495</v>
      </c>
      <c r="S286" t="s">
        <v>6903</v>
      </c>
      <c r="T286" t="s">
        <v>13232</v>
      </c>
      <c r="U286" t="s">
        <v>13232</v>
      </c>
      <c r="V286" t="s">
        <v>13232</v>
      </c>
      <c r="W286" t="s">
        <v>13512</v>
      </c>
      <c r="X286">
        <v>6</v>
      </c>
      <c r="Y286" t="s">
        <v>20051</v>
      </c>
      <c r="Z286" t="s">
        <v>26417</v>
      </c>
      <c r="AA286">
        <v>0.51067843996199858</v>
      </c>
      <c r="AB286" t="str">
        <f>HYPERLINK("Melting_Curves/meltCurve_C9JLU1_POLR2H.pdf", "Melting_Curves/meltCurve_C9JLU1_POLR2H.pdf")</f>
        <v>Melting_Curves/meltCurve_C9JLU1_POLR2H.pdf</v>
      </c>
    </row>
    <row r="287" spans="1:28" x14ac:dyDescent="0.25">
      <c r="A287" t="s">
        <v>291</v>
      </c>
      <c r="B287">
        <v>0.99930955844802105</v>
      </c>
      <c r="C287">
        <v>0.83559413103739999</v>
      </c>
      <c r="D287">
        <v>0.756945085137117</v>
      </c>
      <c r="E287">
        <v>0.62737225874975899</v>
      </c>
      <c r="F287">
        <v>0.42723811877802897</v>
      </c>
      <c r="G287">
        <v>0.243707138646788</v>
      </c>
      <c r="H287">
        <v>0.131746442565673</v>
      </c>
      <c r="I287">
        <v>0.14562528797461</v>
      </c>
      <c r="J287">
        <v>0.102223548499071</v>
      </c>
      <c r="K287">
        <v>0.106834718314505</v>
      </c>
      <c r="L287">
        <v>561.26857703187</v>
      </c>
      <c r="M287">
        <v>10.996100817308699</v>
      </c>
      <c r="N287">
        <v>51.396486355671598</v>
      </c>
      <c r="O287">
        <v>49.441525234554398</v>
      </c>
      <c r="P287">
        <v>-5.3591989136884302E-2</v>
      </c>
      <c r="Q287">
        <v>3.6467764324812198E-2</v>
      </c>
      <c r="R287">
        <v>0.98873773292131795</v>
      </c>
      <c r="S287" t="s">
        <v>6904</v>
      </c>
      <c r="T287" t="s">
        <v>13232</v>
      </c>
      <c r="U287" t="s">
        <v>13232</v>
      </c>
      <c r="V287" t="s">
        <v>13232</v>
      </c>
      <c r="W287" t="s">
        <v>13513</v>
      </c>
      <c r="X287">
        <v>3</v>
      </c>
      <c r="Y287" t="s">
        <v>20052</v>
      </c>
      <c r="Z287" t="s">
        <v>26418</v>
      </c>
      <c r="AA287">
        <v>0.42648351077904639</v>
      </c>
      <c r="AB287" t="str">
        <f>HYPERLINK("Melting_Curves/meltCurve_C9JMG3_AP4M1.pdf", "Melting_Curves/meltCurve_C9JMG3_AP4M1.pdf")</f>
        <v>Melting_Curves/meltCurve_C9JMG3_AP4M1.pdf</v>
      </c>
    </row>
    <row r="288" spans="1:28" x14ac:dyDescent="0.25">
      <c r="A288" t="s">
        <v>292</v>
      </c>
      <c r="B288">
        <v>0.99930955844802105</v>
      </c>
      <c r="C288">
        <v>1.04081167420112</v>
      </c>
      <c r="D288">
        <v>0.78813181588603198</v>
      </c>
      <c r="E288">
        <v>0.29213357648896798</v>
      </c>
      <c r="F288">
        <v>0.177650469637952</v>
      </c>
      <c r="G288">
        <v>0.12537730615147399</v>
      </c>
      <c r="H288">
        <v>8.2069874950516805E-2</v>
      </c>
      <c r="I288">
        <v>8.5337728285241304E-2</v>
      </c>
      <c r="J288">
        <v>7.6954039197755605E-2</v>
      </c>
      <c r="K288">
        <v>6.3227967598973298E-2</v>
      </c>
      <c r="L288">
        <v>1410.59103797741</v>
      </c>
      <c r="M288">
        <v>29.392133605896301</v>
      </c>
      <c r="N288">
        <v>48.314684064450603</v>
      </c>
      <c r="O288">
        <v>47.771615921825799</v>
      </c>
      <c r="P288">
        <v>-0.14011405966472701</v>
      </c>
      <c r="Q288">
        <v>8.9085838265793693E-2</v>
      </c>
      <c r="R288">
        <v>0.99468191985249199</v>
      </c>
      <c r="S288" t="s">
        <v>6905</v>
      </c>
      <c r="T288" t="s">
        <v>13232</v>
      </c>
      <c r="U288" t="s">
        <v>13232</v>
      </c>
      <c r="V288" t="s">
        <v>13232</v>
      </c>
      <c r="W288" t="s">
        <v>13514</v>
      </c>
      <c r="X288">
        <v>7</v>
      </c>
      <c r="Y288" t="s">
        <v>20053</v>
      </c>
      <c r="Z288" t="s">
        <v>26419</v>
      </c>
      <c r="AA288">
        <v>0.33747913143820779</v>
      </c>
      <c r="AB288" t="str">
        <f>HYPERLINK("Melting_Curves/meltCurve_C9JNE2_OARD1.pdf", "Melting_Curves/meltCurve_C9JNE2_OARD1.pdf")</f>
        <v>Melting_Curves/meltCurve_C9JNE2_OARD1.pdf</v>
      </c>
    </row>
    <row r="289" spans="1:28" x14ac:dyDescent="0.25">
      <c r="A289" t="s">
        <v>293</v>
      </c>
      <c r="B289">
        <v>0.99930955844802105</v>
      </c>
      <c r="C289">
        <v>1.14363823007846</v>
      </c>
      <c r="D289">
        <v>0.950471574533995</v>
      </c>
      <c r="E289">
        <v>1.11306418917549</v>
      </c>
      <c r="F289">
        <v>0.88733684625087605</v>
      </c>
      <c r="G289">
        <v>0.484972252307936</v>
      </c>
      <c r="H289">
        <v>0.38788024998266402</v>
      </c>
      <c r="I289">
        <v>0.42798167337353499</v>
      </c>
      <c r="J289">
        <v>0.350808917233083</v>
      </c>
      <c r="K289">
        <v>0.32756600626333199</v>
      </c>
      <c r="L289">
        <v>2478.0712395321798</v>
      </c>
      <c r="M289">
        <v>45.044795601054801</v>
      </c>
      <c r="N289">
        <v>56.729423062050202</v>
      </c>
      <c r="O289">
        <v>54.905388810573001</v>
      </c>
      <c r="P289">
        <v>-0.12880610855138899</v>
      </c>
      <c r="Q289">
        <v>0.37199046174199502</v>
      </c>
      <c r="R289">
        <v>0.95811095876323005</v>
      </c>
      <c r="S289" t="s">
        <v>6906</v>
      </c>
      <c r="T289" t="s">
        <v>13232</v>
      </c>
      <c r="U289" t="s">
        <v>13232</v>
      </c>
      <c r="V289" t="s">
        <v>13232</v>
      </c>
      <c r="W289" t="s">
        <v>13515</v>
      </c>
      <c r="X289">
        <v>9</v>
      </c>
      <c r="Y289" t="s">
        <v>20054</v>
      </c>
      <c r="Z289" t="s">
        <v>26420</v>
      </c>
      <c r="AA289">
        <v>0.6881548677686159</v>
      </c>
      <c r="AB289" t="str">
        <f>HYPERLINK("Melting_Curves/meltCurve_C9JNI7_HSPBP1.pdf", "Melting_Curves/meltCurve_C9JNI7_HSPBP1.pdf")</f>
        <v>Melting_Curves/meltCurve_C9JNI7_HSPBP1.pdf</v>
      </c>
    </row>
    <row r="290" spans="1:28" x14ac:dyDescent="0.25">
      <c r="A290" t="s">
        <v>294</v>
      </c>
      <c r="B290">
        <v>0.99930955844802105</v>
      </c>
      <c r="C290">
        <v>0.98577769384632297</v>
      </c>
      <c r="D290">
        <v>0.88701735482209898</v>
      </c>
      <c r="E290">
        <v>0.81854519461013797</v>
      </c>
      <c r="F290">
        <v>0.83057634297799598</v>
      </c>
      <c r="G290">
        <v>0.6293530564009</v>
      </c>
      <c r="H290">
        <v>0.24557231670708601</v>
      </c>
      <c r="I290">
        <v>0.56379371145796997</v>
      </c>
      <c r="J290">
        <v>0.11735312398974899</v>
      </c>
      <c r="K290">
        <v>9.2175686677353305E-2</v>
      </c>
      <c r="L290">
        <v>632.44341013059602</v>
      </c>
      <c r="M290">
        <v>10.7215307670453</v>
      </c>
      <c r="N290">
        <v>58.988142264675702</v>
      </c>
      <c r="O290">
        <v>57.047149887227597</v>
      </c>
      <c r="P290">
        <v>-4.7002887904574797E-2</v>
      </c>
      <c r="Q290">
        <v>0</v>
      </c>
      <c r="R290">
        <v>0.88882962813025601</v>
      </c>
      <c r="S290" t="s">
        <v>6907</v>
      </c>
      <c r="T290" t="s">
        <v>13232</v>
      </c>
      <c r="U290" t="s">
        <v>13232</v>
      </c>
      <c r="V290" t="s">
        <v>13232</v>
      </c>
      <c r="W290" t="s">
        <v>13516</v>
      </c>
      <c r="X290">
        <v>3</v>
      </c>
      <c r="Y290" t="s">
        <v>20055</v>
      </c>
      <c r="Z290" t="s">
        <v>26421</v>
      </c>
      <c r="AA290">
        <v>0.63837785508437406</v>
      </c>
      <c r="AB290" t="str">
        <f>HYPERLINK("Melting_Curves/meltCurve_C9JNZ9_ZNF746.pdf", "Melting_Curves/meltCurve_C9JNZ9_ZNF746.pdf")</f>
        <v>Melting_Curves/meltCurve_C9JNZ9_ZNF746.pdf</v>
      </c>
    </row>
    <row r="291" spans="1:28" x14ac:dyDescent="0.25">
      <c r="A291" t="s">
        <v>295</v>
      </c>
      <c r="B291">
        <v>0.99930955844802105</v>
      </c>
      <c r="C291">
        <v>1.0007003116583399</v>
      </c>
      <c r="D291">
        <v>0.97153144614192599</v>
      </c>
      <c r="E291">
        <v>0.84184820128764903</v>
      </c>
      <c r="F291">
        <v>0.59471017672994297</v>
      </c>
      <c r="G291">
        <v>0.40136024144029703</v>
      </c>
      <c r="H291">
        <v>0.306995684417532</v>
      </c>
      <c r="I291">
        <v>0.28573527186497499</v>
      </c>
      <c r="J291">
        <v>0.28573942974496602</v>
      </c>
      <c r="K291">
        <v>0.22190441171737199</v>
      </c>
      <c r="L291">
        <v>1101.26967011794</v>
      </c>
      <c r="M291">
        <v>20.841846204269501</v>
      </c>
      <c r="N291">
        <v>54.729294167170998</v>
      </c>
      <c r="O291">
        <v>52.360123950018803</v>
      </c>
      <c r="P291">
        <v>-7.3983649151164899E-2</v>
      </c>
      <c r="Q291">
        <v>0.25655612503486702</v>
      </c>
      <c r="R291">
        <v>0.99692348054246804</v>
      </c>
      <c r="S291" t="s">
        <v>6908</v>
      </c>
      <c r="T291" t="s">
        <v>13232</v>
      </c>
      <c r="U291" t="s">
        <v>13232</v>
      </c>
      <c r="V291" t="s">
        <v>13232</v>
      </c>
      <c r="W291" t="s">
        <v>13517</v>
      </c>
      <c r="X291">
        <v>12</v>
      </c>
      <c r="Y291" t="s">
        <v>20056</v>
      </c>
      <c r="Z291" t="s">
        <v>26422</v>
      </c>
      <c r="AA291">
        <v>0.58426412553636131</v>
      </c>
      <c r="AB291" t="str">
        <f>HYPERLINK("Melting_Curves/meltCurve_C9JP00_MBNL1.pdf", "Melting_Curves/meltCurve_C9JP00_MBNL1.pdf")</f>
        <v>Melting_Curves/meltCurve_C9JP00_MBNL1.pdf</v>
      </c>
    </row>
    <row r="292" spans="1:28" x14ac:dyDescent="0.25">
      <c r="A292" t="s">
        <v>296</v>
      </c>
      <c r="B292">
        <v>0.99930955844802105</v>
      </c>
      <c r="C292">
        <v>0.96258270351294595</v>
      </c>
      <c r="D292">
        <v>0.96861052274483805</v>
      </c>
      <c r="E292">
        <v>0.991193006304535</v>
      </c>
      <c r="F292">
        <v>0.87610124570473102</v>
      </c>
      <c r="G292">
        <v>0.76073255650432903</v>
      </c>
      <c r="H292">
        <v>0.84560614575010995</v>
      </c>
      <c r="I292">
        <v>0.97759159200854495</v>
      </c>
      <c r="J292">
        <v>0.93463241870283698</v>
      </c>
      <c r="K292">
        <v>0.72876299736017303</v>
      </c>
      <c r="L292">
        <v>4111.6456381257303</v>
      </c>
      <c r="M292">
        <v>79.177385020617606</v>
      </c>
      <c r="O292">
        <v>51.896423866278198</v>
      </c>
      <c r="P292">
        <v>-5.7352706631015202E-2</v>
      </c>
      <c r="Q292">
        <v>0.84963376595239604</v>
      </c>
      <c r="R292">
        <v>0.43599468082041398</v>
      </c>
      <c r="S292" t="s">
        <v>6909</v>
      </c>
      <c r="T292" t="s">
        <v>13232</v>
      </c>
      <c r="U292" t="s">
        <v>13232</v>
      </c>
      <c r="V292" t="s">
        <v>13232</v>
      </c>
      <c r="W292" t="s">
        <v>13518</v>
      </c>
      <c r="X292">
        <v>5</v>
      </c>
      <c r="Y292" t="s">
        <v>20057</v>
      </c>
      <c r="Z292" t="s">
        <v>26423</v>
      </c>
      <c r="AA292">
        <v>0.90956402108372469</v>
      </c>
      <c r="AB292" t="str">
        <f>HYPERLINK("Melting_Curves/meltCurve_C9JPC9_USP42.pdf", "Melting_Curves/meltCurve_C9JPC9_USP42.pdf")</f>
        <v>Melting_Curves/meltCurve_C9JPC9_USP42.pdf</v>
      </c>
    </row>
    <row r="293" spans="1:28" x14ac:dyDescent="0.25">
      <c r="A293" t="s">
        <v>297</v>
      </c>
      <c r="B293">
        <v>0.99930955844802105</v>
      </c>
      <c r="C293">
        <v>0.86708345840452405</v>
      </c>
      <c r="D293">
        <v>0.63981951274725002</v>
      </c>
      <c r="E293">
        <v>0.34558269199526698</v>
      </c>
      <c r="F293">
        <v>0.232155752064063</v>
      </c>
      <c r="G293">
        <v>7.0982964550636504E-2</v>
      </c>
      <c r="H293">
        <v>0</v>
      </c>
      <c r="I293">
        <v>0</v>
      </c>
      <c r="J293">
        <v>6.6693215563538105E-2</v>
      </c>
      <c r="K293">
        <v>0</v>
      </c>
      <c r="L293">
        <v>740.62519149046796</v>
      </c>
      <c r="M293">
        <v>15.425598481624201</v>
      </c>
      <c r="N293">
        <v>48.020151271690999</v>
      </c>
      <c r="O293">
        <v>47.227533960025603</v>
      </c>
      <c r="P293">
        <v>-8.1565771195473202E-2</v>
      </c>
      <c r="Q293">
        <v>1.1923264940816101E-3</v>
      </c>
      <c r="R293">
        <v>0.99308203174537402</v>
      </c>
      <c r="S293" t="s">
        <v>6910</v>
      </c>
      <c r="T293" t="s">
        <v>13232</v>
      </c>
      <c r="U293" t="s">
        <v>13232</v>
      </c>
      <c r="V293" t="s">
        <v>13232</v>
      </c>
      <c r="W293" t="s">
        <v>13519</v>
      </c>
      <c r="X293">
        <v>4</v>
      </c>
      <c r="Y293" t="s">
        <v>20058</v>
      </c>
      <c r="Z293" t="s">
        <v>26424</v>
      </c>
      <c r="AA293">
        <v>0.29226223940284518</v>
      </c>
      <c r="AB293" t="str">
        <f>HYPERLINK("Melting_Curves/meltCurve_C9JPL0_CCNL1.pdf", "Melting_Curves/meltCurve_C9JPL0_CCNL1.pdf")</f>
        <v>Melting_Curves/meltCurve_C9JPL0_CCNL1.pdf</v>
      </c>
    </row>
    <row r="294" spans="1:28" x14ac:dyDescent="0.25">
      <c r="A294" t="s">
        <v>298</v>
      </c>
      <c r="B294">
        <v>0.99930955844802105</v>
      </c>
      <c r="C294">
        <v>0.75865378238555303</v>
      </c>
      <c r="D294">
        <v>0.69614250042235204</v>
      </c>
      <c r="E294">
        <v>0.43049517648173102</v>
      </c>
      <c r="F294">
        <v>0.25164709604347402</v>
      </c>
      <c r="G294">
        <v>0.14368754073248299</v>
      </c>
      <c r="H294">
        <v>8.1435272295633604E-2</v>
      </c>
      <c r="I294">
        <v>7.1004564338872395E-2</v>
      </c>
      <c r="J294">
        <v>6.4471853266078696E-2</v>
      </c>
      <c r="K294">
        <v>5.3199296607938401E-2</v>
      </c>
      <c r="L294">
        <v>616.13547710622504</v>
      </c>
      <c r="M294">
        <v>12.7480139053285</v>
      </c>
      <c r="N294">
        <v>48.555451449917904</v>
      </c>
      <c r="O294">
        <v>47.188865655213398</v>
      </c>
      <c r="P294">
        <v>-6.5624622074612296E-2</v>
      </c>
      <c r="Q294">
        <v>2.8503991934956101E-2</v>
      </c>
      <c r="R294">
        <v>0.98880773620672902</v>
      </c>
      <c r="S294" t="s">
        <v>6911</v>
      </c>
      <c r="T294" t="s">
        <v>13232</v>
      </c>
      <c r="U294" t="s">
        <v>13232</v>
      </c>
      <c r="V294" t="s">
        <v>13232</v>
      </c>
      <c r="W294" t="s">
        <v>13520</v>
      </c>
      <c r="X294">
        <v>2</v>
      </c>
      <c r="Y294" t="s">
        <v>20059</v>
      </c>
      <c r="Z294" t="s">
        <v>26425</v>
      </c>
      <c r="AA294">
        <v>0.33174579857687653</v>
      </c>
      <c r="AB294" t="str">
        <f>HYPERLINK("Melting_Curves/meltCurve_C9JPP2_NKIRAS2.pdf", "Melting_Curves/meltCurve_C9JPP2_NKIRAS2.pdf")</f>
        <v>Melting_Curves/meltCurve_C9JPP2_NKIRAS2.pdf</v>
      </c>
    </row>
    <row r="295" spans="1:28" x14ac:dyDescent="0.25">
      <c r="A295" t="s">
        <v>299</v>
      </c>
      <c r="B295">
        <v>0.99930955844802105</v>
      </c>
      <c r="C295">
        <v>1.0178967337773099</v>
      </c>
      <c r="D295">
        <v>1.0102514011675801</v>
      </c>
      <c r="E295">
        <v>0.96862545208648798</v>
      </c>
      <c r="F295">
        <v>0.809727257804435</v>
      </c>
      <c r="G295">
        <v>0.76015154743022495</v>
      </c>
      <c r="H295">
        <v>0.71371845973069103</v>
      </c>
      <c r="I295">
        <v>0.72085337955597995</v>
      </c>
      <c r="J295">
        <v>0.68552989409413601</v>
      </c>
      <c r="K295">
        <v>0.48517061176498599</v>
      </c>
      <c r="L295">
        <v>416.83546394365902</v>
      </c>
      <c r="M295">
        <v>6.0303974845594004</v>
      </c>
      <c r="O295">
        <v>62.672684558339803</v>
      </c>
      <c r="P295">
        <v>-2.0851318512182099E-2</v>
      </c>
      <c r="Q295">
        <v>0.13593421385227999</v>
      </c>
      <c r="R295">
        <v>0.904004440348531</v>
      </c>
      <c r="S295" t="s">
        <v>6912</v>
      </c>
      <c r="T295" t="s">
        <v>13232</v>
      </c>
      <c r="U295" t="s">
        <v>13232</v>
      </c>
      <c r="V295" t="s">
        <v>13232</v>
      </c>
      <c r="W295" t="s">
        <v>13521</v>
      </c>
      <c r="X295">
        <v>10</v>
      </c>
      <c r="Y295" t="s">
        <v>20060</v>
      </c>
      <c r="Z295" t="s">
        <v>26426</v>
      </c>
      <c r="AA295">
        <v>0.81955245357580886</v>
      </c>
      <c r="AB295" t="str">
        <f>HYPERLINK("Melting_Curves/meltCurve_C9JQ41_CCDC58.pdf", "Melting_Curves/meltCurve_C9JQ41_CCDC58.pdf")</f>
        <v>Melting_Curves/meltCurve_C9JQ41_CCDC58.pdf</v>
      </c>
    </row>
    <row r="296" spans="1:28" x14ac:dyDescent="0.25">
      <c r="A296" t="s">
        <v>300</v>
      </c>
      <c r="B296">
        <v>0.99930955844802105</v>
      </c>
      <c r="C296">
        <v>0.95416026086577199</v>
      </c>
      <c r="D296">
        <v>0.91408949458308197</v>
      </c>
      <c r="E296">
        <v>0.87432750995268804</v>
      </c>
      <c r="F296">
        <v>0.74890650984185003</v>
      </c>
      <c r="G296">
        <v>0.49647003846117599</v>
      </c>
      <c r="H296">
        <v>0.278853512075665</v>
      </c>
      <c r="I296">
        <v>0.151738257733875</v>
      </c>
      <c r="J296">
        <v>6.4318242290473102E-2</v>
      </c>
      <c r="K296">
        <v>3.5812087391695301E-2</v>
      </c>
      <c r="L296">
        <v>841.45546258474599</v>
      </c>
      <c r="M296">
        <v>14.8220498249146</v>
      </c>
      <c r="N296">
        <v>56.770522910992703</v>
      </c>
      <c r="O296">
        <v>55.7671953537563</v>
      </c>
      <c r="P296">
        <v>-6.6453131196904699E-2</v>
      </c>
      <c r="Q296">
        <v>0</v>
      </c>
      <c r="R296">
        <v>0.99536533709841302</v>
      </c>
      <c r="S296" t="s">
        <v>6913</v>
      </c>
      <c r="T296" t="s">
        <v>13232</v>
      </c>
      <c r="U296" t="s">
        <v>13232</v>
      </c>
      <c r="V296" t="s">
        <v>13232</v>
      </c>
      <c r="W296" t="s">
        <v>13522</v>
      </c>
      <c r="X296">
        <v>4</v>
      </c>
      <c r="Y296" t="s">
        <v>20061</v>
      </c>
      <c r="Z296" t="s">
        <v>26427</v>
      </c>
      <c r="AA296">
        <v>0.57543876628386748</v>
      </c>
      <c r="AB296" t="str">
        <f>HYPERLINK("Melting_Curves/meltCurve_C9JQB1_NME6.pdf", "Melting_Curves/meltCurve_C9JQB1_NME6.pdf")</f>
        <v>Melting_Curves/meltCurve_C9JQB1_NME6.pdf</v>
      </c>
    </row>
    <row r="297" spans="1:28" x14ac:dyDescent="0.25">
      <c r="A297" t="s">
        <v>301</v>
      </c>
      <c r="B297">
        <v>0.99930955844802105</v>
      </c>
      <c r="C297">
        <v>1.02591379952148</v>
      </c>
      <c r="D297">
        <v>0.89852718633764705</v>
      </c>
      <c r="E297">
        <v>0.66847784407319899</v>
      </c>
      <c r="F297">
        <v>0.42247395621942502</v>
      </c>
      <c r="G297">
        <v>0.282600826490565</v>
      </c>
      <c r="H297">
        <v>0.168328521514158</v>
      </c>
      <c r="I297">
        <v>0.152155025986452</v>
      </c>
      <c r="J297">
        <v>0.12829733549545599</v>
      </c>
      <c r="K297">
        <v>0.10012381653742999</v>
      </c>
      <c r="L297">
        <v>907.52516117339997</v>
      </c>
      <c r="M297">
        <v>17.6397544145612</v>
      </c>
      <c r="N297">
        <v>52.223357190833902</v>
      </c>
      <c r="O297">
        <v>50.800185120135602</v>
      </c>
      <c r="P297">
        <v>-7.6809356856268607E-2</v>
      </c>
      <c r="Q297">
        <v>0.11524367556522599</v>
      </c>
      <c r="R297">
        <v>0.99616798129332396</v>
      </c>
      <c r="S297" t="s">
        <v>6914</v>
      </c>
      <c r="T297" t="s">
        <v>13232</v>
      </c>
      <c r="U297" t="s">
        <v>13232</v>
      </c>
      <c r="V297" t="s">
        <v>13232</v>
      </c>
      <c r="W297" t="s">
        <v>13523</v>
      </c>
      <c r="X297">
        <v>10</v>
      </c>
      <c r="Y297" t="s">
        <v>20062</v>
      </c>
      <c r="Z297" t="s">
        <v>26428</v>
      </c>
      <c r="AA297">
        <v>0.46822168448832008</v>
      </c>
      <c r="AB297" t="str">
        <f>HYPERLINK("Melting_Curves/meltCurve_C9JQV3_STK11IP.pdf", "Melting_Curves/meltCurve_C9JQV3_STK11IP.pdf")</f>
        <v>Melting_Curves/meltCurve_C9JQV3_STK11IP.pdf</v>
      </c>
    </row>
    <row r="298" spans="1:28" x14ac:dyDescent="0.25">
      <c r="A298" t="s">
        <v>302</v>
      </c>
      <c r="B298">
        <v>0.99930955844802105</v>
      </c>
      <c r="C298">
        <v>1.1416633520132999</v>
      </c>
      <c r="D298">
        <v>1.0833273758847499</v>
      </c>
      <c r="E298">
        <v>1.0943172730156401</v>
      </c>
      <c r="F298">
        <v>1.0738711703485899</v>
      </c>
      <c r="G298">
        <v>0.97968516237599201</v>
      </c>
      <c r="H298">
        <v>0.84048114837337695</v>
      </c>
      <c r="I298">
        <v>0.588024563289817</v>
      </c>
      <c r="J298">
        <v>0.513552954791894</v>
      </c>
      <c r="K298">
        <v>0.38221281833419102</v>
      </c>
      <c r="L298">
        <v>1950.45503956424</v>
      </c>
      <c r="M298">
        <v>30.9904169372554</v>
      </c>
      <c r="N298">
        <v>66.061328219901597</v>
      </c>
      <c r="O298">
        <v>62.677042906381701</v>
      </c>
      <c r="P298">
        <v>-7.6080994630851703E-2</v>
      </c>
      <c r="Q298">
        <v>0.38451889119039301</v>
      </c>
      <c r="R298">
        <v>0.93358204799433198</v>
      </c>
      <c r="S298" t="s">
        <v>6915</v>
      </c>
      <c r="T298" t="s">
        <v>13232</v>
      </c>
      <c r="U298" t="s">
        <v>13232</v>
      </c>
      <c r="V298" t="s">
        <v>13232</v>
      </c>
      <c r="W298" t="s">
        <v>13524</v>
      </c>
      <c r="X298">
        <v>15</v>
      </c>
      <c r="Y298" t="s">
        <v>20063</v>
      </c>
      <c r="Z298" t="s">
        <v>26429</v>
      </c>
      <c r="AA298">
        <v>0.85719820765853938</v>
      </c>
      <c r="AB298" t="str">
        <f>HYPERLINK("Melting_Curves/meltCurve_C9JR56_SATB2.pdf", "Melting_Curves/meltCurve_C9JR56_SATB2.pdf")</f>
        <v>Melting_Curves/meltCurve_C9JR56_SATB2.pdf</v>
      </c>
    </row>
    <row r="299" spans="1:28" x14ac:dyDescent="0.25">
      <c r="A299" t="s">
        <v>303</v>
      </c>
      <c r="B299">
        <v>0.99930955844802105</v>
      </c>
      <c r="C299">
        <v>1.06755560009133</v>
      </c>
      <c r="D299">
        <v>1.0007481850538</v>
      </c>
      <c r="E299">
        <v>0.69259926584064802</v>
      </c>
      <c r="F299">
        <v>0.18629788190593199</v>
      </c>
      <c r="G299">
        <v>0.141167569991447</v>
      </c>
      <c r="H299">
        <v>9.1571041231681402E-2</v>
      </c>
      <c r="I299">
        <v>8.4005091234335402E-2</v>
      </c>
      <c r="J299">
        <v>8.1932279480039796E-2</v>
      </c>
      <c r="K299">
        <v>6.1126018482562001E-2</v>
      </c>
      <c r="L299">
        <v>2442.2535965807401</v>
      </c>
      <c r="M299">
        <v>48.174376028647998</v>
      </c>
      <c r="N299">
        <v>50.906673936356498</v>
      </c>
      <c r="O299">
        <v>50.608978778224603</v>
      </c>
      <c r="P299">
        <v>-0.216476288314321</v>
      </c>
      <c r="Q299">
        <v>9.0335129508695197E-2</v>
      </c>
      <c r="R299">
        <v>0.99557892356592104</v>
      </c>
      <c r="S299" t="s">
        <v>6916</v>
      </c>
      <c r="T299" t="s">
        <v>13232</v>
      </c>
      <c r="U299" t="s">
        <v>13232</v>
      </c>
      <c r="V299" t="s">
        <v>13232</v>
      </c>
      <c r="W299" t="s">
        <v>13525</v>
      </c>
      <c r="X299">
        <v>7</v>
      </c>
      <c r="Y299" t="s">
        <v>20064</v>
      </c>
      <c r="Z299" t="s">
        <v>26430</v>
      </c>
      <c r="AA299">
        <v>0.41685660738820401</v>
      </c>
      <c r="AB299" t="str">
        <f>HYPERLINK("Melting_Curves/meltCurve_C9JS27_NDUFAF7.pdf", "Melting_Curves/meltCurve_C9JS27_NDUFAF7.pdf")</f>
        <v>Melting_Curves/meltCurve_C9JS27_NDUFAF7.pdf</v>
      </c>
    </row>
    <row r="300" spans="1:28" x14ac:dyDescent="0.25">
      <c r="A300" t="s">
        <v>304</v>
      </c>
      <c r="B300">
        <v>0.99930955844802105</v>
      </c>
      <c r="C300">
        <v>0.68822138739497496</v>
      </c>
      <c r="D300">
        <v>0.52361581256597201</v>
      </c>
      <c r="E300">
        <v>0.41875901088915102</v>
      </c>
      <c r="F300">
        <v>0.23944361783705101</v>
      </c>
      <c r="G300">
        <v>0.118547345106152</v>
      </c>
      <c r="H300">
        <v>5.1905012518464001E-2</v>
      </c>
      <c r="I300">
        <v>4.00280998155381E-2</v>
      </c>
      <c r="J300">
        <v>3.0583679362559901E-2</v>
      </c>
      <c r="K300">
        <v>2.3550613941384101E-2</v>
      </c>
      <c r="L300">
        <v>533.10381256650305</v>
      </c>
      <c r="M300">
        <v>11.278727221666699</v>
      </c>
      <c r="N300">
        <v>47.266311614612398</v>
      </c>
      <c r="O300">
        <v>45.853543761304202</v>
      </c>
      <c r="P300">
        <v>-6.1512068506286099E-2</v>
      </c>
      <c r="Q300">
        <v>0</v>
      </c>
      <c r="R300">
        <v>0.97424922027318595</v>
      </c>
      <c r="S300" t="s">
        <v>6917</v>
      </c>
      <c r="T300" t="s">
        <v>13232</v>
      </c>
      <c r="U300" t="s">
        <v>13232</v>
      </c>
      <c r="V300" t="s">
        <v>13232</v>
      </c>
      <c r="W300" t="s">
        <v>13526</v>
      </c>
      <c r="X300">
        <v>2</v>
      </c>
      <c r="Y300" t="s">
        <v>20065</v>
      </c>
      <c r="Z300" t="s">
        <v>26431</v>
      </c>
      <c r="AA300">
        <v>0.28817985566879112</v>
      </c>
      <c r="AB300" t="str">
        <f>HYPERLINK("Melting_Curves/meltCurve_C9JT95_NABP2.pdf", "Melting_Curves/meltCurve_C9JT95_NABP2.pdf")</f>
        <v>Melting_Curves/meltCurve_C9JT95_NABP2.pdf</v>
      </c>
    </row>
    <row r="301" spans="1:28" x14ac:dyDescent="0.25">
      <c r="A301" t="s">
        <v>305</v>
      </c>
      <c r="B301">
        <v>0.99930955844802105</v>
      </c>
      <c r="C301">
        <v>1.11289695976194</v>
      </c>
      <c r="D301">
        <v>0.98546188920102196</v>
      </c>
      <c r="E301">
        <v>1.07523697310663</v>
      </c>
      <c r="F301">
        <v>0.94648773551355203</v>
      </c>
      <c r="G301">
        <v>0.73865780813259097</v>
      </c>
      <c r="H301">
        <v>0.87918094427141402</v>
      </c>
      <c r="I301">
        <v>0.84551310522039602</v>
      </c>
      <c r="J301">
        <v>1.17968189344278</v>
      </c>
      <c r="K301">
        <v>0.72407147927774596</v>
      </c>
      <c r="L301">
        <v>13266.507566680701</v>
      </c>
      <c r="M301">
        <v>250</v>
      </c>
      <c r="O301">
        <v>53.062634716522901</v>
      </c>
      <c r="P301">
        <v>-0.149091442829695</v>
      </c>
      <c r="Q301">
        <v>0.87342104459690795</v>
      </c>
      <c r="R301">
        <v>0.26917111357185702</v>
      </c>
      <c r="S301" t="s">
        <v>6918</v>
      </c>
      <c r="T301" t="s">
        <v>13232</v>
      </c>
      <c r="U301" t="s">
        <v>13232</v>
      </c>
      <c r="V301" t="s">
        <v>13232</v>
      </c>
      <c r="W301" t="s">
        <v>13527</v>
      </c>
      <c r="X301">
        <v>9</v>
      </c>
      <c r="Y301" t="s">
        <v>20066</v>
      </c>
      <c r="Z301" t="s">
        <v>26432</v>
      </c>
      <c r="AA301">
        <v>0.9285623149831671</v>
      </c>
      <c r="AB301" t="str">
        <f>HYPERLINK("Melting_Curves/meltCurve_C9JTM9_IKZF2.pdf", "Melting_Curves/meltCurve_C9JTM9_IKZF2.pdf")</f>
        <v>Melting_Curves/meltCurve_C9JTM9_IKZF2.pdf</v>
      </c>
    </row>
    <row r="302" spans="1:28" x14ac:dyDescent="0.25">
      <c r="A302" t="s">
        <v>306</v>
      </c>
      <c r="B302">
        <v>0.99930955844802105</v>
      </c>
      <c r="C302">
        <v>1.12097103318174</v>
      </c>
      <c r="D302">
        <v>1.12730094112676</v>
      </c>
      <c r="E302">
        <v>1.0649456611830701</v>
      </c>
      <c r="F302">
        <v>1.2029054409716899</v>
      </c>
      <c r="G302">
        <v>0.79596239855367901</v>
      </c>
      <c r="H302">
        <v>0.34999295752778098</v>
      </c>
      <c r="I302">
        <v>0.20436723065329401</v>
      </c>
      <c r="J302">
        <v>0.19304101897026299</v>
      </c>
      <c r="K302">
        <v>0.135589355070933</v>
      </c>
      <c r="L302">
        <v>2356.2913063842102</v>
      </c>
      <c r="M302">
        <v>39.9979673296437</v>
      </c>
      <c r="N302">
        <v>59.512298430191798</v>
      </c>
      <c r="O302">
        <v>58.763619641469298</v>
      </c>
      <c r="P302">
        <v>-0.14185252709660101</v>
      </c>
      <c r="Q302">
        <v>0.16638289876196199</v>
      </c>
      <c r="R302">
        <v>0.95353363763405696</v>
      </c>
      <c r="S302" t="s">
        <v>6919</v>
      </c>
      <c r="T302" t="s">
        <v>13232</v>
      </c>
      <c r="U302" t="s">
        <v>13232</v>
      </c>
      <c r="V302" t="s">
        <v>13232</v>
      </c>
      <c r="W302" t="s">
        <v>13528</v>
      </c>
      <c r="X302">
        <v>14</v>
      </c>
      <c r="Y302" t="s">
        <v>20067</v>
      </c>
      <c r="Z302" t="s">
        <v>26433</v>
      </c>
      <c r="AA302">
        <v>0.69513418500259538</v>
      </c>
      <c r="AB302" t="str">
        <f>HYPERLINK("Melting_Curves/meltCurve_C9JV49_HARS2.pdf", "Melting_Curves/meltCurve_C9JV49_HARS2.pdf")</f>
        <v>Melting_Curves/meltCurve_C9JV49_HARS2.pdf</v>
      </c>
    </row>
    <row r="303" spans="1:28" x14ac:dyDescent="0.25">
      <c r="A303" t="s">
        <v>307</v>
      </c>
      <c r="B303">
        <v>0.99930955844802105</v>
      </c>
      <c r="C303">
        <v>0.73296296903848701</v>
      </c>
      <c r="D303">
        <v>0.53614780348985203</v>
      </c>
      <c r="E303">
        <v>0.73754786578589604</v>
      </c>
      <c r="F303">
        <v>0.32160206592032597</v>
      </c>
      <c r="G303">
        <v>0.106060556514423</v>
      </c>
      <c r="H303">
        <v>4.1752231232865797E-2</v>
      </c>
      <c r="I303">
        <v>4.5687501770055199E-2</v>
      </c>
      <c r="J303">
        <v>3.5931132213758203E-2</v>
      </c>
      <c r="K303">
        <v>2.00751964658092E-2</v>
      </c>
      <c r="L303">
        <v>533.19161627693495</v>
      </c>
      <c r="M303">
        <v>10.794408867444499</v>
      </c>
      <c r="N303">
        <v>49.395169348369201</v>
      </c>
      <c r="O303">
        <v>47.790519862146503</v>
      </c>
      <c r="P303">
        <v>-5.6487799281479602E-2</v>
      </c>
      <c r="Q303">
        <v>0</v>
      </c>
      <c r="R303">
        <v>0.89500716037022998</v>
      </c>
      <c r="S303" t="s">
        <v>6920</v>
      </c>
      <c r="T303" t="s">
        <v>13232</v>
      </c>
      <c r="U303" t="s">
        <v>13232</v>
      </c>
      <c r="V303" t="s">
        <v>13232</v>
      </c>
      <c r="W303" t="s">
        <v>13529</v>
      </c>
      <c r="X303">
        <v>2</v>
      </c>
      <c r="Y303" t="s">
        <v>20068</v>
      </c>
      <c r="Z303" t="s">
        <v>26434</v>
      </c>
      <c r="AA303">
        <v>0.35555885950480193</v>
      </c>
      <c r="AB303" t="str">
        <f>HYPERLINK("Melting_Curves/meltCurve_C9JV50_SACM1L.pdf", "Melting_Curves/meltCurve_C9JV50_SACM1L.pdf")</f>
        <v>Melting_Curves/meltCurve_C9JV50_SACM1L.pdf</v>
      </c>
    </row>
    <row r="304" spans="1:28" x14ac:dyDescent="0.25">
      <c r="A304" t="s">
        <v>308</v>
      </c>
      <c r="B304">
        <v>0.99930955844802105</v>
      </c>
      <c r="C304">
        <v>1.0188830915649201</v>
      </c>
      <c r="D304">
        <v>1.0262727885502101</v>
      </c>
      <c r="E304">
        <v>0.97704947242888696</v>
      </c>
      <c r="F304">
        <v>0.75210720685743404</v>
      </c>
      <c r="G304">
        <v>0.51122409957799197</v>
      </c>
      <c r="H304">
        <v>0.36551055372910601</v>
      </c>
      <c r="I304">
        <v>0.31059803594250002</v>
      </c>
      <c r="J304">
        <v>0.28132661387635999</v>
      </c>
      <c r="K304">
        <v>0.21951879511172301</v>
      </c>
      <c r="L304">
        <v>1157.26537932577</v>
      </c>
      <c r="M304">
        <v>20.910758736474001</v>
      </c>
      <c r="N304">
        <v>57.246426514366298</v>
      </c>
      <c r="O304">
        <v>54.844383166392198</v>
      </c>
      <c r="P304">
        <v>-7.1440746347009407E-2</v>
      </c>
      <c r="Q304">
        <v>0.25052626826311097</v>
      </c>
      <c r="R304">
        <v>0.992412585541532</v>
      </c>
      <c r="S304" t="s">
        <v>6921</v>
      </c>
      <c r="T304" t="s">
        <v>13232</v>
      </c>
      <c r="U304" t="s">
        <v>13232</v>
      </c>
      <c r="V304" t="s">
        <v>13232</v>
      </c>
      <c r="W304" t="s">
        <v>13530</v>
      </c>
      <c r="X304">
        <v>2</v>
      </c>
      <c r="Y304" t="s">
        <v>20069</v>
      </c>
      <c r="Z304" t="s">
        <v>26435</v>
      </c>
      <c r="AA304">
        <v>0.64308435527011354</v>
      </c>
      <c r="AB304" t="str">
        <f>HYPERLINK("Melting_Curves/meltCurve_C9JVP0_FOXJ3.pdf", "Melting_Curves/meltCurve_C9JVP0_FOXJ3.pdf")</f>
        <v>Melting_Curves/meltCurve_C9JVP0_FOXJ3.pdf</v>
      </c>
    </row>
    <row r="305" spans="1:28" x14ac:dyDescent="0.25">
      <c r="A305" t="s">
        <v>309</v>
      </c>
      <c r="B305">
        <v>0.99930955844802105</v>
      </c>
      <c r="C305">
        <v>1.3975608860429301</v>
      </c>
      <c r="D305">
        <v>1.02582533464597</v>
      </c>
      <c r="E305">
        <v>0.55238490955308395</v>
      </c>
      <c r="F305">
        <v>0.469632634661176</v>
      </c>
      <c r="G305">
        <v>0.37572749539137201</v>
      </c>
      <c r="H305">
        <v>0.47423001679407001</v>
      </c>
      <c r="I305">
        <v>0.72406753415565706</v>
      </c>
      <c r="J305">
        <v>0.47174118860790798</v>
      </c>
      <c r="K305">
        <v>0.28171747353769799</v>
      </c>
      <c r="L305">
        <v>9466.7576566037496</v>
      </c>
      <c r="M305">
        <v>190.98242351892199</v>
      </c>
      <c r="N305">
        <v>50.277885531883101</v>
      </c>
      <c r="O305">
        <v>49.563302578887303</v>
      </c>
      <c r="P305">
        <v>-0.51423711188584897</v>
      </c>
      <c r="Q305">
        <v>0.46618565101069298</v>
      </c>
      <c r="R305">
        <v>0.76443961624396095</v>
      </c>
      <c r="S305" t="s">
        <v>6922</v>
      </c>
      <c r="T305" t="s">
        <v>13232</v>
      </c>
      <c r="U305" t="s">
        <v>13232</v>
      </c>
      <c r="V305" t="s">
        <v>13232</v>
      </c>
      <c r="W305" t="s">
        <v>13531</v>
      </c>
      <c r="X305">
        <v>3</v>
      </c>
      <c r="Y305" t="s">
        <v>20070</v>
      </c>
      <c r="Z305" t="s">
        <v>26436</v>
      </c>
      <c r="AA305">
        <v>0.63652955255645516</v>
      </c>
      <c r="AB305" t="str">
        <f>HYPERLINK("Melting_Curves/meltCurve_C9JWC5_TRIM22.pdf", "Melting_Curves/meltCurve_C9JWC5_TRIM22.pdf")</f>
        <v>Melting_Curves/meltCurve_C9JWC5_TRIM22.pdf</v>
      </c>
    </row>
    <row r="306" spans="1:28" x14ac:dyDescent="0.25">
      <c r="A306" t="s">
        <v>310</v>
      </c>
      <c r="B306">
        <v>0.99930955844802105</v>
      </c>
      <c r="C306">
        <v>1.00588899827624</v>
      </c>
      <c r="D306">
        <v>0.98648058564354901</v>
      </c>
      <c r="E306">
        <v>0.91565741308690995</v>
      </c>
      <c r="F306">
        <v>0.81590642910455202</v>
      </c>
      <c r="G306">
        <v>0.64754732891840805</v>
      </c>
      <c r="H306">
        <v>0.546756309864601</v>
      </c>
      <c r="I306">
        <v>0.54520585228904395</v>
      </c>
      <c r="J306">
        <v>0.53466232499062805</v>
      </c>
      <c r="K306">
        <v>0.43852826619874202</v>
      </c>
      <c r="L306">
        <v>916.31402330461697</v>
      </c>
      <c r="M306">
        <v>16.688473982580302</v>
      </c>
      <c r="N306">
        <v>66.505292916785194</v>
      </c>
      <c r="O306">
        <v>54.136773606637497</v>
      </c>
      <c r="P306">
        <v>-4.0634083210332697E-2</v>
      </c>
      <c r="Q306">
        <v>0.47277336447954199</v>
      </c>
      <c r="R306">
        <v>0.98929680014253996</v>
      </c>
      <c r="S306" t="s">
        <v>6923</v>
      </c>
      <c r="T306" t="s">
        <v>13232</v>
      </c>
      <c r="U306" t="s">
        <v>13232</v>
      </c>
      <c r="V306" t="s">
        <v>13232</v>
      </c>
      <c r="W306" t="s">
        <v>13532</v>
      </c>
      <c r="X306">
        <v>3</v>
      </c>
      <c r="Y306" t="s">
        <v>20071</v>
      </c>
      <c r="Z306" t="s">
        <v>26437</v>
      </c>
      <c r="AA306">
        <v>0.74378895495786679</v>
      </c>
      <c r="AB306" t="str">
        <f>HYPERLINK("Melting_Curves/meltCurve_C9JXB8_RPL24.pdf", "Melting_Curves/meltCurve_C9JXB8_RPL24.pdf")</f>
        <v>Melting_Curves/meltCurve_C9JXB8_RPL24.pdf</v>
      </c>
    </row>
    <row r="307" spans="1:28" x14ac:dyDescent="0.25">
      <c r="A307" t="s">
        <v>311</v>
      </c>
      <c r="B307">
        <v>0.99930955844802105</v>
      </c>
      <c r="C307">
        <v>0.983646219440791</v>
      </c>
      <c r="D307">
        <v>0.94520025071156499</v>
      </c>
      <c r="E307">
        <v>0.95616303644149603</v>
      </c>
      <c r="F307">
        <v>0.77520836034297802</v>
      </c>
      <c r="G307">
        <v>0.58501673738455495</v>
      </c>
      <c r="H307">
        <v>0.51947223284856603</v>
      </c>
      <c r="I307">
        <v>0.50523710379995801</v>
      </c>
      <c r="J307">
        <v>0.476369115737586</v>
      </c>
      <c r="K307">
        <v>0.402714279573884</v>
      </c>
      <c r="L307">
        <v>1077.4525970637301</v>
      </c>
      <c r="M307">
        <v>19.838667718354799</v>
      </c>
      <c r="N307">
        <v>61.208579884986698</v>
      </c>
      <c r="O307">
        <v>53.767926379345397</v>
      </c>
      <c r="P307">
        <v>-5.10539011450463E-2</v>
      </c>
      <c r="Q307">
        <v>0.44654141747152898</v>
      </c>
      <c r="R307">
        <v>0.98443936904186302</v>
      </c>
      <c r="S307" t="s">
        <v>6924</v>
      </c>
      <c r="T307" t="s">
        <v>13232</v>
      </c>
      <c r="U307" t="s">
        <v>13232</v>
      </c>
      <c r="V307" t="s">
        <v>13232</v>
      </c>
      <c r="W307" t="s">
        <v>13533</v>
      </c>
      <c r="X307">
        <v>7</v>
      </c>
      <c r="Y307" t="s">
        <v>20072</v>
      </c>
      <c r="Z307" t="s">
        <v>26438</v>
      </c>
      <c r="AA307">
        <v>0.71813305212041989</v>
      </c>
      <c r="AB307" t="str">
        <f>HYPERLINK("Melting_Curves/meltCurve_C9JXB9_DNAJB2.pdf", "Melting_Curves/meltCurve_C9JXB9_DNAJB2.pdf")</f>
        <v>Melting_Curves/meltCurve_C9JXB9_DNAJB2.pdf</v>
      </c>
    </row>
    <row r="308" spans="1:28" x14ac:dyDescent="0.25">
      <c r="A308" t="s">
        <v>312</v>
      </c>
      <c r="B308">
        <v>0.99930955844802105</v>
      </c>
      <c r="C308">
        <v>0.63133962910339603</v>
      </c>
      <c r="D308">
        <v>0.80587668989683403</v>
      </c>
      <c r="E308">
        <v>0.45264933675164198</v>
      </c>
      <c r="F308">
        <v>0.22497555044524301</v>
      </c>
      <c r="G308">
        <v>0.42086754130964399</v>
      </c>
      <c r="H308">
        <v>0.20098763572257999</v>
      </c>
      <c r="I308">
        <v>0.34504854574664001</v>
      </c>
      <c r="J308">
        <v>0.19007629965952499</v>
      </c>
      <c r="K308">
        <v>0.111517862470026</v>
      </c>
      <c r="L308">
        <v>525.11183748992596</v>
      </c>
      <c r="M308">
        <v>11.0889202584721</v>
      </c>
      <c r="N308">
        <v>49.311823070019699</v>
      </c>
      <c r="O308">
        <v>45.892838385692201</v>
      </c>
      <c r="P308">
        <v>-4.96692059384801E-2</v>
      </c>
      <c r="Q308">
        <v>0.17802092391410401</v>
      </c>
      <c r="R308">
        <v>0.83637490687511995</v>
      </c>
      <c r="S308" t="s">
        <v>6925</v>
      </c>
      <c r="T308" t="s">
        <v>13232</v>
      </c>
      <c r="U308" t="s">
        <v>13232</v>
      </c>
      <c r="V308" t="s">
        <v>13232</v>
      </c>
      <c r="W308" t="s">
        <v>13534</v>
      </c>
      <c r="X308">
        <v>16</v>
      </c>
      <c r="Y308" t="s">
        <v>20073</v>
      </c>
      <c r="Z308" t="s">
        <v>26439</v>
      </c>
      <c r="AA308">
        <v>0.41818528110330611</v>
      </c>
      <c r="AB308" t="str">
        <f>HYPERLINK("Melting_Curves/meltCurve_C9JXG8_RANBP1.pdf", "Melting_Curves/meltCurve_C9JXG8_RANBP1.pdf")</f>
        <v>Melting_Curves/meltCurve_C9JXG8_RANBP1.pdf</v>
      </c>
    </row>
    <row r="309" spans="1:28" x14ac:dyDescent="0.25">
      <c r="A309" t="s">
        <v>313</v>
      </c>
      <c r="B309">
        <v>0.99930955844802105</v>
      </c>
      <c r="C309">
        <v>0.82241103192182397</v>
      </c>
      <c r="D309">
        <v>1.1339942542304799</v>
      </c>
      <c r="E309">
        <v>0.446359578079425</v>
      </c>
      <c r="F309">
        <v>0.45633164940330601</v>
      </c>
      <c r="G309">
        <v>0.22028632712431401</v>
      </c>
      <c r="H309">
        <v>0.187455087194209</v>
      </c>
      <c r="I309">
        <v>0.110589378873876</v>
      </c>
      <c r="J309">
        <v>0</v>
      </c>
      <c r="K309">
        <v>0</v>
      </c>
      <c r="L309">
        <v>829.15699768831303</v>
      </c>
      <c r="M309">
        <v>16.121854457650201</v>
      </c>
      <c r="N309">
        <v>51.682404022462201</v>
      </c>
      <c r="O309">
        <v>50.658859770331198</v>
      </c>
      <c r="P309">
        <v>-7.6561889020667698E-2</v>
      </c>
      <c r="Q309">
        <v>3.7767953045306703E-2</v>
      </c>
      <c r="R309">
        <v>0.91217684113802699</v>
      </c>
      <c r="S309" t="s">
        <v>6926</v>
      </c>
      <c r="T309" t="s">
        <v>13232</v>
      </c>
      <c r="U309" t="s">
        <v>13232</v>
      </c>
      <c r="V309" t="s">
        <v>13232</v>
      </c>
      <c r="W309" t="s">
        <v>13535</v>
      </c>
      <c r="X309">
        <v>2</v>
      </c>
      <c r="Y309" t="s">
        <v>20074</v>
      </c>
      <c r="Z309" t="s">
        <v>26440</v>
      </c>
      <c r="AA309">
        <v>0.42388707344706977</v>
      </c>
      <c r="AB309" t="str">
        <f>HYPERLINK("Melting_Curves/meltCurve_C9JY06_NUDT22.pdf", "Melting_Curves/meltCurve_C9JY06_NUDT22.pdf")</f>
        <v>Melting_Curves/meltCurve_C9JY06_NUDT22.pdf</v>
      </c>
    </row>
    <row r="310" spans="1:28" x14ac:dyDescent="0.25">
      <c r="A310" t="s">
        <v>314</v>
      </c>
      <c r="B310">
        <v>0.99930955844802105</v>
      </c>
      <c r="C310">
        <v>1.0709425670980299</v>
      </c>
      <c r="D310">
        <v>1.1643174315765299</v>
      </c>
      <c r="E310">
        <v>0.95684250384115699</v>
      </c>
      <c r="F310">
        <v>0.87014933206964895</v>
      </c>
      <c r="G310">
        <v>0.83645893378647895</v>
      </c>
      <c r="H310">
        <v>0.68226182550360104</v>
      </c>
      <c r="I310">
        <v>0.78446438606161095</v>
      </c>
      <c r="J310">
        <v>0.80162803758254997</v>
      </c>
      <c r="K310">
        <v>0.63519950274263703</v>
      </c>
      <c r="L310">
        <v>1258.6125213610101</v>
      </c>
      <c r="M310">
        <v>23.154277357142199</v>
      </c>
      <c r="O310">
        <v>53.957076885189998</v>
      </c>
      <c r="P310">
        <v>-2.9658022242539599E-2</v>
      </c>
      <c r="Q310">
        <v>0.72355327784880097</v>
      </c>
      <c r="R310">
        <v>0.77680720001697301</v>
      </c>
      <c r="S310" t="s">
        <v>6927</v>
      </c>
      <c r="T310" t="s">
        <v>13232</v>
      </c>
      <c r="U310" t="s">
        <v>13232</v>
      </c>
      <c r="V310" t="s">
        <v>13232</v>
      </c>
      <c r="W310" t="s">
        <v>13536</v>
      </c>
      <c r="X310">
        <v>2</v>
      </c>
      <c r="Y310" t="s">
        <v>20075</v>
      </c>
      <c r="Z310" t="s">
        <v>26441</v>
      </c>
      <c r="AA310">
        <v>0.85878844051048064</v>
      </c>
      <c r="AB310" t="str">
        <f>HYPERLINK("Melting_Curves/meltCurve_C9JYJ6_FILIP1L.pdf", "Melting_Curves/meltCurve_C9JYJ6_FILIP1L.pdf")</f>
        <v>Melting_Curves/meltCurve_C9JYJ6_FILIP1L.pdf</v>
      </c>
    </row>
    <row r="311" spans="1:28" x14ac:dyDescent="0.25">
      <c r="A311" t="s">
        <v>315</v>
      </c>
      <c r="B311">
        <v>0.99930955844802105</v>
      </c>
      <c r="C311">
        <v>0.83040248826497698</v>
      </c>
      <c r="D311">
        <v>0.83194051792942403</v>
      </c>
      <c r="E311">
        <v>0.79760449950177303</v>
      </c>
      <c r="F311">
        <v>0.68581438415374596</v>
      </c>
      <c r="G311">
        <v>0.430668081770338</v>
      </c>
      <c r="H311">
        <v>0.173205190507465</v>
      </c>
      <c r="I311">
        <v>9.7884949044445294E-2</v>
      </c>
      <c r="J311">
        <v>6.6409437052636106E-2</v>
      </c>
      <c r="K311">
        <v>5.3002704228040001E-2</v>
      </c>
      <c r="L311">
        <v>719.68533093592202</v>
      </c>
      <c r="M311">
        <v>13.067049914563</v>
      </c>
      <c r="N311">
        <v>55.076343597399301</v>
      </c>
      <c r="O311">
        <v>53.834321917141502</v>
      </c>
      <c r="P311">
        <v>-6.0692291144916102E-2</v>
      </c>
      <c r="Q311">
        <v>0</v>
      </c>
      <c r="R311">
        <v>0.96774319197605596</v>
      </c>
      <c r="S311" t="s">
        <v>6928</v>
      </c>
      <c r="T311" t="s">
        <v>13232</v>
      </c>
      <c r="U311" t="s">
        <v>13232</v>
      </c>
      <c r="V311" t="s">
        <v>13232</v>
      </c>
      <c r="W311" t="s">
        <v>13537</v>
      </c>
      <c r="X311">
        <v>4</v>
      </c>
      <c r="Y311" t="s">
        <v>20076</v>
      </c>
      <c r="Z311" t="s">
        <v>26442</v>
      </c>
      <c r="AA311">
        <v>0.52435326269532678</v>
      </c>
      <c r="AB311" t="str">
        <f>HYPERLINK("Melting_Curves/meltCurve_C9JYM0_POP7.pdf", "Melting_Curves/meltCurve_C9JYM0_POP7.pdf")</f>
        <v>Melting_Curves/meltCurve_C9JYM0_POP7.pdf</v>
      </c>
    </row>
    <row r="312" spans="1:28" x14ac:dyDescent="0.25">
      <c r="A312" t="s">
        <v>316</v>
      </c>
      <c r="B312">
        <v>0.99930955844802105</v>
      </c>
      <c r="C312">
        <v>1.01795865874082</v>
      </c>
      <c r="D312">
        <v>0.93494606702229999</v>
      </c>
      <c r="E312">
        <v>1.1092426410535201</v>
      </c>
      <c r="F312">
        <v>1.03996340685179</v>
      </c>
      <c r="G312">
        <v>0.83240935292038998</v>
      </c>
      <c r="H312">
        <v>0.66249142094499303</v>
      </c>
      <c r="I312">
        <v>0.72746802001830502</v>
      </c>
      <c r="J312">
        <v>0.83133887279693996</v>
      </c>
      <c r="K312">
        <v>0.68020291937826305</v>
      </c>
      <c r="L312">
        <v>14224.4424782232</v>
      </c>
      <c r="M312">
        <v>250</v>
      </c>
      <c r="O312">
        <v>56.894128734608898</v>
      </c>
      <c r="P312">
        <v>-0.30168391124726102</v>
      </c>
      <c r="Q312">
        <v>0.72537530730829902</v>
      </c>
      <c r="R312">
        <v>0.84608088623258504</v>
      </c>
      <c r="S312" t="s">
        <v>6929</v>
      </c>
      <c r="T312" t="s">
        <v>13232</v>
      </c>
      <c r="U312" t="s">
        <v>13232</v>
      </c>
      <c r="V312" t="s">
        <v>13232</v>
      </c>
      <c r="W312" t="s">
        <v>13538</v>
      </c>
      <c r="X312">
        <v>4</v>
      </c>
      <c r="Y312" t="s">
        <v>19793</v>
      </c>
      <c r="Z312" t="s">
        <v>26443</v>
      </c>
      <c r="AA312">
        <v>0.88008755885822687</v>
      </c>
      <c r="AB312" t="str">
        <f>HYPERLINK("Melting_Curves/meltCurve_C9JYY9_NUDT5.pdf", "Melting_Curves/meltCurve_C9JYY9_NUDT5.pdf")</f>
        <v>Melting_Curves/meltCurve_C9JYY9_NUDT5.pdf</v>
      </c>
    </row>
    <row r="313" spans="1:28" x14ac:dyDescent="0.25">
      <c r="A313" t="s">
        <v>317</v>
      </c>
      <c r="B313">
        <v>0.99930955844802105</v>
      </c>
      <c r="C313">
        <v>0.92484495998132799</v>
      </c>
      <c r="D313">
        <v>0.89455110675632499</v>
      </c>
      <c r="E313">
        <v>0.79035972291753198</v>
      </c>
      <c r="F313">
        <v>0.64571909949273198</v>
      </c>
      <c r="G313">
        <v>0.54876004403844203</v>
      </c>
      <c r="H313">
        <v>0.53506644354254296</v>
      </c>
      <c r="I313">
        <v>0.55789905465585998</v>
      </c>
      <c r="J313">
        <v>0.53835020792719301</v>
      </c>
      <c r="K313">
        <v>0.424985148178324</v>
      </c>
      <c r="L313">
        <v>655.91699305179498</v>
      </c>
      <c r="M313">
        <v>12.94004813698</v>
      </c>
      <c r="N313">
        <v>66.418052096707996</v>
      </c>
      <c r="O313">
        <v>49.524136150634597</v>
      </c>
      <c r="P313">
        <v>-3.4191691338372299E-2</v>
      </c>
      <c r="Q313">
        <v>0.47666053878951098</v>
      </c>
      <c r="R313">
        <v>0.96791883671523105</v>
      </c>
      <c r="S313" t="s">
        <v>6930</v>
      </c>
      <c r="T313" t="s">
        <v>13232</v>
      </c>
      <c r="U313" t="s">
        <v>13232</v>
      </c>
      <c r="V313" t="s">
        <v>13232</v>
      </c>
      <c r="W313" t="s">
        <v>13539</v>
      </c>
      <c r="X313">
        <v>15</v>
      </c>
      <c r="Y313" t="s">
        <v>20077</v>
      </c>
      <c r="Z313" t="s">
        <v>26444</v>
      </c>
      <c r="AA313">
        <v>0.67864222845639055</v>
      </c>
      <c r="AB313" t="str">
        <f>HYPERLINK("Melting_Curves/meltCurve_C9JZR4_ARFGAP3.pdf", "Melting_Curves/meltCurve_C9JZR4_ARFGAP3.pdf")</f>
        <v>Melting_Curves/meltCurve_C9JZR4_ARFGAP3.pdf</v>
      </c>
    </row>
    <row r="314" spans="1:28" x14ac:dyDescent="0.25">
      <c r="A314" t="s">
        <v>318</v>
      </c>
      <c r="B314">
        <v>0.99930955844802105</v>
      </c>
      <c r="C314">
        <v>0.98517345360383402</v>
      </c>
      <c r="D314">
        <v>0.94515286203864102</v>
      </c>
      <c r="E314">
        <v>0.65871190626604303</v>
      </c>
      <c r="F314">
        <v>0.40107643561636602</v>
      </c>
      <c r="G314">
        <v>0.33792438987795098</v>
      </c>
      <c r="H314">
        <v>0.21177439479471699</v>
      </c>
      <c r="I314">
        <v>0.19684512209633101</v>
      </c>
      <c r="J314">
        <v>0.17333558681332101</v>
      </c>
      <c r="K314">
        <v>9.3459030436195398E-2</v>
      </c>
      <c r="L314">
        <v>921.84300086875999</v>
      </c>
      <c r="M314">
        <v>18.005214754672998</v>
      </c>
      <c r="N314">
        <v>52.2682318539851</v>
      </c>
      <c r="O314">
        <v>50.5796418675056</v>
      </c>
      <c r="P314">
        <v>-7.5284761669848294E-2</v>
      </c>
      <c r="Q314">
        <v>0.15409204198151799</v>
      </c>
      <c r="R314">
        <v>0.988023211422978</v>
      </c>
      <c r="S314" t="s">
        <v>6931</v>
      </c>
      <c r="T314" t="s">
        <v>13232</v>
      </c>
      <c r="U314" t="s">
        <v>13232</v>
      </c>
      <c r="V314" t="s">
        <v>13232</v>
      </c>
      <c r="W314" t="s">
        <v>13540</v>
      </c>
      <c r="X314">
        <v>2</v>
      </c>
      <c r="Y314" t="s">
        <v>20078</v>
      </c>
      <c r="Z314" t="s">
        <v>26445</v>
      </c>
      <c r="AA314">
        <v>0.48407258797032382</v>
      </c>
      <c r="AB314" t="str">
        <f>HYPERLINK("Melting_Curves/meltCurve_C9JZY3_PCBP4.pdf", "Melting_Curves/meltCurve_C9JZY3_PCBP4.pdf")</f>
        <v>Melting_Curves/meltCurve_C9JZY3_PCBP4.pdf</v>
      </c>
    </row>
    <row r="315" spans="1:28" x14ac:dyDescent="0.25">
      <c r="A315" t="s">
        <v>319</v>
      </c>
      <c r="B315">
        <v>0.99930955844802105</v>
      </c>
      <c r="C315">
        <v>0.92988221230445101</v>
      </c>
      <c r="D315">
        <v>0.79686033936487</v>
      </c>
      <c r="E315">
        <v>0.57045376554259597</v>
      </c>
      <c r="F315">
        <v>0.27169806020883802</v>
      </c>
      <c r="G315">
        <v>0.14672908277619501</v>
      </c>
      <c r="H315">
        <v>7.8252935497446399E-2</v>
      </c>
      <c r="I315">
        <v>6.4940711126730999E-2</v>
      </c>
      <c r="J315">
        <v>5.3331273696261401E-2</v>
      </c>
      <c r="K315">
        <v>4.0354043296160103E-2</v>
      </c>
      <c r="L315">
        <v>835.01182404199199</v>
      </c>
      <c r="M315">
        <v>16.6720774113309</v>
      </c>
      <c r="N315">
        <v>50.293545342501602</v>
      </c>
      <c r="O315">
        <v>49.380524718904397</v>
      </c>
      <c r="P315">
        <v>-8.1585387963741901E-2</v>
      </c>
      <c r="Q315">
        <v>3.3483262013839603E-2</v>
      </c>
      <c r="R315">
        <v>0.99659830571706598</v>
      </c>
      <c r="S315" t="s">
        <v>6932</v>
      </c>
      <c r="T315" t="s">
        <v>13232</v>
      </c>
      <c r="U315" t="s">
        <v>13232</v>
      </c>
      <c r="V315" t="s">
        <v>13232</v>
      </c>
      <c r="W315" t="s">
        <v>13541</v>
      </c>
      <c r="X315">
        <v>1</v>
      </c>
      <c r="Y315" t="s">
        <v>20079</v>
      </c>
      <c r="Z315" t="s">
        <v>26446</v>
      </c>
      <c r="AA315">
        <v>0.3773736167220782</v>
      </c>
      <c r="AB315" t="str">
        <f>HYPERLINK("Melting_Curves/meltCurve_C9K0J5_RAPH1.pdf", "Melting_Curves/meltCurve_C9K0J5_RAPH1.pdf")</f>
        <v>Melting_Curves/meltCurve_C9K0J5_RAPH1.pdf</v>
      </c>
    </row>
    <row r="316" spans="1:28" x14ac:dyDescent="0.25">
      <c r="A316" t="s">
        <v>320</v>
      </c>
      <c r="B316">
        <v>0.99930955844802105</v>
      </c>
      <c r="C316">
        <v>0.912515320597591</v>
      </c>
      <c r="D316">
        <v>0.788205017962746</v>
      </c>
      <c r="E316">
        <v>0.64758136655815102</v>
      </c>
      <c r="F316">
        <v>0.47230759257562799</v>
      </c>
      <c r="G316">
        <v>0.28430978792474598</v>
      </c>
      <c r="H316">
        <v>0.17045957351141899</v>
      </c>
      <c r="I316">
        <v>0.14107244093058399</v>
      </c>
      <c r="J316">
        <v>0.145006513410921</v>
      </c>
      <c r="K316">
        <v>0.10270584856833501</v>
      </c>
      <c r="L316">
        <v>608.63043661881204</v>
      </c>
      <c r="M316">
        <v>11.7797392206769</v>
      </c>
      <c r="N316">
        <v>52.241541316562497</v>
      </c>
      <c r="O316">
        <v>50.245996888507598</v>
      </c>
      <c r="P316">
        <v>-5.5066995415681802E-2</v>
      </c>
      <c r="Q316">
        <v>6.0699189585601901E-2</v>
      </c>
      <c r="R316">
        <v>0.99613891743816196</v>
      </c>
      <c r="S316" t="s">
        <v>6933</v>
      </c>
      <c r="T316" t="s">
        <v>13232</v>
      </c>
      <c r="U316" t="s">
        <v>13232</v>
      </c>
      <c r="V316" t="s">
        <v>13232</v>
      </c>
      <c r="W316" t="s">
        <v>13542</v>
      </c>
      <c r="X316">
        <v>5</v>
      </c>
      <c r="Y316" t="s">
        <v>20080</v>
      </c>
      <c r="Z316" t="s">
        <v>26447</v>
      </c>
      <c r="AA316">
        <v>0.45612232592600771</v>
      </c>
      <c r="AB316" t="str">
        <f>HYPERLINK("Melting_Curves/meltCurve_D3YTB1_RPL32.pdf", "Melting_Curves/meltCurve_D3YTB1_RPL32.pdf")</f>
        <v>Melting_Curves/meltCurve_D3YTB1_RPL32.pdf</v>
      </c>
    </row>
    <row r="317" spans="1:28" x14ac:dyDescent="0.25">
      <c r="A317" t="s">
        <v>321</v>
      </c>
      <c r="B317">
        <v>0.99930955844802105</v>
      </c>
      <c r="C317">
        <v>0.99460780968791396</v>
      </c>
      <c r="D317">
        <v>0.980810530153295</v>
      </c>
      <c r="E317">
        <v>0.96186780758545298</v>
      </c>
      <c r="F317">
        <v>0.89618612238270301</v>
      </c>
      <c r="G317">
        <v>0.72378428551756002</v>
      </c>
      <c r="H317">
        <v>0.61849348124417602</v>
      </c>
      <c r="I317">
        <v>0.64305802996315997</v>
      </c>
      <c r="J317">
        <v>0.574460015897161</v>
      </c>
      <c r="K317">
        <v>0.49801206923880798</v>
      </c>
      <c r="L317">
        <v>897.02251477146001</v>
      </c>
      <c r="M317">
        <v>15.8128874490458</v>
      </c>
      <c r="O317">
        <v>55.843322165133998</v>
      </c>
      <c r="P317">
        <v>-3.4112965730466398E-2</v>
      </c>
      <c r="Q317">
        <v>0.51815892100743</v>
      </c>
      <c r="R317">
        <v>0.98041744478364401</v>
      </c>
      <c r="S317" t="s">
        <v>6934</v>
      </c>
      <c r="T317" t="s">
        <v>13232</v>
      </c>
      <c r="U317" t="s">
        <v>13232</v>
      </c>
      <c r="V317" t="s">
        <v>13232</v>
      </c>
      <c r="W317" t="s">
        <v>13543</v>
      </c>
      <c r="X317">
        <v>17</v>
      </c>
      <c r="Y317" t="s">
        <v>20081</v>
      </c>
      <c r="Z317" t="s">
        <v>26448</v>
      </c>
      <c r="AA317">
        <v>0.79442623575027116</v>
      </c>
      <c r="AB317" t="str">
        <f>HYPERLINK("Melting_Curves/meltCurve_D3YTE0_KRI1.pdf", "Melting_Curves/meltCurve_D3YTE0_KRI1.pdf")</f>
        <v>Melting_Curves/meltCurve_D3YTE0_KRI1.pdf</v>
      </c>
    </row>
    <row r="318" spans="1:28" x14ac:dyDescent="0.25">
      <c r="A318" t="s">
        <v>322</v>
      </c>
      <c r="B318">
        <v>0.99930955844802105</v>
      </c>
      <c r="C318">
        <v>0.97147453258035499</v>
      </c>
      <c r="D318">
        <v>0.94926957761339603</v>
      </c>
      <c r="E318">
        <v>0.90738444700694298</v>
      </c>
      <c r="F318">
        <v>0.77154826615183303</v>
      </c>
      <c r="G318">
        <v>0.65460420483111703</v>
      </c>
      <c r="H318">
        <v>0.59231044867609695</v>
      </c>
      <c r="I318">
        <v>0.62931689099191301</v>
      </c>
      <c r="J318">
        <v>0.61128283125359795</v>
      </c>
      <c r="K318">
        <v>0.51694016991393199</v>
      </c>
      <c r="L318">
        <v>872.55952820974403</v>
      </c>
      <c r="M318">
        <v>16.4665064333877</v>
      </c>
      <c r="O318">
        <v>52.226928827067198</v>
      </c>
      <c r="P318">
        <v>-3.4498169351083803E-2</v>
      </c>
      <c r="Q318">
        <v>0.56235832158661703</v>
      </c>
      <c r="R318">
        <v>0.97385162293058702</v>
      </c>
      <c r="S318" t="s">
        <v>6935</v>
      </c>
      <c r="T318" t="s">
        <v>13232</v>
      </c>
      <c r="U318" t="s">
        <v>13232</v>
      </c>
      <c r="V318" t="s">
        <v>13232</v>
      </c>
      <c r="W318" t="s">
        <v>13544</v>
      </c>
      <c r="X318">
        <v>5</v>
      </c>
      <c r="Y318" t="s">
        <v>20082</v>
      </c>
      <c r="Z318" t="s">
        <v>26449</v>
      </c>
      <c r="AA318">
        <v>0.76008710728086093</v>
      </c>
      <c r="AB318" t="str">
        <f>HYPERLINK("Melting_Curves/meltCurve_D3YTE1_PHF20L1.pdf", "Melting_Curves/meltCurve_D3YTE1_PHF20L1.pdf")</f>
        <v>Melting_Curves/meltCurve_D3YTE1_PHF20L1.pdf</v>
      </c>
    </row>
    <row r="319" spans="1:28" x14ac:dyDescent="0.25">
      <c r="A319" t="s">
        <v>323</v>
      </c>
      <c r="B319">
        <v>0.99930955844802105</v>
      </c>
      <c r="C319">
        <v>0.92325554163640999</v>
      </c>
      <c r="D319">
        <v>0.80659249362793395</v>
      </c>
      <c r="E319">
        <v>0.52232950881048601</v>
      </c>
      <c r="F319">
        <v>0.32494601514959098</v>
      </c>
      <c r="G319">
        <v>0.19654009328389799</v>
      </c>
      <c r="H319">
        <v>0.106999205627787</v>
      </c>
      <c r="I319">
        <v>8.5021914370356805E-2</v>
      </c>
      <c r="J319">
        <v>7.6814804974727993E-2</v>
      </c>
      <c r="K319">
        <v>4.6563627440911998E-2</v>
      </c>
      <c r="L319">
        <v>757.99660280435796</v>
      </c>
      <c r="M319">
        <v>15.152112975953999</v>
      </c>
      <c r="N319">
        <v>50.3746755308552</v>
      </c>
      <c r="O319">
        <v>49.178716596539999</v>
      </c>
      <c r="P319">
        <v>-7.3196270575375103E-2</v>
      </c>
      <c r="Q319">
        <v>4.9809407415377101E-2</v>
      </c>
      <c r="R319">
        <v>0.99905311162211996</v>
      </c>
      <c r="S319" t="s">
        <v>6936</v>
      </c>
      <c r="T319" t="s">
        <v>13232</v>
      </c>
      <c r="U319" t="s">
        <v>13232</v>
      </c>
      <c r="V319" t="s">
        <v>13232</v>
      </c>
      <c r="W319" t="s">
        <v>13545</v>
      </c>
      <c r="X319">
        <v>7</v>
      </c>
      <c r="Y319" t="s">
        <v>20083</v>
      </c>
      <c r="Z319" t="s">
        <v>26450</v>
      </c>
      <c r="AA319">
        <v>0.38959523028663379</v>
      </c>
      <c r="AB319" t="str">
        <f>HYPERLINK("Melting_Curves/meltCurve_D3YTG6_NDOR1.pdf", "Melting_Curves/meltCurve_D3YTG6_NDOR1.pdf")</f>
        <v>Melting_Curves/meltCurve_D3YTG6_NDOR1.pdf</v>
      </c>
    </row>
    <row r="320" spans="1:28" x14ac:dyDescent="0.25">
      <c r="A320" t="s">
        <v>324</v>
      </c>
      <c r="B320">
        <v>0.99930955844802105</v>
      </c>
      <c r="C320">
        <v>0.95735124248337999</v>
      </c>
      <c r="D320">
        <v>0.85769960227059105</v>
      </c>
      <c r="E320">
        <v>0.78849910488983899</v>
      </c>
      <c r="F320">
        <v>0.78678715997827997</v>
      </c>
      <c r="G320">
        <v>0.69439247242470004</v>
      </c>
      <c r="H320">
        <v>0.61710255976579897</v>
      </c>
      <c r="I320">
        <v>0.66594947474532695</v>
      </c>
      <c r="J320">
        <v>0.56572748295449504</v>
      </c>
      <c r="K320">
        <v>0.45584125736285602</v>
      </c>
      <c r="L320">
        <v>285.86537991543702</v>
      </c>
      <c r="M320">
        <v>4.2361934392333396</v>
      </c>
      <c r="O320">
        <v>56.380172522245303</v>
      </c>
      <c r="P320">
        <v>-1.7539661293736301E-2</v>
      </c>
      <c r="Q320">
        <v>7.6109520060099203E-2</v>
      </c>
      <c r="R320">
        <v>0.94427461343529495</v>
      </c>
      <c r="S320" t="s">
        <v>6937</v>
      </c>
      <c r="T320" t="s">
        <v>13232</v>
      </c>
      <c r="U320" t="s">
        <v>13232</v>
      </c>
      <c r="V320" t="s">
        <v>13232</v>
      </c>
      <c r="W320" t="s">
        <v>13546</v>
      </c>
      <c r="X320">
        <v>2</v>
      </c>
      <c r="Y320" t="s">
        <v>20084</v>
      </c>
      <c r="Z320" t="s">
        <v>26451</v>
      </c>
      <c r="AA320">
        <v>0.73940147852931493</v>
      </c>
      <c r="AB320" t="str">
        <f>HYPERLINK("Melting_Curves/meltCurve_D6R941_MRPS36.pdf", "Melting_Curves/meltCurve_D6R941_MRPS36.pdf")</f>
        <v>Melting_Curves/meltCurve_D6R941_MRPS36.pdf</v>
      </c>
    </row>
    <row r="321" spans="1:28" x14ac:dyDescent="0.25">
      <c r="A321" t="s">
        <v>325</v>
      </c>
      <c r="B321">
        <v>0.99930955844802105</v>
      </c>
      <c r="C321">
        <v>0.87954846136786602</v>
      </c>
      <c r="D321">
        <v>0.72592342620540695</v>
      </c>
      <c r="E321">
        <v>0.41732542253260901</v>
      </c>
      <c r="F321">
        <v>0.32887793349783501</v>
      </c>
      <c r="G321">
        <v>0.21505560854245101</v>
      </c>
      <c r="H321">
        <v>0.15780670555630499</v>
      </c>
      <c r="I321">
        <v>0.14150869992810799</v>
      </c>
      <c r="J321">
        <v>0.124953443192297</v>
      </c>
      <c r="K321">
        <v>0.117921608237934</v>
      </c>
      <c r="L321">
        <v>732.10681355616805</v>
      </c>
      <c r="M321">
        <v>15.157887636665</v>
      </c>
      <c r="N321">
        <v>49.194903474913197</v>
      </c>
      <c r="O321">
        <v>47.481496609743502</v>
      </c>
      <c r="P321">
        <v>-7.0187924440001298E-2</v>
      </c>
      <c r="Q321">
        <v>0.12064143703215099</v>
      </c>
      <c r="R321">
        <v>0.99654762769048599</v>
      </c>
      <c r="S321" t="s">
        <v>6938</v>
      </c>
      <c r="T321" t="s">
        <v>13232</v>
      </c>
      <c r="U321" t="s">
        <v>13232</v>
      </c>
      <c r="V321" t="s">
        <v>13232</v>
      </c>
      <c r="W321" t="s">
        <v>13547</v>
      </c>
      <c r="X321">
        <v>2</v>
      </c>
      <c r="Y321" t="s">
        <v>20085</v>
      </c>
      <c r="Z321" t="s">
        <v>26452</v>
      </c>
      <c r="AA321">
        <v>0.3857654936008893</v>
      </c>
      <c r="AB321" t="str">
        <f>HYPERLINK("Melting_Curves/meltCurve_D6R992_RELB.pdf", "Melting_Curves/meltCurve_D6R992_RELB.pdf")</f>
        <v>Melting_Curves/meltCurve_D6R992_RELB.pdf</v>
      </c>
    </row>
    <row r="322" spans="1:28" x14ac:dyDescent="0.25">
      <c r="A322" t="s">
        <v>326</v>
      </c>
      <c r="B322">
        <v>0.99930955844802105</v>
      </c>
      <c r="C322">
        <v>1.13493491952637</v>
      </c>
      <c r="D322">
        <v>1.0274058640770301</v>
      </c>
      <c r="E322">
        <v>0.93961686532087096</v>
      </c>
      <c r="F322">
        <v>0.67764146912363399</v>
      </c>
      <c r="G322">
        <v>0.32961519071038198</v>
      </c>
      <c r="H322">
        <v>0.21459204494906001</v>
      </c>
      <c r="I322">
        <v>0.19930010786927699</v>
      </c>
      <c r="J322">
        <v>0.17328348581324901</v>
      </c>
      <c r="K322">
        <v>0.136423462614957</v>
      </c>
      <c r="L322">
        <v>1518.64803808647</v>
      </c>
      <c r="M322">
        <v>28.120869246619801</v>
      </c>
      <c r="N322">
        <v>54.8104733817528</v>
      </c>
      <c r="O322">
        <v>53.733428097640001</v>
      </c>
      <c r="P322">
        <v>-0.108676656790829</v>
      </c>
      <c r="Q322">
        <v>0.169368624794318</v>
      </c>
      <c r="R322">
        <v>0.98568005477915899</v>
      </c>
      <c r="S322" t="s">
        <v>6939</v>
      </c>
      <c r="T322" t="s">
        <v>13232</v>
      </c>
      <c r="U322" t="s">
        <v>13232</v>
      </c>
      <c r="V322" t="s">
        <v>13232</v>
      </c>
      <c r="W322" t="s">
        <v>13548</v>
      </c>
      <c r="X322">
        <v>3</v>
      </c>
      <c r="Y322" t="s">
        <v>20086</v>
      </c>
      <c r="Z322" t="s">
        <v>26453</v>
      </c>
      <c r="AA322">
        <v>0.56329115054460799</v>
      </c>
      <c r="AB322" t="str">
        <f>HYPERLINK("Melting_Curves/meltCurve_D6R9E3_MND1.pdf", "Melting_Curves/meltCurve_D6R9E3_MND1.pdf")</f>
        <v>Melting_Curves/meltCurve_D6R9E3_MND1.pdf</v>
      </c>
    </row>
    <row r="323" spans="1:28" x14ac:dyDescent="0.25">
      <c r="A323" t="s">
        <v>327</v>
      </c>
      <c r="B323">
        <v>0.99930955844802105</v>
      </c>
      <c r="C323">
        <v>1.52281858612044</v>
      </c>
      <c r="D323">
        <v>1.50633995943669</v>
      </c>
      <c r="E323">
        <v>1.33619088752158</v>
      </c>
      <c r="F323">
        <v>1.3552391836120501</v>
      </c>
      <c r="G323">
        <v>1.51137488781445</v>
      </c>
      <c r="H323">
        <v>1.77064915200394</v>
      </c>
      <c r="I323">
        <v>1.9422575919851099</v>
      </c>
      <c r="J323">
        <v>2.24049515020682</v>
      </c>
      <c r="K323">
        <v>1.6870118461302801</v>
      </c>
      <c r="L323">
        <v>10287.742617517401</v>
      </c>
      <c r="M323">
        <v>250</v>
      </c>
      <c r="O323">
        <v>41.148337054940299</v>
      </c>
      <c r="P323">
        <v>0.75944745896252597</v>
      </c>
      <c r="Q323">
        <v>1.5</v>
      </c>
      <c r="R323">
        <v>0.16246566475524599</v>
      </c>
      <c r="S323" t="s">
        <v>6940</v>
      </c>
      <c r="T323" t="s">
        <v>13232</v>
      </c>
      <c r="U323" t="s">
        <v>13232</v>
      </c>
      <c r="V323" t="s">
        <v>13232</v>
      </c>
      <c r="W323" t="s">
        <v>13549</v>
      </c>
      <c r="X323">
        <v>7</v>
      </c>
      <c r="Y323" t="s">
        <v>20087</v>
      </c>
      <c r="Z323" t="s">
        <v>26454</v>
      </c>
      <c r="AA323">
        <v>1.480779117172623</v>
      </c>
      <c r="AB323" t="str">
        <f>HYPERLINK("Melting_Curves/meltCurve_D6R9J8_MEF2C.pdf", "Melting_Curves/meltCurve_D6R9J8_MEF2C.pdf")</f>
        <v>Melting_Curves/meltCurve_D6R9J8_MEF2C.pdf</v>
      </c>
    </row>
    <row r="324" spans="1:28" x14ac:dyDescent="0.25">
      <c r="A324" t="s">
        <v>328</v>
      </c>
      <c r="B324">
        <v>0.99930955844802105</v>
      </c>
      <c r="C324">
        <v>0.96712521982671895</v>
      </c>
      <c r="D324">
        <v>1.0281007741184101</v>
      </c>
      <c r="E324">
        <v>0.94284535787486101</v>
      </c>
      <c r="F324">
        <v>0.76802747338440502</v>
      </c>
      <c r="G324">
        <v>0.67651501631564004</v>
      </c>
      <c r="H324">
        <v>0.52758042544106798</v>
      </c>
      <c r="I324">
        <v>0.542166733892264</v>
      </c>
      <c r="J324">
        <v>0.53989572331578395</v>
      </c>
      <c r="K324">
        <v>0.41855475408141701</v>
      </c>
      <c r="L324">
        <v>922.28387200733505</v>
      </c>
      <c r="M324">
        <v>16.786824113152498</v>
      </c>
      <c r="N324">
        <v>65.425102288799494</v>
      </c>
      <c r="O324">
        <v>54.1790380746883</v>
      </c>
      <c r="P324">
        <v>-4.1361602638348101E-2</v>
      </c>
      <c r="Q324">
        <v>0.466060716667553</v>
      </c>
      <c r="R324">
        <v>0.97051030281107298</v>
      </c>
      <c r="S324" t="s">
        <v>6941</v>
      </c>
      <c r="T324" t="s">
        <v>13232</v>
      </c>
      <c r="U324" t="s">
        <v>13232</v>
      </c>
      <c r="V324" t="s">
        <v>13232</v>
      </c>
      <c r="W324" t="s">
        <v>13550</v>
      </c>
      <c r="X324">
        <v>9</v>
      </c>
      <c r="Y324" t="s">
        <v>20088</v>
      </c>
      <c r="Z324" t="s">
        <v>26455</v>
      </c>
      <c r="AA324">
        <v>0.74104837095440501</v>
      </c>
      <c r="AB324" t="str">
        <f>HYPERLINK("Melting_Curves/meltCurve_D6R9P3_HNRNPAB.pdf", "Melting_Curves/meltCurve_D6R9P3_HNRNPAB.pdf")</f>
        <v>Melting_Curves/meltCurve_D6R9P3_HNRNPAB.pdf</v>
      </c>
    </row>
    <row r="325" spans="1:28" x14ac:dyDescent="0.25">
      <c r="A325" t="s">
        <v>329</v>
      </c>
      <c r="B325">
        <v>0.99930955844802105</v>
      </c>
      <c r="C325">
        <v>1.03494720062421</v>
      </c>
      <c r="D325">
        <v>1.0277407273519601</v>
      </c>
      <c r="E325">
        <v>1.0492239936741701</v>
      </c>
      <c r="F325">
        <v>0.91676490226805596</v>
      </c>
      <c r="G325">
        <v>0.92332558680042298</v>
      </c>
      <c r="H325">
        <v>0.92233777916062998</v>
      </c>
      <c r="I325">
        <v>0.99599422881195998</v>
      </c>
      <c r="J325">
        <v>0.96990765745310503</v>
      </c>
      <c r="K325">
        <v>0.806961418109991</v>
      </c>
      <c r="L325">
        <v>3017.4226434878401</v>
      </c>
      <c r="M325">
        <v>41.672492791224499</v>
      </c>
      <c r="Q325">
        <v>0</v>
      </c>
      <c r="R325">
        <v>0.52601012942106096</v>
      </c>
      <c r="S325" t="s">
        <v>6942</v>
      </c>
      <c r="T325" t="s">
        <v>13232</v>
      </c>
      <c r="U325" t="s">
        <v>13232</v>
      </c>
      <c r="V325" t="s">
        <v>13232</v>
      </c>
      <c r="W325" t="s">
        <v>13551</v>
      </c>
      <c r="X325">
        <v>5</v>
      </c>
      <c r="Y325" t="s">
        <v>20089</v>
      </c>
      <c r="Z325" t="s">
        <v>26456</v>
      </c>
      <c r="AA325">
        <v>0.98895261676193336</v>
      </c>
      <c r="AB325" t="str">
        <f>HYPERLINK("Melting_Curves/meltCurve_D6R9S4_MLF1IP.pdf", "Melting_Curves/meltCurve_D6R9S4_MLF1IP.pdf")</f>
        <v>Melting_Curves/meltCurve_D6R9S4_MLF1IP.pdf</v>
      </c>
    </row>
    <row r="326" spans="1:28" x14ac:dyDescent="0.25">
      <c r="A326" t="s">
        <v>330</v>
      </c>
      <c r="B326">
        <v>0.99930955844802105</v>
      </c>
      <c r="C326">
        <v>1.02662605363721</v>
      </c>
      <c r="D326">
        <v>1.0194581534698799</v>
      </c>
      <c r="E326">
        <v>1.1431849468326201</v>
      </c>
      <c r="F326">
        <v>1.1530367632018801</v>
      </c>
      <c r="G326">
        <v>0.856436004519465</v>
      </c>
      <c r="H326">
        <v>0.84392752484959599</v>
      </c>
      <c r="I326">
        <v>0.84035749996851605</v>
      </c>
      <c r="J326">
        <v>0.88095994388830301</v>
      </c>
      <c r="K326">
        <v>0.73911737004223899</v>
      </c>
      <c r="L326">
        <v>14161.4143956394</v>
      </c>
      <c r="M326">
        <v>250</v>
      </c>
      <c r="O326">
        <v>56.642032693340802</v>
      </c>
      <c r="P326">
        <v>-0.19189528444493101</v>
      </c>
      <c r="Q326">
        <v>0.826090576775657</v>
      </c>
      <c r="R326">
        <v>0.67556306884898099</v>
      </c>
      <c r="S326" t="s">
        <v>6943</v>
      </c>
      <c r="T326" t="s">
        <v>13232</v>
      </c>
      <c r="U326" t="s">
        <v>13232</v>
      </c>
      <c r="V326" t="s">
        <v>13232</v>
      </c>
      <c r="W326" t="s">
        <v>13552</v>
      </c>
      <c r="X326">
        <v>3</v>
      </c>
      <c r="Y326" t="s">
        <v>20090</v>
      </c>
      <c r="Z326" t="s">
        <v>26457</v>
      </c>
      <c r="AA326">
        <v>0.92260242248135704</v>
      </c>
      <c r="AB326" t="str">
        <f>HYPERLINK("Melting_Curves/meltCurve_D6R9U7_POLR3G.pdf", "Melting_Curves/meltCurve_D6R9U7_POLR3G.pdf")</f>
        <v>Melting_Curves/meltCurve_D6R9U7_POLR3G.pdf</v>
      </c>
    </row>
    <row r="327" spans="1:28" x14ac:dyDescent="0.25">
      <c r="A327" t="s">
        <v>331</v>
      </c>
      <c r="B327">
        <v>0.99930955844802105</v>
      </c>
      <c r="C327">
        <v>0.99522390748824097</v>
      </c>
      <c r="D327">
        <v>1.0304524288151</v>
      </c>
      <c r="E327">
        <v>1.03763298798326</v>
      </c>
      <c r="F327">
        <v>0.96776467135966304</v>
      </c>
      <c r="G327">
        <v>0.74127277485325005</v>
      </c>
      <c r="H327">
        <v>0.571094930100701</v>
      </c>
      <c r="I327">
        <v>0.34129232604597398</v>
      </c>
      <c r="J327">
        <v>0.162167228610263</v>
      </c>
      <c r="K327">
        <v>5.9254625041596898E-2</v>
      </c>
      <c r="L327">
        <v>1132.2624950100001</v>
      </c>
      <c r="M327">
        <v>18.4333018203214</v>
      </c>
      <c r="N327">
        <v>61.424835627032003</v>
      </c>
      <c r="O327">
        <v>60.715608793369697</v>
      </c>
      <c r="P327">
        <v>-7.5903586681758103E-2</v>
      </c>
      <c r="Q327">
        <v>0</v>
      </c>
      <c r="R327">
        <v>0.99102035772508301</v>
      </c>
      <c r="S327" t="s">
        <v>6944</v>
      </c>
      <c r="T327" t="s">
        <v>13232</v>
      </c>
      <c r="U327" t="s">
        <v>13232</v>
      </c>
      <c r="V327" t="s">
        <v>13232</v>
      </c>
      <c r="W327" t="s">
        <v>13553</v>
      </c>
      <c r="X327">
        <v>26</v>
      </c>
      <c r="Y327" t="s">
        <v>20091</v>
      </c>
      <c r="Z327" t="s">
        <v>26458</v>
      </c>
      <c r="AA327">
        <v>0.71825153747475101</v>
      </c>
      <c r="AB327" t="str">
        <f>HYPERLINK("Melting_Curves/meltCurve_D6RA32_MAP1B.pdf", "Melting_Curves/meltCurve_D6RA32_MAP1B.pdf")</f>
        <v>Melting_Curves/meltCurve_D6RA32_MAP1B.pdf</v>
      </c>
    </row>
    <row r="328" spans="1:28" x14ac:dyDescent="0.25">
      <c r="A328" t="s">
        <v>332</v>
      </c>
      <c r="B328">
        <v>0.99930955844802105</v>
      </c>
      <c r="C328">
        <v>0.97443721998195498</v>
      </c>
      <c r="D328">
        <v>1.0009674035906599</v>
      </c>
      <c r="E328">
        <v>0.71180961090185602</v>
      </c>
      <c r="F328">
        <v>0.549243212396753</v>
      </c>
      <c r="G328">
        <v>0.29420297237120302</v>
      </c>
      <c r="H328">
        <v>0.18847978975103799</v>
      </c>
      <c r="I328">
        <v>6.7632439203610603E-2</v>
      </c>
      <c r="J328">
        <v>0</v>
      </c>
      <c r="K328">
        <v>0</v>
      </c>
      <c r="L328">
        <v>828.138238875517</v>
      </c>
      <c r="M328">
        <v>15.4255725057116</v>
      </c>
      <c r="N328">
        <v>53.686063019814597</v>
      </c>
      <c r="O328">
        <v>52.808074572118102</v>
      </c>
      <c r="P328">
        <v>-7.3033191481783694E-2</v>
      </c>
      <c r="Q328">
        <v>0</v>
      </c>
      <c r="R328">
        <v>0.99197564773927804</v>
      </c>
      <c r="S328" t="s">
        <v>6945</v>
      </c>
      <c r="T328" t="s">
        <v>13232</v>
      </c>
      <c r="U328" t="s">
        <v>13232</v>
      </c>
      <c r="V328" t="s">
        <v>13232</v>
      </c>
      <c r="W328" t="s">
        <v>13554</v>
      </c>
      <c r="X328">
        <v>1</v>
      </c>
      <c r="Y328" t="s">
        <v>20092</v>
      </c>
      <c r="Z328" t="s">
        <v>26459</v>
      </c>
      <c r="AA328">
        <v>0.47630635692900092</v>
      </c>
      <c r="AB328" t="str">
        <f>HYPERLINK("Melting_Curves/meltCurve_D6RAL3_SH3RF1.pdf", "Melting_Curves/meltCurve_D6RAL3_SH3RF1.pdf")</f>
        <v>Melting_Curves/meltCurve_D6RAL3_SH3RF1.pdf</v>
      </c>
    </row>
    <row r="329" spans="1:28" x14ac:dyDescent="0.25">
      <c r="A329" t="s">
        <v>333</v>
      </c>
      <c r="B329">
        <v>0.99930955844802105</v>
      </c>
      <c r="C329">
        <v>1.01234483584895</v>
      </c>
      <c r="D329">
        <v>0.95630265721124297</v>
      </c>
      <c r="E329">
        <v>0.77130938108074898</v>
      </c>
      <c r="F329">
        <v>0.462096633806166</v>
      </c>
      <c r="G329">
        <v>0.298054936963765</v>
      </c>
      <c r="H329">
        <v>0.18329796990623301</v>
      </c>
      <c r="I329">
        <v>0.13835597366928301</v>
      </c>
      <c r="J329">
        <v>0.13199115475339099</v>
      </c>
      <c r="K329">
        <v>9.6217242136314704E-2</v>
      </c>
      <c r="L329">
        <v>1041.84867356778</v>
      </c>
      <c r="M329">
        <v>19.905619203092101</v>
      </c>
      <c r="N329">
        <v>53.057452278304503</v>
      </c>
      <c r="O329">
        <v>51.819777183922298</v>
      </c>
      <c r="P329">
        <v>-8.4696895115611098E-2</v>
      </c>
      <c r="Q329">
        <v>0.118072411759808</v>
      </c>
      <c r="R329">
        <v>0.996237686395267</v>
      </c>
      <c r="S329" t="s">
        <v>6946</v>
      </c>
      <c r="T329" t="s">
        <v>13232</v>
      </c>
      <c r="U329" t="s">
        <v>13232</v>
      </c>
      <c r="V329" t="s">
        <v>13232</v>
      </c>
      <c r="W329" t="s">
        <v>13555</v>
      </c>
      <c r="X329">
        <v>14</v>
      </c>
      <c r="Y329" t="s">
        <v>20093</v>
      </c>
      <c r="Z329" t="s">
        <v>26460</v>
      </c>
      <c r="AA329">
        <v>0.49310882461025468</v>
      </c>
      <c r="AB329" t="str">
        <f>HYPERLINK("Melting_Curves/meltCurve_D6RAM3_DOK3.pdf", "Melting_Curves/meltCurve_D6RAM3_DOK3.pdf")</f>
        <v>Melting_Curves/meltCurve_D6RAM3_DOK3.pdf</v>
      </c>
    </row>
    <row r="330" spans="1:28" x14ac:dyDescent="0.25">
      <c r="A330" t="s">
        <v>334</v>
      </c>
      <c r="B330">
        <v>0.99930955844802105</v>
      </c>
      <c r="C330">
        <v>0.64563027815922203</v>
      </c>
      <c r="D330">
        <v>0.53801756233391695</v>
      </c>
      <c r="E330">
        <v>0.53223888548952603</v>
      </c>
      <c r="F330">
        <v>0.37774289581104897</v>
      </c>
      <c r="G330">
        <v>0.23487951099344001</v>
      </c>
      <c r="H330">
        <v>0.14632421064003501</v>
      </c>
      <c r="I330">
        <v>0.12172459647475201</v>
      </c>
      <c r="J330">
        <v>0.101924379015606</v>
      </c>
      <c r="K330">
        <v>7.46229784320427E-2</v>
      </c>
      <c r="L330">
        <v>392.921610382214</v>
      </c>
      <c r="M330">
        <v>8.0470992421569001</v>
      </c>
      <c r="N330">
        <v>48.827732888439101</v>
      </c>
      <c r="O330">
        <v>46.089430101475799</v>
      </c>
      <c r="P330">
        <v>-4.3697669932722803E-2</v>
      </c>
      <c r="Q330">
        <v>0</v>
      </c>
      <c r="R330">
        <v>0.94245703935421399</v>
      </c>
      <c r="S330" t="s">
        <v>6947</v>
      </c>
      <c r="T330" t="s">
        <v>13232</v>
      </c>
      <c r="U330" t="s">
        <v>13232</v>
      </c>
      <c r="V330" t="s">
        <v>13232</v>
      </c>
      <c r="W330" t="s">
        <v>13556</v>
      </c>
      <c r="X330">
        <v>4</v>
      </c>
      <c r="Y330" t="s">
        <v>20094</v>
      </c>
      <c r="Z330" t="s">
        <v>26461</v>
      </c>
      <c r="AA330">
        <v>0.36090672641603222</v>
      </c>
      <c r="AB330" t="str">
        <f>HYPERLINK("Melting_Curves/meltCurve_D6RAN4_RPL9.pdf", "Melting_Curves/meltCurve_D6RAN4_RPL9.pdf")</f>
        <v>Melting_Curves/meltCurve_D6RAN4_RPL9.pdf</v>
      </c>
    </row>
    <row r="331" spans="1:28" x14ac:dyDescent="0.25">
      <c r="A331" t="s">
        <v>335</v>
      </c>
      <c r="B331">
        <v>0.99930955844802105</v>
      </c>
      <c r="C331">
        <v>0.98895254476800698</v>
      </c>
      <c r="D331">
        <v>0.86865576940247202</v>
      </c>
      <c r="E331">
        <v>0.85726055118115096</v>
      </c>
      <c r="F331">
        <v>0.75599131447771295</v>
      </c>
      <c r="G331">
        <v>0.82879556246779595</v>
      </c>
      <c r="H331">
        <v>0.788883795558176</v>
      </c>
      <c r="I331">
        <v>0.91121176199051701</v>
      </c>
      <c r="J331">
        <v>0.96524394021430604</v>
      </c>
      <c r="K331">
        <v>0.72231743432951301</v>
      </c>
      <c r="L331">
        <v>2426.1260431134701</v>
      </c>
      <c r="M331">
        <v>54.004164488928303</v>
      </c>
      <c r="O331">
        <v>44.863320299585098</v>
      </c>
      <c r="P331">
        <v>-5.03735162311452E-2</v>
      </c>
      <c r="Q331">
        <v>0.83261129602813899</v>
      </c>
      <c r="R331">
        <v>0.47787096876247898</v>
      </c>
      <c r="S331" t="s">
        <v>6948</v>
      </c>
      <c r="T331" t="s">
        <v>13232</v>
      </c>
      <c r="U331" t="s">
        <v>13232</v>
      </c>
      <c r="V331" t="s">
        <v>13232</v>
      </c>
      <c r="W331" t="s">
        <v>13557</v>
      </c>
      <c r="X331">
        <v>1</v>
      </c>
      <c r="Y331" t="s">
        <v>20095</v>
      </c>
      <c r="Z331" t="s">
        <v>26462</v>
      </c>
      <c r="AA331">
        <v>0.86037852608870258</v>
      </c>
      <c r="AB331" t="str">
        <f>HYPERLINK("Melting_Curves/meltCurve_D6RAV1_NEIL3.pdf", "Melting_Curves/meltCurve_D6RAV1_NEIL3.pdf")</f>
        <v>Melting_Curves/meltCurve_D6RAV1_NEIL3.pdf</v>
      </c>
    </row>
    <row r="332" spans="1:28" x14ac:dyDescent="0.25">
      <c r="A332" t="s">
        <v>336</v>
      </c>
      <c r="B332">
        <v>0.99930955844802105</v>
      </c>
      <c r="C332">
        <v>1.08940253845377</v>
      </c>
      <c r="D332">
        <v>1.0206647242412701</v>
      </c>
      <c r="E332">
        <v>0.94252354924467396</v>
      </c>
      <c r="F332">
        <v>0.79133062370887697</v>
      </c>
      <c r="G332">
        <v>0.74765216213413699</v>
      </c>
      <c r="H332">
        <v>0.75841720571520799</v>
      </c>
      <c r="I332">
        <v>0.91459231599713797</v>
      </c>
      <c r="J332">
        <v>0.87035806239068203</v>
      </c>
      <c r="K332">
        <v>0.68108702109809105</v>
      </c>
      <c r="L332">
        <v>12547.499961658899</v>
      </c>
      <c r="M332">
        <v>250</v>
      </c>
      <c r="O332">
        <v>50.186767454633497</v>
      </c>
      <c r="P332">
        <v>-0.256658468339441</v>
      </c>
      <c r="Q332">
        <v>0.79390617339671199</v>
      </c>
      <c r="R332">
        <v>0.72376217252173702</v>
      </c>
      <c r="S332" t="s">
        <v>6949</v>
      </c>
      <c r="T332" t="s">
        <v>13232</v>
      </c>
      <c r="U332" t="s">
        <v>13232</v>
      </c>
      <c r="V332" t="s">
        <v>13232</v>
      </c>
      <c r="W332" t="s">
        <v>13558</v>
      </c>
      <c r="X332">
        <v>3</v>
      </c>
      <c r="Y332" t="s">
        <v>20096</v>
      </c>
      <c r="Z332" t="s">
        <v>26463</v>
      </c>
      <c r="AA332">
        <v>0.86392752874027645</v>
      </c>
      <c r="AB332" t="str">
        <f>HYPERLINK("Melting_Curves/meltCurve_D6RBE0_CXXC5.pdf", "Melting_Curves/meltCurve_D6RBE0_CXXC5.pdf")</f>
        <v>Melting_Curves/meltCurve_D6RBE0_CXXC5.pdf</v>
      </c>
    </row>
    <row r="333" spans="1:28" x14ac:dyDescent="0.25">
      <c r="A333" t="s">
        <v>337</v>
      </c>
      <c r="B333">
        <v>0.99930955844802105</v>
      </c>
      <c r="C333">
        <v>1.09858832414865</v>
      </c>
      <c r="D333">
        <v>1.07063868179388</v>
      </c>
      <c r="E333">
        <v>1.18970213479925</v>
      </c>
      <c r="F333">
        <v>1.1173296523229199</v>
      </c>
      <c r="G333">
        <v>0.94329868501916803</v>
      </c>
      <c r="H333">
        <v>1.0097972089607099</v>
      </c>
      <c r="I333">
        <v>1.1201323362198701</v>
      </c>
      <c r="J333">
        <v>1.0743022446725901</v>
      </c>
      <c r="K333">
        <v>0.86826899854579997</v>
      </c>
      <c r="L333">
        <v>15000</v>
      </c>
      <c r="M333">
        <v>212.39991601797999</v>
      </c>
      <c r="Q333">
        <v>0</v>
      </c>
      <c r="R333">
        <v>-8.3927418858783701E-2</v>
      </c>
      <c r="S333" t="s">
        <v>6950</v>
      </c>
      <c r="T333" t="s">
        <v>13232</v>
      </c>
      <c r="U333" t="s">
        <v>13232</v>
      </c>
      <c r="V333" t="s">
        <v>13232</v>
      </c>
      <c r="W333" t="s">
        <v>13559</v>
      </c>
      <c r="X333">
        <v>7</v>
      </c>
      <c r="Y333" t="s">
        <v>20097</v>
      </c>
      <c r="Z333" t="s">
        <v>26464</v>
      </c>
      <c r="AA333">
        <v>0.99847664983095685</v>
      </c>
      <c r="AB333" t="str">
        <f>HYPERLINK("Melting_Curves/meltCurve_D6RBN5_OCIAD1.pdf", "Melting_Curves/meltCurve_D6RBN5_OCIAD1.pdf")</f>
        <v>Melting_Curves/meltCurve_D6RBN5_OCIAD1.pdf</v>
      </c>
    </row>
    <row r="334" spans="1:28" x14ac:dyDescent="0.25">
      <c r="A334" t="s">
        <v>338</v>
      </c>
      <c r="B334">
        <v>0.99930955844802105</v>
      </c>
      <c r="C334">
        <v>0.87447756277827304</v>
      </c>
      <c r="D334">
        <v>0.71880527603080202</v>
      </c>
      <c r="E334">
        <v>0.78743018612233195</v>
      </c>
      <c r="F334">
        <v>0.65870188452514</v>
      </c>
      <c r="G334">
        <v>0.47123383483168302</v>
      </c>
      <c r="H334">
        <v>0.32664267782578099</v>
      </c>
      <c r="I334">
        <v>0.37536818736049399</v>
      </c>
      <c r="J334">
        <v>0.37102860911011598</v>
      </c>
      <c r="K334">
        <v>0.33355538803755702</v>
      </c>
      <c r="L334">
        <v>437.14641698112598</v>
      </c>
      <c r="M334">
        <v>8.2854035343194692</v>
      </c>
      <c r="N334">
        <v>56.8757992217691</v>
      </c>
      <c r="O334">
        <v>49.955428178014401</v>
      </c>
      <c r="P334">
        <v>-3.21483966762066E-2</v>
      </c>
      <c r="Q334">
        <v>0.22543497583914501</v>
      </c>
      <c r="R334">
        <v>0.937182348173763</v>
      </c>
      <c r="S334" t="s">
        <v>6951</v>
      </c>
      <c r="T334" t="s">
        <v>13232</v>
      </c>
      <c r="U334" t="s">
        <v>13232</v>
      </c>
      <c r="V334" t="s">
        <v>13232</v>
      </c>
      <c r="W334" t="s">
        <v>13560</v>
      </c>
      <c r="X334">
        <v>1</v>
      </c>
      <c r="Y334" t="s">
        <v>20098</v>
      </c>
      <c r="Z334" t="s">
        <v>26465</v>
      </c>
      <c r="AA334">
        <v>0.58681478800863307</v>
      </c>
      <c r="AB334" t="str">
        <f>HYPERLINK("Melting_Curves/meltCurve_D6RC71_STX18.pdf", "Melting_Curves/meltCurve_D6RC71_STX18.pdf")</f>
        <v>Melting_Curves/meltCurve_D6RC71_STX18.pdf</v>
      </c>
    </row>
    <row r="335" spans="1:28" x14ac:dyDescent="0.25">
      <c r="A335" t="s">
        <v>339</v>
      </c>
      <c r="B335">
        <v>0.99930955844802105</v>
      </c>
      <c r="C335">
        <v>0.75601189957739501</v>
      </c>
      <c r="D335">
        <v>0.68631279981205995</v>
      </c>
      <c r="E335">
        <v>0.66340179518720999</v>
      </c>
      <c r="F335">
        <v>0.46221145404479902</v>
      </c>
      <c r="G335">
        <v>0.26622597402106501</v>
      </c>
      <c r="H335">
        <v>9.8078715372303601E-2</v>
      </c>
      <c r="I335">
        <v>7.6618448172804998E-2</v>
      </c>
      <c r="J335">
        <v>5.5820115205662602E-2</v>
      </c>
      <c r="K335">
        <v>4.4113664848246199E-2</v>
      </c>
      <c r="L335">
        <v>517.16624411650002</v>
      </c>
      <c r="M335">
        <v>10.111443692644301</v>
      </c>
      <c r="N335">
        <v>51.146606864899397</v>
      </c>
      <c r="O335">
        <v>49.267019457074902</v>
      </c>
      <c r="P335">
        <v>-5.1333320781298201E-2</v>
      </c>
      <c r="Q335">
        <v>0</v>
      </c>
      <c r="R335">
        <v>0.96119666744349797</v>
      </c>
      <c r="S335" t="s">
        <v>6952</v>
      </c>
      <c r="T335" t="s">
        <v>13232</v>
      </c>
      <c r="U335" t="s">
        <v>13232</v>
      </c>
      <c r="V335" t="s">
        <v>13232</v>
      </c>
      <c r="W335" t="s">
        <v>13561</v>
      </c>
      <c r="X335">
        <v>6</v>
      </c>
      <c r="Y335" t="s">
        <v>20099</v>
      </c>
      <c r="Z335" t="s">
        <v>26466</v>
      </c>
      <c r="AA335">
        <v>0.41206604144758913</v>
      </c>
      <c r="AB335" t="str">
        <f>HYPERLINK("Melting_Curves/meltCurve_D6RCD0_HSD17B11.pdf", "Melting_Curves/meltCurve_D6RCD0_HSD17B11.pdf")</f>
        <v>Melting_Curves/meltCurve_D6RCD0_HSD17B11.pdf</v>
      </c>
    </row>
    <row r="336" spans="1:28" x14ac:dyDescent="0.25">
      <c r="A336" t="s">
        <v>340</v>
      </c>
      <c r="B336">
        <v>0.99930955844802105</v>
      </c>
      <c r="C336">
        <v>0.97040500548645303</v>
      </c>
      <c r="D336">
        <v>0.87775283166072104</v>
      </c>
      <c r="E336">
        <v>0.79976000607459297</v>
      </c>
      <c r="F336">
        <v>0.535753427254825</v>
      </c>
      <c r="G336">
        <v>0.32404298257959402</v>
      </c>
      <c r="H336">
        <v>0.138706095688783</v>
      </c>
      <c r="I336">
        <v>9.3785690722988604E-2</v>
      </c>
      <c r="J336">
        <v>6.4634045182159705E-2</v>
      </c>
      <c r="K336">
        <v>6.2304744719664101E-2</v>
      </c>
      <c r="L336">
        <v>805.310790579372</v>
      </c>
      <c r="M336">
        <v>14.996748919656699</v>
      </c>
      <c r="N336">
        <v>53.8329963529427</v>
      </c>
      <c r="O336">
        <v>52.771348915544301</v>
      </c>
      <c r="P336">
        <v>-6.9751638611082301E-2</v>
      </c>
      <c r="Q336">
        <v>1.83165055380335E-2</v>
      </c>
      <c r="R336">
        <v>0.99599615671798902</v>
      </c>
      <c r="S336" t="s">
        <v>6953</v>
      </c>
      <c r="T336" t="s">
        <v>13232</v>
      </c>
      <c r="U336" t="s">
        <v>13232</v>
      </c>
      <c r="V336" t="s">
        <v>13232</v>
      </c>
      <c r="W336" t="s">
        <v>13562</v>
      </c>
      <c r="X336">
        <v>3</v>
      </c>
      <c r="Y336" t="s">
        <v>20100</v>
      </c>
      <c r="Z336" t="s">
        <v>26467</v>
      </c>
      <c r="AA336">
        <v>0.48705097354315918</v>
      </c>
      <c r="AB336" t="str">
        <f>HYPERLINK("Melting_Curves/meltCurve_D6RD24_UBE3D.pdf", "Melting_Curves/meltCurve_D6RD24_UBE3D.pdf")</f>
        <v>Melting_Curves/meltCurve_D6RD24_UBE3D.pdf</v>
      </c>
    </row>
    <row r="337" spans="1:28" x14ac:dyDescent="0.25">
      <c r="A337" t="s">
        <v>341</v>
      </c>
      <c r="B337">
        <v>0.99930955844802105</v>
      </c>
      <c r="C337">
        <v>0.96546773201345604</v>
      </c>
      <c r="D337">
        <v>0.67075012444592497</v>
      </c>
      <c r="E337">
        <v>0.53048899542537897</v>
      </c>
      <c r="F337">
        <v>0.38808975018676201</v>
      </c>
      <c r="G337">
        <v>0.357897793251994</v>
      </c>
      <c r="H337">
        <v>0.34262486086931099</v>
      </c>
      <c r="I337">
        <v>0.36568353219738098</v>
      </c>
      <c r="J337">
        <v>0.36692814329235901</v>
      </c>
      <c r="K337">
        <v>0.29217698384185298</v>
      </c>
      <c r="L337">
        <v>953.20468846804295</v>
      </c>
      <c r="M337">
        <v>20.3635822283469</v>
      </c>
      <c r="N337">
        <v>49.6164042456939</v>
      </c>
      <c r="O337">
        <v>46.364883533257199</v>
      </c>
      <c r="P337">
        <v>-7.2249383582940502E-2</v>
      </c>
      <c r="Q337">
        <v>0.34201503750873302</v>
      </c>
      <c r="R337">
        <v>0.97968257078749099</v>
      </c>
      <c r="S337" t="s">
        <v>6954</v>
      </c>
      <c r="T337" t="s">
        <v>13232</v>
      </c>
      <c r="U337" t="s">
        <v>13232</v>
      </c>
      <c r="V337" t="s">
        <v>13232</v>
      </c>
      <c r="W337" t="s">
        <v>13563</v>
      </c>
      <c r="X337">
        <v>3</v>
      </c>
      <c r="Y337" t="s">
        <v>20101</v>
      </c>
      <c r="Z337" t="s">
        <v>26468</v>
      </c>
      <c r="AA337">
        <v>0.50069089734766925</v>
      </c>
      <c r="AB337" t="str">
        <f>HYPERLINK("Melting_Curves/meltCurve_D6RD47_RPS23.pdf", "Melting_Curves/meltCurve_D6RD47_RPS23.pdf")</f>
        <v>Melting_Curves/meltCurve_D6RD47_RPS23.pdf</v>
      </c>
    </row>
    <row r="338" spans="1:28" x14ac:dyDescent="0.25">
      <c r="A338" t="s">
        <v>342</v>
      </c>
      <c r="B338">
        <v>0.99930955844802105</v>
      </c>
      <c r="C338">
        <v>1.07862930901569</v>
      </c>
      <c r="D338">
        <v>1.03208044645056</v>
      </c>
      <c r="E338">
        <v>0.742650067399932</v>
      </c>
      <c r="F338">
        <v>0.349065327874232</v>
      </c>
      <c r="G338">
        <v>0.153040508886014</v>
      </c>
      <c r="H338">
        <v>6.11045237229677E-2</v>
      </c>
      <c r="I338">
        <v>4.1828053308444198E-2</v>
      </c>
      <c r="J338">
        <v>2.9980106008671601E-2</v>
      </c>
      <c r="K338">
        <v>1.8580793592639401E-2</v>
      </c>
      <c r="L338">
        <v>1501.4278736742101</v>
      </c>
      <c r="M338">
        <v>29.0024902579285</v>
      </c>
      <c r="N338">
        <v>51.926793658810801</v>
      </c>
      <c r="O338">
        <v>51.524688029659004</v>
      </c>
      <c r="P338">
        <v>-0.13478423512802801</v>
      </c>
      <c r="Q338">
        <v>4.2197724562208903E-2</v>
      </c>
      <c r="R338">
        <v>0.99303462682235999</v>
      </c>
      <c r="S338" t="s">
        <v>6955</v>
      </c>
      <c r="T338" t="s">
        <v>13232</v>
      </c>
      <c r="U338" t="s">
        <v>13232</v>
      </c>
      <c r="V338" t="s">
        <v>13232</v>
      </c>
      <c r="W338" t="s">
        <v>13564</v>
      </c>
      <c r="X338">
        <v>3</v>
      </c>
      <c r="Y338" t="s">
        <v>20102</v>
      </c>
      <c r="Z338" t="s">
        <v>26469</v>
      </c>
      <c r="AA338">
        <v>0.42446196213764908</v>
      </c>
      <c r="AB338" t="str">
        <f>HYPERLINK("Melting_Curves/meltCurve_D6RDX3_ATG10.pdf", "Melting_Curves/meltCurve_D6RDX3_ATG10.pdf")</f>
        <v>Melting_Curves/meltCurve_D6RDX3_ATG10.pdf</v>
      </c>
    </row>
    <row r="339" spans="1:28" x14ac:dyDescent="0.25">
      <c r="A339" t="s">
        <v>343</v>
      </c>
      <c r="B339">
        <v>0.99930955844802105</v>
      </c>
      <c r="C339">
        <v>0.93624419686544003</v>
      </c>
      <c r="D339">
        <v>0.92882243267404796</v>
      </c>
      <c r="E339">
        <v>0.81489308875839706</v>
      </c>
      <c r="F339">
        <v>0.64991639126710798</v>
      </c>
      <c r="G339">
        <v>0.43712709861034499</v>
      </c>
      <c r="H339">
        <v>0.20453091173244201</v>
      </c>
      <c r="I339">
        <v>0.19647803269749001</v>
      </c>
      <c r="J339">
        <v>0.22045063267519999</v>
      </c>
      <c r="K339">
        <v>0.16632564123206001</v>
      </c>
      <c r="L339">
        <v>842.28004176499701</v>
      </c>
      <c r="M339">
        <v>15.557876035898399</v>
      </c>
      <c r="N339">
        <v>55.286329557443402</v>
      </c>
      <c r="O339">
        <v>53.267707993240698</v>
      </c>
      <c r="P339">
        <v>-6.2945386881432197E-2</v>
      </c>
      <c r="Q339">
        <v>0.13801525230033501</v>
      </c>
      <c r="R339">
        <v>0.99141712357321798</v>
      </c>
      <c r="S339" t="s">
        <v>6956</v>
      </c>
      <c r="T339" t="s">
        <v>13232</v>
      </c>
      <c r="U339" t="s">
        <v>13232</v>
      </c>
      <c r="V339" t="s">
        <v>13232</v>
      </c>
      <c r="W339" t="s">
        <v>13565</v>
      </c>
      <c r="X339">
        <v>2</v>
      </c>
      <c r="Y339" t="s">
        <v>20103</v>
      </c>
      <c r="Z339" t="s">
        <v>26470</v>
      </c>
      <c r="AA339">
        <v>0.56102723562622725</v>
      </c>
      <c r="AB339" t="str">
        <f>HYPERLINK("Melting_Curves/meltCurve_D6REB5_IDUA.pdf", "Melting_Curves/meltCurve_D6REB5_IDUA.pdf")</f>
        <v>Melting_Curves/meltCurve_D6REB5_IDUA.pdf</v>
      </c>
    </row>
    <row r="340" spans="1:28" x14ac:dyDescent="0.25">
      <c r="A340" t="s">
        <v>344</v>
      </c>
      <c r="B340">
        <v>0.99930955844802105</v>
      </c>
      <c r="C340">
        <v>0.96626321303561902</v>
      </c>
      <c r="D340">
        <v>0.98279984269561405</v>
      </c>
      <c r="E340">
        <v>1.0619837627591899</v>
      </c>
      <c r="F340">
        <v>1.1347879985390701</v>
      </c>
      <c r="G340">
        <v>0.97495247889478498</v>
      </c>
      <c r="H340">
        <v>0.40522947009485</v>
      </c>
      <c r="I340">
        <v>0.24656971868947999</v>
      </c>
      <c r="J340">
        <v>0.206267050986156</v>
      </c>
      <c r="K340">
        <v>0.177193719605892</v>
      </c>
      <c r="L340">
        <v>3671.3316556273899</v>
      </c>
      <c r="M340">
        <v>61.2348482373161</v>
      </c>
      <c r="N340">
        <v>60.469092445788199</v>
      </c>
      <c r="O340">
        <v>59.891096837754603</v>
      </c>
      <c r="P340">
        <v>-0.203736551298491</v>
      </c>
      <c r="Q340">
        <v>0.20293746394624601</v>
      </c>
      <c r="R340">
        <v>0.98267591538492705</v>
      </c>
      <c r="S340" t="s">
        <v>6957</v>
      </c>
      <c r="T340" t="s">
        <v>13232</v>
      </c>
      <c r="U340" t="s">
        <v>13232</v>
      </c>
      <c r="V340" t="s">
        <v>13232</v>
      </c>
      <c r="W340" t="s">
        <v>13566</v>
      </c>
      <c r="X340">
        <v>11</v>
      </c>
      <c r="Y340" t="s">
        <v>20104</v>
      </c>
      <c r="Z340" t="s">
        <v>26471</v>
      </c>
      <c r="AA340">
        <v>0.73451244478830668</v>
      </c>
      <c r="AB340" t="str">
        <f>HYPERLINK("Melting_Curves/meltCurve_D6REL5_FAM175A.pdf", "Melting_Curves/meltCurve_D6REL5_FAM175A.pdf")</f>
        <v>Melting_Curves/meltCurve_D6REL5_FAM175A.pdf</v>
      </c>
    </row>
    <row r="341" spans="1:28" x14ac:dyDescent="0.25">
      <c r="A341" t="s">
        <v>345</v>
      </c>
      <c r="B341">
        <v>0.99930955844802105</v>
      </c>
      <c r="C341">
        <v>0.83436819908590698</v>
      </c>
      <c r="D341">
        <v>0.69111373951993205</v>
      </c>
      <c r="E341">
        <v>0.554224890285553</v>
      </c>
      <c r="F341">
        <v>0.46596514333229999</v>
      </c>
      <c r="G341">
        <v>0.38020406650174998</v>
      </c>
      <c r="H341">
        <v>0.349260439694702</v>
      </c>
      <c r="I341">
        <v>0.35710059623687601</v>
      </c>
      <c r="J341">
        <v>0.31944517878508999</v>
      </c>
      <c r="K341">
        <v>0.28948043306111199</v>
      </c>
      <c r="L341">
        <v>592.77465584168499</v>
      </c>
      <c r="M341">
        <v>12.503591715371099</v>
      </c>
      <c r="N341">
        <v>51.297408075623501</v>
      </c>
      <c r="O341">
        <v>46.244702474707204</v>
      </c>
      <c r="P341">
        <v>-4.6904698866034399E-2</v>
      </c>
      <c r="Q341">
        <v>0.306231951453447</v>
      </c>
      <c r="R341">
        <v>0.98745639954571995</v>
      </c>
      <c r="S341" t="s">
        <v>6958</v>
      </c>
      <c r="T341" t="s">
        <v>13232</v>
      </c>
      <c r="U341" t="s">
        <v>13232</v>
      </c>
      <c r="V341" t="s">
        <v>13232</v>
      </c>
      <c r="W341" t="s">
        <v>13567</v>
      </c>
      <c r="X341">
        <v>1</v>
      </c>
      <c r="Y341" t="s">
        <v>20105</v>
      </c>
      <c r="Z341" t="s">
        <v>26472</v>
      </c>
      <c r="AA341">
        <v>0.50377614462393749</v>
      </c>
      <c r="AB341" t="str">
        <f>HYPERLINK("Melting_Curves/meltCurve_D6RF85_ZNF652.pdf", "Melting_Curves/meltCurve_D6RF85_ZNF652.pdf")</f>
        <v>Melting_Curves/meltCurve_D6RF85_ZNF652.pdf</v>
      </c>
    </row>
    <row r="342" spans="1:28" x14ac:dyDescent="0.25">
      <c r="A342" t="s">
        <v>346</v>
      </c>
      <c r="B342">
        <v>0.99930955844802105</v>
      </c>
      <c r="C342">
        <v>0.85473136336859101</v>
      </c>
      <c r="D342">
        <v>0.75245810189421503</v>
      </c>
      <c r="E342">
        <v>0.79788364484763696</v>
      </c>
      <c r="F342">
        <v>0.55655731207621495</v>
      </c>
      <c r="G342">
        <v>0.31016288511517798</v>
      </c>
      <c r="H342">
        <v>0.20138121276679299</v>
      </c>
      <c r="I342">
        <v>0.20465123671260499</v>
      </c>
      <c r="J342">
        <v>0.190247243441411</v>
      </c>
      <c r="K342">
        <v>0.11656800293606601</v>
      </c>
      <c r="L342">
        <v>527.14683252205896</v>
      </c>
      <c r="M342">
        <v>9.8633473109971295</v>
      </c>
      <c r="N342">
        <v>53.810091360832899</v>
      </c>
      <c r="O342">
        <v>51.387194731299999</v>
      </c>
      <c r="P342">
        <v>-4.6456257696783798E-2</v>
      </c>
      <c r="Q342">
        <v>3.2363549399710298E-2</v>
      </c>
      <c r="R342">
        <v>0.96279065335955905</v>
      </c>
      <c r="S342" t="s">
        <v>6959</v>
      </c>
      <c r="T342" t="s">
        <v>13232</v>
      </c>
      <c r="U342" t="s">
        <v>13232</v>
      </c>
      <c r="V342" t="s">
        <v>13232</v>
      </c>
      <c r="W342" t="s">
        <v>13568</v>
      </c>
      <c r="X342">
        <v>2</v>
      </c>
      <c r="Y342" t="s">
        <v>20106</v>
      </c>
      <c r="Z342" t="s">
        <v>26473</v>
      </c>
      <c r="AA342">
        <v>0.49778931283079481</v>
      </c>
      <c r="AB342" t="str">
        <f>HYPERLINK("Melting_Curves/meltCurve_D6RFH4_CYB5B.pdf", "Melting_Curves/meltCurve_D6RFH4_CYB5B.pdf")</f>
        <v>Melting_Curves/meltCurve_D6RFH4_CYB5B.pdf</v>
      </c>
    </row>
    <row r="343" spans="1:28" x14ac:dyDescent="0.25">
      <c r="A343" t="s">
        <v>347</v>
      </c>
      <c r="B343">
        <v>0.99930955844802105</v>
      </c>
      <c r="C343">
        <v>0.88100178885193303</v>
      </c>
      <c r="D343">
        <v>0.92309188055562597</v>
      </c>
      <c r="E343">
        <v>1.00497649425101</v>
      </c>
      <c r="F343">
        <v>0.99444090449775902</v>
      </c>
      <c r="G343">
        <v>0.51607249175103598</v>
      </c>
      <c r="H343">
        <v>0.290583060677294</v>
      </c>
      <c r="I343">
        <v>0.18189994481268701</v>
      </c>
      <c r="J343">
        <v>0.110008819784376</v>
      </c>
      <c r="K343">
        <v>8.1081762961773093E-2</v>
      </c>
      <c r="L343">
        <v>1699.72278422574</v>
      </c>
      <c r="M343">
        <v>29.7678155023162</v>
      </c>
      <c r="N343">
        <v>57.621435203628401</v>
      </c>
      <c r="O343">
        <v>56.843519011052798</v>
      </c>
      <c r="P343">
        <v>-0.115445743586408</v>
      </c>
      <c r="Q343">
        <v>0.11820224520473099</v>
      </c>
      <c r="R343">
        <v>0.97580920657757597</v>
      </c>
      <c r="S343" t="s">
        <v>6960</v>
      </c>
      <c r="T343" t="s">
        <v>13232</v>
      </c>
      <c r="U343" t="s">
        <v>13232</v>
      </c>
      <c r="V343" t="s">
        <v>13232</v>
      </c>
      <c r="W343" t="s">
        <v>13569</v>
      </c>
      <c r="X343">
        <v>26</v>
      </c>
      <c r="Y343" t="s">
        <v>20107</v>
      </c>
      <c r="Z343" t="s">
        <v>26474</v>
      </c>
      <c r="AA343">
        <v>0.62675607229237196</v>
      </c>
      <c r="AB343" t="str">
        <f>HYPERLINK("Melting_Curves/meltCurve_D6RGI3_SEPT11.pdf", "Melting_Curves/meltCurve_D6RGI3_SEPT11.pdf")</f>
        <v>Melting_Curves/meltCurve_D6RGI3_SEPT11.pdf</v>
      </c>
    </row>
    <row r="344" spans="1:28" x14ac:dyDescent="0.25">
      <c r="A344" t="s">
        <v>348</v>
      </c>
      <c r="B344">
        <v>0.99930955844802105</v>
      </c>
      <c r="C344">
        <v>0.78365602154263403</v>
      </c>
      <c r="D344">
        <v>0.65474313335600798</v>
      </c>
      <c r="E344">
        <v>0.67575013710478504</v>
      </c>
      <c r="F344">
        <v>0.31346674564584598</v>
      </c>
      <c r="G344">
        <v>0.134243804454525</v>
      </c>
      <c r="H344">
        <v>7.6655210083258096E-2</v>
      </c>
      <c r="I344">
        <v>5.08239485709693E-2</v>
      </c>
      <c r="J344">
        <v>6.6845727075399597E-2</v>
      </c>
      <c r="K344">
        <v>4.3862038456674801E-2</v>
      </c>
      <c r="L344">
        <v>576.73523250662697</v>
      </c>
      <c r="M344">
        <v>11.5269437898493</v>
      </c>
      <c r="N344">
        <v>50.0336639785546</v>
      </c>
      <c r="O344">
        <v>48.598886221684602</v>
      </c>
      <c r="P344">
        <v>-5.9313040662960399E-2</v>
      </c>
      <c r="Q344">
        <v>0</v>
      </c>
      <c r="R344">
        <v>0.95467641427628802</v>
      </c>
      <c r="S344" t="s">
        <v>6961</v>
      </c>
      <c r="T344" t="s">
        <v>13232</v>
      </c>
      <c r="U344" t="s">
        <v>13232</v>
      </c>
      <c r="V344" t="s">
        <v>13232</v>
      </c>
      <c r="W344" t="s">
        <v>13570</v>
      </c>
      <c r="X344">
        <v>2</v>
      </c>
      <c r="Y344" t="s">
        <v>20108</v>
      </c>
      <c r="Z344" t="s">
        <v>26475</v>
      </c>
      <c r="AA344">
        <v>0.37120488125527701</v>
      </c>
      <c r="AB344" t="str">
        <f>HYPERLINK("Melting_Curves/meltCurve_D6RGX2_UFSP2.pdf", "Melting_Curves/meltCurve_D6RGX2_UFSP2.pdf")</f>
        <v>Melting_Curves/meltCurve_D6RGX2_UFSP2.pdf</v>
      </c>
    </row>
    <row r="345" spans="1:28" x14ac:dyDescent="0.25">
      <c r="A345" t="s">
        <v>349</v>
      </c>
      <c r="B345">
        <v>0.99930955844802105</v>
      </c>
      <c r="C345">
        <v>0.97010047036547897</v>
      </c>
      <c r="D345">
        <v>0.876095695755161</v>
      </c>
      <c r="E345">
        <v>0.57976952730165698</v>
      </c>
      <c r="F345">
        <v>0.31532188916152498</v>
      </c>
      <c r="G345">
        <v>0.18022691207318101</v>
      </c>
      <c r="H345">
        <v>8.9558094799063306E-2</v>
      </c>
      <c r="I345">
        <v>7.2194781786831502E-2</v>
      </c>
      <c r="J345">
        <v>5.1526629649318097E-2</v>
      </c>
      <c r="K345">
        <v>3.4045204791717701E-2</v>
      </c>
      <c r="L345">
        <v>931.183995344717</v>
      </c>
      <c r="M345">
        <v>18.395815728138</v>
      </c>
      <c r="N345">
        <v>50.883785811993498</v>
      </c>
      <c r="O345">
        <v>50.0325362814486</v>
      </c>
      <c r="P345">
        <v>-8.7732602826290099E-2</v>
      </c>
      <c r="Q345">
        <v>4.5590381411664799E-2</v>
      </c>
      <c r="R345">
        <v>0.99888087750193699</v>
      </c>
      <c r="S345" t="s">
        <v>6962</v>
      </c>
      <c r="T345" t="s">
        <v>13232</v>
      </c>
      <c r="U345" t="s">
        <v>13232</v>
      </c>
      <c r="V345" t="s">
        <v>13232</v>
      </c>
      <c r="W345" t="s">
        <v>13571</v>
      </c>
      <c r="X345">
        <v>4</v>
      </c>
      <c r="Y345" t="s">
        <v>20109</v>
      </c>
      <c r="Z345" t="s">
        <v>26476</v>
      </c>
      <c r="AA345">
        <v>0.39894695003794128</v>
      </c>
      <c r="AB345" t="str">
        <f>HYPERLINK("Melting_Curves/meltCurve_D6RHD3_CENPK.pdf", "Melting_Curves/meltCurve_D6RHD3_CENPK.pdf")</f>
        <v>Melting_Curves/meltCurve_D6RHD3_CENPK.pdf</v>
      </c>
    </row>
    <row r="346" spans="1:28" x14ac:dyDescent="0.25">
      <c r="A346" t="s">
        <v>350</v>
      </c>
      <c r="B346">
        <v>0.99930955844802105</v>
      </c>
      <c r="C346">
        <v>0.99188751167138101</v>
      </c>
      <c r="D346">
        <v>1.02623521379597</v>
      </c>
      <c r="E346">
        <v>0.921223679193511</v>
      </c>
      <c r="F346">
        <v>0.78705584265178596</v>
      </c>
      <c r="G346">
        <v>0.59985529218009104</v>
      </c>
      <c r="H346">
        <v>0.502471272553772</v>
      </c>
      <c r="I346">
        <v>0.40050887557404202</v>
      </c>
      <c r="J346">
        <v>0.33473961500635102</v>
      </c>
      <c r="K346">
        <v>0.26581999097332598</v>
      </c>
      <c r="L346">
        <v>749.88395465932103</v>
      </c>
      <c r="M346">
        <v>13.041680375806999</v>
      </c>
      <c r="N346">
        <v>60.205368530737601</v>
      </c>
      <c r="O346">
        <v>56.197509269107599</v>
      </c>
      <c r="P346">
        <v>-4.5157169881513901E-2</v>
      </c>
      <c r="Q346">
        <v>0.221794220713736</v>
      </c>
      <c r="R346">
        <v>0.99159313917820102</v>
      </c>
      <c r="S346" t="s">
        <v>6963</v>
      </c>
      <c r="T346" t="s">
        <v>13232</v>
      </c>
      <c r="U346" t="s">
        <v>13232</v>
      </c>
      <c r="V346" t="s">
        <v>13232</v>
      </c>
      <c r="W346" t="s">
        <v>13572</v>
      </c>
      <c r="X346">
        <v>9</v>
      </c>
      <c r="Y346" t="s">
        <v>20110</v>
      </c>
      <c r="Z346" t="s">
        <v>26477</v>
      </c>
      <c r="AA346">
        <v>0.68745593805319061</v>
      </c>
      <c r="AB346" t="str">
        <f>HYPERLINK("Melting_Curves/meltCurve_D6RHI9_RNASET2.pdf", "Melting_Curves/meltCurve_D6RHI9_RNASET2.pdf")</f>
        <v>Melting_Curves/meltCurve_D6RHI9_RNASET2.pdf</v>
      </c>
    </row>
    <row r="347" spans="1:28" x14ac:dyDescent="0.25">
      <c r="A347" t="s">
        <v>351</v>
      </c>
      <c r="B347">
        <v>0.99930955844802105</v>
      </c>
      <c r="C347">
        <v>0.70054348223259499</v>
      </c>
      <c r="D347">
        <v>0.56722138092632801</v>
      </c>
      <c r="E347">
        <v>0.41299151566754599</v>
      </c>
      <c r="F347">
        <v>0.233574230222863</v>
      </c>
      <c r="G347">
        <v>0.147243530509298</v>
      </c>
      <c r="H347">
        <v>8.6136149274310903E-2</v>
      </c>
      <c r="I347">
        <v>8.3272688038115703E-2</v>
      </c>
      <c r="J347">
        <v>6.3500414769882496E-2</v>
      </c>
      <c r="K347">
        <v>6.2258774962744401E-2</v>
      </c>
      <c r="L347">
        <v>560.46436434666896</v>
      </c>
      <c r="M347">
        <v>11.8894037522589</v>
      </c>
      <c r="N347">
        <v>47.467952113970803</v>
      </c>
      <c r="O347">
        <v>45.865598410670401</v>
      </c>
      <c r="P347">
        <v>-6.2264773057091098E-2</v>
      </c>
      <c r="Q347">
        <v>3.94482479852893E-2</v>
      </c>
      <c r="R347">
        <v>0.97997353233611695</v>
      </c>
      <c r="S347" t="s">
        <v>6964</v>
      </c>
      <c r="T347" t="s">
        <v>13232</v>
      </c>
      <c r="U347" t="s">
        <v>13232</v>
      </c>
      <c r="V347" t="s">
        <v>13232</v>
      </c>
      <c r="W347" t="s">
        <v>13573</v>
      </c>
      <c r="X347">
        <v>7</v>
      </c>
      <c r="Y347" t="s">
        <v>20111</v>
      </c>
      <c r="Z347" t="s">
        <v>26478</v>
      </c>
      <c r="AA347">
        <v>0.30864071739883081</v>
      </c>
      <c r="AB347" t="str">
        <f>HYPERLINK("Melting_Curves/meltCurve_D6RIY1_TAF9.pdf", "Melting_Curves/meltCurve_D6RIY1_TAF9.pdf")</f>
        <v>Melting_Curves/meltCurve_D6RIY1_TAF9.pdf</v>
      </c>
    </row>
    <row r="348" spans="1:28" x14ac:dyDescent="0.25">
      <c r="A348" t="s">
        <v>352</v>
      </c>
      <c r="B348">
        <v>0.99930955844802105</v>
      </c>
      <c r="C348">
        <v>1.5541184848519001</v>
      </c>
      <c r="D348">
        <v>1.1977922854133201</v>
      </c>
      <c r="E348">
        <v>0.44582187497579401</v>
      </c>
      <c r="F348">
        <v>0.27533126649855899</v>
      </c>
      <c r="G348">
        <v>0.20552626552418099</v>
      </c>
      <c r="H348">
        <v>0.103406083070406</v>
      </c>
      <c r="I348">
        <v>0.15533230335682099</v>
      </c>
      <c r="J348">
        <v>8.5921766758350698E-2</v>
      </c>
      <c r="K348">
        <v>6.0463034956627498E-2</v>
      </c>
      <c r="L348">
        <v>3443.5221984648902</v>
      </c>
      <c r="M348">
        <v>69.431322713885194</v>
      </c>
      <c r="N348">
        <v>49.841740228385703</v>
      </c>
      <c r="O348">
        <v>49.554976507255198</v>
      </c>
      <c r="P348">
        <v>-0.29952076801132399</v>
      </c>
      <c r="Q348">
        <v>0.14489620732655101</v>
      </c>
      <c r="R348">
        <v>0.85597484868250295</v>
      </c>
      <c r="S348" t="s">
        <v>6965</v>
      </c>
      <c r="T348" t="s">
        <v>13232</v>
      </c>
      <c r="U348" t="s">
        <v>13232</v>
      </c>
      <c r="V348" t="s">
        <v>13232</v>
      </c>
      <c r="W348" t="s">
        <v>13574</v>
      </c>
      <c r="X348">
        <v>1</v>
      </c>
      <c r="Y348" t="s">
        <v>20112</v>
      </c>
      <c r="Z348" t="s">
        <v>26479</v>
      </c>
      <c r="AA348">
        <v>0.41938552976075161</v>
      </c>
      <c r="AB348" t="str">
        <f>HYPERLINK("Melting_Curves/meltCurve_D6RIZ4_MFSD10.pdf", "Melting_Curves/meltCurve_D6RIZ4_MFSD10.pdf")</f>
        <v>Melting_Curves/meltCurve_D6RIZ4_MFSD10.pdf</v>
      </c>
    </row>
    <row r="349" spans="1:28" x14ac:dyDescent="0.25">
      <c r="A349" t="s">
        <v>353</v>
      </c>
      <c r="B349">
        <v>0.99930955844802105</v>
      </c>
      <c r="C349">
        <v>0.99358009062129005</v>
      </c>
      <c r="D349">
        <v>1.08962154832667</v>
      </c>
      <c r="E349">
        <v>1.0497606239550401</v>
      </c>
      <c r="F349">
        <v>0.76313578871352805</v>
      </c>
      <c r="G349">
        <v>0.78604932037895203</v>
      </c>
      <c r="H349">
        <v>0.52889621483582205</v>
      </c>
      <c r="I349">
        <v>0.62722684693940101</v>
      </c>
      <c r="J349">
        <v>0.66678702532381195</v>
      </c>
      <c r="K349">
        <v>0.51295668644860704</v>
      </c>
      <c r="L349">
        <v>1275.3863763735501</v>
      </c>
      <c r="M349">
        <v>23.323223940749799</v>
      </c>
      <c r="O349">
        <v>54.285866818540804</v>
      </c>
      <c r="P349">
        <v>-4.4951837941444403E-2</v>
      </c>
      <c r="Q349">
        <v>0.58149761331094596</v>
      </c>
      <c r="R349">
        <v>0.870474364534922</v>
      </c>
      <c r="S349" t="s">
        <v>6966</v>
      </c>
      <c r="T349" t="s">
        <v>13232</v>
      </c>
      <c r="U349" t="s">
        <v>13232</v>
      </c>
      <c r="V349" t="s">
        <v>13232</v>
      </c>
      <c r="W349" t="s">
        <v>13575</v>
      </c>
      <c r="X349">
        <v>2</v>
      </c>
      <c r="Y349" t="s">
        <v>20113</v>
      </c>
      <c r="Z349" t="s">
        <v>26480</v>
      </c>
      <c r="AA349">
        <v>0.79070149260081801</v>
      </c>
      <c r="AB349" t="str">
        <f>HYPERLINK("Melting_Curves/meltCurve_D6RJG9_SNX14.pdf", "Melting_Curves/meltCurve_D6RJG9_SNX14.pdf")</f>
        <v>Melting_Curves/meltCurve_D6RJG9_SNX14.pdf</v>
      </c>
    </row>
    <row r="350" spans="1:28" x14ac:dyDescent="0.25">
      <c r="A350" t="s">
        <v>354</v>
      </c>
      <c r="B350">
        <v>0.99930955844802105</v>
      </c>
      <c r="C350">
        <v>0.62427597958490999</v>
      </c>
      <c r="D350">
        <v>0.46768690158583998</v>
      </c>
      <c r="E350">
        <v>0.352978270839644</v>
      </c>
      <c r="F350">
        <v>0.17036328141151499</v>
      </c>
      <c r="G350">
        <v>0.102008393831654</v>
      </c>
      <c r="H350">
        <v>4.9148524434078002E-2</v>
      </c>
      <c r="I350">
        <v>3.3027032833996502E-2</v>
      </c>
      <c r="J350">
        <v>1.4806285982163299E-2</v>
      </c>
      <c r="K350">
        <v>1.9426322406674301E-2</v>
      </c>
      <c r="L350">
        <v>564.42805589684201</v>
      </c>
      <c r="M350">
        <v>12.247545375866499</v>
      </c>
      <c r="N350">
        <v>46.139829868426702</v>
      </c>
      <c r="O350">
        <v>44.908062439767697</v>
      </c>
      <c r="P350">
        <v>-6.7703831814248105E-2</v>
      </c>
      <c r="Q350">
        <v>7.2231808305371296E-3</v>
      </c>
      <c r="R350">
        <v>0.96620185297396399</v>
      </c>
      <c r="S350" t="s">
        <v>6967</v>
      </c>
      <c r="T350" t="s">
        <v>13232</v>
      </c>
      <c r="U350" t="s">
        <v>13232</v>
      </c>
      <c r="V350" t="s">
        <v>13232</v>
      </c>
      <c r="W350" t="s">
        <v>13576</v>
      </c>
      <c r="X350">
        <v>3</v>
      </c>
      <c r="Y350" t="s">
        <v>20114</v>
      </c>
      <c r="Z350" t="s">
        <v>26481</v>
      </c>
      <c r="AA350">
        <v>0.25175467400741031</v>
      </c>
      <c r="AB350" t="str">
        <f>HYPERLINK("Melting_Curves/meltCurve_E1P5Q0_TRPC4AP.pdf", "Melting_Curves/meltCurve_E1P5Q0_TRPC4AP.pdf")</f>
        <v>Melting_Curves/meltCurve_E1P5Q0_TRPC4AP.pdf</v>
      </c>
    </row>
    <row r="351" spans="1:28" x14ac:dyDescent="0.25">
      <c r="A351" t="s">
        <v>355</v>
      </c>
      <c r="B351">
        <v>0.99930955844802105</v>
      </c>
      <c r="C351">
        <v>0.97915674341992698</v>
      </c>
      <c r="D351">
        <v>0.73892061453139501</v>
      </c>
      <c r="E351">
        <v>0.81801403454674004</v>
      </c>
      <c r="F351">
        <v>0.32670970908332297</v>
      </c>
      <c r="G351">
        <v>0.169098234054711</v>
      </c>
      <c r="H351">
        <v>9.5298543087952797E-2</v>
      </c>
      <c r="I351">
        <v>7.6587812526466903E-2</v>
      </c>
      <c r="J351">
        <v>6.7576180885807302E-2</v>
      </c>
      <c r="K351">
        <v>5.3566505700639901E-2</v>
      </c>
      <c r="L351">
        <v>949.90313316839399</v>
      </c>
      <c r="M351">
        <v>18.393858495103601</v>
      </c>
      <c r="N351">
        <v>51.884622350035201</v>
      </c>
      <c r="O351">
        <v>51.043621687983801</v>
      </c>
      <c r="P351">
        <v>-8.6386339574122201E-2</v>
      </c>
      <c r="Q351">
        <v>4.1142586830337897E-2</v>
      </c>
      <c r="R351">
        <v>0.95823631198806702</v>
      </c>
      <c r="S351" t="s">
        <v>6968</v>
      </c>
      <c r="T351" t="s">
        <v>13232</v>
      </c>
      <c r="U351" t="s">
        <v>13232</v>
      </c>
      <c r="V351" t="s">
        <v>13232</v>
      </c>
      <c r="W351" t="s">
        <v>13577</v>
      </c>
      <c r="X351">
        <v>13</v>
      </c>
      <c r="Y351" t="s">
        <v>20115</v>
      </c>
      <c r="Z351" t="s">
        <v>26482</v>
      </c>
      <c r="AA351">
        <v>0.42869190324630652</v>
      </c>
      <c r="AB351" t="str">
        <f>HYPERLINK("Melting_Curves/meltCurve_E2QRD4_MMS22L.pdf", "Melting_Curves/meltCurve_E2QRD4_MMS22L.pdf")</f>
        <v>Melting_Curves/meltCurve_E2QRD4_MMS22L.pdf</v>
      </c>
    </row>
    <row r="352" spans="1:28" x14ac:dyDescent="0.25">
      <c r="A352" t="s">
        <v>356</v>
      </c>
      <c r="B352">
        <v>0.99930955844802105</v>
      </c>
      <c r="C352">
        <v>1.0342206063177699</v>
      </c>
      <c r="D352">
        <v>1.0013855301583101</v>
      </c>
      <c r="E352">
        <v>0.92402228167073697</v>
      </c>
      <c r="F352">
        <v>0.84029228858676197</v>
      </c>
      <c r="G352">
        <v>0.76421631372929</v>
      </c>
      <c r="H352">
        <v>0.68582527550295502</v>
      </c>
      <c r="I352">
        <v>0.85834821828320795</v>
      </c>
      <c r="J352">
        <v>0.75278807275446902</v>
      </c>
      <c r="K352">
        <v>0.63799659389622998</v>
      </c>
      <c r="L352">
        <v>1286.6555769474301</v>
      </c>
      <c r="M352">
        <v>24.693155168360899</v>
      </c>
      <c r="O352">
        <v>51.767629508488398</v>
      </c>
      <c r="P352">
        <v>-3.1981516779288503E-2</v>
      </c>
      <c r="Q352">
        <v>0.73181490454617204</v>
      </c>
      <c r="R352">
        <v>0.83351067946274104</v>
      </c>
      <c r="S352" t="s">
        <v>6969</v>
      </c>
      <c r="T352" t="s">
        <v>13232</v>
      </c>
      <c r="U352" t="s">
        <v>13232</v>
      </c>
      <c r="V352" t="s">
        <v>13232</v>
      </c>
      <c r="W352" t="s">
        <v>13578</v>
      </c>
      <c r="X352">
        <v>6</v>
      </c>
      <c r="Y352" t="s">
        <v>20116</v>
      </c>
      <c r="Z352" t="s">
        <v>26483</v>
      </c>
      <c r="AA352">
        <v>0.84254385429942535</v>
      </c>
      <c r="AB352" t="str">
        <f>HYPERLINK("Melting_Curves/meltCurve_E2QRF9_GMNN.pdf", "Melting_Curves/meltCurve_E2QRF9_GMNN.pdf")</f>
        <v>Melting_Curves/meltCurve_E2QRF9_GMNN.pdf</v>
      </c>
    </row>
    <row r="353" spans="1:28" x14ac:dyDescent="0.25">
      <c r="A353" t="s">
        <v>357</v>
      </c>
      <c r="B353">
        <v>0.99930955844802105</v>
      </c>
      <c r="C353">
        <v>1.0329211713695901</v>
      </c>
      <c r="D353">
        <v>1.14436272776905</v>
      </c>
      <c r="E353">
        <v>1.0034645712969299</v>
      </c>
      <c r="F353">
        <v>0.93327734497383197</v>
      </c>
      <c r="G353">
        <v>0.62598506321567404</v>
      </c>
      <c r="H353">
        <v>0.37974658452908</v>
      </c>
      <c r="I353">
        <v>0.21129892413498699</v>
      </c>
      <c r="J353">
        <v>0.18873064149570601</v>
      </c>
      <c r="K353">
        <v>0.10687826197356801</v>
      </c>
      <c r="L353">
        <v>1295.20589597911</v>
      </c>
      <c r="M353">
        <v>22.246540500988601</v>
      </c>
      <c r="N353">
        <v>58.918431193261902</v>
      </c>
      <c r="O353">
        <v>57.756239560480999</v>
      </c>
      <c r="P353">
        <v>-8.5143858630870095E-2</v>
      </c>
      <c r="Q353">
        <v>0.115820454104286</v>
      </c>
      <c r="R353">
        <v>0.98151571221003397</v>
      </c>
      <c r="S353" t="s">
        <v>6970</v>
      </c>
      <c r="T353" t="s">
        <v>13232</v>
      </c>
      <c r="U353" t="s">
        <v>13232</v>
      </c>
      <c r="V353" t="s">
        <v>13232</v>
      </c>
      <c r="W353" t="s">
        <v>13579</v>
      </c>
      <c r="X353">
        <v>1</v>
      </c>
      <c r="Y353" t="s">
        <v>20117</v>
      </c>
      <c r="Z353" t="s">
        <v>26484</v>
      </c>
      <c r="AA353">
        <v>0.66162545927599703</v>
      </c>
      <c r="AB353" t="str">
        <f>HYPERLINK("Melting_Curves/meltCurve_E5RFI2_MRPL13.pdf", "Melting_Curves/meltCurve_E5RFI2_MRPL13.pdf")</f>
        <v>Melting_Curves/meltCurve_E5RFI2_MRPL13.pdf</v>
      </c>
    </row>
    <row r="354" spans="1:28" x14ac:dyDescent="0.25">
      <c r="A354" t="s">
        <v>358</v>
      </c>
      <c r="B354">
        <v>0.99930955844802105</v>
      </c>
      <c r="C354">
        <v>0.92122299208976799</v>
      </c>
      <c r="D354">
        <v>0.84304007882135701</v>
      </c>
      <c r="E354">
        <v>0.82102076518582101</v>
      </c>
      <c r="F354">
        <v>0.56869052982949897</v>
      </c>
      <c r="G354">
        <v>0.48162488766616701</v>
      </c>
      <c r="H354">
        <v>0.39855059908692198</v>
      </c>
      <c r="I354">
        <v>0.43288927690246998</v>
      </c>
      <c r="J354">
        <v>0.49169529579660998</v>
      </c>
      <c r="K354">
        <v>0.36389207955649</v>
      </c>
      <c r="L354">
        <v>723.71918889738799</v>
      </c>
      <c r="M354">
        <v>14.234220823306901</v>
      </c>
      <c r="N354">
        <v>56.923929331586599</v>
      </c>
      <c r="O354">
        <v>49.8716771713421</v>
      </c>
      <c r="P354">
        <v>-4.3482171227264603E-2</v>
      </c>
      <c r="Q354">
        <v>0.39069095081417099</v>
      </c>
      <c r="R354">
        <v>0.95323048950466205</v>
      </c>
      <c r="S354" t="s">
        <v>6971</v>
      </c>
      <c r="T354" t="s">
        <v>13232</v>
      </c>
      <c r="U354" t="s">
        <v>13232</v>
      </c>
      <c r="V354" t="s">
        <v>13232</v>
      </c>
      <c r="W354" t="s">
        <v>13580</v>
      </c>
      <c r="X354">
        <v>6</v>
      </c>
      <c r="Y354" t="s">
        <v>20118</v>
      </c>
      <c r="Z354" t="s">
        <v>26485</v>
      </c>
      <c r="AA354">
        <v>0.62635192000560425</v>
      </c>
      <c r="AB354" t="str">
        <f>HYPERLINK("Melting_Curves/meltCurve_E5RFJ1_NSMCE2.pdf", "Melting_Curves/meltCurve_E5RFJ1_NSMCE2.pdf")</f>
        <v>Melting_Curves/meltCurve_E5RFJ1_NSMCE2.pdf</v>
      </c>
    </row>
    <row r="355" spans="1:28" x14ac:dyDescent="0.25">
      <c r="A355" t="s">
        <v>359</v>
      </c>
      <c r="B355">
        <v>0.99930955844802105</v>
      </c>
      <c r="C355">
        <v>0.90138094270425095</v>
      </c>
      <c r="D355">
        <v>0.870710900831273</v>
      </c>
      <c r="E355">
        <v>0.72269654476355605</v>
      </c>
      <c r="F355">
        <v>0.59209998389179497</v>
      </c>
      <c r="G355">
        <v>0.34494662968043399</v>
      </c>
      <c r="H355">
        <v>0.27189542982693798</v>
      </c>
      <c r="I355">
        <v>0.43334558262919098</v>
      </c>
      <c r="J355">
        <v>0.15068436340883301</v>
      </c>
      <c r="K355">
        <v>0.10588250153284801</v>
      </c>
      <c r="L355">
        <v>515.75577153024994</v>
      </c>
      <c r="M355">
        <v>9.5277790074242201</v>
      </c>
      <c r="N355">
        <v>54.974141969272601</v>
      </c>
      <c r="O355">
        <v>51.908144526122101</v>
      </c>
      <c r="P355">
        <v>-4.2796146439420799E-2</v>
      </c>
      <c r="Q355">
        <v>6.7917147804482506E-2</v>
      </c>
      <c r="R355">
        <v>0.94543104399170497</v>
      </c>
      <c r="S355" t="s">
        <v>6972</v>
      </c>
      <c r="T355" t="s">
        <v>13232</v>
      </c>
      <c r="U355" t="s">
        <v>13232</v>
      </c>
      <c r="V355" t="s">
        <v>13232</v>
      </c>
      <c r="W355" t="s">
        <v>13581</v>
      </c>
      <c r="X355">
        <v>11</v>
      </c>
      <c r="Y355" t="s">
        <v>20119</v>
      </c>
      <c r="Z355" t="s">
        <v>26486</v>
      </c>
      <c r="AA355">
        <v>0.53546165684496794</v>
      </c>
      <c r="AB355" t="str">
        <f>HYPERLINK("Melting_Curves/meltCurve_E5RG13_IMPA1.pdf", "Melting_Curves/meltCurve_E5RG13_IMPA1.pdf")</f>
        <v>Melting_Curves/meltCurve_E5RG13_IMPA1.pdf</v>
      </c>
    </row>
    <row r="356" spans="1:28" x14ac:dyDescent="0.25">
      <c r="A356" t="s">
        <v>360</v>
      </c>
      <c r="B356">
        <v>0.99930955844802105</v>
      </c>
      <c r="C356">
        <v>1.0085858543700801</v>
      </c>
      <c r="D356">
        <v>1.1422784749538399</v>
      </c>
      <c r="E356">
        <v>1.0179979920881299</v>
      </c>
      <c r="F356">
        <v>0.88510947432251996</v>
      </c>
      <c r="G356">
        <v>0.77453704254576305</v>
      </c>
      <c r="H356">
        <v>0.80282262148489802</v>
      </c>
      <c r="I356">
        <v>1.04026207668552</v>
      </c>
      <c r="J356">
        <v>0.86242928396753704</v>
      </c>
      <c r="K356">
        <v>0.79524338892261404</v>
      </c>
      <c r="L356">
        <v>13178.922191780999</v>
      </c>
      <c r="M356">
        <v>250</v>
      </c>
      <c r="O356">
        <v>52.712315385849003</v>
      </c>
      <c r="P356">
        <v>-0.17185397645324199</v>
      </c>
      <c r="Q356">
        <v>0.85505886425717903</v>
      </c>
      <c r="R356">
        <v>0.51905816341248301</v>
      </c>
      <c r="S356" t="s">
        <v>6973</v>
      </c>
      <c r="T356" t="s">
        <v>13232</v>
      </c>
      <c r="U356" t="s">
        <v>13232</v>
      </c>
      <c r="V356" t="s">
        <v>13232</v>
      </c>
      <c r="W356" t="s">
        <v>13582</v>
      </c>
      <c r="X356">
        <v>1</v>
      </c>
      <c r="Y356" t="s">
        <v>20120</v>
      </c>
      <c r="Z356" t="s">
        <v>26487</v>
      </c>
      <c r="AA356">
        <v>0.91650648590591688</v>
      </c>
      <c r="AB356" t="str">
        <f>HYPERLINK("Melting_Curves/meltCurve_E5RG73_TMEM232.pdf", "Melting_Curves/meltCurve_E5RG73_TMEM232.pdf")</f>
        <v>Melting_Curves/meltCurve_E5RG73_TMEM232.pdf</v>
      </c>
    </row>
    <row r="357" spans="1:28" x14ac:dyDescent="0.25">
      <c r="A357" t="s">
        <v>361</v>
      </c>
      <c r="B357">
        <v>0.99930955844802105</v>
      </c>
      <c r="C357">
        <v>1.26010065415463</v>
      </c>
      <c r="D357">
        <v>1.2333487539400501</v>
      </c>
      <c r="E357">
        <v>1.1850732817638601</v>
      </c>
      <c r="F357">
        <v>1.19545149136032</v>
      </c>
      <c r="G357">
        <v>1.26179714748428</v>
      </c>
      <c r="H357">
        <v>1.1636071428550401</v>
      </c>
      <c r="I357">
        <v>0.90466861561457601</v>
      </c>
      <c r="J357">
        <v>0.60802409910300703</v>
      </c>
      <c r="K357">
        <v>0.385678911675852</v>
      </c>
      <c r="L357">
        <v>3726.9756141848702</v>
      </c>
      <c r="M357">
        <v>56.0979999785852</v>
      </c>
      <c r="N357">
        <v>67.918119070047297</v>
      </c>
      <c r="O357">
        <v>66.352604725220402</v>
      </c>
      <c r="P357">
        <v>-0.136774552712744</v>
      </c>
      <c r="Q357">
        <v>0.35289365194755601</v>
      </c>
      <c r="R357">
        <v>0.64640577188035697</v>
      </c>
      <c r="S357" t="s">
        <v>6974</v>
      </c>
      <c r="T357" t="s">
        <v>13232</v>
      </c>
      <c r="U357" t="s">
        <v>13232</v>
      </c>
      <c r="V357" t="s">
        <v>13232</v>
      </c>
      <c r="W357" t="s">
        <v>13583</v>
      </c>
      <c r="X357">
        <v>8</v>
      </c>
      <c r="Y357" t="s">
        <v>20121</v>
      </c>
      <c r="Z357" t="s">
        <v>26488</v>
      </c>
      <c r="AA357">
        <v>0.92299695749220567</v>
      </c>
      <c r="AB357" t="str">
        <f>HYPERLINK("Melting_Curves/meltCurve_E5RGN3_ATOX1.pdf", "Melting_Curves/meltCurve_E5RGN3_ATOX1.pdf")</f>
        <v>Melting_Curves/meltCurve_E5RGN3_ATOX1.pdf</v>
      </c>
    </row>
    <row r="358" spans="1:28" x14ac:dyDescent="0.25">
      <c r="A358" t="s">
        <v>362</v>
      </c>
      <c r="B358">
        <v>0.99930955844802105</v>
      </c>
      <c r="C358">
        <v>1.13526058541168</v>
      </c>
      <c r="D358">
        <v>1.127172874685</v>
      </c>
      <c r="E358">
        <v>1.1751216997254299</v>
      </c>
      <c r="F358">
        <v>0.99683840630979204</v>
      </c>
      <c r="G358">
        <v>0.832988267196478</v>
      </c>
      <c r="H358">
        <v>0.626526507080999</v>
      </c>
      <c r="I358">
        <v>0.42747503295111899</v>
      </c>
      <c r="J358">
        <v>0.33126998765989402</v>
      </c>
      <c r="K358">
        <v>0.231405643637276</v>
      </c>
      <c r="L358">
        <v>1331.42998930115</v>
      </c>
      <c r="M358">
        <v>21.7243430004422</v>
      </c>
      <c r="N358">
        <v>62.767130623162799</v>
      </c>
      <c r="O358">
        <v>60.775245244326598</v>
      </c>
      <c r="P358">
        <v>-7.1457597822505894E-2</v>
      </c>
      <c r="Q358">
        <v>0.20038988118944301</v>
      </c>
      <c r="R358">
        <v>0.93900967097397103</v>
      </c>
      <c r="S358" t="s">
        <v>6975</v>
      </c>
      <c r="T358" t="s">
        <v>13232</v>
      </c>
      <c r="U358" t="s">
        <v>13232</v>
      </c>
      <c r="V358" t="s">
        <v>13232</v>
      </c>
      <c r="W358" t="s">
        <v>13584</v>
      </c>
      <c r="X358">
        <v>3</v>
      </c>
      <c r="Y358" t="s">
        <v>20122</v>
      </c>
      <c r="Z358" t="s">
        <v>26489</v>
      </c>
      <c r="AA358">
        <v>0.7723498636403896</v>
      </c>
      <c r="AB358" t="str">
        <f>HYPERLINK("Melting_Curves/meltCurve_E5RGQ3_RWDD1.pdf", "Melting_Curves/meltCurve_E5RGQ3_RWDD1.pdf")</f>
        <v>Melting_Curves/meltCurve_E5RGQ3_RWDD1.pdf</v>
      </c>
    </row>
    <row r="359" spans="1:28" x14ac:dyDescent="0.25">
      <c r="A359" t="s">
        <v>363</v>
      </c>
      <c r="B359">
        <v>0.99930955844802105</v>
      </c>
      <c r="C359">
        <v>0.94173745211344795</v>
      </c>
      <c r="D359">
        <v>0.898060748411601</v>
      </c>
      <c r="E359">
        <v>0.78554043137221596</v>
      </c>
      <c r="F359">
        <v>0.695326814097465</v>
      </c>
      <c r="G359">
        <v>0.45663503479130702</v>
      </c>
      <c r="H359">
        <v>0.32616478853029801</v>
      </c>
      <c r="I359">
        <v>0.301435488146092</v>
      </c>
      <c r="J359">
        <v>0.213169040332057</v>
      </c>
      <c r="K359">
        <v>0.21633759273404701</v>
      </c>
      <c r="L359">
        <v>627.32456379755604</v>
      </c>
      <c r="M359">
        <v>11.4173589522554</v>
      </c>
      <c r="N359">
        <v>56.489101747923797</v>
      </c>
      <c r="O359">
        <v>53.340259366999</v>
      </c>
      <c r="P359">
        <v>-4.6351865217680602E-2</v>
      </c>
      <c r="Q359">
        <v>0.13405607336080799</v>
      </c>
      <c r="R359">
        <v>0.99489239540594099</v>
      </c>
      <c r="S359" t="s">
        <v>6976</v>
      </c>
      <c r="T359" t="s">
        <v>13232</v>
      </c>
      <c r="U359" t="s">
        <v>13232</v>
      </c>
      <c r="V359" t="s">
        <v>13232</v>
      </c>
      <c r="W359" t="s">
        <v>13476</v>
      </c>
      <c r="X359">
        <v>2</v>
      </c>
      <c r="Z359" t="s">
        <v>26490</v>
      </c>
      <c r="AA359">
        <v>0.5865640020408206</v>
      </c>
      <c r="AB359" t="str">
        <f>HYPERLINK("Melting_Curves/meltCurve_E5RGS7_.pdf", "Melting_Curves/meltCurve_E5RGS7_.pdf")</f>
        <v>Melting_Curves/meltCurve_E5RGS7_.pdf</v>
      </c>
    </row>
    <row r="360" spans="1:28" x14ac:dyDescent="0.25">
      <c r="A360" t="s">
        <v>364</v>
      </c>
      <c r="B360">
        <v>0.99930955844802105</v>
      </c>
      <c r="C360">
        <v>1.2229552776508399</v>
      </c>
      <c r="D360">
        <v>1.3201019553601101</v>
      </c>
      <c r="E360">
        <v>1.09982685894559</v>
      </c>
      <c r="F360">
        <v>1.1067209012896799</v>
      </c>
      <c r="G360">
        <v>1.05835786171174</v>
      </c>
      <c r="H360">
        <v>1.3325407773667901</v>
      </c>
      <c r="I360">
        <v>1.13015328443748</v>
      </c>
      <c r="J360">
        <v>1.20884846154577</v>
      </c>
      <c r="K360">
        <v>0.94233896430762698</v>
      </c>
      <c r="L360">
        <v>10262.874275964101</v>
      </c>
      <c r="M360">
        <v>250</v>
      </c>
      <c r="O360">
        <v>41.0488600682813</v>
      </c>
      <c r="P360">
        <v>0.240540695310513</v>
      </c>
      <c r="Q360">
        <v>1.15798277997526</v>
      </c>
      <c r="R360">
        <v>0.15162768343797201</v>
      </c>
      <c r="S360" t="s">
        <v>6977</v>
      </c>
      <c r="T360" t="s">
        <v>13232</v>
      </c>
      <c r="U360" t="s">
        <v>13232</v>
      </c>
      <c r="V360" t="s">
        <v>13232</v>
      </c>
      <c r="W360" t="s">
        <v>13434</v>
      </c>
      <c r="X360">
        <v>8</v>
      </c>
      <c r="Y360" t="s">
        <v>20123</v>
      </c>
      <c r="Z360" t="s">
        <v>26491</v>
      </c>
      <c r="AA360">
        <v>1.152432977880713</v>
      </c>
      <c r="AB360" t="str">
        <f>HYPERLINK("Melting_Curves/meltCurve_E5RGX5_STMN2.pdf", "Melting_Curves/meltCurve_E5RGX5_STMN2.pdf")</f>
        <v>Melting_Curves/meltCurve_E5RGX5_STMN2.pdf</v>
      </c>
    </row>
    <row r="361" spans="1:28" x14ac:dyDescent="0.25">
      <c r="A361" t="s">
        <v>365</v>
      </c>
      <c r="B361">
        <v>0.99930955844802105</v>
      </c>
      <c r="C361">
        <v>0.66795295755264905</v>
      </c>
      <c r="D361">
        <v>1.57231913336185</v>
      </c>
      <c r="E361">
        <v>1.2961250774969899</v>
      </c>
      <c r="F361">
        <v>0.51911538851877503</v>
      </c>
      <c r="G361">
        <v>0.36609373021855202</v>
      </c>
      <c r="H361">
        <v>0.11317221187308001</v>
      </c>
      <c r="I361">
        <v>7.3828307476586405E-2</v>
      </c>
      <c r="J361">
        <v>6.9891519438017302E-2</v>
      </c>
      <c r="K361">
        <v>5.3393011533608099E-2</v>
      </c>
      <c r="L361">
        <v>13238.0537992235</v>
      </c>
      <c r="M361">
        <v>250</v>
      </c>
      <c r="N361">
        <v>53.0191183313542</v>
      </c>
      <c r="O361">
        <v>52.948829698827403</v>
      </c>
      <c r="P361">
        <v>-1.0207075612852701</v>
      </c>
      <c r="Q361">
        <v>0.13527571811530201</v>
      </c>
      <c r="R361">
        <v>0.78334343406774098</v>
      </c>
      <c r="S361" t="s">
        <v>6978</v>
      </c>
      <c r="T361" t="s">
        <v>13232</v>
      </c>
      <c r="U361" t="s">
        <v>13232</v>
      </c>
      <c r="V361" t="s">
        <v>13232</v>
      </c>
      <c r="W361" t="s">
        <v>13585</v>
      </c>
      <c r="X361">
        <v>8</v>
      </c>
      <c r="Y361" t="s">
        <v>20124</v>
      </c>
      <c r="Z361" t="s">
        <v>26492</v>
      </c>
      <c r="AA361">
        <v>0.50869257671229606</v>
      </c>
      <c r="AB361" t="str">
        <f>HYPERLINK("Melting_Curves/meltCurve_E5RHG8_TCEB1.pdf", "Melting_Curves/meltCurve_E5RHG8_TCEB1.pdf")</f>
        <v>Melting_Curves/meltCurve_E5RHG8_TCEB1.pdf</v>
      </c>
    </row>
    <row r="362" spans="1:28" x14ac:dyDescent="0.25">
      <c r="A362" t="s">
        <v>366</v>
      </c>
      <c r="B362">
        <v>0.99930955844802105</v>
      </c>
      <c r="C362">
        <v>1.0791750664850599</v>
      </c>
      <c r="D362">
        <v>1.0612152988046999</v>
      </c>
      <c r="E362">
        <v>0.96563297587526398</v>
      </c>
      <c r="F362">
        <v>0.76438383721115599</v>
      </c>
      <c r="G362">
        <v>0.47226773313160397</v>
      </c>
      <c r="H362">
        <v>0.251890658685332</v>
      </c>
      <c r="I362">
        <v>0.194995292939764</v>
      </c>
      <c r="J362">
        <v>0.15293525826316601</v>
      </c>
      <c r="K362">
        <v>0.115390863668466</v>
      </c>
      <c r="L362">
        <v>1210.9423311918199</v>
      </c>
      <c r="M362">
        <v>21.685324518193799</v>
      </c>
      <c r="N362">
        <v>56.603888438879999</v>
      </c>
      <c r="O362">
        <v>55.3731964449223</v>
      </c>
      <c r="P362">
        <v>-8.5509065702399203E-2</v>
      </c>
      <c r="Q362">
        <v>0.12663550202902099</v>
      </c>
      <c r="R362">
        <v>0.99081010832226601</v>
      </c>
      <c r="S362" t="s">
        <v>6979</v>
      </c>
      <c r="T362" t="s">
        <v>13232</v>
      </c>
      <c r="U362" t="s">
        <v>13232</v>
      </c>
      <c r="V362" t="s">
        <v>13232</v>
      </c>
      <c r="W362" t="s">
        <v>13586</v>
      </c>
      <c r="X362">
        <v>7</v>
      </c>
      <c r="Y362" t="s">
        <v>20125</v>
      </c>
      <c r="Z362" t="s">
        <v>26493</v>
      </c>
      <c r="AA362">
        <v>0.59789117929114122</v>
      </c>
      <c r="AB362" t="str">
        <f>HYPERLINK("Melting_Curves/meltCurve_E5RHI2_SORBS3.pdf", "Melting_Curves/meltCurve_E5RHI2_SORBS3.pdf")</f>
        <v>Melting_Curves/meltCurve_E5RHI2_SORBS3.pdf</v>
      </c>
    </row>
    <row r="363" spans="1:28" x14ac:dyDescent="0.25">
      <c r="A363" t="s">
        <v>367</v>
      </c>
      <c r="B363">
        <v>0.99930955844802105</v>
      </c>
      <c r="C363">
        <v>1.81688323452071</v>
      </c>
      <c r="D363">
        <v>1.8474556317369</v>
      </c>
      <c r="E363">
        <v>1.67542957759371</v>
      </c>
      <c r="F363">
        <v>1.8619532678430699</v>
      </c>
      <c r="G363">
        <v>2.2433465925306999</v>
      </c>
      <c r="H363">
        <v>2.80532942950691</v>
      </c>
      <c r="I363">
        <v>3.7068254968779</v>
      </c>
      <c r="J363">
        <v>3.4306660374035198</v>
      </c>
      <c r="K363">
        <v>2.6962831282177402</v>
      </c>
      <c r="S363" t="s">
        <v>6980</v>
      </c>
      <c r="T363" t="s">
        <v>13232</v>
      </c>
      <c r="U363" t="s">
        <v>13233</v>
      </c>
      <c r="V363" t="s">
        <v>13232</v>
      </c>
      <c r="W363" t="s">
        <v>13587</v>
      </c>
      <c r="X363">
        <v>2</v>
      </c>
      <c r="Y363" t="s">
        <v>20126</v>
      </c>
      <c r="Z363" t="s">
        <v>26494</v>
      </c>
      <c r="AB363" t="str">
        <f>HYPERLINK("Melting_Curves/meltCurve_E5RHN9_RAD54B.pdf", "Melting_Curves/meltCurve_E5RHN9_RAD54B.pdf")</f>
        <v>Melting_Curves/meltCurve_E5RHN9_RAD54B.pdf</v>
      </c>
    </row>
    <row r="364" spans="1:28" x14ac:dyDescent="0.25">
      <c r="A364" t="s">
        <v>368</v>
      </c>
      <c r="B364">
        <v>0.99930955844802105</v>
      </c>
      <c r="C364">
        <v>0.98006561521277702</v>
      </c>
      <c r="D364">
        <v>1.04486904457601</v>
      </c>
      <c r="E364">
        <v>1.1249281487504299</v>
      </c>
      <c r="F364">
        <v>0.99127501800521201</v>
      </c>
      <c r="G364">
        <v>0.85490673474395795</v>
      </c>
      <c r="H364">
        <v>0.81587920737818498</v>
      </c>
      <c r="I364">
        <v>0.83319124033185199</v>
      </c>
      <c r="J364">
        <v>0.84585822018933199</v>
      </c>
      <c r="K364">
        <v>0.63888320191978798</v>
      </c>
      <c r="L364">
        <v>596.09971149147395</v>
      </c>
      <c r="M364">
        <v>7.9238535175660401</v>
      </c>
      <c r="Q364">
        <v>0.110921102063449</v>
      </c>
      <c r="R364">
        <v>0.756112170306388</v>
      </c>
      <c r="S364" t="s">
        <v>6981</v>
      </c>
      <c r="T364" t="s">
        <v>13232</v>
      </c>
      <c r="U364" t="s">
        <v>13232</v>
      </c>
      <c r="V364" t="s">
        <v>13232</v>
      </c>
      <c r="W364" t="s">
        <v>13588</v>
      </c>
      <c r="X364">
        <v>1</v>
      </c>
      <c r="Y364" t="s">
        <v>20127</v>
      </c>
      <c r="Z364" t="s">
        <v>26495</v>
      </c>
      <c r="AA364">
        <v>0.91366353030663583</v>
      </c>
      <c r="AB364" t="str">
        <f>HYPERLINK("Melting_Curves/meltCurve_E5RHT1_PSEN2.pdf", "Melting_Curves/meltCurve_E5RHT1_PSEN2.pdf")</f>
        <v>Melting_Curves/meltCurve_E5RHT1_PSEN2.pdf</v>
      </c>
    </row>
    <row r="365" spans="1:28" x14ac:dyDescent="0.25">
      <c r="A365" t="s">
        <v>369</v>
      </c>
      <c r="B365">
        <v>0.99930955844802105</v>
      </c>
      <c r="C365">
        <v>1.09282500846886</v>
      </c>
      <c r="D365">
        <v>0.99061847490077204</v>
      </c>
      <c r="E365">
        <v>0.84286592162378604</v>
      </c>
      <c r="F365">
        <v>0.73275973436846298</v>
      </c>
      <c r="G365">
        <v>0.62906244520273102</v>
      </c>
      <c r="H365">
        <v>0.68461996625861599</v>
      </c>
      <c r="I365">
        <v>0.66245700693926202</v>
      </c>
      <c r="J365">
        <v>0.71975655235037805</v>
      </c>
      <c r="K365">
        <v>0.58595239754705097</v>
      </c>
      <c r="L365">
        <v>1650.4271548788299</v>
      </c>
      <c r="M365">
        <v>32.728808248596003</v>
      </c>
      <c r="O365">
        <v>50.240210643906501</v>
      </c>
      <c r="P365">
        <v>-5.5883452616260001E-2</v>
      </c>
      <c r="Q365">
        <v>0.65686701270379599</v>
      </c>
      <c r="R365">
        <v>0.92818565904193795</v>
      </c>
      <c r="S365" t="s">
        <v>6982</v>
      </c>
      <c r="T365" t="s">
        <v>13232</v>
      </c>
      <c r="U365" t="s">
        <v>13232</v>
      </c>
      <c r="V365" t="s">
        <v>13232</v>
      </c>
      <c r="W365" t="s">
        <v>13589</v>
      </c>
      <c r="X365">
        <v>4</v>
      </c>
      <c r="Y365" t="s">
        <v>20128</v>
      </c>
      <c r="Z365" t="s">
        <v>26496</v>
      </c>
      <c r="AA365">
        <v>0.77792575680370157</v>
      </c>
      <c r="AB365" t="str">
        <f>HYPERLINK("Melting_Curves/meltCurve_E5RHT3_TSNARE1.pdf", "Melting_Curves/meltCurve_E5RHT3_TSNARE1.pdf")</f>
        <v>Melting_Curves/meltCurve_E5RHT3_TSNARE1.pdf</v>
      </c>
    </row>
    <row r="366" spans="1:28" x14ac:dyDescent="0.25">
      <c r="A366" t="s">
        <v>370</v>
      </c>
      <c r="B366">
        <v>0.99930955844802105</v>
      </c>
      <c r="C366">
        <v>0.82232674784207305</v>
      </c>
      <c r="D366">
        <v>0.69795379332492802</v>
      </c>
      <c r="E366">
        <v>0.73234749162830004</v>
      </c>
      <c r="F366">
        <v>0.39564026599329899</v>
      </c>
      <c r="G366">
        <v>0.25190834198408302</v>
      </c>
      <c r="H366">
        <v>0.19486927257818801</v>
      </c>
      <c r="I366">
        <v>0.192274335139759</v>
      </c>
      <c r="J366">
        <v>0.15901197022781799</v>
      </c>
      <c r="K366">
        <v>0.12771958459475599</v>
      </c>
      <c r="L366">
        <v>520.75039817720699</v>
      </c>
      <c r="M366">
        <v>10.2147109404244</v>
      </c>
      <c r="N366">
        <v>51.719263016576797</v>
      </c>
      <c r="O366">
        <v>49.142404671685803</v>
      </c>
      <c r="P366">
        <v>-4.8458844624353299E-2</v>
      </c>
      <c r="Q366">
        <v>6.78869800148863E-2</v>
      </c>
      <c r="R366">
        <v>0.95707666332700203</v>
      </c>
      <c r="S366" t="s">
        <v>6983</v>
      </c>
      <c r="T366" t="s">
        <v>13232</v>
      </c>
      <c r="U366" t="s">
        <v>13232</v>
      </c>
      <c r="V366" t="s">
        <v>13232</v>
      </c>
      <c r="W366" t="s">
        <v>13590</v>
      </c>
      <c r="X366">
        <v>6</v>
      </c>
      <c r="Y366" t="s">
        <v>20129</v>
      </c>
      <c r="Z366" t="s">
        <v>26497</v>
      </c>
      <c r="AA366">
        <v>0.44686980282873412</v>
      </c>
      <c r="AB366" t="str">
        <f>HYPERLINK("Melting_Curves/meltCurve_E5RHW4_ERLIN2.pdf", "Melting_Curves/meltCurve_E5RHW4_ERLIN2.pdf")</f>
        <v>Melting_Curves/meltCurve_E5RHW4_ERLIN2.pdf</v>
      </c>
    </row>
    <row r="367" spans="1:28" x14ac:dyDescent="0.25">
      <c r="A367" t="s">
        <v>371</v>
      </c>
      <c r="B367">
        <v>0.99930955844802105</v>
      </c>
      <c r="C367">
        <v>0.78021008037332995</v>
      </c>
      <c r="D367">
        <v>0.72948733715344305</v>
      </c>
      <c r="E367">
        <v>0.52453338640779001</v>
      </c>
      <c r="F367">
        <v>0.273186074406367</v>
      </c>
      <c r="G367">
        <v>0.139352047083797</v>
      </c>
      <c r="H367">
        <v>6.5466079972598804E-2</v>
      </c>
      <c r="I367">
        <v>4.18869193792301E-2</v>
      </c>
      <c r="J367">
        <v>3.0446114451828599E-2</v>
      </c>
      <c r="K367">
        <v>2.3306497536851899E-2</v>
      </c>
      <c r="L367">
        <v>625.62681235384696</v>
      </c>
      <c r="M367">
        <v>12.661589581929</v>
      </c>
      <c r="N367">
        <v>49.411395619550802</v>
      </c>
      <c r="O367">
        <v>48.227462457694003</v>
      </c>
      <c r="P367">
        <v>-6.5647579331412603E-2</v>
      </c>
      <c r="Q367">
        <v>0</v>
      </c>
      <c r="R367">
        <v>0.98681363463025396</v>
      </c>
      <c r="S367" t="s">
        <v>6984</v>
      </c>
      <c r="T367" t="s">
        <v>13232</v>
      </c>
      <c r="U367" t="s">
        <v>13232</v>
      </c>
      <c r="V367" t="s">
        <v>13232</v>
      </c>
      <c r="W367" t="s">
        <v>13591</v>
      </c>
      <c r="X367">
        <v>3</v>
      </c>
      <c r="Y367" t="s">
        <v>20130</v>
      </c>
      <c r="Z367" t="s">
        <v>26498</v>
      </c>
      <c r="AA367">
        <v>0.34650418457146009</v>
      </c>
      <c r="AB367" t="str">
        <f>HYPERLINK("Melting_Curves/meltCurve_E5RI99_RPL30.pdf", "Melting_Curves/meltCurve_E5RI99_RPL30.pdf")</f>
        <v>Melting_Curves/meltCurve_E5RI99_RPL30.pdf</v>
      </c>
    </row>
    <row r="368" spans="1:28" x14ac:dyDescent="0.25">
      <c r="A368" t="s">
        <v>372</v>
      </c>
      <c r="B368">
        <v>0.99930955844802105</v>
      </c>
      <c r="C368">
        <v>0.448457080636945</v>
      </c>
      <c r="D368">
        <v>0.38101271650269197</v>
      </c>
      <c r="E368">
        <v>0.293956588524798</v>
      </c>
      <c r="F368">
        <v>0.21169119604824499</v>
      </c>
      <c r="G368">
        <v>0.133307524684043</v>
      </c>
      <c r="H368">
        <v>6.0216881514283699E-2</v>
      </c>
      <c r="I368">
        <v>4.3695575674177603E-2</v>
      </c>
      <c r="J368">
        <v>5.12477736889142E-2</v>
      </c>
      <c r="K368">
        <v>4.1585524356423001E-2</v>
      </c>
      <c r="L368">
        <v>616.25148964866503</v>
      </c>
      <c r="M368">
        <v>14.000038220110699</v>
      </c>
      <c r="N368">
        <v>44.473265084528599</v>
      </c>
      <c r="O368">
        <v>43.148930600868198</v>
      </c>
      <c r="P368">
        <v>-7.5707780635512895E-2</v>
      </c>
      <c r="Q368">
        <v>6.6780390543852194E-2</v>
      </c>
      <c r="R368">
        <v>0.902802434178686</v>
      </c>
      <c r="S368" t="s">
        <v>6985</v>
      </c>
      <c r="T368" t="s">
        <v>13232</v>
      </c>
      <c r="U368" t="s">
        <v>13232</v>
      </c>
      <c r="V368" t="s">
        <v>13232</v>
      </c>
      <c r="W368" t="s">
        <v>13592</v>
      </c>
      <c r="X368">
        <v>5</v>
      </c>
      <c r="Y368" t="s">
        <v>20131</v>
      </c>
      <c r="Z368" t="s">
        <v>26499</v>
      </c>
      <c r="AA368">
        <v>0.23052638941810369</v>
      </c>
      <c r="AB368" t="str">
        <f>HYPERLINK("Melting_Curves/meltCurve_E5RIH5_TTI2.pdf", "Melting_Curves/meltCurve_E5RIH5_TTI2.pdf")</f>
        <v>Melting_Curves/meltCurve_E5RIH5_TTI2.pdf</v>
      </c>
    </row>
    <row r="369" spans="1:28" x14ac:dyDescent="0.25">
      <c r="A369" t="s">
        <v>373</v>
      </c>
      <c r="B369">
        <v>0.99930955844802105</v>
      </c>
      <c r="C369">
        <v>1.2047897381252</v>
      </c>
      <c r="D369">
        <v>1.1146502048504401</v>
      </c>
      <c r="E369">
        <v>1.0677953972866501</v>
      </c>
      <c r="F369">
        <v>0.86579254730252997</v>
      </c>
      <c r="G369">
        <v>0.68268846228009095</v>
      </c>
      <c r="H369">
        <v>0.54001255880687205</v>
      </c>
      <c r="I369">
        <v>0.51922779350811699</v>
      </c>
      <c r="J369">
        <v>0.360113842559385</v>
      </c>
      <c r="K369">
        <v>0.26706208126930597</v>
      </c>
      <c r="L369">
        <v>918.69266833912798</v>
      </c>
      <c r="M369">
        <v>15.4651619587887</v>
      </c>
      <c r="N369">
        <v>62.1518237875719</v>
      </c>
      <c r="O369">
        <v>58.437347490542201</v>
      </c>
      <c r="P369">
        <v>-4.9781847510055599E-2</v>
      </c>
      <c r="Q369">
        <v>0.247635838059278</v>
      </c>
      <c r="R369">
        <v>0.91674489776463697</v>
      </c>
      <c r="S369" t="s">
        <v>6986</v>
      </c>
      <c r="T369" t="s">
        <v>13232</v>
      </c>
      <c r="U369" t="s">
        <v>13232</v>
      </c>
      <c r="V369" t="s">
        <v>13232</v>
      </c>
      <c r="W369" t="s">
        <v>13593</v>
      </c>
      <c r="X369">
        <v>2</v>
      </c>
      <c r="Y369" t="s">
        <v>20132</v>
      </c>
      <c r="Z369" t="s">
        <v>26500</v>
      </c>
      <c r="AA369">
        <v>0.74128439063271112</v>
      </c>
      <c r="AB369" t="str">
        <f>HYPERLINK("Melting_Curves/meltCurve_E5RJ08_CHCHD7.pdf", "Melting_Curves/meltCurve_E5RJ08_CHCHD7.pdf")</f>
        <v>Melting_Curves/meltCurve_E5RJ08_CHCHD7.pdf</v>
      </c>
    </row>
    <row r="370" spans="1:28" x14ac:dyDescent="0.25">
      <c r="A370" t="s">
        <v>374</v>
      </c>
      <c r="B370">
        <v>0.99930955844802105</v>
      </c>
      <c r="C370">
        <v>0.83273164371144504</v>
      </c>
      <c r="D370">
        <v>0.80831477299023302</v>
      </c>
      <c r="E370">
        <v>0.511599540946031</v>
      </c>
      <c r="F370">
        <v>0.26279763630498099</v>
      </c>
      <c r="G370">
        <v>0.14583424467343301</v>
      </c>
      <c r="H370">
        <v>6.8471941124083002E-2</v>
      </c>
      <c r="I370">
        <v>5.5169619501045097E-2</v>
      </c>
      <c r="J370">
        <v>5.16458524648329E-2</v>
      </c>
      <c r="K370">
        <v>3.6837813570906798E-2</v>
      </c>
      <c r="L370">
        <v>744.20943141667703</v>
      </c>
      <c r="M370">
        <v>14.981424372534899</v>
      </c>
      <c r="N370">
        <v>49.814046985349997</v>
      </c>
      <c r="O370">
        <v>48.815596961841898</v>
      </c>
      <c r="P370">
        <v>-7.5166357053042407E-2</v>
      </c>
      <c r="Q370">
        <v>2.0408743418936701E-2</v>
      </c>
      <c r="R370">
        <v>0.99164219252846797</v>
      </c>
      <c r="S370" t="s">
        <v>6987</v>
      </c>
      <c r="T370" t="s">
        <v>13232</v>
      </c>
      <c r="U370" t="s">
        <v>13232</v>
      </c>
      <c r="V370" t="s">
        <v>13232</v>
      </c>
      <c r="W370" t="s">
        <v>13594</v>
      </c>
      <c r="X370">
        <v>37</v>
      </c>
      <c r="Y370" t="s">
        <v>20133</v>
      </c>
      <c r="Z370" t="s">
        <v>26501</v>
      </c>
      <c r="AA370">
        <v>0.36000499063789793</v>
      </c>
      <c r="AB370" t="str">
        <f>HYPERLINK("Melting_Curves/meltCurve_E5RJ68_AP3B1.pdf", "Melting_Curves/meltCurve_E5RJ68_AP3B1.pdf")</f>
        <v>Melting_Curves/meltCurve_E5RJ68_AP3B1.pdf</v>
      </c>
    </row>
    <row r="371" spans="1:28" x14ac:dyDescent="0.25">
      <c r="A371" t="s">
        <v>375</v>
      </c>
      <c r="B371">
        <v>0.99930955844802105</v>
      </c>
      <c r="C371">
        <v>0.95168239208842198</v>
      </c>
      <c r="D371">
        <v>0.88849458468506803</v>
      </c>
      <c r="E371">
        <v>0.76652082562064205</v>
      </c>
      <c r="F371">
        <v>0.50957352307907899</v>
      </c>
      <c r="G371">
        <v>0.41993503102825103</v>
      </c>
      <c r="H371">
        <v>0.31098112766896002</v>
      </c>
      <c r="I371">
        <v>0.29033350037661598</v>
      </c>
      <c r="J371">
        <v>0.25181205301547699</v>
      </c>
      <c r="K371">
        <v>0.18117667762513601</v>
      </c>
      <c r="L371">
        <v>692.96458476075497</v>
      </c>
      <c r="M371">
        <v>13.2121996646027</v>
      </c>
      <c r="N371">
        <v>54.480731523464897</v>
      </c>
      <c r="O371">
        <v>51.290958376697397</v>
      </c>
      <c r="P371">
        <v>-5.1879421295007798E-2</v>
      </c>
      <c r="Q371">
        <v>0.194530838736866</v>
      </c>
      <c r="R371">
        <v>0.99017622561714003</v>
      </c>
      <c r="S371" t="s">
        <v>6988</v>
      </c>
      <c r="T371" t="s">
        <v>13232</v>
      </c>
      <c r="U371" t="s">
        <v>13232</v>
      </c>
      <c r="V371" t="s">
        <v>13232</v>
      </c>
      <c r="W371" t="s">
        <v>13595</v>
      </c>
      <c r="X371">
        <v>12</v>
      </c>
      <c r="Y371" t="s">
        <v>20134</v>
      </c>
      <c r="Z371" t="s">
        <v>26502</v>
      </c>
      <c r="AA371">
        <v>0.5499218807800893</v>
      </c>
      <c r="AB371" t="str">
        <f>HYPERLINK("Melting_Curves/meltCurve_E5RJ99_ZFAND1.pdf", "Melting_Curves/meltCurve_E5RJ99_ZFAND1.pdf")</f>
        <v>Melting_Curves/meltCurve_E5RJ99_ZFAND1.pdf</v>
      </c>
    </row>
    <row r="372" spans="1:28" x14ac:dyDescent="0.25">
      <c r="A372" t="s">
        <v>376</v>
      </c>
      <c r="B372">
        <v>0.99930955844802105</v>
      </c>
      <c r="C372">
        <v>1.04639533211075</v>
      </c>
      <c r="D372">
        <v>1.05055567009482</v>
      </c>
      <c r="E372">
        <v>1.0704470698950601</v>
      </c>
      <c r="F372">
        <v>1.00693819539672</v>
      </c>
      <c r="G372">
        <v>0.92638210838797097</v>
      </c>
      <c r="H372">
        <v>1.0389855882915</v>
      </c>
      <c r="I372">
        <v>1.0590890266441799</v>
      </c>
      <c r="J372">
        <v>1.1391915788133999</v>
      </c>
      <c r="K372">
        <v>0.72478017412579598</v>
      </c>
      <c r="L372">
        <v>15000</v>
      </c>
      <c r="M372">
        <v>213.31732559027799</v>
      </c>
      <c r="Q372">
        <v>0</v>
      </c>
      <c r="R372">
        <v>0.655899062824992</v>
      </c>
      <c r="S372" t="s">
        <v>6989</v>
      </c>
      <c r="T372" t="s">
        <v>13232</v>
      </c>
      <c r="U372" t="s">
        <v>13232</v>
      </c>
      <c r="V372" t="s">
        <v>13232</v>
      </c>
      <c r="W372" t="s">
        <v>13596</v>
      </c>
      <c r="X372">
        <v>22</v>
      </c>
      <c r="Y372" t="s">
        <v>20135</v>
      </c>
      <c r="Z372" t="s">
        <v>26503</v>
      </c>
      <c r="AA372">
        <v>0.99653020994821884</v>
      </c>
      <c r="AB372" t="str">
        <f>HYPERLINK("Melting_Curves/meltCurve_E5RJR5_SKP1.pdf", "Melting_Curves/meltCurve_E5RJR5_SKP1.pdf")</f>
        <v>Melting_Curves/meltCurve_E5RJR5_SKP1.pdf</v>
      </c>
    </row>
    <row r="373" spans="1:28" x14ac:dyDescent="0.25">
      <c r="A373" t="s">
        <v>377</v>
      </c>
      <c r="B373">
        <v>0.99930955844802105</v>
      </c>
      <c r="C373">
        <v>0.89978658470546202</v>
      </c>
      <c r="D373">
        <v>0.77495226654710703</v>
      </c>
      <c r="E373">
        <v>0.45924320026617299</v>
      </c>
      <c r="F373">
        <v>0.26524327657539898</v>
      </c>
      <c r="G373">
        <v>0.17764788274123799</v>
      </c>
      <c r="H373">
        <v>0.112760334121967</v>
      </c>
      <c r="I373">
        <v>0.104096124500261</v>
      </c>
      <c r="J373">
        <v>0.106020658243299</v>
      </c>
      <c r="K373">
        <v>7.7937751686211504E-2</v>
      </c>
      <c r="L373">
        <v>828.07090117333303</v>
      </c>
      <c r="M373">
        <v>16.942469760215001</v>
      </c>
      <c r="N373">
        <v>49.429102950264699</v>
      </c>
      <c r="O373">
        <v>48.209780277789399</v>
      </c>
      <c r="P373">
        <v>-8.0269905207436307E-2</v>
      </c>
      <c r="Q373">
        <v>8.6425457359984303E-2</v>
      </c>
      <c r="R373">
        <v>0.99851701928770997</v>
      </c>
      <c r="S373" t="s">
        <v>6990</v>
      </c>
      <c r="T373" t="s">
        <v>13232</v>
      </c>
      <c r="U373" t="s">
        <v>13232</v>
      </c>
      <c r="V373" t="s">
        <v>13232</v>
      </c>
      <c r="W373" t="s">
        <v>13597</v>
      </c>
      <c r="X373">
        <v>4</v>
      </c>
      <c r="Y373" t="s">
        <v>20136</v>
      </c>
      <c r="Z373" t="s">
        <v>26504</v>
      </c>
      <c r="AA373">
        <v>0.37459946877398331</v>
      </c>
      <c r="AB373" t="str">
        <f>HYPERLINK("Melting_Curves/meltCurve_E5RK28_SGK3.pdf", "Melting_Curves/meltCurve_E5RK28_SGK3.pdf")</f>
        <v>Melting_Curves/meltCurve_E5RK28_SGK3.pdf</v>
      </c>
    </row>
    <row r="374" spans="1:28" x14ac:dyDescent="0.25">
      <c r="A374" t="s">
        <v>378</v>
      </c>
      <c r="B374">
        <v>0.99930955844802105</v>
      </c>
      <c r="C374">
        <v>0.97783638166129405</v>
      </c>
      <c r="D374">
        <v>0.952327363424748</v>
      </c>
      <c r="E374">
        <v>0.85166536326784104</v>
      </c>
      <c r="F374">
        <v>0.87707507863954204</v>
      </c>
      <c r="G374">
        <v>0.71881565499815903</v>
      </c>
      <c r="H374">
        <v>0.58755912831624002</v>
      </c>
      <c r="I374">
        <v>0.65817717098059902</v>
      </c>
      <c r="J374">
        <v>0.605013825423658</v>
      </c>
      <c r="K374">
        <v>0.53073063636536399</v>
      </c>
      <c r="L374">
        <v>583.09612589082894</v>
      </c>
      <c r="M374">
        <v>10.420130596238099</v>
      </c>
      <c r="O374">
        <v>54.015380979698001</v>
      </c>
      <c r="P374">
        <v>-2.3986821388187501E-2</v>
      </c>
      <c r="Q374">
        <v>0.50283954276557696</v>
      </c>
      <c r="R374">
        <v>0.95562901211296603</v>
      </c>
      <c r="S374" t="s">
        <v>6991</v>
      </c>
      <c r="T374" t="s">
        <v>13232</v>
      </c>
      <c r="U374" t="s">
        <v>13232</v>
      </c>
      <c r="V374" t="s">
        <v>13232</v>
      </c>
      <c r="W374" t="s">
        <v>13598</v>
      </c>
      <c r="X374">
        <v>3</v>
      </c>
      <c r="Y374" t="s">
        <v>20137</v>
      </c>
      <c r="Z374" t="s">
        <v>26505</v>
      </c>
      <c r="AA374">
        <v>0.77787643829688213</v>
      </c>
      <c r="AB374" t="str">
        <f>HYPERLINK("Melting_Curves/meltCurve_E5RK82_CETN3.pdf", "Melting_Curves/meltCurve_E5RK82_CETN3.pdf")</f>
        <v>Melting_Curves/meltCurve_E5RK82_CETN3.pdf</v>
      </c>
    </row>
    <row r="375" spans="1:28" x14ac:dyDescent="0.25">
      <c r="A375" t="s">
        <v>379</v>
      </c>
      <c r="B375">
        <v>0.99930955844802105</v>
      </c>
      <c r="C375">
        <v>0.81476420575105102</v>
      </c>
      <c r="D375">
        <v>0.84011674156014404</v>
      </c>
      <c r="E375">
        <v>1.0081732184589201</v>
      </c>
      <c r="F375">
        <v>0.91104022560951803</v>
      </c>
      <c r="G375">
        <v>0.43326457647711702</v>
      </c>
      <c r="H375">
        <v>9.7146266463973605E-2</v>
      </c>
      <c r="I375">
        <v>6.1331081741490497E-2</v>
      </c>
      <c r="J375">
        <v>4.7481932959261203E-2</v>
      </c>
      <c r="K375">
        <v>3.8568393624294997E-2</v>
      </c>
      <c r="L375">
        <v>2035.70350122426</v>
      </c>
      <c r="M375">
        <v>36.0907121611855</v>
      </c>
      <c r="N375">
        <v>56.543463895678897</v>
      </c>
      <c r="O375">
        <v>56.232858259541302</v>
      </c>
      <c r="P375">
        <v>-0.15367528075957301</v>
      </c>
      <c r="Q375">
        <v>4.2238576416368502E-2</v>
      </c>
      <c r="R375">
        <v>0.96378532815123297</v>
      </c>
      <c r="S375" t="s">
        <v>6992</v>
      </c>
      <c r="T375" t="s">
        <v>13232</v>
      </c>
      <c r="U375" t="s">
        <v>13232</v>
      </c>
      <c r="V375" t="s">
        <v>13232</v>
      </c>
      <c r="W375" t="s">
        <v>13599</v>
      </c>
      <c r="X375">
        <v>15</v>
      </c>
      <c r="Y375" t="s">
        <v>20138</v>
      </c>
      <c r="Z375" t="s">
        <v>26506</v>
      </c>
      <c r="AA375">
        <v>0.5705034894068528</v>
      </c>
      <c r="AB375" t="str">
        <f>HYPERLINK("Melting_Curves/meltCurve_E7EM64_COPS6.pdf", "Melting_Curves/meltCurve_E7EM64_COPS6.pdf")</f>
        <v>Melting_Curves/meltCurve_E7EM64_COPS6.pdf</v>
      </c>
    </row>
    <row r="376" spans="1:28" x14ac:dyDescent="0.25">
      <c r="A376" t="s">
        <v>380</v>
      </c>
      <c r="B376">
        <v>0.99930955844802105</v>
      </c>
      <c r="C376">
        <v>0.66826220419033999</v>
      </c>
      <c r="D376">
        <v>0.38452725583906999</v>
      </c>
      <c r="E376">
        <v>0.28538518880490299</v>
      </c>
      <c r="F376">
        <v>0.20071642238408099</v>
      </c>
      <c r="G376">
        <v>0.13882428856262199</v>
      </c>
      <c r="H376">
        <v>8.65606133231063E-2</v>
      </c>
      <c r="I376">
        <v>0.104859651474402</v>
      </c>
      <c r="J376">
        <v>5.7373099252290602E-2</v>
      </c>
      <c r="K376">
        <v>5.4299651712155297E-2</v>
      </c>
      <c r="L376">
        <v>766.45678919656405</v>
      </c>
      <c r="M376">
        <v>17.1333002989576</v>
      </c>
      <c r="N376">
        <v>45.279730884440397</v>
      </c>
      <c r="O376">
        <v>44.138858175714702</v>
      </c>
      <c r="P376">
        <v>-8.8008121157282196E-2</v>
      </c>
      <c r="Q376">
        <v>9.3147642931233204E-2</v>
      </c>
      <c r="R376">
        <v>0.96996528494135603</v>
      </c>
      <c r="S376" t="s">
        <v>6993</v>
      </c>
      <c r="T376" t="s">
        <v>13232</v>
      </c>
      <c r="U376" t="s">
        <v>13232</v>
      </c>
      <c r="V376" t="s">
        <v>13232</v>
      </c>
      <c r="W376" t="s">
        <v>13600</v>
      </c>
      <c r="X376">
        <v>4</v>
      </c>
      <c r="Y376" t="s">
        <v>20139</v>
      </c>
      <c r="Z376" t="s">
        <v>26507</v>
      </c>
      <c r="AA376">
        <v>0.25880967066103733</v>
      </c>
      <c r="AB376" t="str">
        <f>HYPERLINK("Melting_Curves/meltCurve_E7EMD6_AKAP10.pdf", "Melting_Curves/meltCurve_E7EMD6_AKAP10.pdf")</f>
        <v>Melting_Curves/meltCurve_E7EMD6_AKAP10.pdf</v>
      </c>
    </row>
    <row r="377" spans="1:28" x14ac:dyDescent="0.25">
      <c r="A377" t="s">
        <v>381</v>
      </c>
      <c r="B377">
        <v>0.99930955844802105</v>
      </c>
      <c r="C377">
        <v>0.98184189041412095</v>
      </c>
      <c r="D377">
        <v>0.99083827622100296</v>
      </c>
      <c r="E377">
        <v>0.98048764093797203</v>
      </c>
      <c r="F377">
        <v>0.90968018216120605</v>
      </c>
      <c r="G377">
        <v>0.72071840271239096</v>
      </c>
      <c r="H377">
        <v>0.61349382783397899</v>
      </c>
      <c r="I377">
        <v>0.63177471716591704</v>
      </c>
      <c r="J377">
        <v>0.56274977384197999</v>
      </c>
      <c r="K377">
        <v>0.44771545142129299</v>
      </c>
      <c r="L377">
        <v>851.10794889522106</v>
      </c>
      <c r="M377">
        <v>14.713117432629</v>
      </c>
      <c r="O377">
        <v>56.809792826542001</v>
      </c>
      <c r="P377">
        <v>-3.4595667721867701E-2</v>
      </c>
      <c r="Q377">
        <v>0.46573974700284099</v>
      </c>
      <c r="R377">
        <v>0.97056027327486705</v>
      </c>
      <c r="S377" t="s">
        <v>6994</v>
      </c>
      <c r="T377" t="s">
        <v>13232</v>
      </c>
      <c r="U377" t="s">
        <v>13232</v>
      </c>
      <c r="V377" t="s">
        <v>13232</v>
      </c>
      <c r="W377" t="s">
        <v>13601</v>
      </c>
      <c r="X377">
        <v>14</v>
      </c>
      <c r="Y377" t="s">
        <v>20140</v>
      </c>
      <c r="Z377" t="s">
        <v>26508</v>
      </c>
      <c r="AA377">
        <v>0.79098942207403966</v>
      </c>
      <c r="AB377" t="str">
        <f>HYPERLINK("Melting_Curves/meltCurve_E7EMM4_ASAH1.pdf", "Melting_Curves/meltCurve_E7EMM4_ASAH1.pdf")</f>
        <v>Melting_Curves/meltCurve_E7EMM4_ASAH1.pdf</v>
      </c>
    </row>
    <row r="378" spans="1:28" x14ac:dyDescent="0.25">
      <c r="A378" t="s">
        <v>382</v>
      </c>
      <c r="B378">
        <v>0.99930955844802105</v>
      </c>
      <c r="C378">
        <v>0.80056654810098005</v>
      </c>
      <c r="D378">
        <v>0.45702477861554802</v>
      </c>
      <c r="E378">
        <v>0.338047591132833</v>
      </c>
      <c r="F378">
        <v>0.261009530732696</v>
      </c>
      <c r="G378">
        <v>0.176340628042884</v>
      </c>
      <c r="H378">
        <v>0.120217024759272</v>
      </c>
      <c r="I378">
        <v>7.7904946232283098E-2</v>
      </c>
      <c r="J378">
        <v>5.4343015567899298E-2</v>
      </c>
      <c r="K378">
        <v>3.97432297004367E-2</v>
      </c>
      <c r="L378">
        <v>652.16950614111397</v>
      </c>
      <c r="M378">
        <v>14.0729536454196</v>
      </c>
      <c r="N378">
        <v>46.863640843561697</v>
      </c>
      <c r="O378">
        <v>45.436406538743498</v>
      </c>
      <c r="P378">
        <v>-7.1828353458442296E-2</v>
      </c>
      <c r="Q378">
        <v>7.2490623583414293E-2</v>
      </c>
      <c r="R378">
        <v>0.97201836781044504</v>
      </c>
      <c r="S378" t="s">
        <v>6995</v>
      </c>
      <c r="T378" t="s">
        <v>13232</v>
      </c>
      <c r="U378" t="s">
        <v>13232</v>
      </c>
      <c r="V378" t="s">
        <v>13232</v>
      </c>
      <c r="W378" t="s">
        <v>13602</v>
      </c>
      <c r="X378">
        <v>7</v>
      </c>
      <c r="Y378" t="s">
        <v>20141</v>
      </c>
      <c r="Z378" t="s">
        <v>26509</v>
      </c>
      <c r="AA378">
        <v>0.29864032080785508</v>
      </c>
      <c r="AB378" t="str">
        <f>HYPERLINK("Melting_Curves/meltCurve_E7EMP6_C3orf37.pdf", "Melting_Curves/meltCurve_E7EMP6_C3orf37.pdf")</f>
        <v>Melting_Curves/meltCurve_E7EMP6_C3orf37.pdf</v>
      </c>
    </row>
    <row r="379" spans="1:28" x14ac:dyDescent="0.25">
      <c r="A379" t="s">
        <v>383</v>
      </c>
      <c r="B379">
        <v>0.99930955844802105</v>
      </c>
      <c r="C379">
        <v>0.59764364511867896</v>
      </c>
      <c r="D379">
        <v>0.62967804810102201</v>
      </c>
      <c r="E379">
        <v>0.79283461368404395</v>
      </c>
      <c r="F379">
        <v>0.91892217082226602</v>
      </c>
      <c r="G379">
        <v>0.43462009283147501</v>
      </c>
      <c r="H379">
        <v>0.16758101858789901</v>
      </c>
      <c r="I379">
        <v>0.14124456787258099</v>
      </c>
      <c r="J379">
        <v>0.12408288758253801</v>
      </c>
      <c r="K379">
        <v>9.3135081996175095E-2</v>
      </c>
      <c r="L379">
        <v>484.61967075857399</v>
      </c>
      <c r="M379">
        <v>8.8111277476125593</v>
      </c>
      <c r="N379">
        <v>55.000867588632801</v>
      </c>
      <c r="O379">
        <v>52.388623782939597</v>
      </c>
      <c r="P379">
        <v>-4.2080018675851601E-2</v>
      </c>
      <c r="Q379">
        <v>0</v>
      </c>
      <c r="R379">
        <v>0.72112051134579902</v>
      </c>
      <c r="S379" t="s">
        <v>6996</v>
      </c>
      <c r="T379" t="s">
        <v>13232</v>
      </c>
      <c r="U379" t="s">
        <v>13232</v>
      </c>
      <c r="V379" t="s">
        <v>13232</v>
      </c>
      <c r="W379" t="s">
        <v>13603</v>
      </c>
      <c r="X379">
        <v>39</v>
      </c>
      <c r="Y379" t="s">
        <v>20142</v>
      </c>
      <c r="Z379" t="s">
        <v>26510</v>
      </c>
      <c r="AA379">
        <v>0.52686516333475741</v>
      </c>
      <c r="AB379" t="str">
        <f>HYPERLINK("Melting_Curves/meltCurve_E7EMW7_UBR5.pdf", "Melting_Curves/meltCurve_E7EMW7_UBR5.pdf")</f>
        <v>Melting_Curves/meltCurve_E7EMW7_UBR5.pdf</v>
      </c>
    </row>
    <row r="380" spans="1:28" x14ac:dyDescent="0.25">
      <c r="A380" t="s">
        <v>384</v>
      </c>
      <c r="B380">
        <v>0.99930955844802105</v>
      </c>
      <c r="C380">
        <v>0.84812862792086996</v>
      </c>
      <c r="D380">
        <v>0.74275103443876</v>
      </c>
      <c r="E380">
        <v>0.77782815616990497</v>
      </c>
      <c r="F380">
        <v>0.51390014083250302</v>
      </c>
      <c r="G380">
        <v>0.35557667384617803</v>
      </c>
      <c r="H380">
        <v>0.20615486488204901</v>
      </c>
      <c r="I380">
        <v>0.20080893961292701</v>
      </c>
      <c r="J380">
        <v>0.18305932270531799</v>
      </c>
      <c r="K380">
        <v>0.12811873791326001</v>
      </c>
      <c r="L380">
        <v>485.11917133549201</v>
      </c>
      <c r="M380">
        <v>9.0774442699633209</v>
      </c>
      <c r="N380">
        <v>53.666641576268098</v>
      </c>
      <c r="O380">
        <v>51.040071941104003</v>
      </c>
      <c r="P380">
        <v>-4.3665094561354999E-2</v>
      </c>
      <c r="Q380">
        <v>1.86206796060829E-2</v>
      </c>
      <c r="R380">
        <v>0.96900098772597099</v>
      </c>
      <c r="S380" t="s">
        <v>6997</v>
      </c>
      <c r="T380" t="s">
        <v>13232</v>
      </c>
      <c r="U380" t="s">
        <v>13232</v>
      </c>
      <c r="V380" t="s">
        <v>13232</v>
      </c>
      <c r="W380" t="s">
        <v>13604</v>
      </c>
      <c r="X380">
        <v>3</v>
      </c>
      <c r="Y380" t="s">
        <v>20143</v>
      </c>
      <c r="Z380" t="s">
        <v>26511</v>
      </c>
      <c r="AA380">
        <v>0.49263101741818799</v>
      </c>
      <c r="AB380" t="str">
        <f>HYPERLINK("Melting_Curves/meltCurve_E7ENA9_NCSTN.pdf", "Melting_Curves/meltCurve_E7ENA9_NCSTN.pdf")</f>
        <v>Melting_Curves/meltCurve_E7ENA9_NCSTN.pdf</v>
      </c>
    </row>
    <row r="381" spans="1:28" x14ac:dyDescent="0.25">
      <c r="A381" t="s">
        <v>385</v>
      </c>
      <c r="B381">
        <v>0.99930955844802105</v>
      </c>
      <c r="C381">
        <v>0.95696521847010796</v>
      </c>
      <c r="D381">
        <v>0.95892183047233504</v>
      </c>
      <c r="E381">
        <v>0.95962130466495399</v>
      </c>
      <c r="F381">
        <v>0.88689199679778996</v>
      </c>
      <c r="G381">
        <v>0.78622043330049896</v>
      </c>
      <c r="H381">
        <v>0.72055257078797597</v>
      </c>
      <c r="I381">
        <v>0.81067598356971005</v>
      </c>
      <c r="J381">
        <v>0.74706365336681901</v>
      </c>
      <c r="K381">
        <v>0.61695514590618405</v>
      </c>
      <c r="L381">
        <v>386.37651060335901</v>
      </c>
      <c r="M381">
        <v>5.9749879241669897</v>
      </c>
      <c r="O381">
        <v>58.536323006207198</v>
      </c>
      <c r="P381">
        <v>-1.3919198503838701E-2</v>
      </c>
      <c r="Q381">
        <v>0.456327524006021</v>
      </c>
      <c r="R381">
        <v>0.87980153949779405</v>
      </c>
      <c r="S381" t="s">
        <v>6998</v>
      </c>
      <c r="T381" t="s">
        <v>13232</v>
      </c>
      <c r="U381" t="s">
        <v>13232</v>
      </c>
      <c r="V381" t="s">
        <v>13232</v>
      </c>
      <c r="W381" t="s">
        <v>13605</v>
      </c>
      <c r="X381">
        <v>8</v>
      </c>
      <c r="Y381" t="s">
        <v>20144</v>
      </c>
      <c r="Z381" t="s">
        <v>26512</v>
      </c>
      <c r="AA381">
        <v>0.84761544673176459</v>
      </c>
      <c r="AB381" t="str">
        <f>HYPERLINK("Melting_Curves/meltCurve_E7ENF1_C12orf43.pdf", "Melting_Curves/meltCurve_E7ENF1_C12orf43.pdf")</f>
        <v>Melting_Curves/meltCurve_E7ENF1_C12orf43.pdf</v>
      </c>
    </row>
    <row r="382" spans="1:28" x14ac:dyDescent="0.25">
      <c r="A382" t="s">
        <v>386</v>
      </c>
      <c r="B382">
        <v>0.99930955844802105</v>
      </c>
      <c r="C382">
        <v>1.26535064738675</v>
      </c>
      <c r="D382">
        <v>1.19535047145483</v>
      </c>
      <c r="E382">
        <v>1.1166223237711099</v>
      </c>
      <c r="F382">
        <v>0.87767800644594196</v>
      </c>
      <c r="G382">
        <v>0.43034634966764401</v>
      </c>
      <c r="H382">
        <v>0.18432754357103601</v>
      </c>
      <c r="I382">
        <v>0.15005095902222501</v>
      </c>
      <c r="J382">
        <v>0.13359257591412901</v>
      </c>
      <c r="K382">
        <v>0.10485361785113401</v>
      </c>
      <c r="L382">
        <v>2045.7798446111201</v>
      </c>
      <c r="M382">
        <v>36.532025606656497</v>
      </c>
      <c r="N382">
        <v>56.463049744192602</v>
      </c>
      <c r="O382">
        <v>55.832622416785199</v>
      </c>
      <c r="P382">
        <v>-0.14239051941960701</v>
      </c>
      <c r="Q382">
        <v>0.129529544628564</v>
      </c>
      <c r="R382">
        <v>0.94107457881631895</v>
      </c>
      <c r="S382" t="s">
        <v>6999</v>
      </c>
      <c r="T382" t="s">
        <v>13232</v>
      </c>
      <c r="U382" t="s">
        <v>13232</v>
      </c>
      <c r="V382" t="s">
        <v>13232</v>
      </c>
      <c r="W382" t="s">
        <v>13606</v>
      </c>
      <c r="X382">
        <v>15</v>
      </c>
      <c r="Y382" t="s">
        <v>20145</v>
      </c>
      <c r="Z382" t="s">
        <v>26513</v>
      </c>
      <c r="AA382">
        <v>0.59776738500579751</v>
      </c>
      <c r="AB382" t="str">
        <f>HYPERLINK("Melting_Curves/meltCurve_E7ENK0_CALCOCO2.pdf", "Melting_Curves/meltCurve_E7ENK0_CALCOCO2.pdf")</f>
        <v>Melting_Curves/meltCurve_E7ENK0_CALCOCO2.pdf</v>
      </c>
    </row>
    <row r="383" spans="1:28" x14ac:dyDescent="0.25">
      <c r="A383" t="s">
        <v>387</v>
      </c>
      <c r="B383">
        <v>0.99930955844802105</v>
      </c>
      <c r="C383">
        <v>0.98375022377208399</v>
      </c>
      <c r="D383">
        <v>0.88244318923381204</v>
      </c>
      <c r="E383">
        <v>0.45505042484247599</v>
      </c>
      <c r="F383">
        <v>0.17428559148364101</v>
      </c>
      <c r="G383">
        <v>0.11489169440367999</v>
      </c>
      <c r="H383">
        <v>6.0292444750984199E-2</v>
      </c>
      <c r="I383">
        <v>4.6142074621583998E-2</v>
      </c>
      <c r="J383">
        <v>3.6497885369132198E-2</v>
      </c>
      <c r="K383">
        <v>2.9166982988648602E-2</v>
      </c>
      <c r="L383">
        <v>1278.4121044144199</v>
      </c>
      <c r="M383">
        <v>25.861597283986999</v>
      </c>
      <c r="N383">
        <v>49.6208700917445</v>
      </c>
      <c r="O383">
        <v>49.140109219303497</v>
      </c>
      <c r="P383">
        <v>-0.12543106567765999</v>
      </c>
      <c r="Q383">
        <v>4.6675473771293302E-2</v>
      </c>
      <c r="R383">
        <v>0.99859434327785601</v>
      </c>
      <c r="S383" t="s">
        <v>7000</v>
      </c>
      <c r="T383" t="s">
        <v>13232</v>
      </c>
      <c r="U383" t="s">
        <v>13232</v>
      </c>
      <c r="V383" t="s">
        <v>13232</v>
      </c>
      <c r="W383" t="s">
        <v>13607</v>
      </c>
      <c r="X383">
        <v>5</v>
      </c>
      <c r="Y383" t="s">
        <v>20146</v>
      </c>
      <c r="Z383" t="s">
        <v>26514</v>
      </c>
      <c r="AA383">
        <v>0.35433690516222499</v>
      </c>
      <c r="AB383" t="str">
        <f>HYPERLINK("Melting_Curves/meltCurve_E7ENN3_SYNE1.pdf", "Melting_Curves/meltCurve_E7ENN3_SYNE1.pdf")</f>
        <v>Melting_Curves/meltCurve_E7ENN3_SYNE1.pdf</v>
      </c>
    </row>
    <row r="384" spans="1:28" x14ac:dyDescent="0.25">
      <c r="A384" t="s">
        <v>388</v>
      </c>
      <c r="B384">
        <v>0.99930955844802105</v>
      </c>
      <c r="C384">
        <v>0.81931073733025295</v>
      </c>
      <c r="D384">
        <v>0.83440680814943202</v>
      </c>
      <c r="E384">
        <v>0.70885744771995296</v>
      </c>
      <c r="F384">
        <v>0.49329987919345503</v>
      </c>
      <c r="G384">
        <v>0.41807224746926402</v>
      </c>
      <c r="H384">
        <v>0.38991600072305799</v>
      </c>
      <c r="I384">
        <v>0.35914532711556901</v>
      </c>
      <c r="J384">
        <v>0.329248889605467</v>
      </c>
      <c r="K384">
        <v>0.28269990046037802</v>
      </c>
      <c r="L384">
        <v>526.51896804510602</v>
      </c>
      <c r="M384">
        <v>10.420582316455899</v>
      </c>
      <c r="N384">
        <v>54.5024009029475</v>
      </c>
      <c r="O384">
        <v>48.772359341603398</v>
      </c>
      <c r="P384">
        <v>-3.9212165639900799E-2</v>
      </c>
      <c r="Q384">
        <v>0.266192365508582</v>
      </c>
      <c r="R384">
        <v>0.97104178933586605</v>
      </c>
      <c r="S384" t="s">
        <v>7001</v>
      </c>
      <c r="T384" t="s">
        <v>13232</v>
      </c>
      <c r="U384" t="s">
        <v>13232</v>
      </c>
      <c r="V384" t="s">
        <v>13232</v>
      </c>
      <c r="W384" t="s">
        <v>13608</v>
      </c>
      <c r="X384">
        <v>3</v>
      </c>
      <c r="Y384" t="s">
        <v>20147</v>
      </c>
      <c r="Z384" t="s">
        <v>26515</v>
      </c>
      <c r="AA384">
        <v>0.55376751652581302</v>
      </c>
      <c r="AB384" t="str">
        <f>HYPERLINK("Melting_Curves/meltCurve_E7ENW2_CBLB.pdf", "Melting_Curves/meltCurve_E7ENW2_CBLB.pdf")</f>
        <v>Melting_Curves/meltCurve_E7ENW2_CBLB.pdf</v>
      </c>
    </row>
    <row r="385" spans="1:28" x14ac:dyDescent="0.25">
      <c r="A385" t="s">
        <v>389</v>
      </c>
      <c r="B385">
        <v>0.99930955844802105</v>
      </c>
      <c r="C385">
        <v>1.2628695757695201</v>
      </c>
      <c r="D385">
        <v>1.21876438066266</v>
      </c>
      <c r="E385">
        <v>0.98524271250840501</v>
      </c>
      <c r="F385">
        <v>0.63191388423273198</v>
      </c>
      <c r="G385">
        <v>0.54559283003280501</v>
      </c>
      <c r="H385">
        <v>0.49852290035438002</v>
      </c>
      <c r="I385">
        <v>0.525500407488663</v>
      </c>
      <c r="J385">
        <v>0.53875437111826996</v>
      </c>
      <c r="K385">
        <v>0.43962344442419299</v>
      </c>
      <c r="L385">
        <v>3934.3085248326402</v>
      </c>
      <c r="M385">
        <v>75.324307434198005</v>
      </c>
      <c r="O385">
        <v>52.194812760023602</v>
      </c>
      <c r="P385">
        <v>-0.17703122435282101</v>
      </c>
      <c r="Q385">
        <v>0.50931590010365602</v>
      </c>
      <c r="R385">
        <v>0.863148839930162</v>
      </c>
      <c r="S385" t="s">
        <v>7002</v>
      </c>
      <c r="T385" t="s">
        <v>13232</v>
      </c>
      <c r="U385" t="s">
        <v>13232</v>
      </c>
      <c r="V385" t="s">
        <v>13232</v>
      </c>
      <c r="W385" t="s">
        <v>13609</v>
      </c>
      <c r="X385">
        <v>4</v>
      </c>
      <c r="Y385" t="s">
        <v>20148</v>
      </c>
      <c r="Z385" t="s">
        <v>26516</v>
      </c>
      <c r="AA385">
        <v>0.70987407165376126</v>
      </c>
      <c r="AB385" t="str">
        <f>HYPERLINK("Melting_Curves/meltCurve_E7EP17_DNAH9.pdf", "Melting_Curves/meltCurve_E7EP17_DNAH9.pdf")</f>
        <v>Melting_Curves/meltCurve_E7EP17_DNAH9.pdf</v>
      </c>
    </row>
    <row r="386" spans="1:28" x14ac:dyDescent="0.25">
      <c r="A386" t="s">
        <v>390</v>
      </c>
      <c r="B386">
        <v>0.99930955844802105</v>
      </c>
      <c r="C386">
        <v>0.586365484565193</v>
      </c>
      <c r="D386">
        <v>0.452632509881291</v>
      </c>
      <c r="E386">
        <v>0.46591637403893599</v>
      </c>
      <c r="F386">
        <v>0.31708434033816801</v>
      </c>
      <c r="G386">
        <v>0.13826875731586799</v>
      </c>
      <c r="H386">
        <v>7.7761457145617996E-2</v>
      </c>
      <c r="I386">
        <v>7.4118019569731297E-2</v>
      </c>
      <c r="J386">
        <v>6.6919825640665107E-2</v>
      </c>
      <c r="K386">
        <v>5.2736549903877897E-2</v>
      </c>
      <c r="L386">
        <v>430.79719750480899</v>
      </c>
      <c r="M386">
        <v>9.1631957856827206</v>
      </c>
      <c r="N386">
        <v>47.023449758625503</v>
      </c>
      <c r="O386">
        <v>44.937139258838599</v>
      </c>
      <c r="P386">
        <v>-5.0964802247030698E-2</v>
      </c>
      <c r="Q386">
        <v>9.3342330122756596E-4</v>
      </c>
      <c r="R386">
        <v>0.92258701023159995</v>
      </c>
      <c r="S386" t="s">
        <v>7003</v>
      </c>
      <c r="T386" t="s">
        <v>13232</v>
      </c>
      <c r="U386" t="s">
        <v>13232</v>
      </c>
      <c r="V386" t="s">
        <v>13232</v>
      </c>
      <c r="W386" t="s">
        <v>13610</v>
      </c>
      <c r="X386">
        <v>3</v>
      </c>
      <c r="Y386" t="s">
        <v>20149</v>
      </c>
      <c r="Z386" t="s">
        <v>26517</v>
      </c>
      <c r="AA386">
        <v>0.30015372839546572</v>
      </c>
      <c r="AB386" t="str">
        <f>HYPERLINK("Melting_Curves/meltCurve_E7EPB3_RPL14.pdf", "Melting_Curves/meltCurve_E7EPB3_RPL14.pdf")</f>
        <v>Melting_Curves/meltCurve_E7EPB3_RPL14.pdf</v>
      </c>
    </row>
    <row r="387" spans="1:28" x14ac:dyDescent="0.25">
      <c r="A387" t="s">
        <v>391</v>
      </c>
      <c r="B387">
        <v>0.99930955844802105</v>
      </c>
      <c r="C387">
        <v>0.95215186283844</v>
      </c>
      <c r="D387">
        <v>0.89779591875324205</v>
      </c>
      <c r="E387">
        <v>0.793041177348497</v>
      </c>
      <c r="F387">
        <v>0.50009424417794501</v>
      </c>
      <c r="G387">
        <v>0.31506181295607899</v>
      </c>
      <c r="H387">
        <v>0.24123717493153199</v>
      </c>
      <c r="I387">
        <v>0.21541334470957499</v>
      </c>
      <c r="J387">
        <v>0.20163029675757499</v>
      </c>
      <c r="K387">
        <v>0.16622110276777199</v>
      </c>
      <c r="L387">
        <v>960.79627724541297</v>
      </c>
      <c r="M387">
        <v>18.420113374418101</v>
      </c>
      <c r="N387">
        <v>53.439104114949103</v>
      </c>
      <c r="O387">
        <v>51.557054737110498</v>
      </c>
      <c r="P387">
        <v>-7.3401043617558698E-2</v>
      </c>
      <c r="Q387">
        <v>0.178252079569411</v>
      </c>
      <c r="R387">
        <v>0.99398146870583504</v>
      </c>
      <c r="S387" t="s">
        <v>7004</v>
      </c>
      <c r="T387" t="s">
        <v>13232</v>
      </c>
      <c r="U387" t="s">
        <v>13232</v>
      </c>
      <c r="V387" t="s">
        <v>13232</v>
      </c>
      <c r="W387" t="s">
        <v>13611</v>
      </c>
      <c r="X387">
        <v>11</v>
      </c>
      <c r="Y387" t="s">
        <v>20150</v>
      </c>
      <c r="Z387" t="s">
        <v>26518</v>
      </c>
      <c r="AA387">
        <v>0.5244576108990715</v>
      </c>
      <c r="AB387" t="str">
        <f>HYPERLINK("Melting_Curves/meltCurve_E7EPD0_TOM1.pdf", "Melting_Curves/meltCurve_E7EPD0_TOM1.pdf")</f>
        <v>Melting_Curves/meltCurve_E7EPD0_TOM1.pdf</v>
      </c>
    </row>
    <row r="388" spans="1:28" x14ac:dyDescent="0.25">
      <c r="A388" t="s">
        <v>392</v>
      </c>
      <c r="B388">
        <v>0.99930955844802105</v>
      </c>
      <c r="C388">
        <v>0.98535124236295002</v>
      </c>
      <c r="D388">
        <v>0.95471406661848002</v>
      </c>
      <c r="E388">
        <v>0.90524612252557402</v>
      </c>
      <c r="F388">
        <v>0.59437504538285002</v>
      </c>
      <c r="G388">
        <v>0.44498600665107502</v>
      </c>
      <c r="H388">
        <v>0.40054409760041398</v>
      </c>
      <c r="I388">
        <v>0.426397022727178</v>
      </c>
      <c r="J388">
        <v>0.40574445585587499</v>
      </c>
      <c r="K388">
        <v>0.34355281164847301</v>
      </c>
      <c r="L388">
        <v>1906.22533262353</v>
      </c>
      <c r="M388">
        <v>36.603884560684598</v>
      </c>
      <c r="N388">
        <v>54.431266031914703</v>
      </c>
      <c r="O388">
        <v>51.922411351166303</v>
      </c>
      <c r="P388">
        <v>-0.106216436475665</v>
      </c>
      <c r="Q388">
        <v>0.39733181953789998</v>
      </c>
      <c r="R388">
        <v>0.99080238651294705</v>
      </c>
      <c r="S388" t="s">
        <v>7005</v>
      </c>
      <c r="T388" t="s">
        <v>13232</v>
      </c>
      <c r="U388" t="s">
        <v>13232</v>
      </c>
      <c r="V388" t="s">
        <v>13232</v>
      </c>
      <c r="W388" t="s">
        <v>13612</v>
      </c>
      <c r="X388">
        <v>11</v>
      </c>
      <c r="Y388" t="s">
        <v>20151</v>
      </c>
      <c r="Z388" t="s">
        <v>26519</v>
      </c>
      <c r="AA388">
        <v>0.64254001823540796</v>
      </c>
      <c r="AB388" t="str">
        <f>HYPERLINK("Melting_Curves/meltCurve_E7EPI0_IBTK.pdf", "Melting_Curves/meltCurve_E7EPI0_IBTK.pdf")</f>
        <v>Melting_Curves/meltCurve_E7EPI0_IBTK.pdf</v>
      </c>
    </row>
    <row r="389" spans="1:28" x14ac:dyDescent="0.25">
      <c r="A389" t="s">
        <v>393</v>
      </c>
      <c r="B389">
        <v>0.99930955844802105</v>
      </c>
      <c r="C389">
        <v>0.80617215695677302</v>
      </c>
      <c r="D389">
        <v>0.43811559084504897</v>
      </c>
      <c r="E389">
        <v>0.351670870886724</v>
      </c>
      <c r="F389">
        <v>0.24425821496281799</v>
      </c>
      <c r="G389">
        <v>0.19804768690501101</v>
      </c>
      <c r="H389">
        <v>0.146855692733042</v>
      </c>
      <c r="I389">
        <v>0.14336078087419801</v>
      </c>
      <c r="J389">
        <v>0.13086859924939201</v>
      </c>
      <c r="K389">
        <v>0.10508031005407199</v>
      </c>
      <c r="L389">
        <v>819.03706581666802</v>
      </c>
      <c r="M389">
        <v>18.0314277546568</v>
      </c>
      <c r="N389">
        <v>46.322037781304097</v>
      </c>
      <c r="O389">
        <v>44.875117167801903</v>
      </c>
      <c r="P389">
        <v>-8.5622956413204096E-2</v>
      </c>
      <c r="Q389">
        <v>0.14767646808346599</v>
      </c>
      <c r="R389">
        <v>0.97452931535698595</v>
      </c>
      <c r="S389" t="s">
        <v>7006</v>
      </c>
      <c r="T389" t="s">
        <v>13232</v>
      </c>
      <c r="U389" t="s">
        <v>13232</v>
      </c>
      <c r="V389" t="s">
        <v>13232</v>
      </c>
      <c r="W389" t="s">
        <v>13613</v>
      </c>
      <c r="X389">
        <v>23</v>
      </c>
      <c r="Y389" t="s">
        <v>20152</v>
      </c>
      <c r="Z389" t="s">
        <v>26520</v>
      </c>
      <c r="AA389">
        <v>0.31925976895857922</v>
      </c>
      <c r="AB389" t="str">
        <f>HYPERLINK("Melting_Curves/meltCurve_E7EPL4_PDXDC1.pdf", "Melting_Curves/meltCurve_E7EPL4_PDXDC1.pdf")</f>
        <v>Melting_Curves/meltCurve_E7EPL4_PDXDC1.pdf</v>
      </c>
    </row>
    <row r="390" spans="1:28" x14ac:dyDescent="0.25">
      <c r="A390" t="s">
        <v>394</v>
      </c>
      <c r="B390">
        <v>0.99930955844802105</v>
      </c>
      <c r="C390">
        <v>0.94959731819913495</v>
      </c>
      <c r="D390">
        <v>0.89933045935199196</v>
      </c>
      <c r="E390">
        <v>0.72936752681814898</v>
      </c>
      <c r="F390">
        <v>0.4795771103673</v>
      </c>
      <c r="G390">
        <v>0.35424984931642201</v>
      </c>
      <c r="H390">
        <v>0.22523846560181601</v>
      </c>
      <c r="I390">
        <v>0.19983535279885201</v>
      </c>
      <c r="J390">
        <v>0.179515490606665</v>
      </c>
      <c r="K390">
        <v>0.144912190568072</v>
      </c>
      <c r="L390">
        <v>777.56741181464304</v>
      </c>
      <c r="M390">
        <v>14.9142615751446</v>
      </c>
      <c r="N390">
        <v>53.3294661591123</v>
      </c>
      <c r="O390">
        <v>51.225432620168498</v>
      </c>
      <c r="P390">
        <v>-6.2464877232043997E-2</v>
      </c>
      <c r="Q390">
        <v>0.14190569597262601</v>
      </c>
      <c r="R390">
        <v>0.99666314613576201</v>
      </c>
      <c r="S390" t="s">
        <v>7007</v>
      </c>
      <c r="T390" t="s">
        <v>13232</v>
      </c>
      <c r="U390" t="s">
        <v>13232</v>
      </c>
      <c r="V390" t="s">
        <v>13232</v>
      </c>
      <c r="W390" t="s">
        <v>13614</v>
      </c>
      <c r="X390">
        <v>8</v>
      </c>
      <c r="Y390" t="s">
        <v>20153</v>
      </c>
      <c r="Z390" t="s">
        <v>26521</v>
      </c>
      <c r="AA390">
        <v>0.50828664044969118</v>
      </c>
      <c r="AB390" t="str">
        <f>HYPERLINK("Melting_Curves/meltCurve_E7EPP7_STXBP4.pdf", "Melting_Curves/meltCurve_E7EPP7_STXBP4.pdf")</f>
        <v>Melting_Curves/meltCurve_E7EPP7_STXBP4.pdf</v>
      </c>
    </row>
    <row r="391" spans="1:28" x14ac:dyDescent="0.25">
      <c r="A391" t="s">
        <v>395</v>
      </c>
      <c r="B391">
        <v>0.99930955844802105</v>
      </c>
      <c r="C391">
        <v>1.00224611914121</v>
      </c>
      <c r="D391">
        <v>1.0117984305766199</v>
      </c>
      <c r="E391">
        <v>1.0093856403047099</v>
      </c>
      <c r="F391">
        <v>0.57346777388770598</v>
      </c>
      <c r="G391">
        <v>0.13140067483965701</v>
      </c>
      <c r="H391">
        <v>8.3618732325982603E-2</v>
      </c>
      <c r="I391">
        <v>6.8180125112444298E-2</v>
      </c>
      <c r="J391">
        <v>6.3779537827215294E-2</v>
      </c>
      <c r="K391">
        <v>4.5068836040833199E-2</v>
      </c>
      <c r="L391">
        <v>2945.07346574441</v>
      </c>
      <c r="M391">
        <v>55.375426406494903</v>
      </c>
      <c r="N391">
        <v>53.3361218181578</v>
      </c>
      <c r="O391">
        <v>53.114538178166903</v>
      </c>
      <c r="P391">
        <v>-0.24157462699933299</v>
      </c>
      <c r="Q391">
        <v>7.3154434414749503E-2</v>
      </c>
      <c r="R391">
        <v>0.99802885298974398</v>
      </c>
      <c r="S391" t="s">
        <v>7008</v>
      </c>
      <c r="T391" t="s">
        <v>13232</v>
      </c>
      <c r="U391" t="s">
        <v>13232</v>
      </c>
      <c r="V391" t="s">
        <v>13232</v>
      </c>
      <c r="W391" t="s">
        <v>13615</v>
      </c>
      <c r="X391">
        <v>16</v>
      </c>
      <c r="Y391" t="s">
        <v>20154</v>
      </c>
      <c r="Z391" t="s">
        <v>26522</v>
      </c>
      <c r="AA391">
        <v>0.482235556219136</v>
      </c>
      <c r="AB391" t="str">
        <f>HYPERLINK("Melting_Curves/meltCurve_E7EQ69_NAA50.pdf", "Melting_Curves/meltCurve_E7EQ69_NAA50.pdf")</f>
        <v>Melting_Curves/meltCurve_E7EQ69_NAA50.pdf</v>
      </c>
    </row>
    <row r="392" spans="1:28" x14ac:dyDescent="0.25">
      <c r="A392" t="s">
        <v>396</v>
      </c>
      <c r="B392">
        <v>0.99930955844802105</v>
      </c>
      <c r="C392">
        <v>1.06260263273109</v>
      </c>
      <c r="D392">
        <v>1.0667475001939399</v>
      </c>
      <c r="E392">
        <v>0.97909390613568203</v>
      </c>
      <c r="F392">
        <v>0.82028235764705604</v>
      </c>
      <c r="G392">
        <v>0.44835190305068101</v>
      </c>
      <c r="H392">
        <v>0.22426777213572599</v>
      </c>
      <c r="I392">
        <v>0.150424044523747</v>
      </c>
      <c r="J392">
        <v>0.130847702022616</v>
      </c>
      <c r="K392">
        <v>0.106390700070202</v>
      </c>
      <c r="L392">
        <v>1437.7459327874001</v>
      </c>
      <c r="M392">
        <v>25.702650209013001</v>
      </c>
      <c r="N392">
        <v>56.515024253553698</v>
      </c>
      <c r="O392">
        <v>55.602313050047201</v>
      </c>
      <c r="P392">
        <v>-0.102221686032199</v>
      </c>
      <c r="Q392">
        <v>0.115469239203374</v>
      </c>
      <c r="R392">
        <v>0.99393720889259296</v>
      </c>
      <c r="S392" t="s">
        <v>7009</v>
      </c>
      <c r="T392" t="s">
        <v>13232</v>
      </c>
      <c r="U392" t="s">
        <v>13232</v>
      </c>
      <c r="V392" t="s">
        <v>13232</v>
      </c>
      <c r="W392" t="s">
        <v>13616</v>
      </c>
      <c r="X392">
        <v>22</v>
      </c>
      <c r="Y392" t="s">
        <v>20155</v>
      </c>
      <c r="Z392" t="s">
        <v>26523</v>
      </c>
      <c r="AA392">
        <v>0.59313628070450275</v>
      </c>
      <c r="AB392" t="str">
        <f>HYPERLINK("Melting_Curves/meltCurve_E7EQG2_EIF4A2.pdf", "Melting_Curves/meltCurve_E7EQG2_EIF4A2.pdf")</f>
        <v>Melting_Curves/meltCurve_E7EQG2_EIF4A2.pdf</v>
      </c>
    </row>
    <row r="393" spans="1:28" x14ac:dyDescent="0.25">
      <c r="A393" t="s">
        <v>397</v>
      </c>
      <c r="B393">
        <v>0.99930955844802105</v>
      </c>
      <c r="C393">
        <v>1.1604636780909201</v>
      </c>
      <c r="D393">
        <v>1.1343685736650799</v>
      </c>
      <c r="E393">
        <v>1.1438322953962701</v>
      </c>
      <c r="F393">
        <v>1.0683196984502299</v>
      </c>
      <c r="G393">
        <v>0.96371151214357997</v>
      </c>
      <c r="H393">
        <v>0.96895933629681696</v>
      </c>
      <c r="I393">
        <v>1.0461770338749099</v>
      </c>
      <c r="J393">
        <v>1.0438945487198299</v>
      </c>
      <c r="K393">
        <v>0.84917624367894295</v>
      </c>
      <c r="L393">
        <v>15000</v>
      </c>
      <c r="M393">
        <v>212.557527145503</v>
      </c>
      <c r="Q393">
        <v>0</v>
      </c>
      <c r="R393">
        <v>0.10057265951687699</v>
      </c>
      <c r="S393" t="s">
        <v>7010</v>
      </c>
      <c r="T393" t="s">
        <v>13232</v>
      </c>
      <c r="U393" t="s">
        <v>13232</v>
      </c>
      <c r="V393" t="s">
        <v>13232</v>
      </c>
      <c r="W393" t="s">
        <v>13617</v>
      </c>
      <c r="X393">
        <v>4</v>
      </c>
      <c r="Y393" t="s">
        <v>20156</v>
      </c>
      <c r="Z393" t="s">
        <v>26524</v>
      </c>
      <c r="AA393">
        <v>0.99823690814304067</v>
      </c>
      <c r="AB393" t="str">
        <f>HYPERLINK("Melting_Curves/meltCurve_E7EQL8_TUBGCP6.pdf", "Melting_Curves/meltCurve_E7EQL8_TUBGCP6.pdf")</f>
        <v>Melting_Curves/meltCurve_E7EQL8_TUBGCP6.pdf</v>
      </c>
    </row>
    <row r="394" spans="1:28" x14ac:dyDescent="0.25">
      <c r="A394" t="s">
        <v>398</v>
      </c>
      <c r="B394">
        <v>0.99930955844802105</v>
      </c>
      <c r="C394">
        <v>1.1596075294627799</v>
      </c>
      <c r="D394">
        <v>1.04914792584929</v>
      </c>
      <c r="E394">
        <v>1.1396292352362201</v>
      </c>
      <c r="F394">
        <v>1.04020524259457</v>
      </c>
      <c r="G394">
        <v>0.90169657203745202</v>
      </c>
      <c r="H394">
        <v>0.91500588207667699</v>
      </c>
      <c r="I394">
        <v>1.027691427723</v>
      </c>
      <c r="J394">
        <v>1.0198499663860101</v>
      </c>
      <c r="K394">
        <v>0.83395674963977495</v>
      </c>
      <c r="L394">
        <v>15000</v>
      </c>
      <c r="M394">
        <v>212.671767001093</v>
      </c>
      <c r="Q394">
        <v>0</v>
      </c>
      <c r="R394">
        <v>0.28577201267164998</v>
      </c>
      <c r="S394" t="s">
        <v>7011</v>
      </c>
      <c r="T394" t="s">
        <v>13232</v>
      </c>
      <c r="U394" t="s">
        <v>13232</v>
      </c>
      <c r="V394" t="s">
        <v>13232</v>
      </c>
      <c r="W394" t="s">
        <v>13618</v>
      </c>
      <c r="X394">
        <v>14</v>
      </c>
      <c r="Y394" t="s">
        <v>20157</v>
      </c>
      <c r="Z394" t="s">
        <v>26525</v>
      </c>
      <c r="AA394">
        <v>0.99804192519313284</v>
      </c>
      <c r="AB394" t="str">
        <f>HYPERLINK("Melting_Curves/meltCurve_E7ER32_MKL1.pdf", "Melting_Curves/meltCurve_E7ER32_MKL1.pdf")</f>
        <v>Melting_Curves/meltCurve_E7ER32_MKL1.pdf</v>
      </c>
    </row>
    <row r="395" spans="1:28" x14ac:dyDescent="0.25">
      <c r="A395" t="s">
        <v>399</v>
      </c>
      <c r="B395">
        <v>0.99930955844802105</v>
      </c>
      <c r="C395">
        <v>1.32237115909059</v>
      </c>
      <c r="D395">
        <v>0.72858528610068896</v>
      </c>
      <c r="E395">
        <v>1.13757243646358</v>
      </c>
      <c r="F395">
        <v>1.10173824091529</v>
      </c>
      <c r="G395">
        <v>0.997662864629552</v>
      </c>
      <c r="H395">
        <v>1.2412320026819801</v>
      </c>
      <c r="I395">
        <v>1.8910181284779399</v>
      </c>
      <c r="J395">
        <v>1.8844141754222099</v>
      </c>
      <c r="K395">
        <v>1.4584696581304599</v>
      </c>
      <c r="L395">
        <v>15000</v>
      </c>
      <c r="M395">
        <v>245.83159928524901</v>
      </c>
      <c r="O395">
        <v>61.013350204621297</v>
      </c>
      <c r="P395">
        <v>0.50364312582988002</v>
      </c>
      <c r="Q395">
        <v>1.5</v>
      </c>
      <c r="R395">
        <v>0.60469292030392197</v>
      </c>
      <c r="S395" t="s">
        <v>7012</v>
      </c>
      <c r="T395" t="s">
        <v>13232</v>
      </c>
      <c r="U395" t="s">
        <v>13232</v>
      </c>
      <c r="V395" t="s">
        <v>13232</v>
      </c>
      <c r="W395" t="s">
        <v>13619</v>
      </c>
      <c r="X395">
        <v>1</v>
      </c>
      <c r="Y395" t="s">
        <v>20158</v>
      </c>
      <c r="Z395" t="s">
        <v>26526</v>
      </c>
      <c r="AA395">
        <v>1.1496549669139919</v>
      </c>
      <c r="AB395" t="str">
        <f>HYPERLINK("Melting_Curves/meltCurve_E7ER77_ERMP1.pdf", "Melting_Curves/meltCurve_E7ER77_ERMP1.pdf")</f>
        <v>Melting_Curves/meltCurve_E7ER77_ERMP1.pdf</v>
      </c>
    </row>
    <row r="396" spans="1:28" x14ac:dyDescent="0.25">
      <c r="A396" t="s">
        <v>400</v>
      </c>
      <c r="B396">
        <v>0.99930955844802105</v>
      </c>
      <c r="C396">
        <v>1.3339099977867399</v>
      </c>
      <c r="D396">
        <v>1.2338479402059801</v>
      </c>
      <c r="E396">
        <v>1.3906650101748901</v>
      </c>
      <c r="F396">
        <v>1.2576331111154</v>
      </c>
      <c r="G396">
        <v>1.3115156309640299</v>
      </c>
      <c r="H396">
        <v>1.6182997684970599</v>
      </c>
      <c r="I396">
        <v>1.8518517689316301</v>
      </c>
      <c r="J396">
        <v>2.2151447446750501</v>
      </c>
      <c r="K396">
        <v>1.7306307981897</v>
      </c>
      <c r="L396">
        <v>624.10931805574705</v>
      </c>
      <c r="M396">
        <v>13.9310433105078</v>
      </c>
      <c r="O396">
        <v>43.907053780877298</v>
      </c>
      <c r="P396">
        <v>3.9665956813766598E-2</v>
      </c>
      <c r="Q396">
        <v>1.5</v>
      </c>
      <c r="R396">
        <v>0.293169514884555</v>
      </c>
      <c r="S396" t="s">
        <v>7013</v>
      </c>
      <c r="T396" t="s">
        <v>13232</v>
      </c>
      <c r="U396" t="s">
        <v>13232</v>
      </c>
      <c r="V396" t="s">
        <v>13232</v>
      </c>
      <c r="W396" t="s">
        <v>13620</v>
      </c>
      <c r="X396">
        <v>8</v>
      </c>
      <c r="Y396" t="s">
        <v>20159</v>
      </c>
      <c r="Z396" t="s">
        <v>26527</v>
      </c>
      <c r="AA396">
        <v>1.400889496943188</v>
      </c>
      <c r="AB396" t="str">
        <f>HYPERLINK("Melting_Curves/meltCurve_E7ERL6_MAST2.pdf", "Melting_Curves/meltCurve_E7ERL6_MAST2.pdf")</f>
        <v>Melting_Curves/meltCurve_E7ERL6_MAST2.pdf</v>
      </c>
    </row>
    <row r="397" spans="1:28" x14ac:dyDescent="0.25">
      <c r="A397" t="s">
        <v>401</v>
      </c>
      <c r="B397">
        <v>0.99930955844802105</v>
      </c>
      <c r="C397">
        <v>1.06675559142612</v>
      </c>
      <c r="D397">
        <v>1.0816417717875</v>
      </c>
      <c r="E397">
        <v>1.0125168512439999</v>
      </c>
      <c r="F397">
        <v>0.85254590608569303</v>
      </c>
      <c r="G397">
        <v>0.66893191091857696</v>
      </c>
      <c r="H397">
        <v>0.53011065817594605</v>
      </c>
      <c r="I397">
        <v>0.50826116169916802</v>
      </c>
      <c r="J397">
        <v>0.52013946720869797</v>
      </c>
      <c r="K397">
        <v>0.40343309534731903</v>
      </c>
      <c r="L397">
        <v>1311.13033072861</v>
      </c>
      <c r="M397">
        <v>23.485100974706199</v>
      </c>
      <c r="N397">
        <v>62.8090773549023</v>
      </c>
      <c r="O397">
        <v>55.428122963274802</v>
      </c>
      <c r="P397">
        <v>-5.6857584721440403E-2</v>
      </c>
      <c r="Q397">
        <v>0.46324187139324302</v>
      </c>
      <c r="R397">
        <v>0.96652575174072197</v>
      </c>
      <c r="S397" t="s">
        <v>7014</v>
      </c>
      <c r="T397" t="s">
        <v>13232</v>
      </c>
      <c r="U397" t="s">
        <v>13232</v>
      </c>
      <c r="V397" t="s">
        <v>13232</v>
      </c>
      <c r="W397" t="s">
        <v>13621</v>
      </c>
      <c r="X397">
        <v>12</v>
      </c>
      <c r="Y397" t="s">
        <v>20160</v>
      </c>
      <c r="Z397" t="s">
        <v>26528</v>
      </c>
      <c r="AA397">
        <v>0.75190980867968971</v>
      </c>
      <c r="AB397" t="str">
        <f>HYPERLINK("Melting_Curves/meltCurve_E7ES08_HMGB3.pdf", "Melting_Curves/meltCurve_E7ES08_HMGB3.pdf")</f>
        <v>Melting_Curves/meltCurve_E7ES08_HMGB3.pdf</v>
      </c>
    </row>
    <row r="398" spans="1:28" x14ac:dyDescent="0.25">
      <c r="A398" t="s">
        <v>402</v>
      </c>
      <c r="B398">
        <v>0.99930955844802105</v>
      </c>
      <c r="C398">
        <v>0.84756764662008599</v>
      </c>
      <c r="D398">
        <v>0.87413806751753198</v>
      </c>
      <c r="E398">
        <v>0.92910880756069503</v>
      </c>
      <c r="F398">
        <v>0.67106318500511497</v>
      </c>
      <c r="G398">
        <v>0.18128076599332699</v>
      </c>
      <c r="H398">
        <v>0.115159265847016</v>
      </c>
      <c r="I398">
        <v>9.1966678382199504E-2</v>
      </c>
      <c r="J398">
        <v>8.3645704959016298E-2</v>
      </c>
      <c r="K398">
        <v>6.3213975523319005E-2</v>
      </c>
      <c r="L398">
        <v>1842.0133217249399</v>
      </c>
      <c r="M398">
        <v>34.220636080067699</v>
      </c>
      <c r="N398">
        <v>54.102841858071301</v>
      </c>
      <c r="O398">
        <v>53.644738757151799</v>
      </c>
      <c r="P398">
        <v>-0.14673585555631399</v>
      </c>
      <c r="Q398">
        <v>7.9902985453781702E-2</v>
      </c>
      <c r="R398">
        <v>0.97363446059897896</v>
      </c>
      <c r="S398" t="s">
        <v>7015</v>
      </c>
      <c r="T398" t="s">
        <v>13232</v>
      </c>
      <c r="U398" t="s">
        <v>13232</v>
      </c>
      <c r="V398" t="s">
        <v>13232</v>
      </c>
      <c r="W398" t="s">
        <v>13622</v>
      </c>
      <c r="X398">
        <v>46</v>
      </c>
      <c r="Y398" t="s">
        <v>20161</v>
      </c>
      <c r="Z398" t="s">
        <v>26529</v>
      </c>
      <c r="AA398">
        <v>0.50865452946355549</v>
      </c>
      <c r="AB398" t="str">
        <f>HYPERLINK("Melting_Curves/meltCurve_E7ESC6_XPO7.pdf", "Melting_Curves/meltCurve_E7ESC6_XPO7.pdf")</f>
        <v>Melting_Curves/meltCurve_E7ESC6_XPO7.pdf</v>
      </c>
    </row>
    <row r="399" spans="1:28" x14ac:dyDescent="0.25">
      <c r="A399" t="s">
        <v>403</v>
      </c>
      <c r="B399">
        <v>0.99930955844802105</v>
      </c>
      <c r="C399">
        <v>1.52935198977256</v>
      </c>
      <c r="D399">
        <v>1.36483036923566</v>
      </c>
      <c r="E399">
        <v>1.5895965837189301</v>
      </c>
      <c r="F399">
        <v>1.4742556181867299</v>
      </c>
      <c r="G399">
        <v>1.6577420912138401</v>
      </c>
      <c r="H399">
        <v>1.4241339282207699</v>
      </c>
      <c r="I399">
        <v>1.99049072079665</v>
      </c>
      <c r="J399">
        <v>1.5777814362465901</v>
      </c>
      <c r="K399">
        <v>1.4375542683501501</v>
      </c>
      <c r="L399">
        <v>10283.279629379</v>
      </c>
      <c r="M399">
        <v>250</v>
      </c>
      <c r="O399">
        <v>41.1304862733463</v>
      </c>
      <c r="P399">
        <v>0.75977706246679</v>
      </c>
      <c r="Q399">
        <v>1.5</v>
      </c>
      <c r="R399">
        <v>0.447712172463687</v>
      </c>
      <c r="S399" t="s">
        <v>7016</v>
      </c>
      <c r="T399" t="s">
        <v>13232</v>
      </c>
      <c r="U399" t="s">
        <v>13232</v>
      </c>
      <c r="V399" t="s">
        <v>13232</v>
      </c>
      <c r="W399" t="s">
        <v>13623</v>
      </c>
      <c r="X399">
        <v>3</v>
      </c>
      <c r="Y399" t="s">
        <v>20162</v>
      </c>
      <c r="Z399" t="s">
        <v>26530</v>
      </c>
      <c r="AA399">
        <v>1.481076436497613</v>
      </c>
      <c r="AB399" t="str">
        <f>HYPERLINK("Melting_Curves/meltCurve_E7ESJ3_ANKRD26.pdf", "Melting_Curves/meltCurve_E7ESJ3_ANKRD26.pdf")</f>
        <v>Melting_Curves/meltCurve_E7ESJ3_ANKRD26.pdf</v>
      </c>
    </row>
    <row r="400" spans="1:28" x14ac:dyDescent="0.25">
      <c r="A400" t="s">
        <v>404</v>
      </c>
      <c r="B400">
        <v>0.99930955844802105</v>
      </c>
      <c r="C400">
        <v>1.050131160788</v>
      </c>
      <c r="D400">
        <v>1.01227801748628</v>
      </c>
      <c r="E400">
        <v>0.97688332124211097</v>
      </c>
      <c r="F400">
        <v>0.71577210241939904</v>
      </c>
      <c r="G400">
        <v>0.353219541967353</v>
      </c>
      <c r="H400">
        <v>0.26557143678219503</v>
      </c>
      <c r="I400">
        <v>0.25555346364204001</v>
      </c>
      <c r="J400">
        <v>0.247846421382071</v>
      </c>
      <c r="K400">
        <v>0.20327195722854599</v>
      </c>
      <c r="L400">
        <v>1822.51695607737</v>
      </c>
      <c r="M400">
        <v>33.796545177595902</v>
      </c>
      <c r="N400">
        <v>54.984379595611401</v>
      </c>
      <c r="O400">
        <v>53.738375294150103</v>
      </c>
      <c r="P400">
        <v>-0.119635198080806</v>
      </c>
      <c r="Q400">
        <v>0.23909673156436201</v>
      </c>
      <c r="R400">
        <v>0.99574250161371802</v>
      </c>
      <c r="S400" t="s">
        <v>7017</v>
      </c>
      <c r="T400" t="s">
        <v>13232</v>
      </c>
      <c r="U400" t="s">
        <v>13232</v>
      </c>
      <c r="V400" t="s">
        <v>13232</v>
      </c>
      <c r="W400" t="s">
        <v>13624</v>
      </c>
      <c r="X400">
        <v>2</v>
      </c>
      <c r="Y400" t="s">
        <v>20163</v>
      </c>
      <c r="Z400" t="s">
        <v>26531</v>
      </c>
      <c r="AA400">
        <v>0.59626847737121491</v>
      </c>
      <c r="AB400" t="str">
        <f>HYPERLINK("Melting_Curves/meltCurve_E7ESM1_NDRG1.pdf", "Melting_Curves/meltCurve_E7ESM1_NDRG1.pdf")</f>
        <v>Melting_Curves/meltCurve_E7ESM1_NDRG1.pdf</v>
      </c>
    </row>
    <row r="401" spans="1:28" x14ac:dyDescent="0.25">
      <c r="A401" t="s">
        <v>405</v>
      </c>
      <c r="B401">
        <v>0.99930955844802105</v>
      </c>
      <c r="C401">
        <v>0.88174113179452696</v>
      </c>
      <c r="D401">
        <v>0.844392893049565</v>
      </c>
      <c r="E401">
        <v>0.69086563332550399</v>
      </c>
      <c r="F401">
        <v>0.36701328143206902</v>
      </c>
      <c r="G401">
        <v>0.25591483130775999</v>
      </c>
      <c r="H401">
        <v>0.119269730554373</v>
      </c>
      <c r="I401">
        <v>0.112601463578404</v>
      </c>
      <c r="J401">
        <v>7.8152572206103998E-2</v>
      </c>
      <c r="K401">
        <v>5.84518316732721E-2</v>
      </c>
      <c r="L401">
        <v>720.72906718072704</v>
      </c>
      <c r="M401">
        <v>13.978618773265</v>
      </c>
      <c r="N401">
        <v>51.849022649438901</v>
      </c>
      <c r="O401">
        <v>50.538588308272303</v>
      </c>
      <c r="P401">
        <v>-6.6560084778755302E-2</v>
      </c>
      <c r="Q401">
        <v>3.7557279547158602E-2</v>
      </c>
      <c r="R401">
        <v>0.98905234797191399</v>
      </c>
      <c r="S401" t="s">
        <v>7018</v>
      </c>
      <c r="T401" t="s">
        <v>13232</v>
      </c>
      <c r="U401" t="s">
        <v>13232</v>
      </c>
      <c r="V401" t="s">
        <v>13232</v>
      </c>
      <c r="W401" t="s">
        <v>13625</v>
      </c>
      <c r="X401">
        <v>5</v>
      </c>
      <c r="Y401" t="s">
        <v>20164</v>
      </c>
      <c r="Z401" t="s">
        <v>26532</v>
      </c>
      <c r="AA401">
        <v>0.43276058832124692</v>
      </c>
      <c r="AB401" t="str">
        <f>HYPERLINK("Melting_Curves/meltCurve_E7ET07_ING3.pdf", "Melting_Curves/meltCurve_E7ET07_ING3.pdf")</f>
        <v>Melting_Curves/meltCurve_E7ET07_ING3.pdf</v>
      </c>
    </row>
    <row r="402" spans="1:28" x14ac:dyDescent="0.25">
      <c r="A402" t="s">
        <v>406</v>
      </c>
      <c r="B402">
        <v>0.99930955844802105</v>
      </c>
      <c r="C402">
        <v>0.99995856012553996</v>
      </c>
      <c r="D402">
        <v>0.95683842129218799</v>
      </c>
      <c r="E402">
        <v>0.88759838660324797</v>
      </c>
      <c r="F402">
        <v>0.57213572592686102</v>
      </c>
      <c r="G402">
        <v>0.37044886418899298</v>
      </c>
      <c r="H402">
        <v>0.308668576239574</v>
      </c>
      <c r="I402">
        <v>0.32368811402252001</v>
      </c>
      <c r="J402">
        <v>0.31938330534818399</v>
      </c>
      <c r="K402">
        <v>0.24904875107400701</v>
      </c>
      <c r="L402">
        <v>1616.8688449794199</v>
      </c>
      <c r="M402">
        <v>30.867469898344702</v>
      </c>
      <c r="N402">
        <v>53.980338150183002</v>
      </c>
      <c r="O402">
        <v>52.1626205475959</v>
      </c>
      <c r="P402">
        <v>-0.103609267249129</v>
      </c>
      <c r="Q402">
        <v>0.29965113202892102</v>
      </c>
      <c r="R402">
        <v>0.99426014422203002</v>
      </c>
      <c r="S402" t="s">
        <v>7019</v>
      </c>
      <c r="T402" t="s">
        <v>13232</v>
      </c>
      <c r="U402" t="s">
        <v>13232</v>
      </c>
      <c r="V402" t="s">
        <v>13232</v>
      </c>
      <c r="W402" t="s">
        <v>13626</v>
      </c>
      <c r="X402">
        <v>40</v>
      </c>
      <c r="Y402" t="s">
        <v>20165</v>
      </c>
      <c r="Z402" t="s">
        <v>26533</v>
      </c>
      <c r="AA402">
        <v>0.59293932974959251</v>
      </c>
      <c r="AB402" t="str">
        <f>HYPERLINK("Melting_Curves/meltCurve_E7ET15_U2SURP.pdf", "Melting_Curves/meltCurve_E7ET15_U2SURP.pdf")</f>
        <v>Melting_Curves/meltCurve_E7ET15_U2SURP.pdf</v>
      </c>
    </row>
    <row r="403" spans="1:28" x14ac:dyDescent="0.25">
      <c r="A403" t="s">
        <v>407</v>
      </c>
      <c r="B403">
        <v>0.99930955844802105</v>
      </c>
      <c r="C403">
        <v>1.15706725373806</v>
      </c>
      <c r="D403">
        <v>1.09422174645799</v>
      </c>
      <c r="E403">
        <v>1.0682234593102899</v>
      </c>
      <c r="F403">
        <v>0.952398953911612</v>
      </c>
      <c r="G403">
        <v>0.50994121155517702</v>
      </c>
      <c r="H403">
        <v>0.27554902738384401</v>
      </c>
      <c r="I403">
        <v>0.175220349406077</v>
      </c>
      <c r="J403">
        <v>0.15455967241949201</v>
      </c>
      <c r="K403">
        <v>0.101861130072519</v>
      </c>
      <c r="L403">
        <v>1895.9941682933099</v>
      </c>
      <c r="M403">
        <v>33.422678133951401</v>
      </c>
      <c r="N403">
        <v>57.326607359045198</v>
      </c>
      <c r="O403">
        <v>56.5258515792788</v>
      </c>
      <c r="P403">
        <v>-0.12603951816523501</v>
      </c>
      <c r="Q403">
        <v>0.14735011802269399</v>
      </c>
      <c r="R403">
        <v>0.97385510464394298</v>
      </c>
      <c r="S403" t="s">
        <v>7020</v>
      </c>
      <c r="T403" t="s">
        <v>13232</v>
      </c>
      <c r="U403" t="s">
        <v>13232</v>
      </c>
      <c r="V403" t="s">
        <v>13232</v>
      </c>
      <c r="X403">
        <v>2</v>
      </c>
      <c r="Z403" t="s">
        <v>26534</v>
      </c>
      <c r="AA403">
        <v>0.62744940716056397</v>
      </c>
      <c r="AB403" t="str">
        <f>HYPERLINK("Melting_Curves/meltCurve_E7ET33_.pdf", "Melting_Curves/meltCurve_E7ET33_.pdf")</f>
        <v>Melting_Curves/meltCurve_E7ET33_.pdf</v>
      </c>
    </row>
    <row r="404" spans="1:28" x14ac:dyDescent="0.25">
      <c r="A404" t="s">
        <v>408</v>
      </c>
      <c r="B404">
        <v>0.99930955844802105</v>
      </c>
      <c r="C404">
        <v>0.99458507291179599</v>
      </c>
      <c r="D404">
        <v>0.96187942461950104</v>
      </c>
      <c r="E404">
        <v>0.83566606344716199</v>
      </c>
      <c r="F404">
        <v>0.61708814694945502</v>
      </c>
      <c r="G404">
        <v>0.45948513839219401</v>
      </c>
      <c r="H404">
        <v>0.34537232599624001</v>
      </c>
      <c r="I404">
        <v>0.350064097623696</v>
      </c>
      <c r="J404">
        <v>0.33230384915873901</v>
      </c>
      <c r="K404">
        <v>0.30139227537333801</v>
      </c>
      <c r="L404">
        <v>1031.5826346962101</v>
      </c>
      <c r="M404">
        <v>19.580783369646198</v>
      </c>
      <c r="N404">
        <v>55.4877740498018</v>
      </c>
      <c r="O404">
        <v>52.143155537017698</v>
      </c>
      <c r="P404">
        <v>-6.4390786039838596E-2</v>
      </c>
      <c r="Q404">
        <v>0.31413981481916398</v>
      </c>
      <c r="R404">
        <v>0.99787249007082202</v>
      </c>
      <c r="S404" t="s">
        <v>7021</v>
      </c>
      <c r="T404" t="s">
        <v>13232</v>
      </c>
      <c r="U404" t="s">
        <v>13232</v>
      </c>
      <c r="V404" t="s">
        <v>13232</v>
      </c>
      <c r="W404" t="s">
        <v>13627</v>
      </c>
      <c r="X404">
        <v>13</v>
      </c>
      <c r="Y404" t="s">
        <v>20166</v>
      </c>
      <c r="Z404" t="s">
        <v>26535</v>
      </c>
      <c r="AA404">
        <v>0.61391648725658221</v>
      </c>
      <c r="AB404" t="str">
        <f>HYPERLINK("Melting_Curves/meltCurve_E7ET96_TNIP1.pdf", "Melting_Curves/meltCurve_E7ET96_TNIP1.pdf")</f>
        <v>Melting_Curves/meltCurve_E7ET96_TNIP1.pdf</v>
      </c>
    </row>
    <row r="405" spans="1:28" x14ac:dyDescent="0.25">
      <c r="A405" t="s">
        <v>409</v>
      </c>
      <c r="B405">
        <v>0.99930955844802105</v>
      </c>
      <c r="C405">
        <v>1.0402894183623399</v>
      </c>
      <c r="D405">
        <v>1.02940531486332</v>
      </c>
      <c r="E405">
        <v>0.95914729218004502</v>
      </c>
      <c r="F405">
        <v>0.80481187082977501</v>
      </c>
      <c r="G405">
        <v>0.62876171284805105</v>
      </c>
      <c r="H405">
        <v>0.54539106376447599</v>
      </c>
      <c r="I405">
        <v>0.539265389749508</v>
      </c>
      <c r="J405">
        <v>0.55857249198081105</v>
      </c>
      <c r="K405">
        <v>0.41704995953359197</v>
      </c>
      <c r="L405">
        <v>1227.77340337183</v>
      </c>
      <c r="M405">
        <v>22.556521045264201</v>
      </c>
      <c r="N405">
        <v>69.810142074109905</v>
      </c>
      <c r="O405">
        <v>54.008578016829297</v>
      </c>
      <c r="P405">
        <v>-5.2569700057367802E-2</v>
      </c>
      <c r="Q405">
        <v>0.49652566812111498</v>
      </c>
      <c r="R405">
        <v>0.97227503891133005</v>
      </c>
      <c r="S405" t="s">
        <v>7022</v>
      </c>
      <c r="T405" t="s">
        <v>13232</v>
      </c>
      <c r="U405" t="s">
        <v>13232</v>
      </c>
      <c r="V405" t="s">
        <v>13232</v>
      </c>
      <c r="W405" t="s">
        <v>13628</v>
      </c>
      <c r="X405">
        <v>50</v>
      </c>
      <c r="Y405" t="s">
        <v>20167</v>
      </c>
      <c r="Z405" t="s">
        <v>26536</v>
      </c>
      <c r="AA405">
        <v>0.74429306311042465</v>
      </c>
      <c r="AB405" t="str">
        <f>HYPERLINK("Melting_Curves/meltCurve_E7ETA6_PCM1.pdf", "Melting_Curves/meltCurve_E7ETA6_PCM1.pdf")</f>
        <v>Melting_Curves/meltCurve_E7ETA6_PCM1.pdf</v>
      </c>
    </row>
    <row r="406" spans="1:28" x14ac:dyDescent="0.25">
      <c r="A406" t="s">
        <v>410</v>
      </c>
      <c r="B406">
        <v>0.99930955844802105</v>
      </c>
      <c r="C406">
        <v>0.93136188086096405</v>
      </c>
      <c r="D406">
        <v>1.0006205493479099</v>
      </c>
      <c r="E406">
        <v>0.88896848110660998</v>
      </c>
      <c r="F406">
        <v>0.73403302996022901</v>
      </c>
      <c r="G406">
        <v>0.35845449984725802</v>
      </c>
      <c r="H406">
        <v>0.10612327688048601</v>
      </c>
      <c r="I406">
        <v>7.2228359464163505E-2</v>
      </c>
      <c r="J406">
        <v>6.4471689215077302E-2</v>
      </c>
      <c r="K406">
        <v>5.0419047349207498E-2</v>
      </c>
      <c r="L406">
        <v>1246.1732437987</v>
      </c>
      <c r="M406">
        <v>22.597324172005099</v>
      </c>
      <c r="N406">
        <v>55.323127064339303</v>
      </c>
      <c r="O406">
        <v>54.720511349787998</v>
      </c>
      <c r="P406">
        <v>-9.9657041610312497E-2</v>
      </c>
      <c r="Q406">
        <v>3.4722036813625498E-2</v>
      </c>
      <c r="R406">
        <v>0.99604972188758301</v>
      </c>
      <c r="S406" t="s">
        <v>7023</v>
      </c>
      <c r="T406" t="s">
        <v>13232</v>
      </c>
      <c r="U406" t="s">
        <v>13232</v>
      </c>
      <c r="V406" t="s">
        <v>13232</v>
      </c>
      <c r="W406" t="s">
        <v>13629</v>
      </c>
      <c r="X406">
        <v>2</v>
      </c>
      <c r="Y406" t="s">
        <v>20168</v>
      </c>
      <c r="Z406" t="s">
        <v>26537</v>
      </c>
      <c r="AA406">
        <v>0.53267324983424913</v>
      </c>
      <c r="AB406" t="str">
        <f>HYPERLINK("Melting_Curves/meltCurve_E7ETI8_C1orf112.pdf", "Melting_Curves/meltCurve_E7ETI8_C1orf112.pdf")</f>
        <v>Melting_Curves/meltCurve_E7ETI8_C1orf112.pdf</v>
      </c>
    </row>
    <row r="407" spans="1:28" x14ac:dyDescent="0.25">
      <c r="A407" t="s">
        <v>411</v>
      </c>
      <c r="B407">
        <v>0.99930955844802105</v>
      </c>
      <c r="C407">
        <v>0.85501279038179501</v>
      </c>
      <c r="D407">
        <v>0.83242314244730098</v>
      </c>
      <c r="E407">
        <v>0.83101137578919804</v>
      </c>
      <c r="F407">
        <v>0.75351437364706597</v>
      </c>
      <c r="G407">
        <v>0.47234366465545202</v>
      </c>
      <c r="H407">
        <v>0.26696190681747001</v>
      </c>
      <c r="I407">
        <v>0.27870841425598503</v>
      </c>
      <c r="J407">
        <v>0.28433696814555098</v>
      </c>
      <c r="K407">
        <v>0.19755912401123099</v>
      </c>
      <c r="L407">
        <v>563.82740848640697</v>
      </c>
      <c r="M407">
        <v>10.1042217201997</v>
      </c>
      <c r="N407">
        <v>56.896444176012103</v>
      </c>
      <c r="O407">
        <v>53.747749636083697</v>
      </c>
      <c r="P407">
        <v>-4.2864631044542301E-2</v>
      </c>
      <c r="Q407">
        <v>8.83806776397245E-2</v>
      </c>
      <c r="R407">
        <v>0.954192255756107</v>
      </c>
      <c r="S407" t="s">
        <v>7024</v>
      </c>
      <c r="T407" t="s">
        <v>13232</v>
      </c>
      <c r="U407" t="s">
        <v>13232</v>
      </c>
      <c r="V407" t="s">
        <v>13232</v>
      </c>
      <c r="W407" t="s">
        <v>13630</v>
      </c>
      <c r="X407">
        <v>1</v>
      </c>
      <c r="Y407" t="s">
        <v>20169</v>
      </c>
      <c r="Z407" t="s">
        <v>26538</v>
      </c>
      <c r="AA407">
        <v>0.58865152816370891</v>
      </c>
      <c r="AB407" t="str">
        <f>HYPERLINK("Melting_Curves/meltCurve_E7ETU5_RBMS1.pdf", "Melting_Curves/meltCurve_E7ETU5_RBMS1.pdf")</f>
        <v>Melting_Curves/meltCurve_E7ETU5_RBMS1.pdf</v>
      </c>
    </row>
    <row r="408" spans="1:28" x14ac:dyDescent="0.25">
      <c r="A408" t="s">
        <v>412</v>
      </c>
      <c r="B408">
        <v>0.99930955844802105</v>
      </c>
      <c r="C408">
        <v>0.795737339743528</v>
      </c>
      <c r="D408">
        <v>0.54802825276352196</v>
      </c>
      <c r="E408">
        <v>0.41270285615940799</v>
      </c>
      <c r="F408">
        <v>0.28095130894738002</v>
      </c>
      <c r="G408">
        <v>0.19103927549392999</v>
      </c>
      <c r="H408">
        <v>9.8888010558229003E-2</v>
      </c>
      <c r="I408">
        <v>8.6494619751958393E-2</v>
      </c>
      <c r="J408">
        <v>8.3503886030439595E-2</v>
      </c>
      <c r="K408">
        <v>6.8257586706555101E-2</v>
      </c>
      <c r="L408">
        <v>585.34221224331702</v>
      </c>
      <c r="M408">
        <v>12.3405390721242</v>
      </c>
      <c r="N408">
        <v>47.923680693791603</v>
      </c>
      <c r="O408">
        <v>46.238529657333103</v>
      </c>
      <c r="P408">
        <v>-6.2771796496842197E-2</v>
      </c>
      <c r="Q408">
        <v>5.9409425219716899E-2</v>
      </c>
      <c r="R408">
        <v>0.98498475318097301</v>
      </c>
      <c r="S408" t="s">
        <v>7025</v>
      </c>
      <c r="T408" t="s">
        <v>13232</v>
      </c>
      <c r="U408" t="s">
        <v>13232</v>
      </c>
      <c r="V408" t="s">
        <v>13232</v>
      </c>
      <c r="W408" t="s">
        <v>13631</v>
      </c>
      <c r="X408">
        <v>7</v>
      </c>
      <c r="Y408" t="s">
        <v>20170</v>
      </c>
      <c r="Z408" t="s">
        <v>26539</v>
      </c>
      <c r="AA408">
        <v>0.32880171024344862</v>
      </c>
      <c r="AB408" t="str">
        <f>HYPERLINK("Melting_Curves/meltCurve_E7ETU9_PLOD2.pdf", "Melting_Curves/meltCurve_E7ETU9_PLOD2.pdf")</f>
        <v>Melting_Curves/meltCurve_E7ETU9_PLOD2.pdf</v>
      </c>
    </row>
    <row r="409" spans="1:28" x14ac:dyDescent="0.25">
      <c r="A409" t="s">
        <v>413</v>
      </c>
      <c r="B409">
        <v>0.99930955844802105</v>
      </c>
      <c r="C409">
        <v>1.1593555532080899</v>
      </c>
      <c r="D409">
        <v>1.1592837366075901</v>
      </c>
      <c r="E409">
        <v>1.05240328581847</v>
      </c>
      <c r="F409">
        <v>0.45835797815405999</v>
      </c>
      <c r="G409">
        <v>0.17508602119063699</v>
      </c>
      <c r="H409">
        <v>9.6816376719734004E-2</v>
      </c>
      <c r="I409">
        <v>7.7991548154939694E-2</v>
      </c>
      <c r="J409">
        <v>6.7215695893428198E-2</v>
      </c>
      <c r="K409">
        <v>5.2371019702515599E-2</v>
      </c>
      <c r="L409">
        <v>13229.0023070033</v>
      </c>
      <c r="M409">
        <v>250</v>
      </c>
      <c r="N409">
        <v>52.960074130491698</v>
      </c>
      <c r="O409">
        <v>52.912644215678</v>
      </c>
      <c r="P409">
        <v>-1.0702832182559201</v>
      </c>
      <c r="Q409">
        <v>9.38961206660065E-2</v>
      </c>
      <c r="R409">
        <v>0.97209559677104795</v>
      </c>
      <c r="S409" t="s">
        <v>7026</v>
      </c>
      <c r="T409" t="s">
        <v>13232</v>
      </c>
      <c r="U409" t="s">
        <v>13232</v>
      </c>
      <c r="V409" t="s">
        <v>13232</v>
      </c>
      <c r="W409" t="s">
        <v>13632</v>
      </c>
      <c r="X409">
        <v>30</v>
      </c>
      <c r="Y409" t="s">
        <v>20171</v>
      </c>
      <c r="Z409" t="s">
        <v>26540</v>
      </c>
      <c r="AA409">
        <v>0.48408846984283932</v>
      </c>
      <c r="AB409" t="str">
        <f>HYPERLINK("Melting_Curves/meltCurve_E7ETZ4_BZW2.pdf", "Melting_Curves/meltCurve_E7ETZ4_BZW2.pdf")</f>
        <v>Melting_Curves/meltCurve_E7ETZ4_BZW2.pdf</v>
      </c>
    </row>
    <row r="410" spans="1:28" x14ac:dyDescent="0.25">
      <c r="A410" t="s">
        <v>414</v>
      </c>
      <c r="B410">
        <v>0.99930955844802105</v>
      </c>
      <c r="C410">
        <v>0.93510583252104695</v>
      </c>
      <c r="D410">
        <v>0.87401804735965505</v>
      </c>
      <c r="E410">
        <v>0.82908890236296195</v>
      </c>
      <c r="F410">
        <v>0.69964991667424903</v>
      </c>
      <c r="G410">
        <v>0.64537314131372803</v>
      </c>
      <c r="H410">
        <v>0.61113349597094901</v>
      </c>
      <c r="I410">
        <v>0.64244678509084896</v>
      </c>
      <c r="J410">
        <v>0.67235116010685203</v>
      </c>
      <c r="K410">
        <v>0.51851812546494302</v>
      </c>
      <c r="L410">
        <v>582.33186135037295</v>
      </c>
      <c r="M410">
        <v>11.629242639614301</v>
      </c>
      <c r="O410">
        <v>48.662832920020897</v>
      </c>
      <c r="P410">
        <v>-2.51806144484749E-2</v>
      </c>
      <c r="Q410">
        <v>0.57863939936595699</v>
      </c>
      <c r="R410">
        <v>0.93122215234955197</v>
      </c>
      <c r="S410" t="s">
        <v>7027</v>
      </c>
      <c r="T410" t="s">
        <v>13232</v>
      </c>
      <c r="U410" t="s">
        <v>13232</v>
      </c>
      <c r="V410" t="s">
        <v>13232</v>
      </c>
      <c r="W410" t="s">
        <v>13633</v>
      </c>
      <c r="X410">
        <v>8</v>
      </c>
      <c r="Y410" t="s">
        <v>20172</v>
      </c>
      <c r="Z410" t="s">
        <v>26541</v>
      </c>
      <c r="AA410">
        <v>0.73538222417349364</v>
      </c>
      <c r="AB410" t="str">
        <f>HYPERLINK("Melting_Curves/meltCurve_E7EU24_CBFA2T3.pdf", "Melting_Curves/meltCurve_E7EU24_CBFA2T3.pdf")</f>
        <v>Melting_Curves/meltCurve_E7EU24_CBFA2T3.pdf</v>
      </c>
    </row>
    <row r="411" spans="1:28" x14ac:dyDescent="0.25">
      <c r="A411" t="s">
        <v>415</v>
      </c>
      <c r="B411">
        <v>0.99930955844802105</v>
      </c>
      <c r="C411">
        <v>0.78924761346486405</v>
      </c>
      <c r="D411">
        <v>0.80840994168812197</v>
      </c>
      <c r="E411">
        <v>0.74751938482918701</v>
      </c>
      <c r="F411">
        <v>0.54857583866187998</v>
      </c>
      <c r="G411">
        <v>0.25117781741813</v>
      </c>
      <c r="H411">
        <v>0.134275148905484</v>
      </c>
      <c r="I411">
        <v>0.102117309482975</v>
      </c>
      <c r="J411">
        <v>8.1856156881356099E-2</v>
      </c>
      <c r="K411">
        <v>6.1876468631329701E-2</v>
      </c>
      <c r="L411">
        <v>620.77497502285303</v>
      </c>
      <c r="M411">
        <v>11.7271521128133</v>
      </c>
      <c r="N411">
        <v>52.934841913644497</v>
      </c>
      <c r="O411">
        <v>51.4659150333542</v>
      </c>
      <c r="P411">
        <v>-5.6980636624380299E-2</v>
      </c>
      <c r="Q411">
        <v>0</v>
      </c>
      <c r="R411">
        <v>0.96712688988671203</v>
      </c>
      <c r="S411" t="s">
        <v>7028</v>
      </c>
      <c r="T411" t="s">
        <v>13232</v>
      </c>
      <c r="U411" t="s">
        <v>13232</v>
      </c>
      <c r="V411" t="s">
        <v>13232</v>
      </c>
      <c r="W411" t="s">
        <v>13634</v>
      </c>
      <c r="X411">
        <v>18</v>
      </c>
      <c r="Y411" t="s">
        <v>20173</v>
      </c>
      <c r="Z411" t="s">
        <v>26542</v>
      </c>
      <c r="AA411">
        <v>0.46051995856281192</v>
      </c>
      <c r="AB411" t="str">
        <f>HYPERLINK("Melting_Curves/meltCurve_E7EU96_CSNK2A1.pdf", "Melting_Curves/meltCurve_E7EU96_CSNK2A1.pdf")</f>
        <v>Melting_Curves/meltCurve_E7EU96_CSNK2A1.pdf</v>
      </c>
    </row>
    <row r="412" spans="1:28" x14ac:dyDescent="0.25">
      <c r="A412" t="s">
        <v>416</v>
      </c>
      <c r="B412">
        <v>0.99930955844802105</v>
      </c>
      <c r="C412">
        <v>0.682144517470338</v>
      </c>
      <c r="D412">
        <v>0.52316908281220398</v>
      </c>
      <c r="E412">
        <v>0.355052120952422</v>
      </c>
      <c r="F412">
        <v>0.24310613543196999</v>
      </c>
      <c r="G412">
        <v>0.17490647276105101</v>
      </c>
      <c r="H412">
        <v>0.11790057898982099</v>
      </c>
      <c r="I412">
        <v>9.2605011659531999E-2</v>
      </c>
      <c r="J412">
        <v>7.9588530412930805E-2</v>
      </c>
      <c r="K412">
        <v>5.4125157471289403E-2</v>
      </c>
      <c r="L412">
        <v>579.11966952134196</v>
      </c>
      <c r="M412">
        <v>12.507734279640101</v>
      </c>
      <c r="N412">
        <v>46.852220792335601</v>
      </c>
      <c r="O412">
        <v>45.1651632862566</v>
      </c>
      <c r="P412">
        <v>-6.4508995524341098E-2</v>
      </c>
      <c r="Q412">
        <v>6.8428386875296301E-2</v>
      </c>
      <c r="R412">
        <v>0.976953173190656</v>
      </c>
      <c r="S412" t="s">
        <v>7029</v>
      </c>
      <c r="T412" t="s">
        <v>13232</v>
      </c>
      <c r="U412" t="s">
        <v>13232</v>
      </c>
      <c r="V412" t="s">
        <v>13232</v>
      </c>
      <c r="W412" t="s">
        <v>13635</v>
      </c>
      <c r="X412">
        <v>6</v>
      </c>
      <c r="Y412" t="s">
        <v>20174</v>
      </c>
      <c r="Z412" t="s">
        <v>26543</v>
      </c>
      <c r="AA412">
        <v>0.30231261826711059</v>
      </c>
      <c r="AB412" t="str">
        <f>HYPERLINK("Melting_Curves/meltCurve_E7EUH9_NCAPG2.pdf", "Melting_Curves/meltCurve_E7EUH9_NCAPG2.pdf")</f>
        <v>Melting_Curves/meltCurve_E7EUH9_NCAPG2.pdf</v>
      </c>
    </row>
    <row r="413" spans="1:28" x14ac:dyDescent="0.25">
      <c r="A413" t="s">
        <v>417</v>
      </c>
      <c r="B413">
        <v>0.99930955844802105</v>
      </c>
      <c r="C413">
        <v>1.00524396383153</v>
      </c>
      <c r="D413">
        <v>0.975760407982732</v>
      </c>
      <c r="E413">
        <v>0.73554647794692996</v>
      </c>
      <c r="F413">
        <v>0.54050426363350301</v>
      </c>
      <c r="G413">
        <v>0.41550448032281501</v>
      </c>
      <c r="H413">
        <v>0.37511086538979699</v>
      </c>
      <c r="I413">
        <v>0.43488790726197502</v>
      </c>
      <c r="J413">
        <v>0.40207491401454498</v>
      </c>
      <c r="K413">
        <v>0.310033890118531</v>
      </c>
      <c r="L413">
        <v>1299.87769387045</v>
      </c>
      <c r="M413">
        <v>25.623556808697</v>
      </c>
      <c r="N413">
        <v>53.689330932442303</v>
      </c>
      <c r="O413">
        <v>50.423833636400097</v>
      </c>
      <c r="P413">
        <v>-7.8991440855987596E-2</v>
      </c>
      <c r="Q413">
        <v>0.37822799017268199</v>
      </c>
      <c r="R413">
        <v>0.98770108122643796</v>
      </c>
      <c r="S413" t="s">
        <v>7030</v>
      </c>
      <c r="T413" t="s">
        <v>13232</v>
      </c>
      <c r="U413" t="s">
        <v>13232</v>
      </c>
      <c r="V413" t="s">
        <v>13232</v>
      </c>
      <c r="W413" t="s">
        <v>13636</v>
      </c>
      <c r="X413">
        <v>24</v>
      </c>
      <c r="Y413" t="s">
        <v>20175</v>
      </c>
      <c r="Z413" t="s">
        <v>26544</v>
      </c>
      <c r="AA413">
        <v>0.6059444151289789</v>
      </c>
      <c r="AB413" t="str">
        <f>HYPERLINK("Melting_Curves/meltCurve_E7EUI8_G6PD.pdf", "Melting_Curves/meltCurve_E7EUI8_G6PD.pdf")</f>
        <v>Melting_Curves/meltCurve_E7EUI8_G6PD.pdf</v>
      </c>
    </row>
    <row r="414" spans="1:28" x14ac:dyDescent="0.25">
      <c r="A414" t="s">
        <v>418</v>
      </c>
      <c r="B414">
        <v>0.99930955844802105</v>
      </c>
      <c r="C414">
        <v>1.01945643453851</v>
      </c>
      <c r="D414">
        <v>0.84528928995345998</v>
      </c>
      <c r="E414">
        <v>0.34260147694124798</v>
      </c>
      <c r="F414">
        <v>0.16866913670191</v>
      </c>
      <c r="G414">
        <v>0.107469843174527</v>
      </c>
      <c r="H414">
        <v>6.3044459272411493E-2</v>
      </c>
      <c r="I414">
        <v>5.8298597598254301E-2</v>
      </c>
      <c r="J414">
        <v>5.26259492258195E-2</v>
      </c>
      <c r="K414">
        <v>4.0324789461186297E-2</v>
      </c>
      <c r="L414">
        <v>1375.7025591223201</v>
      </c>
      <c r="M414">
        <v>28.291575100549601</v>
      </c>
      <c r="N414">
        <v>48.857605586775598</v>
      </c>
      <c r="O414">
        <v>48.384884167877999</v>
      </c>
      <c r="P414">
        <v>-0.13700285169440801</v>
      </c>
      <c r="Q414">
        <v>6.2786535423884807E-2</v>
      </c>
      <c r="R414">
        <v>0.99743779145356204</v>
      </c>
      <c r="S414" t="s">
        <v>7031</v>
      </c>
      <c r="T414" t="s">
        <v>13232</v>
      </c>
      <c r="U414" t="s">
        <v>13232</v>
      </c>
      <c r="V414" t="s">
        <v>13232</v>
      </c>
      <c r="W414" t="s">
        <v>13637</v>
      </c>
      <c r="X414">
        <v>18</v>
      </c>
      <c r="Y414" t="s">
        <v>20176</v>
      </c>
      <c r="Z414" t="s">
        <v>26545</v>
      </c>
      <c r="AA414">
        <v>0.3386736855343383</v>
      </c>
      <c r="AB414" t="str">
        <f>HYPERLINK("Melting_Curves/meltCurve_E7EUM5_NUP54.pdf", "Melting_Curves/meltCurve_E7EUM5_NUP54.pdf")</f>
        <v>Melting_Curves/meltCurve_E7EUM5_NUP54.pdf</v>
      </c>
    </row>
    <row r="415" spans="1:28" x14ac:dyDescent="0.25">
      <c r="A415" t="s">
        <v>419</v>
      </c>
      <c r="B415">
        <v>0.99930955844802105</v>
      </c>
      <c r="C415">
        <v>0.86798071182870995</v>
      </c>
      <c r="D415">
        <v>0.842388082034075</v>
      </c>
      <c r="E415">
        <v>0.72211992924433499</v>
      </c>
      <c r="F415">
        <v>0.33754978325620499</v>
      </c>
      <c r="G415">
        <v>0.16297564110909199</v>
      </c>
      <c r="H415">
        <v>0.107636438905688</v>
      </c>
      <c r="I415">
        <v>9.7837287157953604E-2</v>
      </c>
      <c r="J415">
        <v>9.6303018761442996E-2</v>
      </c>
      <c r="K415">
        <v>7.3600239790524297E-2</v>
      </c>
      <c r="L415">
        <v>935.03087961394999</v>
      </c>
      <c r="M415">
        <v>18.2790178178929</v>
      </c>
      <c r="N415">
        <v>51.543484834556203</v>
      </c>
      <c r="O415">
        <v>50.552794222998997</v>
      </c>
      <c r="P415">
        <v>-8.4558053777720604E-2</v>
      </c>
      <c r="Q415">
        <v>6.4622162888839402E-2</v>
      </c>
      <c r="R415">
        <v>0.98009454649419003</v>
      </c>
      <c r="S415" t="s">
        <v>7032</v>
      </c>
      <c r="T415" t="s">
        <v>13232</v>
      </c>
      <c r="U415" t="s">
        <v>13232</v>
      </c>
      <c r="V415" t="s">
        <v>13232</v>
      </c>
      <c r="W415" t="s">
        <v>13638</v>
      </c>
      <c r="X415">
        <v>20</v>
      </c>
      <c r="Y415" t="s">
        <v>20177</v>
      </c>
      <c r="Z415" t="s">
        <v>26546</v>
      </c>
      <c r="AA415">
        <v>0.42767570185603782</v>
      </c>
      <c r="AB415" t="str">
        <f>HYPERLINK("Melting_Curves/meltCurve_E7EV10_MTA3.pdf", "Melting_Curves/meltCurve_E7EV10_MTA3.pdf")</f>
        <v>Melting_Curves/meltCurve_E7EV10_MTA3.pdf</v>
      </c>
    </row>
    <row r="416" spans="1:28" x14ac:dyDescent="0.25">
      <c r="A416" t="s">
        <v>420</v>
      </c>
      <c r="B416">
        <v>0.99930955844802105</v>
      </c>
      <c r="C416">
        <v>1.20082218849297</v>
      </c>
      <c r="D416">
        <v>1.23039578366964</v>
      </c>
      <c r="E416">
        <v>1.0271170196871999</v>
      </c>
      <c r="F416">
        <v>0.61884863622327901</v>
      </c>
      <c r="G416">
        <v>0.43232664093887502</v>
      </c>
      <c r="H416">
        <v>0.36049117639038702</v>
      </c>
      <c r="I416">
        <v>0.36386048418668199</v>
      </c>
      <c r="J416">
        <v>0.34466867047407801</v>
      </c>
      <c r="K416">
        <v>0.28838630306595398</v>
      </c>
      <c r="L416">
        <v>13229.9102768258</v>
      </c>
      <c r="M416">
        <v>250</v>
      </c>
      <c r="N416">
        <v>53.187341560138499</v>
      </c>
      <c r="O416">
        <v>52.916276887395597</v>
      </c>
      <c r="P416">
        <v>-0.758336634744185</v>
      </c>
      <c r="Q416">
        <v>0.35794664797292097</v>
      </c>
      <c r="R416">
        <v>0.92119880219193095</v>
      </c>
      <c r="S416" t="s">
        <v>7033</v>
      </c>
      <c r="T416" t="s">
        <v>13232</v>
      </c>
      <c r="U416" t="s">
        <v>13232</v>
      </c>
      <c r="V416" t="s">
        <v>13232</v>
      </c>
      <c r="W416" t="s">
        <v>13639</v>
      </c>
      <c r="X416">
        <v>7</v>
      </c>
      <c r="Y416" t="s">
        <v>20178</v>
      </c>
      <c r="Z416" t="s">
        <v>26547</v>
      </c>
      <c r="AA416">
        <v>0.63450957348566162</v>
      </c>
      <c r="AB416" t="str">
        <f>HYPERLINK("Melting_Curves/meltCurve_E7EV62_ARFGAP1.pdf", "Melting_Curves/meltCurve_E7EV62_ARFGAP1.pdf")</f>
        <v>Melting_Curves/meltCurve_E7EV62_ARFGAP1.pdf</v>
      </c>
    </row>
    <row r="417" spans="1:28" x14ac:dyDescent="0.25">
      <c r="A417" t="s">
        <v>421</v>
      </c>
      <c r="B417">
        <v>0.99930955844802105</v>
      </c>
      <c r="C417">
        <v>1.40031739851987</v>
      </c>
      <c r="D417">
        <v>1.60306421419755</v>
      </c>
      <c r="E417">
        <v>1.6979104222924699</v>
      </c>
      <c r="F417">
        <v>0.966390908894734</v>
      </c>
      <c r="G417">
        <v>1.7703515806538901</v>
      </c>
      <c r="H417">
        <v>2.0844355345459298</v>
      </c>
      <c r="I417">
        <v>2.5050753089064202</v>
      </c>
      <c r="J417">
        <v>3.2637827552704</v>
      </c>
      <c r="K417">
        <v>2.0859851810530698</v>
      </c>
      <c r="S417" t="s">
        <v>7034</v>
      </c>
      <c r="T417" t="s">
        <v>13232</v>
      </c>
      <c r="U417" t="s">
        <v>13233</v>
      </c>
      <c r="V417" t="s">
        <v>13232</v>
      </c>
      <c r="W417" t="s">
        <v>13640</v>
      </c>
      <c r="X417">
        <v>21</v>
      </c>
      <c r="Y417" t="s">
        <v>20167</v>
      </c>
      <c r="Z417" t="s">
        <v>26548</v>
      </c>
      <c r="AB417" t="str">
        <f>HYPERLINK("Melting_Curves/meltCurve_E7EV93_PCM1.pdf", "Melting_Curves/meltCurve_E7EV93_PCM1.pdf")</f>
        <v>Melting_Curves/meltCurve_E7EV93_PCM1.pdf</v>
      </c>
    </row>
    <row r="418" spans="1:28" x14ac:dyDescent="0.25">
      <c r="A418" t="s">
        <v>422</v>
      </c>
      <c r="B418">
        <v>0.99930955844802105</v>
      </c>
      <c r="C418">
        <v>1.06414048281982</v>
      </c>
      <c r="D418">
        <v>1.10376681008053</v>
      </c>
      <c r="E418">
        <v>1.03135903894557</v>
      </c>
      <c r="F418">
        <v>0.91632657060849299</v>
      </c>
      <c r="G418">
        <v>0.86923714383897999</v>
      </c>
      <c r="H418">
        <v>0.90382024880830603</v>
      </c>
      <c r="I418">
        <v>1.0145317904298701</v>
      </c>
      <c r="J418">
        <v>1.02636141816478</v>
      </c>
      <c r="K418">
        <v>0.82836948925400999</v>
      </c>
      <c r="L418">
        <v>7762.1756762430696</v>
      </c>
      <c r="M418">
        <v>150.31382226717</v>
      </c>
      <c r="O418">
        <v>51.630660304753697</v>
      </c>
      <c r="P418">
        <v>-5.3666746795939801E-2</v>
      </c>
      <c r="Q418">
        <v>0.92626494350879096</v>
      </c>
      <c r="R418">
        <v>0.35970705956342103</v>
      </c>
      <c r="S418" t="s">
        <v>7035</v>
      </c>
      <c r="T418" t="s">
        <v>13232</v>
      </c>
      <c r="U418" t="s">
        <v>13232</v>
      </c>
      <c r="V418" t="s">
        <v>13232</v>
      </c>
      <c r="W418" t="s">
        <v>13641</v>
      </c>
      <c r="X418">
        <v>80</v>
      </c>
      <c r="Y418" t="s">
        <v>20179</v>
      </c>
      <c r="Z418" t="s">
        <v>26549</v>
      </c>
      <c r="AA418">
        <v>0.95489214515761711</v>
      </c>
      <c r="AB418" t="str">
        <f>HYPERLINK("Melting_Curves/meltCurve_E7EVA0_MAP4.pdf", "Melting_Curves/meltCurve_E7EVA0_MAP4.pdf")</f>
        <v>Melting_Curves/meltCurve_E7EVA0_MAP4.pdf</v>
      </c>
    </row>
    <row r="419" spans="1:28" x14ac:dyDescent="0.25">
      <c r="A419" t="s">
        <v>423</v>
      </c>
      <c r="B419">
        <v>0.99930955844802105</v>
      </c>
      <c r="C419">
        <v>0.83109805900163203</v>
      </c>
      <c r="D419">
        <v>0.86200633246969405</v>
      </c>
      <c r="E419">
        <v>0.99674478837194402</v>
      </c>
      <c r="F419">
        <v>0.45656792722184097</v>
      </c>
      <c r="G419">
        <v>0.25548526741277799</v>
      </c>
      <c r="H419">
        <v>0.18736399017927199</v>
      </c>
      <c r="I419">
        <v>0.17563841365715999</v>
      </c>
      <c r="J419">
        <v>0.15291254264722301</v>
      </c>
      <c r="K419">
        <v>0.11106761199834</v>
      </c>
      <c r="L419">
        <v>4083.6892061744002</v>
      </c>
      <c r="M419">
        <v>77.701913207767006</v>
      </c>
      <c r="N419">
        <v>52.850692511821698</v>
      </c>
      <c r="O419">
        <v>52.521057872282299</v>
      </c>
      <c r="P419">
        <v>-0.30480910082739898</v>
      </c>
      <c r="Q419">
        <v>0.17588160083792201</v>
      </c>
      <c r="R419">
        <v>0.95396158834649702</v>
      </c>
      <c r="S419" t="s">
        <v>7036</v>
      </c>
      <c r="T419" t="s">
        <v>13232</v>
      </c>
      <c r="U419" t="s">
        <v>13232</v>
      </c>
      <c r="V419" t="s">
        <v>13232</v>
      </c>
      <c r="W419" t="s">
        <v>13642</v>
      </c>
      <c r="X419">
        <v>21</v>
      </c>
      <c r="Y419" t="s">
        <v>20180</v>
      </c>
      <c r="Z419" t="s">
        <v>26550</v>
      </c>
      <c r="AA419">
        <v>0.52158668762701466</v>
      </c>
      <c r="AB419" t="str">
        <f>HYPERLINK("Melting_Curves/meltCurve_E7EVJ5_CYFIP2.pdf", "Melting_Curves/meltCurve_E7EVJ5_CYFIP2.pdf")</f>
        <v>Melting_Curves/meltCurve_E7EVJ5_CYFIP2.pdf</v>
      </c>
    </row>
    <row r="420" spans="1:28" x14ac:dyDescent="0.25">
      <c r="A420" t="s">
        <v>424</v>
      </c>
      <c r="B420">
        <v>0.99930955844802105</v>
      </c>
      <c r="C420">
        <v>0.97501437812570002</v>
      </c>
      <c r="D420">
        <v>0.84794221934805603</v>
      </c>
      <c r="E420">
        <v>0.74908955229366503</v>
      </c>
      <c r="F420">
        <v>0.43640062084079201</v>
      </c>
      <c r="G420">
        <v>0.223529059557907</v>
      </c>
      <c r="H420">
        <v>0.15428731378392799</v>
      </c>
      <c r="I420">
        <v>0.13133012096580801</v>
      </c>
      <c r="J420">
        <v>0.124932976100221</v>
      </c>
      <c r="K420">
        <v>0.100020109601153</v>
      </c>
      <c r="L420">
        <v>936.61439605317105</v>
      </c>
      <c r="M420">
        <v>18.0796513166034</v>
      </c>
      <c r="N420">
        <v>52.430931080597702</v>
      </c>
      <c r="O420">
        <v>51.183582070916799</v>
      </c>
      <c r="P420">
        <v>-7.9738711223722697E-2</v>
      </c>
      <c r="Q420">
        <v>9.7081042213819205E-2</v>
      </c>
      <c r="R420">
        <v>0.99287835037605698</v>
      </c>
      <c r="S420" t="s">
        <v>7037</v>
      </c>
      <c r="T420" t="s">
        <v>13232</v>
      </c>
      <c r="U420" t="s">
        <v>13232</v>
      </c>
      <c r="V420" t="s">
        <v>13232</v>
      </c>
      <c r="W420" t="s">
        <v>13643</v>
      </c>
      <c r="X420">
        <v>15</v>
      </c>
      <c r="Y420" t="s">
        <v>20181</v>
      </c>
      <c r="Z420" t="s">
        <v>26551</v>
      </c>
      <c r="AA420">
        <v>0.46732679153868312</v>
      </c>
      <c r="AB420" t="str">
        <f>HYPERLINK("Melting_Curves/meltCurve_E7EVY7_POR.pdf", "Melting_Curves/meltCurve_E7EVY7_POR.pdf")</f>
        <v>Melting_Curves/meltCurve_E7EVY7_POR.pdf</v>
      </c>
    </row>
    <row r="421" spans="1:28" x14ac:dyDescent="0.25">
      <c r="A421" t="s">
        <v>425</v>
      </c>
      <c r="B421">
        <v>0.99930955844802105</v>
      </c>
      <c r="C421">
        <v>1.00141587452096</v>
      </c>
      <c r="D421">
        <v>0.96911576021823598</v>
      </c>
      <c r="E421">
        <v>0.95154265814494099</v>
      </c>
      <c r="F421">
        <v>0.81028861947201603</v>
      </c>
      <c r="G421">
        <v>0.67778807447705702</v>
      </c>
      <c r="H421">
        <v>0.62348150778070599</v>
      </c>
      <c r="I421">
        <v>0.64142094958479701</v>
      </c>
      <c r="J421">
        <v>0.59773368577770303</v>
      </c>
      <c r="K421">
        <v>0.487797784187952</v>
      </c>
      <c r="L421">
        <v>840.16750675148899</v>
      </c>
      <c r="M421">
        <v>15.3287091788095</v>
      </c>
      <c r="O421">
        <v>53.902640627380599</v>
      </c>
      <c r="P421">
        <v>-3.2723848434894801E-2</v>
      </c>
      <c r="Q421">
        <v>0.53975559369987902</v>
      </c>
      <c r="R421">
        <v>0.96647460934401297</v>
      </c>
      <c r="S421" t="s">
        <v>7038</v>
      </c>
      <c r="T421" t="s">
        <v>13232</v>
      </c>
      <c r="U421" t="s">
        <v>13232</v>
      </c>
      <c r="V421" t="s">
        <v>13232</v>
      </c>
      <c r="W421" t="s">
        <v>13644</v>
      </c>
      <c r="X421">
        <v>2</v>
      </c>
      <c r="Y421" t="s">
        <v>20182</v>
      </c>
      <c r="Z421" t="s">
        <v>26552</v>
      </c>
      <c r="AA421">
        <v>0.77574137561913803</v>
      </c>
      <c r="AB421" t="str">
        <f>HYPERLINK("Melting_Curves/meltCurve_E7EW59_SALL2.pdf", "Melting_Curves/meltCurve_E7EW59_SALL2.pdf")</f>
        <v>Melting_Curves/meltCurve_E7EW59_SALL2.pdf</v>
      </c>
    </row>
    <row r="422" spans="1:28" x14ac:dyDescent="0.25">
      <c r="A422" t="s">
        <v>426</v>
      </c>
      <c r="B422">
        <v>0.99930955844802105</v>
      </c>
      <c r="C422">
        <v>0.84752529041706104</v>
      </c>
      <c r="D422">
        <v>0.87787947070968197</v>
      </c>
      <c r="E422">
        <v>0.96600961849949196</v>
      </c>
      <c r="F422">
        <v>0.88475253536198895</v>
      </c>
      <c r="G422">
        <v>0.35603579971083699</v>
      </c>
      <c r="H422">
        <v>0.11863940884335999</v>
      </c>
      <c r="I422">
        <v>9.1723238394795306E-2</v>
      </c>
      <c r="J422">
        <v>7.1698928337990603E-2</v>
      </c>
      <c r="K422">
        <v>5.2060591804911398E-2</v>
      </c>
      <c r="L422">
        <v>1989.7300211465799</v>
      </c>
      <c r="M422">
        <v>35.685586392196001</v>
      </c>
      <c r="N422">
        <v>55.990971830035598</v>
      </c>
      <c r="O422">
        <v>55.5830215851215</v>
      </c>
      <c r="P422">
        <v>-0.149399075476778</v>
      </c>
      <c r="Q422">
        <v>6.9201239674536799E-2</v>
      </c>
      <c r="R422">
        <v>0.97537588699051803</v>
      </c>
      <c r="S422" t="s">
        <v>7039</v>
      </c>
      <c r="T422" t="s">
        <v>13232</v>
      </c>
      <c r="U422" t="s">
        <v>13232</v>
      </c>
      <c r="V422" t="s">
        <v>13232</v>
      </c>
      <c r="W422" t="s">
        <v>13645</v>
      </c>
      <c r="X422">
        <v>6</v>
      </c>
      <c r="Y422" t="s">
        <v>20183</v>
      </c>
      <c r="Z422" t="s">
        <v>26553</v>
      </c>
      <c r="AA422">
        <v>0.56255645431282353</v>
      </c>
      <c r="AB422" t="str">
        <f>HYPERLINK("Melting_Curves/meltCurve_E7EW69_SEPT10.pdf", "Melting_Curves/meltCurve_E7EW69_SEPT10.pdf")</f>
        <v>Melting_Curves/meltCurve_E7EW69_SEPT10.pdf</v>
      </c>
    </row>
    <row r="423" spans="1:28" x14ac:dyDescent="0.25">
      <c r="A423" t="s">
        <v>427</v>
      </c>
      <c r="B423">
        <v>0.99930955844802105</v>
      </c>
      <c r="C423">
        <v>0.693798299719528</v>
      </c>
      <c r="D423">
        <v>0.567984325807526</v>
      </c>
      <c r="E423">
        <v>0.386266374314511</v>
      </c>
      <c r="F423">
        <v>0.28022551709684501</v>
      </c>
      <c r="G423">
        <v>0.20684472255210101</v>
      </c>
      <c r="H423">
        <v>0.14656826663990799</v>
      </c>
      <c r="I423">
        <v>0.107563170449767</v>
      </c>
      <c r="J423">
        <v>8.9074557743483704E-2</v>
      </c>
      <c r="K423">
        <v>6.3914754343249794E-2</v>
      </c>
      <c r="L423">
        <v>535.48722180698996</v>
      </c>
      <c r="M423">
        <v>11.406042162989101</v>
      </c>
      <c r="N423">
        <v>47.568722831616</v>
      </c>
      <c r="O423">
        <v>45.574073338264597</v>
      </c>
      <c r="P423">
        <v>-5.8257379670583601E-2</v>
      </c>
      <c r="Q423">
        <v>6.91782817872581E-2</v>
      </c>
      <c r="R423">
        <v>0.97701128613658195</v>
      </c>
      <c r="S423" t="s">
        <v>7040</v>
      </c>
      <c r="T423" t="s">
        <v>13232</v>
      </c>
      <c r="U423" t="s">
        <v>13232</v>
      </c>
      <c r="V423" t="s">
        <v>13232</v>
      </c>
      <c r="W423" t="s">
        <v>13646</v>
      </c>
      <c r="X423">
        <v>9</v>
      </c>
      <c r="Y423" t="s">
        <v>20184</v>
      </c>
      <c r="Z423" t="s">
        <v>26554</v>
      </c>
      <c r="AA423">
        <v>0.32773842262136033</v>
      </c>
      <c r="AB423" t="str">
        <f>HYPERLINK("Melting_Curves/meltCurve_E7EW84_EXOC6.pdf", "Melting_Curves/meltCurve_E7EW84_EXOC6.pdf")</f>
        <v>Melting_Curves/meltCurve_E7EW84_EXOC6.pdf</v>
      </c>
    </row>
    <row r="424" spans="1:28" x14ac:dyDescent="0.25">
      <c r="A424" t="s">
        <v>428</v>
      </c>
      <c r="B424">
        <v>0.99930955844802105</v>
      </c>
      <c r="C424">
        <v>1.0270695585273</v>
      </c>
      <c r="D424">
        <v>1.0808411267961999</v>
      </c>
      <c r="E424">
        <v>1.0264604640860699</v>
      </c>
      <c r="F424">
        <v>0.90607313660917899</v>
      </c>
      <c r="G424">
        <v>0.79909345684257405</v>
      </c>
      <c r="H424">
        <v>0.69426148716974601</v>
      </c>
      <c r="I424">
        <v>0.72675185821683597</v>
      </c>
      <c r="J424">
        <v>0.69799383117692904</v>
      </c>
      <c r="K424">
        <v>0.57181393974356498</v>
      </c>
      <c r="L424">
        <v>1152.8517271552</v>
      </c>
      <c r="M424">
        <v>20.3480885412879</v>
      </c>
      <c r="O424">
        <v>56.117817988979397</v>
      </c>
      <c r="P424">
        <v>-3.2633731153125303E-2</v>
      </c>
      <c r="Q424">
        <v>0.64000980101188099</v>
      </c>
      <c r="R424">
        <v>0.92378208268724604</v>
      </c>
      <c r="S424" t="s">
        <v>7041</v>
      </c>
      <c r="T424" t="s">
        <v>13232</v>
      </c>
      <c r="U424" t="s">
        <v>13232</v>
      </c>
      <c r="V424" t="s">
        <v>13232</v>
      </c>
      <c r="W424" t="s">
        <v>13647</v>
      </c>
      <c r="X424">
        <v>17</v>
      </c>
      <c r="Y424" t="s">
        <v>20185</v>
      </c>
      <c r="Z424" t="s">
        <v>26555</v>
      </c>
      <c r="AA424">
        <v>0.84428103702596902</v>
      </c>
      <c r="AB424" t="str">
        <f>HYPERLINK("Melting_Curves/meltCurve_E7EWD6_ASXL2.pdf", "Melting_Curves/meltCurve_E7EWD6_ASXL2.pdf")</f>
        <v>Melting_Curves/meltCurve_E7EWD6_ASXL2.pdf</v>
      </c>
    </row>
    <row r="425" spans="1:28" x14ac:dyDescent="0.25">
      <c r="A425" t="s">
        <v>429</v>
      </c>
      <c r="B425">
        <v>0.99930955844802105</v>
      </c>
      <c r="C425">
        <v>1.0494007828427701</v>
      </c>
      <c r="D425">
        <v>0.98253995852700204</v>
      </c>
      <c r="E425">
        <v>0.89769463115773696</v>
      </c>
      <c r="F425">
        <v>0.81116834441712604</v>
      </c>
      <c r="G425">
        <v>0.68958424638046401</v>
      </c>
      <c r="H425">
        <v>0.65215711122308695</v>
      </c>
      <c r="I425">
        <v>0.69223371825699398</v>
      </c>
      <c r="J425">
        <v>0.64227018249435897</v>
      </c>
      <c r="K425">
        <v>0.51937656462510595</v>
      </c>
      <c r="L425">
        <v>819.58321624323298</v>
      </c>
      <c r="M425">
        <v>15.249775311658601</v>
      </c>
      <c r="O425">
        <v>52.845201699232597</v>
      </c>
      <c r="P425">
        <v>-2.95234290689055E-2</v>
      </c>
      <c r="Q425">
        <v>0.59080738740403804</v>
      </c>
      <c r="R425">
        <v>0.94319658772988302</v>
      </c>
      <c r="S425" t="s">
        <v>7042</v>
      </c>
      <c r="T425" t="s">
        <v>13232</v>
      </c>
      <c r="U425" t="s">
        <v>13232</v>
      </c>
      <c r="V425" t="s">
        <v>13232</v>
      </c>
      <c r="W425" t="s">
        <v>13648</v>
      </c>
      <c r="X425">
        <v>1</v>
      </c>
      <c r="Y425" t="s">
        <v>20186</v>
      </c>
      <c r="Z425" t="s">
        <v>26556</v>
      </c>
      <c r="AA425">
        <v>0.78660045052429861</v>
      </c>
      <c r="AB425" t="str">
        <f>HYPERLINK("Melting_Curves/meltCurve_E7EX48_NEK4.pdf", "Melting_Curves/meltCurve_E7EX48_NEK4.pdf")</f>
        <v>Melting_Curves/meltCurve_E7EX48_NEK4.pdf</v>
      </c>
    </row>
    <row r="426" spans="1:28" x14ac:dyDescent="0.25">
      <c r="A426" t="s">
        <v>430</v>
      </c>
      <c r="B426">
        <v>0.99930955844802105</v>
      </c>
      <c r="C426">
        <v>0.77548081157961002</v>
      </c>
      <c r="D426">
        <v>0.51943768560464398</v>
      </c>
      <c r="E426">
        <v>0.42124513434773297</v>
      </c>
      <c r="F426">
        <v>0.28179221674823002</v>
      </c>
      <c r="G426">
        <v>0.160789377418147</v>
      </c>
      <c r="H426">
        <v>7.7220683558474307E-2</v>
      </c>
      <c r="I426">
        <v>5.6591778195696801E-2</v>
      </c>
      <c r="J426">
        <v>7.6488372404226304E-2</v>
      </c>
      <c r="K426">
        <v>4.2828200939729603E-2</v>
      </c>
      <c r="L426">
        <v>554.15518745850204</v>
      </c>
      <c r="M426">
        <v>11.659306416488599</v>
      </c>
      <c r="N426">
        <v>47.773784219861597</v>
      </c>
      <c r="O426">
        <v>46.1953982735903</v>
      </c>
      <c r="P426">
        <v>-6.12847942177316E-2</v>
      </c>
      <c r="Q426">
        <v>2.8994489894967598E-2</v>
      </c>
      <c r="R426">
        <v>0.97911518013829202</v>
      </c>
      <c r="S426" t="s">
        <v>7043</v>
      </c>
      <c r="T426" t="s">
        <v>13232</v>
      </c>
      <c r="U426" t="s">
        <v>13232</v>
      </c>
      <c r="V426" t="s">
        <v>13232</v>
      </c>
      <c r="W426" t="s">
        <v>13649</v>
      </c>
      <c r="X426">
        <v>2</v>
      </c>
      <c r="Y426" t="s">
        <v>20187</v>
      </c>
      <c r="Z426" t="s">
        <v>26557</v>
      </c>
      <c r="AA426">
        <v>0.31398652172783748</v>
      </c>
      <c r="AB426" t="str">
        <f>HYPERLINK("Melting_Curves/meltCurve_E7EX53_RPL15.pdf", "Melting_Curves/meltCurve_E7EX53_RPL15.pdf")</f>
        <v>Melting_Curves/meltCurve_E7EX53_RPL15.pdf</v>
      </c>
    </row>
    <row r="427" spans="1:28" x14ac:dyDescent="0.25">
      <c r="A427" t="s">
        <v>431</v>
      </c>
      <c r="B427">
        <v>0.99930955844802105</v>
      </c>
      <c r="C427">
        <v>1.05225484107787</v>
      </c>
      <c r="D427">
        <v>0.96504426686579203</v>
      </c>
      <c r="E427">
        <v>0.66660042917321904</v>
      </c>
      <c r="F427">
        <v>0.27959194908132101</v>
      </c>
      <c r="G427">
        <v>0.19496858721133101</v>
      </c>
      <c r="H427">
        <v>0.13913943490995001</v>
      </c>
      <c r="I427">
        <v>0.12924653200813199</v>
      </c>
      <c r="J427">
        <v>0.11708585704405799</v>
      </c>
      <c r="K427">
        <v>9.0564583325127401E-2</v>
      </c>
      <c r="L427">
        <v>1664.0323338286901</v>
      </c>
      <c r="M427">
        <v>32.824648158084102</v>
      </c>
      <c r="N427">
        <v>51.148593917637598</v>
      </c>
      <c r="O427">
        <v>50.507536126867301</v>
      </c>
      <c r="P427">
        <v>-0.14194214946756201</v>
      </c>
      <c r="Q427">
        <v>0.12637381781891199</v>
      </c>
      <c r="R427">
        <v>0.99544476276645999</v>
      </c>
      <c r="S427" t="s">
        <v>7044</v>
      </c>
      <c r="T427" t="s">
        <v>13232</v>
      </c>
      <c r="U427" t="s">
        <v>13232</v>
      </c>
      <c r="V427" t="s">
        <v>13232</v>
      </c>
      <c r="W427" t="s">
        <v>13650</v>
      </c>
      <c r="X427">
        <v>23</v>
      </c>
      <c r="Y427" t="s">
        <v>20188</v>
      </c>
      <c r="Z427" t="s">
        <v>26558</v>
      </c>
      <c r="AA427">
        <v>0.44237012004854348</v>
      </c>
      <c r="AB427" t="str">
        <f>HYPERLINK("Melting_Curves/meltCurve_E9PAU2_RAVER1.pdf", "Melting_Curves/meltCurve_E9PAU2_RAVER1.pdf")</f>
        <v>Melting_Curves/meltCurve_E9PAU2_RAVER1.pdf</v>
      </c>
    </row>
    <row r="428" spans="1:28" x14ac:dyDescent="0.25">
      <c r="A428" t="s">
        <v>432</v>
      </c>
      <c r="B428">
        <v>0.99930955844802105</v>
      </c>
      <c r="C428">
        <v>0.894213108507532</v>
      </c>
      <c r="D428">
        <v>0.84727664566000105</v>
      </c>
      <c r="E428">
        <v>0.73498700605798695</v>
      </c>
      <c r="F428">
        <v>0.68121697520535696</v>
      </c>
      <c r="G428">
        <v>0.51222271163840605</v>
      </c>
      <c r="H428">
        <v>0.435307141690215</v>
      </c>
      <c r="I428">
        <v>0.44549033867182902</v>
      </c>
      <c r="J428">
        <v>0.409881906457565</v>
      </c>
      <c r="K428">
        <v>0.33310740483067802</v>
      </c>
      <c r="L428">
        <v>462.115279808644</v>
      </c>
      <c r="M428">
        <v>8.6765146193870901</v>
      </c>
      <c r="N428">
        <v>58.809505978201202</v>
      </c>
      <c r="O428">
        <v>50.658099011961603</v>
      </c>
      <c r="P428">
        <v>-3.0877109828011E-2</v>
      </c>
      <c r="Q428">
        <v>0.27949302865173598</v>
      </c>
      <c r="R428">
        <v>0.98572515999708199</v>
      </c>
      <c r="S428" t="s">
        <v>7045</v>
      </c>
      <c r="T428" t="s">
        <v>13232</v>
      </c>
      <c r="U428" t="s">
        <v>13232</v>
      </c>
      <c r="V428" t="s">
        <v>13232</v>
      </c>
      <c r="W428" t="s">
        <v>13651</v>
      </c>
      <c r="X428">
        <v>5</v>
      </c>
      <c r="Y428" t="s">
        <v>20189</v>
      </c>
      <c r="Z428" t="s">
        <v>26559</v>
      </c>
      <c r="AA428">
        <v>0.62463903213095384</v>
      </c>
      <c r="AB428" t="str">
        <f>HYPERLINK("Melting_Curves/meltCurve_E9PB14_PDHX.pdf", "Melting_Curves/meltCurve_E9PB14_PDHX.pdf")</f>
        <v>Melting_Curves/meltCurve_E9PB14_PDHX.pdf</v>
      </c>
    </row>
    <row r="429" spans="1:28" x14ac:dyDescent="0.25">
      <c r="A429" t="s">
        <v>433</v>
      </c>
      <c r="B429">
        <v>0.99930955844802105</v>
      </c>
      <c r="C429">
        <v>0.98783627983054001</v>
      </c>
      <c r="D429">
        <v>0.99999387044760002</v>
      </c>
      <c r="E429">
        <v>0.99932862334281802</v>
      </c>
      <c r="F429">
        <v>0.83987058065907005</v>
      </c>
      <c r="G429">
        <v>0.65558036771759298</v>
      </c>
      <c r="H429">
        <v>0.57692670822779102</v>
      </c>
      <c r="I429">
        <v>0.58797101555281805</v>
      </c>
      <c r="J429">
        <v>0.582336823722018</v>
      </c>
      <c r="K429">
        <v>0.45701304764675199</v>
      </c>
      <c r="L429">
        <v>1386.86436034999</v>
      </c>
      <c r="M429">
        <v>25.355807171812799</v>
      </c>
      <c r="O429">
        <v>54.359324724154803</v>
      </c>
      <c r="P429">
        <v>-5.3969798856999401E-2</v>
      </c>
      <c r="Q429">
        <v>0.53719102624442305</v>
      </c>
      <c r="R429">
        <v>0.97195910455293899</v>
      </c>
      <c r="S429" t="s">
        <v>7046</v>
      </c>
      <c r="T429" t="s">
        <v>13232</v>
      </c>
      <c r="U429" t="s">
        <v>13232</v>
      </c>
      <c r="V429" t="s">
        <v>13232</v>
      </c>
      <c r="W429" t="s">
        <v>13652</v>
      </c>
      <c r="X429">
        <v>10</v>
      </c>
      <c r="Y429" t="s">
        <v>20190</v>
      </c>
      <c r="Z429" t="s">
        <v>26560</v>
      </c>
      <c r="AA429">
        <v>0.76808615385622192</v>
      </c>
      <c r="AB429" t="str">
        <f>HYPERLINK("Melting_Curves/meltCurve_E9PB61_ALYREF.pdf", "Melting_Curves/meltCurve_E9PB61_ALYREF.pdf")</f>
        <v>Melting_Curves/meltCurve_E9PB61_ALYREF.pdf</v>
      </c>
    </row>
    <row r="430" spans="1:28" x14ac:dyDescent="0.25">
      <c r="A430" t="s">
        <v>434</v>
      </c>
      <c r="B430">
        <v>0.99930955844802105</v>
      </c>
      <c r="C430">
        <v>1.1269184579876499</v>
      </c>
      <c r="D430">
        <v>1.0103791507198601</v>
      </c>
      <c r="E430">
        <v>0.91627702322698201</v>
      </c>
      <c r="F430">
        <v>0.80801070955157195</v>
      </c>
      <c r="G430">
        <v>0.73324025605589005</v>
      </c>
      <c r="H430">
        <v>0.70451216384275905</v>
      </c>
      <c r="I430">
        <v>0.749167010858383</v>
      </c>
      <c r="J430">
        <v>0.75786287803715202</v>
      </c>
      <c r="K430">
        <v>0.61546633075097701</v>
      </c>
      <c r="L430">
        <v>1501.3276768308499</v>
      </c>
      <c r="M430">
        <v>28.978911234114602</v>
      </c>
      <c r="O430">
        <v>51.562772331610297</v>
      </c>
      <c r="P430">
        <v>-4.11949931471721E-2</v>
      </c>
      <c r="Q430">
        <v>0.70680582898762701</v>
      </c>
      <c r="R430">
        <v>0.87691421047092599</v>
      </c>
      <c r="S430" t="s">
        <v>7047</v>
      </c>
      <c r="T430" t="s">
        <v>13232</v>
      </c>
      <c r="U430" t="s">
        <v>13232</v>
      </c>
      <c r="V430" t="s">
        <v>13232</v>
      </c>
      <c r="W430" t="s">
        <v>13653</v>
      </c>
      <c r="X430">
        <v>6</v>
      </c>
      <c r="Y430" t="s">
        <v>20191</v>
      </c>
      <c r="Z430" t="s">
        <v>26561</v>
      </c>
      <c r="AA430">
        <v>0.8242035191451228</v>
      </c>
      <c r="AB430" t="str">
        <f>HYPERLINK("Melting_Curves/meltCurve_E9PBP4_MLLT10.pdf", "Melting_Curves/meltCurve_E9PBP4_MLLT10.pdf")</f>
        <v>Melting_Curves/meltCurve_E9PBP4_MLLT10.pdf</v>
      </c>
    </row>
    <row r="431" spans="1:28" x14ac:dyDescent="0.25">
      <c r="A431" t="s">
        <v>435</v>
      </c>
      <c r="B431">
        <v>0.99930955844802105</v>
      </c>
      <c r="C431">
        <v>0.91056227217286201</v>
      </c>
      <c r="D431">
        <v>0.89437583704038404</v>
      </c>
      <c r="E431">
        <v>0.69818895436155903</v>
      </c>
      <c r="F431">
        <v>0.52999747224456295</v>
      </c>
      <c r="G431">
        <v>0.468455008020007</v>
      </c>
      <c r="H431">
        <v>0.37644250798249901</v>
      </c>
      <c r="I431">
        <v>0.41032428034090401</v>
      </c>
      <c r="J431">
        <v>0.43746654083646702</v>
      </c>
      <c r="K431">
        <v>0.37747804606685398</v>
      </c>
      <c r="L431">
        <v>835.07629930093799</v>
      </c>
      <c r="M431">
        <v>16.775689910535799</v>
      </c>
      <c r="N431">
        <v>54.676423429462602</v>
      </c>
      <c r="O431">
        <v>49.087741401751799</v>
      </c>
      <c r="P431">
        <v>-5.2228816766598803E-2</v>
      </c>
      <c r="Q431">
        <v>0.38872793318760201</v>
      </c>
      <c r="R431">
        <v>0.98635623998489397</v>
      </c>
      <c r="S431" t="s">
        <v>7048</v>
      </c>
      <c r="T431" t="s">
        <v>13232</v>
      </c>
      <c r="U431" t="s">
        <v>13232</v>
      </c>
      <c r="V431" t="s">
        <v>13232</v>
      </c>
      <c r="W431" t="s">
        <v>13654</v>
      </c>
      <c r="X431">
        <v>1</v>
      </c>
      <c r="Y431" t="s">
        <v>20192</v>
      </c>
      <c r="Z431" t="s">
        <v>26562</v>
      </c>
      <c r="AA431">
        <v>0.59993365048342606</v>
      </c>
      <c r="AB431" t="str">
        <f>HYPERLINK("Melting_Curves/meltCurve_E9PBV1_NWD1.pdf", "Melting_Curves/meltCurve_E9PBV1_NWD1.pdf")</f>
        <v>Melting_Curves/meltCurve_E9PBV1_NWD1.pdf</v>
      </c>
    </row>
    <row r="432" spans="1:28" x14ac:dyDescent="0.25">
      <c r="A432" t="s">
        <v>436</v>
      </c>
      <c r="B432">
        <v>0.99930955844802105</v>
      </c>
      <c r="C432">
        <v>1.0148476390036101</v>
      </c>
      <c r="D432">
        <v>0.95569984256316898</v>
      </c>
      <c r="E432">
        <v>0.85320281385195396</v>
      </c>
      <c r="F432">
        <v>0.591221861325544</v>
      </c>
      <c r="G432">
        <v>0.370521047822442</v>
      </c>
      <c r="H432">
        <v>0.174099479281281</v>
      </c>
      <c r="I432">
        <v>0.12276017575659701</v>
      </c>
      <c r="J432">
        <v>0.115189167387953</v>
      </c>
      <c r="K432">
        <v>7.9639251942277806E-2</v>
      </c>
      <c r="L432">
        <v>960.98549614311798</v>
      </c>
      <c r="M432">
        <v>17.740466087511798</v>
      </c>
      <c r="N432">
        <v>54.646528597662297</v>
      </c>
      <c r="O432">
        <v>53.494902814392098</v>
      </c>
      <c r="P432">
        <v>-7.6959893860807094E-2</v>
      </c>
      <c r="Q432">
        <v>7.17839441742322E-2</v>
      </c>
      <c r="R432">
        <v>0.99755012592520398</v>
      </c>
      <c r="S432" t="s">
        <v>7049</v>
      </c>
      <c r="T432" t="s">
        <v>13232</v>
      </c>
      <c r="U432" t="s">
        <v>13232</v>
      </c>
      <c r="V432" t="s">
        <v>13232</v>
      </c>
      <c r="W432" t="s">
        <v>13655</v>
      </c>
      <c r="X432">
        <v>13</v>
      </c>
      <c r="Y432" t="s">
        <v>20193</v>
      </c>
      <c r="Z432" t="s">
        <v>26563</v>
      </c>
      <c r="AA432">
        <v>0.52527912867030069</v>
      </c>
      <c r="AB432" t="str">
        <f>HYPERLINK("Melting_Curves/meltCurve_E9PC62_CELF2.pdf", "Melting_Curves/meltCurve_E9PC62_CELF2.pdf")</f>
        <v>Melting_Curves/meltCurve_E9PC62_CELF2.pdf</v>
      </c>
    </row>
    <row r="433" spans="1:28" x14ac:dyDescent="0.25">
      <c r="A433" t="s">
        <v>437</v>
      </c>
      <c r="B433">
        <v>0.99930955844802105</v>
      </c>
      <c r="C433">
        <v>0.62103171202918905</v>
      </c>
      <c r="D433">
        <v>0.62140344606296205</v>
      </c>
      <c r="E433">
        <v>0.41524628890294402</v>
      </c>
      <c r="F433">
        <v>0.25887263731147597</v>
      </c>
      <c r="G433">
        <v>0.17730130607716099</v>
      </c>
      <c r="H433">
        <v>0.12545731677868399</v>
      </c>
      <c r="I433">
        <v>0.12021853088274501</v>
      </c>
      <c r="J433">
        <v>0.10669015207919801</v>
      </c>
      <c r="K433">
        <v>8.2403431252885795E-2</v>
      </c>
      <c r="L433">
        <v>516.97615155695905</v>
      </c>
      <c r="M433">
        <v>11.0080545893598</v>
      </c>
      <c r="N433">
        <v>47.570877615026497</v>
      </c>
      <c r="O433">
        <v>45.493424283848498</v>
      </c>
      <c r="P433">
        <v>-5.6545329112115197E-2</v>
      </c>
      <c r="Q433">
        <v>6.5565776724900507E-2</v>
      </c>
      <c r="R433">
        <v>0.95818039857495496</v>
      </c>
      <c r="S433" t="s">
        <v>7050</v>
      </c>
      <c r="T433" t="s">
        <v>13232</v>
      </c>
      <c r="U433" t="s">
        <v>13232</v>
      </c>
      <c r="V433" t="s">
        <v>13232</v>
      </c>
      <c r="W433" t="s">
        <v>13656</v>
      </c>
      <c r="X433">
        <v>18</v>
      </c>
      <c r="Y433" t="s">
        <v>20194</v>
      </c>
      <c r="Z433" t="s">
        <v>26564</v>
      </c>
      <c r="AA433">
        <v>0.32833207133151299</v>
      </c>
      <c r="AB433" t="str">
        <f>HYPERLINK("Melting_Curves/meltCurve_E9PC74_EIF2B5.pdf", "Melting_Curves/meltCurve_E9PC74_EIF2B5.pdf")</f>
        <v>Melting_Curves/meltCurve_E9PC74_EIF2B5.pdf</v>
      </c>
    </row>
    <row r="434" spans="1:28" x14ac:dyDescent="0.25">
      <c r="A434" t="s">
        <v>438</v>
      </c>
      <c r="B434">
        <v>0.99930955844802105</v>
      </c>
      <c r="C434">
        <v>1.0840662233644001</v>
      </c>
      <c r="D434">
        <v>1.0241942328434701</v>
      </c>
      <c r="E434">
        <v>0.78873746576845705</v>
      </c>
      <c r="F434">
        <v>0.46720446909360303</v>
      </c>
      <c r="G434">
        <v>0.19977772652253001</v>
      </c>
      <c r="H434">
        <v>0.12952204798040001</v>
      </c>
      <c r="I434">
        <v>0.114403516249331</v>
      </c>
      <c r="J434">
        <v>0.100106231346677</v>
      </c>
      <c r="K434">
        <v>7.9907915749036093E-2</v>
      </c>
      <c r="L434">
        <v>1420.5039773165699</v>
      </c>
      <c r="M434">
        <v>27.1631618462355</v>
      </c>
      <c r="N434">
        <v>52.733683003407897</v>
      </c>
      <c r="O434">
        <v>52.014266378893403</v>
      </c>
      <c r="P434">
        <v>-0.117360384582874</v>
      </c>
      <c r="Q434">
        <v>0.10108325263743401</v>
      </c>
      <c r="R434">
        <v>0.99370315358797101</v>
      </c>
      <c r="S434" t="s">
        <v>7051</v>
      </c>
      <c r="T434" t="s">
        <v>13232</v>
      </c>
      <c r="U434" t="s">
        <v>13232</v>
      </c>
      <c r="V434" t="s">
        <v>13232</v>
      </c>
      <c r="W434" t="s">
        <v>13657</v>
      </c>
      <c r="X434">
        <v>14</v>
      </c>
      <c r="Y434" t="s">
        <v>20195</v>
      </c>
      <c r="Z434" t="s">
        <v>26565</v>
      </c>
      <c r="AA434">
        <v>0.4765078115924305</v>
      </c>
      <c r="AB434" t="str">
        <f>HYPERLINK("Melting_Curves/meltCurve_E9PCE5_SMG7.pdf", "Melting_Curves/meltCurve_E9PCE5_SMG7.pdf")</f>
        <v>Melting_Curves/meltCurve_E9PCE5_SMG7.pdf</v>
      </c>
    </row>
    <row r="435" spans="1:28" x14ac:dyDescent="0.25">
      <c r="A435" t="s">
        <v>439</v>
      </c>
      <c r="B435">
        <v>0.99930955844802105</v>
      </c>
      <c r="C435">
        <v>0.76128894575619299</v>
      </c>
      <c r="D435">
        <v>0.75176187271829797</v>
      </c>
      <c r="E435">
        <v>0.93194123740336199</v>
      </c>
      <c r="F435">
        <v>0.85503607651884195</v>
      </c>
      <c r="G435">
        <v>0.302307219827402</v>
      </c>
      <c r="H435">
        <v>0.15393122749435201</v>
      </c>
      <c r="I435">
        <v>0.23428687935374301</v>
      </c>
      <c r="J435">
        <v>0.119024509268851</v>
      </c>
      <c r="K435">
        <v>8.6132925326205895E-2</v>
      </c>
      <c r="L435">
        <v>2147.6063851904</v>
      </c>
      <c r="M435">
        <v>39.0622879522396</v>
      </c>
      <c r="N435">
        <v>55.449686457031703</v>
      </c>
      <c r="O435">
        <v>54.835522958645498</v>
      </c>
      <c r="P435">
        <v>-0.15296108492239299</v>
      </c>
      <c r="Q435">
        <v>0.141096705919529</v>
      </c>
      <c r="R435">
        <v>0.892347552406348</v>
      </c>
      <c r="S435" t="s">
        <v>7052</v>
      </c>
      <c r="T435" t="s">
        <v>13232</v>
      </c>
      <c r="U435" t="s">
        <v>13232</v>
      </c>
      <c r="V435" t="s">
        <v>13232</v>
      </c>
      <c r="W435" t="s">
        <v>13658</v>
      </c>
      <c r="X435">
        <v>15</v>
      </c>
      <c r="Y435" t="s">
        <v>20196</v>
      </c>
      <c r="Z435" t="s">
        <v>26566</v>
      </c>
      <c r="AA435">
        <v>0.57335688287185804</v>
      </c>
      <c r="AB435" t="str">
        <f>HYPERLINK("Melting_Curves/meltCurve_E9PCR4_ANAPC4.pdf", "Melting_Curves/meltCurve_E9PCR4_ANAPC4.pdf")</f>
        <v>Melting_Curves/meltCurve_E9PCR4_ANAPC4.pdf</v>
      </c>
    </row>
    <row r="436" spans="1:28" x14ac:dyDescent="0.25">
      <c r="A436" t="s">
        <v>440</v>
      </c>
      <c r="B436">
        <v>0.99930955844802105</v>
      </c>
      <c r="C436">
        <v>0.80603185938253497</v>
      </c>
      <c r="D436">
        <v>0.82684960834554799</v>
      </c>
      <c r="E436">
        <v>1.00723675666553</v>
      </c>
      <c r="F436">
        <v>0.96539406905997704</v>
      </c>
      <c r="G436">
        <v>0.68289603154239797</v>
      </c>
      <c r="H436">
        <v>0.25591888905980098</v>
      </c>
      <c r="I436">
        <v>0.28251029516949999</v>
      </c>
      <c r="J436">
        <v>0.255641324545825</v>
      </c>
      <c r="K436">
        <v>0.103180324549246</v>
      </c>
      <c r="L436">
        <v>2149.0186351613002</v>
      </c>
      <c r="M436">
        <v>37.306586782832099</v>
      </c>
      <c r="N436">
        <v>58.387600037992797</v>
      </c>
      <c r="O436">
        <v>57.439510322415202</v>
      </c>
      <c r="P436">
        <v>-0.13040430996608601</v>
      </c>
      <c r="Q436">
        <v>0.19688840823630399</v>
      </c>
      <c r="R436">
        <v>0.92542334134385995</v>
      </c>
      <c r="S436" t="s">
        <v>7053</v>
      </c>
      <c r="T436" t="s">
        <v>13232</v>
      </c>
      <c r="U436" t="s">
        <v>13232</v>
      </c>
      <c r="V436" t="s">
        <v>13232</v>
      </c>
      <c r="W436" t="s">
        <v>13659</v>
      </c>
      <c r="X436">
        <v>3</v>
      </c>
      <c r="Y436" t="s">
        <v>20197</v>
      </c>
      <c r="Z436" t="s">
        <v>26567</v>
      </c>
      <c r="AA436">
        <v>0.67175523364980549</v>
      </c>
      <c r="AB436" t="str">
        <f>HYPERLINK("Melting_Curves/meltCurve_E9PCV0_GUSB.pdf", "Melting_Curves/meltCurve_E9PCV0_GUSB.pdf")</f>
        <v>Melting_Curves/meltCurve_E9PCV0_GUSB.pdf</v>
      </c>
    </row>
    <row r="437" spans="1:28" x14ac:dyDescent="0.25">
      <c r="A437" t="s">
        <v>441</v>
      </c>
      <c r="B437">
        <v>0.99930955844802105</v>
      </c>
      <c r="C437">
        <v>1.05204824826615</v>
      </c>
      <c r="D437">
        <v>1.05565709737595</v>
      </c>
      <c r="E437">
        <v>0.99979788040131101</v>
      </c>
      <c r="F437">
        <v>0.80653910805285201</v>
      </c>
      <c r="G437">
        <v>0.70892726162976305</v>
      </c>
      <c r="H437">
        <v>0.71047232454727505</v>
      </c>
      <c r="I437">
        <v>0.66359928467981499</v>
      </c>
      <c r="J437">
        <v>0.52366938516654604</v>
      </c>
      <c r="K437">
        <v>0.36817473049618299</v>
      </c>
      <c r="L437">
        <v>523.24739234979302</v>
      </c>
      <c r="M437">
        <v>7.80104336232551</v>
      </c>
      <c r="N437">
        <v>67.074026787064497</v>
      </c>
      <c r="O437">
        <v>63.094574780380199</v>
      </c>
      <c r="P437">
        <v>-3.0948522532388001E-2</v>
      </c>
      <c r="Q437">
        <v>0</v>
      </c>
      <c r="R437">
        <v>0.92332771173800898</v>
      </c>
      <c r="S437" t="s">
        <v>7054</v>
      </c>
      <c r="T437" t="s">
        <v>13232</v>
      </c>
      <c r="U437" t="s">
        <v>13232</v>
      </c>
      <c r="V437" t="s">
        <v>13232</v>
      </c>
      <c r="W437" t="s">
        <v>13660</v>
      </c>
      <c r="X437">
        <v>11</v>
      </c>
      <c r="Y437" t="s">
        <v>20198</v>
      </c>
      <c r="Z437" t="s">
        <v>26568</v>
      </c>
      <c r="AA437">
        <v>0.79247503084630011</v>
      </c>
      <c r="AB437" t="str">
        <f>HYPERLINK("Melting_Curves/meltCurve_E9PCW1_GOSR1.pdf", "Melting_Curves/meltCurve_E9PCW1_GOSR1.pdf")</f>
        <v>Melting_Curves/meltCurve_E9PCW1_GOSR1.pdf</v>
      </c>
    </row>
    <row r="438" spans="1:28" x14ac:dyDescent="0.25">
      <c r="A438" t="s">
        <v>442</v>
      </c>
      <c r="B438">
        <v>0.99930955844802105</v>
      </c>
      <c r="C438">
        <v>1.17458313419023</v>
      </c>
      <c r="D438">
        <v>1.22596826434502</v>
      </c>
      <c r="E438">
        <v>1.19492466065845</v>
      </c>
      <c r="F438">
        <v>1.02102841613401</v>
      </c>
      <c r="G438">
        <v>0.88149946419943304</v>
      </c>
      <c r="H438">
        <v>0.90497312216001602</v>
      </c>
      <c r="I438">
        <v>0.97405020228269901</v>
      </c>
      <c r="J438">
        <v>0.928002218424126</v>
      </c>
      <c r="K438">
        <v>0.81059602640504302</v>
      </c>
      <c r="L438">
        <v>812.71916812419499</v>
      </c>
      <c r="M438">
        <v>10.0169258589777</v>
      </c>
      <c r="Q438">
        <v>0</v>
      </c>
      <c r="R438">
        <v>0.24326519442858099</v>
      </c>
      <c r="S438" t="s">
        <v>7055</v>
      </c>
      <c r="T438" t="s">
        <v>13232</v>
      </c>
      <c r="U438" t="s">
        <v>13232</v>
      </c>
      <c r="V438" t="s">
        <v>13232</v>
      </c>
      <c r="W438" t="s">
        <v>13661</v>
      </c>
      <c r="X438">
        <v>2</v>
      </c>
      <c r="Y438" t="s">
        <v>20199</v>
      </c>
      <c r="Z438" t="s">
        <v>26569</v>
      </c>
      <c r="AA438">
        <v>0.96819022987403158</v>
      </c>
      <c r="AB438" t="str">
        <f>HYPERLINK("Melting_Curves/meltCurve_E9PD53_SMC4.pdf", "Melting_Curves/meltCurve_E9PD53_SMC4.pdf")</f>
        <v>Melting_Curves/meltCurve_E9PD53_SMC4.pdf</v>
      </c>
    </row>
    <row r="439" spans="1:28" x14ac:dyDescent="0.25">
      <c r="A439" t="s">
        <v>443</v>
      </c>
      <c r="B439">
        <v>0.99930955844802105</v>
      </c>
      <c r="C439">
        <v>1.0305664982332401</v>
      </c>
      <c r="D439">
        <v>0.97545132019426295</v>
      </c>
      <c r="E439">
        <v>0.90091296008702604</v>
      </c>
      <c r="F439">
        <v>0.57587262487690405</v>
      </c>
      <c r="G439">
        <v>0.400482161495753</v>
      </c>
      <c r="H439">
        <v>0.24095181527890699</v>
      </c>
      <c r="I439">
        <v>0.21510186770839901</v>
      </c>
      <c r="J439">
        <v>0.174185602365172</v>
      </c>
      <c r="K439">
        <v>0.13943817332546701</v>
      </c>
      <c r="L439">
        <v>1070.4413392592801</v>
      </c>
      <c r="M439">
        <v>19.912922886955801</v>
      </c>
      <c r="N439">
        <v>54.834263660743296</v>
      </c>
      <c r="O439">
        <v>53.222784745286901</v>
      </c>
      <c r="P439">
        <v>-7.8386681727150395E-2</v>
      </c>
      <c r="Q439">
        <v>0.161987551166862</v>
      </c>
      <c r="R439">
        <v>0.99139932476391701</v>
      </c>
      <c r="S439" t="s">
        <v>7056</v>
      </c>
      <c r="T439" t="s">
        <v>13232</v>
      </c>
      <c r="U439" t="s">
        <v>13232</v>
      </c>
      <c r="V439" t="s">
        <v>13232</v>
      </c>
      <c r="W439" t="s">
        <v>13662</v>
      </c>
      <c r="X439">
        <v>6</v>
      </c>
      <c r="Y439" t="s">
        <v>20200</v>
      </c>
      <c r="Z439" t="s">
        <v>26570</v>
      </c>
      <c r="AA439">
        <v>0.55775963288973884</v>
      </c>
      <c r="AB439" t="str">
        <f>HYPERLINK("Melting_Curves/meltCurve_E9PD90_CKAP2.pdf", "Melting_Curves/meltCurve_E9PD90_CKAP2.pdf")</f>
        <v>Melting_Curves/meltCurve_E9PD90_CKAP2.pdf</v>
      </c>
    </row>
    <row r="440" spans="1:28" x14ac:dyDescent="0.25">
      <c r="A440" t="s">
        <v>444</v>
      </c>
      <c r="B440">
        <v>0.99930955844802105</v>
      </c>
      <c r="C440">
        <v>1.10679810154911</v>
      </c>
      <c r="D440">
        <v>1.03393140977428</v>
      </c>
      <c r="E440">
        <v>0.97263187223734904</v>
      </c>
      <c r="F440">
        <v>0.85520239877748105</v>
      </c>
      <c r="G440">
        <v>0.79207918087719897</v>
      </c>
      <c r="H440">
        <v>0.73456542834016103</v>
      </c>
      <c r="I440">
        <v>0.84495013997620805</v>
      </c>
      <c r="J440">
        <v>0.93903414962079301</v>
      </c>
      <c r="K440">
        <v>0.77168517679689996</v>
      </c>
      <c r="L440">
        <v>2878.63226106515</v>
      </c>
      <c r="M440">
        <v>55.722755097126701</v>
      </c>
      <c r="O440">
        <v>51.593498169428102</v>
      </c>
      <c r="P440">
        <v>-4.95091173821351E-2</v>
      </c>
      <c r="Q440">
        <v>0.81663884830739297</v>
      </c>
      <c r="R440">
        <v>0.72548953449617704</v>
      </c>
      <c r="S440" t="s">
        <v>7057</v>
      </c>
      <c r="T440" t="s">
        <v>13232</v>
      </c>
      <c r="U440" t="s">
        <v>13232</v>
      </c>
      <c r="V440" t="s">
        <v>13232</v>
      </c>
      <c r="W440" t="s">
        <v>13663</v>
      </c>
      <c r="X440">
        <v>1</v>
      </c>
      <c r="Y440" t="s">
        <v>20201</v>
      </c>
      <c r="Z440" t="s">
        <v>26571</v>
      </c>
      <c r="AA440">
        <v>0.88824068127346589</v>
      </c>
      <c r="AB440" t="str">
        <f>HYPERLINK("Melting_Curves/meltCurve_E9PDC3_ARVCF.pdf", "Melting_Curves/meltCurve_E9PDC3_ARVCF.pdf")</f>
        <v>Melting_Curves/meltCurve_E9PDC3_ARVCF.pdf</v>
      </c>
    </row>
    <row r="441" spans="1:28" x14ac:dyDescent="0.25">
      <c r="A441" t="s">
        <v>445</v>
      </c>
      <c r="B441">
        <v>0.99930955844802105</v>
      </c>
      <c r="C441">
        <v>1.0750325472123401</v>
      </c>
      <c r="D441">
        <v>1.05684781009122</v>
      </c>
      <c r="E441">
        <v>1.0534100824808099</v>
      </c>
      <c r="F441">
        <v>0.98801552982325003</v>
      </c>
      <c r="G441">
        <v>0.93626944445873095</v>
      </c>
      <c r="H441">
        <v>0.99690377445526701</v>
      </c>
      <c r="I441">
        <v>1.11244077380692</v>
      </c>
      <c r="J441">
        <v>1.10548212771551</v>
      </c>
      <c r="K441">
        <v>0.88765979902025605</v>
      </c>
      <c r="L441">
        <v>1.0000000000000001E-5</v>
      </c>
      <c r="M441">
        <v>13.891477731860901</v>
      </c>
      <c r="Q441">
        <v>1.0211371640664499</v>
      </c>
      <c r="R441">
        <v>-2.4424906541753401E-15</v>
      </c>
      <c r="S441" t="s">
        <v>7058</v>
      </c>
      <c r="T441" t="s">
        <v>13232</v>
      </c>
      <c r="U441" t="s">
        <v>13232</v>
      </c>
      <c r="V441" t="s">
        <v>13232</v>
      </c>
      <c r="W441" t="s">
        <v>13664</v>
      </c>
      <c r="X441">
        <v>25</v>
      </c>
      <c r="Y441" t="s">
        <v>20202</v>
      </c>
      <c r="Z441" t="s">
        <v>26572</v>
      </c>
      <c r="AA441">
        <v>1.021137144475555</v>
      </c>
      <c r="AB441" t="str">
        <f>HYPERLINK("Melting_Curves/meltCurve_E9PDE4_CAST.pdf", "Melting_Curves/meltCurve_E9PDE4_CAST.pdf")</f>
        <v>Melting_Curves/meltCurve_E9PDE4_CAST.pdf</v>
      </c>
    </row>
    <row r="442" spans="1:28" x14ac:dyDescent="0.25">
      <c r="A442" t="s">
        <v>446</v>
      </c>
      <c r="B442">
        <v>0.99930955844802105</v>
      </c>
      <c r="C442">
        <v>0.67589104767701802</v>
      </c>
      <c r="D442">
        <v>0.52302490474697205</v>
      </c>
      <c r="E442">
        <v>0.44134668407434002</v>
      </c>
      <c r="F442">
        <v>0.23174787600420699</v>
      </c>
      <c r="G442">
        <v>0.14423610184358701</v>
      </c>
      <c r="H442">
        <v>3.9291655494193702E-2</v>
      </c>
      <c r="I442">
        <v>0.118996128501243</v>
      </c>
      <c r="J442">
        <v>4.9875500453664998E-2</v>
      </c>
      <c r="K442">
        <v>3.4427859162429998E-2</v>
      </c>
      <c r="L442">
        <v>521.05928796389605</v>
      </c>
      <c r="M442">
        <v>11.0529660140893</v>
      </c>
      <c r="N442">
        <v>47.306103926831</v>
      </c>
      <c r="O442">
        <v>45.6778094819459</v>
      </c>
      <c r="P442">
        <v>-5.9376331307295797E-2</v>
      </c>
      <c r="Q442">
        <v>1.8804058155308799E-2</v>
      </c>
      <c r="R442">
        <v>0.96308782131133497</v>
      </c>
      <c r="S442" t="s">
        <v>7059</v>
      </c>
      <c r="T442" t="s">
        <v>13232</v>
      </c>
      <c r="U442" t="s">
        <v>13232</v>
      </c>
      <c r="V442" t="s">
        <v>13232</v>
      </c>
      <c r="W442" t="s">
        <v>13665</v>
      </c>
      <c r="X442">
        <v>1</v>
      </c>
      <c r="Y442" t="s">
        <v>20203</v>
      </c>
      <c r="Z442" t="s">
        <v>26573</v>
      </c>
      <c r="AA442">
        <v>0.29955786797989098</v>
      </c>
      <c r="AB442" t="str">
        <f>HYPERLINK("Melting_Curves/meltCurve_E9PDG2_IFT122.pdf", "Melting_Curves/meltCurve_E9PDG2_IFT122.pdf")</f>
        <v>Melting_Curves/meltCurve_E9PDG2_IFT122.pdf</v>
      </c>
    </row>
    <row r="443" spans="1:28" x14ac:dyDescent="0.25">
      <c r="A443" t="s">
        <v>447</v>
      </c>
      <c r="B443">
        <v>0.99930955844802105</v>
      </c>
      <c r="C443">
        <v>0.69481765039828702</v>
      </c>
      <c r="D443">
        <v>0.72440375019659897</v>
      </c>
      <c r="E443">
        <v>0.59309452547304498</v>
      </c>
      <c r="F443">
        <v>0.35158573973255702</v>
      </c>
      <c r="G443">
        <v>0.25224965966501101</v>
      </c>
      <c r="H443">
        <v>0.16524269155933299</v>
      </c>
      <c r="I443">
        <v>0.16923516641799199</v>
      </c>
      <c r="J443">
        <v>8.2876985603328998E-2</v>
      </c>
      <c r="K443">
        <v>9.9851401277849999E-2</v>
      </c>
      <c r="L443">
        <v>446.98689926278001</v>
      </c>
      <c r="M443">
        <v>8.8852274907755895</v>
      </c>
      <c r="N443">
        <v>50.407766931326499</v>
      </c>
      <c r="O443">
        <v>47.954135886041598</v>
      </c>
      <c r="P443">
        <v>-4.5947801353257503E-2</v>
      </c>
      <c r="Q443">
        <v>8.8228524350399198E-3</v>
      </c>
      <c r="R443">
        <v>0.96120230181113897</v>
      </c>
      <c r="S443" t="s">
        <v>7060</v>
      </c>
      <c r="T443" t="s">
        <v>13232</v>
      </c>
      <c r="U443" t="s">
        <v>13232</v>
      </c>
      <c r="V443" t="s">
        <v>13232</v>
      </c>
      <c r="W443" t="s">
        <v>13666</v>
      </c>
      <c r="X443">
        <v>3</v>
      </c>
      <c r="Y443" t="s">
        <v>20204</v>
      </c>
      <c r="Z443" t="s">
        <v>26574</v>
      </c>
      <c r="AA443">
        <v>0.40008814581771279</v>
      </c>
      <c r="AB443" t="str">
        <f>HYPERLINK("Melting_Curves/meltCurve_E9PDK2_UNKL.pdf", "Melting_Curves/meltCurve_E9PDK2_UNKL.pdf")</f>
        <v>Melting_Curves/meltCurve_E9PDK2_UNKL.pdf</v>
      </c>
    </row>
    <row r="444" spans="1:28" x14ac:dyDescent="0.25">
      <c r="A444" t="s">
        <v>448</v>
      </c>
      <c r="B444">
        <v>0.99930955844802105</v>
      </c>
      <c r="C444">
        <v>1.0555339809045401</v>
      </c>
      <c r="D444">
        <v>1.0575869461131799</v>
      </c>
      <c r="E444">
        <v>0.93508455461259699</v>
      </c>
      <c r="F444">
        <v>0.72344987870057598</v>
      </c>
      <c r="G444">
        <v>0.60558796404461501</v>
      </c>
      <c r="H444">
        <v>0.57052686291057098</v>
      </c>
      <c r="I444">
        <v>0.57536549899547695</v>
      </c>
      <c r="J444">
        <v>0.56131228817387901</v>
      </c>
      <c r="K444">
        <v>0.47912401361076701</v>
      </c>
      <c r="L444">
        <v>1775.8265761364401</v>
      </c>
      <c r="M444">
        <v>33.849799568474197</v>
      </c>
      <c r="O444">
        <v>52.279881697304901</v>
      </c>
      <c r="P444">
        <v>-7.2838574253856106E-2</v>
      </c>
      <c r="Q444">
        <v>0.55001498453890196</v>
      </c>
      <c r="R444">
        <v>0.97094318924806799</v>
      </c>
      <c r="S444" t="s">
        <v>7061</v>
      </c>
      <c r="T444" t="s">
        <v>13232</v>
      </c>
      <c r="U444" t="s">
        <v>13232</v>
      </c>
      <c r="V444" t="s">
        <v>13232</v>
      </c>
      <c r="W444" t="s">
        <v>13667</v>
      </c>
      <c r="X444">
        <v>7</v>
      </c>
      <c r="Y444" t="s">
        <v>20205</v>
      </c>
      <c r="Z444" t="s">
        <v>26575</v>
      </c>
      <c r="AA444">
        <v>0.73921643107682589</v>
      </c>
      <c r="AB444" t="str">
        <f>HYPERLINK("Melting_Curves/meltCurve_E9PDL4_ICA1.pdf", "Melting_Curves/meltCurve_E9PDL4_ICA1.pdf")</f>
        <v>Melting_Curves/meltCurve_E9PDL4_ICA1.pdf</v>
      </c>
    </row>
    <row r="445" spans="1:28" x14ac:dyDescent="0.25">
      <c r="A445" t="s">
        <v>449</v>
      </c>
      <c r="B445">
        <v>0.99930955844802105</v>
      </c>
      <c r="C445">
        <v>0.958668750709046</v>
      </c>
      <c r="D445">
        <v>0.90364087052044195</v>
      </c>
      <c r="E445">
        <v>0.62967527380071098</v>
      </c>
      <c r="F445">
        <v>0.36186670214689298</v>
      </c>
      <c r="G445">
        <v>0.289813003618896</v>
      </c>
      <c r="H445">
        <v>0.17497814255451299</v>
      </c>
      <c r="I445">
        <v>0.13059451970285299</v>
      </c>
      <c r="J445">
        <v>0.124837113698248</v>
      </c>
      <c r="K445">
        <v>0.112983848924403</v>
      </c>
      <c r="L445">
        <v>901.80907391217602</v>
      </c>
      <c r="M445">
        <v>17.7435941328167</v>
      </c>
      <c r="N445">
        <v>51.629227820454602</v>
      </c>
      <c r="O445">
        <v>50.192085748898002</v>
      </c>
      <c r="P445">
        <v>-7.7705602295784604E-2</v>
      </c>
      <c r="Q445">
        <v>0.12080849644709001</v>
      </c>
      <c r="R445">
        <v>0.994729395251301</v>
      </c>
      <c r="S445" t="s">
        <v>7062</v>
      </c>
      <c r="T445" t="s">
        <v>13232</v>
      </c>
      <c r="U445" t="s">
        <v>13232</v>
      </c>
      <c r="V445" t="s">
        <v>13232</v>
      </c>
      <c r="W445" t="s">
        <v>13668</v>
      </c>
      <c r="X445">
        <v>7</v>
      </c>
      <c r="Y445" t="s">
        <v>20206</v>
      </c>
      <c r="Z445" t="s">
        <v>26576</v>
      </c>
      <c r="AA445">
        <v>0.45327090321987212</v>
      </c>
      <c r="AB445" t="str">
        <f>HYPERLINK("Melting_Curves/meltCurve_E9PE19_BPTF.pdf", "Melting_Curves/meltCurve_E9PE19_BPTF.pdf")</f>
        <v>Melting_Curves/meltCurve_E9PE19_BPTF.pdf</v>
      </c>
    </row>
    <row r="446" spans="1:28" x14ac:dyDescent="0.25">
      <c r="A446" t="s">
        <v>450</v>
      </c>
      <c r="B446">
        <v>0.99930955844802105</v>
      </c>
      <c r="C446">
        <v>1.0268818099458601</v>
      </c>
      <c r="D446">
        <v>0.98733090088031294</v>
      </c>
      <c r="E446">
        <v>0.99320049417582801</v>
      </c>
      <c r="F446">
        <v>0.84041623407752597</v>
      </c>
      <c r="G446">
        <v>0.64465748453968297</v>
      </c>
      <c r="H446">
        <v>0.55468278305756902</v>
      </c>
      <c r="I446">
        <v>0.58322321983005598</v>
      </c>
      <c r="J446">
        <v>0.57009948669261101</v>
      </c>
      <c r="K446">
        <v>0.45655214996582599</v>
      </c>
      <c r="L446">
        <v>1460.29177550748</v>
      </c>
      <c r="M446">
        <v>26.755509267223701</v>
      </c>
      <c r="O446">
        <v>54.276943946295397</v>
      </c>
      <c r="P446">
        <v>-5.7861678260302203E-2</v>
      </c>
      <c r="Q446">
        <v>0.53048580951894797</v>
      </c>
      <c r="R446">
        <v>0.97618479136423997</v>
      </c>
      <c r="S446" t="s">
        <v>7063</v>
      </c>
      <c r="T446" t="s">
        <v>13232</v>
      </c>
      <c r="U446" t="s">
        <v>13232</v>
      </c>
      <c r="V446" t="s">
        <v>13232</v>
      </c>
      <c r="W446" t="s">
        <v>13669</v>
      </c>
      <c r="X446">
        <v>7</v>
      </c>
      <c r="Y446" t="s">
        <v>20207</v>
      </c>
      <c r="Z446" t="s">
        <v>26577</v>
      </c>
      <c r="AA446">
        <v>0.76250076608190631</v>
      </c>
      <c r="AB446" t="str">
        <f>HYPERLINK("Melting_Curves/meltCurve_E9PEI0_CDCA2.pdf", "Melting_Curves/meltCurve_E9PEI0_CDCA2.pdf")</f>
        <v>Melting_Curves/meltCurve_E9PEI0_CDCA2.pdf</v>
      </c>
    </row>
    <row r="447" spans="1:28" x14ac:dyDescent="0.25">
      <c r="A447" t="s">
        <v>451</v>
      </c>
      <c r="B447">
        <v>0.99930955844802105</v>
      </c>
      <c r="C447">
        <v>1.0290469216862801</v>
      </c>
      <c r="D447">
        <v>0.861637129076116</v>
      </c>
      <c r="E447">
        <v>0.41848820374885198</v>
      </c>
      <c r="F447">
        <v>0.217561176770419</v>
      </c>
      <c r="G447">
        <v>0.183146071798027</v>
      </c>
      <c r="H447">
        <v>0.13917749190045101</v>
      </c>
      <c r="I447">
        <v>0.14976831023859999</v>
      </c>
      <c r="J447">
        <v>0.14298676148102801</v>
      </c>
      <c r="K447">
        <v>0.112440384576003</v>
      </c>
      <c r="L447">
        <v>1414.3025637206499</v>
      </c>
      <c r="M447">
        <v>29.0244737026382</v>
      </c>
      <c r="N447">
        <v>49.295269604770802</v>
      </c>
      <c r="O447">
        <v>48.498392390553903</v>
      </c>
      <c r="P447">
        <v>-0.128372972649511</v>
      </c>
      <c r="Q447">
        <v>0.141988332734786</v>
      </c>
      <c r="R447">
        <v>0.99704593729601698</v>
      </c>
      <c r="S447" t="s">
        <v>7064</v>
      </c>
      <c r="T447" t="s">
        <v>13232</v>
      </c>
      <c r="U447" t="s">
        <v>13232</v>
      </c>
      <c r="V447" t="s">
        <v>13232</v>
      </c>
      <c r="W447" t="s">
        <v>13441</v>
      </c>
      <c r="X447">
        <v>16</v>
      </c>
      <c r="Y447" t="s">
        <v>20208</v>
      </c>
      <c r="Z447" t="s">
        <v>26578</v>
      </c>
      <c r="AA447">
        <v>0.39718397817270901</v>
      </c>
      <c r="AB447" t="str">
        <f>HYPERLINK("Melting_Curves/meltCurve_E9PER6_PDPK1.pdf", "Melting_Curves/meltCurve_E9PER6_PDPK1.pdf")</f>
        <v>Melting_Curves/meltCurve_E9PER6_PDPK1.pdf</v>
      </c>
    </row>
    <row r="448" spans="1:28" x14ac:dyDescent="0.25">
      <c r="A448" t="s">
        <v>452</v>
      </c>
      <c r="B448">
        <v>0.99930955844802105</v>
      </c>
      <c r="C448">
        <v>0.95019942484181497</v>
      </c>
      <c r="D448">
        <v>0.73135766899138099</v>
      </c>
      <c r="E448">
        <v>0.46313065588674301</v>
      </c>
      <c r="F448">
        <v>0.26139821696869597</v>
      </c>
      <c r="G448">
        <v>0.18456833900908401</v>
      </c>
      <c r="H448">
        <v>0.122974890902514</v>
      </c>
      <c r="I448">
        <v>0.108663539864085</v>
      </c>
      <c r="J448">
        <v>0.10112299963877699</v>
      </c>
      <c r="K448">
        <v>7.6858412338621895E-2</v>
      </c>
      <c r="L448">
        <v>831.50831218527003</v>
      </c>
      <c r="M448">
        <v>17.056361827829299</v>
      </c>
      <c r="N448">
        <v>49.333086753469303</v>
      </c>
      <c r="O448">
        <v>48.095294523250097</v>
      </c>
      <c r="P448">
        <v>-8.0578498064766899E-2</v>
      </c>
      <c r="Q448">
        <v>9.1198871562499603E-2</v>
      </c>
      <c r="R448">
        <v>0.99713655368128096</v>
      </c>
      <c r="S448" t="s">
        <v>7065</v>
      </c>
      <c r="T448" t="s">
        <v>13232</v>
      </c>
      <c r="U448" t="s">
        <v>13232</v>
      </c>
      <c r="V448" t="s">
        <v>13232</v>
      </c>
      <c r="W448" t="s">
        <v>13670</v>
      </c>
      <c r="X448">
        <v>60</v>
      </c>
      <c r="Y448" t="s">
        <v>20209</v>
      </c>
      <c r="Z448" t="s">
        <v>26579</v>
      </c>
      <c r="AA448">
        <v>0.37390802515495453</v>
      </c>
      <c r="AB448" t="str">
        <f>HYPERLINK("Melting_Curves/meltCurve_E9PEZ3_DIAPH1.pdf", "Melting_Curves/meltCurve_E9PEZ3_DIAPH1.pdf")</f>
        <v>Melting_Curves/meltCurve_E9PEZ3_DIAPH1.pdf</v>
      </c>
    </row>
    <row r="449" spans="1:28" x14ac:dyDescent="0.25">
      <c r="A449" t="s">
        <v>453</v>
      </c>
      <c r="B449">
        <v>0.99930955844802105</v>
      </c>
      <c r="C449">
        <v>1.07139343119519</v>
      </c>
      <c r="D449">
        <v>1.0985861390770999</v>
      </c>
      <c r="E449">
        <v>1.0478525484763599</v>
      </c>
      <c r="F449">
        <v>0.88894775014002603</v>
      </c>
      <c r="G449">
        <v>0.65296941609461501</v>
      </c>
      <c r="H449">
        <v>0.60271611329466401</v>
      </c>
      <c r="I449">
        <v>0.64545311577503695</v>
      </c>
      <c r="J449">
        <v>0.63316064250695203</v>
      </c>
      <c r="K449">
        <v>0.49040773056848003</v>
      </c>
      <c r="L449">
        <v>2303.5211076667501</v>
      </c>
      <c r="M449">
        <v>42.3187191748139</v>
      </c>
      <c r="O449">
        <v>54.311568903477799</v>
      </c>
      <c r="P449">
        <v>-7.9319639149555504E-2</v>
      </c>
      <c r="Q449">
        <v>0.59280759284437701</v>
      </c>
      <c r="R449">
        <v>0.93063321791351095</v>
      </c>
      <c r="S449" t="s">
        <v>7066</v>
      </c>
      <c r="T449" t="s">
        <v>13232</v>
      </c>
      <c r="U449" t="s">
        <v>13232</v>
      </c>
      <c r="V449" t="s">
        <v>13232</v>
      </c>
      <c r="W449" t="s">
        <v>13671</v>
      </c>
      <c r="X449">
        <v>5</v>
      </c>
      <c r="Y449" t="s">
        <v>20210</v>
      </c>
      <c r="Z449" t="s">
        <v>26580</v>
      </c>
      <c r="AA449">
        <v>0.79006882163715131</v>
      </c>
      <c r="AB449" t="str">
        <f>HYPERLINK("Melting_Curves/meltCurve_E9PEZ8_FAM193B.pdf", "Melting_Curves/meltCurve_E9PEZ8_FAM193B.pdf")</f>
        <v>Melting_Curves/meltCurve_E9PEZ8_FAM193B.pdf</v>
      </c>
    </row>
    <row r="450" spans="1:28" x14ac:dyDescent="0.25">
      <c r="A450" t="s">
        <v>454</v>
      </c>
      <c r="B450">
        <v>0.99930955844802105</v>
      </c>
      <c r="C450">
        <v>0.83045979449985696</v>
      </c>
      <c r="D450">
        <v>0.347961091531587</v>
      </c>
      <c r="E450">
        <v>0.235818612622998</v>
      </c>
      <c r="F450">
        <v>0.148354033359788</v>
      </c>
      <c r="G450">
        <v>9.2170890619826598E-2</v>
      </c>
      <c r="H450">
        <v>5.4860730006693802E-2</v>
      </c>
      <c r="I450">
        <v>5.0190499574625902E-2</v>
      </c>
      <c r="J450">
        <v>4.7682188911785897E-2</v>
      </c>
      <c r="K450">
        <v>3.8639553594415003E-2</v>
      </c>
      <c r="L450">
        <v>1168.2819628304201</v>
      </c>
      <c r="M450">
        <v>25.9725944651824</v>
      </c>
      <c r="N450">
        <v>45.2751525320095</v>
      </c>
      <c r="O450">
        <v>44.717217252848897</v>
      </c>
      <c r="P450">
        <v>-0.133944855144393</v>
      </c>
      <c r="Q450">
        <v>7.7555078059266896E-2</v>
      </c>
      <c r="R450">
        <v>0.98004909997326695</v>
      </c>
      <c r="S450" t="s">
        <v>7067</v>
      </c>
      <c r="T450" t="s">
        <v>13232</v>
      </c>
      <c r="U450" t="s">
        <v>13232</v>
      </c>
      <c r="V450" t="s">
        <v>13232</v>
      </c>
      <c r="W450" t="s">
        <v>13672</v>
      </c>
      <c r="X450">
        <v>9</v>
      </c>
      <c r="Y450" t="s">
        <v>20211</v>
      </c>
      <c r="Z450" t="s">
        <v>26581</v>
      </c>
      <c r="AA450">
        <v>0.23912299174028109</v>
      </c>
      <c r="AB450" t="str">
        <f>HYPERLINK("Melting_Curves/meltCurve_E9PF10_NUP155.pdf", "Melting_Curves/meltCurve_E9PF10_NUP155.pdf")</f>
        <v>Melting_Curves/meltCurve_E9PF10_NUP155.pdf</v>
      </c>
    </row>
    <row r="451" spans="1:28" x14ac:dyDescent="0.25">
      <c r="A451" t="s">
        <v>455</v>
      </c>
      <c r="B451">
        <v>0.99930955844802105</v>
      </c>
      <c r="C451">
        <v>0.88011160232444896</v>
      </c>
      <c r="D451">
        <v>0.39905614400004302</v>
      </c>
      <c r="E451">
        <v>0.312881225293068</v>
      </c>
      <c r="F451">
        <v>0.200030112373251</v>
      </c>
      <c r="G451">
        <v>0.13352975537722001</v>
      </c>
      <c r="H451">
        <v>0.126045475280712</v>
      </c>
      <c r="I451">
        <v>0.14851609973473601</v>
      </c>
      <c r="J451">
        <v>0.17689804820214899</v>
      </c>
      <c r="K451">
        <v>0.12588945840184501</v>
      </c>
      <c r="L451">
        <v>1404.3465052109</v>
      </c>
      <c r="M451">
        <v>31.2251770701445</v>
      </c>
      <c r="N451">
        <v>45.557428299101602</v>
      </c>
      <c r="O451">
        <v>44.791555938414803</v>
      </c>
      <c r="P451">
        <v>-0.14559242664371699</v>
      </c>
      <c r="Q451">
        <v>0.164613228275583</v>
      </c>
      <c r="R451">
        <v>0.97753266263564498</v>
      </c>
      <c r="S451" t="s">
        <v>7068</v>
      </c>
      <c r="T451" t="s">
        <v>13232</v>
      </c>
      <c r="U451" t="s">
        <v>13232</v>
      </c>
      <c r="V451" t="s">
        <v>13232</v>
      </c>
      <c r="W451" t="s">
        <v>13673</v>
      </c>
      <c r="X451">
        <v>2</v>
      </c>
      <c r="Y451" t="s">
        <v>20212</v>
      </c>
      <c r="Z451" t="s">
        <v>26582</v>
      </c>
      <c r="AA451">
        <v>0.30804124535908112</v>
      </c>
      <c r="AB451" t="str">
        <f>HYPERLINK("Melting_Curves/meltCurve_E9PF16_ACSF2.pdf", "Melting_Curves/meltCurve_E9PF16_ACSF2.pdf")</f>
        <v>Melting_Curves/meltCurve_E9PF16_ACSF2.pdf</v>
      </c>
    </row>
    <row r="452" spans="1:28" x14ac:dyDescent="0.25">
      <c r="A452" t="s">
        <v>456</v>
      </c>
      <c r="B452">
        <v>0.99930955844802105</v>
      </c>
      <c r="C452">
        <v>1.0875874639651399</v>
      </c>
      <c r="D452">
        <v>0.89464947327782596</v>
      </c>
      <c r="E452">
        <v>0.62407141108865405</v>
      </c>
      <c r="F452">
        <v>0.33844641735601999</v>
      </c>
      <c r="G452">
        <v>0.209964841201813</v>
      </c>
      <c r="H452">
        <v>0.15058086012538799</v>
      </c>
      <c r="I452">
        <v>0.15655024213628399</v>
      </c>
      <c r="J452">
        <v>0.14878440721818501</v>
      </c>
      <c r="K452">
        <v>0.111232882375828</v>
      </c>
      <c r="L452">
        <v>1205.4349556382101</v>
      </c>
      <c r="M452">
        <v>23.883063762852199</v>
      </c>
      <c r="N452">
        <v>51.1706715220256</v>
      </c>
      <c r="O452">
        <v>50.122514731099898</v>
      </c>
      <c r="P452">
        <v>-0.102558777464259</v>
      </c>
      <c r="Q452">
        <v>0.13906843361243301</v>
      </c>
      <c r="R452">
        <v>0.99107584400945503</v>
      </c>
      <c r="S452" t="s">
        <v>7069</v>
      </c>
      <c r="T452" t="s">
        <v>13232</v>
      </c>
      <c r="U452" t="s">
        <v>13232</v>
      </c>
      <c r="V452" t="s">
        <v>13232</v>
      </c>
      <c r="W452" t="s">
        <v>13674</v>
      </c>
      <c r="X452">
        <v>7</v>
      </c>
      <c r="Y452" t="s">
        <v>20213</v>
      </c>
      <c r="Z452" t="s">
        <v>26583</v>
      </c>
      <c r="AA452">
        <v>0.44806908485140817</v>
      </c>
      <c r="AB452" t="str">
        <f>HYPERLINK("Melting_Curves/meltCurve_E9PF19_TBL2.pdf", "Melting_Curves/meltCurve_E9PF19_TBL2.pdf")</f>
        <v>Melting_Curves/meltCurve_E9PF19_TBL2.pdf</v>
      </c>
    </row>
    <row r="453" spans="1:28" x14ac:dyDescent="0.25">
      <c r="A453" t="s">
        <v>457</v>
      </c>
      <c r="B453">
        <v>0.99930955844802105</v>
      </c>
      <c r="C453">
        <v>0.95439589169355099</v>
      </c>
      <c r="D453">
        <v>0.90848696142546703</v>
      </c>
      <c r="E453">
        <v>0.84192576678527098</v>
      </c>
      <c r="F453">
        <v>0.735165998856528</v>
      </c>
      <c r="G453">
        <v>0.58589935792736403</v>
      </c>
      <c r="H453">
        <v>0.54453853924048501</v>
      </c>
      <c r="I453">
        <v>0.54826361271076196</v>
      </c>
      <c r="J453">
        <v>0.52301808915771697</v>
      </c>
      <c r="K453">
        <v>0.40436404007544102</v>
      </c>
      <c r="L453">
        <v>561.34039904473502</v>
      </c>
      <c r="M453">
        <v>10.4024407524964</v>
      </c>
      <c r="N453">
        <v>64.683745390012803</v>
      </c>
      <c r="O453">
        <v>52.0824427931054</v>
      </c>
      <c r="P453">
        <v>-2.9430416852604099E-2</v>
      </c>
      <c r="Q453">
        <v>0.41084315998465398</v>
      </c>
      <c r="R453">
        <v>0.97704263014392201</v>
      </c>
      <c r="S453" t="s">
        <v>7070</v>
      </c>
      <c r="T453" t="s">
        <v>13232</v>
      </c>
      <c r="U453" t="s">
        <v>13232</v>
      </c>
      <c r="V453" t="s">
        <v>13232</v>
      </c>
      <c r="W453" t="s">
        <v>13675</v>
      </c>
      <c r="X453">
        <v>25</v>
      </c>
      <c r="Y453" t="s">
        <v>20214</v>
      </c>
      <c r="Z453" t="s">
        <v>26584</v>
      </c>
      <c r="AA453">
        <v>0.70243931403301807</v>
      </c>
      <c r="AB453" t="str">
        <f>HYPERLINK("Melting_Curves/meltCurve_E9PF99_CEP192.pdf", "Melting_Curves/meltCurve_E9PF99_CEP192.pdf")</f>
        <v>Melting_Curves/meltCurve_E9PF99_CEP192.pdf</v>
      </c>
    </row>
    <row r="454" spans="1:28" x14ac:dyDescent="0.25">
      <c r="A454" t="s">
        <v>458</v>
      </c>
      <c r="B454">
        <v>0.99930955844802105</v>
      </c>
      <c r="C454">
        <v>0.92953529383001798</v>
      </c>
      <c r="D454">
        <v>0.825185807482264</v>
      </c>
      <c r="E454">
        <v>0.762544395124787</v>
      </c>
      <c r="F454">
        <v>0.65884368908144997</v>
      </c>
      <c r="G454">
        <v>0.56833939588173898</v>
      </c>
      <c r="H454">
        <v>0.53604625782761395</v>
      </c>
      <c r="I454">
        <v>0.58961647746068002</v>
      </c>
      <c r="J454">
        <v>0.56200335353466202</v>
      </c>
      <c r="K454">
        <v>0.44882287949260802</v>
      </c>
      <c r="L454">
        <v>561.934450754566</v>
      </c>
      <c r="M454">
        <v>11.317078812554699</v>
      </c>
      <c r="O454">
        <v>48.179085713932899</v>
      </c>
      <c r="P454">
        <v>-2.9594025432696E-2</v>
      </c>
      <c r="Q454">
        <v>0.49620142736691197</v>
      </c>
      <c r="R454">
        <v>0.95941384853123102</v>
      </c>
      <c r="S454" t="s">
        <v>7071</v>
      </c>
      <c r="T454" t="s">
        <v>13232</v>
      </c>
      <c r="U454" t="s">
        <v>13232</v>
      </c>
      <c r="V454" t="s">
        <v>13232</v>
      </c>
      <c r="W454" t="s">
        <v>13676</v>
      </c>
      <c r="X454">
        <v>22</v>
      </c>
      <c r="Y454" t="s">
        <v>20215</v>
      </c>
      <c r="Z454" t="s">
        <v>26585</v>
      </c>
      <c r="AA454">
        <v>0.67783436807959263</v>
      </c>
      <c r="AB454" t="str">
        <f>HYPERLINK("Melting_Curves/meltCurve_E9PFK5_NOP14.pdf", "Melting_Curves/meltCurve_E9PFK5_NOP14.pdf")</f>
        <v>Melting_Curves/meltCurve_E9PFK5_NOP14.pdf</v>
      </c>
    </row>
    <row r="455" spans="1:28" x14ac:dyDescent="0.25">
      <c r="A455" t="s">
        <v>459</v>
      </c>
      <c r="B455">
        <v>0.99930955844802105</v>
      </c>
      <c r="C455">
        <v>0.87968370134566698</v>
      </c>
      <c r="D455">
        <v>0.66229460348703595</v>
      </c>
      <c r="E455">
        <v>0.41427776945246297</v>
      </c>
      <c r="F455">
        <v>0.20409764730972599</v>
      </c>
      <c r="G455">
        <v>0.149062147188051</v>
      </c>
      <c r="H455">
        <v>0.111449578165371</v>
      </c>
      <c r="I455">
        <v>0.110807681466945</v>
      </c>
      <c r="J455">
        <v>0.109694235566842</v>
      </c>
      <c r="K455">
        <v>8.4654007788053307E-2</v>
      </c>
      <c r="L455">
        <v>807.17592838383996</v>
      </c>
      <c r="M455">
        <v>16.916871311771601</v>
      </c>
      <c r="N455">
        <v>48.292782028825499</v>
      </c>
      <c r="O455">
        <v>47.062475513167001</v>
      </c>
      <c r="P455">
        <v>-8.1626654849006997E-2</v>
      </c>
      <c r="Q455">
        <v>9.1720840228345799E-2</v>
      </c>
      <c r="R455">
        <v>0.99634524852079098</v>
      </c>
      <c r="S455" t="s">
        <v>7072</v>
      </c>
      <c r="T455" t="s">
        <v>13232</v>
      </c>
      <c r="U455" t="s">
        <v>13232</v>
      </c>
      <c r="V455" t="s">
        <v>13232</v>
      </c>
      <c r="W455" t="s">
        <v>13677</v>
      </c>
      <c r="X455">
        <v>23</v>
      </c>
      <c r="Y455" t="s">
        <v>20216</v>
      </c>
      <c r="Z455" t="s">
        <v>26586</v>
      </c>
      <c r="AA455">
        <v>0.34380805196564279</v>
      </c>
      <c r="AB455" t="str">
        <f>HYPERLINK("Melting_Curves/meltCurve_E9PFR3_PPP2R5D.pdf", "Melting_Curves/meltCurve_E9PFR3_PPP2R5D.pdf")</f>
        <v>Melting_Curves/meltCurve_E9PFR3_PPP2R5D.pdf</v>
      </c>
    </row>
    <row r="456" spans="1:28" x14ac:dyDescent="0.25">
      <c r="A456" t="s">
        <v>460</v>
      </c>
      <c r="B456">
        <v>0.99930955844802105</v>
      </c>
      <c r="C456">
        <v>0.92225317954730901</v>
      </c>
      <c r="D456">
        <v>0.83890662138857097</v>
      </c>
      <c r="E456">
        <v>0.74846854153446496</v>
      </c>
      <c r="F456">
        <v>0.54394508908273598</v>
      </c>
      <c r="G456">
        <v>0.34901198378201198</v>
      </c>
      <c r="H456">
        <v>0.233489372211937</v>
      </c>
      <c r="I456">
        <v>0.197052607482507</v>
      </c>
      <c r="J456">
        <v>0.19634954983533301</v>
      </c>
      <c r="K456">
        <v>0.154154161991159</v>
      </c>
      <c r="L456">
        <v>655.02299268317995</v>
      </c>
      <c r="M456">
        <v>12.418798100266701</v>
      </c>
      <c r="N456">
        <v>53.859778502489903</v>
      </c>
      <c r="O456">
        <v>51.432838152392698</v>
      </c>
      <c r="P456">
        <v>-5.3531434970733302E-2</v>
      </c>
      <c r="Q456">
        <v>0.113378708106042</v>
      </c>
      <c r="R456">
        <v>0.99411115549639995</v>
      </c>
      <c r="S456" t="s">
        <v>7073</v>
      </c>
      <c r="T456" t="s">
        <v>13232</v>
      </c>
      <c r="U456" t="s">
        <v>13232</v>
      </c>
      <c r="V456" t="s">
        <v>13232</v>
      </c>
      <c r="W456" t="s">
        <v>13678</v>
      </c>
      <c r="X456">
        <v>8</v>
      </c>
      <c r="Y456" t="s">
        <v>20217</v>
      </c>
      <c r="Z456" t="s">
        <v>26587</v>
      </c>
      <c r="AA456">
        <v>0.51474786614330514</v>
      </c>
      <c r="AB456" t="str">
        <f>HYPERLINK("Melting_Curves/meltCurve_E9PG22_CEP97.pdf", "Melting_Curves/meltCurve_E9PG22_CEP97.pdf")</f>
        <v>Melting_Curves/meltCurve_E9PG22_CEP97.pdf</v>
      </c>
    </row>
    <row r="457" spans="1:28" x14ac:dyDescent="0.25">
      <c r="A457" t="s">
        <v>461</v>
      </c>
      <c r="B457">
        <v>0.99930955844802105</v>
      </c>
      <c r="C457">
        <v>0.84415442425556797</v>
      </c>
      <c r="D457">
        <v>0.89355659434101398</v>
      </c>
      <c r="E457">
        <v>0.87369565727389698</v>
      </c>
      <c r="F457">
        <v>0.91545749525333897</v>
      </c>
      <c r="G457">
        <v>0.80423398242072897</v>
      </c>
      <c r="H457">
        <v>0.33154190496401098</v>
      </c>
      <c r="I457">
        <v>0.23583692721629501</v>
      </c>
      <c r="J457">
        <v>9.37075633079405E-2</v>
      </c>
      <c r="K457">
        <v>6.0934182855262801E-2</v>
      </c>
      <c r="L457">
        <v>1359.7380590371099</v>
      </c>
      <c r="M457">
        <v>22.8259205388513</v>
      </c>
      <c r="N457">
        <v>59.736397531073202</v>
      </c>
      <c r="O457">
        <v>59.1183443559108</v>
      </c>
      <c r="P457">
        <v>-9.3553496223569801E-2</v>
      </c>
      <c r="Q457">
        <v>3.0817376236212501E-2</v>
      </c>
      <c r="R457">
        <v>0.95463764706485699</v>
      </c>
      <c r="S457" t="s">
        <v>7074</v>
      </c>
      <c r="T457" t="s">
        <v>13232</v>
      </c>
      <c r="U457" t="s">
        <v>13232</v>
      </c>
      <c r="V457" t="s">
        <v>13232</v>
      </c>
      <c r="W457" t="s">
        <v>13679</v>
      </c>
      <c r="X457">
        <v>21</v>
      </c>
      <c r="Y457" t="s">
        <v>20218</v>
      </c>
      <c r="Z457" t="s">
        <v>26588</v>
      </c>
      <c r="AA457">
        <v>0.67124773989897502</v>
      </c>
      <c r="AB457" t="str">
        <f>HYPERLINK("Melting_Curves/meltCurve_E9PGT1_TSN.pdf", "Melting_Curves/meltCurve_E9PGT1_TSN.pdf")</f>
        <v>Melting_Curves/meltCurve_E9PGT1_TSN.pdf</v>
      </c>
    </row>
    <row r="458" spans="1:28" x14ac:dyDescent="0.25">
      <c r="A458" t="s">
        <v>462</v>
      </c>
      <c r="B458">
        <v>0.99930955844802105</v>
      </c>
      <c r="C458">
        <v>0.83264627503853506</v>
      </c>
      <c r="D458">
        <v>0.87434471987492801</v>
      </c>
      <c r="E458">
        <v>0.93535840072467702</v>
      </c>
      <c r="F458">
        <v>1.0747265361551299</v>
      </c>
      <c r="G458">
        <v>0.53385210527780502</v>
      </c>
      <c r="H458">
        <v>0.52640624888098497</v>
      </c>
      <c r="I458">
        <v>0.393928304906775</v>
      </c>
      <c r="J458">
        <v>0.13326013187602001</v>
      </c>
      <c r="K458">
        <v>7.0288511387748401E-2</v>
      </c>
      <c r="L458">
        <v>897.002080149324</v>
      </c>
      <c r="M458">
        <v>14.8401302008877</v>
      </c>
      <c r="N458">
        <v>60.444353891196599</v>
      </c>
      <c r="O458">
        <v>59.3786275850374</v>
      </c>
      <c r="P458">
        <v>-6.24875253843271E-2</v>
      </c>
      <c r="Q458">
        <v>0</v>
      </c>
      <c r="R458">
        <v>0.89377026345027399</v>
      </c>
      <c r="S458" t="s">
        <v>7075</v>
      </c>
      <c r="T458" t="s">
        <v>13232</v>
      </c>
      <c r="U458" t="s">
        <v>13232</v>
      </c>
      <c r="V458" t="s">
        <v>13232</v>
      </c>
      <c r="W458" t="s">
        <v>13680</v>
      </c>
      <c r="X458">
        <v>8</v>
      </c>
      <c r="Y458" t="s">
        <v>20219</v>
      </c>
      <c r="Z458" t="s">
        <v>26589</v>
      </c>
      <c r="AA458">
        <v>0.68632296679155924</v>
      </c>
      <c r="AB458" t="str">
        <f>HYPERLINK("Melting_Curves/meltCurve_E9PGT6_COPS8.pdf", "Melting_Curves/meltCurve_E9PGT6_COPS8.pdf")</f>
        <v>Melting_Curves/meltCurve_E9PGT6_COPS8.pdf</v>
      </c>
    </row>
    <row r="459" spans="1:28" x14ac:dyDescent="0.25">
      <c r="A459" t="s">
        <v>463</v>
      </c>
      <c r="B459">
        <v>0.99930955844802105</v>
      </c>
      <c r="C459">
        <v>0.870206954231175</v>
      </c>
      <c r="D459">
        <v>0.86853885847638301</v>
      </c>
      <c r="E459">
        <v>0.79168965131652502</v>
      </c>
      <c r="F459">
        <v>0.66169547121030403</v>
      </c>
      <c r="G459">
        <v>0.36832583925226597</v>
      </c>
      <c r="H459">
        <v>0.13484746690610699</v>
      </c>
      <c r="I459">
        <v>0.102166268930551</v>
      </c>
      <c r="J459">
        <v>7.75521725408687E-2</v>
      </c>
      <c r="K459">
        <v>6.0397782924461199E-2</v>
      </c>
      <c r="L459">
        <v>758.37596407366595</v>
      </c>
      <c r="M459">
        <v>13.8724573605275</v>
      </c>
      <c r="N459">
        <v>54.667745212553498</v>
      </c>
      <c r="O459">
        <v>53.569323949832601</v>
      </c>
      <c r="P459">
        <v>-6.4749556715740494E-2</v>
      </c>
      <c r="Q459">
        <v>0</v>
      </c>
      <c r="R459">
        <v>0.98294797255525701</v>
      </c>
      <c r="S459" t="s">
        <v>7076</v>
      </c>
      <c r="T459" t="s">
        <v>13232</v>
      </c>
      <c r="U459" t="s">
        <v>13232</v>
      </c>
      <c r="V459" t="s">
        <v>13232</v>
      </c>
      <c r="W459" t="s">
        <v>13681</v>
      </c>
      <c r="X459">
        <v>6</v>
      </c>
      <c r="Y459" t="s">
        <v>20220</v>
      </c>
      <c r="Z459" t="s">
        <v>26590</v>
      </c>
      <c r="AA459">
        <v>0.51035792934759361</v>
      </c>
      <c r="AB459" t="str">
        <f>HYPERLINK("Melting_Curves/meltCurve_E9PGW7_MED22.pdf", "Melting_Curves/meltCurve_E9PGW7_MED22.pdf")</f>
        <v>Melting_Curves/meltCurve_E9PGW7_MED22.pdf</v>
      </c>
    </row>
    <row r="460" spans="1:28" x14ac:dyDescent="0.25">
      <c r="A460" t="s">
        <v>464</v>
      </c>
      <c r="B460">
        <v>0.99930955844802105</v>
      </c>
      <c r="C460">
        <v>0.84665905774735595</v>
      </c>
      <c r="D460">
        <v>0.83933303088278399</v>
      </c>
      <c r="E460">
        <v>0.60335399133297496</v>
      </c>
      <c r="F460">
        <v>0.41259921715316</v>
      </c>
      <c r="G460">
        <v>0.16749149270092001</v>
      </c>
      <c r="H460">
        <v>7.4012848041854901E-2</v>
      </c>
      <c r="I460">
        <v>5.0936531776295202E-2</v>
      </c>
      <c r="J460">
        <v>3.6796418304645702E-2</v>
      </c>
      <c r="K460">
        <v>2.5849583881690199E-2</v>
      </c>
      <c r="L460">
        <v>712.26436791495098</v>
      </c>
      <c r="M460">
        <v>13.901701931660901</v>
      </c>
      <c r="N460">
        <v>51.235767539544199</v>
      </c>
      <c r="O460">
        <v>50.210508637192703</v>
      </c>
      <c r="P460">
        <v>-6.9226537641667404E-2</v>
      </c>
      <c r="Q460">
        <v>0</v>
      </c>
      <c r="R460">
        <v>0.99172446503681999</v>
      </c>
      <c r="S460" t="s">
        <v>7077</v>
      </c>
      <c r="T460" t="s">
        <v>13232</v>
      </c>
      <c r="U460" t="s">
        <v>13232</v>
      </c>
      <c r="V460" t="s">
        <v>13232</v>
      </c>
      <c r="W460" t="s">
        <v>13682</v>
      </c>
      <c r="X460">
        <v>10</v>
      </c>
      <c r="Y460" t="s">
        <v>20221</v>
      </c>
      <c r="Z460" t="s">
        <v>26591</v>
      </c>
      <c r="AA460">
        <v>0.40040125998298293</v>
      </c>
      <c r="AB460" t="str">
        <f>HYPERLINK("Melting_Curves/meltCurve_E9PH29_PRDX3.pdf", "Melting_Curves/meltCurve_E9PH29_PRDX3.pdf")</f>
        <v>Melting_Curves/meltCurve_E9PH29_PRDX3.pdf</v>
      </c>
    </row>
    <row r="461" spans="1:28" x14ac:dyDescent="0.25">
      <c r="A461" t="s">
        <v>465</v>
      </c>
      <c r="B461">
        <v>0.99930955844802105</v>
      </c>
      <c r="C461">
        <v>1.00424517242314</v>
      </c>
      <c r="D461">
        <v>1.1851527735262499</v>
      </c>
      <c r="E461">
        <v>0.892279767329337</v>
      </c>
      <c r="F461">
        <v>0.87934131372255897</v>
      </c>
      <c r="G461">
        <v>0.84224525523744498</v>
      </c>
      <c r="H461">
        <v>0.79121590929861196</v>
      </c>
      <c r="I461">
        <v>0.85595872910029203</v>
      </c>
      <c r="J461">
        <v>0.85497500184943998</v>
      </c>
      <c r="K461">
        <v>0.66983057475295305</v>
      </c>
      <c r="L461">
        <v>1543.8714451972201</v>
      </c>
      <c r="M461">
        <v>29.953870870518401</v>
      </c>
      <c r="O461">
        <v>51.313532686941002</v>
      </c>
      <c r="P461">
        <v>-2.9125571759734299E-2</v>
      </c>
      <c r="Q461">
        <v>0.80042291078883998</v>
      </c>
      <c r="R461">
        <v>0.63714438834529197</v>
      </c>
      <c r="S461" t="s">
        <v>7078</v>
      </c>
      <c r="T461" t="s">
        <v>13232</v>
      </c>
      <c r="U461" t="s">
        <v>13232</v>
      </c>
      <c r="V461" t="s">
        <v>13232</v>
      </c>
      <c r="W461" t="s">
        <v>13683</v>
      </c>
      <c r="X461">
        <v>1</v>
      </c>
      <c r="Y461" t="s">
        <v>20222</v>
      </c>
      <c r="Z461" t="s">
        <v>26592</v>
      </c>
      <c r="AA461">
        <v>0.87847425149605551</v>
      </c>
      <c r="AB461" t="str">
        <f>HYPERLINK("Melting_Curves/meltCurve_E9PH58_TTLL4.pdf", "Melting_Curves/meltCurve_E9PH58_TTLL4.pdf")</f>
        <v>Melting_Curves/meltCurve_E9PH58_TTLL4.pdf</v>
      </c>
    </row>
    <row r="462" spans="1:28" x14ac:dyDescent="0.25">
      <c r="A462" t="s">
        <v>466</v>
      </c>
      <c r="B462">
        <v>0.99930955844802105</v>
      </c>
      <c r="C462">
        <v>1.0952696148396499</v>
      </c>
      <c r="D462">
        <v>1.0550042101583199</v>
      </c>
      <c r="E462">
        <v>1.0560600533807301</v>
      </c>
      <c r="F462">
        <v>0.93337999515341297</v>
      </c>
      <c r="G462">
        <v>0.86496527087447395</v>
      </c>
      <c r="H462">
        <v>0.94345089182216302</v>
      </c>
      <c r="I462">
        <v>1.11206022466938</v>
      </c>
      <c r="J462">
        <v>1.1610840816596599</v>
      </c>
      <c r="K462">
        <v>0.92018123269901997</v>
      </c>
      <c r="L462">
        <v>1848.7143690023299</v>
      </c>
      <c r="M462">
        <v>29.645064035340798</v>
      </c>
      <c r="O462">
        <v>62.079924167042599</v>
      </c>
      <c r="P462">
        <v>6.3799125336664701E-3</v>
      </c>
      <c r="Q462">
        <v>1.05344049928108</v>
      </c>
      <c r="R462">
        <v>4.4598132650624303E-2</v>
      </c>
      <c r="S462" t="s">
        <v>7079</v>
      </c>
      <c r="T462" t="s">
        <v>13232</v>
      </c>
      <c r="U462" t="s">
        <v>13232</v>
      </c>
      <c r="V462" t="s">
        <v>13232</v>
      </c>
      <c r="W462" t="s">
        <v>13684</v>
      </c>
      <c r="X462">
        <v>14</v>
      </c>
      <c r="Y462" t="s">
        <v>20223</v>
      </c>
      <c r="Z462" t="s">
        <v>26593</v>
      </c>
      <c r="AA462">
        <v>1.013382108352803</v>
      </c>
      <c r="AB462" t="str">
        <f>HYPERLINK("Melting_Curves/meltCurve_E9PH62_STAU2.pdf", "Melting_Curves/meltCurve_E9PH62_STAU2.pdf")</f>
        <v>Melting_Curves/meltCurve_E9PH62_STAU2.pdf</v>
      </c>
    </row>
    <row r="463" spans="1:28" x14ac:dyDescent="0.25">
      <c r="A463" t="s">
        <v>467</v>
      </c>
      <c r="B463">
        <v>0.99930955844802105</v>
      </c>
      <c r="C463">
        <v>0.99748831718579201</v>
      </c>
      <c r="D463">
        <v>1.02061511964886</v>
      </c>
      <c r="E463">
        <v>0.86131382096517395</v>
      </c>
      <c r="F463">
        <v>0.73938609474180494</v>
      </c>
      <c r="G463">
        <v>0.40356105506199802</v>
      </c>
      <c r="H463">
        <v>0.15656468656780201</v>
      </c>
      <c r="I463">
        <v>0.11793751614440499</v>
      </c>
      <c r="J463">
        <v>8.9341869086704606E-2</v>
      </c>
      <c r="K463">
        <v>7.0181647995854093E-2</v>
      </c>
      <c r="L463">
        <v>1105.57315124466</v>
      </c>
      <c r="M463">
        <v>19.9730404585803</v>
      </c>
      <c r="N463">
        <v>55.6671390317617</v>
      </c>
      <c r="O463">
        <v>54.807346282770197</v>
      </c>
      <c r="P463">
        <v>-8.6256590439314607E-2</v>
      </c>
      <c r="Q463">
        <v>5.3255809872778101E-2</v>
      </c>
      <c r="R463">
        <v>0.99748155557831197</v>
      </c>
      <c r="S463" t="s">
        <v>7080</v>
      </c>
      <c r="T463" t="s">
        <v>13232</v>
      </c>
      <c r="U463" t="s">
        <v>13232</v>
      </c>
      <c r="V463" t="s">
        <v>13232</v>
      </c>
      <c r="W463" t="s">
        <v>13685</v>
      </c>
      <c r="X463">
        <v>2</v>
      </c>
      <c r="Y463" t="s">
        <v>20224</v>
      </c>
      <c r="Z463" t="s">
        <v>26594</v>
      </c>
      <c r="AA463">
        <v>0.55028083710226661</v>
      </c>
      <c r="AB463" t="str">
        <f>HYPERLINK("Melting_Curves/meltCurve_E9PHK0_CLEC3B.pdf", "Melting_Curves/meltCurve_E9PHK0_CLEC3B.pdf")</f>
        <v>Melting_Curves/meltCurve_E9PHK0_CLEC3B.pdf</v>
      </c>
    </row>
    <row r="464" spans="1:28" x14ac:dyDescent="0.25">
      <c r="A464" t="s">
        <v>468</v>
      </c>
      <c r="B464">
        <v>0.99930955844802105</v>
      </c>
      <c r="C464">
        <v>0.96274256920558199</v>
      </c>
      <c r="D464">
        <v>0.92953506310630696</v>
      </c>
      <c r="E464">
        <v>0.67369969210341596</v>
      </c>
      <c r="F464">
        <v>0.25433567209562402</v>
      </c>
      <c r="G464">
        <v>0.199858168865122</v>
      </c>
      <c r="H464">
        <v>0.139754972085912</v>
      </c>
      <c r="I464">
        <v>0.120858291168232</v>
      </c>
      <c r="J464">
        <v>0.109876150905992</v>
      </c>
      <c r="K464">
        <v>8.4834711587994105E-2</v>
      </c>
      <c r="L464">
        <v>1624.9701973241799</v>
      </c>
      <c r="M464">
        <v>32.085223465061702</v>
      </c>
      <c r="N464">
        <v>51.084654647027101</v>
      </c>
      <c r="O464">
        <v>50.449919473166403</v>
      </c>
      <c r="P464">
        <v>-0.13983056580088801</v>
      </c>
      <c r="Q464">
        <v>0.12054151363542299</v>
      </c>
      <c r="R464">
        <v>0.99342036244014398</v>
      </c>
      <c r="S464" t="s">
        <v>7081</v>
      </c>
      <c r="T464" t="s">
        <v>13232</v>
      </c>
      <c r="U464" t="s">
        <v>13232</v>
      </c>
      <c r="V464" t="s">
        <v>13232</v>
      </c>
      <c r="W464" t="s">
        <v>13686</v>
      </c>
      <c r="X464">
        <v>16</v>
      </c>
      <c r="Y464" t="s">
        <v>20225</v>
      </c>
      <c r="Z464" t="s">
        <v>26595</v>
      </c>
      <c r="AA464">
        <v>0.43741765141008332</v>
      </c>
      <c r="AB464" t="str">
        <f>HYPERLINK("Melting_Curves/meltCurve_E9PHM2_LARS2.pdf", "Melting_Curves/meltCurve_E9PHM2_LARS2.pdf")</f>
        <v>Melting_Curves/meltCurve_E9PHM2_LARS2.pdf</v>
      </c>
    </row>
    <row r="465" spans="1:28" x14ac:dyDescent="0.25">
      <c r="A465" t="s">
        <v>469</v>
      </c>
      <c r="B465">
        <v>0.99930955844802105</v>
      </c>
      <c r="C465">
        <v>1.2045910123816601</v>
      </c>
      <c r="D465">
        <v>1.10637628680636</v>
      </c>
      <c r="E465">
        <v>1.03982566271254</v>
      </c>
      <c r="F465">
        <v>0.93770371562236099</v>
      </c>
      <c r="G465">
        <v>0.76767672753847305</v>
      </c>
      <c r="H465">
        <v>0.80304969580577701</v>
      </c>
      <c r="I465">
        <v>0.84826820741876396</v>
      </c>
      <c r="J465">
        <v>0.87832377942870998</v>
      </c>
      <c r="K465">
        <v>0.75327626895769895</v>
      </c>
      <c r="L465">
        <v>13287.994627550001</v>
      </c>
      <c r="M465">
        <v>250</v>
      </c>
      <c r="O465">
        <v>53.148576453218702</v>
      </c>
      <c r="P465">
        <v>-0.22329039186576699</v>
      </c>
      <c r="Q465">
        <v>0.81011893436872995</v>
      </c>
      <c r="R465">
        <v>0.68037316758436295</v>
      </c>
      <c r="S465" t="s">
        <v>7082</v>
      </c>
      <c r="T465" t="s">
        <v>13232</v>
      </c>
      <c r="U465" t="s">
        <v>13232</v>
      </c>
      <c r="V465" t="s">
        <v>13232</v>
      </c>
      <c r="W465" t="s">
        <v>13687</v>
      </c>
      <c r="X465">
        <v>11</v>
      </c>
      <c r="Y465" t="s">
        <v>20226</v>
      </c>
      <c r="Z465" t="s">
        <v>26596</v>
      </c>
      <c r="AA465">
        <v>0.89338036980036462</v>
      </c>
      <c r="AB465" t="str">
        <f>HYPERLINK("Melting_Curves/meltCurve_E9PHV5_SSFA2.pdf", "Melting_Curves/meltCurve_E9PHV5_SSFA2.pdf")</f>
        <v>Melting_Curves/meltCurve_E9PHV5_SSFA2.pdf</v>
      </c>
    </row>
    <row r="466" spans="1:28" x14ac:dyDescent="0.25">
      <c r="A466" t="s">
        <v>470</v>
      </c>
      <c r="B466">
        <v>0.99930955844802105</v>
      </c>
      <c r="C466">
        <v>1.08205911475646</v>
      </c>
      <c r="D466">
        <v>1.1565203790007399</v>
      </c>
      <c r="E466">
        <v>1.0352136974750401</v>
      </c>
      <c r="F466">
        <v>0.65062718922583496</v>
      </c>
      <c r="G466">
        <v>0.493159752121969</v>
      </c>
      <c r="H466">
        <v>0.33894776762454998</v>
      </c>
      <c r="I466">
        <v>0.447861837812701</v>
      </c>
      <c r="J466">
        <v>0.44026961278559101</v>
      </c>
      <c r="K466">
        <v>0.42848220020211197</v>
      </c>
      <c r="L466">
        <v>13225.699182743499</v>
      </c>
      <c r="M466">
        <v>250</v>
      </c>
      <c r="N466">
        <v>53.321371575193702</v>
      </c>
      <c r="O466">
        <v>52.899413014595503</v>
      </c>
      <c r="P466">
        <v>-0.67375014323795201</v>
      </c>
      <c r="Q466">
        <v>0.42974422557890302</v>
      </c>
      <c r="R466">
        <v>0.95173929981792404</v>
      </c>
      <c r="S466" t="s">
        <v>7083</v>
      </c>
      <c r="T466" t="s">
        <v>13232</v>
      </c>
      <c r="U466" t="s">
        <v>13232</v>
      </c>
      <c r="V466" t="s">
        <v>13232</v>
      </c>
      <c r="W466" t="s">
        <v>13688</v>
      </c>
      <c r="X466">
        <v>1</v>
      </c>
      <c r="Y466" t="s">
        <v>20227</v>
      </c>
      <c r="Z466" t="s">
        <v>26597</v>
      </c>
      <c r="AA466">
        <v>0.67506031490330443</v>
      </c>
      <c r="AB466" t="str">
        <f>HYPERLINK("Melting_Curves/meltCurve_E9PHX8_MERTK.pdf", "Melting_Curves/meltCurve_E9PHX8_MERTK.pdf")</f>
        <v>Melting_Curves/meltCurve_E9PHX8_MERTK.pdf</v>
      </c>
    </row>
    <row r="467" spans="1:28" x14ac:dyDescent="0.25">
      <c r="A467" t="s">
        <v>471</v>
      </c>
      <c r="B467">
        <v>0.99930955844802105</v>
      </c>
      <c r="C467">
        <v>0.91394678245443794</v>
      </c>
      <c r="D467">
        <v>0.86761828367086902</v>
      </c>
      <c r="E467">
        <v>0.84862164641022497</v>
      </c>
      <c r="F467">
        <v>0.72261965738743394</v>
      </c>
      <c r="G467">
        <v>0.60041832802185102</v>
      </c>
      <c r="H467">
        <v>0.53263338318561004</v>
      </c>
      <c r="I467">
        <v>0.56013382868935901</v>
      </c>
      <c r="J467">
        <v>0.53271177902544797</v>
      </c>
      <c r="K467">
        <v>0.42702041605299201</v>
      </c>
      <c r="L467">
        <v>461.82059929995501</v>
      </c>
      <c r="M467">
        <v>8.5181387408056093</v>
      </c>
      <c r="N467">
        <v>65.963865136741205</v>
      </c>
      <c r="O467">
        <v>51.475812254071201</v>
      </c>
      <c r="P467">
        <v>-2.52448475552603E-2</v>
      </c>
      <c r="Q467">
        <v>0.39031821511217402</v>
      </c>
      <c r="R467">
        <v>0.96744100882230999</v>
      </c>
      <c r="S467" t="s">
        <v>7084</v>
      </c>
      <c r="T467" t="s">
        <v>13232</v>
      </c>
      <c r="U467" t="s">
        <v>13232</v>
      </c>
      <c r="V467" t="s">
        <v>13232</v>
      </c>
      <c r="W467" t="s">
        <v>13689</v>
      </c>
      <c r="X467">
        <v>55</v>
      </c>
      <c r="Y467" t="s">
        <v>20228</v>
      </c>
      <c r="Z467" t="s">
        <v>26598</v>
      </c>
      <c r="AA467">
        <v>0.69864822804544302</v>
      </c>
      <c r="AB467" t="str">
        <f>HYPERLINK("Melting_Curves/meltCurve_E9PHY5_EPB41L2.pdf", "Melting_Curves/meltCurve_E9PHY5_EPB41L2.pdf")</f>
        <v>Melting_Curves/meltCurve_E9PHY5_EPB41L2.pdf</v>
      </c>
    </row>
    <row r="468" spans="1:28" x14ac:dyDescent="0.25">
      <c r="A468" t="s">
        <v>472</v>
      </c>
      <c r="B468">
        <v>0.99930955844802105</v>
      </c>
      <c r="C468">
        <v>0.88164975087416497</v>
      </c>
      <c r="D468">
        <v>0.836687652011606</v>
      </c>
      <c r="E468">
        <v>0.77131555327018497</v>
      </c>
      <c r="F468">
        <v>0.62921005243106398</v>
      </c>
      <c r="G468">
        <v>0.327426925558648</v>
      </c>
      <c r="H468">
        <v>0.23387393979728599</v>
      </c>
      <c r="I468">
        <v>0.16244293312987701</v>
      </c>
      <c r="J468">
        <v>0.17849564460168801</v>
      </c>
      <c r="K468">
        <v>0.126128334486656</v>
      </c>
      <c r="L468">
        <v>622.87333804729803</v>
      </c>
      <c r="M468">
        <v>11.555150400590399</v>
      </c>
      <c r="N468">
        <v>54.445682594134702</v>
      </c>
      <c r="O468">
        <v>52.365797390619797</v>
      </c>
      <c r="P468">
        <v>-5.2186615957547297E-2</v>
      </c>
      <c r="Q468">
        <v>5.4263642373539901E-2</v>
      </c>
      <c r="R468">
        <v>0.98279173288940003</v>
      </c>
      <c r="S468" t="s">
        <v>7085</v>
      </c>
      <c r="T468" t="s">
        <v>13232</v>
      </c>
      <c r="U468" t="s">
        <v>13232</v>
      </c>
      <c r="V468" t="s">
        <v>13232</v>
      </c>
      <c r="W468" t="s">
        <v>13690</v>
      </c>
      <c r="X468">
        <v>1</v>
      </c>
      <c r="Y468" t="s">
        <v>20229</v>
      </c>
      <c r="Z468" t="s">
        <v>26599</v>
      </c>
      <c r="AA468">
        <v>0.51839662959583444</v>
      </c>
      <c r="AB468" t="str">
        <f>HYPERLINK("Melting_Curves/meltCurve_E9PI10_TBRG1.pdf", "Melting_Curves/meltCurve_E9PI10_TBRG1.pdf")</f>
        <v>Melting_Curves/meltCurve_E9PI10_TBRG1.pdf</v>
      </c>
    </row>
    <row r="469" spans="1:28" x14ac:dyDescent="0.25">
      <c r="A469" t="s">
        <v>473</v>
      </c>
      <c r="B469">
        <v>0.99930955844802105</v>
      </c>
      <c r="C469">
        <v>0.80062103446653399</v>
      </c>
      <c r="D469">
        <v>0.47323288935213398</v>
      </c>
      <c r="E469">
        <v>0.40479714492510599</v>
      </c>
      <c r="F469">
        <v>0.30171255056068302</v>
      </c>
      <c r="G469">
        <v>0.20928166563763201</v>
      </c>
      <c r="H469">
        <v>0.16143873861740199</v>
      </c>
      <c r="I469">
        <v>0.18861487991786099</v>
      </c>
      <c r="J469">
        <v>0.20200805144547601</v>
      </c>
      <c r="K469">
        <v>0.13899903371460701</v>
      </c>
      <c r="L469">
        <v>737.21146966040703</v>
      </c>
      <c r="M469">
        <v>16.147576452394802</v>
      </c>
      <c r="N469">
        <v>46.939925545815498</v>
      </c>
      <c r="O469">
        <v>44.971632741484903</v>
      </c>
      <c r="P469">
        <v>-7.3732038603737601E-2</v>
      </c>
      <c r="Q469">
        <v>0.17867551130603301</v>
      </c>
      <c r="R469">
        <v>0.96992670316958995</v>
      </c>
      <c r="S469" t="s">
        <v>7086</v>
      </c>
      <c r="T469" t="s">
        <v>13232</v>
      </c>
      <c r="U469" t="s">
        <v>13232</v>
      </c>
      <c r="V469" t="s">
        <v>13232</v>
      </c>
      <c r="W469" t="s">
        <v>13691</v>
      </c>
      <c r="X469">
        <v>2</v>
      </c>
      <c r="Y469" t="s">
        <v>20230</v>
      </c>
      <c r="Z469" t="s">
        <v>26600</v>
      </c>
      <c r="AA469">
        <v>0.35459187367723921</v>
      </c>
      <c r="AB469" t="str">
        <f>HYPERLINK("Melting_Curves/meltCurve_E9PI87_HTATIP2.pdf", "Melting_Curves/meltCurve_E9PI87_HTATIP2.pdf")</f>
        <v>Melting_Curves/meltCurve_E9PI87_HTATIP2.pdf</v>
      </c>
    </row>
    <row r="470" spans="1:28" x14ac:dyDescent="0.25">
      <c r="A470" t="s">
        <v>474</v>
      </c>
      <c r="B470">
        <v>0.99930955844802105</v>
      </c>
      <c r="C470">
        <v>1.00782796750124</v>
      </c>
      <c r="D470">
        <v>0.99811481196710194</v>
      </c>
      <c r="E470">
        <v>0.94529491955209399</v>
      </c>
      <c r="F470">
        <v>0.95390886857956902</v>
      </c>
      <c r="G470">
        <v>0.69284418301426798</v>
      </c>
      <c r="H470">
        <v>0.56382210682248501</v>
      </c>
      <c r="I470">
        <v>0.53339675250319896</v>
      </c>
      <c r="J470">
        <v>0.57432624530645005</v>
      </c>
      <c r="K470">
        <v>0.44965548123113003</v>
      </c>
      <c r="L470">
        <v>1637.13089575616</v>
      </c>
      <c r="M470">
        <v>29.137525237743102</v>
      </c>
      <c r="O470">
        <v>55.923680793258903</v>
      </c>
      <c r="P470">
        <v>-6.3474853536186496E-2</v>
      </c>
      <c r="Q470">
        <v>0.51269417095755798</v>
      </c>
      <c r="R470">
        <v>0.97831612528746503</v>
      </c>
      <c r="S470" t="s">
        <v>7087</v>
      </c>
      <c r="T470" t="s">
        <v>13232</v>
      </c>
      <c r="U470" t="s">
        <v>13232</v>
      </c>
      <c r="V470" t="s">
        <v>13232</v>
      </c>
      <c r="W470" t="s">
        <v>13692</v>
      </c>
      <c r="X470">
        <v>3</v>
      </c>
      <c r="Y470" t="s">
        <v>20231</v>
      </c>
      <c r="Z470" t="s">
        <v>26601</v>
      </c>
      <c r="AA470">
        <v>0.77904416694842282</v>
      </c>
      <c r="AB470" t="str">
        <f>HYPERLINK("Melting_Curves/meltCurve_E9PIP3_GPSM3.pdf", "Melting_Curves/meltCurve_E9PIP3_GPSM3.pdf")</f>
        <v>Melting_Curves/meltCurve_E9PIP3_GPSM3.pdf</v>
      </c>
    </row>
    <row r="471" spans="1:28" x14ac:dyDescent="0.25">
      <c r="A471" t="s">
        <v>475</v>
      </c>
      <c r="B471">
        <v>0.99930955844802105</v>
      </c>
      <c r="C471">
        <v>1.08195737215028</v>
      </c>
      <c r="D471">
        <v>1.0584071664813</v>
      </c>
      <c r="E471">
        <v>1.20789259951865</v>
      </c>
      <c r="F471">
        <v>1.07393988002637</v>
      </c>
      <c r="G471">
        <v>1.0136492634343801</v>
      </c>
      <c r="H471">
        <v>0.92040648937270397</v>
      </c>
      <c r="I471">
        <v>0.98902447442862196</v>
      </c>
      <c r="J471">
        <v>0.94051295938297497</v>
      </c>
      <c r="K471">
        <v>0.65301968188578696</v>
      </c>
      <c r="L471">
        <v>3226.3764997479602</v>
      </c>
      <c r="M471">
        <v>45.4560974688779</v>
      </c>
      <c r="Q471">
        <v>0</v>
      </c>
      <c r="R471">
        <v>0.65465782527622995</v>
      </c>
      <c r="S471" t="s">
        <v>7088</v>
      </c>
      <c r="T471" t="s">
        <v>13232</v>
      </c>
      <c r="U471" t="s">
        <v>13232</v>
      </c>
      <c r="V471" t="s">
        <v>13232</v>
      </c>
      <c r="W471" t="s">
        <v>13693</v>
      </c>
      <c r="X471">
        <v>22</v>
      </c>
      <c r="Y471" t="s">
        <v>20232</v>
      </c>
      <c r="Z471" t="s">
        <v>26602</v>
      </c>
      <c r="AA471">
        <v>0.97944557572181856</v>
      </c>
      <c r="AB471" t="str">
        <f>HYPERLINK("Melting_Curves/meltCurve_E9PJ04_SF3B2.pdf", "Melting_Curves/meltCurve_E9PJ04_SF3B2.pdf")</f>
        <v>Melting_Curves/meltCurve_E9PJ04_SF3B2.pdf</v>
      </c>
    </row>
    <row r="472" spans="1:28" x14ac:dyDescent="0.25">
      <c r="A472" t="s">
        <v>476</v>
      </c>
      <c r="B472">
        <v>0.99930955844802105</v>
      </c>
      <c r="C472">
        <v>1.41993301574957</v>
      </c>
      <c r="D472">
        <v>1.3311060768473499</v>
      </c>
      <c r="E472">
        <v>1.1976054616643801</v>
      </c>
      <c r="F472">
        <v>1.16548288874132</v>
      </c>
      <c r="G472">
        <v>1.2436636264613099</v>
      </c>
      <c r="H472">
        <v>1.47658873038837</v>
      </c>
      <c r="I472">
        <v>1.52957630855649</v>
      </c>
      <c r="J472">
        <v>1.6376203663947999</v>
      </c>
      <c r="K472">
        <v>1.43095178756665</v>
      </c>
      <c r="L472">
        <v>294.80720245249898</v>
      </c>
      <c r="M472">
        <v>6.3803173144283001</v>
      </c>
      <c r="O472">
        <v>42.292225079804801</v>
      </c>
      <c r="P472">
        <v>1.89068137045552E-2</v>
      </c>
      <c r="Q472">
        <v>1.5</v>
      </c>
      <c r="R472">
        <v>0.40623548492286798</v>
      </c>
      <c r="S472" t="s">
        <v>7089</v>
      </c>
      <c r="T472" t="s">
        <v>13232</v>
      </c>
      <c r="U472" t="s">
        <v>13232</v>
      </c>
      <c r="V472" t="s">
        <v>13232</v>
      </c>
      <c r="W472" t="s">
        <v>13694</v>
      </c>
      <c r="X472">
        <v>1</v>
      </c>
      <c r="Y472" t="s">
        <v>20233</v>
      </c>
      <c r="Z472" t="s">
        <v>26603</v>
      </c>
      <c r="AA472">
        <v>1.340362008899014</v>
      </c>
      <c r="AB472" t="str">
        <f>HYPERLINK("Melting_Curves/meltCurve_E9PJ07_C10orf137.pdf", "Melting_Curves/meltCurve_E9PJ07_C10orf137.pdf")</f>
        <v>Melting_Curves/meltCurve_E9PJ07_C10orf137.pdf</v>
      </c>
    </row>
    <row r="473" spans="1:28" x14ac:dyDescent="0.25">
      <c r="A473" t="s">
        <v>477</v>
      </c>
      <c r="B473">
        <v>0.99930955844802105</v>
      </c>
      <c r="C473">
        <v>1.05945387652931</v>
      </c>
      <c r="D473">
        <v>1.0292593578493401</v>
      </c>
      <c r="E473">
        <v>0.98350757787693499</v>
      </c>
      <c r="F473">
        <v>0.87612509708396602</v>
      </c>
      <c r="G473">
        <v>0.77230138014448402</v>
      </c>
      <c r="H473">
        <v>0.79804713557736695</v>
      </c>
      <c r="I473">
        <v>0.88887448351654397</v>
      </c>
      <c r="J473">
        <v>0.905375805978756</v>
      </c>
      <c r="K473">
        <v>0.69403400060675102</v>
      </c>
      <c r="L473">
        <v>3227.7993733376702</v>
      </c>
      <c r="M473">
        <v>61.622921481413201</v>
      </c>
      <c r="O473">
        <v>52.3247718645842</v>
      </c>
      <c r="P473">
        <v>-5.5404701465927103E-2</v>
      </c>
      <c r="Q473">
        <v>0.81182084693175105</v>
      </c>
      <c r="R473">
        <v>0.72931862649190504</v>
      </c>
      <c r="S473" t="s">
        <v>7090</v>
      </c>
      <c r="T473" t="s">
        <v>13232</v>
      </c>
      <c r="U473" t="s">
        <v>13232</v>
      </c>
      <c r="V473" t="s">
        <v>13232</v>
      </c>
      <c r="W473" t="s">
        <v>13695</v>
      </c>
      <c r="X473">
        <v>17</v>
      </c>
      <c r="Y473" t="s">
        <v>20234</v>
      </c>
      <c r="Z473" t="s">
        <v>26604</v>
      </c>
      <c r="AA473">
        <v>0.88976085957379525</v>
      </c>
      <c r="AB473" t="str">
        <f>HYPERLINK("Melting_Curves/meltCurve_E9PJ24_PHRF1.pdf", "Melting_Curves/meltCurve_E9PJ24_PHRF1.pdf")</f>
        <v>Melting_Curves/meltCurve_E9PJ24_PHRF1.pdf</v>
      </c>
    </row>
    <row r="474" spans="1:28" x14ac:dyDescent="0.25">
      <c r="A474" t="s">
        <v>478</v>
      </c>
      <c r="B474">
        <v>0.99930955844802105</v>
      </c>
      <c r="C474">
        <v>1.03421146145335</v>
      </c>
      <c r="D474">
        <v>1.02734911549198</v>
      </c>
      <c r="E474">
        <v>1.00956032039788</v>
      </c>
      <c r="F474">
        <v>0.88046401164917998</v>
      </c>
      <c r="G474">
        <v>0.73518636762911005</v>
      </c>
      <c r="H474">
        <v>0.78376867814673501</v>
      </c>
      <c r="I474">
        <v>0.82787425127101499</v>
      </c>
      <c r="J474">
        <v>0.91132272538377401</v>
      </c>
      <c r="K474">
        <v>0.71218043138583598</v>
      </c>
      <c r="L474">
        <v>13232.7931149982</v>
      </c>
      <c r="M474">
        <v>250</v>
      </c>
      <c r="O474">
        <v>52.9277914359131</v>
      </c>
      <c r="P474">
        <v>-0.24317746105283899</v>
      </c>
      <c r="Q474">
        <v>0.79406648934930002</v>
      </c>
      <c r="R474">
        <v>0.80180073536529795</v>
      </c>
      <c r="S474" t="s">
        <v>7091</v>
      </c>
      <c r="T474" t="s">
        <v>13232</v>
      </c>
      <c r="U474" t="s">
        <v>13232</v>
      </c>
      <c r="V474" t="s">
        <v>13232</v>
      </c>
      <c r="W474" t="s">
        <v>13696</v>
      </c>
      <c r="X474">
        <v>20</v>
      </c>
      <c r="Y474" t="s">
        <v>20235</v>
      </c>
      <c r="Z474" t="s">
        <v>26605</v>
      </c>
      <c r="AA474">
        <v>0.88285101059382365</v>
      </c>
      <c r="AB474" t="str">
        <f>HYPERLINK("Melting_Curves/meltCurve_E9PJ81_UBXN1.pdf", "Melting_Curves/meltCurve_E9PJ81_UBXN1.pdf")</f>
        <v>Melting_Curves/meltCurve_E9PJ81_UBXN1.pdf</v>
      </c>
    </row>
    <row r="475" spans="1:28" x14ac:dyDescent="0.25">
      <c r="A475" t="s">
        <v>479</v>
      </c>
      <c r="B475">
        <v>0.99930955844802105</v>
      </c>
      <c r="C475">
        <v>1.19337946308538</v>
      </c>
      <c r="D475">
        <v>1.123687325483</v>
      </c>
      <c r="E475">
        <v>0.94214530192372603</v>
      </c>
      <c r="F475">
        <v>0.68982553308094996</v>
      </c>
      <c r="G475">
        <v>0.48231981888126801</v>
      </c>
      <c r="H475">
        <v>0.220552476530123</v>
      </c>
      <c r="I475">
        <v>0.13920328939393201</v>
      </c>
      <c r="J475">
        <v>0.12533391816331399</v>
      </c>
      <c r="K475">
        <v>9.4777031568550996E-2</v>
      </c>
      <c r="L475">
        <v>1117.04676694715</v>
      </c>
      <c r="M475">
        <v>20.052100942453102</v>
      </c>
      <c r="N475">
        <v>56.243291133483197</v>
      </c>
      <c r="O475">
        <v>55.162069167366198</v>
      </c>
      <c r="P475">
        <v>-8.29759198963399E-2</v>
      </c>
      <c r="Q475">
        <v>8.6983512403340693E-2</v>
      </c>
      <c r="R475">
        <v>0.96347060794038597</v>
      </c>
      <c r="S475" t="s">
        <v>7092</v>
      </c>
      <c r="T475" t="s">
        <v>13232</v>
      </c>
      <c r="U475" t="s">
        <v>13232</v>
      </c>
      <c r="V475" t="s">
        <v>13232</v>
      </c>
      <c r="W475" t="s">
        <v>13697</v>
      </c>
      <c r="X475">
        <v>11</v>
      </c>
      <c r="Y475" t="s">
        <v>20236</v>
      </c>
      <c r="Z475" t="s">
        <v>26606</v>
      </c>
      <c r="AA475">
        <v>0.57686591314782143</v>
      </c>
      <c r="AB475" t="str">
        <f>HYPERLINK("Melting_Curves/meltCurve_E9PJD7_CYHR1.pdf", "Melting_Curves/meltCurve_E9PJD7_CYHR1.pdf")</f>
        <v>Melting_Curves/meltCurve_E9PJD7_CYHR1.pdf</v>
      </c>
    </row>
    <row r="476" spans="1:28" x14ac:dyDescent="0.25">
      <c r="A476" t="s">
        <v>480</v>
      </c>
      <c r="B476">
        <v>0.99930955844802105</v>
      </c>
      <c r="C476">
        <v>0.79571373196624795</v>
      </c>
      <c r="D476">
        <v>0.84151810967703899</v>
      </c>
      <c r="E476">
        <v>0.70091018081211398</v>
      </c>
      <c r="F476">
        <v>0.29130717415312002</v>
      </c>
      <c r="G476">
        <v>0.19223970333939899</v>
      </c>
      <c r="H476">
        <v>9.6435365818017205E-2</v>
      </c>
      <c r="I476">
        <v>7.1551405366417506E-2</v>
      </c>
      <c r="J476">
        <v>6.2471536961848602E-2</v>
      </c>
      <c r="K476">
        <v>4.7330577639038099E-2</v>
      </c>
      <c r="L476">
        <v>740.02017352543999</v>
      </c>
      <c r="M476">
        <v>14.493782408845201</v>
      </c>
      <c r="N476">
        <v>51.194535304421002</v>
      </c>
      <c r="O476">
        <v>50.115336949511203</v>
      </c>
      <c r="P476">
        <v>-7.0937303317891803E-2</v>
      </c>
      <c r="Q476">
        <v>1.8990230436752999E-2</v>
      </c>
      <c r="R476">
        <v>0.96614102927062095</v>
      </c>
      <c r="S476" t="s">
        <v>7093</v>
      </c>
      <c r="T476" t="s">
        <v>13232</v>
      </c>
      <c r="U476" t="s">
        <v>13232</v>
      </c>
      <c r="V476" t="s">
        <v>13232</v>
      </c>
      <c r="W476" t="s">
        <v>13698</v>
      </c>
      <c r="X476">
        <v>7</v>
      </c>
      <c r="Y476" t="s">
        <v>20237</v>
      </c>
      <c r="Z476" t="s">
        <v>26607</v>
      </c>
      <c r="AA476">
        <v>0.40451012279376208</v>
      </c>
      <c r="AB476" t="str">
        <f>HYPERLINK("Melting_Curves/meltCurve_E9PJF5_BRMS1.pdf", "Melting_Curves/meltCurve_E9PJF5_BRMS1.pdf")</f>
        <v>Melting_Curves/meltCurve_E9PJF5_BRMS1.pdf</v>
      </c>
    </row>
    <row r="477" spans="1:28" x14ac:dyDescent="0.25">
      <c r="A477" t="s">
        <v>481</v>
      </c>
      <c r="B477">
        <v>0.99930955844802105</v>
      </c>
      <c r="C477">
        <v>0.77801716278949296</v>
      </c>
      <c r="D477">
        <v>0.63672495293704201</v>
      </c>
      <c r="E477">
        <v>0.87016821862393801</v>
      </c>
      <c r="F477">
        <v>0.34489978004933602</v>
      </c>
      <c r="G477">
        <v>0.171434618506664</v>
      </c>
      <c r="H477">
        <v>5.7921016055538101E-2</v>
      </c>
      <c r="I477">
        <v>2.74435069881134E-2</v>
      </c>
      <c r="J477">
        <v>2.5992544753057199E-2</v>
      </c>
      <c r="K477">
        <v>1.81277838681086E-2</v>
      </c>
      <c r="L477">
        <v>661.55511581713301</v>
      </c>
      <c r="M477">
        <v>12.8792264100524</v>
      </c>
      <c r="N477">
        <v>51.366059976012401</v>
      </c>
      <c r="O477">
        <v>50.174973951367598</v>
      </c>
      <c r="P477">
        <v>-6.4183321218542103E-2</v>
      </c>
      <c r="Q477">
        <v>0</v>
      </c>
      <c r="R477">
        <v>0.89290574760680097</v>
      </c>
      <c r="S477" t="s">
        <v>7094</v>
      </c>
      <c r="T477" t="s">
        <v>13232</v>
      </c>
      <c r="U477" t="s">
        <v>13232</v>
      </c>
      <c r="V477" t="s">
        <v>13232</v>
      </c>
      <c r="W477" t="s">
        <v>13699</v>
      </c>
      <c r="X477">
        <v>1</v>
      </c>
      <c r="Y477" t="s">
        <v>20238</v>
      </c>
      <c r="Z477" t="s">
        <v>26608</v>
      </c>
      <c r="AA477">
        <v>0.4077149344450724</v>
      </c>
      <c r="AB477" t="str">
        <f>HYPERLINK("Melting_Curves/meltCurve_E9PJK1_CD81.pdf", "Melting_Curves/meltCurve_E9PJK1_CD81.pdf")</f>
        <v>Melting_Curves/meltCurve_E9PJK1_CD81.pdf</v>
      </c>
    </row>
    <row r="478" spans="1:28" x14ac:dyDescent="0.25">
      <c r="A478" t="s">
        <v>482</v>
      </c>
      <c r="B478">
        <v>0.99930955844802105</v>
      </c>
      <c r="C478">
        <v>0.96928779238834295</v>
      </c>
      <c r="D478">
        <v>0.92840286122212701</v>
      </c>
      <c r="E478">
        <v>0.927161861644483</v>
      </c>
      <c r="F478">
        <v>0.773207640453628</v>
      </c>
      <c r="G478">
        <v>0.679335633183487</v>
      </c>
      <c r="H478">
        <v>0.57513334638164204</v>
      </c>
      <c r="I478">
        <v>0.58030043128807396</v>
      </c>
      <c r="J478">
        <v>0.51122506403639201</v>
      </c>
      <c r="K478">
        <v>0.39546788934466998</v>
      </c>
      <c r="L478">
        <v>488.87317797965397</v>
      </c>
      <c r="M478">
        <v>8.2165665630442994</v>
      </c>
      <c r="N478">
        <v>65.761996212987199</v>
      </c>
      <c r="O478">
        <v>56.286049040740401</v>
      </c>
      <c r="P478">
        <v>-2.6617627020172899E-2</v>
      </c>
      <c r="Q478">
        <v>0.27138942423643803</v>
      </c>
      <c r="R478">
        <v>0.97591060943646002</v>
      </c>
      <c r="S478" t="s">
        <v>7095</v>
      </c>
      <c r="T478" t="s">
        <v>13232</v>
      </c>
      <c r="U478" t="s">
        <v>13232</v>
      </c>
      <c r="V478" t="s">
        <v>13232</v>
      </c>
      <c r="W478" t="s">
        <v>13700</v>
      </c>
      <c r="X478">
        <v>7</v>
      </c>
      <c r="Y478" t="s">
        <v>20239</v>
      </c>
      <c r="Z478" t="s">
        <v>26609</v>
      </c>
      <c r="AA478">
        <v>0.73853905037836765</v>
      </c>
      <c r="AB478" t="str">
        <f>HYPERLINK("Melting_Curves/meltCurve_E9PK05_C2CD2L.pdf", "Melting_Curves/meltCurve_E9PK05_C2CD2L.pdf")</f>
        <v>Melting_Curves/meltCurve_E9PK05_C2CD2L.pdf</v>
      </c>
    </row>
    <row r="479" spans="1:28" x14ac:dyDescent="0.25">
      <c r="A479" t="s">
        <v>483</v>
      </c>
      <c r="B479">
        <v>0.99930955844802105</v>
      </c>
      <c r="C479">
        <v>0.953190696347884</v>
      </c>
      <c r="D479">
        <v>0.969768167375333</v>
      </c>
      <c r="E479">
        <v>0.8246252489225</v>
      </c>
      <c r="F479">
        <v>0.68249985197891305</v>
      </c>
      <c r="G479">
        <v>0.57631903805290696</v>
      </c>
      <c r="H479">
        <v>0.404253103420877</v>
      </c>
      <c r="I479">
        <v>0.31630966057679499</v>
      </c>
      <c r="J479">
        <v>0.226238868995846</v>
      </c>
      <c r="K479">
        <v>0.12302988832035699</v>
      </c>
      <c r="L479">
        <v>565.46705670716403</v>
      </c>
      <c r="M479">
        <v>9.7017609989912597</v>
      </c>
      <c r="N479">
        <v>58.284990924501798</v>
      </c>
      <c r="O479">
        <v>55.970319765752699</v>
      </c>
      <c r="P479">
        <v>-4.3358060997779897E-2</v>
      </c>
      <c r="Q479">
        <v>0</v>
      </c>
      <c r="R479">
        <v>0.99317564618351095</v>
      </c>
      <c r="S479" t="s">
        <v>7096</v>
      </c>
      <c r="T479" t="s">
        <v>13232</v>
      </c>
      <c r="U479" t="s">
        <v>13232</v>
      </c>
      <c r="V479" t="s">
        <v>13232</v>
      </c>
      <c r="W479" t="s">
        <v>13701</v>
      </c>
      <c r="X479">
        <v>6</v>
      </c>
      <c r="Y479" t="s">
        <v>20240</v>
      </c>
      <c r="Z479" t="s">
        <v>26610</v>
      </c>
      <c r="AA479">
        <v>0.61684928141204121</v>
      </c>
      <c r="AB479" t="str">
        <f>HYPERLINK("Melting_Curves/meltCurve_E9PKB7_TEAD1.pdf", "Melting_Curves/meltCurve_E9PKB7_TEAD1.pdf")</f>
        <v>Melting_Curves/meltCurve_E9PKB7_TEAD1.pdf</v>
      </c>
    </row>
    <row r="480" spans="1:28" x14ac:dyDescent="0.25">
      <c r="A480" t="s">
        <v>484</v>
      </c>
      <c r="B480">
        <v>0.99930955844802105</v>
      </c>
      <c r="C480">
        <v>0.98267771804778403</v>
      </c>
      <c r="D480">
        <v>0.96052693828678404</v>
      </c>
      <c r="E480">
        <v>0.87537033461875602</v>
      </c>
      <c r="F480">
        <v>0.76261106009198898</v>
      </c>
      <c r="G480">
        <v>0.49954020612588601</v>
      </c>
      <c r="H480">
        <v>0.41264319008557299</v>
      </c>
      <c r="I480">
        <v>0.41574020548879098</v>
      </c>
      <c r="J480">
        <v>0.36514409197655101</v>
      </c>
      <c r="K480">
        <v>0.32489223076182699</v>
      </c>
      <c r="L480">
        <v>1001.88425894223</v>
      </c>
      <c r="M480">
        <v>18.499926064278199</v>
      </c>
      <c r="N480">
        <v>57.744302019440099</v>
      </c>
      <c r="O480">
        <v>53.535232716624101</v>
      </c>
      <c r="P480">
        <v>-5.6881450668379102E-2</v>
      </c>
      <c r="Q480">
        <v>0.34161317050682899</v>
      </c>
      <c r="R480">
        <v>0.99412225820806099</v>
      </c>
      <c r="S480" t="s">
        <v>7097</v>
      </c>
      <c r="T480" t="s">
        <v>13232</v>
      </c>
      <c r="U480" t="s">
        <v>13232</v>
      </c>
      <c r="V480" t="s">
        <v>13232</v>
      </c>
      <c r="W480" t="s">
        <v>13702</v>
      </c>
      <c r="X480">
        <v>2</v>
      </c>
      <c r="Y480" t="s">
        <v>20241</v>
      </c>
      <c r="Z480" t="s">
        <v>26611</v>
      </c>
      <c r="AA480">
        <v>0.66235664059101773</v>
      </c>
      <c r="AB480" t="str">
        <f>HYPERLINK("Melting_Curves/meltCurve_E9PKB9_SNX19.pdf", "Melting_Curves/meltCurve_E9PKB9_SNX19.pdf")</f>
        <v>Melting_Curves/meltCurve_E9PKB9_SNX19.pdf</v>
      </c>
    </row>
    <row r="481" spans="1:28" x14ac:dyDescent="0.25">
      <c r="A481" t="s">
        <v>485</v>
      </c>
      <c r="B481">
        <v>0.99930955844802105</v>
      </c>
      <c r="C481">
        <v>1.16254632342466</v>
      </c>
      <c r="D481">
        <v>1.09214408047078</v>
      </c>
      <c r="E481">
        <v>0.17500827410522801</v>
      </c>
      <c r="F481">
        <v>0.805163419132636</v>
      </c>
      <c r="G481">
        <v>0.71694893337060295</v>
      </c>
      <c r="H481">
        <v>0.69118198123982499</v>
      </c>
      <c r="I481">
        <v>0.77107205696825698</v>
      </c>
      <c r="J481">
        <v>0.72322786186920995</v>
      </c>
      <c r="K481">
        <v>0.58830970982180197</v>
      </c>
      <c r="L481">
        <v>11941.425035866299</v>
      </c>
      <c r="M481">
        <v>250</v>
      </c>
      <c r="O481">
        <v>47.762657712800703</v>
      </c>
      <c r="P481">
        <v>-0.47277684655201602</v>
      </c>
      <c r="Q481">
        <v>0.63870284862714499</v>
      </c>
      <c r="R481">
        <v>0.55805150830161598</v>
      </c>
      <c r="S481" t="s">
        <v>7098</v>
      </c>
      <c r="T481" t="s">
        <v>13232</v>
      </c>
      <c r="U481" t="s">
        <v>13232</v>
      </c>
      <c r="V481" t="s">
        <v>13232</v>
      </c>
      <c r="W481" t="s">
        <v>13703</v>
      </c>
      <c r="X481">
        <v>10</v>
      </c>
      <c r="Y481" t="s">
        <v>20242</v>
      </c>
      <c r="Z481" t="s">
        <v>26612</v>
      </c>
      <c r="AA481">
        <v>0.73225731347487699</v>
      </c>
      <c r="AB481" t="str">
        <f>HYPERLINK("Melting_Curves/meltCurve_E9PKF8_EIF4G2.pdf", "Melting_Curves/meltCurve_E9PKF8_EIF4G2.pdf")</f>
        <v>Melting_Curves/meltCurve_E9PKF8_EIF4G2.pdf</v>
      </c>
    </row>
    <row r="482" spans="1:28" x14ac:dyDescent="0.25">
      <c r="A482" t="s">
        <v>486</v>
      </c>
      <c r="B482">
        <v>0.99930955844802105</v>
      </c>
      <c r="C482">
        <v>0.74349205790849004</v>
      </c>
      <c r="D482">
        <v>0.81397701565923597</v>
      </c>
      <c r="E482">
        <v>0.64286544980313798</v>
      </c>
      <c r="F482">
        <v>0.219027555438743</v>
      </c>
      <c r="G482">
        <v>0.14145526589704199</v>
      </c>
      <c r="H482">
        <v>6.6755831074754607E-2</v>
      </c>
      <c r="I482">
        <v>5.1758088425636298E-2</v>
      </c>
      <c r="J482">
        <v>4.2892563898083602E-2</v>
      </c>
      <c r="K482">
        <v>3.4276480965286897E-2</v>
      </c>
      <c r="L482">
        <v>698.19245608975098</v>
      </c>
      <c r="M482">
        <v>13.9095229282064</v>
      </c>
      <c r="N482">
        <v>50.195283252339003</v>
      </c>
      <c r="O482">
        <v>49.191923685783799</v>
      </c>
      <c r="P482">
        <v>-7.0699677299657399E-2</v>
      </c>
      <c r="Q482">
        <v>0</v>
      </c>
      <c r="R482">
        <v>0.95397581990171099</v>
      </c>
      <c r="S482" t="s">
        <v>7099</v>
      </c>
      <c r="T482" t="s">
        <v>13232</v>
      </c>
      <c r="U482" t="s">
        <v>13232</v>
      </c>
      <c r="V482" t="s">
        <v>13232</v>
      </c>
      <c r="W482" t="s">
        <v>13704</v>
      </c>
      <c r="X482">
        <v>21</v>
      </c>
      <c r="Y482" t="s">
        <v>20243</v>
      </c>
      <c r="Z482" t="s">
        <v>26613</v>
      </c>
      <c r="AA482">
        <v>0.3668175941400964</v>
      </c>
      <c r="AB482" t="str">
        <f>HYPERLINK("Melting_Curves/meltCurve_E9PKG1_PRMT1.pdf", "Melting_Curves/meltCurve_E9PKG1_PRMT1.pdf")</f>
        <v>Melting_Curves/meltCurve_E9PKG1_PRMT1.pdf</v>
      </c>
    </row>
    <row r="483" spans="1:28" x14ac:dyDescent="0.25">
      <c r="A483" t="s">
        <v>487</v>
      </c>
      <c r="B483">
        <v>0.99930955844802105</v>
      </c>
      <c r="C483">
        <v>1.1395978953193899</v>
      </c>
      <c r="D483">
        <v>1.1013244946003999</v>
      </c>
      <c r="E483">
        <v>0.87470138315533197</v>
      </c>
      <c r="F483">
        <v>0.45028390279756803</v>
      </c>
      <c r="G483">
        <v>0.29889093340516398</v>
      </c>
      <c r="H483">
        <v>0.224457542853397</v>
      </c>
      <c r="I483">
        <v>0.19361514812972999</v>
      </c>
      <c r="J483">
        <v>0.210377244262485</v>
      </c>
      <c r="K483">
        <v>0.172018057003272</v>
      </c>
      <c r="L483">
        <v>2105.5121466069199</v>
      </c>
      <c r="M483">
        <v>40.487358377694498</v>
      </c>
      <c r="N483">
        <v>52.727327787003702</v>
      </c>
      <c r="O483">
        <v>51.877806523078903</v>
      </c>
      <c r="P483">
        <v>-0.15354377349485901</v>
      </c>
      <c r="Q483">
        <v>0.21303854416937701</v>
      </c>
      <c r="R483">
        <v>0.97562165026012504</v>
      </c>
      <c r="S483" t="s">
        <v>7100</v>
      </c>
      <c r="T483" t="s">
        <v>13232</v>
      </c>
      <c r="U483" t="s">
        <v>13232</v>
      </c>
      <c r="V483" t="s">
        <v>13232</v>
      </c>
      <c r="W483" t="s">
        <v>13705</v>
      </c>
      <c r="X483">
        <v>6</v>
      </c>
      <c r="Y483" t="s">
        <v>20244</v>
      </c>
      <c r="Z483" t="s">
        <v>26614</v>
      </c>
      <c r="AA483">
        <v>0.53069246357089861</v>
      </c>
      <c r="AB483" t="str">
        <f>HYPERLINK("Melting_Curves/meltCurve_E9PKV8_TTC9C.pdf", "Melting_Curves/meltCurve_E9PKV8_TTC9C.pdf")</f>
        <v>Melting_Curves/meltCurve_E9PKV8_TTC9C.pdf</v>
      </c>
    </row>
    <row r="484" spans="1:28" x14ac:dyDescent="0.25">
      <c r="A484" t="s">
        <v>488</v>
      </c>
      <c r="B484">
        <v>0.99930955844802105</v>
      </c>
      <c r="C484">
        <v>1.03332278514826</v>
      </c>
      <c r="D484">
        <v>0.88918981440253198</v>
      </c>
      <c r="E484">
        <v>0.94834727225137805</v>
      </c>
      <c r="F484">
        <v>0.93880828605085298</v>
      </c>
      <c r="G484">
        <v>0.59094265757936604</v>
      </c>
      <c r="H484">
        <v>0.49118376328082403</v>
      </c>
      <c r="I484">
        <v>0.431117801306107</v>
      </c>
      <c r="J484">
        <v>0.41101016928358902</v>
      </c>
      <c r="K484">
        <v>0.32702410160858397</v>
      </c>
      <c r="L484">
        <v>1381.72422269853</v>
      </c>
      <c r="M484">
        <v>24.573780022645899</v>
      </c>
      <c r="N484">
        <v>59.6406149062908</v>
      </c>
      <c r="O484">
        <v>55.859210285669803</v>
      </c>
      <c r="P484">
        <v>-6.8467202433667704E-2</v>
      </c>
      <c r="Q484">
        <v>0.37747181244758499</v>
      </c>
      <c r="R484">
        <v>0.96652192208530097</v>
      </c>
      <c r="S484" t="s">
        <v>7101</v>
      </c>
      <c r="T484" t="s">
        <v>13232</v>
      </c>
      <c r="U484" t="s">
        <v>13232</v>
      </c>
      <c r="V484" t="s">
        <v>13232</v>
      </c>
      <c r="W484" t="s">
        <v>13706</v>
      </c>
      <c r="X484">
        <v>6</v>
      </c>
      <c r="Y484" t="s">
        <v>20245</v>
      </c>
      <c r="Z484" t="s">
        <v>26615</v>
      </c>
      <c r="AA484">
        <v>0.72006759436656975</v>
      </c>
      <c r="AB484" t="str">
        <f>HYPERLINK("Melting_Curves/meltCurve_E9PKZ0_RPL8.pdf", "Melting_Curves/meltCurve_E9PKZ0_RPL8.pdf")</f>
        <v>Melting_Curves/meltCurve_E9PKZ0_RPL8.pdf</v>
      </c>
    </row>
    <row r="485" spans="1:28" x14ac:dyDescent="0.25">
      <c r="A485" t="s">
        <v>489</v>
      </c>
      <c r="B485">
        <v>0.99930955844802105</v>
      </c>
      <c r="C485">
        <v>0.78927432358385996</v>
      </c>
      <c r="D485">
        <v>0.59508058685911902</v>
      </c>
      <c r="E485">
        <v>0.70801069504572101</v>
      </c>
      <c r="F485">
        <v>0.36283783758203603</v>
      </c>
      <c r="G485">
        <v>0.19080388338022</v>
      </c>
      <c r="H485">
        <v>0.130847116705401</v>
      </c>
      <c r="I485">
        <v>0.13008705084993999</v>
      </c>
      <c r="J485">
        <v>0.13365075228854001</v>
      </c>
      <c r="K485">
        <v>0.102833552263043</v>
      </c>
      <c r="L485">
        <v>481.91579592669598</v>
      </c>
      <c r="M485">
        <v>9.5916170870386797</v>
      </c>
      <c r="N485">
        <v>50.4584637513533</v>
      </c>
      <c r="O485">
        <v>48.205082891979998</v>
      </c>
      <c r="P485">
        <v>-4.8775505657103299E-2</v>
      </c>
      <c r="Q485">
        <v>2.0024601770722499E-2</v>
      </c>
      <c r="R485">
        <v>0.93349175029498399</v>
      </c>
      <c r="S485" t="s">
        <v>7102</v>
      </c>
      <c r="T485" t="s">
        <v>13232</v>
      </c>
      <c r="U485" t="s">
        <v>13232</v>
      </c>
      <c r="V485" t="s">
        <v>13232</v>
      </c>
      <c r="W485" t="s">
        <v>13707</v>
      </c>
      <c r="X485">
        <v>5</v>
      </c>
      <c r="Y485" t="s">
        <v>20246</v>
      </c>
      <c r="Z485" t="s">
        <v>26616</v>
      </c>
      <c r="AA485">
        <v>0.40051065252865797</v>
      </c>
      <c r="AB485" t="str">
        <f>HYPERLINK("Melting_Curves/meltCurve_E9PL01_SPCS2.pdf", "Melting_Curves/meltCurve_E9PL01_SPCS2.pdf")</f>
        <v>Melting_Curves/meltCurve_E9PL01_SPCS2.pdf</v>
      </c>
    </row>
    <row r="486" spans="1:28" x14ac:dyDescent="0.25">
      <c r="A486" t="s">
        <v>490</v>
      </c>
      <c r="B486">
        <v>0.99930955844802105</v>
      </c>
      <c r="C486">
        <v>1.5668214404994201</v>
      </c>
      <c r="D486">
        <v>1.60475909942146</v>
      </c>
      <c r="E486">
        <v>1.54601987176139</v>
      </c>
      <c r="F486">
        <v>1.34941326815694</v>
      </c>
      <c r="G486">
        <v>1.1227241765970499</v>
      </c>
      <c r="H486">
        <v>0.99506125958635105</v>
      </c>
      <c r="I486">
        <v>0.90237409463055196</v>
      </c>
      <c r="J486">
        <v>0.74693454613594101</v>
      </c>
      <c r="K486">
        <v>0.53716890116500504</v>
      </c>
      <c r="L486">
        <v>2279.2162291056002</v>
      </c>
      <c r="M486">
        <v>33.744781422809098</v>
      </c>
      <c r="O486">
        <v>67.306895747689694</v>
      </c>
      <c r="P486">
        <v>-7.5469131540237905E-2</v>
      </c>
      <c r="Q486">
        <v>0.39788352131818899</v>
      </c>
      <c r="R486">
        <v>8.1131658590412506E-2</v>
      </c>
      <c r="S486" t="s">
        <v>7103</v>
      </c>
      <c r="T486" t="s">
        <v>13232</v>
      </c>
      <c r="U486" t="s">
        <v>13232</v>
      </c>
      <c r="V486" t="s">
        <v>13232</v>
      </c>
      <c r="W486" t="s">
        <v>13708</v>
      </c>
      <c r="X486">
        <v>11</v>
      </c>
      <c r="Y486" t="s">
        <v>20247</v>
      </c>
      <c r="Z486" t="s">
        <v>26617</v>
      </c>
      <c r="AA486">
        <v>0.94229328916982236</v>
      </c>
      <c r="AB486" t="str">
        <f>HYPERLINK("Melting_Curves/meltCurve_E9PL57_NEDD8_MDP1.pdf", "Melting_Curves/meltCurve_E9PL57_NEDD8_MDP1.pdf")</f>
        <v>Melting_Curves/meltCurve_E9PL57_NEDD8_MDP1.pdf</v>
      </c>
    </row>
    <row r="487" spans="1:28" x14ac:dyDescent="0.25">
      <c r="A487" t="s">
        <v>491</v>
      </c>
      <c r="B487">
        <v>0.99930955844802105</v>
      </c>
      <c r="C487">
        <v>1.1526340317341901</v>
      </c>
      <c r="D487">
        <v>0.92761747303991304</v>
      </c>
      <c r="E487">
        <v>0.97696318804408999</v>
      </c>
      <c r="F487">
        <v>0.83631024582553204</v>
      </c>
      <c r="G487">
        <v>0.62213470645163405</v>
      </c>
      <c r="H487">
        <v>0.39830089463882401</v>
      </c>
      <c r="I487">
        <v>0.41341102157502801</v>
      </c>
      <c r="J487">
        <v>0.37241176623634598</v>
      </c>
      <c r="K487">
        <v>0.29580218493618998</v>
      </c>
      <c r="L487">
        <v>1166.4493564552199</v>
      </c>
      <c r="M487">
        <v>20.764665047188501</v>
      </c>
      <c r="N487">
        <v>59.141505959511598</v>
      </c>
      <c r="O487">
        <v>55.661507148298902</v>
      </c>
      <c r="P487">
        <v>-6.3088462685804703E-2</v>
      </c>
      <c r="Q487">
        <v>0.32356234833560998</v>
      </c>
      <c r="R487">
        <v>0.96200115621252902</v>
      </c>
      <c r="S487" t="s">
        <v>7104</v>
      </c>
      <c r="T487" t="s">
        <v>13232</v>
      </c>
      <c r="U487" t="s">
        <v>13232</v>
      </c>
      <c r="V487" t="s">
        <v>13232</v>
      </c>
      <c r="W487" t="s">
        <v>13709</v>
      </c>
      <c r="X487">
        <v>5</v>
      </c>
      <c r="Y487" t="s">
        <v>20248</v>
      </c>
      <c r="Z487" t="s">
        <v>26618</v>
      </c>
      <c r="AA487">
        <v>0.69648713041090915</v>
      </c>
      <c r="AB487" t="str">
        <f>HYPERLINK("Melting_Curves/meltCurve_E9PLD2_MTFR1L.pdf", "Melting_Curves/meltCurve_E9PLD2_MTFR1L.pdf")</f>
        <v>Melting_Curves/meltCurve_E9PLD2_MTFR1L.pdf</v>
      </c>
    </row>
    <row r="488" spans="1:28" x14ac:dyDescent="0.25">
      <c r="A488" t="s">
        <v>492</v>
      </c>
      <c r="B488">
        <v>0.99930955844802105</v>
      </c>
      <c r="C488">
        <v>0.96930326094812203</v>
      </c>
      <c r="D488">
        <v>0.77223180611345799</v>
      </c>
      <c r="E488">
        <v>0.592230165836372</v>
      </c>
      <c r="F488">
        <v>0.53390912493090603</v>
      </c>
      <c r="G488">
        <v>0.381928115075923</v>
      </c>
      <c r="H488">
        <v>0.38812103650750801</v>
      </c>
      <c r="I488">
        <v>0.39233341820193102</v>
      </c>
      <c r="J488">
        <v>0.38484857952256302</v>
      </c>
      <c r="K488">
        <v>0.31869025446496302</v>
      </c>
      <c r="L488">
        <v>763.09019189324499</v>
      </c>
      <c r="M488">
        <v>15.731359347128601</v>
      </c>
      <c r="N488">
        <v>52.682967043029102</v>
      </c>
      <c r="O488">
        <v>47.744029795224797</v>
      </c>
      <c r="P488">
        <v>-5.3029374747894903E-2</v>
      </c>
      <c r="Q488">
        <v>0.356286057604701</v>
      </c>
      <c r="R488">
        <v>0.98411731236029198</v>
      </c>
      <c r="S488" t="s">
        <v>7105</v>
      </c>
      <c r="T488" t="s">
        <v>13232</v>
      </c>
      <c r="U488" t="s">
        <v>13232</v>
      </c>
      <c r="V488" t="s">
        <v>13232</v>
      </c>
      <c r="W488" t="s">
        <v>13476</v>
      </c>
      <c r="X488">
        <v>2</v>
      </c>
      <c r="Z488" t="s">
        <v>26619</v>
      </c>
      <c r="AA488">
        <v>0.55359670482707313</v>
      </c>
      <c r="AB488" t="str">
        <f>HYPERLINK("Melting_Curves/meltCurve_E9PLD3_.pdf", "Melting_Curves/meltCurve_E9PLD3_.pdf")</f>
        <v>Melting_Curves/meltCurve_E9PLD3_.pdf</v>
      </c>
    </row>
    <row r="489" spans="1:28" x14ac:dyDescent="0.25">
      <c r="A489" t="s">
        <v>493</v>
      </c>
      <c r="B489">
        <v>0.99930955844802105</v>
      </c>
      <c r="C489">
        <v>1.0125189676255899</v>
      </c>
      <c r="D489">
        <v>1.0051747642686</v>
      </c>
      <c r="E489">
        <v>0.93727797568282101</v>
      </c>
      <c r="F489">
        <v>0.84133893242704605</v>
      </c>
      <c r="G489">
        <v>0.69577306349727397</v>
      </c>
      <c r="H489">
        <v>0.47612843056821902</v>
      </c>
      <c r="I489">
        <v>0.31811194091557798</v>
      </c>
      <c r="J489">
        <v>0.11461197889048599</v>
      </c>
      <c r="K489">
        <v>6.67873479992796E-2</v>
      </c>
      <c r="L489">
        <v>918.88983887952304</v>
      </c>
      <c r="M489">
        <v>15.297968788306299</v>
      </c>
      <c r="N489">
        <v>60.066133871266203</v>
      </c>
      <c r="O489">
        <v>59.067801761338501</v>
      </c>
      <c r="P489">
        <v>-6.4753549711805997E-2</v>
      </c>
      <c r="Q489">
        <v>0</v>
      </c>
      <c r="R489">
        <v>0.99241206211136301</v>
      </c>
      <c r="S489" t="s">
        <v>7106</v>
      </c>
      <c r="T489" t="s">
        <v>13232</v>
      </c>
      <c r="U489" t="s">
        <v>13232</v>
      </c>
      <c r="V489" t="s">
        <v>13232</v>
      </c>
      <c r="W489" t="s">
        <v>13710</v>
      </c>
      <c r="X489">
        <v>56</v>
      </c>
      <c r="Y489" t="s">
        <v>20249</v>
      </c>
      <c r="Z489" t="s">
        <v>26620</v>
      </c>
      <c r="AA489">
        <v>0.67572808698157349</v>
      </c>
      <c r="AB489" t="str">
        <f>HYPERLINK("Melting_Curves/meltCurve_E9PLK3_NPEPPS.pdf", "Melting_Curves/meltCurve_E9PLK3_NPEPPS.pdf")</f>
        <v>Melting_Curves/meltCurve_E9PLK3_NPEPPS.pdf</v>
      </c>
    </row>
    <row r="490" spans="1:28" x14ac:dyDescent="0.25">
      <c r="A490" t="s">
        <v>494</v>
      </c>
      <c r="B490">
        <v>0.99930955844802105</v>
      </c>
      <c r="C490">
        <v>0.90233300479409995</v>
      </c>
      <c r="D490">
        <v>0.85456943497333804</v>
      </c>
      <c r="E490">
        <v>0.75264939605607195</v>
      </c>
      <c r="F490">
        <v>0.59631104429826798</v>
      </c>
      <c r="G490">
        <v>0.379127113459092</v>
      </c>
      <c r="H490">
        <v>0.26872040242870099</v>
      </c>
      <c r="I490">
        <v>0.242221574057782</v>
      </c>
      <c r="J490">
        <v>0.22830654593085001</v>
      </c>
      <c r="K490">
        <v>0.17904642675447499</v>
      </c>
      <c r="L490">
        <v>612.73681779405103</v>
      </c>
      <c r="M490">
        <v>11.5108658936506</v>
      </c>
      <c r="N490">
        <v>54.652009219484597</v>
      </c>
      <c r="O490">
        <v>51.7006288125122</v>
      </c>
      <c r="P490">
        <v>-4.8476972459030501E-2</v>
      </c>
      <c r="Q490">
        <v>0.12931644065071901</v>
      </c>
      <c r="R490">
        <v>0.992855108946327</v>
      </c>
      <c r="S490" t="s">
        <v>7107</v>
      </c>
      <c r="T490" t="s">
        <v>13232</v>
      </c>
      <c r="U490" t="s">
        <v>13232</v>
      </c>
      <c r="V490" t="s">
        <v>13232</v>
      </c>
      <c r="W490" t="s">
        <v>13711</v>
      </c>
      <c r="X490">
        <v>8</v>
      </c>
      <c r="Y490" t="s">
        <v>20250</v>
      </c>
      <c r="Z490" t="s">
        <v>26621</v>
      </c>
      <c r="AA490">
        <v>0.53874283673160284</v>
      </c>
      <c r="AB490" t="str">
        <f>HYPERLINK("Melting_Curves/meltCurve_E9PLL6_RPL27A.pdf", "Melting_Curves/meltCurve_E9PLL6_RPL27A.pdf")</f>
        <v>Melting_Curves/meltCurve_E9PLL6_RPL27A.pdf</v>
      </c>
    </row>
    <row r="491" spans="1:28" x14ac:dyDescent="0.25">
      <c r="A491" t="s">
        <v>495</v>
      </c>
      <c r="B491">
        <v>0.99930955844802105</v>
      </c>
      <c r="C491">
        <v>1.07470994340258</v>
      </c>
      <c r="D491">
        <v>0.95315682722070305</v>
      </c>
      <c r="E491">
        <v>0.85838100000434703</v>
      </c>
      <c r="F491">
        <v>0.55556459477362397</v>
      </c>
      <c r="G491">
        <v>0.40323131322692402</v>
      </c>
      <c r="H491">
        <v>0.31174921033752001</v>
      </c>
      <c r="I491">
        <v>0.249648918817512</v>
      </c>
      <c r="J491">
        <v>0.18736438111704601</v>
      </c>
      <c r="K491">
        <v>0.132381022937374</v>
      </c>
      <c r="L491">
        <v>907.83954540327795</v>
      </c>
      <c r="M491">
        <v>16.934276060918499</v>
      </c>
      <c r="N491">
        <v>54.9510544033729</v>
      </c>
      <c r="O491">
        <v>52.878746167967499</v>
      </c>
      <c r="P491">
        <v>-6.6511500122209202E-2</v>
      </c>
      <c r="Q491">
        <v>0.169300407014912</v>
      </c>
      <c r="R491">
        <v>0.98276718642722705</v>
      </c>
      <c r="S491" t="s">
        <v>7108</v>
      </c>
      <c r="T491" t="s">
        <v>13232</v>
      </c>
      <c r="U491" t="s">
        <v>13232</v>
      </c>
      <c r="V491" t="s">
        <v>13232</v>
      </c>
      <c r="W491" t="s">
        <v>13712</v>
      </c>
      <c r="X491">
        <v>2</v>
      </c>
      <c r="Y491" t="s">
        <v>20251</v>
      </c>
      <c r="Z491" t="s">
        <v>26622</v>
      </c>
      <c r="AA491">
        <v>0.56085776049553371</v>
      </c>
      <c r="AB491" t="str">
        <f>HYPERLINK("Melting_Curves/meltCurve_E9PLX2_RNF141.pdf", "Melting_Curves/meltCurve_E9PLX2_RNF141.pdf")</f>
        <v>Melting_Curves/meltCurve_E9PLX2_RNF141.pdf</v>
      </c>
    </row>
    <row r="492" spans="1:28" x14ac:dyDescent="0.25">
      <c r="A492" t="s">
        <v>496</v>
      </c>
      <c r="B492">
        <v>0.99930955844802105</v>
      </c>
      <c r="C492">
        <v>0.82030890730399697</v>
      </c>
      <c r="D492">
        <v>0.74784992536407302</v>
      </c>
      <c r="E492">
        <v>0.64837001783512704</v>
      </c>
      <c r="F492">
        <v>0.28889655644030199</v>
      </c>
      <c r="G492">
        <v>0.15841840339735899</v>
      </c>
      <c r="H492">
        <v>6.9594968865522397E-2</v>
      </c>
      <c r="I492">
        <v>6.1898211541290701E-2</v>
      </c>
      <c r="J492">
        <v>4.4069554156788399E-2</v>
      </c>
      <c r="K492">
        <v>3.4687738126864903E-2</v>
      </c>
      <c r="L492">
        <v>657.28860867306196</v>
      </c>
      <c r="M492">
        <v>13.032795950425699</v>
      </c>
      <c r="N492">
        <v>50.433430042046098</v>
      </c>
      <c r="O492">
        <v>49.290348567798603</v>
      </c>
      <c r="P492">
        <v>-6.6113738115958803E-2</v>
      </c>
      <c r="Q492">
        <v>0</v>
      </c>
      <c r="R492">
        <v>0.97736770749551105</v>
      </c>
      <c r="S492" t="s">
        <v>7109</v>
      </c>
      <c r="T492" t="s">
        <v>13232</v>
      </c>
      <c r="U492" t="s">
        <v>13232</v>
      </c>
      <c r="V492" t="s">
        <v>13232</v>
      </c>
      <c r="W492" t="s">
        <v>13713</v>
      </c>
      <c r="X492">
        <v>75</v>
      </c>
      <c r="Y492" t="s">
        <v>20252</v>
      </c>
      <c r="Z492" t="s">
        <v>26623</v>
      </c>
      <c r="AA492">
        <v>0.37747218261917947</v>
      </c>
      <c r="AB492" t="str">
        <f>HYPERLINK("Melting_Curves/meltCurve_E9PLY5_MACF1.pdf", "Melting_Curves/meltCurve_E9PLY5_MACF1.pdf")</f>
        <v>Melting_Curves/meltCurve_E9PLY5_MACF1.pdf</v>
      </c>
    </row>
    <row r="493" spans="1:28" x14ac:dyDescent="0.25">
      <c r="A493" t="s">
        <v>497</v>
      </c>
      <c r="B493">
        <v>0.99930955844802105</v>
      </c>
      <c r="C493">
        <v>0.82954055014359995</v>
      </c>
      <c r="D493">
        <v>0.55106515897518804</v>
      </c>
      <c r="E493">
        <v>0.399987965843419</v>
      </c>
      <c r="F493">
        <v>0.28175331823425298</v>
      </c>
      <c r="G493">
        <v>0.21729452034506599</v>
      </c>
      <c r="H493">
        <v>0.16660260915595701</v>
      </c>
      <c r="I493">
        <v>0.166997247182784</v>
      </c>
      <c r="J493">
        <v>0.157672135490417</v>
      </c>
      <c r="K493">
        <v>0.130085596719411</v>
      </c>
      <c r="L493">
        <v>714.11735120531205</v>
      </c>
      <c r="M493">
        <v>15.355011979224001</v>
      </c>
      <c r="N493">
        <v>47.635098396361599</v>
      </c>
      <c r="O493">
        <v>45.739721152614202</v>
      </c>
      <c r="P493">
        <v>-7.1140942956571002E-2</v>
      </c>
      <c r="Q493">
        <v>0.15241564633278101</v>
      </c>
      <c r="R493">
        <v>0.98789720214518795</v>
      </c>
      <c r="S493" t="s">
        <v>7110</v>
      </c>
      <c r="T493" t="s">
        <v>13232</v>
      </c>
      <c r="U493" t="s">
        <v>13232</v>
      </c>
      <c r="V493" t="s">
        <v>13232</v>
      </c>
      <c r="W493" t="s">
        <v>13442</v>
      </c>
      <c r="X493">
        <v>51</v>
      </c>
      <c r="Y493" t="s">
        <v>20253</v>
      </c>
      <c r="Z493" t="s">
        <v>26624</v>
      </c>
      <c r="AA493">
        <v>0.35892342124540472</v>
      </c>
      <c r="AB493" t="str">
        <f>HYPERLINK("Melting_Curves/meltCurve_E9PM46_USP47.pdf", "Melting_Curves/meltCurve_E9PM46_USP47.pdf")</f>
        <v>Melting_Curves/meltCurve_E9PM46_USP47.pdf</v>
      </c>
    </row>
    <row r="494" spans="1:28" x14ac:dyDescent="0.25">
      <c r="A494" t="s">
        <v>498</v>
      </c>
      <c r="B494">
        <v>0.99930955844802105</v>
      </c>
      <c r="C494">
        <v>1.0444209931967099</v>
      </c>
      <c r="D494">
        <v>1.08673851396045</v>
      </c>
      <c r="E494">
        <v>1.12401041734344</v>
      </c>
      <c r="F494">
        <v>0.98915927920463498</v>
      </c>
      <c r="G494">
        <v>1.06627448674109</v>
      </c>
      <c r="H494">
        <v>1.1825855453371401</v>
      </c>
      <c r="I494">
        <v>1.3483329950955301</v>
      </c>
      <c r="J494">
        <v>1.4992179780450301</v>
      </c>
      <c r="K494">
        <v>1.0096464270466801</v>
      </c>
      <c r="L494">
        <v>2595.5299977401501</v>
      </c>
      <c r="M494">
        <v>43.895974247015403</v>
      </c>
      <c r="O494">
        <v>59.006785584781099</v>
      </c>
      <c r="P494">
        <v>5.1916080680502699E-2</v>
      </c>
      <c r="Q494">
        <v>1.27915059169153</v>
      </c>
      <c r="R494">
        <v>0.383901969554787</v>
      </c>
      <c r="S494" t="s">
        <v>7111</v>
      </c>
      <c r="T494" t="s">
        <v>13232</v>
      </c>
      <c r="U494" t="s">
        <v>13232</v>
      </c>
      <c r="V494" t="s">
        <v>13232</v>
      </c>
      <c r="W494" t="s">
        <v>13714</v>
      </c>
      <c r="X494">
        <v>7</v>
      </c>
      <c r="Y494" t="s">
        <v>20254</v>
      </c>
      <c r="Z494" t="s">
        <v>26625</v>
      </c>
      <c r="AA494">
        <v>1.100227937260416</v>
      </c>
      <c r="AB494" t="str">
        <f>HYPERLINK("Melting_Curves/meltCurve_E9PM92_C11orf58.pdf", "Melting_Curves/meltCurve_E9PM92_C11orf58.pdf")</f>
        <v>Melting_Curves/meltCurve_E9PM92_C11orf58.pdf</v>
      </c>
    </row>
    <row r="495" spans="1:28" x14ac:dyDescent="0.25">
      <c r="A495" t="s">
        <v>499</v>
      </c>
      <c r="B495">
        <v>0.99930955844802105</v>
      </c>
      <c r="C495">
        <v>1.3225886674191301</v>
      </c>
      <c r="D495">
        <v>1.3478989315246701</v>
      </c>
      <c r="E495">
        <v>1.4818093832942001</v>
      </c>
      <c r="F495">
        <v>1.19995896751716</v>
      </c>
      <c r="G495">
        <v>0.48569601421363101</v>
      </c>
      <c r="H495">
        <v>0.39468109362805998</v>
      </c>
      <c r="I495">
        <v>0.39487075300304603</v>
      </c>
      <c r="J495">
        <v>0.41047949229007002</v>
      </c>
      <c r="K495">
        <v>0.34104851065077901</v>
      </c>
      <c r="L495">
        <v>14156.8966563584</v>
      </c>
      <c r="M495">
        <v>250</v>
      </c>
      <c r="N495">
        <v>56.9629812306964</v>
      </c>
      <c r="O495">
        <v>56.623974542911</v>
      </c>
      <c r="P495">
        <v>-0.67852242021354003</v>
      </c>
      <c r="Q495">
        <v>0.38526994742714199</v>
      </c>
      <c r="R495">
        <v>0.75162972440419396</v>
      </c>
      <c r="S495" t="s">
        <v>7112</v>
      </c>
      <c r="T495" t="s">
        <v>13232</v>
      </c>
      <c r="U495" t="s">
        <v>13232</v>
      </c>
      <c r="V495" t="s">
        <v>13232</v>
      </c>
      <c r="W495" t="s">
        <v>13715</v>
      </c>
      <c r="X495">
        <v>9</v>
      </c>
      <c r="Y495" t="s">
        <v>20255</v>
      </c>
      <c r="Z495" t="s">
        <v>26626</v>
      </c>
      <c r="AA495">
        <v>0.7260469463079634</v>
      </c>
      <c r="AB495" t="str">
        <f>HYPERLINK("Melting_Curves/meltCurve_E9PMC9_C11orf30.pdf", "Melting_Curves/meltCurve_E9PMC9_C11orf30.pdf")</f>
        <v>Melting_Curves/meltCurve_E9PMC9_C11orf30.pdf</v>
      </c>
    </row>
    <row r="496" spans="1:28" x14ac:dyDescent="0.25">
      <c r="A496" t="s">
        <v>500</v>
      </c>
      <c r="B496">
        <v>0.99930955844802105</v>
      </c>
      <c r="C496">
        <v>1.4077382989438301</v>
      </c>
      <c r="D496">
        <v>1.40176996713767</v>
      </c>
      <c r="E496">
        <v>1.33013476448237</v>
      </c>
      <c r="F496">
        <v>1.38267139094074</v>
      </c>
      <c r="G496">
        <v>1.39609983874601</v>
      </c>
      <c r="H496">
        <v>1.36597132206503</v>
      </c>
      <c r="I496">
        <v>1.68814234661013</v>
      </c>
      <c r="J496">
        <v>1.63148043236258</v>
      </c>
      <c r="K496">
        <v>1.58613376549317</v>
      </c>
      <c r="L496">
        <v>559.17446609040996</v>
      </c>
      <c r="M496">
        <v>13.061876622033701</v>
      </c>
      <c r="O496">
        <v>41.8435222799271</v>
      </c>
      <c r="P496">
        <v>3.9026775437071601E-2</v>
      </c>
      <c r="Q496">
        <v>1.5</v>
      </c>
      <c r="R496">
        <v>0.55007674700519404</v>
      </c>
      <c r="S496" t="s">
        <v>7113</v>
      </c>
      <c r="T496" t="s">
        <v>13232</v>
      </c>
      <c r="U496" t="s">
        <v>13232</v>
      </c>
      <c r="V496" t="s">
        <v>13232</v>
      </c>
      <c r="W496" t="s">
        <v>13716</v>
      </c>
      <c r="X496">
        <v>1</v>
      </c>
      <c r="Y496" t="s">
        <v>20256</v>
      </c>
      <c r="Z496" t="s">
        <v>26627</v>
      </c>
      <c r="AA496">
        <v>1.4253294185069809</v>
      </c>
      <c r="AB496" t="str">
        <f>HYPERLINK("Melting_Curves/meltCurve_E9PME6_USF1.pdf", "Melting_Curves/meltCurve_E9PME6_USF1.pdf")</f>
        <v>Melting_Curves/meltCurve_E9PME6_USF1.pdf</v>
      </c>
    </row>
    <row r="497" spans="1:28" x14ac:dyDescent="0.25">
      <c r="A497" t="s">
        <v>501</v>
      </c>
      <c r="B497">
        <v>0.99930955844802105</v>
      </c>
      <c r="C497">
        <v>0.94469970755962496</v>
      </c>
      <c r="D497">
        <v>0.87590062233117705</v>
      </c>
      <c r="E497">
        <v>0.73319362756758899</v>
      </c>
      <c r="F497">
        <v>0.51032305463933103</v>
      </c>
      <c r="G497">
        <v>0.26848959648331</v>
      </c>
      <c r="H497">
        <v>0.16170440604004899</v>
      </c>
      <c r="I497">
        <v>0.14546391017531499</v>
      </c>
      <c r="J497">
        <v>0.124138035946806</v>
      </c>
      <c r="K497">
        <v>0.104587577024723</v>
      </c>
      <c r="L497">
        <v>815.91115894436996</v>
      </c>
      <c r="M497">
        <v>15.5650016855178</v>
      </c>
      <c r="N497">
        <v>53.049927441994001</v>
      </c>
      <c r="O497">
        <v>51.577208719999497</v>
      </c>
      <c r="P497">
        <v>-6.9081896994861905E-2</v>
      </c>
      <c r="Q497">
        <v>8.44228285759627E-2</v>
      </c>
      <c r="R497">
        <v>0.99736144625192102</v>
      </c>
      <c r="S497" t="s">
        <v>7114</v>
      </c>
      <c r="T497" t="s">
        <v>13232</v>
      </c>
      <c r="U497" t="s">
        <v>13232</v>
      </c>
      <c r="V497" t="s">
        <v>13232</v>
      </c>
      <c r="W497" t="s">
        <v>13717</v>
      </c>
      <c r="X497">
        <v>16</v>
      </c>
      <c r="Y497" t="s">
        <v>20257</v>
      </c>
      <c r="Z497" t="s">
        <v>26628</v>
      </c>
      <c r="AA497">
        <v>0.48253810477180442</v>
      </c>
      <c r="AB497" t="str">
        <f>HYPERLINK("Melting_Curves/meltCurve_E9PMH5_BIRC2.pdf", "Melting_Curves/meltCurve_E9PMH5_BIRC2.pdf")</f>
        <v>Melting_Curves/meltCurve_E9PMH5_BIRC2.pdf</v>
      </c>
    </row>
    <row r="498" spans="1:28" x14ac:dyDescent="0.25">
      <c r="A498" t="s">
        <v>502</v>
      </c>
      <c r="B498">
        <v>0.99930955844802105</v>
      </c>
      <c r="C498">
        <v>0.97154876427216097</v>
      </c>
      <c r="D498">
        <v>0.93782575168543902</v>
      </c>
      <c r="E498">
        <v>0.88999227703823103</v>
      </c>
      <c r="F498">
        <v>0.80091819365239902</v>
      </c>
      <c r="G498">
        <v>0.59751673426607899</v>
      </c>
      <c r="H498">
        <v>0.46453237296563799</v>
      </c>
      <c r="I498">
        <v>0.39897086509754698</v>
      </c>
      <c r="J498">
        <v>0.34774434690873202</v>
      </c>
      <c r="K498">
        <v>0.28198851856114898</v>
      </c>
      <c r="L498">
        <v>677.47974414182397</v>
      </c>
      <c r="M498">
        <v>11.830315961053699</v>
      </c>
      <c r="N498">
        <v>60.0943045376032</v>
      </c>
      <c r="O498">
        <v>55.703624930185597</v>
      </c>
      <c r="P498">
        <v>-4.1772261373077997E-2</v>
      </c>
      <c r="Q498">
        <v>0.213453169179664</v>
      </c>
      <c r="R498">
        <v>0.99710679492229704</v>
      </c>
      <c r="S498" t="s">
        <v>7115</v>
      </c>
      <c r="T498" t="s">
        <v>13232</v>
      </c>
      <c r="U498" t="s">
        <v>13232</v>
      </c>
      <c r="V498" t="s">
        <v>13232</v>
      </c>
      <c r="W498" t="s">
        <v>13718</v>
      </c>
      <c r="X498">
        <v>7</v>
      </c>
      <c r="Y498" t="s">
        <v>20258</v>
      </c>
      <c r="Z498" t="s">
        <v>26629</v>
      </c>
      <c r="AA498">
        <v>0.67853040872749359</v>
      </c>
      <c r="AB498" t="str">
        <f>HYPERLINK("Melting_Curves/meltCurve_E9PMI6_CLNS1A.pdf", "Melting_Curves/meltCurve_E9PMI6_CLNS1A.pdf")</f>
        <v>Melting_Curves/meltCurve_E9PMI6_CLNS1A.pdf</v>
      </c>
    </row>
    <row r="499" spans="1:28" x14ac:dyDescent="0.25">
      <c r="A499" t="s">
        <v>503</v>
      </c>
      <c r="B499">
        <v>0.99930955844802105</v>
      </c>
      <c r="C499">
        <v>1.20915297888247</v>
      </c>
      <c r="D499">
        <v>0.153794269871185</v>
      </c>
      <c r="E499">
        <v>0.62896217123363096</v>
      </c>
      <c r="F499">
        <v>0.224560899252397</v>
      </c>
      <c r="G499">
        <v>0.13136285417082699</v>
      </c>
      <c r="H499">
        <v>6.9071965585441306E-2</v>
      </c>
      <c r="I499">
        <v>6.2506025548996896E-2</v>
      </c>
      <c r="J499">
        <v>4.8524304753078298E-2</v>
      </c>
      <c r="K499">
        <v>3.8400542316097998E-2</v>
      </c>
      <c r="L499">
        <v>688.17602578159699</v>
      </c>
      <c r="M499">
        <v>14.475622566546599</v>
      </c>
      <c r="N499">
        <v>47.890769324736198</v>
      </c>
      <c r="O499">
        <v>46.660701531201603</v>
      </c>
      <c r="P499">
        <v>-7.3668970953684104E-2</v>
      </c>
      <c r="Q499">
        <v>5.0252654806334597E-2</v>
      </c>
      <c r="R499">
        <v>0.73407259643022504</v>
      </c>
      <c r="S499" t="s">
        <v>7116</v>
      </c>
      <c r="T499" t="s">
        <v>13232</v>
      </c>
      <c r="U499" t="s">
        <v>13232</v>
      </c>
      <c r="V499" t="s">
        <v>13232</v>
      </c>
      <c r="W499" t="s">
        <v>13719</v>
      </c>
      <c r="X499">
        <v>8</v>
      </c>
      <c r="Y499" t="s">
        <v>20259</v>
      </c>
      <c r="Z499" t="s">
        <v>26630</v>
      </c>
      <c r="AA499">
        <v>0.31582591578220748</v>
      </c>
      <c r="AB499" t="str">
        <f>HYPERLINK("Melting_Curves/meltCurve_E9PMJ2_FAM118B.pdf", "Melting_Curves/meltCurve_E9PMJ2_FAM118B.pdf")</f>
        <v>Melting_Curves/meltCurve_E9PMJ2_FAM118B.pdf</v>
      </c>
    </row>
    <row r="500" spans="1:28" x14ac:dyDescent="0.25">
      <c r="A500" t="s">
        <v>504</v>
      </c>
      <c r="B500">
        <v>0.99930955844802105</v>
      </c>
      <c r="C500">
        <v>1.0451281126832901</v>
      </c>
      <c r="D500">
        <v>1.00922840061171</v>
      </c>
      <c r="E500">
        <v>0.93452008514262797</v>
      </c>
      <c r="F500">
        <v>0.83736503703385301</v>
      </c>
      <c r="G500">
        <v>0.78140523587567401</v>
      </c>
      <c r="H500">
        <v>0.74875010879091297</v>
      </c>
      <c r="I500">
        <v>0.80890461999708496</v>
      </c>
      <c r="J500">
        <v>0.75600815595138005</v>
      </c>
      <c r="K500">
        <v>0.56982452202757505</v>
      </c>
      <c r="L500">
        <v>425.33845127897598</v>
      </c>
      <c r="M500">
        <v>6.6154728866419203</v>
      </c>
      <c r="O500">
        <v>59.180826852725197</v>
      </c>
      <c r="P500">
        <v>-1.5522841380157399E-2</v>
      </c>
      <c r="Q500">
        <v>0.44580451814420602</v>
      </c>
      <c r="R500">
        <v>0.84435472973302494</v>
      </c>
      <c r="S500" t="s">
        <v>7117</v>
      </c>
      <c r="T500" t="s">
        <v>13232</v>
      </c>
      <c r="U500" t="s">
        <v>13232</v>
      </c>
      <c r="V500" t="s">
        <v>13232</v>
      </c>
      <c r="W500" t="s">
        <v>13720</v>
      </c>
      <c r="X500">
        <v>6</v>
      </c>
      <c r="Y500" t="s">
        <v>20260</v>
      </c>
      <c r="Z500" t="s">
        <v>26631</v>
      </c>
      <c r="AA500">
        <v>0.84734337159806217</v>
      </c>
      <c r="AB500" t="str">
        <f>HYPERLINK("Melting_Curves/meltCurve_E9PMS6_LMO7.pdf", "Melting_Curves/meltCurve_E9PMS6_LMO7.pdf")</f>
        <v>Melting_Curves/meltCurve_E9PMS6_LMO7.pdf</v>
      </c>
    </row>
    <row r="501" spans="1:28" x14ac:dyDescent="0.25">
      <c r="A501" t="s">
        <v>505</v>
      </c>
      <c r="B501">
        <v>0.99930955844802105</v>
      </c>
      <c r="C501">
        <v>1.4535629190699799</v>
      </c>
      <c r="D501">
        <v>1.3607555859163301</v>
      </c>
      <c r="E501">
        <v>1.3433602825761299</v>
      </c>
      <c r="F501">
        <v>0.92103757162756195</v>
      </c>
      <c r="G501">
        <v>0.256095763929516</v>
      </c>
      <c r="H501">
        <v>0.20639404974015299</v>
      </c>
      <c r="I501">
        <v>0.19463696238722</v>
      </c>
      <c r="J501">
        <v>0.19581930694253</v>
      </c>
      <c r="K501">
        <v>0.15246738740948201</v>
      </c>
      <c r="L501">
        <v>3686.1145003656102</v>
      </c>
      <c r="M501">
        <v>67.148840830464806</v>
      </c>
      <c r="N501">
        <v>55.283352635658801</v>
      </c>
      <c r="O501">
        <v>54.8460802185216</v>
      </c>
      <c r="P501">
        <v>-0.24848991742535201</v>
      </c>
      <c r="Q501">
        <v>0.188150444417684</v>
      </c>
      <c r="R501">
        <v>0.83737003914781005</v>
      </c>
      <c r="S501" t="s">
        <v>7118</v>
      </c>
      <c r="T501" t="s">
        <v>13232</v>
      </c>
      <c r="U501" t="s">
        <v>13232</v>
      </c>
      <c r="V501" t="s">
        <v>13232</v>
      </c>
      <c r="W501" t="s">
        <v>13721</v>
      </c>
      <c r="X501">
        <v>2</v>
      </c>
      <c r="Y501" t="s">
        <v>20261</v>
      </c>
      <c r="Z501" t="s">
        <v>26632</v>
      </c>
      <c r="AA501">
        <v>0.59231245625246809</v>
      </c>
      <c r="AB501" t="str">
        <f>HYPERLINK("Melting_Curves/meltCurve_E9PND3_EBAG9.pdf", "Melting_Curves/meltCurve_E9PND3_EBAG9.pdf")</f>
        <v>Melting_Curves/meltCurve_E9PND3_EBAG9.pdf</v>
      </c>
    </row>
    <row r="502" spans="1:28" x14ac:dyDescent="0.25">
      <c r="A502" t="s">
        <v>506</v>
      </c>
      <c r="B502">
        <v>0.99930955844802105</v>
      </c>
      <c r="C502">
        <v>1.2716498016148901</v>
      </c>
      <c r="D502">
        <v>1.2412996264070799</v>
      </c>
      <c r="E502">
        <v>1.25163101463222</v>
      </c>
      <c r="F502">
        <v>1.17043768022812</v>
      </c>
      <c r="G502">
        <v>1.2714002471579</v>
      </c>
      <c r="H502">
        <v>1.29004524813641</v>
      </c>
      <c r="I502">
        <v>1.5813131396319799</v>
      </c>
      <c r="J502">
        <v>1.5237448563793901</v>
      </c>
      <c r="K502">
        <v>1.28592998661276</v>
      </c>
      <c r="L502">
        <v>276.15635974813699</v>
      </c>
      <c r="M502">
        <v>5.5287395061262901</v>
      </c>
      <c r="O502">
        <v>44.555582639746397</v>
      </c>
      <c r="P502">
        <v>1.55778789915362E-2</v>
      </c>
      <c r="Q502">
        <v>1.5</v>
      </c>
      <c r="R502">
        <v>0.49497683714666302</v>
      </c>
      <c r="S502" t="s">
        <v>7119</v>
      </c>
      <c r="T502" t="s">
        <v>13232</v>
      </c>
      <c r="U502" t="s">
        <v>13232</v>
      </c>
      <c r="V502" t="s">
        <v>13232</v>
      </c>
      <c r="W502" t="s">
        <v>13722</v>
      </c>
      <c r="X502">
        <v>1</v>
      </c>
      <c r="Y502" t="s">
        <v>20262</v>
      </c>
      <c r="Z502" t="s">
        <v>26633</v>
      </c>
      <c r="AA502">
        <v>1.2917519265188819</v>
      </c>
      <c r="AB502" t="str">
        <f>HYPERLINK("Melting_Curves/meltCurve_E9PNN2_ME3.pdf", "Melting_Curves/meltCurve_E9PNN2_ME3.pdf")</f>
        <v>Melting_Curves/meltCurve_E9PNN2_ME3.pdf</v>
      </c>
    </row>
    <row r="503" spans="1:28" x14ac:dyDescent="0.25">
      <c r="A503" t="s">
        <v>507</v>
      </c>
      <c r="B503">
        <v>0.99930955844802105</v>
      </c>
      <c r="C503">
        <v>0.82488181346760803</v>
      </c>
      <c r="D503">
        <v>0</v>
      </c>
      <c r="E503">
        <v>0.89909915478490499</v>
      </c>
      <c r="F503">
        <v>0.56866249214131803</v>
      </c>
      <c r="G503">
        <v>0.293406575070566</v>
      </c>
      <c r="H503">
        <v>0.155286021190912</v>
      </c>
      <c r="I503">
        <v>0.11802747478608799</v>
      </c>
      <c r="J503">
        <v>0.103315966918371</v>
      </c>
      <c r="K503">
        <v>8.4942929138465503E-2</v>
      </c>
      <c r="L503">
        <v>335.04234147936597</v>
      </c>
      <c r="M503">
        <v>6.7353296388002502</v>
      </c>
      <c r="N503">
        <v>49.744015589785803</v>
      </c>
      <c r="O503">
        <v>45.909957769631603</v>
      </c>
      <c r="P503">
        <v>-3.6755129271220002E-2</v>
      </c>
      <c r="Q503">
        <v>0</v>
      </c>
      <c r="R503">
        <v>0.51178313061156</v>
      </c>
      <c r="S503" t="s">
        <v>7120</v>
      </c>
      <c r="T503" t="s">
        <v>13232</v>
      </c>
      <c r="U503" t="s">
        <v>13232</v>
      </c>
      <c r="V503" t="s">
        <v>13232</v>
      </c>
      <c r="W503" t="s">
        <v>13723</v>
      </c>
      <c r="X503">
        <v>3</v>
      </c>
      <c r="Y503" t="s">
        <v>20263</v>
      </c>
      <c r="Z503" t="s">
        <v>26634</v>
      </c>
      <c r="AA503">
        <v>0.39824659056147632</v>
      </c>
      <c r="AB503" t="str">
        <f>HYPERLINK("Melting_Curves/meltCurve_E9PNW4_CD59.pdf", "Melting_Curves/meltCurve_E9PNW4_CD59.pdf")</f>
        <v>Melting_Curves/meltCurve_E9PNW4_CD59.pdf</v>
      </c>
    </row>
    <row r="504" spans="1:28" x14ac:dyDescent="0.25">
      <c r="A504" t="s">
        <v>508</v>
      </c>
      <c r="B504">
        <v>0.99930955844802105</v>
      </c>
      <c r="C504">
        <v>0.83649136206497698</v>
      </c>
      <c r="D504">
        <v>0.65670873830534204</v>
      </c>
      <c r="E504">
        <v>0.94255845340418698</v>
      </c>
      <c r="F504">
        <v>0.17771719186099799</v>
      </c>
      <c r="G504">
        <v>0.66822201694331596</v>
      </c>
      <c r="H504">
        <v>0.63886826043338596</v>
      </c>
      <c r="I504">
        <v>0.83108506363307499</v>
      </c>
      <c r="J504">
        <v>0.807791126142965</v>
      </c>
      <c r="K504">
        <v>0.45201021560758398</v>
      </c>
      <c r="L504">
        <v>1549.09893587599</v>
      </c>
      <c r="M504">
        <v>35.900444939641403</v>
      </c>
      <c r="O504">
        <v>43.016646216620401</v>
      </c>
      <c r="P504">
        <v>-7.4669271569817702E-2</v>
      </c>
      <c r="Q504">
        <v>0.64212034337659096</v>
      </c>
      <c r="R504">
        <v>0.24436441344778101</v>
      </c>
      <c r="S504" t="s">
        <v>7121</v>
      </c>
      <c r="T504" t="s">
        <v>13232</v>
      </c>
      <c r="U504" t="s">
        <v>13232</v>
      </c>
      <c r="V504" t="s">
        <v>13232</v>
      </c>
      <c r="W504" t="s">
        <v>13724</v>
      </c>
      <c r="X504">
        <v>1</v>
      </c>
      <c r="Y504" t="s">
        <v>20264</v>
      </c>
      <c r="Z504" t="s">
        <v>26635</v>
      </c>
      <c r="AA504">
        <v>0.68169831652990731</v>
      </c>
      <c r="AB504" t="str">
        <f>HYPERLINK("Melting_Curves/meltCurve_E9PPH6_EXPH5.pdf", "Melting_Curves/meltCurve_E9PPH6_EXPH5.pdf")</f>
        <v>Melting_Curves/meltCurve_E9PPH6_EXPH5.pdf</v>
      </c>
    </row>
    <row r="505" spans="1:28" x14ac:dyDescent="0.25">
      <c r="A505" t="s">
        <v>509</v>
      </c>
      <c r="B505">
        <v>0.99930955844802105</v>
      </c>
      <c r="C505">
        <v>1.0247383464672499</v>
      </c>
      <c r="D505">
        <v>0.97694086980102501</v>
      </c>
      <c r="E505">
        <v>1.10993303629989</v>
      </c>
      <c r="F505">
        <v>1.01453082461384</v>
      </c>
      <c r="G505">
        <v>1.0833560567153</v>
      </c>
      <c r="H505">
        <v>0.951068485311658</v>
      </c>
      <c r="I505">
        <v>1.2227190072651699</v>
      </c>
      <c r="J505">
        <v>1.10808318190258</v>
      </c>
      <c r="K505">
        <v>0.83884493295134599</v>
      </c>
      <c r="L505">
        <v>15000</v>
      </c>
      <c r="M505">
        <v>212.63597810828401</v>
      </c>
      <c r="Q505">
        <v>0</v>
      </c>
      <c r="R505">
        <v>0.15234241663756701</v>
      </c>
      <c r="S505" t="s">
        <v>7122</v>
      </c>
      <c r="T505" t="s">
        <v>13232</v>
      </c>
      <c r="U505" t="s">
        <v>13232</v>
      </c>
      <c r="V505" t="s">
        <v>13232</v>
      </c>
      <c r="W505" t="s">
        <v>13725</v>
      </c>
      <c r="X505">
        <v>3</v>
      </c>
      <c r="Y505" t="s">
        <v>20265</v>
      </c>
      <c r="Z505" t="s">
        <v>26636</v>
      </c>
      <c r="AA505">
        <v>0.99810503336774781</v>
      </c>
      <c r="AB505" t="str">
        <f>HYPERLINK("Melting_Curves/meltCurve_E9PPY3_RRP8.pdf", "Melting_Curves/meltCurve_E9PPY3_RRP8.pdf")</f>
        <v>Melting_Curves/meltCurve_E9PPY3_RRP8.pdf</v>
      </c>
    </row>
    <row r="506" spans="1:28" x14ac:dyDescent="0.25">
      <c r="A506" t="s">
        <v>510</v>
      </c>
      <c r="B506">
        <v>0.99930955844802105</v>
      </c>
      <c r="C506">
        <v>0.97180112498950899</v>
      </c>
      <c r="D506">
        <v>0.90615697277553497</v>
      </c>
      <c r="E506">
        <v>0.76871022724468996</v>
      </c>
      <c r="F506">
        <v>0.55573611289355396</v>
      </c>
      <c r="G506">
        <v>0.29781058834254398</v>
      </c>
      <c r="H506">
        <v>0.156446666940708</v>
      </c>
      <c r="I506">
        <v>0.12166663771266201</v>
      </c>
      <c r="J506">
        <v>0.100300673273247</v>
      </c>
      <c r="K506">
        <v>8.1858250443400005E-2</v>
      </c>
      <c r="L506">
        <v>855.27062207144002</v>
      </c>
      <c r="M506">
        <v>16.052680888477099</v>
      </c>
      <c r="N506">
        <v>53.703409385505402</v>
      </c>
      <c r="O506">
        <v>52.472747880230401</v>
      </c>
      <c r="P506">
        <v>-7.1930367612705007E-2</v>
      </c>
      <c r="Q506">
        <v>5.9573612703927997E-2</v>
      </c>
      <c r="R506">
        <v>0.99914610532666104</v>
      </c>
      <c r="S506" t="s">
        <v>7123</v>
      </c>
      <c r="T506" t="s">
        <v>13232</v>
      </c>
      <c r="U506" t="s">
        <v>13232</v>
      </c>
      <c r="V506" t="s">
        <v>13232</v>
      </c>
      <c r="W506" t="s">
        <v>13726</v>
      </c>
      <c r="X506">
        <v>3</v>
      </c>
      <c r="Y506" t="s">
        <v>20266</v>
      </c>
      <c r="Z506" t="s">
        <v>26637</v>
      </c>
      <c r="AA506">
        <v>0.49402659757228468</v>
      </c>
      <c r="AB506" t="str">
        <f>HYPERLINK("Melting_Curves/meltCurve_E9PQ38_KBTBD4.pdf", "Melting_Curves/meltCurve_E9PQ38_KBTBD4.pdf")</f>
        <v>Melting_Curves/meltCurve_E9PQ38_KBTBD4.pdf</v>
      </c>
    </row>
    <row r="507" spans="1:28" x14ac:dyDescent="0.25">
      <c r="A507" t="s">
        <v>511</v>
      </c>
      <c r="B507">
        <v>0.99930955844802105</v>
      </c>
      <c r="C507">
        <v>0.99543345921348603</v>
      </c>
      <c r="D507">
        <v>0.98201687444730401</v>
      </c>
      <c r="E507">
        <v>0.89590742172475202</v>
      </c>
      <c r="F507">
        <v>0.64485753534130197</v>
      </c>
      <c r="G507">
        <v>0.35368671772760502</v>
      </c>
      <c r="H507">
        <v>0.21103177415718999</v>
      </c>
      <c r="I507">
        <v>0.19361452459277501</v>
      </c>
      <c r="J507">
        <v>0.14980588767213099</v>
      </c>
      <c r="K507">
        <v>0.11322947944737601</v>
      </c>
      <c r="L507">
        <v>1162.8573459056099</v>
      </c>
      <c r="M507">
        <v>21.496589920731001</v>
      </c>
      <c r="N507">
        <v>54.906203296471197</v>
      </c>
      <c r="O507">
        <v>53.633361995244798</v>
      </c>
      <c r="P507">
        <v>-8.65707932026719E-2</v>
      </c>
      <c r="Q507">
        <v>0.13605474878544799</v>
      </c>
      <c r="R507">
        <v>0.998161275584176</v>
      </c>
      <c r="S507" t="s">
        <v>7124</v>
      </c>
      <c r="T507" t="s">
        <v>13232</v>
      </c>
      <c r="U507" t="s">
        <v>13232</v>
      </c>
      <c r="V507" t="s">
        <v>13232</v>
      </c>
      <c r="W507" t="s">
        <v>13727</v>
      </c>
      <c r="X507">
        <v>4</v>
      </c>
      <c r="Y507" t="s">
        <v>20267</v>
      </c>
      <c r="Z507" t="s">
        <v>26638</v>
      </c>
      <c r="AA507">
        <v>0.55237957417048456</v>
      </c>
      <c r="AB507" t="str">
        <f>HYPERLINK("Melting_Curves/meltCurve_E9PQ47_ZFPL1.pdf", "Melting_Curves/meltCurve_E9PQ47_ZFPL1.pdf")</f>
        <v>Melting_Curves/meltCurve_E9PQ47_ZFPL1.pdf</v>
      </c>
    </row>
    <row r="508" spans="1:28" x14ac:dyDescent="0.25">
      <c r="A508" t="s">
        <v>512</v>
      </c>
      <c r="B508">
        <v>0.99930955844802105</v>
      </c>
      <c r="C508">
        <v>0.95408118543836695</v>
      </c>
      <c r="D508">
        <v>0.929500254594815</v>
      </c>
      <c r="E508">
        <v>0.95762929423715304</v>
      </c>
      <c r="F508">
        <v>0.82384330822320395</v>
      </c>
      <c r="G508">
        <v>0.54213585605776704</v>
      </c>
      <c r="H508">
        <v>0.26242167023193103</v>
      </c>
      <c r="I508">
        <v>0.165386162730189</v>
      </c>
      <c r="J508">
        <v>0.149408853789462</v>
      </c>
      <c r="K508">
        <v>0.110322217144857</v>
      </c>
      <c r="L508">
        <v>1154.80048486851</v>
      </c>
      <c r="M508">
        <v>20.328001956332798</v>
      </c>
      <c r="N508">
        <v>57.390199122722898</v>
      </c>
      <c r="O508">
        <v>56.267172563813801</v>
      </c>
      <c r="P508">
        <v>-8.1911048138362197E-2</v>
      </c>
      <c r="Q508">
        <v>9.3120432440678205E-2</v>
      </c>
      <c r="R508">
        <v>0.99487106280524196</v>
      </c>
      <c r="S508" t="s">
        <v>7125</v>
      </c>
      <c r="T508" t="s">
        <v>13232</v>
      </c>
      <c r="U508" t="s">
        <v>13232</v>
      </c>
      <c r="V508" t="s">
        <v>13232</v>
      </c>
      <c r="W508" t="s">
        <v>13728</v>
      </c>
      <c r="X508">
        <v>6</v>
      </c>
      <c r="Y508" t="s">
        <v>20268</v>
      </c>
      <c r="Z508" t="s">
        <v>26639</v>
      </c>
      <c r="AA508">
        <v>0.61223167880821172</v>
      </c>
      <c r="AB508" t="str">
        <f>HYPERLINK("Melting_Curves/meltCurve_E9PQ74_GAS2.pdf", "Melting_Curves/meltCurve_E9PQ74_GAS2.pdf")</f>
        <v>Melting_Curves/meltCurve_E9PQ74_GAS2.pdf</v>
      </c>
    </row>
    <row r="509" spans="1:28" x14ac:dyDescent="0.25">
      <c r="A509" t="s">
        <v>513</v>
      </c>
      <c r="B509">
        <v>0.99930955844802105</v>
      </c>
      <c r="C509">
        <v>0.97640985003740999</v>
      </c>
      <c r="D509">
        <v>0.91167968418637801</v>
      </c>
      <c r="E509">
        <v>0.89964538155731699</v>
      </c>
      <c r="F509">
        <v>0.75233176875205299</v>
      </c>
      <c r="G509">
        <v>0.36697241247153001</v>
      </c>
      <c r="H509">
        <v>0.141785141009275</v>
      </c>
      <c r="I509">
        <v>9.92889455731574E-2</v>
      </c>
      <c r="J509">
        <v>7.7600084239798806E-2</v>
      </c>
      <c r="K509">
        <v>6.41347158752964E-2</v>
      </c>
      <c r="L509">
        <v>1208.9737623926001</v>
      </c>
      <c r="M509">
        <v>21.8839603907489</v>
      </c>
      <c r="N509">
        <v>55.517428742082103</v>
      </c>
      <c r="O509">
        <v>54.789643327814403</v>
      </c>
      <c r="P509">
        <v>-9.4768490874559103E-2</v>
      </c>
      <c r="Q509">
        <v>5.0955453791937597E-2</v>
      </c>
      <c r="R509">
        <v>0.99520707234738404</v>
      </c>
      <c r="S509" t="s">
        <v>7126</v>
      </c>
      <c r="T509" t="s">
        <v>13232</v>
      </c>
      <c r="U509" t="s">
        <v>13232</v>
      </c>
      <c r="V509" t="s">
        <v>13232</v>
      </c>
      <c r="W509" t="s">
        <v>13729</v>
      </c>
      <c r="X509">
        <v>7</v>
      </c>
      <c r="Y509" t="s">
        <v>20269</v>
      </c>
      <c r="Z509" t="s">
        <v>26640</v>
      </c>
      <c r="AA509">
        <v>0.54416017477051271</v>
      </c>
      <c r="AB509" t="str">
        <f>HYPERLINK("Melting_Curves/meltCurve_E9PQY3_ACP2.pdf", "Melting_Curves/meltCurve_E9PQY3_ACP2.pdf")</f>
        <v>Melting_Curves/meltCurve_E9PQY3_ACP2.pdf</v>
      </c>
    </row>
    <row r="510" spans="1:28" x14ac:dyDescent="0.25">
      <c r="A510" t="s">
        <v>514</v>
      </c>
      <c r="B510">
        <v>0.99930955844802105</v>
      </c>
      <c r="C510">
        <v>1.0889795534908799</v>
      </c>
      <c r="D510">
        <v>0.91110027883449196</v>
      </c>
      <c r="E510">
        <v>0.56605535221444503</v>
      </c>
      <c r="F510">
        <v>0.36190468233334</v>
      </c>
      <c r="G510">
        <v>0.25280354611408801</v>
      </c>
      <c r="H510">
        <v>0.16143853101290101</v>
      </c>
      <c r="I510">
        <v>0.11465389465215001</v>
      </c>
      <c r="J510">
        <v>0.10771426404241299</v>
      </c>
      <c r="K510">
        <v>8.1376759869066007E-2</v>
      </c>
      <c r="L510">
        <v>1032.6555235825599</v>
      </c>
      <c r="M510">
        <v>20.4381677517054</v>
      </c>
      <c r="N510">
        <v>51.180495550206501</v>
      </c>
      <c r="O510">
        <v>50.0495934592509</v>
      </c>
      <c r="P510">
        <v>-9.0349572062541905E-2</v>
      </c>
      <c r="Q510">
        <v>0.115023571817128</v>
      </c>
      <c r="R510">
        <v>0.98615419744004496</v>
      </c>
      <c r="S510" t="s">
        <v>7127</v>
      </c>
      <c r="T510" t="s">
        <v>13232</v>
      </c>
      <c r="U510" t="s">
        <v>13232</v>
      </c>
      <c r="V510" t="s">
        <v>13232</v>
      </c>
      <c r="W510" t="s">
        <v>13730</v>
      </c>
      <c r="X510">
        <v>4</v>
      </c>
      <c r="Y510" t="s">
        <v>20270</v>
      </c>
      <c r="Z510" t="s">
        <v>26641</v>
      </c>
      <c r="AA510">
        <v>0.43732713015206798</v>
      </c>
      <c r="AB510" t="str">
        <f>HYPERLINK("Melting_Curves/meltCurve_E9PR76_MAF1.pdf", "Melting_Curves/meltCurve_E9PR76_MAF1.pdf")</f>
        <v>Melting_Curves/meltCurve_E9PR76_MAF1.pdf</v>
      </c>
    </row>
    <row r="511" spans="1:28" x14ac:dyDescent="0.25">
      <c r="A511" t="s">
        <v>515</v>
      </c>
      <c r="B511">
        <v>0.99930955844802105</v>
      </c>
      <c r="C511">
        <v>0.85361607543472395</v>
      </c>
      <c r="D511">
        <v>0.629816552512381</v>
      </c>
      <c r="E511">
        <v>0.36544111238664001</v>
      </c>
      <c r="F511">
        <v>0.16374983802618301</v>
      </c>
      <c r="G511">
        <v>0.11657894648578999</v>
      </c>
      <c r="H511">
        <v>7.4134384097483602E-2</v>
      </c>
      <c r="I511">
        <v>6.3537010378325903E-2</v>
      </c>
      <c r="J511">
        <v>5.6985860978319397E-2</v>
      </c>
      <c r="K511">
        <v>4.3053541907534298E-2</v>
      </c>
      <c r="L511">
        <v>787.45095669042905</v>
      </c>
      <c r="M511">
        <v>16.5862381155709</v>
      </c>
      <c r="N511">
        <v>47.766910058008598</v>
      </c>
      <c r="O511">
        <v>46.8021583716815</v>
      </c>
      <c r="P511">
        <v>-8.4349479502786096E-2</v>
      </c>
      <c r="Q511">
        <v>4.8013911140440999E-2</v>
      </c>
      <c r="R511">
        <v>0.99666498516367796</v>
      </c>
      <c r="S511" t="s">
        <v>7128</v>
      </c>
      <c r="T511" t="s">
        <v>13232</v>
      </c>
      <c r="U511" t="s">
        <v>13232</v>
      </c>
      <c r="V511" t="s">
        <v>13232</v>
      </c>
      <c r="W511" t="s">
        <v>13731</v>
      </c>
      <c r="X511">
        <v>30</v>
      </c>
      <c r="Y511" t="s">
        <v>20271</v>
      </c>
      <c r="Z511" t="s">
        <v>26642</v>
      </c>
      <c r="AA511">
        <v>0.30570420871279458</v>
      </c>
      <c r="AB511" t="str">
        <f>HYPERLINK("Melting_Curves/meltCurve_E9PRI4_RPS6KA1.pdf", "Melting_Curves/meltCurve_E9PRI4_RPS6KA1.pdf")</f>
        <v>Melting_Curves/meltCurve_E9PRI4_RPS6KA1.pdf</v>
      </c>
    </row>
    <row r="512" spans="1:28" x14ac:dyDescent="0.25">
      <c r="A512" t="s">
        <v>516</v>
      </c>
      <c r="B512">
        <v>0.99930955844802105</v>
      </c>
      <c r="C512">
        <v>1.07952986720444</v>
      </c>
      <c r="D512">
        <v>0.99423780407683204</v>
      </c>
      <c r="E512">
        <v>0.80402199325253199</v>
      </c>
      <c r="F512">
        <v>0.560105071832525</v>
      </c>
      <c r="G512">
        <v>0.32075295188976199</v>
      </c>
      <c r="H512">
        <v>0.19044304191644301</v>
      </c>
      <c r="I512">
        <v>0.21040810572138699</v>
      </c>
      <c r="J512">
        <v>0.20298785084526599</v>
      </c>
      <c r="K512">
        <v>0.157519712530614</v>
      </c>
      <c r="L512">
        <v>1208.1651088142701</v>
      </c>
      <c r="M512">
        <v>22.923205438498901</v>
      </c>
      <c r="N512">
        <v>53.744072408495299</v>
      </c>
      <c r="O512">
        <v>52.308712899019</v>
      </c>
      <c r="P512">
        <v>-8.9945825983124603E-2</v>
      </c>
      <c r="Q512">
        <v>0.179022147454826</v>
      </c>
      <c r="R512">
        <v>0.99258866752846397</v>
      </c>
      <c r="S512" t="s">
        <v>7129</v>
      </c>
      <c r="T512" t="s">
        <v>13232</v>
      </c>
      <c r="U512" t="s">
        <v>13232</v>
      </c>
      <c r="V512" t="s">
        <v>13232</v>
      </c>
      <c r="W512" t="s">
        <v>13732</v>
      </c>
      <c r="X512">
        <v>3</v>
      </c>
      <c r="Y512" t="s">
        <v>20272</v>
      </c>
      <c r="Z512" t="s">
        <v>26643</v>
      </c>
      <c r="AA512">
        <v>0.53557085184073139</v>
      </c>
      <c r="AB512" t="str">
        <f>HYPERLINK("Melting_Curves/meltCurve_E9PS41_WDR74.pdf", "Melting_Curves/meltCurve_E9PS41_WDR74.pdf")</f>
        <v>Melting_Curves/meltCurve_E9PS41_WDR74.pdf</v>
      </c>
    </row>
    <row r="513" spans="1:28" x14ac:dyDescent="0.25">
      <c r="A513" t="s">
        <v>517</v>
      </c>
      <c r="B513">
        <v>0.99930955844802105</v>
      </c>
      <c r="C513">
        <v>0.90456172344305896</v>
      </c>
      <c r="D513">
        <v>0.70879478166253795</v>
      </c>
      <c r="E513">
        <v>0.55244462928473803</v>
      </c>
      <c r="F513">
        <v>0.36584218107178701</v>
      </c>
      <c r="G513">
        <v>0.325487912146178</v>
      </c>
      <c r="H513">
        <v>0.28489340097377103</v>
      </c>
      <c r="I513">
        <v>0.32556693029891398</v>
      </c>
      <c r="J513">
        <v>0.22808108014853501</v>
      </c>
      <c r="K513">
        <v>0.19638059681529399</v>
      </c>
      <c r="L513">
        <v>697.31090335547503</v>
      </c>
      <c r="M513">
        <v>14.477648026660599</v>
      </c>
      <c r="N513">
        <v>50.4272599942583</v>
      </c>
      <c r="O513">
        <v>47.273695515758298</v>
      </c>
      <c r="P513">
        <v>-5.8281023930540798E-2</v>
      </c>
      <c r="Q513">
        <v>0.238870951438377</v>
      </c>
      <c r="R513">
        <v>0.98293979270998599</v>
      </c>
      <c r="S513" t="s">
        <v>7130</v>
      </c>
      <c r="T513" t="s">
        <v>13232</v>
      </c>
      <c r="U513" t="s">
        <v>13232</v>
      </c>
      <c r="V513" t="s">
        <v>13232</v>
      </c>
      <c r="W513" t="s">
        <v>13733</v>
      </c>
      <c r="X513">
        <v>1</v>
      </c>
      <c r="Y513" t="s">
        <v>20273</v>
      </c>
      <c r="Z513" t="s">
        <v>26644</v>
      </c>
      <c r="AA513">
        <v>0.46684530346500641</v>
      </c>
      <c r="AB513" t="str">
        <f>HYPERLINK("Melting_Curves/meltCurve_E9PSA5_ALKBH3.pdf", "Melting_Curves/meltCurve_E9PSA5_ALKBH3.pdf")</f>
        <v>Melting_Curves/meltCurve_E9PSA5_ALKBH3.pdf</v>
      </c>
    </row>
    <row r="514" spans="1:28" x14ac:dyDescent="0.25">
      <c r="A514" t="s">
        <v>518</v>
      </c>
      <c r="B514">
        <v>0.99930955844802105</v>
      </c>
      <c r="C514">
        <v>0.86325536397007097</v>
      </c>
      <c r="D514">
        <v>0.82005179362938496</v>
      </c>
      <c r="E514">
        <v>0.61441839613934301</v>
      </c>
      <c r="F514">
        <v>0.48747668588016402</v>
      </c>
      <c r="G514">
        <v>0.39311486863032202</v>
      </c>
      <c r="H514">
        <v>0.40265789569737298</v>
      </c>
      <c r="I514">
        <v>0.44977025713294499</v>
      </c>
      <c r="J514">
        <v>0.36610469213834501</v>
      </c>
      <c r="K514">
        <v>0.26393489021696598</v>
      </c>
      <c r="L514">
        <v>649.61061534877399</v>
      </c>
      <c r="M514">
        <v>13.337381995783501</v>
      </c>
      <c r="N514">
        <v>53.189445473542101</v>
      </c>
      <c r="O514">
        <v>47.650138268474201</v>
      </c>
      <c r="P514">
        <v>-4.6362780396104697E-2</v>
      </c>
      <c r="Q514">
        <v>0.33754923290955002</v>
      </c>
      <c r="R514">
        <v>0.96346559000368404</v>
      </c>
      <c r="S514" t="s">
        <v>7131</v>
      </c>
      <c r="T514" t="s">
        <v>13232</v>
      </c>
      <c r="U514" t="s">
        <v>13232</v>
      </c>
      <c r="V514" t="s">
        <v>13232</v>
      </c>
      <c r="W514" t="s">
        <v>13734</v>
      </c>
      <c r="X514">
        <v>1</v>
      </c>
      <c r="Y514" t="s">
        <v>20274</v>
      </c>
      <c r="Z514" t="s">
        <v>26645</v>
      </c>
      <c r="AA514">
        <v>0.5503720245846816</v>
      </c>
      <c r="AB514" t="str">
        <f>HYPERLINK("Melting_Curves/meltCurve_E9PSF2_STIL.pdf", "Melting_Curves/meltCurve_E9PSF2_STIL.pdf")</f>
        <v>Melting_Curves/meltCurve_E9PSF2_STIL.pdf</v>
      </c>
    </row>
    <row r="515" spans="1:28" x14ac:dyDescent="0.25">
      <c r="A515" t="s">
        <v>519</v>
      </c>
      <c r="B515">
        <v>0.99930955844802105</v>
      </c>
      <c r="C515">
        <v>0.97550958706809798</v>
      </c>
      <c r="D515">
        <v>0.65164538943123695</v>
      </c>
      <c r="E515">
        <v>0.41683024513008099</v>
      </c>
      <c r="F515">
        <v>0.30934160816776102</v>
      </c>
      <c r="G515">
        <v>0.24603382581849401</v>
      </c>
      <c r="H515">
        <v>0.22052831552219199</v>
      </c>
      <c r="I515">
        <v>0.21911188163585599</v>
      </c>
      <c r="J515">
        <v>0.22208453278146301</v>
      </c>
      <c r="K515">
        <v>0.18831418760410601</v>
      </c>
      <c r="L515">
        <v>983.56811507478596</v>
      </c>
      <c r="M515">
        <v>20.881043000220899</v>
      </c>
      <c r="N515">
        <v>48.425984908113001</v>
      </c>
      <c r="O515">
        <v>46.6777690865271</v>
      </c>
      <c r="P515">
        <v>-8.7534080878798506E-2</v>
      </c>
      <c r="Q515">
        <v>0.217321956693136</v>
      </c>
      <c r="R515">
        <v>0.98981473244954798</v>
      </c>
      <c r="S515" t="s">
        <v>7132</v>
      </c>
      <c r="T515" t="s">
        <v>13232</v>
      </c>
      <c r="U515" t="s">
        <v>13232</v>
      </c>
      <c r="V515" t="s">
        <v>13232</v>
      </c>
      <c r="W515" t="s">
        <v>13735</v>
      </c>
      <c r="X515">
        <v>15</v>
      </c>
      <c r="Y515" t="s">
        <v>20275</v>
      </c>
      <c r="Z515" t="s">
        <v>26646</v>
      </c>
      <c r="AA515">
        <v>0.4130214853249819</v>
      </c>
      <c r="AB515" t="str">
        <f>HYPERLINK("Melting_Curves/meltCurve_F2Z2E1_FAM120B.pdf", "Melting_Curves/meltCurve_F2Z2E1_FAM120B.pdf")</f>
        <v>Melting_Curves/meltCurve_F2Z2E1_FAM120B.pdf</v>
      </c>
    </row>
    <row r="516" spans="1:28" x14ac:dyDescent="0.25">
      <c r="A516" t="s">
        <v>520</v>
      </c>
      <c r="B516">
        <v>0.99930955844802105</v>
      </c>
      <c r="C516">
        <v>0.78483606736551204</v>
      </c>
      <c r="D516">
        <v>0.80476749878115506</v>
      </c>
      <c r="E516">
        <v>0.77727214420646895</v>
      </c>
      <c r="F516">
        <v>0.84321091482286603</v>
      </c>
      <c r="G516">
        <v>0.71788693956833005</v>
      </c>
      <c r="H516">
        <v>0.15414534281829601</v>
      </c>
      <c r="I516">
        <v>2.85221190331558E-2</v>
      </c>
      <c r="J516">
        <v>7.7279249160659303E-3</v>
      </c>
      <c r="K516">
        <v>1.06018530307267E-2</v>
      </c>
      <c r="L516">
        <v>1818.1875361842001</v>
      </c>
      <c r="M516">
        <v>31.243991743712598</v>
      </c>
      <c r="N516">
        <v>58.193189037813703</v>
      </c>
      <c r="O516">
        <v>57.956354438454497</v>
      </c>
      <c r="P516">
        <v>-0.134774543857512</v>
      </c>
      <c r="Q516">
        <v>0</v>
      </c>
      <c r="R516">
        <v>0.89935893107013898</v>
      </c>
      <c r="S516" t="s">
        <v>7133</v>
      </c>
      <c r="T516" t="s">
        <v>13232</v>
      </c>
      <c r="U516" t="s">
        <v>13232</v>
      </c>
      <c r="V516" t="s">
        <v>13232</v>
      </c>
      <c r="W516" t="s">
        <v>13736</v>
      </c>
      <c r="X516">
        <v>3</v>
      </c>
      <c r="Y516" t="s">
        <v>20276</v>
      </c>
      <c r="Z516" t="s">
        <v>26647</v>
      </c>
      <c r="AA516">
        <v>0.61257124976807098</v>
      </c>
      <c r="AB516" t="str">
        <f>HYPERLINK("Melting_Curves/meltCurve_F2Z2E2_IQGAP3.pdf", "Melting_Curves/meltCurve_F2Z2E2_IQGAP3.pdf")</f>
        <v>Melting_Curves/meltCurve_F2Z2E2_IQGAP3.pdf</v>
      </c>
    </row>
    <row r="517" spans="1:28" x14ac:dyDescent="0.25">
      <c r="A517" t="s">
        <v>521</v>
      </c>
      <c r="B517">
        <v>0.99930955844802105</v>
      </c>
      <c r="C517">
        <v>0.90556392617298298</v>
      </c>
      <c r="D517">
        <v>0.90687268389282905</v>
      </c>
      <c r="E517">
        <v>0.83060416872530696</v>
      </c>
      <c r="F517">
        <v>0.66194767565791102</v>
      </c>
      <c r="G517">
        <v>0.19649845884188499</v>
      </c>
      <c r="H517">
        <v>8.5408826187347395E-2</v>
      </c>
      <c r="I517">
        <v>6.0054073295965502E-2</v>
      </c>
      <c r="J517">
        <v>4.3585754026185197E-2</v>
      </c>
      <c r="K517">
        <v>3.5636272079621001E-2</v>
      </c>
      <c r="L517">
        <v>1249.1203524788</v>
      </c>
      <c r="M517">
        <v>23.173750290694699</v>
      </c>
      <c r="N517">
        <v>54.026902529958399</v>
      </c>
      <c r="O517">
        <v>53.505807225948203</v>
      </c>
      <c r="P517">
        <v>-0.10546306736151299</v>
      </c>
      <c r="Q517">
        <v>2.6004194317998601E-2</v>
      </c>
      <c r="R517">
        <v>0.98724860796066805</v>
      </c>
      <c r="S517" t="s">
        <v>7134</v>
      </c>
      <c r="T517" t="s">
        <v>13232</v>
      </c>
      <c r="U517" t="s">
        <v>13232</v>
      </c>
      <c r="V517" t="s">
        <v>13232</v>
      </c>
      <c r="W517" t="s">
        <v>13737</v>
      </c>
      <c r="X517">
        <v>6</v>
      </c>
      <c r="Y517" t="s">
        <v>20277</v>
      </c>
      <c r="Z517" t="s">
        <v>26648</v>
      </c>
      <c r="AA517">
        <v>0.48769306178319027</v>
      </c>
      <c r="AB517" t="str">
        <f>HYPERLINK("Melting_Curves/meltCurve_F2Z2Q4_TRMT11.pdf", "Melting_Curves/meltCurve_F2Z2Q4_TRMT11.pdf")</f>
        <v>Melting_Curves/meltCurve_F2Z2Q4_TRMT11.pdf</v>
      </c>
    </row>
    <row r="518" spans="1:28" x14ac:dyDescent="0.25">
      <c r="A518" t="s">
        <v>522</v>
      </c>
      <c r="B518">
        <v>0.99930955844802105</v>
      </c>
      <c r="C518">
        <v>1.1528966722185601</v>
      </c>
      <c r="D518">
        <v>0.73274588259791795</v>
      </c>
      <c r="E518">
        <v>0.82008363270180196</v>
      </c>
      <c r="F518">
        <v>0.31614017736927102</v>
      </c>
      <c r="G518">
        <v>0.16133351392751599</v>
      </c>
      <c r="H518">
        <v>8.7104631458102502E-2</v>
      </c>
      <c r="I518">
        <v>7.8712897972350399E-2</v>
      </c>
      <c r="J518">
        <v>6.8225747847390203E-2</v>
      </c>
      <c r="K518">
        <v>5.0386207536120102E-2</v>
      </c>
      <c r="L518">
        <v>1293.4113853992401</v>
      </c>
      <c r="M518">
        <v>25.046432512716699</v>
      </c>
      <c r="N518">
        <v>51.914515748726402</v>
      </c>
      <c r="O518">
        <v>51.314726810771397</v>
      </c>
      <c r="P518">
        <v>-0.114471115258121</v>
      </c>
      <c r="Q518">
        <v>6.1906255847708098E-2</v>
      </c>
      <c r="R518">
        <v>0.94503111816299301</v>
      </c>
      <c r="S518" t="s">
        <v>7135</v>
      </c>
      <c r="T518" t="s">
        <v>13232</v>
      </c>
      <c r="U518" t="s">
        <v>13232</v>
      </c>
      <c r="V518" t="s">
        <v>13232</v>
      </c>
      <c r="W518" t="s">
        <v>13738</v>
      </c>
      <c r="X518">
        <v>15</v>
      </c>
      <c r="Y518" t="s">
        <v>20278</v>
      </c>
      <c r="Z518" t="s">
        <v>26649</v>
      </c>
      <c r="AA518">
        <v>0.43440586984343582</v>
      </c>
      <c r="AB518" t="str">
        <f>HYPERLINK("Melting_Curves/meltCurve_F2Z2V0_CPNE1.pdf", "Melting_Curves/meltCurve_F2Z2V0_CPNE1.pdf")</f>
        <v>Melting_Curves/meltCurve_F2Z2V0_CPNE1.pdf</v>
      </c>
    </row>
    <row r="519" spans="1:28" x14ac:dyDescent="0.25">
      <c r="A519" t="s">
        <v>523</v>
      </c>
      <c r="B519">
        <v>0.99930955844802105</v>
      </c>
      <c r="C519">
        <v>0.90743366348271204</v>
      </c>
      <c r="D519">
        <v>0.89237004076883997</v>
      </c>
      <c r="E519">
        <v>0.80144319380911599</v>
      </c>
      <c r="F519">
        <v>0.78357306832415397</v>
      </c>
      <c r="G519">
        <v>0.51319912167218296</v>
      </c>
      <c r="H519">
        <v>0.18647483428817699</v>
      </c>
      <c r="I519">
        <v>0.11115506089730499</v>
      </c>
      <c r="J519">
        <v>8.9432074566971706E-2</v>
      </c>
      <c r="K519">
        <v>6.9403490552739797E-2</v>
      </c>
      <c r="L519">
        <v>841.24127865354501</v>
      </c>
      <c r="M519">
        <v>14.913914293283</v>
      </c>
      <c r="N519">
        <v>56.406458161722803</v>
      </c>
      <c r="O519">
        <v>55.421471277732898</v>
      </c>
      <c r="P519">
        <v>-6.7281935335530202E-2</v>
      </c>
      <c r="Q519">
        <v>0</v>
      </c>
      <c r="R519">
        <v>0.97842226551826295</v>
      </c>
      <c r="S519" t="s">
        <v>7136</v>
      </c>
      <c r="T519" t="s">
        <v>13232</v>
      </c>
      <c r="U519" t="s">
        <v>13232</v>
      </c>
      <c r="V519" t="s">
        <v>13232</v>
      </c>
      <c r="W519" t="s">
        <v>13739</v>
      </c>
      <c r="X519">
        <v>10</v>
      </c>
      <c r="Y519" t="s">
        <v>20279</v>
      </c>
      <c r="Z519" t="s">
        <v>26650</v>
      </c>
      <c r="AA519">
        <v>0.56396623740018703</v>
      </c>
      <c r="AB519" t="str">
        <f>HYPERLINK("Melting_Curves/meltCurve_F2Z2V1_FGGY.pdf", "Melting_Curves/meltCurve_F2Z2V1_FGGY.pdf")</f>
        <v>Melting_Curves/meltCurve_F2Z2V1_FGGY.pdf</v>
      </c>
    </row>
    <row r="520" spans="1:28" x14ac:dyDescent="0.25">
      <c r="A520" t="s">
        <v>524</v>
      </c>
      <c r="B520">
        <v>0.99930955844802105</v>
      </c>
      <c r="C520">
        <v>1.06027156422251</v>
      </c>
      <c r="D520">
        <v>1.05340156206799</v>
      </c>
      <c r="E520">
        <v>1.00547754732605</v>
      </c>
      <c r="F520">
        <v>0.71108199769914304</v>
      </c>
      <c r="G520">
        <v>0.25553856974327599</v>
      </c>
      <c r="H520">
        <v>0.17599198043661701</v>
      </c>
      <c r="I520">
        <v>0.148401747603917</v>
      </c>
      <c r="J520">
        <v>0.134944119134595</v>
      </c>
      <c r="K520">
        <v>0.106028028599397</v>
      </c>
      <c r="L520">
        <v>2053.1062761777298</v>
      </c>
      <c r="M520">
        <v>37.975178430590198</v>
      </c>
      <c r="N520">
        <v>54.532498028017898</v>
      </c>
      <c r="O520">
        <v>53.9151581590856</v>
      </c>
      <c r="P520">
        <v>-0.151597518835284</v>
      </c>
      <c r="Q520">
        <v>0.13908150352378101</v>
      </c>
      <c r="R520">
        <v>0.993771451684481</v>
      </c>
      <c r="S520" t="s">
        <v>7137</v>
      </c>
      <c r="T520" t="s">
        <v>13232</v>
      </c>
      <c r="U520" t="s">
        <v>13232</v>
      </c>
      <c r="V520" t="s">
        <v>13232</v>
      </c>
      <c r="W520" t="s">
        <v>13740</v>
      </c>
      <c r="X520">
        <v>25</v>
      </c>
      <c r="Y520" t="s">
        <v>20280</v>
      </c>
      <c r="Z520" t="s">
        <v>26651</v>
      </c>
      <c r="AA520">
        <v>0.54625351140987</v>
      </c>
      <c r="AB520" t="str">
        <f>HYPERLINK("Melting_Curves/meltCurve_F2Z2X4_XPO4.pdf", "Melting_Curves/meltCurve_F2Z2X4_XPO4.pdf")</f>
        <v>Melting_Curves/meltCurve_F2Z2X4_XPO4.pdf</v>
      </c>
    </row>
    <row r="521" spans="1:28" x14ac:dyDescent="0.25">
      <c r="A521" t="s">
        <v>525</v>
      </c>
      <c r="B521">
        <v>0.99930955844802105</v>
      </c>
      <c r="C521">
        <v>0.95032947245114197</v>
      </c>
      <c r="D521">
        <v>0.94553647132486396</v>
      </c>
      <c r="E521">
        <v>0.73029626504352096</v>
      </c>
      <c r="F521">
        <v>0.20670532793169699</v>
      </c>
      <c r="G521">
        <v>0.100184181981022</v>
      </c>
      <c r="H521">
        <v>5.0777976409729801E-2</v>
      </c>
      <c r="I521">
        <v>4.84756503706519E-2</v>
      </c>
      <c r="J521">
        <v>3.3164276796720599E-2</v>
      </c>
      <c r="K521">
        <v>2.99082245744366E-2</v>
      </c>
      <c r="L521">
        <v>2119.3222447599501</v>
      </c>
      <c r="M521">
        <v>41.503444937379797</v>
      </c>
      <c r="N521">
        <v>51.1881739593194</v>
      </c>
      <c r="O521">
        <v>50.945645919547196</v>
      </c>
      <c r="P521">
        <v>-0.19389493984875</v>
      </c>
      <c r="Q521">
        <v>4.7974422955021301E-2</v>
      </c>
      <c r="R521">
        <v>0.99602963854623305</v>
      </c>
      <c r="S521" t="s">
        <v>7138</v>
      </c>
      <c r="T521" t="s">
        <v>13232</v>
      </c>
      <c r="U521" t="s">
        <v>13232</v>
      </c>
      <c r="V521" t="s">
        <v>13232</v>
      </c>
      <c r="W521" t="s">
        <v>13741</v>
      </c>
      <c r="X521">
        <v>1</v>
      </c>
      <c r="Y521" t="s">
        <v>20281</v>
      </c>
      <c r="Z521" t="s">
        <v>26652</v>
      </c>
      <c r="AA521">
        <v>0.40219347338908379</v>
      </c>
      <c r="AB521" t="str">
        <f>HYPERLINK("Melting_Curves/meltCurve_F2Z3I4_ARRDC1.pdf", "Melting_Curves/meltCurve_F2Z3I4_ARRDC1.pdf")</f>
        <v>Melting_Curves/meltCurve_F2Z3I4_ARRDC1.pdf</v>
      </c>
    </row>
    <row r="522" spans="1:28" x14ac:dyDescent="0.25">
      <c r="A522" t="s">
        <v>526</v>
      </c>
      <c r="B522">
        <v>0.99930955844802105</v>
      </c>
      <c r="C522">
        <v>0.927407018268113</v>
      </c>
      <c r="D522">
        <v>1.0229662223799401</v>
      </c>
      <c r="E522">
        <v>0.96040733359979702</v>
      </c>
      <c r="F522">
        <v>0.49464498882517</v>
      </c>
      <c r="G522">
        <v>0.21153552071526699</v>
      </c>
      <c r="H522">
        <v>9.2409113272068605E-2</v>
      </c>
      <c r="I522">
        <v>7.2605017273716502E-2</v>
      </c>
      <c r="J522">
        <v>6.6724119017478101E-2</v>
      </c>
      <c r="K522">
        <v>3.9163876195185798E-2</v>
      </c>
      <c r="L522">
        <v>1933.6620111280599</v>
      </c>
      <c r="M522">
        <v>36.507455983484597</v>
      </c>
      <c r="N522">
        <v>53.212867480536701</v>
      </c>
      <c r="O522">
        <v>52.808056017589202</v>
      </c>
      <c r="P522">
        <v>-0.15937883302408001</v>
      </c>
      <c r="Q522">
        <v>7.7836569903677294E-2</v>
      </c>
      <c r="R522">
        <v>0.990268228832477</v>
      </c>
      <c r="S522" t="s">
        <v>7139</v>
      </c>
      <c r="T522" t="s">
        <v>13232</v>
      </c>
      <c r="U522" t="s">
        <v>13232</v>
      </c>
      <c r="V522" t="s">
        <v>13232</v>
      </c>
      <c r="W522" t="s">
        <v>13742</v>
      </c>
      <c r="X522">
        <v>7</v>
      </c>
      <c r="Y522" t="s">
        <v>20282</v>
      </c>
      <c r="Z522" t="s">
        <v>26653</v>
      </c>
      <c r="AA522">
        <v>0.48045244776252372</v>
      </c>
      <c r="AB522" t="str">
        <f>HYPERLINK("Melting_Curves/meltCurve_F5GWD3_GTF2H3.pdf", "Melting_Curves/meltCurve_F5GWD3_GTF2H3.pdf")</f>
        <v>Melting_Curves/meltCurve_F5GWD3_GTF2H3.pdf</v>
      </c>
    </row>
    <row r="523" spans="1:28" x14ac:dyDescent="0.25">
      <c r="A523" t="s">
        <v>527</v>
      </c>
      <c r="B523">
        <v>0.99930955844802105</v>
      </c>
      <c r="C523">
        <v>0.94212437762544399</v>
      </c>
      <c r="D523">
        <v>1.0399524720419699</v>
      </c>
      <c r="E523">
        <v>0.97212638198498202</v>
      </c>
      <c r="F523">
        <v>0.98865577494318901</v>
      </c>
      <c r="G523">
        <v>0.88281225750910297</v>
      </c>
      <c r="H523">
        <v>0.62582897201838805</v>
      </c>
      <c r="I523">
        <v>0.44659666326255798</v>
      </c>
      <c r="J523">
        <v>0.328438699465055</v>
      </c>
      <c r="K523">
        <v>0.20561161036192799</v>
      </c>
      <c r="L523">
        <v>1212.2773074178399</v>
      </c>
      <c r="M523">
        <v>19.5214538703861</v>
      </c>
      <c r="N523">
        <v>63.130166328885501</v>
      </c>
      <c r="O523">
        <v>61.459106140302097</v>
      </c>
      <c r="P523">
        <v>-6.8577316597782198E-2</v>
      </c>
      <c r="Q523">
        <v>0.13642710471625</v>
      </c>
      <c r="R523">
        <v>0.99204038410516804</v>
      </c>
      <c r="S523" t="s">
        <v>7140</v>
      </c>
      <c r="T523" t="s">
        <v>13232</v>
      </c>
      <c r="U523" t="s">
        <v>13232</v>
      </c>
      <c r="V523" t="s">
        <v>13232</v>
      </c>
      <c r="W523" t="s">
        <v>13743</v>
      </c>
      <c r="X523">
        <v>4</v>
      </c>
      <c r="Y523" t="s">
        <v>20283</v>
      </c>
      <c r="Z523" t="s">
        <v>26654</v>
      </c>
      <c r="AA523">
        <v>0.77465756527703</v>
      </c>
      <c r="AB523" t="str">
        <f>HYPERLINK("Melting_Curves/meltCurve_F5GWI9_CCDC53.pdf", "Melting_Curves/meltCurve_F5GWI9_CCDC53.pdf")</f>
        <v>Melting_Curves/meltCurve_F5GWI9_CCDC53.pdf</v>
      </c>
    </row>
    <row r="524" spans="1:28" x14ac:dyDescent="0.25">
      <c r="A524" t="s">
        <v>528</v>
      </c>
      <c r="B524">
        <v>0.99930955844802105</v>
      </c>
      <c r="C524">
        <v>0.90862596006299001</v>
      </c>
      <c r="D524">
        <v>0.86292561776763399</v>
      </c>
      <c r="E524">
        <v>0.63970926091904301</v>
      </c>
      <c r="F524">
        <v>0.29439786271733698</v>
      </c>
      <c r="G524">
        <v>0.20242172813551401</v>
      </c>
      <c r="H524">
        <v>0.123046224566515</v>
      </c>
      <c r="I524">
        <v>0.13727379685845201</v>
      </c>
      <c r="J524">
        <v>0.12439056943554</v>
      </c>
      <c r="K524">
        <v>0.10128324558057</v>
      </c>
      <c r="L524">
        <v>991.01240039213599</v>
      </c>
      <c r="M524">
        <v>19.6828031189741</v>
      </c>
      <c r="N524">
        <v>50.9734606383036</v>
      </c>
      <c r="O524">
        <v>49.8380712410518</v>
      </c>
      <c r="P524">
        <v>-8.81618221262956E-2</v>
      </c>
      <c r="Q524">
        <v>0.1071062755993</v>
      </c>
      <c r="R524">
        <v>0.990876263877285</v>
      </c>
      <c r="S524" t="s">
        <v>7141</v>
      </c>
      <c r="T524" t="s">
        <v>13232</v>
      </c>
      <c r="U524" t="s">
        <v>13232</v>
      </c>
      <c r="V524" t="s">
        <v>13232</v>
      </c>
      <c r="W524" t="s">
        <v>13744</v>
      </c>
      <c r="X524">
        <v>19</v>
      </c>
      <c r="Y524" t="s">
        <v>20284</v>
      </c>
      <c r="Z524" t="s">
        <v>26655</v>
      </c>
      <c r="AA524">
        <v>0.42793181895682042</v>
      </c>
      <c r="AB524" t="str">
        <f>HYPERLINK("Melting_Curves/meltCurve_F5GWN5_PIK3C2B.pdf", "Melting_Curves/meltCurve_F5GWN5_PIK3C2B.pdf")</f>
        <v>Melting_Curves/meltCurve_F5GWN5_PIK3C2B.pdf</v>
      </c>
    </row>
    <row r="525" spans="1:28" x14ac:dyDescent="0.25">
      <c r="A525" t="s">
        <v>529</v>
      </c>
      <c r="B525">
        <v>0.99930955844802105</v>
      </c>
      <c r="C525">
        <v>1.1290456251443</v>
      </c>
      <c r="D525">
        <v>1.0097513432449099</v>
      </c>
      <c r="E525">
        <v>0.79915304307160695</v>
      </c>
      <c r="F525">
        <v>0.87797847444141497</v>
      </c>
      <c r="G525">
        <v>0.376036389761986</v>
      </c>
      <c r="H525">
        <v>0.23791732976480201</v>
      </c>
      <c r="I525">
        <v>0.280846944724576</v>
      </c>
      <c r="J525">
        <v>0.24485723035274001</v>
      </c>
      <c r="K525">
        <v>0.117721465178451</v>
      </c>
      <c r="L525">
        <v>1464.95107758277</v>
      </c>
      <c r="M525">
        <v>26.618188193664501</v>
      </c>
      <c r="N525">
        <v>56.071117155491798</v>
      </c>
      <c r="O525">
        <v>54.727904958678202</v>
      </c>
      <c r="P525">
        <v>-9.7986143755696101E-2</v>
      </c>
      <c r="Q525">
        <v>0.19415700322471299</v>
      </c>
      <c r="R525">
        <v>0.95403071708948295</v>
      </c>
      <c r="S525" t="s">
        <v>7142</v>
      </c>
      <c r="T525" t="s">
        <v>13232</v>
      </c>
      <c r="U525" t="s">
        <v>13232</v>
      </c>
      <c r="V525" t="s">
        <v>13232</v>
      </c>
      <c r="W525" t="s">
        <v>13745</v>
      </c>
      <c r="X525">
        <v>21</v>
      </c>
      <c r="Y525" t="s">
        <v>20285</v>
      </c>
      <c r="Z525" t="s">
        <v>26656</v>
      </c>
      <c r="AA525">
        <v>0.60470651999837632</v>
      </c>
      <c r="AB525" t="str">
        <f>HYPERLINK("Melting_Curves/meltCurve_F5GWP8_JUP.pdf", "Melting_Curves/meltCurve_F5GWP8_JUP.pdf")</f>
        <v>Melting_Curves/meltCurve_F5GWP8_JUP.pdf</v>
      </c>
    </row>
    <row r="526" spans="1:28" x14ac:dyDescent="0.25">
      <c r="A526" t="s">
        <v>530</v>
      </c>
      <c r="B526">
        <v>0.99930955844802105</v>
      </c>
      <c r="C526">
        <v>1.0851058608405599</v>
      </c>
      <c r="D526">
        <v>1.0079153119319699</v>
      </c>
      <c r="E526">
        <v>0.79700650919222105</v>
      </c>
      <c r="F526">
        <v>0.45587959616055301</v>
      </c>
      <c r="G526">
        <v>0.34177272309002898</v>
      </c>
      <c r="H526">
        <v>0.28842045132552602</v>
      </c>
      <c r="I526">
        <v>0.28719032042172399</v>
      </c>
      <c r="J526">
        <v>0.292652187584096</v>
      </c>
      <c r="K526">
        <v>0.231086314933829</v>
      </c>
      <c r="L526">
        <v>1765.15329060777</v>
      </c>
      <c r="M526">
        <v>34.373565206638098</v>
      </c>
      <c r="N526">
        <v>52.617698073482302</v>
      </c>
      <c r="O526">
        <v>51.179184161462999</v>
      </c>
      <c r="P526">
        <v>-0.12067962670047799</v>
      </c>
      <c r="Q526">
        <v>0.28127775937194699</v>
      </c>
      <c r="R526">
        <v>0.98917723236684896</v>
      </c>
      <c r="S526" t="s">
        <v>7143</v>
      </c>
      <c r="T526" t="s">
        <v>13232</v>
      </c>
      <c r="U526" t="s">
        <v>13232</v>
      </c>
      <c r="V526" t="s">
        <v>13232</v>
      </c>
      <c r="W526" t="s">
        <v>13746</v>
      </c>
      <c r="X526">
        <v>43</v>
      </c>
      <c r="Y526" t="s">
        <v>20286</v>
      </c>
      <c r="Z526" t="s">
        <v>26657</v>
      </c>
      <c r="AA526">
        <v>0.55670388150381145</v>
      </c>
      <c r="AB526" t="str">
        <f>HYPERLINK("Melting_Curves/meltCurve_F5GWT4_WNK1.pdf", "Melting_Curves/meltCurve_F5GWT4_WNK1.pdf")</f>
        <v>Melting_Curves/meltCurve_F5GWT4_WNK1.pdf</v>
      </c>
    </row>
    <row r="527" spans="1:28" x14ac:dyDescent="0.25">
      <c r="A527" t="s">
        <v>531</v>
      </c>
      <c r="B527">
        <v>0.99930955844802105</v>
      </c>
      <c r="C527">
        <v>0.962662241640862</v>
      </c>
      <c r="D527">
        <v>0.77114296607131805</v>
      </c>
      <c r="E527">
        <v>0.49022989456493798</v>
      </c>
      <c r="F527">
        <v>0.26981269734642499</v>
      </c>
      <c r="G527">
        <v>0.23241817699445799</v>
      </c>
      <c r="H527">
        <v>0.18093095532032999</v>
      </c>
      <c r="I527">
        <v>0.20725865994204501</v>
      </c>
      <c r="J527">
        <v>0.175138208124094</v>
      </c>
      <c r="K527">
        <v>0.13598340136025</v>
      </c>
      <c r="L527">
        <v>963.65020152353895</v>
      </c>
      <c r="M527">
        <v>19.856886866805102</v>
      </c>
      <c r="N527">
        <v>49.564528005539302</v>
      </c>
      <c r="O527">
        <v>48.045615582184197</v>
      </c>
      <c r="P527">
        <v>-8.5793933871342098E-2</v>
      </c>
      <c r="Q527">
        <v>0.169681594691865</v>
      </c>
      <c r="R527">
        <v>0.99515491493363295</v>
      </c>
      <c r="S527" t="s">
        <v>7144</v>
      </c>
      <c r="T527" t="s">
        <v>13232</v>
      </c>
      <c r="U527" t="s">
        <v>13232</v>
      </c>
      <c r="V527" t="s">
        <v>13232</v>
      </c>
      <c r="W527" t="s">
        <v>13747</v>
      </c>
      <c r="X527">
        <v>9</v>
      </c>
      <c r="Y527" t="s">
        <v>20287</v>
      </c>
      <c r="Z527" t="s">
        <v>26658</v>
      </c>
      <c r="AA527">
        <v>0.41763155701850813</v>
      </c>
      <c r="AB527" t="str">
        <f>HYPERLINK("Melting_Curves/meltCurve_F5GWU7_SMAD5.pdf", "Melting_Curves/meltCurve_F5GWU7_SMAD5.pdf")</f>
        <v>Melting_Curves/meltCurve_F5GWU7_SMAD5.pdf</v>
      </c>
    </row>
    <row r="528" spans="1:28" x14ac:dyDescent="0.25">
      <c r="A528" t="s">
        <v>532</v>
      </c>
      <c r="B528">
        <v>0.99930955844802105</v>
      </c>
      <c r="C528">
        <v>1.1375183690121</v>
      </c>
      <c r="D528">
        <v>1.2289751270771001</v>
      </c>
      <c r="E528">
        <v>1.0785769149144</v>
      </c>
      <c r="F528">
        <v>0.93058802505947702</v>
      </c>
      <c r="G528">
        <v>0.77118718976235101</v>
      </c>
      <c r="H528">
        <v>0.93922828689753002</v>
      </c>
      <c r="I528">
        <v>1.03952688347527</v>
      </c>
      <c r="J528">
        <v>1.1409475085859799</v>
      </c>
      <c r="K528">
        <v>0.88141533277012696</v>
      </c>
      <c r="L528">
        <v>12900.853128352101</v>
      </c>
      <c r="M528">
        <v>250</v>
      </c>
      <c r="O528">
        <v>51.600110231675401</v>
      </c>
      <c r="P528">
        <v>-5.9980798679631103E-2</v>
      </c>
      <c r="Q528">
        <v>0.95047974687421399</v>
      </c>
      <c r="R528">
        <v>7.3020069905370605E-2</v>
      </c>
      <c r="S528" t="s">
        <v>7145</v>
      </c>
      <c r="T528" t="s">
        <v>13232</v>
      </c>
      <c r="U528" t="s">
        <v>13232</v>
      </c>
      <c r="V528" t="s">
        <v>13232</v>
      </c>
      <c r="W528" t="s">
        <v>13748</v>
      </c>
      <c r="X528">
        <v>10</v>
      </c>
      <c r="Y528" t="s">
        <v>20288</v>
      </c>
      <c r="Z528" t="s">
        <v>26659</v>
      </c>
      <c r="AA528">
        <v>0.9696376957456635</v>
      </c>
      <c r="AB528" t="str">
        <f>HYPERLINK("Melting_Curves/meltCurve_F5GX09_FAM76B.pdf", "Melting_Curves/meltCurve_F5GX09_FAM76B.pdf")</f>
        <v>Melting_Curves/meltCurve_F5GX09_FAM76B.pdf</v>
      </c>
    </row>
    <row r="529" spans="1:28" x14ac:dyDescent="0.25">
      <c r="A529" t="s">
        <v>533</v>
      </c>
      <c r="B529">
        <v>0.99930955844802105</v>
      </c>
      <c r="C529">
        <v>0.618841850563699</v>
      </c>
      <c r="D529">
        <v>0.49547837578926901</v>
      </c>
      <c r="E529">
        <v>0.55840894476167802</v>
      </c>
      <c r="F529">
        <v>0.27309235519573899</v>
      </c>
      <c r="G529">
        <v>0.12717417899191699</v>
      </c>
      <c r="H529">
        <v>7.4707740647465895E-2</v>
      </c>
      <c r="I529">
        <v>6.2834926448299896E-2</v>
      </c>
      <c r="J529">
        <v>4.1587161285107803E-2</v>
      </c>
      <c r="K529">
        <v>2.9824285251731E-2</v>
      </c>
      <c r="L529">
        <v>461.66609784159903</v>
      </c>
      <c r="M529">
        <v>9.6940411904785098</v>
      </c>
      <c r="N529">
        <v>47.623699684019101</v>
      </c>
      <c r="O529">
        <v>45.729610756204501</v>
      </c>
      <c r="P529">
        <v>-5.30255563766956E-2</v>
      </c>
      <c r="Q529">
        <v>0</v>
      </c>
      <c r="R529">
        <v>0.92247519717223303</v>
      </c>
      <c r="S529" t="s">
        <v>7146</v>
      </c>
      <c r="T529" t="s">
        <v>13232</v>
      </c>
      <c r="U529" t="s">
        <v>13232</v>
      </c>
      <c r="V529" t="s">
        <v>13232</v>
      </c>
      <c r="W529" t="s">
        <v>13749</v>
      </c>
      <c r="X529">
        <v>2</v>
      </c>
      <c r="Y529" t="s">
        <v>20289</v>
      </c>
      <c r="Z529" t="s">
        <v>26660</v>
      </c>
      <c r="AA529">
        <v>0.31141824514638827</v>
      </c>
      <c r="AB529" t="str">
        <f>HYPERLINK("Melting_Curves/meltCurve_F5GX33_SLC25A13.pdf", "Melting_Curves/meltCurve_F5GX33_SLC25A13.pdf")</f>
        <v>Melting_Curves/meltCurve_F5GX33_SLC25A13.pdf</v>
      </c>
    </row>
    <row r="530" spans="1:28" x14ac:dyDescent="0.25">
      <c r="A530" t="s">
        <v>534</v>
      </c>
      <c r="B530">
        <v>0.99930955844802105</v>
      </c>
      <c r="C530">
        <v>1.44787710671391</v>
      </c>
      <c r="D530">
        <v>1.3289712413338399</v>
      </c>
      <c r="E530">
        <v>1.2189163053054799</v>
      </c>
      <c r="F530">
        <v>1.2312340101514201</v>
      </c>
      <c r="G530">
        <v>1.1200831153192401</v>
      </c>
      <c r="H530">
        <v>1.08090471793163</v>
      </c>
      <c r="I530">
        <v>1.0663767625357401</v>
      </c>
      <c r="J530">
        <v>1.1496519722926299</v>
      </c>
      <c r="K530">
        <v>1.0193840044440401</v>
      </c>
      <c r="L530">
        <v>10238.716668326801</v>
      </c>
      <c r="M530">
        <v>250</v>
      </c>
      <c r="O530">
        <v>40.952229251309099</v>
      </c>
      <c r="P530">
        <v>0.28206893777268499</v>
      </c>
      <c r="Q530">
        <v>1.18482170396388</v>
      </c>
      <c r="R530">
        <v>0.17027016576413201</v>
      </c>
      <c r="S530" t="s">
        <v>7147</v>
      </c>
      <c r="T530" t="s">
        <v>13232</v>
      </c>
      <c r="U530" t="s">
        <v>13232</v>
      </c>
      <c r="V530" t="s">
        <v>13232</v>
      </c>
      <c r="W530" t="s">
        <v>13750</v>
      </c>
      <c r="X530">
        <v>4</v>
      </c>
      <c r="Y530" t="s">
        <v>20290</v>
      </c>
      <c r="Z530" t="s">
        <v>26661</v>
      </c>
      <c r="AA530">
        <v>1.178923308339989</v>
      </c>
      <c r="AB530" t="str">
        <f>HYPERLINK("Melting_Curves/meltCurve_F5GX58_CDCA3.pdf", "Melting_Curves/meltCurve_F5GX58_CDCA3.pdf")</f>
        <v>Melting_Curves/meltCurve_F5GX58_CDCA3.pdf</v>
      </c>
    </row>
    <row r="531" spans="1:28" x14ac:dyDescent="0.25">
      <c r="A531" t="s">
        <v>535</v>
      </c>
      <c r="B531">
        <v>0.99930955844802105</v>
      </c>
      <c r="C531">
        <v>1.16061063739204</v>
      </c>
      <c r="D531">
        <v>1.02866628313269</v>
      </c>
      <c r="E531">
        <v>1.0289149935547099</v>
      </c>
      <c r="F531">
        <v>0.45526304793814198</v>
      </c>
      <c r="G531">
        <v>0.21865919565251599</v>
      </c>
      <c r="H531">
        <v>0.21544548857902801</v>
      </c>
      <c r="I531">
        <v>0.19197640547824699</v>
      </c>
      <c r="J531">
        <v>0.17794170510080701</v>
      </c>
      <c r="K531">
        <v>0.11280152896689</v>
      </c>
      <c r="L531">
        <v>13213.1716347532</v>
      </c>
      <c r="M531">
        <v>250</v>
      </c>
      <c r="N531">
        <v>52.949448479304003</v>
      </c>
      <c r="O531">
        <v>52.849325109464097</v>
      </c>
      <c r="P531">
        <v>-0.96575909969352203</v>
      </c>
      <c r="Q531">
        <v>0.18336485406824499</v>
      </c>
      <c r="R531">
        <v>0.97977052899511097</v>
      </c>
      <c r="S531" t="s">
        <v>7148</v>
      </c>
      <c r="T531" t="s">
        <v>13232</v>
      </c>
      <c r="U531" t="s">
        <v>13232</v>
      </c>
      <c r="V531" t="s">
        <v>13232</v>
      </c>
      <c r="W531" t="s">
        <v>13751</v>
      </c>
      <c r="X531">
        <v>69</v>
      </c>
      <c r="Y531" t="s">
        <v>20291</v>
      </c>
      <c r="Z531" t="s">
        <v>26662</v>
      </c>
      <c r="AA531">
        <v>0.53330578649912996</v>
      </c>
      <c r="AB531" t="str">
        <f>HYPERLINK("Melting_Curves/meltCurve_F5GX68_DNMT1.pdf", "Melting_Curves/meltCurve_F5GX68_DNMT1.pdf")</f>
        <v>Melting_Curves/meltCurve_F5GX68_DNMT1.pdf</v>
      </c>
    </row>
    <row r="532" spans="1:28" x14ac:dyDescent="0.25">
      <c r="A532" t="s">
        <v>536</v>
      </c>
      <c r="B532">
        <v>0.99930955844802105</v>
      </c>
      <c r="C532">
        <v>0.67814439936850901</v>
      </c>
      <c r="D532">
        <v>0.70598059912926903</v>
      </c>
      <c r="E532">
        <v>0.687787685259593</v>
      </c>
      <c r="F532">
        <v>0.38783931526679299</v>
      </c>
      <c r="G532">
        <v>0.170413312741617</v>
      </c>
      <c r="H532">
        <v>9.6004479060130904E-2</v>
      </c>
      <c r="I532">
        <v>8.3161635962257605E-2</v>
      </c>
      <c r="J532">
        <v>6.3633480141243801E-2</v>
      </c>
      <c r="K532">
        <v>4.9033544968876602E-2</v>
      </c>
      <c r="L532">
        <v>516.77922799999305</v>
      </c>
      <c r="M532">
        <v>10.2440011981409</v>
      </c>
      <c r="N532">
        <v>50.447009716726797</v>
      </c>
      <c r="O532">
        <v>48.637978546967801</v>
      </c>
      <c r="P532">
        <v>-5.2677686557665603E-2</v>
      </c>
      <c r="Q532">
        <v>0</v>
      </c>
      <c r="R532">
        <v>0.93463780103288896</v>
      </c>
      <c r="S532" t="s">
        <v>7149</v>
      </c>
      <c r="T532" t="s">
        <v>13232</v>
      </c>
      <c r="U532" t="s">
        <v>13232</v>
      </c>
      <c r="V532" t="s">
        <v>13232</v>
      </c>
      <c r="W532" t="s">
        <v>13752</v>
      </c>
      <c r="X532">
        <v>27</v>
      </c>
      <c r="Y532" t="s">
        <v>20292</v>
      </c>
      <c r="Z532" t="s">
        <v>26663</v>
      </c>
      <c r="AA532">
        <v>0.39044870340975968</v>
      </c>
      <c r="AB532" t="str">
        <f>HYPERLINK("Melting_Curves/meltCurve_F5GX82_FRYL.pdf", "Melting_Curves/meltCurve_F5GX82_FRYL.pdf")</f>
        <v>Melting_Curves/meltCurve_F5GX82_FRYL.pdf</v>
      </c>
    </row>
    <row r="533" spans="1:28" x14ac:dyDescent="0.25">
      <c r="A533" t="s">
        <v>537</v>
      </c>
      <c r="B533">
        <v>0.99930955844802105</v>
      </c>
      <c r="C533">
        <v>0.83996068582261896</v>
      </c>
      <c r="D533">
        <v>0.50870611799051801</v>
      </c>
      <c r="E533">
        <v>0.30844231301318997</v>
      </c>
      <c r="F533">
        <v>0.18776080280249399</v>
      </c>
      <c r="G533">
        <v>0.13149004392246999</v>
      </c>
      <c r="H533">
        <v>7.5272652429442102E-2</v>
      </c>
      <c r="I533">
        <v>6.4804516100336093E-2</v>
      </c>
      <c r="J533">
        <v>5.2901522546726802E-2</v>
      </c>
      <c r="K533">
        <v>4.3107466576853E-2</v>
      </c>
      <c r="L533">
        <v>780.89353451652903</v>
      </c>
      <c r="M533">
        <v>16.807466643248699</v>
      </c>
      <c r="N533">
        <v>46.832014566413399</v>
      </c>
      <c r="O533">
        <v>45.818323975306903</v>
      </c>
      <c r="P533">
        <v>-8.59977002718217E-2</v>
      </c>
      <c r="Q533">
        <v>6.2317273180201499E-2</v>
      </c>
      <c r="R533">
        <v>0.99028220567949399</v>
      </c>
      <c r="S533" t="s">
        <v>7150</v>
      </c>
      <c r="T533" t="s">
        <v>13232</v>
      </c>
      <c r="U533" t="s">
        <v>13232</v>
      </c>
      <c r="V533" t="s">
        <v>13232</v>
      </c>
      <c r="W533" t="s">
        <v>13753</v>
      </c>
      <c r="X533">
        <v>9</v>
      </c>
      <c r="Y533" t="s">
        <v>20293</v>
      </c>
      <c r="Z533" t="s">
        <v>26664</v>
      </c>
      <c r="AA533">
        <v>0.2849913016925319</v>
      </c>
      <c r="AB533" t="str">
        <f>HYPERLINK("Melting_Curves/meltCurve_F5GXC8_SUCLA2.pdf", "Melting_Curves/meltCurve_F5GXC8_SUCLA2.pdf")</f>
        <v>Melting_Curves/meltCurve_F5GXC8_SUCLA2.pdf</v>
      </c>
    </row>
    <row r="534" spans="1:28" x14ac:dyDescent="0.25">
      <c r="A534" t="s">
        <v>538</v>
      </c>
      <c r="B534">
        <v>0.99930955844802105</v>
      </c>
      <c r="C534">
        <v>0.63909076490734495</v>
      </c>
      <c r="D534">
        <v>0.61048149020170095</v>
      </c>
      <c r="E534">
        <v>0.61011358239462199</v>
      </c>
      <c r="F534">
        <v>0.42259892072192801</v>
      </c>
      <c r="G534">
        <v>0.27866360272394403</v>
      </c>
      <c r="H534">
        <v>8.0305927089196302E-2</v>
      </c>
      <c r="I534">
        <v>6.0262266771103301E-2</v>
      </c>
      <c r="J534">
        <v>2.0719782175872701E-2</v>
      </c>
      <c r="K534">
        <v>2.81095340830162E-2</v>
      </c>
      <c r="L534">
        <v>451.07428903744602</v>
      </c>
      <c r="M534">
        <v>9.0872711681205907</v>
      </c>
      <c r="N534">
        <v>49.638035370833997</v>
      </c>
      <c r="O534">
        <v>47.411315737807897</v>
      </c>
      <c r="P534">
        <v>-4.7950756093692599E-2</v>
      </c>
      <c r="Q534">
        <v>0</v>
      </c>
      <c r="R534">
        <v>0.92295772864157</v>
      </c>
      <c r="S534" t="s">
        <v>7151</v>
      </c>
      <c r="T534" t="s">
        <v>13232</v>
      </c>
      <c r="U534" t="s">
        <v>13232</v>
      </c>
      <c r="V534" t="s">
        <v>13232</v>
      </c>
      <c r="W534" t="s">
        <v>13754</v>
      </c>
      <c r="X534">
        <v>6</v>
      </c>
      <c r="Y534" t="s">
        <v>20294</v>
      </c>
      <c r="Z534" t="s">
        <v>26665</v>
      </c>
      <c r="AA534">
        <v>0.37423295675917972</v>
      </c>
      <c r="AB534" t="str">
        <f>HYPERLINK("Melting_Curves/meltCurve_F5GXD1_AKAP7.pdf", "Melting_Curves/meltCurve_F5GXD1_AKAP7.pdf")</f>
        <v>Melting_Curves/meltCurve_F5GXD1_AKAP7.pdf</v>
      </c>
    </row>
    <row r="535" spans="1:28" x14ac:dyDescent="0.25">
      <c r="A535" t="s">
        <v>539</v>
      </c>
      <c r="B535">
        <v>0.99930955844802105</v>
      </c>
      <c r="C535">
        <v>0.90921639046950098</v>
      </c>
      <c r="D535">
        <v>0.87162826239431301</v>
      </c>
      <c r="E535">
        <v>0.74195454811142303</v>
      </c>
      <c r="F535">
        <v>0.49805434989125702</v>
      </c>
      <c r="G535">
        <v>0.25535940892702402</v>
      </c>
      <c r="H535">
        <v>0.13691589098372001</v>
      </c>
      <c r="I535">
        <v>0.10049952297652399</v>
      </c>
      <c r="J535">
        <v>7.9956331182405596E-2</v>
      </c>
      <c r="K535">
        <v>5.0890559493258103E-2</v>
      </c>
      <c r="L535">
        <v>759.99304691126304</v>
      </c>
      <c r="M535">
        <v>14.3846557282759</v>
      </c>
      <c r="N535">
        <v>53.004037461991402</v>
      </c>
      <c r="O535">
        <v>51.843982861427698</v>
      </c>
      <c r="P535">
        <v>-6.7805211827160303E-2</v>
      </c>
      <c r="Q535">
        <v>2.2604664008744099E-2</v>
      </c>
      <c r="R535">
        <v>0.995175644472307</v>
      </c>
      <c r="S535" t="s">
        <v>7152</v>
      </c>
      <c r="T535" t="s">
        <v>13232</v>
      </c>
      <c r="U535" t="s">
        <v>13232</v>
      </c>
      <c r="V535" t="s">
        <v>13232</v>
      </c>
      <c r="W535" t="s">
        <v>13755</v>
      </c>
      <c r="X535">
        <v>11</v>
      </c>
      <c r="Y535" t="s">
        <v>20295</v>
      </c>
      <c r="Z535" t="s">
        <v>26666</v>
      </c>
      <c r="AA535">
        <v>0.46316911839282621</v>
      </c>
      <c r="AB535" t="str">
        <f>HYPERLINK("Melting_Curves/meltCurve_F5GXE4_ATE1.pdf", "Melting_Curves/meltCurve_F5GXE4_ATE1.pdf")</f>
        <v>Melting_Curves/meltCurve_F5GXE4_ATE1.pdf</v>
      </c>
    </row>
    <row r="536" spans="1:28" x14ac:dyDescent="0.25">
      <c r="A536" t="s">
        <v>540</v>
      </c>
      <c r="B536">
        <v>0.99930955844802105</v>
      </c>
      <c r="C536">
        <v>1.2743551664889501</v>
      </c>
      <c r="D536">
        <v>1.1590431156324901</v>
      </c>
      <c r="E536">
        <v>1.0334768952836799</v>
      </c>
      <c r="F536">
        <v>0.76375421016814304</v>
      </c>
      <c r="G536">
        <v>0.72843230610692999</v>
      </c>
      <c r="H536">
        <v>0.71473631482731903</v>
      </c>
      <c r="I536">
        <v>0.76502149875842096</v>
      </c>
      <c r="J536">
        <v>0.90797332890985905</v>
      </c>
      <c r="K536">
        <v>0.65527635802691497</v>
      </c>
      <c r="L536">
        <v>13079.5522646397</v>
      </c>
      <c r="M536">
        <v>250</v>
      </c>
      <c r="O536">
        <v>52.3148407746895</v>
      </c>
      <c r="P536">
        <v>-0.293551480143736</v>
      </c>
      <c r="Q536">
        <v>0.75428632144141605</v>
      </c>
      <c r="R536">
        <v>0.652373578223582</v>
      </c>
      <c r="S536" t="s">
        <v>7153</v>
      </c>
      <c r="T536" t="s">
        <v>13232</v>
      </c>
      <c r="U536" t="s">
        <v>13232</v>
      </c>
      <c r="V536" t="s">
        <v>13232</v>
      </c>
      <c r="W536" t="s">
        <v>13756</v>
      </c>
      <c r="X536">
        <v>2</v>
      </c>
      <c r="Y536" t="s">
        <v>20296</v>
      </c>
      <c r="Z536" t="s">
        <v>26667</v>
      </c>
      <c r="AA536">
        <v>0.85520063099321908</v>
      </c>
      <c r="AB536" t="str">
        <f>HYPERLINK("Melting_Curves/meltCurve_F5GXE7_LTBR.pdf", "Melting_Curves/meltCurve_F5GXE7_LTBR.pdf")</f>
        <v>Melting_Curves/meltCurve_F5GXE7_LTBR.pdf</v>
      </c>
    </row>
    <row r="537" spans="1:28" x14ac:dyDescent="0.25">
      <c r="A537" t="s">
        <v>541</v>
      </c>
      <c r="B537">
        <v>0.99930955844802105</v>
      </c>
      <c r="C537">
        <v>1.0145539276981299</v>
      </c>
      <c r="D537">
        <v>1.01156080060704</v>
      </c>
      <c r="E537">
        <v>0.94243970308488001</v>
      </c>
      <c r="F537">
        <v>0.84888423022412696</v>
      </c>
      <c r="G537">
        <v>0.51753613374543395</v>
      </c>
      <c r="H537">
        <v>0.33296408604192701</v>
      </c>
      <c r="I537">
        <v>0.24608381772687701</v>
      </c>
      <c r="J537">
        <v>0.19887087429325701</v>
      </c>
      <c r="K537">
        <v>0.146028913978799</v>
      </c>
      <c r="L537">
        <v>1144.3016800053599</v>
      </c>
      <c r="M537">
        <v>20.223143900464098</v>
      </c>
      <c r="N537">
        <v>57.647996028643703</v>
      </c>
      <c r="O537">
        <v>56.039197383133903</v>
      </c>
      <c r="P537">
        <v>-7.6166574630414194E-2</v>
      </c>
      <c r="Q537">
        <v>0.155782855044271</v>
      </c>
      <c r="R537">
        <v>0.99733689571789697</v>
      </c>
      <c r="S537" t="s">
        <v>7154</v>
      </c>
      <c r="T537" t="s">
        <v>13232</v>
      </c>
      <c r="U537" t="s">
        <v>13232</v>
      </c>
      <c r="V537" t="s">
        <v>13232</v>
      </c>
      <c r="X537">
        <v>12</v>
      </c>
      <c r="Z537" t="s">
        <v>26668</v>
      </c>
      <c r="AA537">
        <v>0.63289477227860602</v>
      </c>
      <c r="AB537" t="str">
        <f>HYPERLINK("Melting_Curves/meltCurve_F5GXQ1_.pdf", "Melting_Curves/meltCurve_F5GXQ1_.pdf")</f>
        <v>Melting_Curves/meltCurve_F5GXQ1_.pdf</v>
      </c>
    </row>
    <row r="538" spans="1:28" x14ac:dyDescent="0.25">
      <c r="A538" t="s">
        <v>542</v>
      </c>
      <c r="B538">
        <v>0.99930955844802105</v>
      </c>
      <c r="C538">
        <v>0.92099331384845695</v>
      </c>
      <c r="D538">
        <v>0.88634893952617699</v>
      </c>
      <c r="E538">
        <v>0.73551818918918699</v>
      </c>
      <c r="F538">
        <v>0.46952041217851598</v>
      </c>
      <c r="G538">
        <v>0.25072348704050301</v>
      </c>
      <c r="H538">
        <v>0.14195464929273499</v>
      </c>
      <c r="I538">
        <v>9.4692325133958796E-2</v>
      </c>
      <c r="J538">
        <v>7.7499725363518596E-2</v>
      </c>
      <c r="K538">
        <v>6.0118973101010401E-2</v>
      </c>
      <c r="L538">
        <v>808.63566026938804</v>
      </c>
      <c r="M538">
        <v>15.396403354138799</v>
      </c>
      <c r="N538">
        <v>52.798534562495398</v>
      </c>
      <c r="O538">
        <v>51.658971765947499</v>
      </c>
      <c r="P538">
        <v>-7.1620801118422298E-2</v>
      </c>
      <c r="Q538">
        <v>3.8861370060753297E-2</v>
      </c>
      <c r="R538">
        <v>0.996560869287475</v>
      </c>
      <c r="S538" t="s">
        <v>7155</v>
      </c>
      <c r="T538" t="s">
        <v>13232</v>
      </c>
      <c r="U538" t="s">
        <v>13232</v>
      </c>
      <c r="V538" t="s">
        <v>13232</v>
      </c>
      <c r="W538" t="s">
        <v>13757</v>
      </c>
      <c r="X538">
        <v>4</v>
      </c>
      <c r="Y538" t="s">
        <v>20297</v>
      </c>
      <c r="Z538" t="s">
        <v>26669</v>
      </c>
      <c r="AA538">
        <v>0.46029963182134398</v>
      </c>
      <c r="AB538" t="str">
        <f>HYPERLINK("Melting_Curves/meltCurve_F5GY11_STARD10.pdf", "Melting_Curves/meltCurve_F5GY11_STARD10.pdf")</f>
        <v>Melting_Curves/meltCurve_F5GY11_STARD10.pdf</v>
      </c>
    </row>
    <row r="539" spans="1:28" x14ac:dyDescent="0.25">
      <c r="A539" t="s">
        <v>543</v>
      </c>
      <c r="B539">
        <v>0.99930955844802105</v>
      </c>
      <c r="C539">
        <v>0.67548659764330399</v>
      </c>
      <c r="D539">
        <v>0.54458145579771999</v>
      </c>
      <c r="E539">
        <v>0.636196790047726</v>
      </c>
      <c r="F539">
        <v>0.38253076479327502</v>
      </c>
      <c r="G539">
        <v>0.16612799332742101</v>
      </c>
      <c r="H539">
        <v>0.116036862638352</v>
      </c>
      <c r="I539">
        <v>8.6944870644022204E-2</v>
      </c>
      <c r="J539">
        <v>6.7617119641512194E-2</v>
      </c>
      <c r="K539">
        <v>5.5266204895092597E-2</v>
      </c>
      <c r="L539">
        <v>443.64105148095598</v>
      </c>
      <c r="M539">
        <v>9.0146055633639595</v>
      </c>
      <c r="N539">
        <v>49.213584448760898</v>
      </c>
      <c r="O539">
        <v>46.972813907214501</v>
      </c>
      <c r="P539">
        <v>-4.8012404205631097E-2</v>
      </c>
      <c r="Q539">
        <v>0</v>
      </c>
      <c r="R539">
        <v>0.92397475712787802</v>
      </c>
      <c r="S539" t="s">
        <v>7156</v>
      </c>
      <c r="T539" t="s">
        <v>13232</v>
      </c>
      <c r="U539" t="s">
        <v>13232</v>
      </c>
      <c r="V539" t="s">
        <v>13232</v>
      </c>
      <c r="W539" t="s">
        <v>13758</v>
      </c>
      <c r="X539">
        <v>5</v>
      </c>
      <c r="Y539" t="s">
        <v>20298</v>
      </c>
      <c r="Z539" t="s">
        <v>26670</v>
      </c>
      <c r="AA539">
        <v>0.36271469853220312</v>
      </c>
      <c r="AB539" t="str">
        <f>HYPERLINK("Melting_Curves/meltCurve_F5GY37_PHB2.pdf", "Melting_Curves/meltCurve_F5GY37_PHB2.pdf")</f>
        <v>Melting_Curves/meltCurve_F5GY37_PHB2.pdf</v>
      </c>
    </row>
    <row r="540" spans="1:28" x14ac:dyDescent="0.25">
      <c r="A540" t="s">
        <v>544</v>
      </c>
      <c r="B540">
        <v>0.99930955844802105</v>
      </c>
      <c r="C540">
        <v>0.82056658989721898</v>
      </c>
      <c r="D540">
        <v>0.83182774358656897</v>
      </c>
      <c r="E540">
        <v>0.85574682611668695</v>
      </c>
      <c r="F540">
        <v>0.65953459210404597</v>
      </c>
      <c r="G540">
        <v>0.51433457731504195</v>
      </c>
      <c r="H540">
        <v>0.53715255476853996</v>
      </c>
      <c r="I540">
        <v>0.52429426673062496</v>
      </c>
      <c r="J540">
        <v>0.49487456481702502</v>
      </c>
      <c r="K540">
        <v>0.377221379804139</v>
      </c>
      <c r="L540">
        <v>367.01341122835697</v>
      </c>
      <c r="M540">
        <v>6.7151110345304001</v>
      </c>
      <c r="N540">
        <v>62.851889057782202</v>
      </c>
      <c r="O540">
        <v>50.420035605323797</v>
      </c>
      <c r="P540">
        <v>-2.3633334608455198E-2</v>
      </c>
      <c r="Q540">
        <v>0.29173007107006299</v>
      </c>
      <c r="R540">
        <v>0.90916105266676395</v>
      </c>
      <c r="S540" t="s">
        <v>7157</v>
      </c>
      <c r="T540" t="s">
        <v>13232</v>
      </c>
      <c r="U540" t="s">
        <v>13232</v>
      </c>
      <c r="V540" t="s">
        <v>13232</v>
      </c>
      <c r="W540" t="s">
        <v>13759</v>
      </c>
      <c r="X540">
        <v>1</v>
      </c>
      <c r="Y540" t="s">
        <v>20299</v>
      </c>
      <c r="Z540" t="s">
        <v>26671</v>
      </c>
      <c r="AA540">
        <v>0.65903846398827504</v>
      </c>
      <c r="AB540" t="str">
        <f>HYPERLINK("Melting_Curves/meltCurve_F5GY95_FCGR2A.pdf", "Melting_Curves/meltCurve_F5GY95_FCGR2A.pdf")</f>
        <v>Melting_Curves/meltCurve_F5GY95_FCGR2A.pdf</v>
      </c>
    </row>
    <row r="541" spans="1:28" x14ac:dyDescent="0.25">
      <c r="A541" t="s">
        <v>545</v>
      </c>
      <c r="B541">
        <v>0.99930955844802105</v>
      </c>
      <c r="C541">
        <v>0.86782111807220497</v>
      </c>
      <c r="D541">
        <v>0.86274099296773499</v>
      </c>
      <c r="E541">
        <v>0.81621174762561699</v>
      </c>
      <c r="F541">
        <v>0.46120813116604897</v>
      </c>
      <c r="G541">
        <v>0.19671081162703899</v>
      </c>
      <c r="H541">
        <v>0.12732107521337499</v>
      </c>
      <c r="I541">
        <v>0.121574929690561</v>
      </c>
      <c r="J541">
        <v>7.5286400829499001E-2</v>
      </c>
      <c r="K541">
        <v>7.5437362907796499E-2</v>
      </c>
      <c r="L541">
        <v>1049.03042284856</v>
      </c>
      <c r="M541">
        <v>20.017004208327101</v>
      </c>
      <c r="N541">
        <v>52.808654800962003</v>
      </c>
      <c r="O541">
        <v>51.892314702890403</v>
      </c>
      <c r="P541">
        <v>-8.9628177717798796E-2</v>
      </c>
      <c r="Q541">
        <v>7.0617425536859693E-2</v>
      </c>
      <c r="R541">
        <v>0.97825332330541204</v>
      </c>
      <c r="S541" t="s">
        <v>7158</v>
      </c>
      <c r="T541" t="s">
        <v>13232</v>
      </c>
      <c r="U541" t="s">
        <v>13232</v>
      </c>
      <c r="V541" t="s">
        <v>13232</v>
      </c>
      <c r="W541" t="s">
        <v>13760</v>
      </c>
      <c r="X541">
        <v>1</v>
      </c>
      <c r="Y541" t="s">
        <v>20300</v>
      </c>
      <c r="Z541" t="s">
        <v>26672</v>
      </c>
      <c r="AA541">
        <v>0.46779477953976112</v>
      </c>
      <c r="AB541" t="str">
        <f>HYPERLINK("Melting_Curves/meltCurve_F5GY99_GALNT1.pdf", "Melting_Curves/meltCurve_F5GY99_GALNT1.pdf")</f>
        <v>Melting_Curves/meltCurve_F5GY99_GALNT1.pdf</v>
      </c>
    </row>
    <row r="542" spans="1:28" x14ac:dyDescent="0.25">
      <c r="A542" t="s">
        <v>546</v>
      </c>
      <c r="B542">
        <v>0.99930955844802105</v>
      </c>
      <c r="C542">
        <v>0.99825403087603803</v>
      </c>
      <c r="D542">
        <v>0.98781502514895703</v>
      </c>
      <c r="E542">
        <v>0.79091829244053402</v>
      </c>
      <c r="F542">
        <v>0.32506374307906699</v>
      </c>
      <c r="G542">
        <v>0.191830816264451</v>
      </c>
      <c r="H542">
        <v>0.14452653652703201</v>
      </c>
      <c r="I542">
        <v>0.152465075751095</v>
      </c>
      <c r="J542">
        <v>0.14402871500959799</v>
      </c>
      <c r="K542">
        <v>9.6728176705630498E-2</v>
      </c>
      <c r="L542">
        <v>2075.5007319716801</v>
      </c>
      <c r="M542">
        <v>40.404716519340099</v>
      </c>
      <c r="N542">
        <v>51.793332235224497</v>
      </c>
      <c r="O542">
        <v>51.242437159155998</v>
      </c>
      <c r="P542">
        <v>-0.16928327733596499</v>
      </c>
      <c r="Q542">
        <v>0.14124182598839999</v>
      </c>
      <c r="R542">
        <v>0.99766624469244802</v>
      </c>
      <c r="S542" t="s">
        <v>7159</v>
      </c>
      <c r="T542" t="s">
        <v>13232</v>
      </c>
      <c r="U542" t="s">
        <v>13232</v>
      </c>
      <c r="V542" t="s">
        <v>13232</v>
      </c>
      <c r="W542" t="s">
        <v>13761</v>
      </c>
      <c r="X542">
        <v>3</v>
      </c>
      <c r="Y542" t="s">
        <v>20301</v>
      </c>
      <c r="Z542" t="s">
        <v>26673</v>
      </c>
      <c r="AA542">
        <v>0.46963512970785931</v>
      </c>
      <c r="AB542" t="str">
        <f>HYPERLINK("Melting_Curves/meltCurve_F5GYA2_UNG.pdf", "Melting_Curves/meltCurve_F5GYA2_UNG.pdf")</f>
        <v>Melting_Curves/meltCurve_F5GYA2_UNG.pdf</v>
      </c>
    </row>
    <row r="543" spans="1:28" x14ac:dyDescent="0.25">
      <c r="A543" t="s">
        <v>547</v>
      </c>
      <c r="B543">
        <v>0.99930955844802105</v>
      </c>
      <c r="C543">
        <v>0.929767161847604</v>
      </c>
      <c r="D543">
        <v>0.73545327109246905</v>
      </c>
      <c r="E543">
        <v>0.46021164751307297</v>
      </c>
      <c r="F543">
        <v>0.21637540659790599</v>
      </c>
      <c r="G543">
        <v>0.147435430807212</v>
      </c>
      <c r="H543">
        <v>9.4970056853541901E-2</v>
      </c>
      <c r="I543">
        <v>8.2658486351625607E-2</v>
      </c>
      <c r="J543">
        <v>7.7179273412490895E-2</v>
      </c>
      <c r="K543">
        <v>5.8034124936238198E-2</v>
      </c>
      <c r="L543">
        <v>855.19294231376898</v>
      </c>
      <c r="M543">
        <v>17.546763232460801</v>
      </c>
      <c r="N543">
        <v>49.128850601923403</v>
      </c>
      <c r="O543">
        <v>48.118119244156802</v>
      </c>
      <c r="P543">
        <v>-8.5229783097013304E-2</v>
      </c>
      <c r="Q543">
        <v>6.5155630801201694E-2</v>
      </c>
      <c r="R543">
        <v>0.99750153132615005</v>
      </c>
      <c r="S543" t="s">
        <v>7160</v>
      </c>
      <c r="T543" t="s">
        <v>13232</v>
      </c>
      <c r="U543" t="s">
        <v>13232</v>
      </c>
      <c r="V543" t="s">
        <v>13232</v>
      </c>
      <c r="W543" t="s">
        <v>13762</v>
      </c>
      <c r="X543">
        <v>32</v>
      </c>
      <c r="Y543" t="s">
        <v>20302</v>
      </c>
      <c r="Z543" t="s">
        <v>26674</v>
      </c>
      <c r="AA543">
        <v>0.35457738605874312</v>
      </c>
      <c r="AB543" t="str">
        <f>HYPERLINK("Melting_Curves/meltCurve_F5GYC4_RPS6KA3.pdf", "Melting_Curves/meltCurve_F5GYC4_RPS6KA3.pdf")</f>
        <v>Melting_Curves/meltCurve_F5GYC4_RPS6KA3.pdf</v>
      </c>
    </row>
    <row r="544" spans="1:28" x14ac:dyDescent="0.25">
      <c r="A544" t="s">
        <v>548</v>
      </c>
      <c r="B544">
        <v>0.99930955844802105</v>
      </c>
      <c r="C544">
        <v>1.0200232338350199</v>
      </c>
      <c r="D544">
        <v>0.99404216579896698</v>
      </c>
      <c r="E544">
        <v>0.94202766184976205</v>
      </c>
      <c r="F544">
        <v>0.89320036343417497</v>
      </c>
      <c r="G544">
        <v>0.65129740221313903</v>
      </c>
      <c r="H544">
        <v>0.44973834199308999</v>
      </c>
      <c r="I544">
        <v>0.34363176699401199</v>
      </c>
      <c r="J544">
        <v>0.26120320734586899</v>
      </c>
      <c r="K544">
        <v>0.20915730109050501</v>
      </c>
      <c r="L544">
        <v>956.18659347450102</v>
      </c>
      <c r="M544">
        <v>16.346330860772898</v>
      </c>
      <c r="N544">
        <v>59.974598423816197</v>
      </c>
      <c r="O544">
        <v>57.6410587600855</v>
      </c>
      <c r="P544">
        <v>-5.9140229841617299E-2</v>
      </c>
      <c r="Q544">
        <v>0.165890031655229</v>
      </c>
      <c r="R544">
        <v>0.99820955637074205</v>
      </c>
      <c r="S544" t="s">
        <v>7161</v>
      </c>
      <c r="T544" t="s">
        <v>13232</v>
      </c>
      <c r="U544" t="s">
        <v>13232</v>
      </c>
      <c r="V544" t="s">
        <v>13232</v>
      </c>
      <c r="W544" t="s">
        <v>13476</v>
      </c>
      <c r="X544">
        <v>3</v>
      </c>
      <c r="Z544" t="s">
        <v>26675</v>
      </c>
      <c r="AA544">
        <v>0.69012215436406565</v>
      </c>
      <c r="AB544" t="str">
        <f>HYPERLINK("Melting_Curves/meltCurve_F5GYJ5_.pdf", "Melting_Curves/meltCurve_F5GYJ5_.pdf")</f>
        <v>Melting_Curves/meltCurve_F5GYJ5_.pdf</v>
      </c>
    </row>
    <row r="545" spans="1:28" x14ac:dyDescent="0.25">
      <c r="A545" t="s">
        <v>549</v>
      </c>
      <c r="B545">
        <v>0.99930955844802105</v>
      </c>
      <c r="C545">
        <v>1.00520757179576</v>
      </c>
      <c r="D545">
        <v>0.80290128570748298</v>
      </c>
      <c r="E545">
        <v>0.90401307846241796</v>
      </c>
      <c r="F545">
        <v>0.47621963271420997</v>
      </c>
      <c r="G545">
        <v>0.16842236350352799</v>
      </c>
      <c r="H545">
        <v>9.53678272580782E-2</v>
      </c>
      <c r="I545">
        <v>7.7119320628355206E-2</v>
      </c>
      <c r="J545">
        <v>6.8348771194174304E-2</v>
      </c>
      <c r="K545">
        <v>5.2221365346017103E-2</v>
      </c>
      <c r="L545">
        <v>1599.19666628614</v>
      </c>
      <c r="M545">
        <v>30.319026686242101</v>
      </c>
      <c r="N545">
        <v>53.0043457260861</v>
      </c>
      <c r="O545">
        <v>52.5177804896501</v>
      </c>
      <c r="P545">
        <v>-0.13440213095752901</v>
      </c>
      <c r="Q545">
        <v>6.8775197023347806E-2</v>
      </c>
      <c r="R545">
        <v>0.97564986826614197</v>
      </c>
      <c r="S545" t="s">
        <v>7162</v>
      </c>
      <c r="T545" t="s">
        <v>13232</v>
      </c>
      <c r="U545" t="s">
        <v>13232</v>
      </c>
      <c r="V545" t="s">
        <v>13232</v>
      </c>
      <c r="W545" t="s">
        <v>13763</v>
      </c>
      <c r="X545">
        <v>15</v>
      </c>
      <c r="Y545" t="s">
        <v>20303</v>
      </c>
      <c r="Z545" t="s">
        <v>26676</v>
      </c>
      <c r="AA545">
        <v>0.4703038641551886</v>
      </c>
      <c r="AB545" t="str">
        <f>HYPERLINK("Melting_Curves/meltCurve_F5GYN4_OTUB1.pdf", "Melting_Curves/meltCurve_F5GYN4_OTUB1.pdf")</f>
        <v>Melting_Curves/meltCurve_F5GYN4_OTUB1.pdf</v>
      </c>
    </row>
    <row r="546" spans="1:28" x14ac:dyDescent="0.25">
      <c r="A546" t="s">
        <v>550</v>
      </c>
      <c r="B546">
        <v>0.99930955844802105</v>
      </c>
      <c r="C546">
        <v>1.34978498847968</v>
      </c>
      <c r="D546">
        <v>1.1367373336831701</v>
      </c>
      <c r="E546">
        <v>0.93976805565235999</v>
      </c>
      <c r="F546">
        <v>0.62241121325896398</v>
      </c>
      <c r="G546">
        <v>0.477727124213217</v>
      </c>
      <c r="H546">
        <v>0.28998485628694998</v>
      </c>
      <c r="I546">
        <v>0.22261164650884099</v>
      </c>
      <c r="J546">
        <v>0.17645693568734999</v>
      </c>
      <c r="K546">
        <v>0.148224410602422</v>
      </c>
      <c r="L546">
        <v>1117.96007406739</v>
      </c>
      <c r="M546">
        <v>20.411298088161001</v>
      </c>
      <c r="N546">
        <v>55.915192472212297</v>
      </c>
      <c r="O546">
        <v>54.254028714838199</v>
      </c>
      <c r="P546">
        <v>-7.8007540994103897E-2</v>
      </c>
      <c r="Q546">
        <v>0.170636541404414</v>
      </c>
      <c r="R546">
        <v>0.90617244603118696</v>
      </c>
      <c r="S546" t="s">
        <v>7163</v>
      </c>
      <c r="T546" t="s">
        <v>13232</v>
      </c>
      <c r="U546" t="s">
        <v>13232</v>
      </c>
      <c r="V546" t="s">
        <v>13232</v>
      </c>
      <c r="W546" t="s">
        <v>13764</v>
      </c>
      <c r="X546">
        <v>1</v>
      </c>
      <c r="Y546" t="s">
        <v>20304</v>
      </c>
      <c r="Z546" t="s">
        <v>26677</v>
      </c>
      <c r="AA546">
        <v>0.58976782985848952</v>
      </c>
      <c r="AB546" t="str">
        <f>HYPERLINK("Melting_Curves/meltCurve_F5GZ06_MROH2B.pdf", "Melting_Curves/meltCurve_F5GZ06_MROH2B.pdf")</f>
        <v>Melting_Curves/meltCurve_F5GZ06_MROH2B.pdf</v>
      </c>
    </row>
    <row r="547" spans="1:28" x14ac:dyDescent="0.25">
      <c r="A547" t="s">
        <v>551</v>
      </c>
      <c r="B547">
        <v>0.99930955844802105</v>
      </c>
      <c r="C547">
        <v>1.09457094154477</v>
      </c>
      <c r="D547">
        <v>1.0243917053371401</v>
      </c>
      <c r="E547">
        <v>0.97816720688089798</v>
      </c>
      <c r="F547">
        <v>0.68017265655694503</v>
      </c>
      <c r="G547">
        <v>0.34763205128862201</v>
      </c>
      <c r="H547">
        <v>0.19097518700969601</v>
      </c>
      <c r="I547">
        <v>0.16074756326477499</v>
      </c>
      <c r="J547">
        <v>0.14629689168377499</v>
      </c>
      <c r="K547">
        <v>0.11544661194234999</v>
      </c>
      <c r="L547">
        <v>1481.8233604862201</v>
      </c>
      <c r="M547">
        <v>27.253242637491098</v>
      </c>
      <c r="N547">
        <v>55.030482805414998</v>
      </c>
      <c r="O547">
        <v>54.082150787426798</v>
      </c>
      <c r="P547">
        <v>-0.108461670143511</v>
      </c>
      <c r="Q547">
        <v>0.139069893427191</v>
      </c>
      <c r="R547">
        <v>0.99061480040974403</v>
      </c>
      <c r="S547" t="s">
        <v>7164</v>
      </c>
      <c r="T547" t="s">
        <v>13232</v>
      </c>
      <c r="U547" t="s">
        <v>13232</v>
      </c>
      <c r="V547" t="s">
        <v>13232</v>
      </c>
      <c r="W547" t="s">
        <v>13765</v>
      </c>
      <c r="X547">
        <v>21</v>
      </c>
      <c r="Y547" t="s">
        <v>20305</v>
      </c>
      <c r="Z547" t="s">
        <v>26678</v>
      </c>
      <c r="AA547">
        <v>0.55833091523131451</v>
      </c>
      <c r="AB547" t="str">
        <f>HYPERLINK("Melting_Curves/meltCurve_F5GZ78_PXN.pdf", "Melting_Curves/meltCurve_F5GZ78_PXN.pdf")</f>
        <v>Melting_Curves/meltCurve_F5GZ78_PXN.pdf</v>
      </c>
    </row>
    <row r="548" spans="1:28" x14ac:dyDescent="0.25">
      <c r="A548" t="s">
        <v>552</v>
      </c>
      <c r="B548">
        <v>0.99930955844802105</v>
      </c>
      <c r="C548">
        <v>1.05777759052277</v>
      </c>
      <c r="D548">
        <v>1.0641993054421199</v>
      </c>
      <c r="E548">
        <v>0.95582685827917802</v>
      </c>
      <c r="F548">
        <v>0.79084920706358897</v>
      </c>
      <c r="G548">
        <v>0.62159589913866797</v>
      </c>
      <c r="H548">
        <v>0.83576416407151299</v>
      </c>
      <c r="I548">
        <v>0.69699249896054105</v>
      </c>
      <c r="J548">
        <v>0.67094812399835602</v>
      </c>
      <c r="K548">
        <v>0.52470063508419695</v>
      </c>
      <c r="L548">
        <v>2510.5458516332601</v>
      </c>
      <c r="M548">
        <v>48.014912444472003</v>
      </c>
      <c r="O548">
        <v>52.196346258738103</v>
      </c>
      <c r="P548">
        <v>-7.5970581210323296E-2</v>
      </c>
      <c r="Q548">
        <v>0.66965412573535099</v>
      </c>
      <c r="R548">
        <v>0.81952382342498997</v>
      </c>
      <c r="S548" t="s">
        <v>7165</v>
      </c>
      <c r="T548" t="s">
        <v>13232</v>
      </c>
      <c r="U548" t="s">
        <v>13232</v>
      </c>
      <c r="V548" t="s">
        <v>13232</v>
      </c>
      <c r="W548" t="s">
        <v>13766</v>
      </c>
      <c r="X548">
        <v>3</v>
      </c>
      <c r="Y548" t="s">
        <v>20306</v>
      </c>
      <c r="Z548" t="s">
        <v>26679</v>
      </c>
      <c r="AA548">
        <v>0.80577700453344503</v>
      </c>
      <c r="AB548" t="str">
        <f>HYPERLINK("Melting_Curves/meltCurve_F5GZ84_FARP2.pdf", "Melting_Curves/meltCurve_F5GZ84_FARP2.pdf")</f>
        <v>Melting_Curves/meltCurve_F5GZ84_FARP2.pdf</v>
      </c>
    </row>
    <row r="549" spans="1:28" x14ac:dyDescent="0.25">
      <c r="A549" t="s">
        <v>553</v>
      </c>
      <c r="B549">
        <v>0.99930955844802105</v>
      </c>
      <c r="C549">
        <v>1.15387109120813</v>
      </c>
      <c r="D549">
        <v>1.166472020112</v>
      </c>
      <c r="E549">
        <v>1.07459433634655</v>
      </c>
      <c r="F549">
        <v>0.89531698385829594</v>
      </c>
      <c r="G549">
        <v>0.79879420311381499</v>
      </c>
      <c r="H549">
        <v>0.67121292766949303</v>
      </c>
      <c r="I549">
        <v>0.80807958775954802</v>
      </c>
      <c r="J549">
        <v>0.74096664936463896</v>
      </c>
      <c r="K549">
        <v>0.68046742231915902</v>
      </c>
      <c r="L549">
        <v>2104.8953646255</v>
      </c>
      <c r="M549">
        <v>38.7477762192906</v>
      </c>
      <c r="O549">
        <v>54.178909206635403</v>
      </c>
      <c r="P549">
        <v>-4.8349077626668603E-2</v>
      </c>
      <c r="Q549">
        <v>0.72958508342926098</v>
      </c>
      <c r="R549">
        <v>0.77259114365312798</v>
      </c>
      <c r="S549" t="s">
        <v>7166</v>
      </c>
      <c r="T549" t="s">
        <v>13232</v>
      </c>
      <c r="U549" t="s">
        <v>13232</v>
      </c>
      <c r="V549" t="s">
        <v>13232</v>
      </c>
      <c r="W549" t="s">
        <v>13767</v>
      </c>
      <c r="X549">
        <v>2</v>
      </c>
      <c r="Y549" t="s">
        <v>20307</v>
      </c>
      <c r="Z549" t="s">
        <v>26680</v>
      </c>
      <c r="AA549">
        <v>0.85976936105783808</v>
      </c>
      <c r="AB549" t="str">
        <f>HYPERLINK("Melting_Curves/meltCurve_F5GZ90_DTL.pdf", "Melting_Curves/meltCurve_F5GZ90_DTL.pdf")</f>
        <v>Melting_Curves/meltCurve_F5GZ90_DTL.pdf</v>
      </c>
    </row>
    <row r="550" spans="1:28" x14ac:dyDescent="0.25">
      <c r="A550" t="s">
        <v>554</v>
      </c>
      <c r="B550">
        <v>0.99930955844802105</v>
      </c>
      <c r="C550">
        <v>0.95965101713769296</v>
      </c>
      <c r="D550">
        <v>0.95605219623647897</v>
      </c>
      <c r="E550">
        <v>0.988301538980774</v>
      </c>
      <c r="F550">
        <v>0.87038639954431796</v>
      </c>
      <c r="G550">
        <v>0.69889489625215895</v>
      </c>
      <c r="H550">
        <v>0.54583342148777403</v>
      </c>
      <c r="I550">
        <v>0.49258070592608799</v>
      </c>
      <c r="J550">
        <v>0.39815428761217297</v>
      </c>
      <c r="K550">
        <v>0.15790904819643101</v>
      </c>
      <c r="L550">
        <v>666.245061099905</v>
      </c>
      <c r="M550">
        <v>10.644941849034399</v>
      </c>
      <c r="N550">
        <v>62.587947465608302</v>
      </c>
      <c r="O550">
        <v>60.500366366263101</v>
      </c>
      <c r="P550">
        <v>-4.4003933711117098E-2</v>
      </c>
      <c r="Q550">
        <v>0</v>
      </c>
      <c r="R550">
        <v>0.97314407107734302</v>
      </c>
      <c r="S550" t="s">
        <v>7167</v>
      </c>
      <c r="T550" t="s">
        <v>13232</v>
      </c>
      <c r="U550" t="s">
        <v>13232</v>
      </c>
      <c r="V550" t="s">
        <v>13232</v>
      </c>
      <c r="W550" t="s">
        <v>13768</v>
      </c>
      <c r="X550">
        <v>6</v>
      </c>
      <c r="Y550" t="s">
        <v>20308</v>
      </c>
      <c r="Z550" t="s">
        <v>26681</v>
      </c>
      <c r="AA550">
        <v>0.72996710467889347</v>
      </c>
      <c r="AB550" t="str">
        <f>HYPERLINK("Melting_Curves/meltCurve_F5GZG6_TPK1.pdf", "Melting_Curves/meltCurve_F5GZG6_TPK1.pdf")</f>
        <v>Melting_Curves/meltCurve_F5GZG6_TPK1.pdf</v>
      </c>
    </row>
    <row r="551" spans="1:28" x14ac:dyDescent="0.25">
      <c r="A551" t="s">
        <v>555</v>
      </c>
      <c r="B551">
        <v>0.99930955844802105</v>
      </c>
      <c r="C551">
        <v>0.85066236335474699</v>
      </c>
      <c r="D551">
        <v>0.83744206369474805</v>
      </c>
      <c r="E551">
        <v>0.73495057000586295</v>
      </c>
      <c r="F551">
        <v>0.46456288669625001</v>
      </c>
      <c r="G551">
        <v>0.32183150174550601</v>
      </c>
      <c r="H551">
        <v>0.20232185356239399</v>
      </c>
      <c r="I551">
        <v>0.14166298673777</v>
      </c>
      <c r="J551">
        <v>8.2911587193260999E-2</v>
      </c>
      <c r="K551">
        <v>9.5982576945791806E-2</v>
      </c>
      <c r="L551">
        <v>572.10080427639696</v>
      </c>
      <c r="M551">
        <v>10.7795679577965</v>
      </c>
      <c r="N551">
        <v>53.127691715557603</v>
      </c>
      <c r="O551">
        <v>51.344106372916102</v>
      </c>
      <c r="P551">
        <v>-5.2214744692466203E-2</v>
      </c>
      <c r="Q551">
        <v>5.5478374408971503E-3</v>
      </c>
      <c r="R551">
        <v>0.98681348970278904</v>
      </c>
      <c r="S551" t="s">
        <v>7168</v>
      </c>
      <c r="T551" t="s">
        <v>13232</v>
      </c>
      <c r="U551" t="s">
        <v>13232</v>
      </c>
      <c r="V551" t="s">
        <v>13232</v>
      </c>
      <c r="W551" t="s">
        <v>13769</v>
      </c>
      <c r="X551">
        <v>6</v>
      </c>
      <c r="Y551" t="s">
        <v>20309</v>
      </c>
      <c r="Z551" t="s">
        <v>26682</v>
      </c>
      <c r="AA551">
        <v>0.47035382613215959</v>
      </c>
      <c r="AB551" t="str">
        <f>HYPERLINK("Melting_Curves/meltCurve_F5GZQ4_LDHA.pdf", "Melting_Curves/meltCurve_F5GZQ4_LDHA.pdf")</f>
        <v>Melting_Curves/meltCurve_F5GZQ4_LDHA.pdf</v>
      </c>
    </row>
    <row r="552" spans="1:28" x14ac:dyDescent="0.25">
      <c r="A552" t="s">
        <v>556</v>
      </c>
      <c r="B552">
        <v>0.99930955844802105</v>
      </c>
      <c r="C552">
        <v>0.55653523248667502</v>
      </c>
      <c r="D552">
        <v>0.358899870329354</v>
      </c>
      <c r="E552">
        <v>0.163406270107812</v>
      </c>
      <c r="F552">
        <v>8.9814875233253003E-2</v>
      </c>
      <c r="G552">
        <v>6.6980069840584605E-2</v>
      </c>
      <c r="H552">
        <v>2.95844488171026E-2</v>
      </c>
      <c r="I552">
        <v>3.3357822049395698E-2</v>
      </c>
      <c r="J552">
        <v>2.9648524379326E-2</v>
      </c>
      <c r="K552">
        <v>2.4926826032729301E-2</v>
      </c>
      <c r="L552">
        <v>865.70112590587905</v>
      </c>
      <c r="M552">
        <v>19.6463601315609</v>
      </c>
      <c r="N552">
        <v>44.262422606235297</v>
      </c>
      <c r="O552">
        <v>43.615282833160101</v>
      </c>
      <c r="P552">
        <v>-0.107873202785426</v>
      </c>
      <c r="Q552">
        <v>4.2111397390184498E-2</v>
      </c>
      <c r="R552">
        <v>0.97388379106822898</v>
      </c>
      <c r="S552" t="s">
        <v>7169</v>
      </c>
      <c r="T552" t="s">
        <v>13232</v>
      </c>
      <c r="U552" t="s">
        <v>13232</v>
      </c>
      <c r="V552" t="s">
        <v>13232</v>
      </c>
      <c r="W552" t="s">
        <v>13770</v>
      </c>
      <c r="X552">
        <v>1</v>
      </c>
      <c r="Y552" t="s">
        <v>20310</v>
      </c>
      <c r="Z552" t="s">
        <v>26683</v>
      </c>
      <c r="AA552">
        <v>0.19107610678025719</v>
      </c>
      <c r="AB552" t="str">
        <f>HYPERLINK("Melting_Curves/meltCurve_F5GZT2_SPAG5.pdf", "Melting_Curves/meltCurve_F5GZT2_SPAG5.pdf")</f>
        <v>Melting_Curves/meltCurve_F5GZT2_SPAG5.pdf</v>
      </c>
    </row>
    <row r="553" spans="1:28" x14ac:dyDescent="0.25">
      <c r="A553" t="s">
        <v>557</v>
      </c>
      <c r="B553">
        <v>0.99930955844802105</v>
      </c>
      <c r="C553">
        <v>0.97097577637370103</v>
      </c>
      <c r="D553">
        <v>0.77333070382818003</v>
      </c>
      <c r="E553">
        <v>0.40568080198503098</v>
      </c>
      <c r="F553">
        <v>0.22490093236900799</v>
      </c>
      <c r="G553">
        <v>0.179208568108849</v>
      </c>
      <c r="H553">
        <v>0.12805232597277599</v>
      </c>
      <c r="I553">
        <v>0.13497888177850501</v>
      </c>
      <c r="J553">
        <v>0.12547636639321699</v>
      </c>
      <c r="K553">
        <v>9.8746153602614406E-2</v>
      </c>
      <c r="L553">
        <v>1070.8609387582601</v>
      </c>
      <c r="M553">
        <v>22.169249691821602</v>
      </c>
      <c r="N553">
        <v>48.928581106984403</v>
      </c>
      <c r="O553">
        <v>47.916004971093301</v>
      </c>
      <c r="P553">
        <v>-0.10141263739133</v>
      </c>
      <c r="Q553">
        <v>0.12325708333149001</v>
      </c>
      <c r="R553">
        <v>0.99825394690529201</v>
      </c>
      <c r="S553" t="s">
        <v>7170</v>
      </c>
      <c r="T553" t="s">
        <v>13232</v>
      </c>
      <c r="U553" t="s">
        <v>13232</v>
      </c>
      <c r="V553" t="s">
        <v>13232</v>
      </c>
      <c r="W553" t="s">
        <v>13771</v>
      </c>
      <c r="X553">
        <v>22</v>
      </c>
      <c r="Y553" t="s">
        <v>20311</v>
      </c>
      <c r="Z553" t="s">
        <v>26684</v>
      </c>
      <c r="AA553">
        <v>0.37591526270151843</v>
      </c>
      <c r="AB553" t="str">
        <f>HYPERLINK("Melting_Curves/meltCurve_F5GZW3_ARHGAP4.pdf", "Melting_Curves/meltCurve_F5GZW3_ARHGAP4.pdf")</f>
        <v>Melting_Curves/meltCurve_F5GZW3_ARHGAP4.pdf</v>
      </c>
    </row>
    <row r="554" spans="1:28" x14ac:dyDescent="0.25">
      <c r="A554" t="s">
        <v>558</v>
      </c>
      <c r="B554">
        <v>0.99930955844802105</v>
      </c>
      <c r="C554">
        <v>0.64224143884497997</v>
      </c>
      <c r="D554">
        <v>0.44200200885022201</v>
      </c>
      <c r="E554">
        <v>0.47964343096645301</v>
      </c>
      <c r="F554">
        <v>0.34494697228415699</v>
      </c>
      <c r="G554">
        <v>0.29754950304640598</v>
      </c>
      <c r="H554">
        <v>0.14554944191227501</v>
      </c>
      <c r="I554">
        <v>0.126546803386755</v>
      </c>
      <c r="J554">
        <v>4.9739013182579603E-2</v>
      </c>
      <c r="K554">
        <v>2.4858384700740199E-2</v>
      </c>
      <c r="L554">
        <v>385.79028853124203</v>
      </c>
      <c r="M554">
        <v>8.0427211544624395</v>
      </c>
      <c r="N554">
        <v>47.967632468186302</v>
      </c>
      <c r="O554">
        <v>45.274909746240098</v>
      </c>
      <c r="P554">
        <v>-4.4459721210704801E-2</v>
      </c>
      <c r="Q554">
        <v>0</v>
      </c>
      <c r="R554">
        <v>0.91536937043435995</v>
      </c>
      <c r="S554" t="s">
        <v>7171</v>
      </c>
      <c r="T554" t="s">
        <v>13232</v>
      </c>
      <c r="U554" t="s">
        <v>13232</v>
      </c>
      <c r="V554" t="s">
        <v>13232</v>
      </c>
      <c r="W554" t="s">
        <v>13772</v>
      </c>
      <c r="X554">
        <v>4</v>
      </c>
      <c r="Y554" t="s">
        <v>20312</v>
      </c>
      <c r="Z554" t="s">
        <v>26685</v>
      </c>
      <c r="AA554">
        <v>0.3379443179668653</v>
      </c>
      <c r="AB554" t="str">
        <f>HYPERLINK("Melting_Curves/meltCurve_F5GZY0_APLP2.pdf", "Melting_Curves/meltCurve_F5GZY0_APLP2.pdf")</f>
        <v>Melting_Curves/meltCurve_F5GZY0_APLP2.pdf</v>
      </c>
    </row>
    <row r="555" spans="1:28" x14ac:dyDescent="0.25">
      <c r="A555" t="s">
        <v>559</v>
      </c>
      <c r="B555">
        <v>0.99930955844802105</v>
      </c>
      <c r="C555">
        <v>0.97095034732091801</v>
      </c>
      <c r="D555">
        <v>0.86585193715484299</v>
      </c>
      <c r="E555">
        <v>0.50262013298508201</v>
      </c>
      <c r="F555">
        <v>0.173954911648668</v>
      </c>
      <c r="G555">
        <v>0.17931632499130801</v>
      </c>
      <c r="H555">
        <v>0.130422964059171</v>
      </c>
      <c r="I555">
        <v>0.112302526294964</v>
      </c>
      <c r="J555">
        <v>0.1032664803101</v>
      </c>
      <c r="K555">
        <v>8.7077365889351402E-2</v>
      </c>
      <c r="L555">
        <v>1303.6179769830901</v>
      </c>
      <c r="M555">
        <v>26.448661227389501</v>
      </c>
      <c r="N555">
        <v>49.751720139311303</v>
      </c>
      <c r="O555">
        <v>49.009442446965402</v>
      </c>
      <c r="P555">
        <v>-0.120196652463829</v>
      </c>
      <c r="Q555">
        <v>0.109110746623669</v>
      </c>
      <c r="R555">
        <v>0.99449281372005205</v>
      </c>
      <c r="S555" t="s">
        <v>7172</v>
      </c>
      <c r="T555" t="s">
        <v>13232</v>
      </c>
      <c r="U555" t="s">
        <v>13232</v>
      </c>
      <c r="V555" t="s">
        <v>13232</v>
      </c>
      <c r="W555" t="s">
        <v>13773</v>
      </c>
      <c r="X555">
        <v>14</v>
      </c>
      <c r="Y555" t="s">
        <v>20313</v>
      </c>
      <c r="Z555" t="s">
        <v>26686</v>
      </c>
      <c r="AA555">
        <v>0.39199825119497578</v>
      </c>
      <c r="AB555" t="str">
        <f>HYPERLINK("Melting_Curves/meltCurve_F5H012_TRIM21.pdf", "Melting_Curves/meltCurve_F5H012_TRIM21.pdf")</f>
        <v>Melting_Curves/meltCurve_F5H012_TRIM21.pdf</v>
      </c>
    </row>
    <row r="556" spans="1:28" x14ac:dyDescent="0.25">
      <c r="A556" t="s">
        <v>560</v>
      </c>
      <c r="B556">
        <v>0.99930955844802105</v>
      </c>
      <c r="C556">
        <v>1.0618627556373399</v>
      </c>
      <c r="D556">
        <v>1.00767150919404</v>
      </c>
      <c r="E556">
        <v>0.84368243426595402</v>
      </c>
      <c r="F556">
        <v>0.68267149607473598</v>
      </c>
      <c r="G556">
        <v>0.49850394874633203</v>
      </c>
      <c r="H556">
        <v>0.31744186533459601</v>
      </c>
      <c r="I556">
        <v>0.27061171684803698</v>
      </c>
      <c r="J556">
        <v>0.17297606698666801</v>
      </c>
      <c r="K556">
        <v>0.16234231090585599</v>
      </c>
      <c r="L556">
        <v>809.88601431583197</v>
      </c>
      <c r="M556">
        <v>14.576418220723101</v>
      </c>
      <c r="N556">
        <v>56.719310921245899</v>
      </c>
      <c r="O556">
        <v>54.547065400528901</v>
      </c>
      <c r="P556">
        <v>-5.8215694267857797E-2</v>
      </c>
      <c r="Q556">
        <v>0.128692280471538</v>
      </c>
      <c r="R556">
        <v>0.99117987442624</v>
      </c>
      <c r="S556" t="s">
        <v>7173</v>
      </c>
      <c r="T556" t="s">
        <v>13232</v>
      </c>
      <c r="U556" t="s">
        <v>13232</v>
      </c>
      <c r="V556" t="s">
        <v>13232</v>
      </c>
      <c r="W556" t="s">
        <v>13774</v>
      </c>
      <c r="X556">
        <v>2</v>
      </c>
      <c r="Y556" t="s">
        <v>20314</v>
      </c>
      <c r="Z556" t="s">
        <v>26687</v>
      </c>
      <c r="AA556">
        <v>0.59716595265291361</v>
      </c>
      <c r="AB556" t="str">
        <f>HYPERLINK("Melting_Curves/meltCurve_F5H0E9_ESRRA.pdf", "Melting_Curves/meltCurve_F5H0E9_ESRRA.pdf")</f>
        <v>Melting_Curves/meltCurve_F5H0E9_ESRRA.pdf</v>
      </c>
    </row>
    <row r="557" spans="1:28" x14ac:dyDescent="0.25">
      <c r="A557" t="s">
        <v>561</v>
      </c>
      <c r="B557">
        <v>0.99930955844802105</v>
      </c>
      <c r="C557">
        <v>0.59030904833699904</v>
      </c>
      <c r="D557">
        <v>0.62493385675359203</v>
      </c>
      <c r="E557">
        <v>0.85314085509065896</v>
      </c>
      <c r="F557">
        <v>0.60922039426170405</v>
      </c>
      <c r="G557">
        <v>0.237588210108439</v>
      </c>
      <c r="H557">
        <v>0.13493557937114101</v>
      </c>
      <c r="I557">
        <v>0.11089547888255701</v>
      </c>
      <c r="J557">
        <v>9.3971701934238996E-2</v>
      </c>
      <c r="K557">
        <v>8.2956298258517899E-2</v>
      </c>
      <c r="L557">
        <v>445.58612088502002</v>
      </c>
      <c r="M557">
        <v>8.5525291114876101</v>
      </c>
      <c r="N557">
        <v>52.099921574491503</v>
      </c>
      <c r="O557">
        <v>49.485973247141999</v>
      </c>
      <c r="P557">
        <v>-4.32448747260007E-2</v>
      </c>
      <c r="Q557">
        <v>0</v>
      </c>
      <c r="R557">
        <v>0.80401524336771601</v>
      </c>
      <c r="S557" t="s">
        <v>7174</v>
      </c>
      <c r="T557" t="s">
        <v>13232</v>
      </c>
      <c r="U557" t="s">
        <v>13232</v>
      </c>
      <c r="V557" t="s">
        <v>13232</v>
      </c>
      <c r="W557" t="s">
        <v>13775</v>
      </c>
      <c r="X557">
        <v>11</v>
      </c>
      <c r="Y557" t="s">
        <v>20315</v>
      </c>
      <c r="Z557" t="s">
        <v>26688</v>
      </c>
      <c r="AA557">
        <v>0.44718286779813282</v>
      </c>
      <c r="AB557" t="str">
        <f>HYPERLINK("Melting_Curves/meltCurve_F5H0F9_ANAPC5.pdf", "Melting_Curves/meltCurve_F5H0F9_ANAPC5.pdf")</f>
        <v>Melting_Curves/meltCurve_F5H0F9_ANAPC5.pdf</v>
      </c>
    </row>
    <row r="558" spans="1:28" x14ac:dyDescent="0.25">
      <c r="A558" t="s">
        <v>562</v>
      </c>
      <c r="B558">
        <v>0.99930955844802105</v>
      </c>
      <c r="C558">
        <v>0.90614367391896</v>
      </c>
      <c r="D558">
        <v>0.82919721943450397</v>
      </c>
      <c r="E558">
        <v>0.71809621385712696</v>
      </c>
      <c r="F558">
        <v>0.40474853062955601</v>
      </c>
      <c r="G558">
        <v>0.233566225450519</v>
      </c>
      <c r="H558">
        <v>0.14345239762031001</v>
      </c>
      <c r="I558">
        <v>0.133328321472546</v>
      </c>
      <c r="J558">
        <v>0.12247431861811001</v>
      </c>
      <c r="K558">
        <v>9.6012226195214101E-2</v>
      </c>
      <c r="L558">
        <v>782.93771667100896</v>
      </c>
      <c r="M558">
        <v>15.2106395788753</v>
      </c>
      <c r="N558">
        <v>52.062875551991297</v>
      </c>
      <c r="O558">
        <v>50.607943686077597</v>
      </c>
      <c r="P558">
        <v>-6.9199024169774206E-2</v>
      </c>
      <c r="Q558">
        <v>7.9148423694391498E-2</v>
      </c>
      <c r="R558">
        <v>0.98952763230391805</v>
      </c>
      <c r="S558" t="s">
        <v>7175</v>
      </c>
      <c r="T558" t="s">
        <v>13232</v>
      </c>
      <c r="U558" t="s">
        <v>13232</v>
      </c>
      <c r="V558" t="s">
        <v>13232</v>
      </c>
      <c r="W558" t="s">
        <v>13776</v>
      </c>
      <c r="X558">
        <v>22</v>
      </c>
      <c r="Y558" t="s">
        <v>20316</v>
      </c>
      <c r="Z558" t="s">
        <v>26689</v>
      </c>
      <c r="AA558">
        <v>0.45180660490270469</v>
      </c>
      <c r="AB558" t="str">
        <f>HYPERLINK("Melting_Curves/meltCurve_F5H0K8_KSR1.pdf", "Melting_Curves/meltCurve_F5H0K8_KSR1.pdf")</f>
        <v>Melting_Curves/meltCurve_F5H0K8_KSR1.pdf</v>
      </c>
    </row>
    <row r="559" spans="1:28" x14ac:dyDescent="0.25">
      <c r="A559" t="s">
        <v>563</v>
      </c>
      <c r="B559">
        <v>0.99930955844802105</v>
      </c>
      <c r="C559">
        <v>0.95506852106235296</v>
      </c>
      <c r="D559">
        <v>0.89975432403962996</v>
      </c>
      <c r="E559">
        <v>0.513633838758633</v>
      </c>
      <c r="F559">
        <v>0.25872966332866598</v>
      </c>
      <c r="G559">
        <v>0.171036466800422</v>
      </c>
      <c r="H559">
        <v>9.1549951279567998E-2</v>
      </c>
      <c r="I559">
        <v>7.5465332157724704E-2</v>
      </c>
      <c r="J559">
        <v>7.4142087608930901E-2</v>
      </c>
      <c r="K559">
        <v>5.6610180761505799E-2</v>
      </c>
      <c r="L559">
        <v>1107.81464810426</v>
      </c>
      <c r="M559">
        <v>22.2156946914426</v>
      </c>
      <c r="N559">
        <v>50.231828402751802</v>
      </c>
      <c r="O559">
        <v>49.467528372260901</v>
      </c>
      <c r="P559">
        <v>-0.10389698769918899</v>
      </c>
      <c r="Q559">
        <v>7.4633164245011596E-2</v>
      </c>
      <c r="R559">
        <v>0.99757428415776594</v>
      </c>
      <c r="S559" t="s">
        <v>7176</v>
      </c>
      <c r="T559" t="s">
        <v>13232</v>
      </c>
      <c r="U559" t="s">
        <v>13232</v>
      </c>
      <c r="V559" t="s">
        <v>13232</v>
      </c>
      <c r="W559" t="s">
        <v>13777</v>
      </c>
      <c r="X559">
        <v>26</v>
      </c>
      <c r="Y559" t="s">
        <v>20317</v>
      </c>
      <c r="Z559" t="s">
        <v>26690</v>
      </c>
      <c r="AA559">
        <v>0.38943384826653987</v>
      </c>
      <c r="AB559" t="str">
        <f>HYPERLINK("Melting_Curves/meltCurve_F5H0L8_SEC23IP.pdf", "Melting_Curves/meltCurve_F5H0L8_SEC23IP.pdf")</f>
        <v>Melting_Curves/meltCurve_F5H0L8_SEC23IP.pdf</v>
      </c>
    </row>
    <row r="560" spans="1:28" x14ac:dyDescent="0.25">
      <c r="A560" t="s">
        <v>564</v>
      </c>
      <c r="B560">
        <v>0.99930955844802105</v>
      </c>
      <c r="C560">
        <v>1.06791833197705</v>
      </c>
      <c r="D560">
        <v>0.94746969468662401</v>
      </c>
      <c r="E560">
        <v>0.95495631235241096</v>
      </c>
      <c r="F560">
        <v>0.81872590508235998</v>
      </c>
      <c r="G560">
        <v>0.66113288173171403</v>
      </c>
      <c r="H560">
        <v>0.61949347912749297</v>
      </c>
      <c r="I560">
        <v>0.65905127011040998</v>
      </c>
      <c r="J560">
        <v>0.599354581250785</v>
      </c>
      <c r="K560">
        <v>0.49446505469622598</v>
      </c>
      <c r="L560">
        <v>1035.19758034248</v>
      </c>
      <c r="M560">
        <v>19.1292837074506</v>
      </c>
      <c r="O560">
        <v>53.5348584937583</v>
      </c>
      <c r="P560">
        <v>-3.8661769429257101E-2</v>
      </c>
      <c r="Q560">
        <v>0.56722427122952201</v>
      </c>
      <c r="R560">
        <v>0.94543376637082299</v>
      </c>
      <c r="S560" t="s">
        <v>7177</v>
      </c>
      <c r="T560" t="s">
        <v>13232</v>
      </c>
      <c r="U560" t="s">
        <v>13232</v>
      </c>
      <c r="V560" t="s">
        <v>13232</v>
      </c>
      <c r="W560" t="s">
        <v>13778</v>
      </c>
      <c r="X560">
        <v>8</v>
      </c>
      <c r="Y560" t="s">
        <v>20318</v>
      </c>
      <c r="Z560" t="s">
        <v>26691</v>
      </c>
      <c r="AA560">
        <v>0.77715416733151632</v>
      </c>
      <c r="AB560" t="str">
        <f>HYPERLINK("Melting_Curves/meltCurve_F5H0Q6_CLASRP.pdf", "Melting_Curves/meltCurve_F5H0Q6_CLASRP.pdf")</f>
        <v>Melting_Curves/meltCurve_F5H0Q6_CLASRP.pdf</v>
      </c>
    </row>
    <row r="561" spans="1:28" x14ac:dyDescent="0.25">
      <c r="A561" t="s">
        <v>565</v>
      </c>
      <c r="B561">
        <v>0.99930955844802105</v>
      </c>
      <c r="C561">
        <v>1.1200313358826</v>
      </c>
      <c r="D561">
        <v>1.11230590276603</v>
      </c>
      <c r="E561">
        <v>1.0362143714179699</v>
      </c>
      <c r="F561">
        <v>0.91529761711023006</v>
      </c>
      <c r="G561">
        <v>0.78894948578027302</v>
      </c>
      <c r="H561">
        <v>0.81877270311807404</v>
      </c>
      <c r="I561">
        <v>0.82333963096030804</v>
      </c>
      <c r="J561">
        <v>0.76467353023701401</v>
      </c>
      <c r="K561">
        <v>0.63438646821852296</v>
      </c>
      <c r="L561">
        <v>841.701633596487</v>
      </c>
      <c r="M561">
        <v>14.4364676208725</v>
      </c>
      <c r="O561">
        <v>57.219359035955101</v>
      </c>
      <c r="P561">
        <v>-1.9779706718981199E-2</v>
      </c>
      <c r="Q561">
        <v>0.68644701619390303</v>
      </c>
      <c r="R561">
        <v>0.77714051120294003</v>
      </c>
      <c r="S561" t="s">
        <v>7178</v>
      </c>
      <c r="T561" t="s">
        <v>13232</v>
      </c>
      <c r="U561" t="s">
        <v>13232</v>
      </c>
      <c r="V561" t="s">
        <v>13232</v>
      </c>
      <c r="W561" t="s">
        <v>13779</v>
      </c>
      <c r="X561">
        <v>3</v>
      </c>
      <c r="Y561" t="s">
        <v>20319</v>
      </c>
      <c r="Z561" t="s">
        <v>26692</v>
      </c>
      <c r="AA561">
        <v>0.88169676859590329</v>
      </c>
      <c r="AB561" t="str">
        <f>HYPERLINK("Melting_Curves/meltCurve_F5H105_ZNF384.pdf", "Melting_Curves/meltCurve_F5H105_ZNF384.pdf")</f>
        <v>Melting_Curves/meltCurve_F5H105_ZNF384.pdf</v>
      </c>
    </row>
    <row r="562" spans="1:28" x14ac:dyDescent="0.25">
      <c r="A562" t="s">
        <v>566</v>
      </c>
      <c r="B562">
        <v>0.99930955844802105</v>
      </c>
      <c r="C562">
        <v>1.00930135090992</v>
      </c>
      <c r="D562">
        <v>0.97254501805421001</v>
      </c>
      <c r="E562">
        <v>0.94256647352169598</v>
      </c>
      <c r="F562">
        <v>0.88683519479330997</v>
      </c>
      <c r="G562">
        <v>0.75879073485751902</v>
      </c>
      <c r="H562">
        <v>0.60823321239320105</v>
      </c>
      <c r="I562">
        <v>0.58169295813770205</v>
      </c>
      <c r="J562">
        <v>0.41145376167366099</v>
      </c>
      <c r="K562">
        <v>0.183402770103579</v>
      </c>
      <c r="L562">
        <v>694.86396772381295</v>
      </c>
      <c r="M562">
        <v>10.8781427444227</v>
      </c>
      <c r="N562">
        <v>63.877092856532101</v>
      </c>
      <c r="O562">
        <v>61.832116411880598</v>
      </c>
      <c r="P562">
        <v>-4.3998057572085102E-2</v>
      </c>
      <c r="Q562">
        <v>0</v>
      </c>
      <c r="R562">
        <v>0.972400209962344</v>
      </c>
      <c r="S562" t="s">
        <v>7179</v>
      </c>
      <c r="T562" t="s">
        <v>13232</v>
      </c>
      <c r="U562" t="s">
        <v>13232</v>
      </c>
      <c r="V562" t="s">
        <v>13232</v>
      </c>
      <c r="W562" t="s">
        <v>13780</v>
      </c>
      <c r="X562">
        <v>16</v>
      </c>
      <c r="Y562" t="s">
        <v>20320</v>
      </c>
      <c r="Z562" t="s">
        <v>26693</v>
      </c>
      <c r="AA562">
        <v>0.7613191643077204</v>
      </c>
      <c r="AB562" t="str">
        <f>HYPERLINK("Melting_Curves/meltCurve_F5H1L4_TXNRD2.pdf", "Melting_Curves/meltCurve_F5H1L4_TXNRD2.pdf")</f>
        <v>Melting_Curves/meltCurve_F5H1L4_TXNRD2.pdf</v>
      </c>
    </row>
    <row r="563" spans="1:28" x14ac:dyDescent="0.25">
      <c r="A563" t="s">
        <v>567</v>
      </c>
      <c r="B563">
        <v>0.99930955844802105</v>
      </c>
      <c r="C563">
        <v>1.1085292085702001</v>
      </c>
      <c r="D563">
        <v>1.0388100625150101</v>
      </c>
      <c r="E563">
        <v>1.0849960702150401</v>
      </c>
      <c r="F563">
        <v>1.13641748173037</v>
      </c>
      <c r="G563">
        <v>1.021636782459</v>
      </c>
      <c r="H563">
        <v>1.0271740507856699</v>
      </c>
      <c r="I563">
        <v>1.2263462612171201</v>
      </c>
      <c r="J563">
        <v>1.2449980902403399</v>
      </c>
      <c r="K563">
        <v>0.894286820771789</v>
      </c>
      <c r="L563">
        <v>10282.1859596298</v>
      </c>
      <c r="M563">
        <v>250</v>
      </c>
      <c r="O563">
        <v>41.126111881905999</v>
      </c>
      <c r="P563">
        <v>0.13224842121643399</v>
      </c>
      <c r="Q563">
        <v>1.08702181375087</v>
      </c>
      <c r="R563">
        <v>6.8192584926855204E-2</v>
      </c>
      <c r="S563" t="s">
        <v>7180</v>
      </c>
      <c r="T563" t="s">
        <v>13232</v>
      </c>
      <c r="U563" t="s">
        <v>13232</v>
      </c>
      <c r="V563" t="s">
        <v>13232</v>
      </c>
      <c r="W563" t="s">
        <v>13781</v>
      </c>
      <c r="X563">
        <v>4</v>
      </c>
      <c r="Y563" t="s">
        <v>20321</v>
      </c>
      <c r="Z563" t="s">
        <v>26694</v>
      </c>
      <c r="AA563">
        <v>1.0837409680707331</v>
      </c>
      <c r="AB563" t="str">
        <f>HYPERLINK("Melting_Curves/meltCurve_F5H1N7_KIAA1211.pdf", "Melting_Curves/meltCurve_F5H1N7_KIAA1211.pdf")</f>
        <v>Melting_Curves/meltCurve_F5H1N7_KIAA1211.pdf</v>
      </c>
    </row>
    <row r="564" spans="1:28" x14ac:dyDescent="0.25">
      <c r="A564" t="s">
        <v>568</v>
      </c>
      <c r="B564">
        <v>0.99930955844802105</v>
      </c>
      <c r="C564">
        <v>0.78935813072754002</v>
      </c>
      <c r="D564">
        <v>0.68771418776651705</v>
      </c>
      <c r="E564">
        <v>0.75828454263773404</v>
      </c>
      <c r="F564">
        <v>0.46959982419356999</v>
      </c>
      <c r="G564">
        <v>0.20387489918996399</v>
      </c>
      <c r="H564">
        <v>0.10701071759306199</v>
      </c>
      <c r="I564">
        <v>8.2868550596707696E-2</v>
      </c>
      <c r="J564">
        <v>6.6646548480270199E-2</v>
      </c>
      <c r="K564">
        <v>4.7089073288098901E-2</v>
      </c>
      <c r="L564">
        <v>572.89592594198405</v>
      </c>
      <c r="M564">
        <v>11.0732909910346</v>
      </c>
      <c r="N564">
        <v>51.736722310085398</v>
      </c>
      <c r="O564">
        <v>50.135393365836897</v>
      </c>
      <c r="P564">
        <v>-5.5235120087515702E-2</v>
      </c>
      <c r="Q564">
        <v>0</v>
      </c>
      <c r="R564">
        <v>0.94723342915487896</v>
      </c>
      <c r="S564" t="s">
        <v>7181</v>
      </c>
      <c r="T564" t="s">
        <v>13232</v>
      </c>
      <c r="U564" t="s">
        <v>13232</v>
      </c>
      <c r="V564" t="s">
        <v>13232</v>
      </c>
      <c r="W564" t="s">
        <v>13782</v>
      </c>
      <c r="X564">
        <v>4</v>
      </c>
      <c r="Y564" t="s">
        <v>20322</v>
      </c>
      <c r="Z564" t="s">
        <v>26695</v>
      </c>
      <c r="AA564">
        <v>0.42573903893304738</v>
      </c>
      <c r="AB564" t="str">
        <f>HYPERLINK("Melting_Curves/meltCurve_F5H1S8_MLEC.pdf", "Melting_Curves/meltCurve_F5H1S8_MLEC.pdf")</f>
        <v>Melting_Curves/meltCurve_F5H1S8_MLEC.pdf</v>
      </c>
    </row>
    <row r="565" spans="1:28" x14ac:dyDescent="0.25">
      <c r="A565" t="s">
        <v>569</v>
      </c>
      <c r="B565">
        <v>0.99930955844802105</v>
      </c>
      <c r="C565">
        <v>0.93838669858437895</v>
      </c>
      <c r="D565">
        <v>0.94088582162547496</v>
      </c>
      <c r="E565">
        <v>0.79069452840233001</v>
      </c>
      <c r="F565">
        <v>0.27875968705675802</v>
      </c>
      <c r="G565">
        <v>0.16974579073912299</v>
      </c>
      <c r="H565">
        <v>0.105477351403526</v>
      </c>
      <c r="I565">
        <v>9.4281216233860904E-2</v>
      </c>
      <c r="J565">
        <v>8.3652655776530194E-2</v>
      </c>
      <c r="K565">
        <v>6.4444957993020899E-2</v>
      </c>
      <c r="L565">
        <v>2121.0978373409898</v>
      </c>
      <c r="M565">
        <v>41.298124645159398</v>
      </c>
      <c r="N565">
        <v>51.633509339413301</v>
      </c>
      <c r="O565">
        <v>51.240648016575399</v>
      </c>
      <c r="P565">
        <v>-0.181738760536755</v>
      </c>
      <c r="Q565">
        <v>9.8032218778054597E-2</v>
      </c>
      <c r="R565">
        <v>0.99252159837656995</v>
      </c>
      <c r="S565" t="s">
        <v>7182</v>
      </c>
      <c r="T565" t="s">
        <v>13232</v>
      </c>
      <c r="U565" t="s">
        <v>13232</v>
      </c>
      <c r="V565" t="s">
        <v>13232</v>
      </c>
      <c r="W565" t="s">
        <v>13783</v>
      </c>
      <c r="X565">
        <v>84</v>
      </c>
      <c r="Y565" t="s">
        <v>20323</v>
      </c>
      <c r="Z565" t="s">
        <v>26696</v>
      </c>
      <c r="AA565">
        <v>0.44259854867866533</v>
      </c>
      <c r="AB565" t="str">
        <f>HYPERLINK("Melting_Curves/meltCurve_F5H1X8_LRBA.pdf", "Melting_Curves/meltCurve_F5H1X8_LRBA.pdf")</f>
        <v>Melting_Curves/meltCurve_F5H1X8_LRBA.pdf</v>
      </c>
    </row>
    <row r="566" spans="1:28" x14ac:dyDescent="0.25">
      <c r="A566" t="s">
        <v>570</v>
      </c>
      <c r="B566">
        <v>0.99930955844802105</v>
      </c>
      <c r="C566">
        <v>1.2371599615642901</v>
      </c>
      <c r="D566">
        <v>1.20161383600351</v>
      </c>
      <c r="E566">
        <v>1.16449376196884</v>
      </c>
      <c r="F566">
        <v>1.07610789985557</v>
      </c>
      <c r="G566">
        <v>0.96803903955753701</v>
      </c>
      <c r="H566">
        <v>1.1571178304716001</v>
      </c>
      <c r="I566">
        <v>1.3440157110061299</v>
      </c>
      <c r="J566">
        <v>1.3485966144737001</v>
      </c>
      <c r="K566">
        <v>1.07031561733372</v>
      </c>
      <c r="L566">
        <v>10263.881149618401</v>
      </c>
      <c r="M566">
        <v>250</v>
      </c>
      <c r="O566">
        <v>41.052891313581497</v>
      </c>
      <c r="P566">
        <v>0.26514933891889397</v>
      </c>
      <c r="Q566">
        <v>1.1741623772040499</v>
      </c>
      <c r="R566">
        <v>0.17776073214191601</v>
      </c>
      <c r="S566" t="s">
        <v>7183</v>
      </c>
      <c r="T566" t="s">
        <v>13232</v>
      </c>
      <c r="U566" t="s">
        <v>13232</v>
      </c>
      <c r="V566" t="s">
        <v>13232</v>
      </c>
      <c r="W566" t="s">
        <v>13784</v>
      </c>
      <c r="X566">
        <v>3</v>
      </c>
      <c r="Y566" t="s">
        <v>20324</v>
      </c>
      <c r="Z566" t="s">
        <v>26697</v>
      </c>
      <c r="AA566">
        <v>1.168020848290038</v>
      </c>
      <c r="AB566" t="str">
        <f>HYPERLINK("Melting_Curves/meltCurve_F5H1Y0_RAD51AP1.pdf", "Melting_Curves/meltCurve_F5H1Y0_RAD51AP1.pdf")</f>
        <v>Melting_Curves/meltCurve_F5H1Y0_RAD51AP1.pdf</v>
      </c>
    </row>
    <row r="567" spans="1:28" x14ac:dyDescent="0.25">
      <c r="A567" t="s">
        <v>571</v>
      </c>
      <c r="B567">
        <v>0.99930955844802105</v>
      </c>
      <c r="C567">
        <v>1.04908011194907</v>
      </c>
      <c r="D567">
        <v>1.0256608503359601</v>
      </c>
      <c r="E567">
        <v>0.61552871882599403</v>
      </c>
      <c r="F567">
        <v>0.28805054075400699</v>
      </c>
      <c r="G567">
        <v>0.148769029184841</v>
      </c>
      <c r="H567">
        <v>0.11334710927321399</v>
      </c>
      <c r="I567">
        <v>0.108593657325638</v>
      </c>
      <c r="J567">
        <v>9.90490463220913E-2</v>
      </c>
      <c r="K567">
        <v>4.95016537632623E-2</v>
      </c>
      <c r="L567">
        <v>1614.9095499858099</v>
      </c>
      <c r="M567">
        <v>31.897762111397899</v>
      </c>
      <c r="N567">
        <v>50.979174799496498</v>
      </c>
      <c r="O567">
        <v>50.429935697984703</v>
      </c>
      <c r="P567">
        <v>-0.14252048076799501</v>
      </c>
      <c r="Q567">
        <v>9.8712695765599198E-2</v>
      </c>
      <c r="R567">
        <v>0.99370240232804397</v>
      </c>
      <c r="S567" t="s">
        <v>7184</v>
      </c>
      <c r="T567" t="s">
        <v>13232</v>
      </c>
      <c r="U567" t="s">
        <v>13232</v>
      </c>
      <c r="V567" t="s">
        <v>13232</v>
      </c>
      <c r="W567" t="s">
        <v>13785</v>
      </c>
      <c r="X567">
        <v>1</v>
      </c>
      <c r="Y567" t="s">
        <v>20325</v>
      </c>
      <c r="Z567" t="s">
        <v>26698</v>
      </c>
      <c r="AA567">
        <v>0.42297716769268978</v>
      </c>
      <c r="AB567" t="str">
        <f>HYPERLINK("Melting_Curves/meltCurve_F5H232_CDKN3.pdf", "Melting_Curves/meltCurve_F5H232_CDKN3.pdf")</f>
        <v>Melting_Curves/meltCurve_F5H232_CDKN3.pdf</v>
      </c>
    </row>
    <row r="568" spans="1:28" x14ac:dyDescent="0.25">
      <c r="A568" t="s">
        <v>572</v>
      </c>
      <c r="B568">
        <v>0.99930955844802105</v>
      </c>
      <c r="C568">
        <v>0.99587218270162703</v>
      </c>
      <c r="D568">
        <v>0.96524919006944299</v>
      </c>
      <c r="E568">
        <v>0.82825372889304705</v>
      </c>
      <c r="F568">
        <v>0.367009810247653</v>
      </c>
      <c r="G568">
        <v>0.18977077652740701</v>
      </c>
      <c r="H568">
        <v>0.143250180752205</v>
      </c>
      <c r="I568">
        <v>0.11884807405310401</v>
      </c>
      <c r="J568">
        <v>9.7317262503523405E-2</v>
      </c>
      <c r="K568">
        <v>6.6342246650993503E-2</v>
      </c>
      <c r="L568">
        <v>1877.1921604070501</v>
      </c>
      <c r="M568">
        <v>36.230150352314503</v>
      </c>
      <c r="N568">
        <v>52.183559898798897</v>
      </c>
      <c r="O568">
        <v>51.655888903477297</v>
      </c>
      <c r="P568">
        <v>-0.155455577120167</v>
      </c>
      <c r="Q568">
        <v>0.11342666249213899</v>
      </c>
      <c r="R568">
        <v>0.99581500587970895</v>
      </c>
      <c r="S568" t="s">
        <v>7185</v>
      </c>
      <c r="T568" t="s">
        <v>13232</v>
      </c>
      <c r="U568" t="s">
        <v>13232</v>
      </c>
      <c r="V568" t="s">
        <v>13232</v>
      </c>
      <c r="W568" t="s">
        <v>13786</v>
      </c>
      <c r="X568">
        <v>3</v>
      </c>
      <c r="Y568" t="s">
        <v>20326</v>
      </c>
      <c r="Z568" t="s">
        <v>26699</v>
      </c>
      <c r="AA568">
        <v>0.46640199638480639</v>
      </c>
      <c r="AB568" t="str">
        <f>HYPERLINK("Melting_Curves/meltCurve_F5H241_GBA.pdf", "Melting_Curves/meltCurve_F5H241_GBA.pdf")</f>
        <v>Melting_Curves/meltCurve_F5H241_GBA.pdf</v>
      </c>
    </row>
    <row r="569" spans="1:28" x14ac:dyDescent="0.25">
      <c r="A569" t="s">
        <v>573</v>
      </c>
      <c r="B569">
        <v>0.99930955844802105</v>
      </c>
      <c r="C569">
        <v>0.93291740339937101</v>
      </c>
      <c r="D569">
        <v>0.83832468533091098</v>
      </c>
      <c r="E569">
        <v>0.84757777439665405</v>
      </c>
      <c r="F569">
        <v>0.69073288548752798</v>
      </c>
      <c r="G569">
        <v>0.47504145593339198</v>
      </c>
      <c r="H569">
        <v>0.48547316258960599</v>
      </c>
      <c r="I569">
        <v>0.585531742807746</v>
      </c>
      <c r="J569">
        <v>0.58475653885799606</v>
      </c>
      <c r="K569">
        <v>0.44843657357675398</v>
      </c>
      <c r="L569">
        <v>712.49918298626301</v>
      </c>
      <c r="M569">
        <v>14.0739160230923</v>
      </c>
      <c r="O569">
        <v>49.636310230143501</v>
      </c>
      <c r="P569">
        <v>-3.6128371732156703E-2</v>
      </c>
      <c r="Q569">
        <v>0.49039177005870099</v>
      </c>
      <c r="R569">
        <v>0.89628882391701503</v>
      </c>
      <c r="S569" t="s">
        <v>7186</v>
      </c>
      <c r="T569" t="s">
        <v>13232</v>
      </c>
      <c r="U569" t="s">
        <v>13232</v>
      </c>
      <c r="V569" t="s">
        <v>13232</v>
      </c>
      <c r="W569" t="s">
        <v>13787</v>
      </c>
      <c r="X569">
        <v>13</v>
      </c>
      <c r="Y569" t="s">
        <v>20327</v>
      </c>
      <c r="Z569" t="s">
        <v>26700</v>
      </c>
      <c r="AA569">
        <v>0.68413827573385111</v>
      </c>
      <c r="AB569" t="str">
        <f>HYPERLINK("Melting_Curves/meltCurve_F5H2H5_ANKLE2.pdf", "Melting_Curves/meltCurve_F5H2H5_ANKLE2.pdf")</f>
        <v>Melting_Curves/meltCurve_F5H2H5_ANKLE2.pdf</v>
      </c>
    </row>
    <row r="570" spans="1:28" x14ac:dyDescent="0.25">
      <c r="A570" t="s">
        <v>574</v>
      </c>
      <c r="B570">
        <v>0.99930955844802105</v>
      </c>
      <c r="C570">
        <v>1.0657629330134399</v>
      </c>
      <c r="D570">
        <v>1.13305219824523</v>
      </c>
      <c r="E570">
        <v>0.95411569610291003</v>
      </c>
      <c r="F570">
        <v>0.72531193207246003</v>
      </c>
      <c r="G570">
        <v>0.53288837548434997</v>
      </c>
      <c r="H570">
        <v>0.38942540813383503</v>
      </c>
      <c r="I570">
        <v>0.40864114948480301</v>
      </c>
      <c r="J570">
        <v>0.38481986731169698</v>
      </c>
      <c r="K570">
        <v>0.29257390275596301</v>
      </c>
      <c r="L570">
        <v>1335.2257327039299</v>
      </c>
      <c r="M570">
        <v>24.6226445708851</v>
      </c>
      <c r="N570">
        <v>57.112386340433503</v>
      </c>
      <c r="O570">
        <v>53.873662601505401</v>
      </c>
      <c r="P570">
        <v>-7.3602816777050606E-2</v>
      </c>
      <c r="Q570">
        <v>0.35584553994951801</v>
      </c>
      <c r="R570">
        <v>0.96437849210299897</v>
      </c>
      <c r="S570" t="s">
        <v>7187</v>
      </c>
      <c r="T570" t="s">
        <v>13232</v>
      </c>
      <c r="U570" t="s">
        <v>13232</v>
      </c>
      <c r="V570" t="s">
        <v>13232</v>
      </c>
      <c r="W570" t="s">
        <v>13788</v>
      </c>
      <c r="X570">
        <v>5</v>
      </c>
      <c r="Y570" t="s">
        <v>20328</v>
      </c>
      <c r="Z570" t="s">
        <v>26701</v>
      </c>
      <c r="AA570">
        <v>0.66746619549503095</v>
      </c>
      <c r="AB570" t="str">
        <f>HYPERLINK("Melting_Curves/meltCurve_F5H2Q7_KIAA1715.pdf", "Melting_Curves/meltCurve_F5H2Q7_KIAA1715.pdf")</f>
        <v>Melting_Curves/meltCurve_F5H2Q7_KIAA1715.pdf</v>
      </c>
    </row>
    <row r="571" spans="1:28" x14ac:dyDescent="0.25">
      <c r="A571" t="s">
        <v>575</v>
      </c>
      <c r="B571">
        <v>0.99930955844802105</v>
      </c>
      <c r="C571">
        <v>1.0623805016196799</v>
      </c>
      <c r="D571">
        <v>1.0962719727085</v>
      </c>
      <c r="E571">
        <v>1.2009382474093599</v>
      </c>
      <c r="F571">
        <v>1.0371481219352201</v>
      </c>
      <c r="G571">
        <v>0.99928124777648197</v>
      </c>
      <c r="H571">
        <v>0.95356201222933501</v>
      </c>
      <c r="I571">
        <v>0.87312580347508595</v>
      </c>
      <c r="J571">
        <v>0.81657708780503202</v>
      </c>
      <c r="K571">
        <v>0.74201372238367902</v>
      </c>
      <c r="L571">
        <v>1640.3686344774501</v>
      </c>
      <c r="M571">
        <v>25.194309294196501</v>
      </c>
      <c r="O571">
        <v>64.7026611286811</v>
      </c>
      <c r="P571">
        <v>-2.8697472465165901E-2</v>
      </c>
      <c r="Q571">
        <v>0.70520666337134497</v>
      </c>
      <c r="R571">
        <v>0.67091859822709898</v>
      </c>
      <c r="S571" t="s">
        <v>7188</v>
      </c>
      <c r="T571" t="s">
        <v>13232</v>
      </c>
      <c r="U571" t="s">
        <v>13232</v>
      </c>
      <c r="V571" t="s">
        <v>13232</v>
      </c>
      <c r="W571" t="s">
        <v>13789</v>
      </c>
      <c r="X571">
        <v>6</v>
      </c>
      <c r="Y571" t="s">
        <v>20329</v>
      </c>
      <c r="Z571" t="s">
        <v>26702</v>
      </c>
      <c r="AA571">
        <v>0.95019054030252836</v>
      </c>
      <c r="AB571" t="str">
        <f>HYPERLINK("Melting_Curves/meltCurve_F5H315_XAB2.pdf", "Melting_Curves/meltCurve_F5H315_XAB2.pdf")</f>
        <v>Melting_Curves/meltCurve_F5H315_XAB2.pdf</v>
      </c>
    </row>
    <row r="572" spans="1:28" x14ac:dyDescent="0.25">
      <c r="A572" t="s">
        <v>576</v>
      </c>
      <c r="B572">
        <v>0.99930955844802105</v>
      </c>
      <c r="C572">
        <v>1.00860763835642</v>
      </c>
      <c r="D572">
        <v>0.97001609047416804</v>
      </c>
      <c r="E572">
        <v>0.73499724426843804</v>
      </c>
      <c r="F572">
        <v>0.228985861173267</v>
      </c>
      <c r="G572">
        <v>0.164027782252955</v>
      </c>
      <c r="H572">
        <v>0.10986660392304901</v>
      </c>
      <c r="I572">
        <v>0.108016841444003</v>
      </c>
      <c r="J572">
        <v>9.8600715662875593E-2</v>
      </c>
      <c r="K572">
        <v>7.8535480822483197E-2</v>
      </c>
      <c r="L572">
        <v>2310.4217156705199</v>
      </c>
      <c r="M572">
        <v>45.371040676428301</v>
      </c>
      <c r="N572">
        <v>51.2001189733096</v>
      </c>
      <c r="O572">
        <v>50.824197821052202</v>
      </c>
      <c r="P572">
        <v>-0.19886493093437499</v>
      </c>
      <c r="Q572">
        <v>0.108934882909081</v>
      </c>
      <c r="R572">
        <v>0.99745319785465703</v>
      </c>
      <c r="S572" t="s">
        <v>7189</v>
      </c>
      <c r="T572" t="s">
        <v>13232</v>
      </c>
      <c r="U572" t="s">
        <v>13232</v>
      </c>
      <c r="V572" t="s">
        <v>13232</v>
      </c>
      <c r="W572" t="s">
        <v>13790</v>
      </c>
      <c r="X572">
        <v>17</v>
      </c>
      <c r="Y572" t="s">
        <v>20330</v>
      </c>
      <c r="Z572" t="s">
        <v>26703</v>
      </c>
      <c r="AA572">
        <v>0.43580011854739081</v>
      </c>
      <c r="AB572" t="str">
        <f>HYPERLINK("Melting_Curves/meltCurve_F5H365_SEC23A.pdf", "Melting_Curves/meltCurve_F5H365_SEC23A.pdf")</f>
        <v>Melting_Curves/meltCurve_F5H365_SEC23A.pdf</v>
      </c>
    </row>
    <row r="573" spans="1:28" x14ac:dyDescent="0.25">
      <c r="A573" t="s">
        <v>577</v>
      </c>
      <c r="B573">
        <v>0.99930955844802105</v>
      </c>
      <c r="C573">
        <v>1.02218064309503</v>
      </c>
      <c r="D573">
        <v>0.88283186770997102</v>
      </c>
      <c r="E573">
        <v>0.590922328115425</v>
      </c>
      <c r="F573">
        <v>0.273794268705499</v>
      </c>
      <c r="G573">
        <v>0.16612563653029699</v>
      </c>
      <c r="H573">
        <v>0.111108569445811</v>
      </c>
      <c r="I573">
        <v>0.10600439921216299</v>
      </c>
      <c r="J573">
        <v>9.2331197159052095E-2</v>
      </c>
      <c r="K573">
        <v>7.2696891785117304E-2</v>
      </c>
      <c r="L573">
        <v>1181.2384100305901</v>
      </c>
      <c r="M573">
        <v>23.5079768410478</v>
      </c>
      <c r="N573">
        <v>50.684889112791303</v>
      </c>
      <c r="O573">
        <v>49.889027847970603</v>
      </c>
      <c r="P573">
        <v>-0.107008714815872</v>
      </c>
      <c r="Q573">
        <v>9.1632732262045893E-2</v>
      </c>
      <c r="R573">
        <v>0.99725188162938905</v>
      </c>
      <c r="S573" t="s">
        <v>7190</v>
      </c>
      <c r="T573" t="s">
        <v>13232</v>
      </c>
      <c r="U573" t="s">
        <v>13232</v>
      </c>
      <c r="V573" t="s">
        <v>13232</v>
      </c>
      <c r="W573" t="s">
        <v>13791</v>
      </c>
      <c r="X573">
        <v>2</v>
      </c>
      <c r="Y573" t="s">
        <v>20331</v>
      </c>
      <c r="Z573" t="s">
        <v>26704</v>
      </c>
      <c r="AA573">
        <v>0.41114537975199361</v>
      </c>
      <c r="AB573" t="str">
        <f>HYPERLINK("Melting_Curves/meltCurve_F5H3D1_AMN1.pdf", "Melting_Curves/meltCurve_F5H3D1_AMN1.pdf")</f>
        <v>Melting_Curves/meltCurve_F5H3D1_AMN1.pdf</v>
      </c>
    </row>
    <row r="574" spans="1:28" x14ac:dyDescent="0.25">
      <c r="A574" t="s">
        <v>578</v>
      </c>
      <c r="B574">
        <v>0.99930955844802105</v>
      </c>
      <c r="C574">
        <v>1.04066214952183</v>
      </c>
      <c r="D574">
        <v>0.87677111039099898</v>
      </c>
      <c r="E574">
        <v>0.80603415818153001</v>
      </c>
      <c r="F574">
        <v>0.88757468057644895</v>
      </c>
      <c r="G574">
        <v>0.86024437941633203</v>
      </c>
      <c r="H574">
        <v>1.2409224327167001</v>
      </c>
      <c r="I574">
        <v>1.5190616837904201</v>
      </c>
      <c r="J574">
        <v>1.6184311550030801</v>
      </c>
      <c r="K574">
        <v>1.2346957089369599</v>
      </c>
      <c r="L574">
        <v>15000</v>
      </c>
      <c r="M574">
        <v>246.00866050042501</v>
      </c>
      <c r="O574">
        <v>60.969433662482103</v>
      </c>
      <c r="P574">
        <v>0.46139355825407502</v>
      </c>
      <c r="Q574">
        <v>1.4573969687411501</v>
      </c>
      <c r="R574">
        <v>0.77395225952657298</v>
      </c>
      <c r="S574" t="s">
        <v>7191</v>
      </c>
      <c r="T574" t="s">
        <v>13232</v>
      </c>
      <c r="U574" t="s">
        <v>13232</v>
      </c>
      <c r="V574" t="s">
        <v>13232</v>
      </c>
      <c r="W574" t="s">
        <v>13792</v>
      </c>
      <c r="X574">
        <v>3</v>
      </c>
      <c r="Y574" t="s">
        <v>20332</v>
      </c>
      <c r="Z574" t="s">
        <v>26705</v>
      </c>
      <c r="AA574">
        <v>1.13757313982695</v>
      </c>
      <c r="AB574" t="str">
        <f>HYPERLINK("Melting_Curves/meltCurve_F5H3G6_PTPRB.pdf", "Melting_Curves/meltCurve_F5H3G6_PTPRB.pdf")</f>
        <v>Melting_Curves/meltCurve_F5H3G6_PTPRB.pdf</v>
      </c>
    </row>
    <row r="575" spans="1:28" x14ac:dyDescent="0.25">
      <c r="A575" t="s">
        <v>579</v>
      </c>
      <c r="B575">
        <v>0.99930955844802105</v>
      </c>
      <c r="C575">
        <v>0.87038816090220195</v>
      </c>
      <c r="D575">
        <v>0.74795591261363803</v>
      </c>
      <c r="E575">
        <v>0.56868953839494696</v>
      </c>
      <c r="F575">
        <v>0.340840036881213</v>
      </c>
      <c r="G575">
        <v>0.174771979942207</v>
      </c>
      <c r="H575">
        <v>0.102502024580732</v>
      </c>
      <c r="I575">
        <v>0.10342055349938201</v>
      </c>
      <c r="J575">
        <v>7.6102703835225896E-2</v>
      </c>
      <c r="K575">
        <v>7.1927531618139195E-2</v>
      </c>
      <c r="L575">
        <v>657.58335740893006</v>
      </c>
      <c r="M575">
        <v>13.139927471285</v>
      </c>
      <c r="N575">
        <v>50.349664084509897</v>
      </c>
      <c r="O575">
        <v>48.928141046414297</v>
      </c>
      <c r="P575">
        <v>-6.4581461639584004E-2</v>
      </c>
      <c r="Q575">
        <v>3.8254810707359803E-2</v>
      </c>
      <c r="R575">
        <v>0.99469360662462603</v>
      </c>
      <c r="S575" t="s">
        <v>7192</v>
      </c>
      <c r="T575" t="s">
        <v>13232</v>
      </c>
      <c r="U575" t="s">
        <v>13232</v>
      </c>
      <c r="V575" t="s">
        <v>13232</v>
      </c>
      <c r="W575" t="s">
        <v>13793</v>
      </c>
      <c r="X575">
        <v>1</v>
      </c>
      <c r="Y575" t="s">
        <v>20333</v>
      </c>
      <c r="Z575" t="s">
        <v>26706</v>
      </c>
      <c r="AA575">
        <v>0.38898088397072111</v>
      </c>
      <c r="AB575" t="str">
        <f>HYPERLINK("Melting_Curves/meltCurve_F5H3Q7_RPAIN.pdf", "Melting_Curves/meltCurve_F5H3Q7_RPAIN.pdf")</f>
        <v>Melting_Curves/meltCurve_F5H3Q7_RPAIN.pdf</v>
      </c>
    </row>
    <row r="576" spans="1:28" x14ac:dyDescent="0.25">
      <c r="A576" t="s">
        <v>580</v>
      </c>
      <c r="B576">
        <v>0.99930955844802105</v>
      </c>
      <c r="C576">
        <v>0.99434137764098895</v>
      </c>
      <c r="D576">
        <v>0.98181620625147903</v>
      </c>
      <c r="E576">
        <v>0.82138990607696505</v>
      </c>
      <c r="F576">
        <v>0.46975504364881598</v>
      </c>
      <c r="G576">
        <v>0.25212795608840199</v>
      </c>
      <c r="H576">
        <v>0.12969013723700301</v>
      </c>
      <c r="I576">
        <v>8.7174051947081999E-2</v>
      </c>
      <c r="J576">
        <v>7.2192339850377693E-2</v>
      </c>
      <c r="K576">
        <v>5.4894780075545498E-2</v>
      </c>
      <c r="L576">
        <v>1189.91962289772</v>
      </c>
      <c r="M576">
        <v>22.553043628180301</v>
      </c>
      <c r="N576">
        <v>53.124878170881402</v>
      </c>
      <c r="O576">
        <v>52.351372406613798</v>
      </c>
      <c r="P576">
        <v>-9.9993591155857597E-2</v>
      </c>
      <c r="Q576">
        <v>7.1576161758138801E-2</v>
      </c>
      <c r="R576">
        <v>0.99699531614692305</v>
      </c>
      <c r="S576" t="s">
        <v>7193</v>
      </c>
      <c r="T576" t="s">
        <v>13232</v>
      </c>
      <c r="U576" t="s">
        <v>13232</v>
      </c>
      <c r="V576" t="s">
        <v>13232</v>
      </c>
      <c r="W576" t="s">
        <v>13794</v>
      </c>
      <c r="X576">
        <v>15</v>
      </c>
      <c r="Y576" t="s">
        <v>20334</v>
      </c>
      <c r="Z576" t="s">
        <v>26707</v>
      </c>
      <c r="AA576">
        <v>0.47682771433583609</v>
      </c>
      <c r="AB576" t="str">
        <f>HYPERLINK("Melting_Curves/meltCurve_F5H442_TSG101.pdf", "Melting_Curves/meltCurve_F5H442_TSG101.pdf")</f>
        <v>Melting_Curves/meltCurve_F5H442_TSG101.pdf</v>
      </c>
    </row>
    <row r="577" spans="1:28" x14ac:dyDescent="0.25">
      <c r="A577" t="s">
        <v>581</v>
      </c>
      <c r="B577">
        <v>0.99930955844802105</v>
      </c>
      <c r="C577">
        <v>0.83301594466820506</v>
      </c>
      <c r="D577">
        <v>0.82336185161814202</v>
      </c>
      <c r="E577">
        <v>0.60076339731990902</v>
      </c>
      <c r="F577">
        <v>0.247450624416784</v>
      </c>
      <c r="G577">
        <v>0.15390553804698701</v>
      </c>
      <c r="H577">
        <v>0.106949196416639</v>
      </c>
      <c r="I577">
        <v>7.0119491062674302E-2</v>
      </c>
      <c r="J577">
        <v>6.4978379191360194E-2</v>
      </c>
      <c r="K577">
        <v>5.0660951412736799E-2</v>
      </c>
      <c r="L577">
        <v>790.62406204775903</v>
      </c>
      <c r="M577">
        <v>15.792252552627</v>
      </c>
      <c r="N577">
        <v>50.321701568930699</v>
      </c>
      <c r="O577">
        <v>49.281888348102797</v>
      </c>
      <c r="P577">
        <v>-7.7006790427518304E-2</v>
      </c>
      <c r="Q577">
        <v>3.8838087978225397E-2</v>
      </c>
      <c r="R577">
        <v>0.98219484855549399</v>
      </c>
      <c r="S577" t="s">
        <v>7194</v>
      </c>
      <c r="T577" t="s">
        <v>13232</v>
      </c>
      <c r="U577" t="s">
        <v>13232</v>
      </c>
      <c r="V577" t="s">
        <v>13232</v>
      </c>
      <c r="W577" t="s">
        <v>13795</v>
      </c>
      <c r="X577">
        <v>3</v>
      </c>
      <c r="Y577" t="s">
        <v>20335</v>
      </c>
      <c r="Z577" t="s">
        <v>26708</v>
      </c>
      <c r="AA577">
        <v>0.38214289376723248</v>
      </c>
      <c r="AB577" t="str">
        <f>HYPERLINK("Melting_Curves/meltCurve_F5H476_ANGEL2.pdf", "Melting_Curves/meltCurve_F5H476_ANGEL2.pdf")</f>
        <v>Melting_Curves/meltCurve_F5H476_ANGEL2.pdf</v>
      </c>
    </row>
    <row r="578" spans="1:28" x14ac:dyDescent="0.25">
      <c r="A578" t="s">
        <v>582</v>
      </c>
      <c r="B578">
        <v>0.99930955844802105</v>
      </c>
      <c r="C578">
        <v>0.587605234179575</v>
      </c>
      <c r="D578">
        <v>0.51298189469591304</v>
      </c>
      <c r="E578">
        <v>0.41656053790800601</v>
      </c>
      <c r="F578">
        <v>0.27177272124593899</v>
      </c>
      <c r="G578">
        <v>0.16581310021471399</v>
      </c>
      <c r="H578">
        <v>8.5153847503194394E-2</v>
      </c>
      <c r="I578">
        <v>6.1531876037130999E-2</v>
      </c>
      <c r="J578">
        <v>5.2362848377042401E-2</v>
      </c>
      <c r="K578">
        <v>3.6108218341165101E-2</v>
      </c>
      <c r="L578">
        <v>452.87227256756898</v>
      </c>
      <c r="M578">
        <v>9.6317371628985295</v>
      </c>
      <c r="N578">
        <v>47.020156607193897</v>
      </c>
      <c r="O578">
        <v>45.126039427088301</v>
      </c>
      <c r="P578">
        <v>-5.3382480152368302E-2</v>
      </c>
      <c r="Q578">
        <v>1.4356516845039701E-4</v>
      </c>
      <c r="R578">
        <v>0.94758654922411201</v>
      </c>
      <c r="S578" t="s">
        <v>7195</v>
      </c>
      <c r="T578" t="s">
        <v>13232</v>
      </c>
      <c r="U578" t="s">
        <v>13232</v>
      </c>
      <c r="V578" t="s">
        <v>13232</v>
      </c>
      <c r="W578" t="s">
        <v>13796</v>
      </c>
      <c r="X578">
        <v>11</v>
      </c>
      <c r="Y578" t="s">
        <v>20336</v>
      </c>
      <c r="Z578" t="s">
        <v>26709</v>
      </c>
      <c r="AA578">
        <v>0.2949236645249233</v>
      </c>
      <c r="AB578" t="str">
        <f>HYPERLINK("Melting_Curves/meltCurve_F5H4B1_PRAME.pdf", "Melting_Curves/meltCurve_F5H4B1_PRAME.pdf")</f>
        <v>Melting_Curves/meltCurve_F5H4B1_PRAME.pdf</v>
      </c>
    </row>
    <row r="579" spans="1:28" x14ac:dyDescent="0.25">
      <c r="A579" t="s">
        <v>583</v>
      </c>
      <c r="B579">
        <v>0.99930955844802105</v>
      </c>
      <c r="C579">
        <v>1.02597338491845</v>
      </c>
      <c r="D579">
        <v>0.95050039312606505</v>
      </c>
      <c r="E579">
        <v>0.71179081122084997</v>
      </c>
      <c r="F579">
        <v>0.232768040387165</v>
      </c>
      <c r="G579">
        <v>0.16402701355904201</v>
      </c>
      <c r="H579">
        <v>0.11736196317547901</v>
      </c>
      <c r="I579">
        <v>0.114837377941039</v>
      </c>
      <c r="J579">
        <v>0.115733243756402</v>
      </c>
      <c r="K579">
        <v>9.0641390475298803E-2</v>
      </c>
      <c r="L579">
        <v>2184.2184934606598</v>
      </c>
      <c r="M579">
        <v>42.994045858927301</v>
      </c>
      <c r="N579">
        <v>51.119921832964302</v>
      </c>
      <c r="O579">
        <v>50.693295496714697</v>
      </c>
      <c r="P579">
        <v>-0.18721211715911401</v>
      </c>
      <c r="Q579">
        <v>0.117051644431878</v>
      </c>
      <c r="R579">
        <v>0.99698815034249599</v>
      </c>
      <c r="S579" t="s">
        <v>7196</v>
      </c>
      <c r="T579" t="s">
        <v>13232</v>
      </c>
      <c r="U579" t="s">
        <v>13232</v>
      </c>
      <c r="V579" t="s">
        <v>13232</v>
      </c>
      <c r="W579" t="s">
        <v>13797</v>
      </c>
      <c r="X579">
        <v>11</v>
      </c>
      <c r="Y579" t="s">
        <v>20337</v>
      </c>
      <c r="Z579" t="s">
        <v>26710</v>
      </c>
      <c r="AA579">
        <v>0.437676865104561</v>
      </c>
      <c r="AB579" t="str">
        <f>HYPERLINK("Melting_Curves/meltCurve_F5H4G7_KPNA6.pdf", "Melting_Curves/meltCurve_F5H4G7_KPNA6.pdf")</f>
        <v>Melting_Curves/meltCurve_F5H4G7_KPNA6.pdf</v>
      </c>
    </row>
    <row r="580" spans="1:28" x14ac:dyDescent="0.25">
      <c r="A580" t="s">
        <v>584</v>
      </c>
      <c r="B580">
        <v>0.99930955844802105</v>
      </c>
      <c r="C580">
        <v>1.36619990686134</v>
      </c>
      <c r="D580">
        <v>1.33253001431647</v>
      </c>
      <c r="E580">
        <v>1.27784350490344</v>
      </c>
      <c r="F580">
        <v>0.95783967839615802</v>
      </c>
      <c r="G580">
        <v>1.3941741274194299</v>
      </c>
      <c r="H580">
        <v>1.70093457747809</v>
      </c>
      <c r="I580">
        <v>1.98405985626538</v>
      </c>
      <c r="J580">
        <v>2.0360777301595498</v>
      </c>
      <c r="K580">
        <v>1.71035839437672</v>
      </c>
      <c r="L580">
        <v>528.88175463247501</v>
      </c>
      <c r="M580">
        <v>11.7013854178374</v>
      </c>
      <c r="O580">
        <v>43.938698704820901</v>
      </c>
      <c r="P580">
        <v>3.3297796751666602E-2</v>
      </c>
      <c r="Q580">
        <v>1.5</v>
      </c>
      <c r="R580">
        <v>0.259784700612883</v>
      </c>
      <c r="S580" t="s">
        <v>7197</v>
      </c>
      <c r="T580" t="s">
        <v>13232</v>
      </c>
      <c r="U580" t="s">
        <v>13232</v>
      </c>
      <c r="V580" t="s">
        <v>13232</v>
      </c>
      <c r="W580" t="s">
        <v>13798</v>
      </c>
      <c r="X580">
        <v>4</v>
      </c>
      <c r="Y580" t="s">
        <v>20338</v>
      </c>
      <c r="Z580" t="s">
        <v>26711</v>
      </c>
      <c r="AA580">
        <v>1.38771081535353</v>
      </c>
      <c r="AB580" t="str">
        <f>HYPERLINK("Melting_Curves/meltCurve_F5H4J2_PEX14.pdf", "Melting_Curves/meltCurve_F5H4J2_PEX14.pdf")</f>
        <v>Melting_Curves/meltCurve_F5H4J2_PEX14.pdf</v>
      </c>
    </row>
    <row r="581" spans="1:28" x14ac:dyDescent="0.25">
      <c r="A581" t="s">
        <v>585</v>
      </c>
      <c r="B581">
        <v>0.99930955844802105</v>
      </c>
      <c r="C581">
        <v>0.98622822320112402</v>
      </c>
      <c r="D581">
        <v>0.88280646058222101</v>
      </c>
      <c r="E581">
        <v>0.71849287463784695</v>
      </c>
      <c r="F581">
        <v>0.54444538408929199</v>
      </c>
      <c r="G581">
        <v>0.37287344244991599</v>
      </c>
      <c r="H581">
        <v>0.23460245331124399</v>
      </c>
      <c r="I581">
        <v>0.26752575418835001</v>
      </c>
      <c r="J581">
        <v>0.227732479678732</v>
      </c>
      <c r="K581">
        <v>0.20556964585530299</v>
      </c>
      <c r="L581">
        <v>785.81379873557398</v>
      </c>
      <c r="M581">
        <v>15.112945963854401</v>
      </c>
      <c r="N581">
        <v>53.757602007022101</v>
      </c>
      <c r="O581">
        <v>51.111176886372498</v>
      </c>
      <c r="P581">
        <v>-5.9492127763275199E-2</v>
      </c>
      <c r="Q581">
        <v>0.19528213551832599</v>
      </c>
      <c r="R581">
        <v>0.99672212760269696</v>
      </c>
      <c r="S581" t="s">
        <v>7198</v>
      </c>
      <c r="T581" t="s">
        <v>13232</v>
      </c>
      <c r="U581" t="s">
        <v>13232</v>
      </c>
      <c r="V581" t="s">
        <v>13232</v>
      </c>
      <c r="W581" t="s">
        <v>13799</v>
      </c>
      <c r="X581">
        <v>3</v>
      </c>
      <c r="Y581" t="s">
        <v>20339</v>
      </c>
      <c r="Z581" t="s">
        <v>26712</v>
      </c>
      <c r="AA581">
        <v>0.53485140340292869</v>
      </c>
      <c r="AB581" t="str">
        <f>HYPERLINK("Melting_Curves/meltCurve_F5H4Q5_VPS37C.pdf", "Melting_Curves/meltCurve_F5H4Q5_VPS37C.pdf")</f>
        <v>Melting_Curves/meltCurve_F5H4Q5_VPS37C.pdf</v>
      </c>
    </row>
    <row r="582" spans="1:28" x14ac:dyDescent="0.25">
      <c r="A582" t="s">
        <v>586</v>
      </c>
      <c r="B582">
        <v>0.99930955844802105</v>
      </c>
      <c r="C582">
        <v>1.17982005549255</v>
      </c>
      <c r="D582">
        <v>0.82482406881205195</v>
      </c>
      <c r="E582">
        <v>0.51431316468729205</v>
      </c>
      <c r="F582">
        <v>0.323264954931826</v>
      </c>
      <c r="G582">
        <v>0.24072811849145501</v>
      </c>
      <c r="H582">
        <v>0.22447157111628999</v>
      </c>
      <c r="I582">
        <v>0.28360989048384999</v>
      </c>
      <c r="J582">
        <v>0.295680720602786</v>
      </c>
      <c r="K582">
        <v>0.172934923512643</v>
      </c>
      <c r="L582">
        <v>1363.07798802446</v>
      </c>
      <c r="M582">
        <v>27.926862409901201</v>
      </c>
      <c r="N582">
        <v>49.993739550394999</v>
      </c>
      <c r="O582">
        <v>48.560638356081398</v>
      </c>
      <c r="P582">
        <v>-0.108971795955511</v>
      </c>
      <c r="Q582">
        <v>0.242063952848206</v>
      </c>
      <c r="R582">
        <v>0.95626900481414501</v>
      </c>
      <c r="S582" t="s">
        <v>7199</v>
      </c>
      <c r="T582" t="s">
        <v>13232</v>
      </c>
      <c r="U582" t="s">
        <v>13232</v>
      </c>
      <c r="V582" t="s">
        <v>13232</v>
      </c>
      <c r="W582" t="s">
        <v>13800</v>
      </c>
      <c r="X582">
        <v>1</v>
      </c>
      <c r="Y582" t="s">
        <v>20340</v>
      </c>
      <c r="Z582" t="s">
        <v>26713</v>
      </c>
      <c r="AA582">
        <v>0.46995130133109059</v>
      </c>
      <c r="AB582" t="str">
        <f>HYPERLINK("Melting_Curves/meltCurve_F5H4S9_TJP3.pdf", "Melting_Curves/meltCurve_F5H4S9_TJP3.pdf")</f>
        <v>Melting_Curves/meltCurve_F5H4S9_TJP3.pdf</v>
      </c>
    </row>
    <row r="583" spans="1:28" x14ac:dyDescent="0.25">
      <c r="A583" t="s">
        <v>587</v>
      </c>
      <c r="B583">
        <v>0.99930955844802105</v>
      </c>
      <c r="C583">
        <v>0.94467237320187902</v>
      </c>
      <c r="D583">
        <v>0.93434225567173501</v>
      </c>
      <c r="E583">
        <v>0.84391148313779296</v>
      </c>
      <c r="F583">
        <v>0.74234145779091398</v>
      </c>
      <c r="G583">
        <v>0.61452638709865004</v>
      </c>
      <c r="H583">
        <v>0.52424530161605698</v>
      </c>
      <c r="I583">
        <v>0.56537746102664099</v>
      </c>
      <c r="J583">
        <v>0.61087310798874295</v>
      </c>
      <c r="K583">
        <v>0.38449948006683599</v>
      </c>
      <c r="L583">
        <v>592.45711956224602</v>
      </c>
      <c r="M583">
        <v>11.0327925434476</v>
      </c>
      <c r="N583">
        <v>67.143805955802705</v>
      </c>
      <c r="O583">
        <v>52.025929592740802</v>
      </c>
      <c r="P583">
        <v>-2.9428320405365801E-2</v>
      </c>
      <c r="Q583">
        <v>0.445099604473781</v>
      </c>
      <c r="R583">
        <v>0.93150775963900101</v>
      </c>
      <c r="S583" t="s">
        <v>7200</v>
      </c>
      <c r="T583" t="s">
        <v>13232</v>
      </c>
      <c r="U583" t="s">
        <v>13232</v>
      </c>
      <c r="V583" t="s">
        <v>13232</v>
      </c>
      <c r="W583" t="s">
        <v>13801</v>
      </c>
      <c r="X583">
        <v>1</v>
      </c>
      <c r="Y583" t="s">
        <v>20341</v>
      </c>
      <c r="Z583" t="s">
        <v>26714</v>
      </c>
      <c r="AA583">
        <v>0.71460850654219688</v>
      </c>
      <c r="AB583" t="str">
        <f>HYPERLINK("Melting_Curves/meltCurve_F5H4U6_ACSBG1.pdf", "Melting_Curves/meltCurve_F5H4U6_ACSBG1.pdf")</f>
        <v>Melting_Curves/meltCurve_F5H4U6_ACSBG1.pdf</v>
      </c>
    </row>
    <row r="584" spans="1:28" x14ac:dyDescent="0.25">
      <c r="A584" t="s">
        <v>588</v>
      </c>
      <c r="B584">
        <v>0.99930955844802105</v>
      </c>
      <c r="C584">
        <v>0.89291702059859301</v>
      </c>
      <c r="D584">
        <v>0.83542177328644496</v>
      </c>
      <c r="E584">
        <v>0.79611206569551696</v>
      </c>
      <c r="F584">
        <v>0.62483823911415703</v>
      </c>
      <c r="G584">
        <v>0.443846041421463</v>
      </c>
      <c r="H584">
        <v>0.36348407906610702</v>
      </c>
      <c r="I584">
        <v>0.37218711161669199</v>
      </c>
      <c r="J584">
        <v>0.373258055590934</v>
      </c>
      <c r="K584">
        <v>0.30141630128833702</v>
      </c>
      <c r="L584">
        <v>578.92312740129501</v>
      </c>
      <c r="M584">
        <v>11.041688023767</v>
      </c>
      <c r="N584">
        <v>56.430450628305501</v>
      </c>
      <c r="O584">
        <v>50.7989926703058</v>
      </c>
      <c r="P584">
        <v>-3.9605374507893601E-2</v>
      </c>
      <c r="Q584">
        <v>0.27139957310157198</v>
      </c>
      <c r="R584">
        <v>0.97793193951980895</v>
      </c>
      <c r="S584" t="s">
        <v>7201</v>
      </c>
      <c r="T584" t="s">
        <v>13232</v>
      </c>
      <c r="U584" t="s">
        <v>13232</v>
      </c>
      <c r="V584" t="s">
        <v>13232</v>
      </c>
      <c r="W584" t="s">
        <v>13802</v>
      </c>
      <c r="X584">
        <v>2</v>
      </c>
      <c r="Y584" t="s">
        <v>20342</v>
      </c>
      <c r="Z584" t="s">
        <v>26715</v>
      </c>
      <c r="AA584">
        <v>0.59714975860635167</v>
      </c>
      <c r="AB584" t="str">
        <f>HYPERLINK("Melting_Curves/meltCurve_F5H542_ZFPM2.pdf", "Melting_Curves/meltCurve_F5H542_ZFPM2.pdf")</f>
        <v>Melting_Curves/meltCurve_F5H542_ZFPM2.pdf</v>
      </c>
    </row>
    <row r="585" spans="1:28" x14ac:dyDescent="0.25">
      <c r="A585" t="s">
        <v>589</v>
      </c>
      <c r="B585">
        <v>0.99930955844802105</v>
      </c>
      <c r="C585">
        <v>0.85986409050927504</v>
      </c>
      <c r="D585">
        <v>0.81413642294008104</v>
      </c>
      <c r="E585">
        <v>0.89601710530501999</v>
      </c>
      <c r="F585">
        <v>0.77619460515187499</v>
      </c>
      <c r="G585">
        <v>0.734219803111678</v>
      </c>
      <c r="H585">
        <v>0.64233406490487099</v>
      </c>
      <c r="I585">
        <v>0.64379339844205197</v>
      </c>
      <c r="J585">
        <v>0.71604153388396896</v>
      </c>
      <c r="K585">
        <v>0.55868012247781396</v>
      </c>
      <c r="L585">
        <v>255.389277619339</v>
      </c>
      <c r="M585">
        <v>4.1832142672868899</v>
      </c>
      <c r="O585">
        <v>50.817102497693099</v>
      </c>
      <c r="P585">
        <v>-1.3048740271231299E-2</v>
      </c>
      <c r="Q585">
        <v>0.37291705194766001</v>
      </c>
      <c r="R585">
        <v>0.83019245098613503</v>
      </c>
      <c r="S585" t="s">
        <v>7202</v>
      </c>
      <c r="T585" t="s">
        <v>13232</v>
      </c>
      <c r="U585" t="s">
        <v>13232</v>
      </c>
      <c r="V585" t="s">
        <v>13232</v>
      </c>
      <c r="W585" t="s">
        <v>13803</v>
      </c>
      <c r="X585">
        <v>2</v>
      </c>
      <c r="Y585" t="s">
        <v>20343</v>
      </c>
      <c r="Z585" t="s">
        <v>26716</v>
      </c>
      <c r="AA585">
        <v>0.76322615084175793</v>
      </c>
      <c r="AB585" t="str">
        <f>HYPERLINK("Melting_Curves/meltCurve_F5H590_JARID2.pdf", "Melting_Curves/meltCurve_F5H590_JARID2.pdf")</f>
        <v>Melting_Curves/meltCurve_F5H590_JARID2.pdf</v>
      </c>
    </row>
    <row r="586" spans="1:28" x14ac:dyDescent="0.25">
      <c r="A586" t="s">
        <v>590</v>
      </c>
      <c r="B586">
        <v>0.99930955844802105</v>
      </c>
      <c r="C586">
        <v>0.89253505895034102</v>
      </c>
      <c r="D586">
        <v>0.828757855542407</v>
      </c>
      <c r="E586">
        <v>0.83460125701349197</v>
      </c>
      <c r="F586">
        <v>0.65407867429211097</v>
      </c>
      <c r="G586">
        <v>0.36007850002577302</v>
      </c>
      <c r="H586">
        <v>0.17527200557182901</v>
      </c>
      <c r="I586">
        <v>0.149296601985272</v>
      </c>
      <c r="J586">
        <v>0.180212398702365</v>
      </c>
      <c r="K586">
        <v>0.120024792828163</v>
      </c>
      <c r="L586">
        <v>766.00107325239401</v>
      </c>
      <c r="M586">
        <v>14.1342968654253</v>
      </c>
      <c r="N586">
        <v>54.803694368011399</v>
      </c>
      <c r="O586">
        <v>53.144261496420299</v>
      </c>
      <c r="P586">
        <v>-6.1664424044414398E-2</v>
      </c>
      <c r="Q586">
        <v>7.2697172912839406E-2</v>
      </c>
      <c r="R586">
        <v>0.97460143609877303</v>
      </c>
      <c r="S586" t="s">
        <v>7203</v>
      </c>
      <c r="T586" t="s">
        <v>13232</v>
      </c>
      <c r="U586" t="s">
        <v>13232</v>
      </c>
      <c r="V586" t="s">
        <v>13232</v>
      </c>
      <c r="W586" t="s">
        <v>13804</v>
      </c>
      <c r="X586">
        <v>3</v>
      </c>
      <c r="Y586" t="s">
        <v>20344</v>
      </c>
      <c r="Z586" t="s">
        <v>26717</v>
      </c>
      <c r="AA586">
        <v>0.53162154553548846</v>
      </c>
      <c r="AB586" t="str">
        <f>HYPERLINK("Melting_Curves/meltCurve_F5H5A3_MAP4K3.pdf", "Melting_Curves/meltCurve_F5H5A3_MAP4K3.pdf")</f>
        <v>Melting_Curves/meltCurve_F5H5A3_MAP4K3.pdf</v>
      </c>
    </row>
    <row r="587" spans="1:28" x14ac:dyDescent="0.25">
      <c r="A587" t="s">
        <v>591</v>
      </c>
      <c r="B587">
        <v>0.99930955844802105</v>
      </c>
      <c r="C587">
        <v>0.71758001140035998</v>
      </c>
      <c r="D587">
        <v>0.84134547045556396</v>
      </c>
      <c r="E587">
        <v>0.45133899230028901</v>
      </c>
      <c r="F587">
        <v>0.23700316265160001</v>
      </c>
      <c r="G587">
        <v>0.165589272737831</v>
      </c>
      <c r="H587">
        <v>0.100759737059506</v>
      </c>
      <c r="I587">
        <v>9.1415125748926795E-2</v>
      </c>
      <c r="J587">
        <v>8.1564236248191202E-2</v>
      </c>
      <c r="K587">
        <v>6.3587124275367404E-2</v>
      </c>
      <c r="L587">
        <v>687.337892507677</v>
      </c>
      <c r="M587">
        <v>14.061420910744101</v>
      </c>
      <c r="N587">
        <v>49.243479219336301</v>
      </c>
      <c r="O587">
        <v>47.9243484588076</v>
      </c>
      <c r="P587">
        <v>-6.97560089245398E-2</v>
      </c>
      <c r="Q587">
        <v>4.9150043809941701E-2</v>
      </c>
      <c r="R587">
        <v>0.95933807163256202</v>
      </c>
      <c r="S587" t="s">
        <v>7204</v>
      </c>
      <c r="T587" t="s">
        <v>13232</v>
      </c>
      <c r="U587" t="s">
        <v>13232</v>
      </c>
      <c r="V587" t="s">
        <v>13232</v>
      </c>
      <c r="W587" t="s">
        <v>13805</v>
      </c>
      <c r="X587">
        <v>17</v>
      </c>
      <c r="Y587" t="s">
        <v>20345</v>
      </c>
      <c r="Z587" t="s">
        <v>26718</v>
      </c>
      <c r="AA587">
        <v>0.35723268119053131</v>
      </c>
      <c r="AB587" t="str">
        <f>HYPERLINK("Melting_Curves/meltCurve_F5H5C2_NUP133.pdf", "Melting_Curves/meltCurve_F5H5C2_NUP133.pdf")</f>
        <v>Melting_Curves/meltCurve_F5H5C2_NUP133.pdf</v>
      </c>
    </row>
    <row r="588" spans="1:28" x14ac:dyDescent="0.25">
      <c r="A588" t="s">
        <v>592</v>
      </c>
      <c r="B588">
        <v>0.99930955844802105</v>
      </c>
      <c r="C588">
        <v>0.89255605754785095</v>
      </c>
      <c r="D588">
        <v>0.91654319539045204</v>
      </c>
      <c r="E588">
        <v>0.73686074983856298</v>
      </c>
      <c r="F588">
        <v>0.62145740126887705</v>
      </c>
      <c r="G588">
        <v>0.21518970560459599</v>
      </c>
      <c r="H588">
        <v>3.2808577318519203E-2</v>
      </c>
      <c r="I588">
        <v>3.2255048125798803E-2</v>
      </c>
      <c r="J588">
        <v>2.4550183791709299E-2</v>
      </c>
      <c r="K588">
        <v>1.6827168777925301E-2</v>
      </c>
      <c r="L588">
        <v>1001.55281832894</v>
      </c>
      <c r="M588">
        <v>18.7334017417976</v>
      </c>
      <c r="N588">
        <v>53.463478848806098</v>
      </c>
      <c r="O588">
        <v>52.865420487365903</v>
      </c>
      <c r="P588">
        <v>-8.8593766952124994E-2</v>
      </c>
      <c r="Q588">
        <v>0</v>
      </c>
      <c r="R588">
        <v>0.98513650772370198</v>
      </c>
      <c r="S588" t="s">
        <v>7205</v>
      </c>
      <c r="T588" t="s">
        <v>13232</v>
      </c>
      <c r="U588" t="s">
        <v>13232</v>
      </c>
      <c r="V588" t="s">
        <v>13232</v>
      </c>
      <c r="W588" t="s">
        <v>13806</v>
      </c>
      <c r="X588">
        <v>2</v>
      </c>
      <c r="Y588" t="s">
        <v>20346</v>
      </c>
      <c r="Z588" t="s">
        <v>26719</v>
      </c>
      <c r="AA588">
        <v>0.46401289095974901</v>
      </c>
      <c r="AB588" t="str">
        <f>HYPERLINK("Melting_Curves/meltCurve_F5H5N1_NDUFS7.pdf", "Melting_Curves/meltCurve_F5H5N1_NDUFS7.pdf")</f>
        <v>Melting_Curves/meltCurve_F5H5N1_NDUFS7.pdf</v>
      </c>
    </row>
    <row r="589" spans="1:28" x14ac:dyDescent="0.25">
      <c r="A589" t="s">
        <v>593</v>
      </c>
      <c r="B589">
        <v>0.99930955844802105</v>
      </c>
      <c r="C589">
        <v>0.93865355282951302</v>
      </c>
      <c r="D589">
        <v>0.75291010324862995</v>
      </c>
      <c r="E589">
        <v>0.33896126395088899</v>
      </c>
      <c r="F589">
        <v>0.17995194426276601</v>
      </c>
      <c r="G589">
        <v>0.12037775026176301</v>
      </c>
      <c r="H589">
        <v>7.1142378314136306E-2</v>
      </c>
      <c r="I589">
        <v>6.0657625170585497E-2</v>
      </c>
      <c r="J589">
        <v>4.9610076828676901E-2</v>
      </c>
      <c r="K589">
        <v>4.1239571410985401E-2</v>
      </c>
      <c r="L589">
        <v>1030.6518469254599</v>
      </c>
      <c r="M589">
        <v>21.399661746109299</v>
      </c>
      <c r="N589">
        <v>48.438834056819502</v>
      </c>
      <c r="O589">
        <v>47.747405873272001</v>
      </c>
      <c r="P589">
        <v>-0.105601183979164</v>
      </c>
      <c r="Q589">
        <v>5.7544532465509397E-2</v>
      </c>
      <c r="R589">
        <v>0.99876038302242298</v>
      </c>
      <c r="S589" t="s">
        <v>7206</v>
      </c>
      <c r="T589" t="s">
        <v>13232</v>
      </c>
      <c r="U589" t="s">
        <v>13232</v>
      </c>
      <c r="V589" t="s">
        <v>13232</v>
      </c>
      <c r="W589" t="s">
        <v>13807</v>
      </c>
      <c r="X589">
        <v>10</v>
      </c>
      <c r="Y589" t="s">
        <v>20347</v>
      </c>
      <c r="Z589" t="s">
        <v>26720</v>
      </c>
      <c r="AA589">
        <v>0.32553146515036763</v>
      </c>
      <c r="AB589" t="str">
        <f>HYPERLINK("Melting_Curves/meltCurve_F5H5U2_DDX55.pdf", "Melting_Curves/meltCurve_F5H5U2_DDX55.pdf")</f>
        <v>Melting_Curves/meltCurve_F5H5U2_DDX55.pdf</v>
      </c>
    </row>
    <row r="590" spans="1:28" x14ac:dyDescent="0.25">
      <c r="A590" t="s">
        <v>594</v>
      </c>
      <c r="B590">
        <v>0.99930955844802105</v>
      </c>
      <c r="C590">
        <v>1.0981767560585101</v>
      </c>
      <c r="D590">
        <v>1.0777256380140501</v>
      </c>
      <c r="E590">
        <v>0.95055023850402098</v>
      </c>
      <c r="F590">
        <v>0.54721859957851604</v>
      </c>
      <c r="G590">
        <v>0.33946392835967198</v>
      </c>
      <c r="H590">
        <v>0.254428706563122</v>
      </c>
      <c r="I590">
        <v>0.25719525859381598</v>
      </c>
      <c r="J590">
        <v>0.248342934412799</v>
      </c>
      <c r="K590">
        <v>0.18407646264302299</v>
      </c>
      <c r="L590">
        <v>2232.4783998100402</v>
      </c>
      <c r="M590">
        <v>42.434273244430599</v>
      </c>
      <c r="N590">
        <v>53.476344937488001</v>
      </c>
      <c r="O590">
        <v>52.493829370924601</v>
      </c>
      <c r="P590">
        <v>-0.15186804465977399</v>
      </c>
      <c r="Q590">
        <v>0.248520459996245</v>
      </c>
      <c r="R590">
        <v>0.98153365642266399</v>
      </c>
      <c r="S590" t="s">
        <v>7207</v>
      </c>
      <c r="T590" t="s">
        <v>13232</v>
      </c>
      <c r="U590" t="s">
        <v>13232</v>
      </c>
      <c r="V590" t="s">
        <v>13232</v>
      </c>
      <c r="W590" t="s">
        <v>13808</v>
      </c>
      <c r="X590">
        <v>55</v>
      </c>
      <c r="Y590" t="s">
        <v>20348</v>
      </c>
      <c r="Z590" t="s">
        <v>26721</v>
      </c>
      <c r="AA590">
        <v>0.56682405182164508</v>
      </c>
      <c r="AB590" t="str">
        <f>HYPERLINK("Melting_Curves/meltCurve_F5H604_CLASP2.pdf", "Melting_Curves/meltCurve_F5H604_CLASP2.pdf")</f>
        <v>Melting_Curves/meltCurve_F5H604_CLASP2.pdf</v>
      </c>
    </row>
    <row r="591" spans="1:28" x14ac:dyDescent="0.25">
      <c r="A591" t="s">
        <v>595</v>
      </c>
      <c r="B591">
        <v>0.99930955844802105</v>
      </c>
      <c r="C591">
        <v>0.81785902049100401</v>
      </c>
      <c r="D591">
        <v>0.75612843924223305</v>
      </c>
      <c r="E591">
        <v>0.68931461130963401</v>
      </c>
      <c r="F591">
        <v>0.48425228175790602</v>
      </c>
      <c r="G591">
        <v>0.34711092570593199</v>
      </c>
      <c r="H591">
        <v>0.21472336719059401</v>
      </c>
      <c r="I591">
        <v>0.19437356634922001</v>
      </c>
      <c r="J591">
        <v>0.19985648341326401</v>
      </c>
      <c r="K591">
        <v>0.142593956004094</v>
      </c>
      <c r="L591">
        <v>474.472432530736</v>
      </c>
      <c r="M591">
        <v>9.0978155277081605</v>
      </c>
      <c r="N591">
        <v>52.836803793887398</v>
      </c>
      <c r="O591">
        <v>49.8178619505508</v>
      </c>
      <c r="P591">
        <v>-4.3147530679326203E-2</v>
      </c>
      <c r="Q591">
        <v>5.55885207830598E-2</v>
      </c>
      <c r="R591">
        <v>0.98148219858660601</v>
      </c>
      <c r="S591" t="s">
        <v>7208</v>
      </c>
      <c r="T591" t="s">
        <v>13232</v>
      </c>
      <c r="U591" t="s">
        <v>13232</v>
      </c>
      <c r="V591" t="s">
        <v>13232</v>
      </c>
      <c r="W591" t="s">
        <v>13809</v>
      </c>
      <c r="X591">
        <v>4</v>
      </c>
      <c r="Y591" t="s">
        <v>20349</v>
      </c>
      <c r="Z591" t="s">
        <v>26722</v>
      </c>
      <c r="AA591">
        <v>0.47700342975193277</v>
      </c>
      <c r="AB591" t="str">
        <f>HYPERLINK("Melting_Curves/meltCurve_F5H6I7_ATL3.pdf", "Melting_Curves/meltCurve_F5H6I7_ATL3.pdf")</f>
        <v>Melting_Curves/meltCurve_F5H6I7_ATL3.pdf</v>
      </c>
    </row>
    <row r="592" spans="1:28" x14ac:dyDescent="0.25">
      <c r="A592" t="s">
        <v>596</v>
      </c>
      <c r="B592">
        <v>0.99930955844802105</v>
      </c>
      <c r="C592">
        <v>1.4435754036939299</v>
      </c>
      <c r="D592">
        <v>1.23555763474681</v>
      </c>
      <c r="E592">
        <v>1.14044901828967</v>
      </c>
      <c r="F592">
        <v>1.17835908966617</v>
      </c>
      <c r="G592">
        <v>1.2907098855068699</v>
      </c>
      <c r="H592">
        <v>0.993758918690133</v>
      </c>
      <c r="I592">
        <v>1.10030532465346</v>
      </c>
      <c r="J592">
        <v>1.2456969142674901</v>
      </c>
      <c r="K592">
        <v>0.93868518989653005</v>
      </c>
      <c r="L592">
        <v>10237.9811451439</v>
      </c>
      <c r="M592">
        <v>250</v>
      </c>
      <c r="O592">
        <v>40.9493034313683</v>
      </c>
      <c r="P592">
        <v>0.26575768700375102</v>
      </c>
      <c r="Q592">
        <v>1.17412147654181</v>
      </c>
      <c r="R592">
        <v>0.12663905145624499</v>
      </c>
      <c r="S592" t="s">
        <v>7209</v>
      </c>
      <c r="T592" t="s">
        <v>13232</v>
      </c>
      <c r="U592" t="s">
        <v>13232</v>
      </c>
      <c r="V592" t="s">
        <v>13232</v>
      </c>
      <c r="W592" t="s">
        <v>13810</v>
      </c>
      <c r="X592">
        <v>3</v>
      </c>
      <c r="Y592" t="s">
        <v>20350</v>
      </c>
      <c r="Z592" t="s">
        <v>26723</v>
      </c>
      <c r="AA592">
        <v>1.1685816018737669</v>
      </c>
      <c r="AB592" t="str">
        <f>HYPERLINK("Melting_Curves/meltCurve_F5H6M9_BRD1.pdf", "Melting_Curves/meltCurve_F5H6M9_BRD1.pdf")</f>
        <v>Melting_Curves/meltCurve_F5H6M9_BRD1.pdf</v>
      </c>
    </row>
    <row r="593" spans="1:28" x14ac:dyDescent="0.25">
      <c r="A593" t="s">
        <v>597</v>
      </c>
      <c r="B593">
        <v>0.99930955844802105</v>
      </c>
      <c r="C593">
        <v>1.00150714881247</v>
      </c>
      <c r="D593">
        <v>0.97893922341828099</v>
      </c>
      <c r="E593">
        <v>0.840067643923746</v>
      </c>
      <c r="F593">
        <v>0.45537422440223702</v>
      </c>
      <c r="G593">
        <v>0.33365488956140898</v>
      </c>
      <c r="H593">
        <v>0.25809442689711398</v>
      </c>
      <c r="I593">
        <v>0.27193094369441101</v>
      </c>
      <c r="J593">
        <v>0.26575361657733199</v>
      </c>
      <c r="K593">
        <v>0.20651442747056101</v>
      </c>
      <c r="L593">
        <v>1845.8740594086601</v>
      </c>
      <c r="M593">
        <v>35.725224207476899</v>
      </c>
      <c r="N593">
        <v>52.745771307053303</v>
      </c>
      <c r="O593">
        <v>51.5075580362887</v>
      </c>
      <c r="P593">
        <v>-0.128499417736407</v>
      </c>
      <c r="Q593">
        <v>0.25893599595939898</v>
      </c>
      <c r="R593">
        <v>0.99445392513086694</v>
      </c>
      <c r="S593" t="s">
        <v>7210</v>
      </c>
      <c r="T593" t="s">
        <v>13232</v>
      </c>
      <c r="U593" t="s">
        <v>13232</v>
      </c>
      <c r="V593" t="s">
        <v>13232</v>
      </c>
      <c r="W593" t="s">
        <v>13811</v>
      </c>
      <c r="X593">
        <v>11</v>
      </c>
      <c r="Y593" t="s">
        <v>20351</v>
      </c>
      <c r="Z593" t="s">
        <v>26724</v>
      </c>
      <c r="AA593">
        <v>0.55049745359988789</v>
      </c>
      <c r="AB593" t="str">
        <f>HYPERLINK("Melting_Curves/meltCurve_F5H6Z0_CDK17.pdf", "Melting_Curves/meltCurve_F5H6Z0_CDK17.pdf")</f>
        <v>Melting_Curves/meltCurve_F5H6Z0_CDK17.pdf</v>
      </c>
    </row>
    <row r="594" spans="1:28" x14ac:dyDescent="0.25">
      <c r="A594" t="s">
        <v>598</v>
      </c>
      <c r="B594">
        <v>0.99930955844802105</v>
      </c>
      <c r="C594">
        <v>0.68979048155840295</v>
      </c>
      <c r="D594">
        <v>0.59393066753130497</v>
      </c>
      <c r="E594">
        <v>0.440660521339025</v>
      </c>
      <c r="F594">
        <v>0.32015612798813198</v>
      </c>
      <c r="G594">
        <v>0.20242432591616</v>
      </c>
      <c r="H594">
        <v>0.12655086402129201</v>
      </c>
      <c r="I594">
        <v>0.10535541547816001</v>
      </c>
      <c r="J594">
        <v>5.5050561830460698E-2</v>
      </c>
      <c r="K594">
        <v>8.3959671620372101E-2</v>
      </c>
      <c r="L594">
        <v>480.16663208623697</v>
      </c>
      <c r="M594">
        <v>10.005541761904899</v>
      </c>
      <c r="N594">
        <v>48.288352495293402</v>
      </c>
      <c r="O594">
        <v>46.191226873604002</v>
      </c>
      <c r="P594">
        <v>-5.2555523912513398E-2</v>
      </c>
      <c r="Q594">
        <v>2.99670009176831E-2</v>
      </c>
      <c r="R594">
        <v>0.97455622892079596</v>
      </c>
      <c r="S594" t="s">
        <v>7211</v>
      </c>
      <c r="T594" t="s">
        <v>13232</v>
      </c>
      <c r="U594" t="s">
        <v>13232</v>
      </c>
      <c r="V594" t="s">
        <v>13232</v>
      </c>
      <c r="W594" t="s">
        <v>13812</v>
      </c>
      <c r="X594">
        <v>2</v>
      </c>
      <c r="Y594" t="s">
        <v>20352</v>
      </c>
      <c r="Z594" t="s">
        <v>26725</v>
      </c>
      <c r="AA594">
        <v>0.33969906239978381</v>
      </c>
      <c r="AB594" t="str">
        <f>HYPERLINK("Melting_Curves/meltCurve_F5H702_MRPL48.pdf", "Melting_Curves/meltCurve_F5H702_MRPL48.pdf")</f>
        <v>Melting_Curves/meltCurve_F5H702_MRPL48.pdf</v>
      </c>
    </row>
    <row r="595" spans="1:28" x14ac:dyDescent="0.25">
      <c r="A595" t="s">
        <v>599</v>
      </c>
      <c r="B595">
        <v>0.99930955844802105</v>
      </c>
      <c r="C595">
        <v>0.85618670303853095</v>
      </c>
      <c r="D595">
        <v>1.02295423099799</v>
      </c>
      <c r="E595">
        <v>0.53740385648373601</v>
      </c>
      <c r="F595">
        <v>0.436494362356523</v>
      </c>
      <c r="G595">
        <v>0.57381699871094805</v>
      </c>
      <c r="H595">
        <v>0.45741241891873302</v>
      </c>
      <c r="I595">
        <v>0.61850535054118505</v>
      </c>
      <c r="J595">
        <v>0.297868513874681</v>
      </c>
      <c r="K595">
        <v>0.145808601819683</v>
      </c>
      <c r="L595">
        <v>5994.72858628227</v>
      </c>
      <c r="M595">
        <v>121.27921527577401</v>
      </c>
      <c r="N595">
        <v>50.196090863147198</v>
      </c>
      <c r="O595">
        <v>49.415714456723997</v>
      </c>
      <c r="P595">
        <v>-0.35487568918252799</v>
      </c>
      <c r="Q595">
        <v>0.421617785579047</v>
      </c>
      <c r="R595">
        <v>0.76631675323023196</v>
      </c>
      <c r="S595" t="s">
        <v>7212</v>
      </c>
      <c r="T595" t="s">
        <v>13232</v>
      </c>
      <c r="U595" t="s">
        <v>13232</v>
      </c>
      <c r="V595" t="s">
        <v>13232</v>
      </c>
      <c r="W595" t="s">
        <v>13813</v>
      </c>
      <c r="X595">
        <v>12</v>
      </c>
      <c r="Y595" t="s">
        <v>20353</v>
      </c>
      <c r="Z595" t="s">
        <v>26726</v>
      </c>
      <c r="AA595">
        <v>0.60361956671906136</v>
      </c>
      <c r="AB595" t="str">
        <f>HYPERLINK("Melting_Curves/meltCurve_F5H715_AIDA.pdf", "Melting_Curves/meltCurve_F5H715_AIDA.pdf")</f>
        <v>Melting_Curves/meltCurve_F5H715_AIDA.pdf</v>
      </c>
    </row>
    <row r="596" spans="1:28" x14ac:dyDescent="0.25">
      <c r="A596" t="s">
        <v>600</v>
      </c>
      <c r="B596">
        <v>0.99930955844802105</v>
      </c>
      <c r="C596">
        <v>1.02416426223338</v>
      </c>
      <c r="D596">
        <v>1.01166647612252</v>
      </c>
      <c r="E596">
        <v>0.96142131414946297</v>
      </c>
      <c r="F596">
        <v>0.857782150479654</v>
      </c>
      <c r="G596">
        <v>0.80522329628781397</v>
      </c>
      <c r="H596">
        <v>0.84317922213664898</v>
      </c>
      <c r="I596">
        <v>0.97153512805343101</v>
      </c>
      <c r="J596">
        <v>0.92326682995126996</v>
      </c>
      <c r="K596">
        <v>0.75523257271469701</v>
      </c>
      <c r="L596">
        <v>12548.6388524791</v>
      </c>
      <c r="M596">
        <v>250</v>
      </c>
      <c r="O596">
        <v>50.191343308184798</v>
      </c>
      <c r="P596">
        <v>-0.17511756660664299</v>
      </c>
      <c r="Q596">
        <v>0.85936982573457099</v>
      </c>
      <c r="R596">
        <v>0.60618126858323795</v>
      </c>
      <c r="S596" t="s">
        <v>7213</v>
      </c>
      <c r="T596" t="s">
        <v>13232</v>
      </c>
      <c r="U596" t="s">
        <v>13232</v>
      </c>
      <c r="V596" t="s">
        <v>13232</v>
      </c>
      <c r="W596" t="s">
        <v>13814</v>
      </c>
      <c r="X596">
        <v>30</v>
      </c>
      <c r="Y596" t="s">
        <v>20354</v>
      </c>
      <c r="Z596" t="s">
        <v>26727</v>
      </c>
      <c r="AA596">
        <v>0.90717095073510678</v>
      </c>
      <c r="AB596" t="str">
        <f>HYPERLINK("Melting_Curves/meltCurve_F5H721_WBP11.pdf", "Melting_Curves/meltCurve_F5H721_WBP11.pdf")</f>
        <v>Melting_Curves/meltCurve_F5H721_WBP11.pdf</v>
      </c>
    </row>
    <row r="597" spans="1:28" x14ac:dyDescent="0.25">
      <c r="A597" t="s">
        <v>601</v>
      </c>
      <c r="B597">
        <v>0.99930955844802105</v>
      </c>
      <c r="C597">
        <v>1.1889511978465199</v>
      </c>
      <c r="D597">
        <v>1.1462846899072401</v>
      </c>
      <c r="E597">
        <v>1.1902139914999199</v>
      </c>
      <c r="F597">
        <v>1.2219033251262701</v>
      </c>
      <c r="G597">
        <v>1.11288973647238</v>
      </c>
      <c r="H597">
        <v>1.26854183360865</v>
      </c>
      <c r="I597">
        <v>1.2811742515709701</v>
      </c>
      <c r="J597">
        <v>1.3537138620022999</v>
      </c>
      <c r="K597">
        <v>1.0334592780479099</v>
      </c>
      <c r="L597">
        <v>10606.9972372432</v>
      </c>
      <c r="M597">
        <v>250</v>
      </c>
      <c r="O597">
        <v>42.425273852024503</v>
      </c>
      <c r="P597">
        <v>0.29614219890421101</v>
      </c>
      <c r="Q597">
        <v>1.20102262190556</v>
      </c>
      <c r="R597">
        <v>0.32979817430562203</v>
      </c>
      <c r="S597" t="s">
        <v>7214</v>
      </c>
      <c r="T597" t="s">
        <v>13232</v>
      </c>
      <c r="U597" t="s">
        <v>13232</v>
      </c>
      <c r="V597" t="s">
        <v>13232</v>
      </c>
      <c r="W597" t="s">
        <v>13815</v>
      </c>
      <c r="X597">
        <v>2</v>
      </c>
      <c r="Y597" t="s">
        <v>20355</v>
      </c>
      <c r="Z597" t="s">
        <v>26728</v>
      </c>
      <c r="AA597">
        <v>1.1847382965949591</v>
      </c>
      <c r="AB597" t="str">
        <f>HYPERLINK("Melting_Curves/meltCurve_F5H777_CCDC82.pdf", "Melting_Curves/meltCurve_F5H777_CCDC82.pdf")</f>
        <v>Melting_Curves/meltCurve_F5H777_CCDC82.pdf</v>
      </c>
    </row>
    <row r="598" spans="1:28" x14ac:dyDescent="0.25">
      <c r="A598" t="s">
        <v>602</v>
      </c>
      <c r="B598">
        <v>0.99930955844802105</v>
      </c>
      <c r="C598">
        <v>0.91712445312179602</v>
      </c>
      <c r="D598">
        <v>0.72999045528344797</v>
      </c>
      <c r="E598">
        <v>0.87926559063103304</v>
      </c>
      <c r="F598">
        <v>0.505383985889301</v>
      </c>
      <c r="G598">
        <v>0.19199542345457499</v>
      </c>
      <c r="H598">
        <v>8.8829051966538605E-2</v>
      </c>
      <c r="I598">
        <v>6.1634166590379701E-2</v>
      </c>
      <c r="J598">
        <v>5.4053341208320303E-2</v>
      </c>
      <c r="K598">
        <v>3.9824112621718998E-2</v>
      </c>
      <c r="L598">
        <v>906.69549961454004</v>
      </c>
      <c r="M598">
        <v>17.069065954357999</v>
      </c>
      <c r="N598">
        <v>53.162177462985703</v>
      </c>
      <c r="O598">
        <v>52.406204625410098</v>
      </c>
      <c r="P598">
        <v>-8.0874046438046798E-2</v>
      </c>
      <c r="Q598">
        <v>6.8480432381870099E-3</v>
      </c>
      <c r="R598">
        <v>0.95367460760067302</v>
      </c>
      <c r="S598" t="s">
        <v>7215</v>
      </c>
      <c r="T598" t="s">
        <v>13232</v>
      </c>
      <c r="U598" t="s">
        <v>13232</v>
      </c>
      <c r="V598" t="s">
        <v>13232</v>
      </c>
      <c r="W598" t="s">
        <v>13816</v>
      </c>
      <c r="X598">
        <v>2</v>
      </c>
      <c r="Y598" t="s">
        <v>20356</v>
      </c>
      <c r="Z598" t="s">
        <v>26729</v>
      </c>
      <c r="AA598">
        <v>0.45878460259920228</v>
      </c>
      <c r="AB598" t="str">
        <f>HYPERLINK("Melting_Curves/meltCurve_F5H7F6_MGST1.pdf", "Melting_Curves/meltCurve_F5H7F6_MGST1.pdf")</f>
        <v>Melting_Curves/meltCurve_F5H7F6_MGST1.pdf</v>
      </c>
    </row>
    <row r="599" spans="1:28" x14ac:dyDescent="0.25">
      <c r="A599" t="s">
        <v>603</v>
      </c>
      <c r="B599">
        <v>0.99930955844802105</v>
      </c>
      <c r="C599">
        <v>1.0291345374145699</v>
      </c>
      <c r="D599">
        <v>0.86611409776737402</v>
      </c>
      <c r="E599">
        <v>0.84520980426918202</v>
      </c>
      <c r="F599">
        <v>0.73938543515636501</v>
      </c>
      <c r="G599">
        <v>0.59683405039634496</v>
      </c>
      <c r="H599">
        <v>0.698033084963254</v>
      </c>
      <c r="I599">
        <v>0.86037991267902203</v>
      </c>
      <c r="J599">
        <v>1.09003274597286</v>
      </c>
      <c r="K599">
        <v>0.74625934449940401</v>
      </c>
      <c r="L599">
        <v>11469.855121902099</v>
      </c>
      <c r="M599">
        <v>250</v>
      </c>
      <c r="O599">
        <v>45.876477791283101</v>
      </c>
      <c r="P599">
        <v>-0.27711552171821002</v>
      </c>
      <c r="Q599">
        <v>0.79659062514110601</v>
      </c>
      <c r="R599">
        <v>0.33114209925513999</v>
      </c>
      <c r="S599" t="s">
        <v>7216</v>
      </c>
      <c r="T599" t="s">
        <v>13232</v>
      </c>
      <c r="U599" t="s">
        <v>13232</v>
      </c>
      <c r="V599" t="s">
        <v>13232</v>
      </c>
      <c r="W599" t="s">
        <v>13817</v>
      </c>
      <c r="X599">
        <v>5</v>
      </c>
      <c r="Y599" t="s">
        <v>20357</v>
      </c>
      <c r="Z599" t="s">
        <v>26730</v>
      </c>
      <c r="AA599">
        <v>0.83647131138703823</v>
      </c>
      <c r="AB599" t="str">
        <f>HYPERLINK("Melting_Curves/meltCurve_F5H7I4_GABPB1.pdf", "Melting_Curves/meltCurve_F5H7I4_GABPB1.pdf")</f>
        <v>Melting_Curves/meltCurve_F5H7I4_GABPB1.pdf</v>
      </c>
    </row>
    <row r="600" spans="1:28" x14ac:dyDescent="0.25">
      <c r="A600" t="s">
        <v>604</v>
      </c>
      <c r="B600">
        <v>0.99930955844802105</v>
      </c>
      <c r="C600">
        <v>0.77522706403135699</v>
      </c>
      <c r="D600">
        <v>0.39567132007842898</v>
      </c>
      <c r="E600">
        <v>0.33477656764027403</v>
      </c>
      <c r="F600">
        <v>0.23812353159911101</v>
      </c>
      <c r="G600">
        <v>0.17275483541447201</v>
      </c>
      <c r="H600">
        <v>0.11254368660410299</v>
      </c>
      <c r="I600">
        <v>9.7016643767428704E-2</v>
      </c>
      <c r="J600">
        <v>0.10259984873849</v>
      </c>
      <c r="K600">
        <v>7.4356987882330694E-2</v>
      </c>
      <c r="L600">
        <v>777.57707352275895</v>
      </c>
      <c r="M600">
        <v>17.169718241076598</v>
      </c>
      <c r="N600">
        <v>45.992608910460298</v>
      </c>
      <c r="O600">
        <v>44.686756703224297</v>
      </c>
      <c r="P600">
        <v>-8.4948314571948E-2</v>
      </c>
      <c r="Q600">
        <v>0.115689838284309</v>
      </c>
      <c r="R600">
        <v>0.96648208541196001</v>
      </c>
      <c r="S600" t="s">
        <v>7217</v>
      </c>
      <c r="T600" t="s">
        <v>13232</v>
      </c>
      <c r="U600" t="s">
        <v>13232</v>
      </c>
      <c r="V600" t="s">
        <v>13232</v>
      </c>
      <c r="W600" t="s">
        <v>13818</v>
      </c>
      <c r="X600">
        <v>9</v>
      </c>
      <c r="Y600" t="s">
        <v>20358</v>
      </c>
      <c r="Z600" t="s">
        <v>26731</v>
      </c>
      <c r="AA600">
        <v>0.29211815032822391</v>
      </c>
      <c r="AB600" t="str">
        <f>HYPERLINK("Melting_Curves/meltCurve_F5H801_OGDH.pdf", "Melting_Curves/meltCurve_F5H801_OGDH.pdf")</f>
        <v>Melting_Curves/meltCurve_F5H801_OGDH.pdf</v>
      </c>
    </row>
    <row r="601" spans="1:28" x14ac:dyDescent="0.25">
      <c r="A601" t="s">
        <v>605</v>
      </c>
      <c r="B601">
        <v>0.99930955844802105</v>
      </c>
      <c r="C601">
        <v>1.06714745241389</v>
      </c>
      <c r="D601">
        <v>1.0820836297348</v>
      </c>
      <c r="E601">
        <v>1.00709521227376</v>
      </c>
      <c r="F601">
        <v>0.85223720365495004</v>
      </c>
      <c r="G601">
        <v>0.38201331334910099</v>
      </c>
      <c r="H601">
        <v>0.16587657995441299</v>
      </c>
      <c r="I601">
        <v>0.15579639734911299</v>
      </c>
      <c r="J601">
        <v>0.136891849700705</v>
      </c>
      <c r="K601">
        <v>0.106515894188331</v>
      </c>
      <c r="L601">
        <v>1923.4889839893201</v>
      </c>
      <c r="M601">
        <v>34.644350085540999</v>
      </c>
      <c r="N601">
        <v>56.003647414366903</v>
      </c>
      <c r="O601">
        <v>55.336988630136801</v>
      </c>
      <c r="P601">
        <v>-0.13631586678222701</v>
      </c>
      <c r="Q601">
        <v>0.12906067580186201</v>
      </c>
      <c r="R601">
        <v>0.99250673926090804</v>
      </c>
      <c r="S601" t="s">
        <v>7218</v>
      </c>
      <c r="T601" t="s">
        <v>13232</v>
      </c>
      <c r="U601" t="s">
        <v>13232</v>
      </c>
      <c r="V601" t="s">
        <v>13232</v>
      </c>
      <c r="W601" t="s">
        <v>13819</v>
      </c>
      <c r="X601">
        <v>17</v>
      </c>
      <c r="Y601" t="s">
        <v>20359</v>
      </c>
      <c r="Z601" t="s">
        <v>26732</v>
      </c>
      <c r="AA601">
        <v>0.58406427960773544</v>
      </c>
      <c r="AB601" t="str">
        <f>HYPERLINK("Melting_Curves/meltCurve_F5H860_INPP4A.pdf", "Melting_Curves/meltCurve_F5H860_INPP4A.pdf")</f>
        <v>Melting_Curves/meltCurve_F5H860_INPP4A.pdf</v>
      </c>
    </row>
    <row r="602" spans="1:28" x14ac:dyDescent="0.25">
      <c r="A602" t="s">
        <v>606</v>
      </c>
      <c r="B602">
        <v>0.99930955844802105</v>
      </c>
      <c r="C602">
        <v>1.0508545387117101</v>
      </c>
      <c r="D602">
        <v>1.0431038142400899</v>
      </c>
      <c r="E602">
        <v>0.91477997081949003</v>
      </c>
      <c r="F602">
        <v>0.4452942841118</v>
      </c>
      <c r="G602">
        <v>0.16586691971569201</v>
      </c>
      <c r="H602">
        <v>9.5306029792709607E-2</v>
      </c>
      <c r="I602">
        <v>7.4557549993315195E-2</v>
      </c>
      <c r="J602">
        <v>6.5817817958652505E-2</v>
      </c>
      <c r="K602">
        <v>4.8426806802559702E-2</v>
      </c>
      <c r="L602">
        <v>2120.6729003626401</v>
      </c>
      <c r="M602">
        <v>40.355382122090703</v>
      </c>
      <c r="N602">
        <v>52.777051423486199</v>
      </c>
      <c r="O602">
        <v>52.421394590118901</v>
      </c>
      <c r="P602">
        <v>-0.17711689957169499</v>
      </c>
      <c r="Q602">
        <v>7.9706763934640698E-2</v>
      </c>
      <c r="R602">
        <v>0.99516307564083695</v>
      </c>
      <c r="S602" t="s">
        <v>7219</v>
      </c>
      <c r="T602" t="s">
        <v>13232</v>
      </c>
      <c r="U602" t="s">
        <v>13232</v>
      </c>
      <c r="V602" t="s">
        <v>13232</v>
      </c>
      <c r="W602" t="s">
        <v>13820</v>
      </c>
      <c r="X602">
        <v>36</v>
      </c>
      <c r="Y602" t="s">
        <v>20360</v>
      </c>
      <c r="Z602" t="s">
        <v>26733</v>
      </c>
      <c r="AA602">
        <v>0.46797576270160163</v>
      </c>
      <c r="AB602" t="str">
        <f>HYPERLINK("Melting_Curves/meltCurve_F5H897_TRAP1.pdf", "Melting_Curves/meltCurve_F5H897_TRAP1.pdf")</f>
        <v>Melting_Curves/meltCurve_F5H897_TRAP1.pdf</v>
      </c>
    </row>
    <row r="603" spans="1:28" x14ac:dyDescent="0.25">
      <c r="A603" t="s">
        <v>607</v>
      </c>
      <c r="B603">
        <v>0.99930955844802105</v>
      </c>
      <c r="C603">
        <v>0.97145710728555301</v>
      </c>
      <c r="D603">
        <v>0.91795342219475695</v>
      </c>
      <c r="E603">
        <v>0.81992064997782999</v>
      </c>
      <c r="F603">
        <v>0.59670806359334605</v>
      </c>
      <c r="G603">
        <v>0.27653068367309003</v>
      </c>
      <c r="H603">
        <v>0.13889216814633101</v>
      </c>
      <c r="I603">
        <v>0.10992882391405</v>
      </c>
      <c r="J603">
        <v>9.4178949398905795E-2</v>
      </c>
      <c r="K603">
        <v>8.4381079586628396E-2</v>
      </c>
      <c r="L603">
        <v>1035.09724910925</v>
      </c>
      <c r="M603">
        <v>19.326377480566499</v>
      </c>
      <c r="N603">
        <v>53.974414434566903</v>
      </c>
      <c r="O603">
        <v>52.995228187132703</v>
      </c>
      <c r="P603">
        <v>-8.4870249089859698E-2</v>
      </c>
      <c r="Q603">
        <v>6.9137177141590497E-2</v>
      </c>
      <c r="R603">
        <v>0.99783161003758103</v>
      </c>
      <c r="S603" t="s">
        <v>7220</v>
      </c>
      <c r="T603" t="s">
        <v>13232</v>
      </c>
      <c r="U603" t="s">
        <v>13232</v>
      </c>
      <c r="V603" t="s">
        <v>13232</v>
      </c>
      <c r="W603" t="s">
        <v>13821</v>
      </c>
      <c r="X603">
        <v>12</v>
      </c>
      <c r="Y603" t="s">
        <v>20361</v>
      </c>
      <c r="Z603" t="s">
        <v>26734</v>
      </c>
      <c r="AA603">
        <v>0.50331292473429978</v>
      </c>
      <c r="AB603" t="str">
        <f>HYPERLINK("Melting_Curves/meltCurve_F5H8H2_MVK.pdf", "Melting_Curves/meltCurve_F5H8H2_MVK.pdf")</f>
        <v>Melting_Curves/meltCurve_F5H8H2_MVK.pdf</v>
      </c>
    </row>
    <row r="604" spans="1:28" x14ac:dyDescent="0.25">
      <c r="A604" t="s">
        <v>608</v>
      </c>
      <c r="B604">
        <v>0.99930955844802105</v>
      </c>
      <c r="C604">
        <v>1.0160534630629701</v>
      </c>
      <c r="D604">
        <v>1.05473868852282</v>
      </c>
      <c r="E604">
        <v>1.02339266237976</v>
      </c>
      <c r="F604">
        <v>0.97527001298509697</v>
      </c>
      <c r="G604">
        <v>0.72638445512747996</v>
      </c>
      <c r="H604">
        <v>0.46400982885258402</v>
      </c>
      <c r="I604">
        <v>0.31264153879886503</v>
      </c>
      <c r="J604">
        <v>0.24043668144981001</v>
      </c>
      <c r="K604">
        <v>0.18185674496795801</v>
      </c>
      <c r="L604">
        <v>1323.8191547476999</v>
      </c>
      <c r="M604">
        <v>22.361988634065199</v>
      </c>
      <c r="N604">
        <v>60.351398414262398</v>
      </c>
      <c r="O604">
        <v>58.732197573857903</v>
      </c>
      <c r="P604">
        <v>-7.8653595285162997E-2</v>
      </c>
      <c r="Q604">
        <v>0.17370455246758401</v>
      </c>
      <c r="R604">
        <v>0.99398560331628505</v>
      </c>
      <c r="S604" t="s">
        <v>7221</v>
      </c>
      <c r="T604" t="s">
        <v>13232</v>
      </c>
      <c r="U604" t="s">
        <v>13232</v>
      </c>
      <c r="V604" t="s">
        <v>13232</v>
      </c>
      <c r="W604" t="s">
        <v>13822</v>
      </c>
      <c r="X604">
        <v>4</v>
      </c>
      <c r="Y604" t="s">
        <v>20362</v>
      </c>
      <c r="Z604" t="s">
        <v>26735</v>
      </c>
      <c r="AA604">
        <v>0.70997124352087937</v>
      </c>
      <c r="AB604" t="str">
        <f>HYPERLINK("Melting_Curves/meltCurve_F6PQP6_EPN2.pdf", "Melting_Curves/meltCurve_F6PQP6_EPN2.pdf")</f>
        <v>Melting_Curves/meltCurve_F6PQP6_EPN2.pdf</v>
      </c>
    </row>
    <row r="605" spans="1:28" x14ac:dyDescent="0.25">
      <c r="A605" t="s">
        <v>609</v>
      </c>
      <c r="B605">
        <v>0.99930955844802105</v>
      </c>
      <c r="C605">
        <v>1.0682971197468201</v>
      </c>
      <c r="D605">
        <v>1.0708261989122201</v>
      </c>
      <c r="E605">
        <v>1.0621570716869499</v>
      </c>
      <c r="F605">
        <v>0.99228222266393995</v>
      </c>
      <c r="G605">
        <v>0.90221102749441395</v>
      </c>
      <c r="H605">
        <v>0.94192612370782902</v>
      </c>
      <c r="I605">
        <v>1.0521566075187201</v>
      </c>
      <c r="J605">
        <v>1.0454540392604199</v>
      </c>
      <c r="K605">
        <v>0.84623583043418005</v>
      </c>
      <c r="L605">
        <v>15000</v>
      </c>
      <c r="M605">
        <v>212.58030305075499</v>
      </c>
      <c r="Q605">
        <v>0</v>
      </c>
      <c r="R605">
        <v>0.42971859521039502</v>
      </c>
      <c r="S605" t="s">
        <v>7222</v>
      </c>
      <c r="T605" t="s">
        <v>13232</v>
      </c>
      <c r="U605" t="s">
        <v>13232</v>
      </c>
      <c r="V605" t="s">
        <v>13232</v>
      </c>
      <c r="W605" t="s">
        <v>13823</v>
      </c>
      <c r="X605">
        <v>48</v>
      </c>
      <c r="Y605" t="s">
        <v>20363</v>
      </c>
      <c r="Z605" t="s">
        <v>26736</v>
      </c>
      <c r="AA605">
        <v>0.99819951754040137</v>
      </c>
      <c r="AB605" t="str">
        <f>HYPERLINK("Melting_Curves/meltCurve_F6QR24_NUP153.pdf", "Melting_Curves/meltCurve_F6QR24_NUP153.pdf")</f>
        <v>Melting_Curves/meltCurve_F6QR24_NUP153.pdf</v>
      </c>
    </row>
    <row r="606" spans="1:28" x14ac:dyDescent="0.25">
      <c r="A606" t="s">
        <v>610</v>
      </c>
      <c r="B606">
        <v>0.99930955844802105</v>
      </c>
      <c r="C606">
        <v>0.96380605748934001</v>
      </c>
      <c r="D606">
        <v>0.85437236428946794</v>
      </c>
      <c r="E606">
        <v>0.70657579447109697</v>
      </c>
      <c r="F606">
        <v>0.458960350366449</v>
      </c>
      <c r="G606">
        <v>0.26329908979933903</v>
      </c>
      <c r="H606">
        <v>0.185352494111792</v>
      </c>
      <c r="I606">
        <v>0.17704374295672101</v>
      </c>
      <c r="J606">
        <v>0.152799746444788</v>
      </c>
      <c r="K606">
        <v>0.13735731459475001</v>
      </c>
      <c r="L606">
        <v>835.47667966540803</v>
      </c>
      <c r="M606">
        <v>16.209693419676999</v>
      </c>
      <c r="N606">
        <v>52.492924704487301</v>
      </c>
      <c r="O606">
        <v>50.776502306756299</v>
      </c>
      <c r="P606">
        <v>-6.9658538431961597E-2</v>
      </c>
      <c r="Q606">
        <v>0.127249841294996</v>
      </c>
      <c r="R606">
        <v>0.99703561984461297</v>
      </c>
      <c r="S606" t="s">
        <v>7223</v>
      </c>
      <c r="T606" t="s">
        <v>13232</v>
      </c>
      <c r="U606" t="s">
        <v>13232</v>
      </c>
      <c r="V606" t="s">
        <v>13232</v>
      </c>
      <c r="W606" t="s">
        <v>13824</v>
      </c>
      <c r="X606">
        <v>16</v>
      </c>
      <c r="Y606" t="s">
        <v>20364</v>
      </c>
      <c r="Z606" t="s">
        <v>26737</v>
      </c>
      <c r="AA606">
        <v>0.48049106482462262</v>
      </c>
      <c r="AB606" t="str">
        <f>HYPERLINK("Melting_Curves/meltCurve_F6TQG2_SMARCA1.pdf", "Melting_Curves/meltCurve_F6TQG2_SMARCA1.pdf")</f>
        <v>Melting_Curves/meltCurve_F6TQG2_SMARCA1.pdf</v>
      </c>
    </row>
    <row r="607" spans="1:28" x14ac:dyDescent="0.25">
      <c r="A607" t="s">
        <v>611</v>
      </c>
      <c r="B607">
        <v>0.99930955844802105</v>
      </c>
      <c r="C607">
        <v>0.88871592823313805</v>
      </c>
      <c r="D607">
        <v>0.84575262436005305</v>
      </c>
      <c r="E607">
        <v>0.80590242456279304</v>
      </c>
      <c r="F607">
        <v>0.74723852774017097</v>
      </c>
      <c r="G607">
        <v>0.53348747794601803</v>
      </c>
      <c r="H607">
        <v>0.41500815434673299</v>
      </c>
      <c r="I607">
        <v>0.33806536840007401</v>
      </c>
      <c r="J607">
        <v>0.308857695358214</v>
      </c>
      <c r="K607">
        <v>0.204656749915403</v>
      </c>
      <c r="L607">
        <v>443.41579543666001</v>
      </c>
      <c r="M607">
        <v>7.5597810261540097</v>
      </c>
      <c r="N607">
        <v>58.654583089443697</v>
      </c>
      <c r="O607">
        <v>54.9718807664024</v>
      </c>
      <c r="P607">
        <v>-3.4428219751704299E-2</v>
      </c>
      <c r="Q607">
        <v>0</v>
      </c>
      <c r="R607">
        <v>0.98478236057595203</v>
      </c>
      <c r="S607" t="s">
        <v>7224</v>
      </c>
      <c r="T607" t="s">
        <v>13232</v>
      </c>
      <c r="U607" t="s">
        <v>13232</v>
      </c>
      <c r="V607" t="s">
        <v>13232</v>
      </c>
      <c r="W607" t="s">
        <v>13825</v>
      </c>
      <c r="X607">
        <v>11</v>
      </c>
      <c r="Y607" t="s">
        <v>19841</v>
      </c>
      <c r="Z607" t="s">
        <v>26738</v>
      </c>
      <c r="AA607">
        <v>0.61707518437179298</v>
      </c>
      <c r="AB607" t="str">
        <f>HYPERLINK("Melting_Curves/meltCurve_F6U1F2_BAG6.pdf", "Melting_Curves/meltCurve_F6U1F2_BAG6.pdf")</f>
        <v>Melting_Curves/meltCurve_F6U1F2_BAG6.pdf</v>
      </c>
    </row>
    <row r="608" spans="1:28" x14ac:dyDescent="0.25">
      <c r="A608" t="s">
        <v>612</v>
      </c>
      <c r="B608">
        <v>0.99930955844802105</v>
      </c>
      <c r="C608">
        <v>1.06224921730976</v>
      </c>
      <c r="D608">
        <v>1.0193123382614999</v>
      </c>
      <c r="E608">
        <v>0.90549720099810604</v>
      </c>
      <c r="F608">
        <v>0.68367819817438402</v>
      </c>
      <c r="G608">
        <v>0.44360543620881498</v>
      </c>
      <c r="H608">
        <v>0.32098437440621502</v>
      </c>
      <c r="I608">
        <v>0.24411440359704101</v>
      </c>
      <c r="J608">
        <v>0.20494960427873499</v>
      </c>
      <c r="K608">
        <v>0.15717549805169101</v>
      </c>
      <c r="L608">
        <v>1013.57493334397</v>
      </c>
      <c r="M608">
        <v>18.480969743348702</v>
      </c>
      <c r="N608">
        <v>56.163089658321198</v>
      </c>
      <c r="O608">
        <v>54.214206768599901</v>
      </c>
      <c r="P608">
        <v>-7.0222968377722697E-2</v>
      </c>
      <c r="Q608">
        <v>0.17603603933037601</v>
      </c>
      <c r="R608">
        <v>0.99153969662469399</v>
      </c>
      <c r="S608" t="s">
        <v>7225</v>
      </c>
      <c r="T608" t="s">
        <v>13232</v>
      </c>
      <c r="U608" t="s">
        <v>13232</v>
      </c>
      <c r="V608" t="s">
        <v>13232</v>
      </c>
      <c r="W608" t="s">
        <v>13826</v>
      </c>
      <c r="X608">
        <v>8</v>
      </c>
      <c r="Y608" t="s">
        <v>20365</v>
      </c>
      <c r="Z608" t="s">
        <v>26739</v>
      </c>
      <c r="AA608">
        <v>0.59610355871652498</v>
      </c>
      <c r="AB608" t="str">
        <f>HYPERLINK("Melting_Curves/meltCurve_F6U1T9_PPP3R1.pdf", "Melting_Curves/meltCurve_F6U1T9_PPP3R1.pdf")</f>
        <v>Melting_Curves/meltCurve_F6U1T9_PPP3R1.pdf</v>
      </c>
    </row>
    <row r="609" spans="1:28" x14ac:dyDescent="0.25">
      <c r="A609" t="s">
        <v>613</v>
      </c>
      <c r="B609">
        <v>0.99930955844802105</v>
      </c>
      <c r="C609">
        <v>0.97911500657289297</v>
      </c>
      <c r="D609">
        <v>0.99048879346150998</v>
      </c>
      <c r="E609">
        <v>0.82232091529531004</v>
      </c>
      <c r="F609">
        <v>0.42796810515700401</v>
      </c>
      <c r="G609">
        <v>0.20332098819038899</v>
      </c>
      <c r="H609">
        <v>0.153253281752289</v>
      </c>
      <c r="I609">
        <v>0.11853184461857399</v>
      </c>
      <c r="J609">
        <v>0.122385860353981</v>
      </c>
      <c r="K609">
        <v>8.9811622684221201E-2</v>
      </c>
      <c r="L609">
        <v>1615.5517324346999</v>
      </c>
      <c r="M609">
        <v>31.024067879343502</v>
      </c>
      <c r="N609">
        <v>52.5462785921193</v>
      </c>
      <c r="O609">
        <v>51.859216227594104</v>
      </c>
      <c r="P609">
        <v>-0.13136780965276401</v>
      </c>
      <c r="Q609">
        <v>0.121637715619912</v>
      </c>
      <c r="R609">
        <v>0.99795355825019005</v>
      </c>
      <c r="S609" t="s">
        <v>7226</v>
      </c>
      <c r="T609" t="s">
        <v>13232</v>
      </c>
      <c r="U609" t="s">
        <v>13232</v>
      </c>
      <c r="V609" t="s">
        <v>13232</v>
      </c>
      <c r="W609" t="s">
        <v>13827</v>
      </c>
      <c r="X609">
        <v>5</v>
      </c>
      <c r="Y609" t="s">
        <v>20366</v>
      </c>
      <c r="Z609" t="s">
        <v>26740</v>
      </c>
      <c r="AA609">
        <v>0.48040997385900991</v>
      </c>
      <c r="AB609" t="str">
        <f>HYPERLINK("Melting_Curves/meltCurve_F6V2D4_LGALS8.pdf", "Melting_Curves/meltCurve_F6V2D4_LGALS8.pdf")</f>
        <v>Melting_Curves/meltCurve_F6V2D4_LGALS8.pdf</v>
      </c>
    </row>
    <row r="610" spans="1:28" x14ac:dyDescent="0.25">
      <c r="A610" t="s">
        <v>614</v>
      </c>
      <c r="B610">
        <v>0.99930955844802105</v>
      </c>
      <c r="C610">
        <v>0.96245872004950805</v>
      </c>
      <c r="D610">
        <v>0.907177040042768</v>
      </c>
      <c r="E610">
        <v>0.86729729701731895</v>
      </c>
      <c r="F610">
        <v>0.76922452949827602</v>
      </c>
      <c r="G610">
        <v>0.64390181440002703</v>
      </c>
      <c r="H610">
        <v>0.62278793159263102</v>
      </c>
      <c r="I610">
        <v>0.63867781043552296</v>
      </c>
      <c r="J610">
        <v>0.61703439668131499</v>
      </c>
      <c r="K610">
        <v>0.53305979917136703</v>
      </c>
      <c r="L610">
        <v>604.90796524651796</v>
      </c>
      <c r="M610">
        <v>11.5082216108372</v>
      </c>
      <c r="O610">
        <v>51.051125075597803</v>
      </c>
      <c r="P610">
        <v>-2.53054298485898E-2</v>
      </c>
      <c r="Q610">
        <v>0.551101951927772</v>
      </c>
      <c r="R610">
        <v>0.97265142230047197</v>
      </c>
      <c r="S610" t="s">
        <v>7227</v>
      </c>
      <c r="T610" t="s">
        <v>13232</v>
      </c>
      <c r="U610" t="s">
        <v>13232</v>
      </c>
      <c r="V610" t="s">
        <v>13232</v>
      </c>
      <c r="W610" t="s">
        <v>13828</v>
      </c>
      <c r="X610">
        <v>9</v>
      </c>
      <c r="Y610" t="s">
        <v>20367</v>
      </c>
      <c r="Z610" t="s">
        <v>26741</v>
      </c>
      <c r="AA610">
        <v>0.75295717540373064</v>
      </c>
      <c r="AB610" t="str">
        <f>HYPERLINK("Melting_Curves/meltCurve_F6V707_TPD52L1.pdf", "Melting_Curves/meltCurve_F6V707_TPD52L1.pdf")</f>
        <v>Melting_Curves/meltCurve_F6V707_TPD52L1.pdf</v>
      </c>
    </row>
    <row r="611" spans="1:28" x14ac:dyDescent="0.25">
      <c r="A611" t="s">
        <v>615</v>
      </c>
      <c r="B611">
        <v>0.99930955844802105</v>
      </c>
      <c r="C611">
        <v>0.89101672179755098</v>
      </c>
      <c r="D611">
        <v>0.84711574750792895</v>
      </c>
      <c r="E611">
        <v>0.84163165115073202</v>
      </c>
      <c r="F611">
        <v>0.81792904066319605</v>
      </c>
      <c r="G611">
        <v>0.55563366575545003</v>
      </c>
      <c r="H611">
        <v>0.31449029502456</v>
      </c>
      <c r="I611">
        <v>0.10687672723215801</v>
      </c>
      <c r="J611">
        <v>3.6280186462232203E-2</v>
      </c>
      <c r="K611">
        <v>2.7961718449663001E-2</v>
      </c>
      <c r="L611">
        <v>915.57160081393704</v>
      </c>
      <c r="M611">
        <v>15.972831607824</v>
      </c>
      <c r="N611">
        <v>57.320556926431799</v>
      </c>
      <c r="O611">
        <v>56.444671654383697</v>
      </c>
      <c r="P611">
        <v>-7.0751110374168105E-2</v>
      </c>
      <c r="Q611">
        <v>0</v>
      </c>
      <c r="R611">
        <v>0.96779311430871195</v>
      </c>
      <c r="S611" t="s">
        <v>7228</v>
      </c>
      <c r="T611" t="s">
        <v>13232</v>
      </c>
      <c r="U611" t="s">
        <v>13232</v>
      </c>
      <c r="V611" t="s">
        <v>13232</v>
      </c>
      <c r="W611" t="s">
        <v>13522</v>
      </c>
      <c r="X611">
        <v>7</v>
      </c>
      <c r="Y611" t="s">
        <v>20368</v>
      </c>
      <c r="Z611" t="s">
        <v>26742</v>
      </c>
      <c r="AA611">
        <v>0.59195537832473799</v>
      </c>
      <c r="AB611" t="str">
        <f>HYPERLINK("Melting_Curves/meltCurve_F6XY72_NME2.pdf", "Melting_Curves/meltCurve_F6XY72_NME2.pdf")</f>
        <v>Melting_Curves/meltCurve_F6XY72_NME2.pdf</v>
      </c>
    </row>
    <row r="612" spans="1:28" x14ac:dyDescent="0.25">
      <c r="A612" t="s">
        <v>616</v>
      </c>
      <c r="B612">
        <v>0.99930955844802105</v>
      </c>
      <c r="C612">
        <v>1.1289222281178199</v>
      </c>
      <c r="D612">
        <v>1.1210615233996</v>
      </c>
      <c r="E612">
        <v>1.10453137759488</v>
      </c>
      <c r="F612">
        <v>0.74123404404808602</v>
      </c>
      <c r="G612">
        <v>0.27150036992903098</v>
      </c>
      <c r="H612">
        <v>0.157640490749931</v>
      </c>
      <c r="I612">
        <v>0.127028428518312</v>
      </c>
      <c r="J612">
        <v>0.111243648266971</v>
      </c>
      <c r="K612">
        <v>0.102891224139997</v>
      </c>
      <c r="L612">
        <v>2168.1315851581398</v>
      </c>
      <c r="M612">
        <v>39.836877644758999</v>
      </c>
      <c r="N612">
        <v>54.819414240427299</v>
      </c>
      <c r="O612">
        <v>54.288643176999898</v>
      </c>
      <c r="P612">
        <v>-0.160604549292894</v>
      </c>
      <c r="Q612">
        <v>0.124531483069619</v>
      </c>
      <c r="R612">
        <v>0.97440852565304203</v>
      </c>
      <c r="S612" t="s">
        <v>7229</v>
      </c>
      <c r="T612" t="s">
        <v>13232</v>
      </c>
      <c r="U612" t="s">
        <v>13232</v>
      </c>
      <c r="V612" t="s">
        <v>13232</v>
      </c>
      <c r="W612" t="s">
        <v>13829</v>
      </c>
      <c r="X612">
        <v>3</v>
      </c>
      <c r="Y612" t="s">
        <v>20369</v>
      </c>
      <c r="Z612" t="s">
        <v>26743</v>
      </c>
      <c r="AA612">
        <v>0.54880468133922844</v>
      </c>
      <c r="AB612" t="str">
        <f>HYPERLINK("Melting_Curves/meltCurve_F6YA60_ITFG2.pdf", "Melting_Curves/meltCurve_F6YA60_ITFG2.pdf")</f>
        <v>Melting_Curves/meltCurve_F6YA60_ITFG2.pdf</v>
      </c>
    </row>
    <row r="613" spans="1:28" x14ac:dyDescent="0.25">
      <c r="A613" t="s">
        <v>617</v>
      </c>
      <c r="B613">
        <v>0.99930955844802105</v>
      </c>
      <c r="C613">
        <v>1.1783851863782799</v>
      </c>
      <c r="D613">
        <v>1.0630051492869199</v>
      </c>
      <c r="E613">
        <v>1.24505690456825</v>
      </c>
      <c r="F613">
        <v>1.37493477643825</v>
      </c>
      <c r="G613">
        <v>1.3413366291626501</v>
      </c>
      <c r="H613">
        <v>1.5201275432834001</v>
      </c>
      <c r="I613">
        <v>2.0524797180663201</v>
      </c>
      <c r="J613">
        <v>2.3076019648807602</v>
      </c>
      <c r="K613">
        <v>1.72025055637816</v>
      </c>
      <c r="L613">
        <v>1134.3963924852901</v>
      </c>
      <c r="M613">
        <v>22.6869197188113</v>
      </c>
      <c r="O613">
        <v>49.618582829727401</v>
      </c>
      <c r="P613">
        <v>5.7154410837389397E-2</v>
      </c>
      <c r="Q613">
        <v>1.5</v>
      </c>
      <c r="R613">
        <v>0.35979981626671098</v>
      </c>
      <c r="S613" t="s">
        <v>7230</v>
      </c>
      <c r="T613" t="s">
        <v>13232</v>
      </c>
      <c r="U613" t="s">
        <v>13232</v>
      </c>
      <c r="V613" t="s">
        <v>13232</v>
      </c>
      <c r="W613" t="s">
        <v>13830</v>
      </c>
      <c r="X613">
        <v>24</v>
      </c>
      <c r="Y613" t="s">
        <v>20370</v>
      </c>
      <c r="Z613" t="s">
        <v>26744</v>
      </c>
      <c r="AA613">
        <v>1.32786841489861</v>
      </c>
      <c r="AB613" t="str">
        <f>HYPERLINK("Melting_Curves/meltCurve_F8VP89_EIF4B.pdf", "Melting_Curves/meltCurve_F8VP89_EIF4B.pdf")</f>
        <v>Melting_Curves/meltCurve_F8VP89_EIF4B.pdf</v>
      </c>
    </row>
    <row r="614" spans="1:28" x14ac:dyDescent="0.25">
      <c r="A614" t="s">
        <v>618</v>
      </c>
      <c r="B614">
        <v>0.99930955844802105</v>
      </c>
      <c r="C614">
        <v>0.70930321446169198</v>
      </c>
      <c r="D614">
        <v>0.64106905627758004</v>
      </c>
      <c r="E614">
        <v>0.57491090860038496</v>
      </c>
      <c r="F614">
        <v>0.42519039302703598</v>
      </c>
      <c r="G614">
        <v>0.28128324511828601</v>
      </c>
      <c r="H614">
        <v>0.17387740375932501</v>
      </c>
      <c r="I614">
        <v>0.13887821901230599</v>
      </c>
      <c r="J614">
        <v>0.118198370067988</v>
      </c>
      <c r="K614">
        <v>9.5333598403123707E-2</v>
      </c>
      <c r="L614">
        <v>408.399408441834</v>
      </c>
      <c r="M614">
        <v>8.0992509924848903</v>
      </c>
      <c r="N614">
        <v>50.424340575968102</v>
      </c>
      <c r="O614">
        <v>47.629541615618002</v>
      </c>
      <c r="P614">
        <v>-4.2557613238051802E-2</v>
      </c>
      <c r="Q614">
        <v>0</v>
      </c>
      <c r="R614">
        <v>0.96779364773621501</v>
      </c>
      <c r="S614" t="s">
        <v>7231</v>
      </c>
      <c r="T614" t="s">
        <v>13232</v>
      </c>
      <c r="U614" t="s">
        <v>13232</v>
      </c>
      <c r="V614" t="s">
        <v>13232</v>
      </c>
      <c r="W614" t="s">
        <v>13831</v>
      </c>
      <c r="X614">
        <v>54</v>
      </c>
      <c r="Y614" t="s">
        <v>20371</v>
      </c>
      <c r="Z614" t="s">
        <v>26745</v>
      </c>
      <c r="AA614">
        <v>0.40370143154822341</v>
      </c>
      <c r="AB614" t="str">
        <f>HYPERLINK("Melting_Curves/meltCurve_F8VPD4_CAD.pdf", "Melting_Curves/meltCurve_F8VPD4_CAD.pdf")</f>
        <v>Melting_Curves/meltCurve_F8VPD4_CAD.pdf</v>
      </c>
    </row>
    <row r="615" spans="1:28" x14ac:dyDescent="0.25">
      <c r="A615" t="s">
        <v>619</v>
      </c>
      <c r="B615">
        <v>0.99930955844802105</v>
      </c>
      <c r="C615">
        <v>1.1041486249017101</v>
      </c>
      <c r="D615">
        <v>1.04696956951288</v>
      </c>
      <c r="E615">
        <v>0.93733608409895797</v>
      </c>
      <c r="F615">
        <v>0.76265581407635596</v>
      </c>
      <c r="G615">
        <v>0.702778635429819</v>
      </c>
      <c r="H615">
        <v>0.74241601407596802</v>
      </c>
      <c r="I615">
        <v>0.70757447418609898</v>
      </c>
      <c r="J615">
        <v>0.69101788242058304</v>
      </c>
      <c r="K615">
        <v>0.61557852158648596</v>
      </c>
      <c r="L615">
        <v>2300.8957484232501</v>
      </c>
      <c r="M615">
        <v>44.603814782773803</v>
      </c>
      <c r="O615">
        <v>51.481810114071301</v>
      </c>
      <c r="P615">
        <v>-6.6971302440016103E-2</v>
      </c>
      <c r="Q615">
        <v>0.69080678383380101</v>
      </c>
      <c r="R615">
        <v>0.91949364701706104</v>
      </c>
      <c r="S615" t="s">
        <v>7232</v>
      </c>
      <c r="T615" t="s">
        <v>13232</v>
      </c>
      <c r="U615" t="s">
        <v>13232</v>
      </c>
      <c r="V615" t="s">
        <v>13232</v>
      </c>
      <c r="W615" t="s">
        <v>13832</v>
      </c>
      <c r="X615">
        <v>7</v>
      </c>
      <c r="Y615" t="s">
        <v>20372</v>
      </c>
      <c r="Z615" t="s">
        <v>26746</v>
      </c>
      <c r="AA615">
        <v>0.81109393163445576</v>
      </c>
      <c r="AB615" t="str">
        <f>HYPERLINK("Melting_Curves/meltCurve_F8VPL6_IKZF4.pdf", "Melting_Curves/meltCurve_F8VPL6_IKZF4.pdf")</f>
        <v>Melting_Curves/meltCurve_F8VPL6_IKZF4.pdf</v>
      </c>
    </row>
    <row r="616" spans="1:28" x14ac:dyDescent="0.25">
      <c r="A616" t="s">
        <v>620</v>
      </c>
      <c r="B616">
        <v>0.99930955844802105</v>
      </c>
      <c r="C616">
        <v>0.80486012701485699</v>
      </c>
      <c r="D616">
        <v>0.74139529588964903</v>
      </c>
      <c r="E616">
        <v>0.71573917671598497</v>
      </c>
      <c r="F616">
        <v>0.49110522439533799</v>
      </c>
      <c r="G616">
        <v>0.29261341105278899</v>
      </c>
      <c r="H616">
        <v>0.13657010743561801</v>
      </c>
      <c r="I616">
        <v>0.113099924932098</v>
      </c>
      <c r="J616">
        <v>0.116046574028597</v>
      </c>
      <c r="K616">
        <v>9.8963052201298807E-2</v>
      </c>
      <c r="L616">
        <v>520.72724697752994</v>
      </c>
      <c r="M616">
        <v>9.9450836320217508</v>
      </c>
      <c r="N616">
        <v>52.360263956573199</v>
      </c>
      <c r="O616">
        <v>50.375165341865497</v>
      </c>
      <c r="P616">
        <v>-4.9379609326470002E-2</v>
      </c>
      <c r="Q616">
        <v>0</v>
      </c>
      <c r="R616">
        <v>0.97161359909863598</v>
      </c>
      <c r="S616" t="s">
        <v>7233</v>
      </c>
      <c r="T616" t="s">
        <v>13232</v>
      </c>
      <c r="U616" t="s">
        <v>13232</v>
      </c>
      <c r="V616" t="s">
        <v>13232</v>
      </c>
      <c r="W616" t="s">
        <v>13833</v>
      </c>
      <c r="X616">
        <v>2</v>
      </c>
      <c r="Y616" t="s">
        <v>20373</v>
      </c>
      <c r="Z616" t="s">
        <v>26747</v>
      </c>
      <c r="AA616">
        <v>0.44884903874587329</v>
      </c>
      <c r="AB616" t="str">
        <f>HYPERLINK("Melting_Curves/meltCurve_F8VQX6_METTL7A.pdf", "Melting_Curves/meltCurve_F8VQX6_METTL7A.pdf")</f>
        <v>Melting_Curves/meltCurve_F8VQX6_METTL7A.pdf</v>
      </c>
    </row>
    <row r="617" spans="1:28" x14ac:dyDescent="0.25">
      <c r="A617" t="s">
        <v>621</v>
      </c>
      <c r="B617">
        <v>0.99930955844802105</v>
      </c>
      <c r="C617">
        <v>0.95688625217785594</v>
      </c>
      <c r="D617">
        <v>0.97351318753736305</v>
      </c>
      <c r="E617">
        <v>0.99281936686998595</v>
      </c>
      <c r="F617">
        <v>0.70504906846333404</v>
      </c>
      <c r="G617">
        <v>0.46682105341517299</v>
      </c>
      <c r="H617">
        <v>0.43448606643208298</v>
      </c>
      <c r="I617">
        <v>0.39584148455305501</v>
      </c>
      <c r="J617">
        <v>0.30890697199714301</v>
      </c>
      <c r="K617">
        <v>0.27623036224091402</v>
      </c>
      <c r="L617">
        <v>1377.34515354413</v>
      </c>
      <c r="M617">
        <v>25.518832469635498</v>
      </c>
      <c r="N617">
        <v>56.452284948209702</v>
      </c>
      <c r="O617">
        <v>53.645500617071498</v>
      </c>
      <c r="P617">
        <v>-7.8855434430807503E-2</v>
      </c>
      <c r="Q617">
        <v>0.33693097621638801</v>
      </c>
      <c r="R617">
        <v>0.97630478975055301</v>
      </c>
      <c r="S617" t="s">
        <v>7234</v>
      </c>
      <c r="T617" t="s">
        <v>13232</v>
      </c>
      <c r="U617" t="s">
        <v>13232</v>
      </c>
      <c r="V617" t="s">
        <v>13232</v>
      </c>
      <c r="W617" t="s">
        <v>13834</v>
      </c>
      <c r="X617">
        <v>2</v>
      </c>
      <c r="Y617" t="s">
        <v>20374</v>
      </c>
      <c r="Z617" t="s">
        <v>26748</v>
      </c>
      <c r="AA617">
        <v>0.65169035361034156</v>
      </c>
      <c r="AB617" t="str">
        <f>HYPERLINK("Melting_Curves/meltCurve_F8VS10_SPATS2.pdf", "Melting_Curves/meltCurve_F8VS10_SPATS2.pdf")</f>
        <v>Melting_Curves/meltCurve_F8VS10_SPATS2.pdf</v>
      </c>
    </row>
    <row r="618" spans="1:28" x14ac:dyDescent="0.25">
      <c r="A618" t="s">
        <v>622</v>
      </c>
      <c r="B618">
        <v>0.99930955844802105</v>
      </c>
      <c r="C618">
        <v>0.87317340923929898</v>
      </c>
      <c r="D618">
        <v>0.77506423375403799</v>
      </c>
      <c r="E618">
        <v>0.73852413471737799</v>
      </c>
      <c r="F618">
        <v>0.62041602620609104</v>
      </c>
      <c r="G618">
        <v>0.448518383510428</v>
      </c>
      <c r="H618">
        <v>0.369779773459115</v>
      </c>
      <c r="I618">
        <v>0.39697307968319601</v>
      </c>
      <c r="J618">
        <v>0.38512758875477898</v>
      </c>
      <c r="K618">
        <v>0.31777348735150102</v>
      </c>
      <c r="L618">
        <v>478.49096672241899</v>
      </c>
      <c r="M618">
        <v>9.2758278361120095</v>
      </c>
      <c r="N618">
        <v>56.3835123780527</v>
      </c>
      <c r="O618">
        <v>49.357242200618302</v>
      </c>
      <c r="P618">
        <v>-3.4180913397574397E-2</v>
      </c>
      <c r="Q618">
        <v>0.27295607496769098</v>
      </c>
      <c r="R618">
        <v>0.97423321857505696</v>
      </c>
      <c r="S618" t="s">
        <v>7235</v>
      </c>
      <c r="T618" t="s">
        <v>13232</v>
      </c>
      <c r="U618" t="s">
        <v>13232</v>
      </c>
      <c r="V618" t="s">
        <v>13232</v>
      </c>
      <c r="W618" t="s">
        <v>13835</v>
      </c>
      <c r="X618">
        <v>2</v>
      </c>
      <c r="Y618" t="s">
        <v>20375</v>
      </c>
      <c r="Z618" t="s">
        <v>26749</v>
      </c>
      <c r="AA618">
        <v>0.5849111700536026</v>
      </c>
      <c r="AB618" t="str">
        <f>HYPERLINK("Melting_Curves/meltCurve_F8VS47_NEK3.pdf", "Melting_Curves/meltCurve_F8VS47_NEK3.pdf")</f>
        <v>Melting_Curves/meltCurve_F8VS47_NEK3.pdf</v>
      </c>
    </row>
    <row r="619" spans="1:28" x14ac:dyDescent="0.25">
      <c r="A619" t="s">
        <v>623</v>
      </c>
      <c r="B619">
        <v>0.99930955844802105</v>
      </c>
      <c r="C619">
        <v>1.03821619815636</v>
      </c>
      <c r="D619">
        <v>1.0334778618191001</v>
      </c>
      <c r="E619">
        <v>0.98344617624108299</v>
      </c>
      <c r="F619">
        <v>0.87618236514526604</v>
      </c>
      <c r="G619">
        <v>0.62548795380337097</v>
      </c>
      <c r="H619">
        <v>0.44764440835496699</v>
      </c>
      <c r="I619">
        <v>0.42325665201649998</v>
      </c>
      <c r="J619">
        <v>0.429429253010502</v>
      </c>
      <c r="K619">
        <v>0.36822542665893798</v>
      </c>
      <c r="L619">
        <v>1464.0076593418701</v>
      </c>
      <c r="M619">
        <v>26.189936912671001</v>
      </c>
      <c r="N619">
        <v>59.424632060742297</v>
      </c>
      <c r="O619">
        <v>55.576747036709797</v>
      </c>
      <c r="P619">
        <v>-7.1363645246838997E-2</v>
      </c>
      <c r="Q619">
        <v>0.39425334182494198</v>
      </c>
      <c r="R619">
        <v>0.993845741550197</v>
      </c>
      <c r="S619" t="s">
        <v>7236</v>
      </c>
      <c r="T619" t="s">
        <v>13232</v>
      </c>
      <c r="U619" t="s">
        <v>13232</v>
      </c>
      <c r="V619" t="s">
        <v>13232</v>
      </c>
      <c r="W619" t="s">
        <v>13836</v>
      </c>
      <c r="X619">
        <v>3</v>
      </c>
      <c r="Y619" t="s">
        <v>20376</v>
      </c>
      <c r="Z619" t="s">
        <v>26750</v>
      </c>
      <c r="AA619">
        <v>0.7204364769615883</v>
      </c>
      <c r="AB619" t="str">
        <f>HYPERLINK("Melting_Curves/meltCurve_F8VSL3_NFYB.pdf", "Melting_Curves/meltCurve_F8VSL3_NFYB.pdf")</f>
        <v>Melting_Curves/meltCurve_F8VSL3_NFYB.pdf</v>
      </c>
    </row>
    <row r="620" spans="1:28" x14ac:dyDescent="0.25">
      <c r="A620" t="s">
        <v>624</v>
      </c>
      <c r="B620">
        <v>0.99930955844802105</v>
      </c>
      <c r="C620">
        <v>1.2846445161937901</v>
      </c>
      <c r="D620">
        <v>1.11149978272657</v>
      </c>
      <c r="E620">
        <v>0.92853935132499998</v>
      </c>
      <c r="F620">
        <v>0.65794178149160298</v>
      </c>
      <c r="G620">
        <v>0.49751285355552399</v>
      </c>
      <c r="H620">
        <v>0.39683520008476703</v>
      </c>
      <c r="I620">
        <v>0.42922630774242798</v>
      </c>
      <c r="J620">
        <v>0.388006801287681</v>
      </c>
      <c r="K620">
        <v>0.31356923586281099</v>
      </c>
      <c r="L620">
        <v>1612.27131482396</v>
      </c>
      <c r="M620">
        <v>30.441789934255201</v>
      </c>
      <c r="N620">
        <v>55.660169969193298</v>
      </c>
      <c r="O620">
        <v>52.735446365877898</v>
      </c>
      <c r="P620">
        <v>-8.8657873070264306E-2</v>
      </c>
      <c r="Q620">
        <v>0.385662277619372</v>
      </c>
      <c r="R620">
        <v>0.90470195829153</v>
      </c>
      <c r="S620" t="s">
        <v>7237</v>
      </c>
      <c r="T620" t="s">
        <v>13232</v>
      </c>
      <c r="U620" t="s">
        <v>13232</v>
      </c>
      <c r="V620" t="s">
        <v>13232</v>
      </c>
      <c r="W620" t="s">
        <v>13837</v>
      </c>
      <c r="X620">
        <v>7</v>
      </c>
      <c r="Y620" t="s">
        <v>20377</v>
      </c>
      <c r="Z620" t="s">
        <v>26751</v>
      </c>
      <c r="AA620">
        <v>0.65497532085243182</v>
      </c>
      <c r="AB620" t="str">
        <f>HYPERLINK("Melting_Curves/meltCurve_F8VSZ4_PLXNA1.pdf", "Melting_Curves/meltCurve_F8VSZ4_PLXNA1.pdf")</f>
        <v>Melting_Curves/meltCurve_F8VSZ4_PLXNA1.pdf</v>
      </c>
    </row>
    <row r="621" spans="1:28" x14ac:dyDescent="0.25">
      <c r="A621" t="s">
        <v>625</v>
      </c>
      <c r="B621">
        <v>0.99930955844802105</v>
      </c>
      <c r="C621">
        <v>1.50955657294301</v>
      </c>
      <c r="D621">
        <v>1.2265743957088799</v>
      </c>
      <c r="E621">
        <v>1.11884585454885</v>
      </c>
      <c r="F621">
        <v>1.30819873922838</v>
      </c>
      <c r="G621">
        <v>1.12219454035692</v>
      </c>
      <c r="H621">
        <v>1.11436597499149</v>
      </c>
      <c r="I621">
        <v>1.1963806229486</v>
      </c>
      <c r="J621">
        <v>1.3778017954736801</v>
      </c>
      <c r="K621">
        <v>0.68433148169212898</v>
      </c>
      <c r="L621">
        <v>10235.1816301489</v>
      </c>
      <c r="M621">
        <v>250</v>
      </c>
      <c r="O621">
        <v>40.938106952967502</v>
      </c>
      <c r="P621">
        <v>0.281292706190789</v>
      </c>
      <c r="Q621">
        <v>1.18424945238914</v>
      </c>
      <c r="R621">
        <v>6.7752067736649796E-2</v>
      </c>
      <c r="S621" t="s">
        <v>7238</v>
      </c>
      <c r="T621" t="s">
        <v>13232</v>
      </c>
      <c r="U621" t="s">
        <v>13232</v>
      </c>
      <c r="V621" t="s">
        <v>13232</v>
      </c>
      <c r="W621" t="s">
        <v>13838</v>
      </c>
      <c r="X621">
        <v>1</v>
      </c>
      <c r="Y621" t="s">
        <v>20378</v>
      </c>
      <c r="Z621" t="s">
        <v>26752</v>
      </c>
      <c r="AA621">
        <v>1.1784559424708241</v>
      </c>
      <c r="AB621" t="str">
        <f>HYPERLINK("Melting_Curves/meltCurve_F8VUW5_DAZAP2.pdf", "Melting_Curves/meltCurve_F8VUW5_DAZAP2.pdf")</f>
        <v>Melting_Curves/meltCurve_F8VUW5_DAZAP2.pdf</v>
      </c>
    </row>
    <row r="622" spans="1:28" x14ac:dyDescent="0.25">
      <c r="A622" t="s">
        <v>626</v>
      </c>
      <c r="B622">
        <v>0.99930955844802105</v>
      </c>
      <c r="C622">
        <v>0.817320217233096</v>
      </c>
      <c r="D622">
        <v>0.86050246928691299</v>
      </c>
      <c r="E622">
        <v>0.97433726946390098</v>
      </c>
      <c r="F622">
        <v>0.69395041256874301</v>
      </c>
      <c r="G622">
        <v>0.39072788662139202</v>
      </c>
      <c r="H622">
        <v>0.33125770658687198</v>
      </c>
      <c r="I622">
        <v>0.34301692201170503</v>
      </c>
      <c r="J622">
        <v>0.33993543943056997</v>
      </c>
      <c r="K622">
        <v>0.280761869061884</v>
      </c>
      <c r="L622">
        <v>1949.6712504253101</v>
      </c>
      <c r="M622">
        <v>36.5369569605907</v>
      </c>
      <c r="N622">
        <v>54.920295868719002</v>
      </c>
      <c r="O622">
        <v>53.202527015431798</v>
      </c>
      <c r="P622">
        <v>-0.11627886323348501</v>
      </c>
      <c r="Q622">
        <v>0.32273389714780698</v>
      </c>
      <c r="R622">
        <v>0.92826770006548198</v>
      </c>
      <c r="S622" t="s">
        <v>7239</v>
      </c>
      <c r="T622" t="s">
        <v>13232</v>
      </c>
      <c r="U622" t="s">
        <v>13232</v>
      </c>
      <c r="V622" t="s">
        <v>13232</v>
      </c>
      <c r="W622" t="s">
        <v>13839</v>
      </c>
      <c r="X622">
        <v>14</v>
      </c>
      <c r="Y622" t="s">
        <v>20379</v>
      </c>
      <c r="Z622" t="s">
        <v>26753</v>
      </c>
      <c r="AA622">
        <v>0.62736965708671233</v>
      </c>
      <c r="AB622" t="str">
        <f>HYPERLINK("Melting_Curves/meltCurve_F8VV52_CNOT2.pdf", "Melting_Curves/meltCurve_F8VV52_CNOT2.pdf")</f>
        <v>Melting_Curves/meltCurve_F8VV52_CNOT2.pdf</v>
      </c>
    </row>
    <row r="623" spans="1:28" x14ac:dyDescent="0.25">
      <c r="A623" t="s">
        <v>627</v>
      </c>
      <c r="B623">
        <v>0.99930955844802105</v>
      </c>
      <c r="C623">
        <v>0.92591064103897802</v>
      </c>
      <c r="D623">
        <v>0.96933730119598205</v>
      </c>
      <c r="E623">
        <v>0.79541466169507402</v>
      </c>
      <c r="F623">
        <v>0.29651688405475801</v>
      </c>
      <c r="G623">
        <v>0.13957880560373601</v>
      </c>
      <c r="H623">
        <v>6.87083355621734E-2</v>
      </c>
      <c r="I623">
        <v>4.9668490044505902E-2</v>
      </c>
      <c r="J623">
        <v>3.9667209288626701E-2</v>
      </c>
      <c r="K623">
        <v>3.0792937781318599E-2</v>
      </c>
      <c r="L623">
        <v>1913.48307305753</v>
      </c>
      <c r="M623">
        <v>37.073592943972599</v>
      </c>
      <c r="N623">
        <v>51.781554434430198</v>
      </c>
      <c r="O623">
        <v>51.463593997693899</v>
      </c>
      <c r="P623">
        <v>-0.16986495262934601</v>
      </c>
      <c r="Q623">
        <v>5.68121634947205E-2</v>
      </c>
      <c r="R623">
        <v>0.99370714613321398</v>
      </c>
      <c r="S623" t="s">
        <v>7240</v>
      </c>
      <c r="T623" t="s">
        <v>13232</v>
      </c>
      <c r="U623" t="s">
        <v>13232</v>
      </c>
      <c r="V623" t="s">
        <v>13232</v>
      </c>
      <c r="W623" t="s">
        <v>13840</v>
      </c>
      <c r="X623">
        <v>12</v>
      </c>
      <c r="Y623" t="s">
        <v>20380</v>
      </c>
      <c r="Z623" t="s">
        <v>26754</v>
      </c>
      <c r="AA623">
        <v>0.42584275625433482</v>
      </c>
      <c r="AB623" t="str">
        <f>HYPERLINK("Melting_Curves/meltCurve_F8VV59_NAP1L1.pdf", "Melting_Curves/meltCurve_F8VV59_NAP1L1.pdf")</f>
        <v>Melting_Curves/meltCurve_F8VV59_NAP1L1.pdf</v>
      </c>
    </row>
    <row r="624" spans="1:28" x14ac:dyDescent="0.25">
      <c r="A624" t="s">
        <v>628</v>
      </c>
      <c r="B624">
        <v>0.99930955844802105</v>
      </c>
      <c r="C624">
        <v>0.88689179191090906</v>
      </c>
      <c r="D624">
        <v>0.84354726459721696</v>
      </c>
      <c r="E624">
        <v>0.52210020565636395</v>
      </c>
      <c r="F624">
        <v>0.18035396243909399</v>
      </c>
      <c r="G624">
        <v>0.130061760737745</v>
      </c>
      <c r="H624">
        <v>7.9243109613578097E-2</v>
      </c>
      <c r="I624">
        <v>7.3276124624963399E-2</v>
      </c>
      <c r="J624">
        <v>6.6656893411400103E-2</v>
      </c>
      <c r="K624">
        <v>5.0761230076156898E-2</v>
      </c>
      <c r="L624">
        <v>1039.90215172276</v>
      </c>
      <c r="M624">
        <v>21.018450049416799</v>
      </c>
      <c r="N624">
        <v>49.761431527084902</v>
      </c>
      <c r="O624">
        <v>49.034339078251001</v>
      </c>
      <c r="P624">
        <v>-0.10107259115617399</v>
      </c>
      <c r="Q624">
        <v>5.6848285443776098E-2</v>
      </c>
      <c r="R624">
        <v>0.99082063473284798</v>
      </c>
      <c r="S624" t="s">
        <v>7241</v>
      </c>
      <c r="T624" t="s">
        <v>13232</v>
      </c>
      <c r="U624" t="s">
        <v>13232</v>
      </c>
      <c r="V624" t="s">
        <v>13232</v>
      </c>
      <c r="W624" t="s">
        <v>13841</v>
      </c>
      <c r="X624">
        <v>18</v>
      </c>
      <c r="Y624" t="s">
        <v>20381</v>
      </c>
      <c r="Z624" t="s">
        <v>26755</v>
      </c>
      <c r="AA624">
        <v>0.36666665163537721</v>
      </c>
      <c r="AB624" t="str">
        <f>HYPERLINK("Melting_Curves/meltCurve_F8VWA6_MON2.pdf", "Melting_Curves/meltCurve_F8VWA6_MON2.pdf")</f>
        <v>Melting_Curves/meltCurve_F8VWA6_MON2.pdf</v>
      </c>
    </row>
    <row r="625" spans="1:28" x14ac:dyDescent="0.25">
      <c r="A625" t="s">
        <v>629</v>
      </c>
      <c r="B625">
        <v>0.99930955844802105</v>
      </c>
      <c r="C625">
        <v>0.88077043301075297</v>
      </c>
      <c r="D625">
        <v>0.89242031452161197</v>
      </c>
      <c r="E625">
        <v>0.70730609357305096</v>
      </c>
      <c r="F625">
        <v>0.58222205624588197</v>
      </c>
      <c r="G625">
        <v>0.35669894774224098</v>
      </c>
      <c r="H625">
        <v>0.27733468337490402</v>
      </c>
      <c r="I625">
        <v>0.27362717593470398</v>
      </c>
      <c r="J625">
        <v>0.25067081027818799</v>
      </c>
      <c r="K625">
        <v>0.20742677776082999</v>
      </c>
      <c r="L625">
        <v>659.08235484728198</v>
      </c>
      <c r="M625">
        <v>12.6254046886843</v>
      </c>
      <c r="N625">
        <v>54.163387130245702</v>
      </c>
      <c r="O625">
        <v>50.9451692852627</v>
      </c>
      <c r="P625">
        <v>-5.0602773536332503E-2</v>
      </c>
      <c r="Q625">
        <v>0.18340623644652901</v>
      </c>
      <c r="R625">
        <v>0.98962480112582196</v>
      </c>
      <c r="S625" t="s">
        <v>7242</v>
      </c>
      <c r="T625" t="s">
        <v>13232</v>
      </c>
      <c r="U625" t="s">
        <v>13232</v>
      </c>
      <c r="V625" t="s">
        <v>13232</v>
      </c>
      <c r="W625" t="s">
        <v>13842</v>
      </c>
      <c r="X625">
        <v>28</v>
      </c>
      <c r="Y625" t="s">
        <v>20382</v>
      </c>
      <c r="Z625" t="s">
        <v>26756</v>
      </c>
      <c r="AA625">
        <v>0.53866158629989624</v>
      </c>
      <c r="AB625" t="str">
        <f>HYPERLINK("Melting_Curves/meltCurve_F8VX32_DMD.pdf", "Melting_Curves/meltCurve_F8VX32_DMD.pdf")</f>
        <v>Melting_Curves/meltCurve_F8VX32_DMD.pdf</v>
      </c>
    </row>
    <row r="626" spans="1:28" x14ac:dyDescent="0.25">
      <c r="A626" t="s">
        <v>630</v>
      </c>
      <c r="B626">
        <v>0.99930955844802105</v>
      </c>
      <c r="C626">
        <v>0.95364703124889905</v>
      </c>
      <c r="D626">
        <v>0.93015540976767197</v>
      </c>
      <c r="E626">
        <v>0.82505398162707</v>
      </c>
      <c r="F626">
        <v>0.41199186237579299</v>
      </c>
      <c r="G626">
        <v>0.20936917446970399</v>
      </c>
      <c r="H626">
        <v>0.116576088584184</v>
      </c>
      <c r="I626">
        <v>9.2042396589442105E-2</v>
      </c>
      <c r="J626">
        <v>7.3215751180035094E-2</v>
      </c>
      <c r="K626">
        <v>5.4115718620185903E-2</v>
      </c>
      <c r="L626">
        <v>1354.0505800333499</v>
      </c>
      <c r="M626">
        <v>25.9207984062949</v>
      </c>
      <c r="N626">
        <v>52.588533230732999</v>
      </c>
      <c r="O626">
        <v>51.930055582682002</v>
      </c>
      <c r="P626">
        <v>-0.11488812753317</v>
      </c>
      <c r="Q626">
        <v>7.9337416046878995E-2</v>
      </c>
      <c r="R626">
        <v>0.99351349795356902</v>
      </c>
      <c r="S626" t="s">
        <v>7243</v>
      </c>
      <c r="T626" t="s">
        <v>13232</v>
      </c>
      <c r="U626" t="s">
        <v>13232</v>
      </c>
      <c r="V626" t="s">
        <v>13232</v>
      </c>
      <c r="W626" t="s">
        <v>13843</v>
      </c>
      <c r="X626">
        <v>11</v>
      </c>
      <c r="Y626" t="s">
        <v>20380</v>
      </c>
      <c r="Z626" t="s">
        <v>26757</v>
      </c>
      <c r="AA626">
        <v>0.46276425173221142</v>
      </c>
      <c r="AB626" t="str">
        <f>HYPERLINK("Melting_Curves/meltCurve_F8VY35_NAP1L1.pdf", "Melting_Curves/meltCurve_F8VY35_NAP1L1.pdf")</f>
        <v>Melting_Curves/meltCurve_F8VY35_NAP1L1.pdf</v>
      </c>
    </row>
    <row r="627" spans="1:28" x14ac:dyDescent="0.25">
      <c r="A627" t="s">
        <v>631</v>
      </c>
      <c r="B627">
        <v>0.99930955844802105</v>
      </c>
      <c r="C627">
        <v>0.99674660081473498</v>
      </c>
      <c r="D627">
        <v>1.0220756081795801</v>
      </c>
      <c r="E627">
        <v>1.02321008997841</v>
      </c>
      <c r="F627">
        <v>0.91551899807890202</v>
      </c>
      <c r="G627">
        <v>0.80558881868949195</v>
      </c>
      <c r="H627">
        <v>0.80454789603169297</v>
      </c>
      <c r="I627">
        <v>0.74403643318622903</v>
      </c>
      <c r="J627">
        <v>0.716920408901637</v>
      </c>
      <c r="K627">
        <v>0.57155656300081403</v>
      </c>
      <c r="L627">
        <v>518.97541833790206</v>
      </c>
      <c r="M627">
        <v>7.4614929259840697</v>
      </c>
      <c r="O627">
        <v>65.083015277331896</v>
      </c>
      <c r="P627">
        <v>-2.21706570473615E-2</v>
      </c>
      <c r="Q627">
        <v>0.22759610967315</v>
      </c>
      <c r="R627">
        <v>0.935163705469368</v>
      </c>
      <c r="S627" t="s">
        <v>7244</v>
      </c>
      <c r="T627" t="s">
        <v>13232</v>
      </c>
      <c r="U627" t="s">
        <v>13232</v>
      </c>
      <c r="V627" t="s">
        <v>13232</v>
      </c>
      <c r="W627" t="s">
        <v>13844</v>
      </c>
      <c r="X627">
        <v>6</v>
      </c>
      <c r="Y627" t="s">
        <v>20383</v>
      </c>
      <c r="Z627" t="s">
        <v>26758</v>
      </c>
      <c r="AA627">
        <v>0.8657048063199928</v>
      </c>
      <c r="AB627" t="str">
        <f>HYPERLINK("Melting_Curves/meltCurve_F8VZJ2_NACA.pdf", "Melting_Curves/meltCurve_F8VZJ2_NACA.pdf")</f>
        <v>Melting_Curves/meltCurve_F8VZJ2_NACA.pdf</v>
      </c>
    </row>
    <row r="628" spans="1:28" x14ac:dyDescent="0.25">
      <c r="A628" t="s">
        <v>632</v>
      </c>
      <c r="B628">
        <v>0.99930955844802105</v>
      </c>
      <c r="C628">
        <v>1.0634387431623999</v>
      </c>
      <c r="D628">
        <v>0.99348893086985302</v>
      </c>
      <c r="E628">
        <v>0.94721220273833295</v>
      </c>
      <c r="F628">
        <v>0.82844696826614805</v>
      </c>
      <c r="G628">
        <v>0.67644066469819497</v>
      </c>
      <c r="H628">
        <v>0.54959122139413796</v>
      </c>
      <c r="I628">
        <v>0.47334536403532002</v>
      </c>
      <c r="J628">
        <v>0.40213631785711601</v>
      </c>
      <c r="K628">
        <v>0.333717330599273</v>
      </c>
      <c r="L628">
        <v>760.93671779405202</v>
      </c>
      <c r="M628">
        <v>13.0456361135805</v>
      </c>
      <c r="N628">
        <v>62.2830139396603</v>
      </c>
      <c r="O628">
        <v>57.009300042429501</v>
      </c>
      <c r="P628">
        <v>-4.1106245364532799E-2</v>
      </c>
      <c r="Q628">
        <v>0.281589666305957</v>
      </c>
      <c r="R628">
        <v>0.98929861471102698</v>
      </c>
      <c r="S628" t="s">
        <v>7245</v>
      </c>
      <c r="T628" t="s">
        <v>13232</v>
      </c>
      <c r="U628" t="s">
        <v>13232</v>
      </c>
      <c r="V628" t="s">
        <v>13232</v>
      </c>
      <c r="W628" t="s">
        <v>13845</v>
      </c>
      <c r="X628">
        <v>7</v>
      </c>
      <c r="Y628" t="s">
        <v>20384</v>
      </c>
      <c r="Z628" t="s">
        <v>26759</v>
      </c>
      <c r="AA628">
        <v>0.72915618662287862</v>
      </c>
      <c r="AB628" t="str">
        <f>HYPERLINK("Melting_Curves/meltCurve_F8W038_C17orf49.pdf", "Melting_Curves/meltCurve_F8W038_C17orf49.pdf")</f>
        <v>Melting_Curves/meltCurve_F8W038_C17orf49.pdf</v>
      </c>
    </row>
    <row r="629" spans="1:28" x14ac:dyDescent="0.25">
      <c r="A629" t="s">
        <v>633</v>
      </c>
      <c r="B629">
        <v>0.99930955844802105</v>
      </c>
      <c r="C629">
        <v>0.93588632407848704</v>
      </c>
      <c r="D629">
        <v>0.94925851213274803</v>
      </c>
      <c r="E629">
        <v>1.14627951634298</v>
      </c>
      <c r="F629">
        <v>0.83184683381717395</v>
      </c>
      <c r="G629">
        <v>0.83143517147568602</v>
      </c>
      <c r="H629">
        <v>0.50275857879757202</v>
      </c>
      <c r="I629">
        <v>0.16022600246711199</v>
      </c>
      <c r="J629">
        <v>9.9467234807238403E-2</v>
      </c>
      <c r="K629">
        <v>7.7794810707265002E-2</v>
      </c>
      <c r="L629">
        <v>1501.7493355869201</v>
      </c>
      <c r="M629">
        <v>24.826365436229601</v>
      </c>
      <c r="N629">
        <v>60.585858165377402</v>
      </c>
      <c r="O629">
        <v>60.101732024910099</v>
      </c>
      <c r="P629">
        <v>-0.101282472624961</v>
      </c>
      <c r="Q629">
        <v>1.9241534796032501E-2</v>
      </c>
      <c r="R629">
        <v>0.96309015333984704</v>
      </c>
      <c r="S629" t="s">
        <v>7246</v>
      </c>
      <c r="T629" t="s">
        <v>13232</v>
      </c>
      <c r="U629" t="s">
        <v>13232</v>
      </c>
      <c r="V629" t="s">
        <v>13232</v>
      </c>
      <c r="W629" t="s">
        <v>13846</v>
      </c>
      <c r="X629">
        <v>21</v>
      </c>
      <c r="Y629" t="s">
        <v>20385</v>
      </c>
      <c r="Z629" t="s">
        <v>26760</v>
      </c>
      <c r="AA629">
        <v>0.69591415340844542</v>
      </c>
      <c r="AB629" t="str">
        <f>HYPERLINK("Melting_Curves/meltCurve_F8W1A4_AK2.pdf", "Melting_Curves/meltCurve_F8W1A4_AK2.pdf")</f>
        <v>Melting_Curves/meltCurve_F8W1A4_AK2.pdf</v>
      </c>
    </row>
    <row r="630" spans="1:28" x14ac:dyDescent="0.25">
      <c r="A630" t="s">
        <v>634</v>
      </c>
      <c r="B630">
        <v>0.99930955844802105</v>
      </c>
      <c r="C630">
        <v>0.78742486709071702</v>
      </c>
      <c r="D630">
        <v>0.61535442951280095</v>
      </c>
      <c r="E630">
        <v>0.50461970951144597</v>
      </c>
      <c r="F630">
        <v>0.337629482060952</v>
      </c>
      <c r="G630">
        <v>0.205936914339167</v>
      </c>
      <c r="H630">
        <v>8.80027723788364E-2</v>
      </c>
      <c r="I630">
        <v>0.108598127477414</v>
      </c>
      <c r="J630">
        <v>8.5870297945649696E-2</v>
      </c>
      <c r="K630">
        <v>9.9896274925278E-2</v>
      </c>
      <c r="L630">
        <v>529.11663337209097</v>
      </c>
      <c r="M630">
        <v>10.8518082121532</v>
      </c>
      <c r="N630">
        <v>49.133699070744498</v>
      </c>
      <c r="O630">
        <v>47.190247182493501</v>
      </c>
      <c r="P630">
        <v>-5.5222630924055299E-2</v>
      </c>
      <c r="Q630">
        <v>3.9775138538615203E-2</v>
      </c>
      <c r="R630">
        <v>0.98304348329586499</v>
      </c>
      <c r="S630" t="s">
        <v>7247</v>
      </c>
      <c r="T630" t="s">
        <v>13232</v>
      </c>
      <c r="U630" t="s">
        <v>13232</v>
      </c>
      <c r="V630" t="s">
        <v>13232</v>
      </c>
      <c r="W630" t="s">
        <v>13847</v>
      </c>
      <c r="X630">
        <v>3</v>
      </c>
      <c r="Y630" t="s">
        <v>20386</v>
      </c>
      <c r="Z630" t="s">
        <v>26761</v>
      </c>
      <c r="AA630">
        <v>0.36234528174901209</v>
      </c>
      <c r="AB630" t="str">
        <f>HYPERLINK("Melting_Curves/meltCurve_F8W1I9_ACAD10.pdf", "Melting_Curves/meltCurve_F8W1I9_ACAD10.pdf")</f>
        <v>Melting_Curves/meltCurve_F8W1I9_ACAD10.pdf</v>
      </c>
    </row>
    <row r="631" spans="1:28" x14ac:dyDescent="0.25">
      <c r="A631" t="s">
        <v>635</v>
      </c>
      <c r="B631">
        <v>0.99930955844802105</v>
      </c>
      <c r="C631">
        <v>0.91604613413068103</v>
      </c>
      <c r="D631">
        <v>1.02681958807584</v>
      </c>
      <c r="E631">
        <v>0.93525535320695796</v>
      </c>
      <c r="F631">
        <v>0.598551618923575</v>
      </c>
      <c r="G631">
        <v>0.480876239161735</v>
      </c>
      <c r="H631">
        <v>0.29787612801709301</v>
      </c>
      <c r="I631">
        <v>0.26907796872350798</v>
      </c>
      <c r="J631">
        <v>0.24354906755226699</v>
      </c>
      <c r="K631">
        <v>0.19500772275004599</v>
      </c>
      <c r="L631">
        <v>1039.68889012198</v>
      </c>
      <c r="M631">
        <v>19.216790598134601</v>
      </c>
      <c r="N631">
        <v>55.764628421038502</v>
      </c>
      <c r="O631">
        <v>53.527470756622698</v>
      </c>
      <c r="P631">
        <v>-7.0192430860836694E-2</v>
      </c>
      <c r="Q631">
        <v>0.21795871731275299</v>
      </c>
      <c r="R631">
        <v>0.97631017888252203</v>
      </c>
      <c r="S631" t="s">
        <v>7248</v>
      </c>
      <c r="T631" t="s">
        <v>13232</v>
      </c>
      <c r="U631" t="s">
        <v>13232</v>
      </c>
      <c r="V631" t="s">
        <v>13232</v>
      </c>
      <c r="W631" t="s">
        <v>13848</v>
      </c>
      <c r="X631">
        <v>4</v>
      </c>
      <c r="Y631" t="s">
        <v>20387</v>
      </c>
      <c r="Z631" t="s">
        <v>26762</v>
      </c>
      <c r="AA631">
        <v>0.59690120819656522</v>
      </c>
      <c r="AB631" t="str">
        <f>HYPERLINK("Melting_Curves/meltCurve_F8W1N9_NFE2.pdf", "Melting_Curves/meltCurve_F8W1N9_NFE2.pdf")</f>
        <v>Melting_Curves/meltCurve_F8W1N9_NFE2.pdf</v>
      </c>
    </row>
    <row r="632" spans="1:28" x14ac:dyDescent="0.25">
      <c r="A632" t="s">
        <v>636</v>
      </c>
      <c r="B632">
        <v>0.99930955844802105</v>
      </c>
      <c r="C632">
        <v>0.94976535528596595</v>
      </c>
      <c r="D632">
        <v>0.97355466939211399</v>
      </c>
      <c r="E632">
        <v>0.76380508081792298</v>
      </c>
      <c r="F632">
        <v>0.23705614034069999</v>
      </c>
      <c r="G632">
        <v>0.13981059036045501</v>
      </c>
      <c r="H632">
        <v>8.5326922509150499E-2</v>
      </c>
      <c r="I632">
        <v>8.2367279759736595E-2</v>
      </c>
      <c r="J632">
        <v>5.8626100209583497E-2</v>
      </c>
      <c r="K632">
        <v>4.9234291381028999E-2</v>
      </c>
      <c r="L632">
        <v>2239.1339057505802</v>
      </c>
      <c r="M632">
        <v>43.749779186131299</v>
      </c>
      <c r="N632">
        <v>51.383304292026999</v>
      </c>
      <c r="O632">
        <v>51.0738751943382</v>
      </c>
      <c r="P632">
        <v>-0.197166866201545</v>
      </c>
      <c r="Q632">
        <v>7.9304032708475303E-2</v>
      </c>
      <c r="R632">
        <v>0.99580511472498301</v>
      </c>
      <c r="S632" t="s">
        <v>7249</v>
      </c>
      <c r="T632" t="s">
        <v>13232</v>
      </c>
      <c r="U632" t="s">
        <v>13232</v>
      </c>
      <c r="V632" t="s">
        <v>13232</v>
      </c>
      <c r="W632" t="s">
        <v>13849</v>
      </c>
      <c r="X632">
        <v>2</v>
      </c>
      <c r="Y632" t="s">
        <v>20388</v>
      </c>
      <c r="Z632" t="s">
        <v>26763</v>
      </c>
      <c r="AA632">
        <v>0.42515003089120368</v>
      </c>
      <c r="AB632" t="str">
        <f>HYPERLINK("Melting_Curves/meltCurve_F8W1R9_TGFBR1.pdf", "Melting_Curves/meltCurve_F8W1R9_TGFBR1.pdf")</f>
        <v>Melting_Curves/meltCurve_F8W1R9_TGFBR1.pdf</v>
      </c>
    </row>
    <row r="633" spans="1:28" x14ac:dyDescent="0.25">
      <c r="A633" t="s">
        <v>637</v>
      </c>
      <c r="B633">
        <v>0.99930955844802105</v>
      </c>
      <c r="C633">
        <v>1.18995297485082</v>
      </c>
      <c r="D633">
        <v>1.032285545795</v>
      </c>
      <c r="E633">
        <v>0.73591285408045404</v>
      </c>
      <c r="F633">
        <v>0.45979097529676499</v>
      </c>
      <c r="G633">
        <v>0.33966077019906099</v>
      </c>
      <c r="H633">
        <v>0.270778369520836</v>
      </c>
      <c r="I633">
        <v>0.221639341209311</v>
      </c>
      <c r="J633">
        <v>0.17387388624401301</v>
      </c>
      <c r="K633">
        <v>0.107856069718339</v>
      </c>
      <c r="L633">
        <v>1214.6823979927101</v>
      </c>
      <c r="M633">
        <v>23.444385964386399</v>
      </c>
      <c r="N633">
        <v>52.905082218051803</v>
      </c>
      <c r="O633">
        <v>51.438673518638304</v>
      </c>
      <c r="P633">
        <v>-9.2059749920834197E-2</v>
      </c>
      <c r="Q633">
        <v>0.19207098017228599</v>
      </c>
      <c r="R633">
        <v>0.95841224220206001</v>
      </c>
      <c r="S633" t="s">
        <v>7250</v>
      </c>
      <c r="T633" t="s">
        <v>13232</v>
      </c>
      <c r="U633" t="s">
        <v>13232</v>
      </c>
      <c r="V633" t="s">
        <v>13232</v>
      </c>
      <c r="W633" t="s">
        <v>13850</v>
      </c>
      <c r="X633">
        <v>2</v>
      </c>
      <c r="Y633" t="s">
        <v>20389</v>
      </c>
      <c r="Z633" t="s">
        <v>26764</v>
      </c>
      <c r="AA633">
        <v>0.51848644603919625</v>
      </c>
      <c r="AB633" t="str">
        <f>HYPERLINK("Melting_Curves/meltCurve_F8W648_PLEKHM1.pdf", "Melting_Curves/meltCurve_F8W648_PLEKHM1.pdf")</f>
        <v>Melting_Curves/meltCurve_F8W648_PLEKHM1.pdf</v>
      </c>
    </row>
    <row r="634" spans="1:28" x14ac:dyDescent="0.25">
      <c r="A634" t="s">
        <v>638</v>
      </c>
      <c r="B634">
        <v>0.99930955844802105</v>
      </c>
      <c r="C634">
        <v>1.1678452152616601</v>
      </c>
      <c r="D634">
        <v>0.90358485192674398</v>
      </c>
      <c r="E634">
        <v>1.06168191229954</v>
      </c>
      <c r="F634">
        <v>0.966624360965046</v>
      </c>
      <c r="G634">
        <v>0.86010714208329397</v>
      </c>
      <c r="H634">
        <v>0.88126638240808897</v>
      </c>
      <c r="I634">
        <v>0.94436172326262202</v>
      </c>
      <c r="J634">
        <v>0.88619920120728501</v>
      </c>
      <c r="K634">
        <v>0.76467401767091403</v>
      </c>
      <c r="L634">
        <v>464.146451385962</v>
      </c>
      <c r="M634">
        <v>5.2313836191311296</v>
      </c>
      <c r="Q634">
        <v>0</v>
      </c>
      <c r="R634">
        <v>0.486792041515556</v>
      </c>
      <c r="S634" t="s">
        <v>7251</v>
      </c>
      <c r="T634" t="s">
        <v>13232</v>
      </c>
      <c r="U634" t="s">
        <v>13232</v>
      </c>
      <c r="V634" t="s">
        <v>13232</v>
      </c>
      <c r="W634" t="s">
        <v>13851</v>
      </c>
      <c r="X634">
        <v>1</v>
      </c>
      <c r="Y634" t="s">
        <v>20390</v>
      </c>
      <c r="Z634" t="s">
        <v>26765</v>
      </c>
      <c r="AA634">
        <v>0.93991784812323398</v>
      </c>
      <c r="AB634" t="str">
        <f>HYPERLINK("Melting_Curves/meltCurve_F8W6D1_RNF216.pdf", "Melting_Curves/meltCurve_F8W6D1_RNF216.pdf")</f>
        <v>Melting_Curves/meltCurve_F8W6D1_RNF216.pdf</v>
      </c>
    </row>
    <row r="635" spans="1:28" x14ac:dyDescent="0.25">
      <c r="A635" t="s">
        <v>639</v>
      </c>
      <c r="B635">
        <v>0.99930955844802105</v>
      </c>
      <c r="C635">
        <v>1.0714855330042301</v>
      </c>
      <c r="D635">
        <v>1.0735674019055901</v>
      </c>
      <c r="E635">
        <v>0.95045907851384603</v>
      </c>
      <c r="F635">
        <v>0.86214287693319203</v>
      </c>
      <c r="G635">
        <v>0.77988280805523102</v>
      </c>
      <c r="H635">
        <v>0.73779206029054401</v>
      </c>
      <c r="I635">
        <v>0.71226075484492302</v>
      </c>
      <c r="J635">
        <v>0.591923551544841</v>
      </c>
      <c r="K635">
        <v>0.44535952210031798</v>
      </c>
      <c r="L635">
        <v>520.38020802014205</v>
      </c>
      <c r="M635">
        <v>7.4930048541188299</v>
      </c>
      <c r="N635">
        <v>69.448812938802007</v>
      </c>
      <c r="O635">
        <v>65.0183504731407</v>
      </c>
      <c r="P635">
        <v>-2.8852688312273601E-2</v>
      </c>
      <c r="Q635">
        <v>0</v>
      </c>
      <c r="R635">
        <v>0.93143152796642104</v>
      </c>
      <c r="S635" t="s">
        <v>7252</v>
      </c>
      <c r="T635" t="s">
        <v>13232</v>
      </c>
      <c r="U635" t="s">
        <v>13232</v>
      </c>
      <c r="V635" t="s">
        <v>13232</v>
      </c>
      <c r="W635" t="s">
        <v>13852</v>
      </c>
      <c r="X635">
        <v>9</v>
      </c>
      <c r="Y635" t="s">
        <v>20391</v>
      </c>
      <c r="Z635" t="s">
        <v>26766</v>
      </c>
      <c r="AA635">
        <v>0.82513739727150714</v>
      </c>
      <c r="AB635" t="str">
        <f>HYPERLINK("Melting_Curves/meltCurve_F8W6T6_TLE4.pdf", "Melting_Curves/meltCurve_F8W6T6_TLE4.pdf")</f>
        <v>Melting_Curves/meltCurve_F8W6T6_TLE4.pdf</v>
      </c>
    </row>
    <row r="636" spans="1:28" x14ac:dyDescent="0.25">
      <c r="A636" t="s">
        <v>640</v>
      </c>
      <c r="B636">
        <v>0.99930955844802105</v>
      </c>
      <c r="C636">
        <v>1.0008055941296701</v>
      </c>
      <c r="D636">
        <v>0.97197113336145702</v>
      </c>
      <c r="E636">
        <v>0.944200529513886</v>
      </c>
      <c r="F636">
        <v>0.71261086577119404</v>
      </c>
      <c r="G636">
        <v>0.52615030905014004</v>
      </c>
      <c r="H636">
        <v>0.47220789337232999</v>
      </c>
      <c r="I636">
        <v>0.49575924593099202</v>
      </c>
      <c r="J636">
        <v>0.44904563367575601</v>
      </c>
      <c r="K636">
        <v>0.37197743463162303</v>
      </c>
      <c r="L636">
        <v>1440.51325058719</v>
      </c>
      <c r="M636">
        <v>27.087729963025399</v>
      </c>
      <c r="N636">
        <v>57.7255697598642</v>
      </c>
      <c r="O636">
        <v>52.892235170383103</v>
      </c>
      <c r="P636">
        <v>-7.1600069272353503E-2</v>
      </c>
      <c r="Q636">
        <v>0.440772396265804</v>
      </c>
      <c r="R636">
        <v>0.98479047057214997</v>
      </c>
      <c r="S636" t="s">
        <v>7253</v>
      </c>
      <c r="T636" t="s">
        <v>13232</v>
      </c>
      <c r="U636" t="s">
        <v>13232</v>
      </c>
      <c r="V636" t="s">
        <v>13232</v>
      </c>
      <c r="W636" t="s">
        <v>13853</v>
      </c>
      <c r="X636">
        <v>3</v>
      </c>
      <c r="Y636" t="s">
        <v>20392</v>
      </c>
      <c r="Z636" t="s">
        <v>26767</v>
      </c>
      <c r="AA636">
        <v>0.69088094888483786</v>
      </c>
      <c r="AB636" t="str">
        <f>HYPERLINK("Melting_Curves/meltCurve_F8W785_GOLIM4.pdf", "Melting_Curves/meltCurve_F8W785_GOLIM4.pdf")</f>
        <v>Melting_Curves/meltCurve_F8W785_GOLIM4.pdf</v>
      </c>
    </row>
    <row r="637" spans="1:28" x14ac:dyDescent="0.25">
      <c r="A637" t="s">
        <v>641</v>
      </c>
      <c r="B637">
        <v>0.99930955844802105</v>
      </c>
      <c r="C637">
        <v>0.90362274574944301</v>
      </c>
      <c r="D637">
        <v>0.75704161708975704</v>
      </c>
      <c r="E637">
        <v>0.55785364713782504</v>
      </c>
      <c r="F637">
        <v>0.34794629406483901</v>
      </c>
      <c r="G637">
        <v>0.22774486665989399</v>
      </c>
      <c r="H637">
        <v>0.15806034179231301</v>
      </c>
      <c r="I637">
        <v>0.14289844966015899</v>
      </c>
      <c r="J637">
        <v>0.116100146270478</v>
      </c>
      <c r="K637">
        <v>9.7508063633766295E-2</v>
      </c>
      <c r="L637">
        <v>679.29752078618299</v>
      </c>
      <c r="M637">
        <v>13.642332877739999</v>
      </c>
      <c r="N637">
        <v>50.520039824126101</v>
      </c>
      <c r="O637">
        <v>48.7599998164998</v>
      </c>
      <c r="P637">
        <v>-6.3724180983060694E-2</v>
      </c>
      <c r="Q637">
        <v>8.9089439138560295E-2</v>
      </c>
      <c r="R637">
        <v>0.99761089196237696</v>
      </c>
      <c r="S637" t="s">
        <v>7254</v>
      </c>
      <c r="T637" t="s">
        <v>13232</v>
      </c>
      <c r="U637" t="s">
        <v>13232</v>
      </c>
      <c r="V637" t="s">
        <v>13232</v>
      </c>
      <c r="W637" t="s">
        <v>13854</v>
      </c>
      <c r="X637">
        <v>8</v>
      </c>
      <c r="Y637" t="s">
        <v>20393</v>
      </c>
      <c r="Z637" t="s">
        <v>26768</v>
      </c>
      <c r="AA637">
        <v>0.41228058444861382</v>
      </c>
      <c r="AB637" t="str">
        <f>HYPERLINK("Melting_Curves/meltCurve_F8W7C6_RPL10.pdf", "Melting_Curves/meltCurve_F8W7C6_RPL10.pdf")</f>
        <v>Melting_Curves/meltCurve_F8W7C6_RPL10.pdf</v>
      </c>
    </row>
    <row r="638" spans="1:28" x14ac:dyDescent="0.25">
      <c r="A638" t="s">
        <v>642</v>
      </c>
      <c r="B638">
        <v>0.99930955844802105</v>
      </c>
      <c r="C638">
        <v>1.09196297811386</v>
      </c>
      <c r="D638">
        <v>1.18257975576824</v>
      </c>
      <c r="E638">
        <v>1.06404629845982</v>
      </c>
      <c r="F638">
        <v>0.91196619160828296</v>
      </c>
      <c r="G638">
        <v>0.73529992680100698</v>
      </c>
      <c r="H638">
        <v>0.62852110011322904</v>
      </c>
      <c r="I638">
        <v>0.69087162483092901</v>
      </c>
      <c r="J638">
        <v>0.73461696273799004</v>
      </c>
      <c r="K638">
        <v>0.49692646091830001</v>
      </c>
      <c r="L638">
        <v>1962.44147167237</v>
      </c>
      <c r="M638">
        <v>35.513068333615202</v>
      </c>
      <c r="O638">
        <v>55.085357680833901</v>
      </c>
      <c r="P638">
        <v>-5.8875578787339802E-2</v>
      </c>
      <c r="Q638">
        <v>0.63470670479884495</v>
      </c>
      <c r="R638">
        <v>0.82894160004805795</v>
      </c>
      <c r="S638" t="s">
        <v>7255</v>
      </c>
      <c r="T638" t="s">
        <v>13232</v>
      </c>
      <c r="U638" t="s">
        <v>13232</v>
      </c>
      <c r="V638" t="s">
        <v>13232</v>
      </c>
      <c r="W638" t="s">
        <v>13476</v>
      </c>
      <c r="X638">
        <v>16</v>
      </c>
      <c r="Z638" t="s">
        <v>26769</v>
      </c>
      <c r="AA638">
        <v>0.82227196235658861</v>
      </c>
      <c r="AB638" t="str">
        <f>HYPERLINK("Melting_Curves/meltCurve_F8W810_.pdf", "Melting_Curves/meltCurve_F8W810_.pdf")</f>
        <v>Melting_Curves/meltCurve_F8W810_.pdf</v>
      </c>
    </row>
    <row r="639" spans="1:28" x14ac:dyDescent="0.25">
      <c r="A639" t="s">
        <v>643</v>
      </c>
      <c r="B639">
        <v>0.99930955844802105</v>
      </c>
      <c r="C639">
        <v>1.2446409794616</v>
      </c>
      <c r="D639">
        <v>1.2353779819028301</v>
      </c>
      <c r="E639">
        <v>1.12520578498797</v>
      </c>
      <c r="F639">
        <v>1.0563646147069501</v>
      </c>
      <c r="G639">
        <v>0.953323020969157</v>
      </c>
      <c r="H639">
        <v>1.0118938246293401</v>
      </c>
      <c r="I639">
        <v>1.0488668835132</v>
      </c>
      <c r="J639">
        <v>1.0690164587770199</v>
      </c>
      <c r="K639">
        <v>0.87377478397740205</v>
      </c>
      <c r="L639">
        <v>15000</v>
      </c>
      <c r="M639">
        <v>212.350903563081</v>
      </c>
      <c r="Q639">
        <v>0</v>
      </c>
      <c r="R639">
        <v>-0.183220373379194</v>
      </c>
      <c r="S639" t="s">
        <v>7256</v>
      </c>
      <c r="T639" t="s">
        <v>13232</v>
      </c>
      <c r="U639" t="s">
        <v>13232</v>
      </c>
      <c r="V639" t="s">
        <v>13232</v>
      </c>
      <c r="W639" t="s">
        <v>13855</v>
      </c>
      <c r="X639">
        <v>8</v>
      </c>
      <c r="Y639" t="s">
        <v>20394</v>
      </c>
      <c r="Z639" t="s">
        <v>26770</v>
      </c>
      <c r="AA639">
        <v>0.99854479404248797</v>
      </c>
      <c r="AB639" t="str">
        <f>HYPERLINK("Melting_Curves/meltCurve_F8W840_YTHDF1.pdf", "Melting_Curves/meltCurve_F8W840_YTHDF1.pdf")</f>
        <v>Melting_Curves/meltCurve_F8W840_YTHDF1.pdf</v>
      </c>
    </row>
    <row r="640" spans="1:28" x14ac:dyDescent="0.25">
      <c r="A640" t="s">
        <v>644</v>
      </c>
      <c r="B640">
        <v>0.99930955844802105</v>
      </c>
      <c r="C640">
        <v>1.18439017435203</v>
      </c>
      <c r="D640">
        <v>1.11115407814946</v>
      </c>
      <c r="E640">
        <v>1.1237735529542601</v>
      </c>
      <c r="F640">
        <v>1.1001363249721801</v>
      </c>
      <c r="G640">
        <v>0.85771097101969096</v>
      </c>
      <c r="H640">
        <v>0.79783964829186804</v>
      </c>
      <c r="I640">
        <v>0.69221987922667205</v>
      </c>
      <c r="J640">
        <v>0.67613623529037203</v>
      </c>
      <c r="K640">
        <v>0.62185362388152998</v>
      </c>
      <c r="L640">
        <v>1541.08683669693</v>
      </c>
      <c r="M640">
        <v>25.763962612856002</v>
      </c>
      <c r="O640">
        <v>59.458723684901997</v>
      </c>
      <c r="P640">
        <v>-3.9391203134506697E-2</v>
      </c>
      <c r="Q640">
        <v>0.63637228456814199</v>
      </c>
      <c r="R640">
        <v>0.80175443670033497</v>
      </c>
      <c r="S640" t="s">
        <v>7257</v>
      </c>
      <c r="T640" t="s">
        <v>13232</v>
      </c>
      <c r="U640" t="s">
        <v>13232</v>
      </c>
      <c r="V640" t="s">
        <v>13232</v>
      </c>
      <c r="W640" t="s">
        <v>13479</v>
      </c>
      <c r="X640">
        <v>3</v>
      </c>
      <c r="Y640" t="s">
        <v>20395</v>
      </c>
      <c r="Z640" t="s">
        <v>26771</v>
      </c>
      <c r="AA640">
        <v>0.87923459146743044</v>
      </c>
      <c r="AB640" t="str">
        <f>HYPERLINK("Melting_Curves/meltCurve_F8W898_POLR1B.pdf", "Melting_Curves/meltCurve_F8W898_POLR1B.pdf")</f>
        <v>Melting_Curves/meltCurve_F8W898_POLR1B.pdf</v>
      </c>
    </row>
    <row r="641" spans="1:28" x14ac:dyDescent="0.25">
      <c r="A641" t="s">
        <v>645</v>
      </c>
      <c r="B641">
        <v>0.99930955844802105</v>
      </c>
      <c r="C641">
        <v>0.96117445910557298</v>
      </c>
      <c r="D641">
        <v>0.94621051823513003</v>
      </c>
      <c r="E641">
        <v>0.85132468337960798</v>
      </c>
      <c r="F641">
        <v>0.57289567822401399</v>
      </c>
      <c r="G641">
        <v>0.31027074005682997</v>
      </c>
      <c r="H641">
        <v>0.158087562634178</v>
      </c>
      <c r="I641">
        <v>0.12515590990844599</v>
      </c>
      <c r="J641">
        <v>9.3092146593670599E-2</v>
      </c>
      <c r="K641">
        <v>6.8692107978442093E-2</v>
      </c>
      <c r="L641">
        <v>1023.63375730345</v>
      </c>
      <c r="M641">
        <v>19.0517581781445</v>
      </c>
      <c r="N641">
        <v>54.1644404329015</v>
      </c>
      <c r="O641">
        <v>53.147645847221398</v>
      </c>
      <c r="P641">
        <v>-8.3258833405233795E-2</v>
      </c>
      <c r="Q641">
        <v>7.0986301442765104E-2</v>
      </c>
      <c r="R641">
        <v>0.99775779966520295</v>
      </c>
      <c r="S641" t="s">
        <v>7258</v>
      </c>
      <c r="T641" t="s">
        <v>13232</v>
      </c>
      <c r="U641" t="s">
        <v>13232</v>
      </c>
      <c r="V641" t="s">
        <v>13232</v>
      </c>
      <c r="W641" t="s">
        <v>13856</v>
      </c>
      <c r="X641">
        <v>5</v>
      </c>
      <c r="Y641" t="s">
        <v>20396</v>
      </c>
      <c r="Z641" t="s">
        <v>26772</v>
      </c>
      <c r="AA641">
        <v>0.50984531142987721</v>
      </c>
      <c r="AB641" t="str">
        <f>HYPERLINK("Melting_Curves/meltCurve_F8W8H5_RAB24.pdf", "Melting_Curves/meltCurve_F8W8H5_RAB24.pdf")</f>
        <v>Melting_Curves/meltCurve_F8W8H5_RAB24.pdf</v>
      </c>
    </row>
    <row r="642" spans="1:28" x14ac:dyDescent="0.25">
      <c r="A642" t="s">
        <v>646</v>
      </c>
      <c r="B642">
        <v>0.99930955844802105</v>
      </c>
      <c r="C642">
        <v>1.05439271491374</v>
      </c>
      <c r="D642">
        <v>0.940496140555934</v>
      </c>
      <c r="E642">
        <v>0.89304618396472202</v>
      </c>
      <c r="F642">
        <v>0.71472484922561996</v>
      </c>
      <c r="G642">
        <v>0.51749330458172604</v>
      </c>
      <c r="H642">
        <v>0.29678261121288002</v>
      </c>
      <c r="I642">
        <v>0.25138801212759998</v>
      </c>
      <c r="J642">
        <v>0.23641702956813701</v>
      </c>
      <c r="K642">
        <v>0.175694620505988</v>
      </c>
      <c r="L642">
        <v>892.11681784299503</v>
      </c>
      <c r="M642">
        <v>16.067791134236199</v>
      </c>
      <c r="N642">
        <v>56.899366442698401</v>
      </c>
      <c r="O642">
        <v>54.683402632602601</v>
      </c>
      <c r="P642">
        <v>-6.1628150177619898E-2</v>
      </c>
      <c r="Q642">
        <v>0.16111008096342599</v>
      </c>
      <c r="R642">
        <v>0.99345189460865002</v>
      </c>
      <c r="S642" t="s">
        <v>7259</v>
      </c>
      <c r="T642" t="s">
        <v>13232</v>
      </c>
      <c r="U642" t="s">
        <v>13232</v>
      </c>
      <c r="V642" t="s">
        <v>13232</v>
      </c>
      <c r="W642" t="s">
        <v>13857</v>
      </c>
      <c r="X642">
        <v>12</v>
      </c>
      <c r="Y642" t="s">
        <v>20397</v>
      </c>
      <c r="Z642" t="s">
        <v>26773</v>
      </c>
      <c r="AA642">
        <v>0.60964045255708044</v>
      </c>
      <c r="AB642" t="str">
        <f>HYPERLINK("Melting_Curves/meltCurve_F8W8I6_TIA1.pdf", "Melting_Curves/meltCurve_F8W8I6_TIA1.pdf")</f>
        <v>Melting_Curves/meltCurve_F8W8I6_TIA1.pdf</v>
      </c>
    </row>
    <row r="643" spans="1:28" x14ac:dyDescent="0.25">
      <c r="A643" t="s">
        <v>647</v>
      </c>
      <c r="B643">
        <v>0.99930955844802105</v>
      </c>
      <c r="C643">
        <v>1.0843901305046499</v>
      </c>
      <c r="D643">
        <v>1.06075500521763</v>
      </c>
      <c r="E643">
        <v>1.0591728870291499</v>
      </c>
      <c r="F643">
        <v>0.96794469832816499</v>
      </c>
      <c r="G643">
        <v>0.81989960907521697</v>
      </c>
      <c r="H643">
        <v>0.72022694529095799</v>
      </c>
      <c r="I643">
        <v>0.68283245877557297</v>
      </c>
      <c r="J643">
        <v>0.50173192739128902</v>
      </c>
      <c r="K643">
        <v>0.297236236073741</v>
      </c>
      <c r="L643">
        <v>835.09015422082905</v>
      </c>
      <c r="M643">
        <v>12.568338224190599</v>
      </c>
      <c r="N643">
        <v>66.4439786359127</v>
      </c>
      <c r="O643">
        <v>64.829168076668097</v>
      </c>
      <c r="P643">
        <v>-4.847690699394E-2</v>
      </c>
      <c r="Q643">
        <v>0</v>
      </c>
      <c r="R643">
        <v>0.95262713103260299</v>
      </c>
      <c r="S643" t="s">
        <v>7260</v>
      </c>
      <c r="T643" t="s">
        <v>13232</v>
      </c>
      <c r="U643" t="s">
        <v>13232</v>
      </c>
      <c r="V643" t="s">
        <v>13232</v>
      </c>
      <c r="W643" t="s">
        <v>13858</v>
      </c>
      <c r="X643">
        <v>20</v>
      </c>
      <c r="Y643" t="s">
        <v>20398</v>
      </c>
      <c r="Z643" t="s">
        <v>26774</v>
      </c>
      <c r="AA643">
        <v>0.82761959715538158</v>
      </c>
      <c r="AB643" t="str">
        <f>HYPERLINK("Melting_Curves/meltCurve_F8W964_TLE3.pdf", "Melting_Curves/meltCurve_F8W964_TLE3.pdf")</f>
        <v>Melting_Curves/meltCurve_F8W964_TLE3.pdf</v>
      </c>
    </row>
    <row r="644" spans="1:28" x14ac:dyDescent="0.25">
      <c r="A644" t="s">
        <v>648</v>
      </c>
      <c r="B644">
        <v>0.99930955844802105</v>
      </c>
      <c r="C644">
        <v>1.18203353648675</v>
      </c>
      <c r="D644">
        <v>1.08837373595451</v>
      </c>
      <c r="E644">
        <v>0.88117087015355999</v>
      </c>
      <c r="F644">
        <v>0.67372143929088202</v>
      </c>
      <c r="G644">
        <v>0.57046968081779104</v>
      </c>
      <c r="H644">
        <v>0.58785151827222604</v>
      </c>
      <c r="I644">
        <v>0.63293333699345999</v>
      </c>
      <c r="J644">
        <v>0.63544965444595702</v>
      </c>
      <c r="K644">
        <v>0.50680429821130102</v>
      </c>
      <c r="L644">
        <v>2233.4582341271798</v>
      </c>
      <c r="M644">
        <v>43.631894440111502</v>
      </c>
      <c r="O644">
        <v>51.081487379667202</v>
      </c>
      <c r="P644">
        <v>-8.8183175298138003E-2</v>
      </c>
      <c r="Q644">
        <v>0.58704330973820795</v>
      </c>
      <c r="R644">
        <v>0.89872305509305295</v>
      </c>
      <c r="S644" t="s">
        <v>7261</v>
      </c>
      <c r="T644" t="s">
        <v>13232</v>
      </c>
      <c r="U644" t="s">
        <v>13232</v>
      </c>
      <c r="V644" t="s">
        <v>13232</v>
      </c>
      <c r="W644" t="s">
        <v>13859</v>
      </c>
      <c r="X644">
        <v>24</v>
      </c>
      <c r="Y644" t="s">
        <v>20399</v>
      </c>
      <c r="Z644" t="s">
        <v>26775</v>
      </c>
      <c r="AA644">
        <v>0.74228415511442347</v>
      </c>
      <c r="AB644" t="str">
        <f>HYPERLINK("Melting_Curves/meltCurve_F8W9F9_WNK2.pdf", "Melting_Curves/meltCurve_F8W9F9_WNK2.pdf")</f>
        <v>Melting_Curves/meltCurve_F8W9F9_WNK2.pdf</v>
      </c>
    </row>
    <row r="645" spans="1:28" x14ac:dyDescent="0.25">
      <c r="A645" t="s">
        <v>649</v>
      </c>
      <c r="B645">
        <v>0.99930955844802105</v>
      </c>
      <c r="C645">
        <v>0.68069583612631401</v>
      </c>
      <c r="D645">
        <v>0.686104161511771</v>
      </c>
      <c r="E645">
        <v>0.70848455934699295</v>
      </c>
      <c r="F645">
        <v>0.37448305956047601</v>
      </c>
      <c r="G645">
        <v>0.215224501512528</v>
      </c>
      <c r="H645">
        <v>0.134115204433082</v>
      </c>
      <c r="I645">
        <v>0.13077144911600599</v>
      </c>
      <c r="J645">
        <v>0.115215911800143</v>
      </c>
      <c r="K645">
        <v>9.2535038608279593E-2</v>
      </c>
      <c r="L645">
        <v>454.85302837731302</v>
      </c>
      <c r="M645">
        <v>8.9698583888789898</v>
      </c>
      <c r="N645">
        <v>50.709055539377097</v>
      </c>
      <c r="O645">
        <v>48.378833655753297</v>
      </c>
      <c r="P645">
        <v>-4.6386276654662398E-2</v>
      </c>
      <c r="Q645">
        <v>0</v>
      </c>
      <c r="R645">
        <v>0.92792244283724201</v>
      </c>
      <c r="S645" t="s">
        <v>7262</v>
      </c>
      <c r="T645" t="s">
        <v>13232</v>
      </c>
      <c r="U645" t="s">
        <v>13232</v>
      </c>
      <c r="V645" t="s">
        <v>13232</v>
      </c>
      <c r="W645" t="s">
        <v>13860</v>
      </c>
      <c r="X645">
        <v>8</v>
      </c>
      <c r="Y645" t="s">
        <v>20400</v>
      </c>
      <c r="Z645" t="s">
        <v>26776</v>
      </c>
      <c r="AA645">
        <v>0.40564016469029351</v>
      </c>
      <c r="AB645" t="str">
        <f>HYPERLINK("Melting_Curves/meltCurve_F8W9R9_MED24.pdf", "Melting_Curves/meltCurve_F8W9R9_MED24.pdf")</f>
        <v>Melting_Curves/meltCurve_F8W9R9_MED24.pdf</v>
      </c>
    </row>
    <row r="646" spans="1:28" x14ac:dyDescent="0.25">
      <c r="A646" t="s">
        <v>650</v>
      </c>
      <c r="B646">
        <v>0.99930955844802105</v>
      </c>
      <c r="C646">
        <v>0.69866939713062504</v>
      </c>
      <c r="D646">
        <v>0.547040888640698</v>
      </c>
      <c r="E646">
        <v>0.51411936666523395</v>
      </c>
      <c r="F646">
        <v>0.37687250914063902</v>
      </c>
      <c r="G646">
        <v>0.31824793352289998</v>
      </c>
      <c r="H646">
        <v>0.277503193409116</v>
      </c>
      <c r="I646">
        <v>0.28353373018507</v>
      </c>
      <c r="J646">
        <v>0.26434759793413898</v>
      </c>
      <c r="K646">
        <v>0.21553325295422099</v>
      </c>
      <c r="L646">
        <v>546.47849055549</v>
      </c>
      <c r="M646">
        <v>11.9504006629648</v>
      </c>
      <c r="N646">
        <v>48.469188569175003</v>
      </c>
      <c r="O646">
        <v>44.504842230266298</v>
      </c>
      <c r="P646">
        <v>-5.0656160323507698E-2</v>
      </c>
      <c r="Q646">
        <v>0.24558472221680899</v>
      </c>
      <c r="R646">
        <v>0.94846963663315798</v>
      </c>
      <c r="S646" t="s">
        <v>7263</v>
      </c>
      <c r="T646" t="s">
        <v>13232</v>
      </c>
      <c r="U646" t="s">
        <v>13232</v>
      </c>
      <c r="V646" t="s">
        <v>13232</v>
      </c>
      <c r="W646" t="s">
        <v>13861</v>
      </c>
      <c r="X646">
        <v>5</v>
      </c>
      <c r="Y646" t="s">
        <v>20401</v>
      </c>
      <c r="Z646" t="s">
        <v>26777</v>
      </c>
      <c r="AA646">
        <v>0.42508153487104389</v>
      </c>
      <c r="AB646" t="str">
        <f>HYPERLINK("Melting_Curves/meltCurve_F8W9W2_GRK6.pdf", "Melting_Curves/meltCurve_F8W9W2_GRK6.pdf")</f>
        <v>Melting_Curves/meltCurve_F8W9W2_GRK6.pdf</v>
      </c>
    </row>
    <row r="647" spans="1:28" x14ac:dyDescent="0.25">
      <c r="A647" t="s">
        <v>651</v>
      </c>
      <c r="B647">
        <v>0.99930955844802105</v>
      </c>
      <c r="C647">
        <v>0.69953759123235204</v>
      </c>
      <c r="D647">
        <v>0.65697632736636502</v>
      </c>
      <c r="E647">
        <v>0.53256854907543205</v>
      </c>
      <c r="F647">
        <v>0.22571050891781</v>
      </c>
      <c r="G647">
        <v>0.165999259217917</v>
      </c>
      <c r="H647">
        <v>0.117820789432891</v>
      </c>
      <c r="I647">
        <v>0.11965605213164</v>
      </c>
      <c r="J647">
        <v>0.104862212580718</v>
      </c>
      <c r="K647">
        <v>7.7133128700921205E-2</v>
      </c>
      <c r="L647">
        <v>543.37640182127598</v>
      </c>
      <c r="M647">
        <v>11.2796740704103</v>
      </c>
      <c r="N647">
        <v>48.613601859910297</v>
      </c>
      <c r="O647">
        <v>46.733386029706701</v>
      </c>
      <c r="P647">
        <v>-5.7426583162608499E-2</v>
      </c>
      <c r="Q647">
        <v>4.8583027237737199E-2</v>
      </c>
      <c r="R647">
        <v>0.96108715013357304</v>
      </c>
      <c r="S647" t="s">
        <v>7264</v>
      </c>
      <c r="T647" t="s">
        <v>13232</v>
      </c>
      <c r="U647" t="s">
        <v>13232</v>
      </c>
      <c r="V647" t="s">
        <v>13232</v>
      </c>
      <c r="W647" t="s">
        <v>13862</v>
      </c>
      <c r="X647">
        <v>22</v>
      </c>
      <c r="Y647" t="s">
        <v>20402</v>
      </c>
      <c r="Z647" t="s">
        <v>26778</v>
      </c>
      <c r="AA647">
        <v>0.34872220660621839</v>
      </c>
      <c r="AB647" t="str">
        <f>HYPERLINK("Melting_Curves/meltCurve_F8W9X7_CCDC93.pdf", "Melting_Curves/meltCurve_F8W9X7_CCDC93.pdf")</f>
        <v>Melting_Curves/meltCurve_F8W9X7_CCDC93.pdf</v>
      </c>
    </row>
    <row r="648" spans="1:28" x14ac:dyDescent="0.25">
      <c r="A648" t="s">
        <v>652</v>
      </c>
      <c r="B648">
        <v>0.99930955844802105</v>
      </c>
      <c r="C648">
        <v>1.0292118504034</v>
      </c>
      <c r="D648">
        <v>0.97603321573411395</v>
      </c>
      <c r="E648">
        <v>0.99769901867392496</v>
      </c>
      <c r="F648">
        <v>0.72990838735239705</v>
      </c>
      <c r="G648">
        <v>0.50229099673275601</v>
      </c>
      <c r="H648">
        <v>0.45443641020989101</v>
      </c>
      <c r="I648">
        <v>0.47315992695164799</v>
      </c>
      <c r="J648">
        <v>0.45288035466751603</v>
      </c>
      <c r="K648">
        <v>0.35264406257189801</v>
      </c>
      <c r="L648">
        <v>2107.8085711139302</v>
      </c>
      <c r="M648">
        <v>39.567358958313697</v>
      </c>
      <c r="N648">
        <v>56.211274040121502</v>
      </c>
      <c r="O648">
        <v>53.135869309994099</v>
      </c>
      <c r="P648">
        <v>-0.1048334698812</v>
      </c>
      <c r="Q648">
        <v>0.43686860839792802</v>
      </c>
      <c r="R648">
        <v>0.98200623206723703</v>
      </c>
      <c r="S648" t="s">
        <v>7265</v>
      </c>
      <c r="T648" t="s">
        <v>13232</v>
      </c>
      <c r="U648" t="s">
        <v>13232</v>
      </c>
      <c r="V648" t="s">
        <v>13232</v>
      </c>
      <c r="W648" t="s">
        <v>13863</v>
      </c>
      <c r="X648">
        <v>4</v>
      </c>
      <c r="Y648" t="s">
        <v>20403</v>
      </c>
      <c r="Z648" t="s">
        <v>26779</v>
      </c>
      <c r="AA648">
        <v>0.68810324173612047</v>
      </c>
      <c r="AB648" t="str">
        <f>HYPERLINK("Melting_Curves/meltCurve_F8WA13_MYCBP2.pdf", "Melting_Curves/meltCurve_F8WA13_MYCBP2.pdf")</f>
        <v>Melting_Curves/meltCurve_F8WA13_MYCBP2.pdf</v>
      </c>
    </row>
    <row r="649" spans="1:28" x14ac:dyDescent="0.25">
      <c r="A649" t="s">
        <v>653</v>
      </c>
      <c r="B649">
        <v>0.99930955844802105</v>
      </c>
      <c r="C649">
        <v>1.0817363962364399</v>
      </c>
      <c r="D649">
        <v>1.17290388727552</v>
      </c>
      <c r="E649">
        <v>1.0873737734161599</v>
      </c>
      <c r="F649">
        <v>1.0173454157306101</v>
      </c>
      <c r="G649">
        <v>0.93355355390917105</v>
      </c>
      <c r="H649">
        <v>0.92594333326336797</v>
      </c>
      <c r="I649">
        <v>0.99564501251336202</v>
      </c>
      <c r="J649">
        <v>0.93823485087575498</v>
      </c>
      <c r="K649">
        <v>0.74975702718918602</v>
      </c>
      <c r="L649">
        <v>2399.6066845908799</v>
      </c>
      <c r="M649">
        <v>33.175433927283301</v>
      </c>
      <c r="Q649">
        <v>0</v>
      </c>
      <c r="R649">
        <v>0.548050325419422</v>
      </c>
      <c r="S649" t="s">
        <v>7266</v>
      </c>
      <c r="T649" t="s">
        <v>13232</v>
      </c>
      <c r="U649" t="s">
        <v>13232</v>
      </c>
      <c r="V649" t="s">
        <v>13232</v>
      </c>
      <c r="W649" t="s">
        <v>13864</v>
      </c>
      <c r="X649">
        <v>5</v>
      </c>
      <c r="Y649" t="s">
        <v>20404</v>
      </c>
      <c r="Z649" t="s">
        <v>26780</v>
      </c>
      <c r="AA649">
        <v>0.98164220333182683</v>
      </c>
      <c r="AB649" t="str">
        <f>HYPERLINK("Melting_Curves/meltCurve_F8WA86_CNN3.pdf", "Melting_Curves/meltCurve_F8WA86_CNN3.pdf")</f>
        <v>Melting_Curves/meltCurve_F8WA86_CNN3.pdf</v>
      </c>
    </row>
    <row r="650" spans="1:28" x14ac:dyDescent="0.25">
      <c r="A650" t="s">
        <v>654</v>
      </c>
      <c r="B650">
        <v>0.99930955844802105</v>
      </c>
      <c r="C650">
        <v>0.80449949269523502</v>
      </c>
      <c r="D650">
        <v>0.83157490126786304</v>
      </c>
      <c r="E650">
        <v>0.87368643703495397</v>
      </c>
      <c r="F650">
        <v>0.476867226942217</v>
      </c>
      <c r="G650">
        <v>0.19045188107926</v>
      </c>
      <c r="H650">
        <v>9.8925212478488095E-2</v>
      </c>
      <c r="I650">
        <v>7.7921496237878501E-2</v>
      </c>
      <c r="J650">
        <v>6.82579083322776E-2</v>
      </c>
      <c r="K650">
        <v>5.0822577378328099E-2</v>
      </c>
      <c r="L650">
        <v>1183.9382389362599</v>
      </c>
      <c r="M650">
        <v>22.422169561191801</v>
      </c>
      <c r="N650">
        <v>53.060425068380702</v>
      </c>
      <c r="O650">
        <v>52.387505904949101</v>
      </c>
      <c r="P650">
        <v>-0.101471841595384</v>
      </c>
      <c r="Q650">
        <v>5.1697994093381897E-2</v>
      </c>
      <c r="R650">
        <v>0.95482721444455798</v>
      </c>
      <c r="S650" t="s">
        <v>7267</v>
      </c>
      <c r="T650" t="s">
        <v>13232</v>
      </c>
      <c r="U650" t="s">
        <v>13232</v>
      </c>
      <c r="V650" t="s">
        <v>13232</v>
      </c>
      <c r="W650" t="s">
        <v>13865</v>
      </c>
      <c r="X650">
        <v>35</v>
      </c>
      <c r="Y650" t="s">
        <v>20405</v>
      </c>
      <c r="Z650" t="s">
        <v>26781</v>
      </c>
      <c r="AA650">
        <v>0.46704155573275258</v>
      </c>
      <c r="AB650" t="str">
        <f>HYPERLINK("Melting_Curves/meltCurve_F8WAK8_STAG2.pdf", "Melting_Curves/meltCurve_F8WAK8_STAG2.pdf")</f>
        <v>Melting_Curves/meltCurve_F8WAK8_STAG2.pdf</v>
      </c>
    </row>
    <row r="651" spans="1:28" x14ac:dyDescent="0.25">
      <c r="A651" t="s">
        <v>655</v>
      </c>
      <c r="B651">
        <v>0.99930955844802105</v>
      </c>
      <c r="C651">
        <v>1.32970062298878</v>
      </c>
      <c r="D651">
        <v>1.3521261273493299</v>
      </c>
      <c r="E651">
        <v>1.4906940431506599</v>
      </c>
      <c r="F651">
        <v>1.35653991649893</v>
      </c>
      <c r="G651">
        <v>1.268281911713</v>
      </c>
      <c r="H651">
        <v>1.5472947099556</v>
      </c>
      <c r="I651">
        <v>1.46821713129176</v>
      </c>
      <c r="J651">
        <v>1.61341106243912</v>
      </c>
      <c r="K651">
        <v>1.3397243793978</v>
      </c>
      <c r="L651">
        <v>2925.18099852465</v>
      </c>
      <c r="M651">
        <v>69.343801798657395</v>
      </c>
      <c r="O651">
        <v>42.1486994869502</v>
      </c>
      <c r="P651">
        <v>0.17684065514505601</v>
      </c>
      <c r="Q651">
        <v>1.4299505769760901</v>
      </c>
      <c r="R651">
        <v>0.62978310460291498</v>
      </c>
      <c r="S651" t="s">
        <v>7268</v>
      </c>
      <c r="T651" t="s">
        <v>13232</v>
      </c>
      <c r="U651" t="s">
        <v>13232</v>
      </c>
      <c r="V651" t="s">
        <v>13232</v>
      </c>
      <c r="W651" t="s">
        <v>13866</v>
      </c>
      <c r="X651">
        <v>1</v>
      </c>
      <c r="Y651" t="s">
        <v>20406</v>
      </c>
      <c r="Z651" t="s">
        <v>26782</v>
      </c>
      <c r="AA651">
        <v>1.3980678113497309</v>
      </c>
      <c r="AB651" t="str">
        <f>HYPERLINK("Melting_Curves/meltCurve_F8WAM4_RTN4.pdf", "Melting_Curves/meltCurve_F8WAM4_RTN4.pdf")</f>
        <v>Melting_Curves/meltCurve_F8WAM4_RTN4.pdf</v>
      </c>
    </row>
    <row r="652" spans="1:28" x14ac:dyDescent="0.25">
      <c r="A652" t="s">
        <v>656</v>
      </c>
      <c r="B652">
        <v>0.99930955844802105</v>
      </c>
      <c r="C652">
        <v>0.90049976973927703</v>
      </c>
      <c r="D652">
        <v>0.85296745883903002</v>
      </c>
      <c r="E652">
        <v>0.75507881997622095</v>
      </c>
      <c r="F652">
        <v>0.57350964913362101</v>
      </c>
      <c r="G652">
        <v>0.43448576317856502</v>
      </c>
      <c r="H652">
        <v>0.37471991778159602</v>
      </c>
      <c r="I652">
        <v>0.32945573542406897</v>
      </c>
      <c r="J652">
        <v>0.33489633181100698</v>
      </c>
      <c r="K652">
        <v>0.232738627224401</v>
      </c>
      <c r="L652">
        <v>555.70285338666599</v>
      </c>
      <c r="M652">
        <v>10.5662345220275</v>
      </c>
      <c r="N652">
        <v>55.629244194452497</v>
      </c>
      <c r="O652">
        <v>50.813390460660997</v>
      </c>
      <c r="P652">
        <v>-4.0608255123589398E-2</v>
      </c>
      <c r="Q652">
        <v>0.21916184633472399</v>
      </c>
      <c r="R652">
        <v>0.98838602736373804</v>
      </c>
      <c r="S652" t="s">
        <v>7269</v>
      </c>
      <c r="T652" t="s">
        <v>13232</v>
      </c>
      <c r="U652" t="s">
        <v>13232</v>
      </c>
      <c r="V652" t="s">
        <v>13232</v>
      </c>
      <c r="W652" t="s">
        <v>13867</v>
      </c>
      <c r="X652">
        <v>3</v>
      </c>
      <c r="Y652" t="s">
        <v>20407</v>
      </c>
      <c r="Z652" t="s">
        <v>26783</v>
      </c>
      <c r="AA652">
        <v>0.57333012362340474</v>
      </c>
      <c r="AB652" t="str">
        <f>HYPERLINK("Melting_Curves/meltCurve_F8WAS3_NDUFA5.pdf", "Melting_Curves/meltCurve_F8WAS3_NDUFA5.pdf")</f>
        <v>Melting_Curves/meltCurve_F8WAS3_NDUFA5.pdf</v>
      </c>
    </row>
    <row r="653" spans="1:28" x14ac:dyDescent="0.25">
      <c r="A653" t="s">
        <v>657</v>
      </c>
      <c r="B653">
        <v>0.99930955844802105</v>
      </c>
      <c r="C653">
        <v>1.12458873980836</v>
      </c>
      <c r="D653">
        <v>0.97671273677491499</v>
      </c>
      <c r="E653">
        <v>1.05880773619096</v>
      </c>
      <c r="F653">
        <v>0.90797284318414895</v>
      </c>
      <c r="G653">
        <v>1.0518089287666901</v>
      </c>
      <c r="H653">
        <v>1.7088478041011801</v>
      </c>
      <c r="I653">
        <v>2.4244425688943401</v>
      </c>
      <c r="J653">
        <v>3.6792968642117101</v>
      </c>
      <c r="K653">
        <v>2.3299052632711401</v>
      </c>
      <c r="L653">
        <v>14372.9849870493</v>
      </c>
      <c r="M653">
        <v>250</v>
      </c>
      <c r="O653">
        <v>57.488258443495504</v>
      </c>
      <c r="P653">
        <v>0.54358924024194699</v>
      </c>
      <c r="Q653">
        <v>1.5</v>
      </c>
      <c r="R653">
        <v>0.16133411778522699</v>
      </c>
      <c r="S653" t="s">
        <v>7270</v>
      </c>
      <c r="T653" t="s">
        <v>13232</v>
      </c>
      <c r="U653" t="s">
        <v>13232</v>
      </c>
      <c r="V653" t="s">
        <v>13232</v>
      </c>
      <c r="W653" t="s">
        <v>13868</v>
      </c>
      <c r="X653">
        <v>3</v>
      </c>
      <c r="Y653" t="s">
        <v>20408</v>
      </c>
      <c r="Z653" t="s">
        <v>26784</v>
      </c>
      <c r="AA653">
        <v>1.208417218800129</v>
      </c>
      <c r="AB653" t="str">
        <f>HYPERLINK("Melting_Curves/meltCurve_F8WB05_ATXN2.pdf", "Melting_Curves/meltCurve_F8WB05_ATXN2.pdf")</f>
        <v>Melting_Curves/meltCurve_F8WB05_ATXN2.pdf</v>
      </c>
    </row>
    <row r="654" spans="1:28" x14ac:dyDescent="0.25">
      <c r="A654" t="s">
        <v>658</v>
      </c>
      <c r="B654">
        <v>0.99930955844802105</v>
      </c>
      <c r="C654">
        <v>0.90642064664571997</v>
      </c>
      <c r="D654">
        <v>0.80858446101278103</v>
      </c>
      <c r="E654">
        <v>0.85330324673217695</v>
      </c>
      <c r="F654">
        <v>0.65214374431991895</v>
      </c>
      <c r="G654">
        <v>0.70551001339767705</v>
      </c>
      <c r="H654">
        <v>0.98459716776831796</v>
      </c>
      <c r="I654">
        <v>1.19638200985888</v>
      </c>
      <c r="J654">
        <v>1.62844883840196</v>
      </c>
      <c r="K654">
        <v>1.06978004303687</v>
      </c>
      <c r="L654">
        <v>15000</v>
      </c>
      <c r="M654">
        <v>234.62668867609699</v>
      </c>
      <c r="O654">
        <v>63.9267032247297</v>
      </c>
      <c r="P654">
        <v>0.32032842768696901</v>
      </c>
      <c r="Q654">
        <v>1.34910844532716</v>
      </c>
      <c r="R654">
        <v>0.39256208270936399</v>
      </c>
      <c r="S654" t="s">
        <v>7271</v>
      </c>
      <c r="T654" t="s">
        <v>13232</v>
      </c>
      <c r="U654" t="s">
        <v>13232</v>
      </c>
      <c r="V654" t="s">
        <v>13232</v>
      </c>
      <c r="W654" t="s">
        <v>13869</v>
      </c>
      <c r="X654">
        <v>3</v>
      </c>
      <c r="Y654" t="s">
        <v>20409</v>
      </c>
      <c r="Z654" t="s">
        <v>26785</v>
      </c>
      <c r="AA654">
        <v>1.0705761409359631</v>
      </c>
      <c r="AB654" t="str">
        <f>HYPERLINK("Melting_Curves/meltCurve_F8WBJ6_PNO1.pdf", "Melting_Curves/meltCurve_F8WBJ6_PNO1.pdf")</f>
        <v>Melting_Curves/meltCurve_F8WBJ6_PNO1.pdf</v>
      </c>
    </row>
    <row r="655" spans="1:28" x14ac:dyDescent="0.25">
      <c r="A655" t="s">
        <v>659</v>
      </c>
      <c r="B655">
        <v>0.99930955844802105</v>
      </c>
      <c r="C655">
        <v>0.97336181159376201</v>
      </c>
      <c r="D655">
        <v>0.845458303835537</v>
      </c>
      <c r="E655">
        <v>0.72175077161282597</v>
      </c>
      <c r="F655">
        <v>0.64027597301773098</v>
      </c>
      <c r="G655">
        <v>0.50792015952595004</v>
      </c>
      <c r="H655">
        <v>0.43903684650594499</v>
      </c>
      <c r="I655">
        <v>0.46499945018699002</v>
      </c>
      <c r="J655">
        <v>0.48513021400341499</v>
      </c>
      <c r="K655">
        <v>0.33724251100008601</v>
      </c>
      <c r="L655">
        <v>622.97572363822599</v>
      </c>
      <c r="M655">
        <v>12.226072333744201</v>
      </c>
      <c r="N655">
        <v>58.045961546722097</v>
      </c>
      <c r="O655">
        <v>49.649000429843802</v>
      </c>
      <c r="P655">
        <v>-3.7701935146530197E-2</v>
      </c>
      <c r="Q655">
        <v>0.38772045260202598</v>
      </c>
      <c r="R655">
        <v>0.97305794319547301</v>
      </c>
      <c r="S655" t="s">
        <v>7272</v>
      </c>
      <c r="T655" t="s">
        <v>13232</v>
      </c>
      <c r="U655" t="s">
        <v>13232</v>
      </c>
      <c r="V655" t="s">
        <v>13232</v>
      </c>
      <c r="W655" t="s">
        <v>13870</v>
      </c>
      <c r="X655">
        <v>4</v>
      </c>
      <c r="Y655" t="s">
        <v>20410</v>
      </c>
      <c r="Z655" t="s">
        <v>26786</v>
      </c>
      <c r="AA655">
        <v>0.63078900516838055</v>
      </c>
      <c r="AB655" t="str">
        <f>HYPERLINK("Melting_Curves/meltCurve_F8WBK5_MRPL40.pdf", "Melting_Curves/meltCurve_F8WBK5_MRPL40.pdf")</f>
        <v>Melting_Curves/meltCurve_F8WBK5_MRPL40.pdf</v>
      </c>
    </row>
    <row r="656" spans="1:28" x14ac:dyDescent="0.25">
      <c r="A656" t="s">
        <v>660</v>
      </c>
      <c r="B656">
        <v>0.99930955844802105</v>
      </c>
      <c r="C656">
        <v>1.3090579244571301</v>
      </c>
      <c r="D656">
        <v>0.72682021868302904</v>
      </c>
      <c r="E656">
        <v>0.47999503306594499</v>
      </c>
      <c r="F656">
        <v>0.27220047502802702</v>
      </c>
      <c r="G656">
        <v>0.15292079876723499</v>
      </c>
      <c r="H656">
        <v>9.1471303027712406E-2</v>
      </c>
      <c r="I656">
        <v>8.9547808830998499E-2</v>
      </c>
      <c r="J656">
        <v>6.4111531106967004E-2</v>
      </c>
      <c r="K656">
        <v>4.8590485494467497E-2</v>
      </c>
      <c r="L656">
        <v>1094.87133190452</v>
      </c>
      <c r="M656">
        <v>22.162996009588198</v>
      </c>
      <c r="N656">
        <v>49.782342351951399</v>
      </c>
      <c r="O656">
        <v>49.003983111304102</v>
      </c>
      <c r="P656">
        <v>-0.10423958556136199</v>
      </c>
      <c r="Q656">
        <v>7.8095454221535396E-2</v>
      </c>
      <c r="R656">
        <v>0.92568307771290104</v>
      </c>
      <c r="S656" t="s">
        <v>7273</v>
      </c>
      <c r="T656" t="s">
        <v>13232</v>
      </c>
      <c r="U656" t="s">
        <v>13232</v>
      </c>
      <c r="V656" t="s">
        <v>13232</v>
      </c>
      <c r="W656" t="s">
        <v>13871</v>
      </c>
      <c r="X656">
        <v>3</v>
      </c>
      <c r="Y656" t="s">
        <v>20411</v>
      </c>
      <c r="Z656" t="s">
        <v>26787</v>
      </c>
      <c r="AA656">
        <v>0.37745395984649638</v>
      </c>
      <c r="AB656" t="str">
        <f>HYPERLINK("Melting_Curves/meltCurve_F8WBS5_RPL35A.pdf", "Melting_Curves/meltCurve_F8WBS5_RPL35A.pdf")</f>
        <v>Melting_Curves/meltCurve_F8WBS5_RPL35A.pdf</v>
      </c>
    </row>
    <row r="657" spans="1:28" x14ac:dyDescent="0.25">
      <c r="A657" t="s">
        <v>661</v>
      </c>
      <c r="B657">
        <v>0.99930955844802105</v>
      </c>
      <c r="C657">
        <v>1.1439846326296299</v>
      </c>
      <c r="D657">
        <v>0.93992938881191701</v>
      </c>
      <c r="E657">
        <v>0.61582443338070403</v>
      </c>
      <c r="F657">
        <v>0.346454940253833</v>
      </c>
      <c r="G657">
        <v>0.223482236340666</v>
      </c>
      <c r="H657">
        <v>0.128277417672199</v>
      </c>
      <c r="I657">
        <v>0.12498451014056799</v>
      </c>
      <c r="J657">
        <v>0.126867710261682</v>
      </c>
      <c r="K657">
        <v>7.0572838850930505E-2</v>
      </c>
      <c r="L657">
        <v>1231.51109061027</v>
      </c>
      <c r="M657">
        <v>24.272977670577099</v>
      </c>
      <c r="N657">
        <v>51.296714158027797</v>
      </c>
      <c r="O657">
        <v>50.395283432149597</v>
      </c>
      <c r="P657">
        <v>-0.10638170756038599</v>
      </c>
      <c r="Q657">
        <v>0.11653932907230501</v>
      </c>
      <c r="R657">
        <v>0.98144521863698098</v>
      </c>
      <c r="S657" t="s">
        <v>7274</v>
      </c>
      <c r="T657" t="s">
        <v>13232</v>
      </c>
      <c r="U657" t="s">
        <v>13232</v>
      </c>
      <c r="V657" t="s">
        <v>13232</v>
      </c>
      <c r="W657" t="s">
        <v>13872</v>
      </c>
      <c r="X657">
        <v>1</v>
      </c>
      <c r="Y657" t="s">
        <v>19818</v>
      </c>
      <c r="Z657" t="s">
        <v>26788</v>
      </c>
      <c r="AA657">
        <v>0.44113293009625643</v>
      </c>
      <c r="AB657" t="str">
        <f>HYPERLINK("Melting_Curves/meltCurve_F8WBU4_SFI1.pdf", "Melting_Curves/meltCurve_F8WBU4_SFI1.pdf")</f>
        <v>Melting_Curves/meltCurve_F8WBU4_SFI1.pdf</v>
      </c>
    </row>
    <row r="658" spans="1:28" x14ac:dyDescent="0.25">
      <c r="A658" t="s">
        <v>662</v>
      </c>
      <c r="B658">
        <v>0.99930955844802105</v>
      </c>
      <c r="C658">
        <v>0.83952235971236799</v>
      </c>
      <c r="D658">
        <v>0.68750141100144102</v>
      </c>
      <c r="E658">
        <v>0.25015282979175002</v>
      </c>
      <c r="F658">
        <v>0.10799889364629001</v>
      </c>
      <c r="G658">
        <v>7.7139120273043205E-2</v>
      </c>
      <c r="H658">
        <v>7.5470654492725595E-2</v>
      </c>
      <c r="I658">
        <v>8.5402474107475895E-2</v>
      </c>
      <c r="J658">
        <v>0.103016529759673</v>
      </c>
      <c r="K658">
        <v>6.7578242157978696E-2</v>
      </c>
      <c r="L658">
        <v>1071.5341293154299</v>
      </c>
      <c r="M658">
        <v>22.800826047267201</v>
      </c>
      <c r="N658">
        <v>47.315846195970302</v>
      </c>
      <c r="O658">
        <v>46.638389977886199</v>
      </c>
      <c r="P658">
        <v>-0.113479633333774</v>
      </c>
      <c r="Q658">
        <v>7.1541568466447006E-2</v>
      </c>
      <c r="R658">
        <v>0.99309340733056795</v>
      </c>
      <c r="S658" t="s">
        <v>7275</v>
      </c>
      <c r="T658" t="s">
        <v>13232</v>
      </c>
      <c r="U658" t="s">
        <v>13232</v>
      </c>
      <c r="V658" t="s">
        <v>13232</v>
      </c>
      <c r="W658" t="s">
        <v>13873</v>
      </c>
      <c r="X658">
        <v>3</v>
      </c>
      <c r="Y658" t="s">
        <v>20412</v>
      </c>
      <c r="Z658" t="s">
        <v>26789</v>
      </c>
      <c r="AA658">
        <v>0.2982048047384589</v>
      </c>
      <c r="AB658" t="str">
        <f>HYPERLINK("Melting_Curves/meltCurve_F8WC89_SAC3D1.pdf", "Melting_Curves/meltCurve_F8WC89_SAC3D1.pdf")</f>
        <v>Melting_Curves/meltCurve_F8WC89_SAC3D1.pdf</v>
      </c>
    </row>
    <row r="659" spans="1:28" x14ac:dyDescent="0.25">
      <c r="A659" t="s">
        <v>663</v>
      </c>
      <c r="B659">
        <v>0.99930955844802105</v>
      </c>
      <c r="C659">
        <v>0.80472312305405402</v>
      </c>
      <c r="D659">
        <v>0.71483765937996102</v>
      </c>
      <c r="E659">
        <v>0.63331918266164799</v>
      </c>
      <c r="F659">
        <v>0.39946318463245101</v>
      </c>
      <c r="G659">
        <v>0.24083595268612401</v>
      </c>
      <c r="H659">
        <v>0.168274371198879</v>
      </c>
      <c r="I659">
        <v>0.122563848814961</v>
      </c>
      <c r="J659">
        <v>0.121082861267332</v>
      </c>
      <c r="K659">
        <v>7.1837180002444698E-2</v>
      </c>
      <c r="L659">
        <v>498.18477152599598</v>
      </c>
      <c r="M659">
        <v>9.7562644680799799</v>
      </c>
      <c r="N659">
        <v>51.141281919867097</v>
      </c>
      <c r="O659">
        <v>49.056349625734399</v>
      </c>
      <c r="P659">
        <v>-4.9377763125018397E-2</v>
      </c>
      <c r="Q659">
        <v>7.4075956029751502E-3</v>
      </c>
      <c r="R659">
        <v>0.98349869240646604</v>
      </c>
      <c r="S659" t="s">
        <v>7276</v>
      </c>
      <c r="T659" t="s">
        <v>13232</v>
      </c>
      <c r="U659" t="s">
        <v>13232</v>
      </c>
      <c r="V659" t="s">
        <v>13232</v>
      </c>
      <c r="W659" t="s">
        <v>13874</v>
      </c>
      <c r="X659">
        <v>1</v>
      </c>
      <c r="Y659" t="s">
        <v>20413</v>
      </c>
      <c r="Z659" t="s">
        <v>26790</v>
      </c>
      <c r="AA659">
        <v>0.41575106901326631</v>
      </c>
      <c r="AB659" t="str">
        <f>HYPERLINK("Melting_Curves/meltCurve_F8WCD0_RNF149.pdf", "Melting_Curves/meltCurve_F8WCD0_RNF149.pdf")</f>
        <v>Melting_Curves/meltCurve_F8WCD0_RNF149.pdf</v>
      </c>
    </row>
    <row r="660" spans="1:28" x14ac:dyDescent="0.25">
      <c r="A660" t="s">
        <v>664</v>
      </c>
      <c r="B660">
        <v>0.99930955844802105</v>
      </c>
      <c r="C660">
        <v>0.95226358905422304</v>
      </c>
      <c r="D660">
        <v>0.70843181488549001</v>
      </c>
      <c r="E660">
        <v>0.66262136358512902</v>
      </c>
      <c r="F660">
        <v>0.76812750952756303</v>
      </c>
      <c r="G660">
        <v>0.60617463178181397</v>
      </c>
      <c r="H660">
        <v>0.64880468980436001</v>
      </c>
      <c r="I660">
        <v>0.59273796040075499</v>
      </c>
      <c r="J660">
        <v>0.39531165616171698</v>
      </c>
      <c r="K660">
        <v>0.42037513078706101</v>
      </c>
      <c r="L660">
        <v>247.57870750872701</v>
      </c>
      <c r="M660">
        <v>3.7924192886983801</v>
      </c>
      <c r="N660">
        <v>65.282525395121894</v>
      </c>
      <c r="O660">
        <v>52.664622626937401</v>
      </c>
      <c r="P660">
        <v>-1.8276830897304499E-2</v>
      </c>
      <c r="Q660">
        <v>0</v>
      </c>
      <c r="R660">
        <v>0.82582184950554505</v>
      </c>
      <c r="S660" t="s">
        <v>7277</v>
      </c>
      <c r="T660" t="s">
        <v>13232</v>
      </c>
      <c r="U660" t="s">
        <v>13232</v>
      </c>
      <c r="V660" t="s">
        <v>13232</v>
      </c>
      <c r="W660" t="s">
        <v>13875</v>
      </c>
      <c r="X660">
        <v>1</v>
      </c>
      <c r="Y660" t="s">
        <v>20414</v>
      </c>
      <c r="Z660" t="s">
        <v>26791</v>
      </c>
      <c r="AA660">
        <v>0.67361788454328242</v>
      </c>
      <c r="AB660" t="str">
        <f>HYPERLINK("Melting_Curves/meltCurve_F8WDE8_SKIV2L.pdf", "Melting_Curves/meltCurve_F8WDE8_SKIV2L.pdf")</f>
        <v>Melting_Curves/meltCurve_F8WDE8_SKIV2L.pdf</v>
      </c>
    </row>
    <row r="661" spans="1:28" x14ac:dyDescent="0.25">
      <c r="A661" t="s">
        <v>665</v>
      </c>
      <c r="B661">
        <v>0.99930955844802105</v>
      </c>
      <c r="C661">
        <v>1.1002498963532701</v>
      </c>
      <c r="D661">
        <v>0.99395357522834005</v>
      </c>
      <c r="E661">
        <v>1.00740345371679</v>
      </c>
      <c r="F661">
        <v>0.99280867939031803</v>
      </c>
      <c r="G661">
        <v>0.68947322438430603</v>
      </c>
      <c r="H661">
        <v>0.74964031966309597</v>
      </c>
      <c r="I661">
        <v>0.86184179697530905</v>
      </c>
      <c r="J661">
        <v>0.91480940584829695</v>
      </c>
      <c r="K661">
        <v>0.66636926563985199</v>
      </c>
      <c r="L661">
        <v>13430.409770165799</v>
      </c>
      <c r="M661">
        <v>250</v>
      </c>
      <c r="O661">
        <v>53.718201457560497</v>
      </c>
      <c r="P661">
        <v>-0.26012273131083602</v>
      </c>
      <c r="Q661">
        <v>0.77642679656923197</v>
      </c>
      <c r="R661">
        <v>0.71802408516676697</v>
      </c>
      <c r="S661" t="s">
        <v>7278</v>
      </c>
      <c r="T661" t="s">
        <v>13232</v>
      </c>
      <c r="U661" t="s">
        <v>13232</v>
      </c>
      <c r="V661" t="s">
        <v>13232</v>
      </c>
      <c r="W661" t="s">
        <v>13876</v>
      </c>
      <c r="X661">
        <v>3</v>
      </c>
      <c r="Y661" t="s">
        <v>20415</v>
      </c>
      <c r="Z661" t="s">
        <v>26792</v>
      </c>
      <c r="AA661">
        <v>0.87870756871353772</v>
      </c>
      <c r="AB661" t="str">
        <f>HYPERLINK("Melting_Curves/meltCurve_F8WEE4_ZFAND2B.pdf", "Melting_Curves/meltCurve_F8WEE4_ZFAND2B.pdf")</f>
        <v>Melting_Curves/meltCurve_F8WEE4_ZFAND2B.pdf</v>
      </c>
    </row>
    <row r="662" spans="1:28" x14ac:dyDescent="0.25">
      <c r="A662" t="s">
        <v>666</v>
      </c>
      <c r="B662">
        <v>0.99930955844802105</v>
      </c>
      <c r="C662">
        <v>0.89691659707953597</v>
      </c>
      <c r="D662">
        <v>0.58225574493038101</v>
      </c>
      <c r="E662">
        <v>0.39448304598843897</v>
      </c>
      <c r="F662">
        <v>0.236961181503511</v>
      </c>
      <c r="G662">
        <v>0.16216697396127699</v>
      </c>
      <c r="H662">
        <v>7.1222680336369096E-2</v>
      </c>
      <c r="I662">
        <v>8.9069569690327297E-2</v>
      </c>
      <c r="J662">
        <v>6.2339724438185702E-2</v>
      </c>
      <c r="K662">
        <v>4.8629384109365799E-2</v>
      </c>
      <c r="L662">
        <v>715.99785443072403</v>
      </c>
      <c r="M662">
        <v>15.0209340451258</v>
      </c>
      <c r="N662">
        <v>48.061875929980502</v>
      </c>
      <c r="O662">
        <v>46.845768717432399</v>
      </c>
      <c r="P662">
        <v>-7.5512105461856494E-2</v>
      </c>
      <c r="Q662">
        <v>5.8096607805159801E-2</v>
      </c>
      <c r="R662">
        <v>0.98932134902985802</v>
      </c>
      <c r="S662" t="s">
        <v>7279</v>
      </c>
      <c r="T662" t="s">
        <v>13232</v>
      </c>
      <c r="U662" t="s">
        <v>13232</v>
      </c>
      <c r="V662" t="s">
        <v>13232</v>
      </c>
      <c r="W662" t="s">
        <v>13877</v>
      </c>
      <c r="X662">
        <v>1</v>
      </c>
      <c r="Y662" t="s">
        <v>20416</v>
      </c>
      <c r="Z662" t="s">
        <v>26793</v>
      </c>
      <c r="AA662">
        <v>0.32337658138600273</v>
      </c>
      <c r="AB662" t="str">
        <f>HYPERLINK("Melting_Curves/meltCurve_F8WEG4_CBWD2.pdf", "Melting_Curves/meltCurve_F8WEG4_CBWD2.pdf")</f>
        <v>Melting_Curves/meltCurve_F8WEG4_CBWD2.pdf</v>
      </c>
    </row>
    <row r="663" spans="1:28" x14ac:dyDescent="0.25">
      <c r="A663" t="s">
        <v>667</v>
      </c>
      <c r="B663">
        <v>0.99930955844802105</v>
      </c>
      <c r="C663">
        <v>0.86030865732232398</v>
      </c>
      <c r="D663">
        <v>0.77118097595053003</v>
      </c>
      <c r="E663">
        <v>0.69120717164104595</v>
      </c>
      <c r="F663">
        <v>0.61547982326163397</v>
      </c>
      <c r="G663">
        <v>0.40761091234781699</v>
      </c>
      <c r="H663">
        <v>0.175459618298003</v>
      </c>
      <c r="I663">
        <v>0.17294572187393001</v>
      </c>
      <c r="J663">
        <v>0.136893756156656</v>
      </c>
      <c r="K663">
        <v>0.109084811583119</v>
      </c>
      <c r="L663">
        <v>505.06039264330099</v>
      </c>
      <c r="M663">
        <v>9.3613783980794505</v>
      </c>
      <c r="N663">
        <v>53.951498270539197</v>
      </c>
      <c r="O663">
        <v>51.661271059405699</v>
      </c>
      <c r="P663">
        <v>-4.5330058026267599E-2</v>
      </c>
      <c r="Q663">
        <v>0</v>
      </c>
      <c r="R663">
        <v>0.97876052714710904</v>
      </c>
      <c r="S663" t="s">
        <v>7280</v>
      </c>
      <c r="T663" t="s">
        <v>13232</v>
      </c>
      <c r="U663" t="s">
        <v>13232</v>
      </c>
      <c r="V663" t="s">
        <v>13232</v>
      </c>
      <c r="W663" t="s">
        <v>13878</v>
      </c>
      <c r="X663">
        <v>1</v>
      </c>
      <c r="Y663" t="s">
        <v>20417</v>
      </c>
      <c r="Z663" t="s">
        <v>26794</v>
      </c>
      <c r="AA663">
        <v>0.49679117733074513</v>
      </c>
      <c r="AB663" t="str">
        <f>HYPERLINK("Melting_Curves/meltCurve_F8WEG8_PRKRA.pdf", "Melting_Curves/meltCurve_F8WEG8_PRKRA.pdf")</f>
        <v>Melting_Curves/meltCurve_F8WEG8_PRKRA.pdf</v>
      </c>
    </row>
    <row r="664" spans="1:28" x14ac:dyDescent="0.25">
      <c r="A664" t="s">
        <v>668</v>
      </c>
      <c r="B664">
        <v>0.99930955844802105</v>
      </c>
      <c r="C664">
        <v>0.96068100720445404</v>
      </c>
      <c r="D664">
        <v>0.709648861038086</v>
      </c>
      <c r="E664">
        <v>0.93756566729633195</v>
      </c>
      <c r="F664">
        <v>0.50188064022413204</v>
      </c>
      <c r="G664">
        <v>0.180692539701507</v>
      </c>
      <c r="H664">
        <v>0.100882811626335</v>
      </c>
      <c r="I664">
        <v>9.46472022367221E-2</v>
      </c>
      <c r="J664">
        <v>9.0293331026692597E-2</v>
      </c>
      <c r="K664">
        <v>7.7474877913021406E-2</v>
      </c>
      <c r="L664">
        <v>1727.87693475536</v>
      </c>
      <c r="M664">
        <v>32.685314780596798</v>
      </c>
      <c r="N664">
        <v>53.1811466692713</v>
      </c>
      <c r="O664">
        <v>52.667316890407399</v>
      </c>
      <c r="P664">
        <v>-0.14141326808044899</v>
      </c>
      <c r="Q664">
        <v>8.8542140200265601E-2</v>
      </c>
      <c r="R664">
        <v>0.94080793312299404</v>
      </c>
      <c r="S664" t="s">
        <v>7281</v>
      </c>
      <c r="T664" t="s">
        <v>13232</v>
      </c>
      <c r="U664" t="s">
        <v>13232</v>
      </c>
      <c r="V664" t="s">
        <v>13232</v>
      </c>
      <c r="W664" t="s">
        <v>13879</v>
      </c>
      <c r="X664">
        <v>3</v>
      </c>
      <c r="Y664" t="s">
        <v>20418</v>
      </c>
      <c r="Z664" t="s">
        <v>26795</v>
      </c>
      <c r="AA664">
        <v>0.48435676974897057</v>
      </c>
      <c r="AB664" t="str">
        <f>HYPERLINK("Melting_Curves/meltCurve_F8WF48_SEC62.pdf", "Melting_Curves/meltCurve_F8WF48_SEC62.pdf")</f>
        <v>Melting_Curves/meltCurve_F8WF48_SEC62.pdf</v>
      </c>
    </row>
    <row r="665" spans="1:28" x14ac:dyDescent="0.25">
      <c r="A665" t="s">
        <v>669</v>
      </c>
      <c r="B665">
        <v>0.99930955844802105</v>
      </c>
      <c r="C665">
        <v>0.89847003638641698</v>
      </c>
      <c r="D665">
        <v>0.88131594017182002</v>
      </c>
      <c r="E665">
        <v>0.83896196261897005</v>
      </c>
      <c r="F665">
        <v>0.69792691910619598</v>
      </c>
      <c r="G665">
        <v>0.39703135439819998</v>
      </c>
      <c r="H665">
        <v>0.24401387631518101</v>
      </c>
      <c r="I665">
        <v>0.22117720115216499</v>
      </c>
      <c r="J665">
        <v>0.193034998379784</v>
      </c>
      <c r="K665">
        <v>0.14342382170908699</v>
      </c>
      <c r="L665">
        <v>771.60511612378195</v>
      </c>
      <c r="M665">
        <v>14.1080718491755</v>
      </c>
      <c r="N665">
        <v>55.648147201503001</v>
      </c>
      <c r="O665">
        <v>53.628770241366297</v>
      </c>
      <c r="P665">
        <v>-5.8699275759399899E-2</v>
      </c>
      <c r="Q665">
        <v>0.10758442031408801</v>
      </c>
      <c r="R665">
        <v>0.98466668494677401</v>
      </c>
      <c r="S665" t="s">
        <v>7282</v>
      </c>
      <c r="T665" t="s">
        <v>13232</v>
      </c>
      <c r="U665" t="s">
        <v>13232</v>
      </c>
      <c r="V665" t="s">
        <v>13232</v>
      </c>
      <c r="W665" t="s">
        <v>13880</v>
      </c>
      <c r="X665">
        <v>18</v>
      </c>
      <c r="Y665" t="s">
        <v>20419</v>
      </c>
      <c r="Z665" t="s">
        <v>26796</v>
      </c>
      <c r="AA665">
        <v>0.56341089367228581</v>
      </c>
      <c r="AB665" t="str">
        <f>HYPERLINK("Melting_Curves/meltCurve_F8WJN3_CPSF6.pdf", "Melting_Curves/meltCurve_F8WJN3_CPSF6.pdf")</f>
        <v>Melting_Curves/meltCurve_F8WJN3_CPSF6.pdf</v>
      </c>
    </row>
    <row r="666" spans="1:28" x14ac:dyDescent="0.25">
      <c r="A666" t="s">
        <v>670</v>
      </c>
      <c r="B666">
        <v>0.99930955844802105</v>
      </c>
      <c r="C666">
        <v>0.77476042463299399</v>
      </c>
      <c r="D666">
        <v>0.68732189671696697</v>
      </c>
      <c r="E666">
        <v>0.726498506959394</v>
      </c>
      <c r="F666">
        <v>0.386468901848813</v>
      </c>
      <c r="G666">
        <v>0.22917411025200299</v>
      </c>
      <c r="H666">
        <v>0.14610517931019701</v>
      </c>
      <c r="I666">
        <v>0.174025940264176</v>
      </c>
      <c r="J666">
        <v>0.25424153535862398</v>
      </c>
      <c r="K666">
        <v>0.17548687042517599</v>
      </c>
      <c r="L666">
        <v>539.85522821794802</v>
      </c>
      <c r="M666">
        <v>10.828457840839601</v>
      </c>
      <c r="N666">
        <v>51.114509814682201</v>
      </c>
      <c r="O666">
        <v>48.245267649447797</v>
      </c>
      <c r="P666">
        <v>-4.9559873673660201E-2</v>
      </c>
      <c r="Q666">
        <v>0.11707737942817401</v>
      </c>
      <c r="R666">
        <v>0.92417147826141599</v>
      </c>
      <c r="S666" t="s">
        <v>7283</v>
      </c>
      <c r="T666" t="s">
        <v>13232</v>
      </c>
      <c r="U666" t="s">
        <v>13232</v>
      </c>
      <c r="V666" t="s">
        <v>13232</v>
      </c>
      <c r="W666" t="s">
        <v>13881</v>
      </c>
      <c r="X666">
        <v>1</v>
      </c>
      <c r="Y666" t="s">
        <v>20420</v>
      </c>
      <c r="Z666" t="s">
        <v>26797</v>
      </c>
      <c r="AA666">
        <v>0.44317482079324061</v>
      </c>
      <c r="AB666" t="str">
        <f>HYPERLINK("Melting_Curves/meltCurve_G3V0I7_ALS2CL.pdf", "Melting_Curves/meltCurve_G3V0I7_ALS2CL.pdf")</f>
        <v>Melting_Curves/meltCurve_G3V0I7_ALS2CL.pdf</v>
      </c>
    </row>
    <row r="667" spans="1:28" x14ac:dyDescent="0.25">
      <c r="A667" t="s">
        <v>671</v>
      </c>
      <c r="B667">
        <v>0.99930955844802105</v>
      </c>
      <c r="C667">
        <v>1.2085795463880999</v>
      </c>
      <c r="D667">
        <v>1.13570218989129</v>
      </c>
      <c r="E667">
        <v>1.1641887705579801</v>
      </c>
      <c r="F667">
        <v>1.06946239961153</v>
      </c>
      <c r="G667">
        <v>1.03929675032373</v>
      </c>
      <c r="H667">
        <v>1.06071164499037</v>
      </c>
      <c r="I667">
        <v>1.12551969891177</v>
      </c>
      <c r="J667">
        <v>1.16082736791345</v>
      </c>
      <c r="K667">
        <v>0.95927008367248201</v>
      </c>
      <c r="L667">
        <v>10251.9925385233</v>
      </c>
      <c r="M667">
        <v>250</v>
      </c>
      <c r="O667">
        <v>41.005346162796101</v>
      </c>
      <c r="P667">
        <v>0.15640860151042399</v>
      </c>
      <c r="Q667">
        <v>1.10261742082654</v>
      </c>
      <c r="R667">
        <v>0.16836093529686899</v>
      </c>
      <c r="S667" t="s">
        <v>7284</v>
      </c>
      <c r="T667" t="s">
        <v>13232</v>
      </c>
      <c r="U667" t="s">
        <v>13232</v>
      </c>
      <c r="V667" t="s">
        <v>13232</v>
      </c>
      <c r="W667" t="s">
        <v>13882</v>
      </c>
      <c r="X667">
        <v>4</v>
      </c>
      <c r="Y667" t="s">
        <v>20421</v>
      </c>
      <c r="Z667" t="s">
        <v>26798</v>
      </c>
      <c r="AA667">
        <v>1.0991612203525489</v>
      </c>
      <c r="AB667" t="str">
        <f>HYPERLINK("Melting_Curves/meltCurve_G3V0I8_SREBF2.pdf", "Melting_Curves/meltCurve_G3V0I8_SREBF2.pdf")</f>
        <v>Melting_Curves/meltCurve_G3V0I8_SREBF2.pdf</v>
      </c>
    </row>
    <row r="668" spans="1:28" x14ac:dyDescent="0.25">
      <c r="A668" t="s">
        <v>672</v>
      </c>
      <c r="B668">
        <v>0.99930955844802105</v>
      </c>
      <c r="C668">
        <v>1.04161527669753</v>
      </c>
      <c r="D668">
        <v>0.97343372399944095</v>
      </c>
      <c r="E668">
        <v>0.90242259966698202</v>
      </c>
      <c r="F668">
        <v>0.73185356910578503</v>
      </c>
      <c r="G668">
        <v>0.56199034708749895</v>
      </c>
      <c r="H668">
        <v>0.39199156811858399</v>
      </c>
      <c r="I668">
        <v>0.320605189716198</v>
      </c>
      <c r="J668">
        <v>0.269985449614082</v>
      </c>
      <c r="K668">
        <v>0.207154258421785</v>
      </c>
      <c r="L668">
        <v>790.49104730720603</v>
      </c>
      <c r="M668">
        <v>14.017353033340401</v>
      </c>
      <c r="N668">
        <v>58.216642187394001</v>
      </c>
      <c r="O668">
        <v>55.283199594030997</v>
      </c>
      <c r="P668">
        <v>-5.2135807044308202E-2</v>
      </c>
      <c r="Q668">
        <v>0.177632379844299</v>
      </c>
      <c r="R668">
        <v>0.99511915921862204</v>
      </c>
      <c r="S668" t="s">
        <v>7285</v>
      </c>
      <c r="T668" t="s">
        <v>13232</v>
      </c>
      <c r="U668" t="s">
        <v>13232</v>
      </c>
      <c r="V668" t="s">
        <v>13232</v>
      </c>
      <c r="W668" t="s">
        <v>13883</v>
      </c>
      <c r="X668">
        <v>6</v>
      </c>
      <c r="Y668" t="s">
        <v>20422</v>
      </c>
      <c r="Z668" t="s">
        <v>26799</v>
      </c>
      <c r="AA668">
        <v>0.64168708779856043</v>
      </c>
      <c r="AB668" t="str">
        <f>HYPERLINK("Melting_Curves/meltCurve_G3V1D4_LIN7C.pdf", "Melting_Curves/meltCurve_G3V1D4_LIN7C.pdf")</f>
        <v>Melting_Curves/meltCurve_G3V1D4_LIN7C.pdf</v>
      </c>
    </row>
    <row r="669" spans="1:28" x14ac:dyDescent="0.25">
      <c r="A669" t="s">
        <v>673</v>
      </c>
      <c r="B669">
        <v>0.99930955844802105</v>
      </c>
      <c r="C669">
        <v>1.03081785405216</v>
      </c>
      <c r="D669">
        <v>0.99731926525714598</v>
      </c>
      <c r="E669">
        <v>0.96589915075265398</v>
      </c>
      <c r="F669">
        <v>0.93369322326771498</v>
      </c>
      <c r="G669">
        <v>0.79960530358443005</v>
      </c>
      <c r="H669">
        <v>0.71869040518129501</v>
      </c>
      <c r="I669">
        <v>0.77921269692855</v>
      </c>
      <c r="J669">
        <v>0.78270032541627199</v>
      </c>
      <c r="K669">
        <v>0.68025401906198701</v>
      </c>
      <c r="L669">
        <v>1572.7446804981601</v>
      </c>
      <c r="M669">
        <v>28.744472973376901</v>
      </c>
      <c r="O669">
        <v>54.451915861699803</v>
      </c>
      <c r="P669">
        <v>-3.48339579525207E-2</v>
      </c>
      <c r="Q669">
        <v>0.73605206366714704</v>
      </c>
      <c r="R669">
        <v>0.94060007795378098</v>
      </c>
      <c r="S669" t="s">
        <v>7286</v>
      </c>
      <c r="T669" t="s">
        <v>13232</v>
      </c>
      <c r="U669" t="s">
        <v>13232</v>
      </c>
      <c r="V669" t="s">
        <v>13232</v>
      </c>
      <c r="W669" t="s">
        <v>13884</v>
      </c>
      <c r="X669">
        <v>10</v>
      </c>
      <c r="Y669" t="s">
        <v>20423</v>
      </c>
      <c r="Z669" t="s">
        <v>26800</v>
      </c>
      <c r="AA669">
        <v>0.86740925964344884</v>
      </c>
      <c r="AB669" t="str">
        <f>HYPERLINK("Melting_Curves/meltCurve_G3V1R3_ZEB1.pdf", "Melting_Curves/meltCurve_G3V1R3_ZEB1.pdf")</f>
        <v>Melting_Curves/meltCurve_G3V1R3_ZEB1.pdf</v>
      </c>
    </row>
    <row r="670" spans="1:28" x14ac:dyDescent="0.25">
      <c r="A670" t="s">
        <v>674</v>
      </c>
      <c r="B670">
        <v>0.99930955844802105</v>
      </c>
      <c r="C670">
        <v>0.95403122783738703</v>
      </c>
      <c r="D670">
        <v>0.95314760568867796</v>
      </c>
      <c r="E670">
        <v>0.96069657504463102</v>
      </c>
      <c r="F670">
        <v>1.0317082816855401</v>
      </c>
      <c r="G670">
        <v>0.86661456635906797</v>
      </c>
      <c r="H670">
        <v>0.47888907297563399</v>
      </c>
      <c r="I670">
        <v>0.47881002804925599</v>
      </c>
      <c r="J670">
        <v>0.37615262695690799</v>
      </c>
      <c r="K670">
        <v>0.233497103029011</v>
      </c>
      <c r="L670">
        <v>1602.75002302339</v>
      </c>
      <c r="M670">
        <v>26.8577960106565</v>
      </c>
      <c r="N670">
        <v>61.746038027361102</v>
      </c>
      <c r="O670">
        <v>59.3475238314265</v>
      </c>
      <c r="P670">
        <v>-7.9553721839837901E-2</v>
      </c>
      <c r="Q670">
        <v>0.29684943035576</v>
      </c>
      <c r="R670">
        <v>0.965622764683987</v>
      </c>
      <c r="S670" t="s">
        <v>7287</v>
      </c>
      <c r="T670" t="s">
        <v>13232</v>
      </c>
      <c r="U670" t="s">
        <v>13232</v>
      </c>
      <c r="V670" t="s">
        <v>13232</v>
      </c>
      <c r="W670" t="s">
        <v>13885</v>
      </c>
      <c r="X670">
        <v>20</v>
      </c>
      <c r="Y670" t="s">
        <v>20424</v>
      </c>
      <c r="Z670" t="s">
        <v>26801</v>
      </c>
      <c r="AA670">
        <v>0.7630267311149489</v>
      </c>
      <c r="AB670" t="str">
        <f>HYPERLINK("Melting_Curves/meltCurve_G3V1R9_ISYNA1.pdf", "Melting_Curves/meltCurve_G3V1R9_ISYNA1.pdf")</f>
        <v>Melting_Curves/meltCurve_G3V1R9_ISYNA1.pdf</v>
      </c>
    </row>
    <row r="671" spans="1:28" x14ac:dyDescent="0.25">
      <c r="A671" t="s">
        <v>675</v>
      </c>
      <c r="B671">
        <v>0.99930955844802105</v>
      </c>
      <c r="C671">
        <v>1.16052515186665</v>
      </c>
      <c r="D671">
        <v>1.13031991998425</v>
      </c>
      <c r="E671">
        <v>1.08492218850718</v>
      </c>
      <c r="F671">
        <v>0.96534347900789397</v>
      </c>
      <c r="G671">
        <v>0.80263591937274203</v>
      </c>
      <c r="H671">
        <v>0.75208945672997096</v>
      </c>
      <c r="I671">
        <v>0.66614445124432997</v>
      </c>
      <c r="J671">
        <v>0.61250947679502499</v>
      </c>
      <c r="K671">
        <v>0.45562559682760401</v>
      </c>
      <c r="L671">
        <v>853.31883178436601</v>
      </c>
      <c r="M671">
        <v>13.5163384228513</v>
      </c>
      <c r="N671">
        <v>69.762943351033798</v>
      </c>
      <c r="O671">
        <v>61.798533864960298</v>
      </c>
      <c r="P671">
        <v>-3.4910988925788998E-2</v>
      </c>
      <c r="Q671">
        <v>0.36162578218089297</v>
      </c>
      <c r="R671">
        <v>0.87531992910687495</v>
      </c>
      <c r="S671" t="s">
        <v>7288</v>
      </c>
      <c r="T671" t="s">
        <v>13232</v>
      </c>
      <c r="U671" t="s">
        <v>13232</v>
      </c>
      <c r="V671" t="s">
        <v>13232</v>
      </c>
      <c r="W671" t="s">
        <v>13886</v>
      </c>
      <c r="X671">
        <v>13</v>
      </c>
      <c r="Y671" t="s">
        <v>20425</v>
      </c>
      <c r="Z671" t="s">
        <v>26802</v>
      </c>
      <c r="AA671">
        <v>0.84451084233581664</v>
      </c>
      <c r="AB671" t="str">
        <f>HYPERLINK("Melting_Curves/meltCurve_G3V1U0_ATF7IP.pdf", "Melting_Curves/meltCurve_G3V1U0_ATF7IP.pdf")</f>
        <v>Melting_Curves/meltCurve_G3V1U0_ATF7IP.pdf</v>
      </c>
    </row>
    <row r="672" spans="1:28" x14ac:dyDescent="0.25">
      <c r="A672" t="s">
        <v>676</v>
      </c>
      <c r="B672">
        <v>0.99930955844802105</v>
      </c>
      <c r="C672">
        <v>0.62739660738694403</v>
      </c>
      <c r="D672">
        <v>0.79038488695867504</v>
      </c>
      <c r="E672">
        <v>0.489340854673318</v>
      </c>
      <c r="F672">
        <v>0.195697371397062</v>
      </c>
      <c r="G672">
        <v>0.12445280251188399</v>
      </c>
      <c r="H672">
        <v>7.7088406973899903E-2</v>
      </c>
      <c r="I672">
        <v>6.9190324892980007E-2</v>
      </c>
      <c r="J672">
        <v>1.6224305121385701E-2</v>
      </c>
      <c r="K672">
        <v>2.1315248540778101E-2</v>
      </c>
      <c r="L672">
        <v>585.34449465635805</v>
      </c>
      <c r="M672">
        <v>12.019681732733099</v>
      </c>
      <c r="N672">
        <v>48.698838777650003</v>
      </c>
      <c r="O672">
        <v>47.409603816035698</v>
      </c>
      <c r="P672">
        <v>-6.3397286576916803E-2</v>
      </c>
      <c r="Q672">
        <v>0</v>
      </c>
      <c r="R672">
        <v>0.935862773356952</v>
      </c>
      <c r="S672" t="s">
        <v>7289</v>
      </c>
      <c r="T672" t="s">
        <v>13232</v>
      </c>
      <c r="U672" t="s">
        <v>13232</v>
      </c>
      <c r="V672" t="s">
        <v>13232</v>
      </c>
      <c r="W672" t="s">
        <v>13887</v>
      </c>
      <c r="X672">
        <v>2</v>
      </c>
      <c r="Y672" t="s">
        <v>20426</v>
      </c>
      <c r="Z672" t="s">
        <v>26803</v>
      </c>
      <c r="AA672">
        <v>0.32727942886222189</v>
      </c>
      <c r="AB672" t="str">
        <f>HYPERLINK("Melting_Curves/meltCurve_G3V1Y1_ACTR6.pdf", "Melting_Curves/meltCurve_G3V1Y1_ACTR6.pdf")</f>
        <v>Melting_Curves/meltCurve_G3V1Y1_ACTR6.pdf</v>
      </c>
    </row>
    <row r="673" spans="1:28" x14ac:dyDescent="0.25">
      <c r="A673" t="s">
        <v>677</v>
      </c>
      <c r="B673">
        <v>0.99930955844802105</v>
      </c>
      <c r="C673">
        <v>0.78385814601827897</v>
      </c>
      <c r="D673">
        <v>0.66337532304680402</v>
      </c>
      <c r="E673">
        <v>0.57480666161935301</v>
      </c>
      <c r="F673">
        <v>0.42365554906930097</v>
      </c>
      <c r="G673">
        <v>0.27492253350777801</v>
      </c>
      <c r="H673">
        <v>0.19142593004507599</v>
      </c>
      <c r="I673">
        <v>0.17235359350190399</v>
      </c>
      <c r="J673">
        <v>0.164717802150708</v>
      </c>
      <c r="K673">
        <v>0.12736533152133001</v>
      </c>
      <c r="L673">
        <v>467.592605921109</v>
      </c>
      <c r="M673">
        <v>9.3770391813328207</v>
      </c>
      <c r="N673">
        <v>50.6824136470578</v>
      </c>
      <c r="O673">
        <v>47.755490499446502</v>
      </c>
      <c r="P673">
        <v>-4.5675000223501502E-2</v>
      </c>
      <c r="Q673">
        <v>7.0121340925130102E-2</v>
      </c>
      <c r="R673">
        <v>0.98234852817933604</v>
      </c>
      <c r="S673" t="s">
        <v>7290</v>
      </c>
      <c r="T673" t="s">
        <v>13232</v>
      </c>
      <c r="U673" t="s">
        <v>13232</v>
      </c>
      <c r="V673" t="s">
        <v>13232</v>
      </c>
      <c r="W673" t="s">
        <v>13888</v>
      </c>
      <c r="X673">
        <v>8</v>
      </c>
      <c r="Y673" t="s">
        <v>20427</v>
      </c>
      <c r="Z673" t="s">
        <v>26804</v>
      </c>
      <c r="AA673">
        <v>0.42224940082155749</v>
      </c>
      <c r="AB673" t="str">
        <f>HYPERLINK("Melting_Curves/meltCurve_G3V203_RPL18.pdf", "Melting_Curves/meltCurve_G3V203_RPL18.pdf")</f>
        <v>Melting_Curves/meltCurve_G3V203_RPL18.pdf</v>
      </c>
    </row>
    <row r="674" spans="1:28" x14ac:dyDescent="0.25">
      <c r="A674" t="s">
        <v>678</v>
      </c>
      <c r="B674">
        <v>0.99930955844802105</v>
      </c>
      <c r="C674">
        <v>0.76931998704539795</v>
      </c>
      <c r="D674">
        <v>0.38450513700547301</v>
      </c>
      <c r="E674">
        <v>0.20076028077896299</v>
      </c>
      <c r="F674">
        <v>0.118764839278562</v>
      </c>
      <c r="G674">
        <v>8.6004918789580595E-2</v>
      </c>
      <c r="H674">
        <v>4.9709480086832201E-2</v>
      </c>
      <c r="I674">
        <v>4.0746291787294303E-2</v>
      </c>
      <c r="J674">
        <v>3.7689032628883803E-2</v>
      </c>
      <c r="K674">
        <v>2.7133805204487899E-2</v>
      </c>
      <c r="L674">
        <v>988.93228743736097</v>
      </c>
      <c r="M674">
        <v>21.945929380546001</v>
      </c>
      <c r="N674">
        <v>45.305329817444402</v>
      </c>
      <c r="O674">
        <v>44.6930668961406</v>
      </c>
      <c r="P674">
        <v>-0.11594266705508099</v>
      </c>
      <c r="Q674">
        <v>5.5548496834792599E-2</v>
      </c>
      <c r="R674">
        <v>0.99095043260260196</v>
      </c>
      <c r="S674" t="s">
        <v>7291</v>
      </c>
      <c r="T674" t="s">
        <v>13232</v>
      </c>
      <c r="U674" t="s">
        <v>13232</v>
      </c>
      <c r="V674" t="s">
        <v>13232</v>
      </c>
      <c r="W674" t="s">
        <v>13889</v>
      </c>
      <c r="X674">
        <v>46</v>
      </c>
      <c r="Y674" t="s">
        <v>20428</v>
      </c>
      <c r="Z674" t="s">
        <v>26805</v>
      </c>
      <c r="AA674">
        <v>0.22767840167262951</v>
      </c>
      <c r="AB674" t="str">
        <f>HYPERLINK("Melting_Curves/meltCurve_G3V2B8_MTHFD1.pdf", "Melting_Curves/meltCurve_G3V2B8_MTHFD1.pdf")</f>
        <v>Melting_Curves/meltCurve_G3V2B8_MTHFD1.pdf</v>
      </c>
    </row>
    <row r="675" spans="1:28" x14ac:dyDescent="0.25">
      <c r="A675" t="s">
        <v>679</v>
      </c>
      <c r="B675">
        <v>0.99930955844802105</v>
      </c>
      <c r="C675">
        <v>1.0716325316665101</v>
      </c>
      <c r="D675">
        <v>1.0739596892629599</v>
      </c>
      <c r="E675">
        <v>1.0217247642073599</v>
      </c>
      <c r="F675">
        <v>0.855538199303018</v>
      </c>
      <c r="G675">
        <v>0.71697046134294695</v>
      </c>
      <c r="H675">
        <v>0.41369174651799301</v>
      </c>
      <c r="I675">
        <v>0.33822694912843398</v>
      </c>
      <c r="J675">
        <v>0.31111599321984601</v>
      </c>
      <c r="K675">
        <v>0.254980687943129</v>
      </c>
      <c r="L675">
        <v>1253.84989535811</v>
      </c>
      <c r="M675">
        <v>21.6692652441204</v>
      </c>
      <c r="N675">
        <v>59.799253825139097</v>
      </c>
      <c r="O675">
        <v>57.377024954443499</v>
      </c>
      <c r="P675">
        <v>-7.0614782891342306E-2</v>
      </c>
      <c r="Q675">
        <v>0.25210751926033897</v>
      </c>
      <c r="R675">
        <v>0.98272798515875304</v>
      </c>
      <c r="S675" t="s">
        <v>7292</v>
      </c>
      <c r="T675" t="s">
        <v>13232</v>
      </c>
      <c r="U675" t="s">
        <v>13232</v>
      </c>
      <c r="V675" t="s">
        <v>13232</v>
      </c>
      <c r="W675" t="s">
        <v>13890</v>
      </c>
      <c r="X675">
        <v>8</v>
      </c>
      <c r="Y675" t="s">
        <v>20429</v>
      </c>
      <c r="Z675" t="s">
        <v>26806</v>
      </c>
      <c r="AA675">
        <v>0.70530036075421221</v>
      </c>
      <c r="AB675" t="str">
        <f>HYPERLINK("Melting_Curves/meltCurve_G3V2U7_ACYP1.pdf", "Melting_Curves/meltCurve_G3V2U7_ACYP1.pdf")</f>
        <v>Melting_Curves/meltCurve_G3V2U7_ACYP1.pdf</v>
      </c>
    </row>
    <row r="676" spans="1:28" x14ac:dyDescent="0.25">
      <c r="A676" t="s">
        <v>680</v>
      </c>
      <c r="B676">
        <v>0.99930955844802105</v>
      </c>
      <c r="C676">
        <v>0.86125672066483705</v>
      </c>
      <c r="D676">
        <v>0.85970101831866097</v>
      </c>
      <c r="E676">
        <v>0.87140864296689102</v>
      </c>
      <c r="F676">
        <v>0.74503698540482</v>
      </c>
      <c r="G676">
        <v>0.59352045361444195</v>
      </c>
      <c r="H676">
        <v>0.57920025397933095</v>
      </c>
      <c r="I676">
        <v>0.48341177609865998</v>
      </c>
      <c r="J676">
        <v>0.53114624845657299</v>
      </c>
      <c r="K676">
        <v>0.54166488288812997</v>
      </c>
      <c r="L676">
        <v>467.57986939860302</v>
      </c>
      <c r="M676">
        <v>8.8054540417191909</v>
      </c>
      <c r="O676">
        <v>50.576171098854097</v>
      </c>
      <c r="P676">
        <v>-2.4368722598248502E-2</v>
      </c>
      <c r="Q676">
        <v>0.440571605716438</v>
      </c>
      <c r="R676">
        <v>0.92865008749779399</v>
      </c>
      <c r="S676" t="s">
        <v>7293</v>
      </c>
      <c r="T676" t="s">
        <v>13232</v>
      </c>
      <c r="U676" t="s">
        <v>13232</v>
      </c>
      <c r="V676" t="s">
        <v>13232</v>
      </c>
      <c r="W676" t="s">
        <v>13891</v>
      </c>
      <c r="X676">
        <v>1</v>
      </c>
      <c r="Y676" t="s">
        <v>20430</v>
      </c>
      <c r="Z676" t="s">
        <v>26807</v>
      </c>
      <c r="AA676">
        <v>0.70584766152269818</v>
      </c>
      <c r="AB676" t="str">
        <f>HYPERLINK("Melting_Curves/meltCurve_G3V398_ZNF410.pdf", "Melting_Curves/meltCurve_G3V398_ZNF410.pdf")</f>
        <v>Melting_Curves/meltCurve_G3V398_ZNF410.pdf</v>
      </c>
    </row>
    <row r="677" spans="1:28" x14ac:dyDescent="0.25">
      <c r="A677" t="s">
        <v>681</v>
      </c>
      <c r="B677">
        <v>0.99930955844802105</v>
      </c>
      <c r="C677">
        <v>1.04898123440334</v>
      </c>
      <c r="D677">
        <v>0.96856501415880603</v>
      </c>
      <c r="E677">
        <v>1.02095270159406</v>
      </c>
      <c r="F677">
        <v>1.0196751917397999</v>
      </c>
      <c r="G677">
        <v>0.79781390133346597</v>
      </c>
      <c r="H677">
        <v>0.543177436402008</v>
      </c>
      <c r="I677">
        <v>0.537720103810578</v>
      </c>
      <c r="J677">
        <v>0.57742632530258498</v>
      </c>
      <c r="K677">
        <v>0.46787220680566399</v>
      </c>
      <c r="L677">
        <v>3878.7284061974301</v>
      </c>
      <c r="M677">
        <v>67.758055101780499</v>
      </c>
      <c r="O677">
        <v>57.1940171774812</v>
      </c>
      <c r="P677">
        <v>-0.13932893774091301</v>
      </c>
      <c r="Q677">
        <v>0.52957464188820202</v>
      </c>
      <c r="R677">
        <v>0.97987982089194203</v>
      </c>
      <c r="S677" t="s">
        <v>7294</v>
      </c>
      <c r="T677" t="s">
        <v>13232</v>
      </c>
      <c r="U677" t="s">
        <v>13232</v>
      </c>
      <c r="V677" t="s">
        <v>13232</v>
      </c>
      <c r="W677" t="s">
        <v>13892</v>
      </c>
      <c r="X677">
        <v>1</v>
      </c>
      <c r="Y677" t="s">
        <v>20431</v>
      </c>
      <c r="Z677" t="s">
        <v>26808</v>
      </c>
      <c r="AA677">
        <v>0.80061703967074138</v>
      </c>
      <c r="AB677" t="str">
        <f>HYPERLINK("Melting_Curves/meltCurve_G3V3A0_SERPINA3.pdf", "Melting_Curves/meltCurve_G3V3A0_SERPINA3.pdf")</f>
        <v>Melting_Curves/meltCurve_G3V3A0_SERPINA3.pdf</v>
      </c>
    </row>
    <row r="678" spans="1:28" x14ac:dyDescent="0.25">
      <c r="A678" t="s">
        <v>682</v>
      </c>
      <c r="B678">
        <v>0.99930955844802105</v>
      </c>
      <c r="C678">
        <v>1.01995445124151</v>
      </c>
      <c r="D678">
        <v>1.1193207026894501</v>
      </c>
      <c r="E678">
        <v>0.99353636614491703</v>
      </c>
      <c r="F678">
        <v>1.35840110504945</v>
      </c>
      <c r="G678">
        <v>0.86625897392504603</v>
      </c>
      <c r="H678">
        <v>0.278793008301437</v>
      </c>
      <c r="I678">
        <v>4.7745091031664397E-2</v>
      </c>
      <c r="J678">
        <v>1.62537121076285E-2</v>
      </c>
      <c r="K678">
        <v>5.45256275625738E-2</v>
      </c>
      <c r="L678">
        <v>2807.9796553649599</v>
      </c>
      <c r="M678">
        <v>47.158359970063998</v>
      </c>
      <c r="N678">
        <v>59.617785392725501</v>
      </c>
      <c r="O678">
        <v>59.436847121809301</v>
      </c>
      <c r="P678">
        <v>-0.19270382875561801</v>
      </c>
      <c r="Q678">
        <v>2.8490756597755101E-2</v>
      </c>
      <c r="R678">
        <v>0.93851354433450096</v>
      </c>
      <c r="S678" t="s">
        <v>7295</v>
      </c>
      <c r="T678" t="s">
        <v>13232</v>
      </c>
      <c r="U678" t="s">
        <v>13232</v>
      </c>
      <c r="V678" t="s">
        <v>13232</v>
      </c>
      <c r="W678" t="s">
        <v>13893</v>
      </c>
      <c r="X678">
        <v>26</v>
      </c>
      <c r="Y678" t="s">
        <v>20432</v>
      </c>
      <c r="Z678" t="s">
        <v>26809</v>
      </c>
      <c r="AA678">
        <v>0.66420298884163931</v>
      </c>
      <c r="AB678" t="str">
        <f>HYPERLINK("Melting_Curves/meltCurve_G3V3A4_SNW1.pdf", "Melting_Curves/meltCurve_G3V3A4_SNW1.pdf")</f>
        <v>Melting_Curves/meltCurve_G3V3A4_SNW1.pdf</v>
      </c>
    </row>
    <row r="679" spans="1:28" x14ac:dyDescent="0.25">
      <c r="A679" t="s">
        <v>683</v>
      </c>
      <c r="B679">
        <v>0.99930955844802105</v>
      </c>
      <c r="C679">
        <v>0.86784829832704002</v>
      </c>
      <c r="D679">
        <v>0.84739255574963801</v>
      </c>
      <c r="E679">
        <v>0.84617336988570202</v>
      </c>
      <c r="F679">
        <v>0.63881018987947302</v>
      </c>
      <c r="G679">
        <v>0.21436360381351699</v>
      </c>
      <c r="H679">
        <v>9.3920288359697304E-2</v>
      </c>
      <c r="I679">
        <v>8.7877166824587696E-2</v>
      </c>
      <c r="J679">
        <v>6.1538562979362499E-2</v>
      </c>
      <c r="K679">
        <v>5.46493328920526E-2</v>
      </c>
      <c r="L679">
        <v>1146.2710384325001</v>
      </c>
      <c r="M679">
        <v>21.322314111829101</v>
      </c>
      <c r="N679">
        <v>53.967631682829897</v>
      </c>
      <c r="O679">
        <v>53.293081321392798</v>
      </c>
      <c r="P679">
        <v>-9.6073246306343701E-2</v>
      </c>
      <c r="Q679">
        <v>3.9521121897459099E-2</v>
      </c>
      <c r="R679">
        <v>0.97406185318147898</v>
      </c>
      <c r="S679" t="s">
        <v>7296</v>
      </c>
      <c r="T679" t="s">
        <v>13232</v>
      </c>
      <c r="U679" t="s">
        <v>13232</v>
      </c>
      <c r="V679" t="s">
        <v>13232</v>
      </c>
      <c r="W679" t="s">
        <v>13894</v>
      </c>
      <c r="X679">
        <v>12</v>
      </c>
      <c r="Y679" t="s">
        <v>20433</v>
      </c>
      <c r="Z679" t="s">
        <v>26810</v>
      </c>
      <c r="AA679">
        <v>0.49180923613901939</v>
      </c>
      <c r="AB679" t="str">
        <f>HYPERLINK("Melting_Curves/meltCurve_G3V3G9_DCAF8.pdf", "Melting_Curves/meltCurve_G3V3G9_DCAF8.pdf")</f>
        <v>Melting_Curves/meltCurve_G3V3G9_DCAF8.pdf</v>
      </c>
    </row>
    <row r="680" spans="1:28" x14ac:dyDescent="0.25">
      <c r="A680" t="s">
        <v>684</v>
      </c>
      <c r="B680">
        <v>0.99930955844802105</v>
      </c>
      <c r="C680">
        <v>1.13712489105944</v>
      </c>
      <c r="D680">
        <v>1.0793558361195501</v>
      </c>
      <c r="E680">
        <v>0.85427941371726601</v>
      </c>
      <c r="F680">
        <v>0.40099062510301497</v>
      </c>
      <c r="G680">
        <v>0.26000015350530797</v>
      </c>
      <c r="H680">
        <v>0.16436582974952599</v>
      </c>
      <c r="I680">
        <v>0.145110678672419</v>
      </c>
      <c r="J680">
        <v>0.14042144605196399</v>
      </c>
      <c r="K680">
        <v>0.102533207815838</v>
      </c>
      <c r="L680">
        <v>2010.42590013829</v>
      </c>
      <c r="M680">
        <v>38.706516108889801</v>
      </c>
      <c r="N680">
        <v>52.437964852681603</v>
      </c>
      <c r="O680">
        <v>51.802183853808103</v>
      </c>
      <c r="P680">
        <v>-0.15808345672377899</v>
      </c>
      <c r="Q680">
        <v>0.15372916104260101</v>
      </c>
      <c r="R680">
        <v>0.97890392430177597</v>
      </c>
      <c r="S680" t="s">
        <v>7297</v>
      </c>
      <c r="T680" t="s">
        <v>13232</v>
      </c>
      <c r="U680" t="s">
        <v>13232</v>
      </c>
      <c r="V680" t="s">
        <v>13232</v>
      </c>
      <c r="W680" t="s">
        <v>13895</v>
      </c>
      <c r="X680">
        <v>2</v>
      </c>
      <c r="Y680" t="s">
        <v>20434</v>
      </c>
      <c r="Z680" t="s">
        <v>26811</v>
      </c>
      <c r="AA680">
        <v>0.49379633651789268</v>
      </c>
      <c r="AB680" t="str">
        <f>HYPERLINK("Melting_Curves/meltCurve_G3V3I4_NFKBIA.pdf", "Melting_Curves/meltCurve_G3V3I4_NFKBIA.pdf")</f>
        <v>Melting_Curves/meltCurve_G3V3I4_NFKBIA.pdf</v>
      </c>
    </row>
    <row r="681" spans="1:28" x14ac:dyDescent="0.25">
      <c r="A681" t="s">
        <v>685</v>
      </c>
      <c r="B681">
        <v>0.99930955844802105</v>
      </c>
      <c r="C681">
        <v>1.0516242112701399</v>
      </c>
      <c r="D681">
        <v>1.05420695827023</v>
      </c>
      <c r="E681">
        <v>0.88843710762856098</v>
      </c>
      <c r="F681">
        <v>0.45777087847828601</v>
      </c>
      <c r="G681">
        <v>0.277643410825411</v>
      </c>
      <c r="H681">
        <v>0.19126226453751299</v>
      </c>
      <c r="I681">
        <v>0.16953443539800001</v>
      </c>
      <c r="J681">
        <v>0.14600492933936601</v>
      </c>
      <c r="K681">
        <v>0.117547786341837</v>
      </c>
      <c r="L681">
        <v>1898.3764653390001</v>
      </c>
      <c r="M681">
        <v>36.3022787999694</v>
      </c>
      <c r="N681">
        <v>52.8898526733824</v>
      </c>
      <c r="O681">
        <v>52.135665477498499</v>
      </c>
      <c r="P681">
        <v>-0.14484401497875099</v>
      </c>
      <c r="Q681">
        <v>0.16792926552083301</v>
      </c>
      <c r="R681">
        <v>0.98965653037962198</v>
      </c>
      <c r="S681" t="s">
        <v>7298</v>
      </c>
      <c r="T681" t="s">
        <v>13232</v>
      </c>
      <c r="U681" t="s">
        <v>13232</v>
      </c>
      <c r="V681" t="s">
        <v>13232</v>
      </c>
      <c r="W681" t="s">
        <v>13896</v>
      </c>
      <c r="X681">
        <v>10</v>
      </c>
      <c r="Y681" t="s">
        <v>20435</v>
      </c>
      <c r="Z681" t="s">
        <v>26812</v>
      </c>
      <c r="AA681">
        <v>0.51255246417554334</v>
      </c>
      <c r="AB681" t="str">
        <f>HYPERLINK("Melting_Curves/meltCurve_G3V3R7_ATXN3.pdf", "Melting_Curves/meltCurve_G3V3R7_ATXN3.pdf")</f>
        <v>Melting_Curves/meltCurve_G3V3R7_ATXN3.pdf</v>
      </c>
    </row>
    <row r="682" spans="1:28" x14ac:dyDescent="0.25">
      <c r="A682" t="s">
        <v>686</v>
      </c>
      <c r="B682">
        <v>0.99930955844802105</v>
      </c>
      <c r="C682">
        <v>1.19067456405087</v>
      </c>
      <c r="D682">
        <v>1.08773600877118</v>
      </c>
      <c r="E682">
        <v>1.0646273955924399</v>
      </c>
      <c r="F682">
        <v>1.1098683166468799</v>
      </c>
      <c r="G682">
        <v>1.2001406007125901</v>
      </c>
      <c r="H682">
        <v>1.0749779830094599</v>
      </c>
      <c r="I682">
        <v>1.59931475523108</v>
      </c>
      <c r="J682">
        <v>1.2502316949219801</v>
      </c>
      <c r="K682">
        <v>1.0472667066050201</v>
      </c>
      <c r="L682">
        <v>312.24860578643398</v>
      </c>
      <c r="M682">
        <v>6.0999990955243204</v>
      </c>
      <c r="O682">
        <v>46.504596594396503</v>
      </c>
      <c r="P682">
        <v>9.5939993734861992E-3</v>
      </c>
      <c r="Q682">
        <v>1.29167699829678</v>
      </c>
      <c r="R682">
        <v>0.16412451974915801</v>
      </c>
      <c r="S682" t="s">
        <v>7299</v>
      </c>
      <c r="T682" t="s">
        <v>13232</v>
      </c>
      <c r="U682" t="s">
        <v>13232</v>
      </c>
      <c r="V682" t="s">
        <v>13232</v>
      </c>
      <c r="W682" t="s">
        <v>13897</v>
      </c>
      <c r="X682">
        <v>22</v>
      </c>
      <c r="Y682" t="s">
        <v>20436</v>
      </c>
      <c r="Z682" t="s">
        <v>26813</v>
      </c>
      <c r="AA682">
        <v>1.1637074820156921</v>
      </c>
      <c r="AB682" t="str">
        <f>HYPERLINK("Melting_Curves/meltCurve_G3V4C1_HNRNPC.pdf", "Melting_Curves/meltCurve_G3V4C1_HNRNPC.pdf")</f>
        <v>Melting_Curves/meltCurve_G3V4C1_HNRNPC.pdf</v>
      </c>
    </row>
    <row r="683" spans="1:28" x14ac:dyDescent="0.25">
      <c r="A683" t="s">
        <v>687</v>
      </c>
      <c r="B683">
        <v>0.99930955844802105</v>
      </c>
      <c r="C683">
        <v>1.0891719028956199</v>
      </c>
      <c r="D683">
        <v>0.94157566168425999</v>
      </c>
      <c r="E683">
        <v>0.78041140118219698</v>
      </c>
      <c r="F683">
        <v>0.52220061249666005</v>
      </c>
      <c r="G683">
        <v>0.33381992230805702</v>
      </c>
      <c r="H683">
        <v>0.18284203583581199</v>
      </c>
      <c r="I683">
        <v>9.1747930013671403E-2</v>
      </c>
      <c r="J683">
        <v>9.2656204426112498E-2</v>
      </c>
      <c r="K683">
        <v>5.7463293300369797E-2</v>
      </c>
      <c r="L683">
        <v>889.36146095484605</v>
      </c>
      <c r="M683">
        <v>16.6314359632728</v>
      </c>
      <c r="N683">
        <v>53.844085745348004</v>
      </c>
      <c r="O683">
        <v>52.719557263802002</v>
      </c>
      <c r="P683">
        <v>-7.4620485700118602E-2</v>
      </c>
      <c r="Q683">
        <v>5.3913549702255599E-2</v>
      </c>
      <c r="R683">
        <v>0.99040556697865201</v>
      </c>
      <c r="S683" t="s">
        <v>7300</v>
      </c>
      <c r="T683" t="s">
        <v>13232</v>
      </c>
      <c r="U683" t="s">
        <v>13232</v>
      </c>
      <c r="V683" t="s">
        <v>13232</v>
      </c>
      <c r="W683" t="s">
        <v>13898</v>
      </c>
      <c r="X683">
        <v>3</v>
      </c>
      <c r="Y683" t="s">
        <v>20437</v>
      </c>
      <c r="Z683" t="s">
        <v>26814</v>
      </c>
      <c r="AA683">
        <v>0.49612654500086428</v>
      </c>
      <c r="AB683" t="str">
        <f>HYPERLINK("Melting_Curves/meltCurve_G3V4C9_FNTB.pdf", "Melting_Curves/meltCurve_G3V4C9_FNTB.pdf")</f>
        <v>Melting_Curves/meltCurve_G3V4C9_FNTB.pdf</v>
      </c>
    </row>
    <row r="684" spans="1:28" x14ac:dyDescent="0.25">
      <c r="A684" t="s">
        <v>688</v>
      </c>
      <c r="B684">
        <v>0.99930955844802105</v>
      </c>
      <c r="C684">
        <v>1.09447899745247</v>
      </c>
      <c r="D684">
        <v>1.03334499356258</v>
      </c>
      <c r="E684">
        <v>1.04437957967796</v>
      </c>
      <c r="F684">
        <v>0.90424327497766099</v>
      </c>
      <c r="G684">
        <v>0.77337724381208395</v>
      </c>
      <c r="H684">
        <v>0.777964816287397</v>
      </c>
      <c r="I684">
        <v>0.32931620527428201</v>
      </c>
      <c r="J684">
        <v>0.17026234181285499</v>
      </c>
      <c r="K684">
        <v>0.15445571435525399</v>
      </c>
      <c r="L684">
        <v>1245.53696662683</v>
      </c>
      <c r="M684">
        <v>19.868460236009302</v>
      </c>
      <c r="N684">
        <v>62.689156978314202</v>
      </c>
      <c r="O684">
        <v>62.0644735815263</v>
      </c>
      <c r="P684">
        <v>-8.0034229046898206E-2</v>
      </c>
      <c r="Q684">
        <v>0</v>
      </c>
      <c r="R684">
        <v>0.95268869777450704</v>
      </c>
      <c r="S684" t="s">
        <v>7301</v>
      </c>
      <c r="T684" t="s">
        <v>13232</v>
      </c>
      <c r="U684" t="s">
        <v>13232</v>
      </c>
      <c r="V684" t="s">
        <v>13232</v>
      </c>
      <c r="W684" t="s">
        <v>13899</v>
      </c>
      <c r="X684">
        <v>2</v>
      </c>
      <c r="Y684" t="s">
        <v>20438</v>
      </c>
      <c r="Z684" t="s">
        <v>26815</v>
      </c>
      <c r="AA684">
        <v>0.75667463557560344</v>
      </c>
      <c r="AB684" t="str">
        <f>HYPERLINK("Melting_Curves/meltCurve_G3V4P7_AP4S1.pdf", "Melting_Curves/meltCurve_G3V4P7_AP4S1.pdf")</f>
        <v>Melting_Curves/meltCurve_G3V4P7_AP4S1.pdf</v>
      </c>
    </row>
    <row r="685" spans="1:28" x14ac:dyDescent="0.25">
      <c r="A685" t="s">
        <v>689</v>
      </c>
      <c r="B685">
        <v>0.99930955844802105</v>
      </c>
      <c r="C685">
        <v>0.89459512476221703</v>
      </c>
      <c r="D685">
        <v>0.879705288368827</v>
      </c>
      <c r="E685">
        <v>0.70825787634401705</v>
      </c>
      <c r="F685">
        <v>0.38635401315534001</v>
      </c>
      <c r="G685">
        <v>0.34433224785757099</v>
      </c>
      <c r="H685">
        <v>0.249973955489842</v>
      </c>
      <c r="I685">
        <v>0.287133377555157</v>
      </c>
      <c r="J685">
        <v>0.26219553328699502</v>
      </c>
      <c r="K685">
        <v>0.171252393540854</v>
      </c>
      <c r="L685">
        <v>864.45557170664301</v>
      </c>
      <c r="M685">
        <v>17.1135905167279</v>
      </c>
      <c r="N685">
        <v>52.306733650530198</v>
      </c>
      <c r="O685">
        <v>49.838227896448302</v>
      </c>
      <c r="P685">
        <v>-6.6793313509774202E-2</v>
      </c>
      <c r="Q685">
        <v>0.22198445917305001</v>
      </c>
      <c r="R685">
        <v>0.97594703857485299</v>
      </c>
      <c r="S685" t="s">
        <v>7302</v>
      </c>
      <c r="T685" t="s">
        <v>13232</v>
      </c>
      <c r="U685" t="s">
        <v>13232</v>
      </c>
      <c r="V685" t="s">
        <v>13232</v>
      </c>
      <c r="W685" t="s">
        <v>13900</v>
      </c>
      <c r="X685">
        <v>22</v>
      </c>
      <c r="Y685" t="s">
        <v>20436</v>
      </c>
      <c r="Z685" t="s">
        <v>26816</v>
      </c>
      <c r="AA685">
        <v>0.50908500633797715</v>
      </c>
      <c r="AB685" t="str">
        <f>HYPERLINK("Melting_Curves/meltCurve_G3V4W0_HNRNPC.pdf", "Melting_Curves/meltCurve_G3V4W0_HNRNPC.pdf")</f>
        <v>Melting_Curves/meltCurve_G3V4W0_HNRNPC.pdf</v>
      </c>
    </row>
    <row r="686" spans="1:28" x14ac:dyDescent="0.25">
      <c r="A686" t="s">
        <v>690</v>
      </c>
      <c r="B686">
        <v>0.99930955844802105</v>
      </c>
      <c r="C686">
        <v>0.77944687438697202</v>
      </c>
      <c r="D686">
        <v>0.56568760986174405</v>
      </c>
      <c r="E686">
        <v>0.41743809235878399</v>
      </c>
      <c r="F686">
        <v>0.31840370897249298</v>
      </c>
      <c r="G686">
        <v>0.27621507030827203</v>
      </c>
      <c r="H686">
        <v>0.239331613610726</v>
      </c>
      <c r="I686">
        <v>0.27808830429040399</v>
      </c>
      <c r="J686">
        <v>0.252311018761399</v>
      </c>
      <c r="K686">
        <v>0.202412760490469</v>
      </c>
      <c r="L686">
        <v>759.074298178758</v>
      </c>
      <c r="M686">
        <v>16.6551365407615</v>
      </c>
      <c r="N686">
        <v>47.480706331288303</v>
      </c>
      <c r="O686">
        <v>44.934142888902301</v>
      </c>
      <c r="P686">
        <v>-7.0089625616842594E-2</v>
      </c>
      <c r="Q686">
        <v>0.24366705854634399</v>
      </c>
      <c r="R686">
        <v>0.98466961815576304</v>
      </c>
      <c r="S686" t="s">
        <v>7303</v>
      </c>
      <c r="T686" t="s">
        <v>13232</v>
      </c>
      <c r="U686" t="s">
        <v>13232</v>
      </c>
      <c r="V686" t="s">
        <v>13232</v>
      </c>
      <c r="W686" t="s">
        <v>13901</v>
      </c>
      <c r="X686">
        <v>17</v>
      </c>
      <c r="Y686" t="s">
        <v>20439</v>
      </c>
      <c r="Z686" t="s">
        <v>26817</v>
      </c>
      <c r="AA686">
        <v>0.40253869962912131</v>
      </c>
      <c r="AB686" t="str">
        <f>HYPERLINK("Melting_Curves/meltCurve_G3V529_DDX24.pdf", "Melting_Curves/meltCurve_G3V529_DDX24.pdf")</f>
        <v>Melting_Curves/meltCurve_G3V529_DDX24.pdf</v>
      </c>
    </row>
    <row r="687" spans="1:28" x14ac:dyDescent="0.25">
      <c r="A687" t="s">
        <v>691</v>
      </c>
      <c r="B687">
        <v>0.99930955844802105</v>
      </c>
      <c r="C687">
        <v>1.23145818903615</v>
      </c>
      <c r="D687">
        <v>1.1451320631028501</v>
      </c>
      <c r="E687">
        <v>1.0648708257927499</v>
      </c>
      <c r="F687">
        <v>0.96290842750351202</v>
      </c>
      <c r="G687">
        <v>0.72023199070132604</v>
      </c>
      <c r="H687">
        <v>0.86607521575255797</v>
      </c>
      <c r="I687">
        <v>0.82348173245626499</v>
      </c>
      <c r="J687">
        <v>0.94717747435260502</v>
      </c>
      <c r="K687">
        <v>0.75584562228552099</v>
      </c>
      <c r="L687">
        <v>13320.528191359699</v>
      </c>
      <c r="M687">
        <v>250</v>
      </c>
      <c r="O687">
        <v>53.278703070514297</v>
      </c>
      <c r="P687">
        <v>-0.20814788852319299</v>
      </c>
      <c r="Q687">
        <v>0.82256240747278697</v>
      </c>
      <c r="R687">
        <v>0.54912132350069898</v>
      </c>
      <c r="S687" t="s">
        <v>7304</v>
      </c>
      <c r="T687" t="s">
        <v>13232</v>
      </c>
      <c r="U687" t="s">
        <v>13232</v>
      </c>
      <c r="V687" t="s">
        <v>13232</v>
      </c>
      <c r="W687" t="s">
        <v>13902</v>
      </c>
      <c r="X687">
        <v>8</v>
      </c>
      <c r="Y687" t="s">
        <v>20440</v>
      </c>
      <c r="Z687" t="s">
        <v>26818</v>
      </c>
      <c r="AA687">
        <v>0.901137203293217</v>
      </c>
      <c r="AB687" t="str">
        <f>HYPERLINK("Melting_Curves/meltCurve_G3V599_CTAGE5.pdf", "Melting_Curves/meltCurve_G3V599_CTAGE5.pdf")</f>
        <v>Melting_Curves/meltCurve_G3V599_CTAGE5.pdf</v>
      </c>
    </row>
    <row r="688" spans="1:28" x14ac:dyDescent="0.25">
      <c r="A688" t="s">
        <v>692</v>
      </c>
      <c r="B688">
        <v>0.99930955844802105</v>
      </c>
      <c r="C688">
        <v>1.0532205600278</v>
      </c>
      <c r="D688">
        <v>1.0577638145266399</v>
      </c>
      <c r="E688">
        <v>0.90970028571154005</v>
      </c>
      <c r="F688">
        <v>0.31932078522208801</v>
      </c>
      <c r="G688">
        <v>0.21974618658213199</v>
      </c>
      <c r="H688">
        <v>0.142681636898249</v>
      </c>
      <c r="I688">
        <v>0.123728248235142</v>
      </c>
      <c r="J688">
        <v>0.128450313710958</v>
      </c>
      <c r="K688">
        <v>8.1193656201061198E-2</v>
      </c>
      <c r="L688">
        <v>2991.0393497097102</v>
      </c>
      <c r="M688">
        <v>57.721323084247899</v>
      </c>
      <c r="N688">
        <v>52.108880671062103</v>
      </c>
      <c r="O688">
        <v>51.756532547574302</v>
      </c>
      <c r="P688">
        <v>-0.24048143906114999</v>
      </c>
      <c r="Q688">
        <v>0.137477873021669</v>
      </c>
      <c r="R688">
        <v>0.99086524141051302</v>
      </c>
      <c r="S688" t="s">
        <v>7305</v>
      </c>
      <c r="T688" t="s">
        <v>13232</v>
      </c>
      <c r="U688" t="s">
        <v>13232</v>
      </c>
      <c r="V688" t="s">
        <v>13232</v>
      </c>
      <c r="W688" t="s">
        <v>13903</v>
      </c>
      <c r="X688">
        <v>6</v>
      </c>
      <c r="Y688" t="s">
        <v>20441</v>
      </c>
      <c r="Z688" t="s">
        <v>26819</v>
      </c>
      <c r="AA688">
        <v>0.47874917602735528</v>
      </c>
      <c r="AB688" t="str">
        <f>HYPERLINK("Melting_Curves/meltCurve_G3V5T0_GSTZ1.pdf", "Melting_Curves/meltCurve_G3V5T0_GSTZ1.pdf")</f>
        <v>Melting_Curves/meltCurve_G3V5T0_GSTZ1.pdf</v>
      </c>
    </row>
    <row r="689" spans="1:28" x14ac:dyDescent="0.25">
      <c r="A689" t="s">
        <v>693</v>
      </c>
      <c r="B689">
        <v>0.99930955844802105</v>
      </c>
      <c r="C689">
        <v>1.1314416411752499</v>
      </c>
      <c r="D689">
        <v>1.05192247620538</v>
      </c>
      <c r="E689">
        <v>0.799771264816308</v>
      </c>
      <c r="F689">
        <v>0.38457341690276198</v>
      </c>
      <c r="G689">
        <v>0.20741114776047301</v>
      </c>
      <c r="H689">
        <v>0.13310314286993999</v>
      </c>
      <c r="I689">
        <v>0.12602405364205199</v>
      </c>
      <c r="J689">
        <v>0.119794898203293</v>
      </c>
      <c r="K689">
        <v>9.1304304259470698E-2</v>
      </c>
      <c r="L689">
        <v>1793.0142641438499</v>
      </c>
      <c r="M689">
        <v>34.634549665468299</v>
      </c>
      <c r="N689">
        <v>52.205024209694798</v>
      </c>
      <c r="O689">
        <v>51.597849912462799</v>
      </c>
      <c r="P689">
        <v>-0.14675721701531699</v>
      </c>
      <c r="Q689">
        <v>0.125459489896803</v>
      </c>
      <c r="R689">
        <v>0.98552802508445003</v>
      </c>
      <c r="S689" t="s">
        <v>7306</v>
      </c>
      <c r="T689" t="s">
        <v>13232</v>
      </c>
      <c r="U689" t="s">
        <v>13232</v>
      </c>
      <c r="V689" t="s">
        <v>13232</v>
      </c>
      <c r="W689" t="s">
        <v>13904</v>
      </c>
      <c r="X689">
        <v>22</v>
      </c>
      <c r="Y689" t="s">
        <v>20442</v>
      </c>
      <c r="Z689" t="s">
        <v>26820</v>
      </c>
      <c r="AA689">
        <v>0.47273549522174629</v>
      </c>
      <c r="AB689" t="str">
        <f>HYPERLINK("Melting_Curves/meltCurve_G3V5V3_NEMF.pdf", "Melting_Curves/meltCurve_G3V5V3_NEMF.pdf")</f>
        <v>Melting_Curves/meltCurve_G3V5V3_NEMF.pdf</v>
      </c>
    </row>
    <row r="690" spans="1:28" x14ac:dyDescent="0.25">
      <c r="A690" t="s">
        <v>694</v>
      </c>
      <c r="B690">
        <v>0.99930955844802105</v>
      </c>
      <c r="C690">
        <v>1.1758806233231101</v>
      </c>
      <c r="D690">
        <v>1.11897282771464</v>
      </c>
      <c r="E690">
        <v>1.1486483328771799</v>
      </c>
      <c r="F690">
        <v>1.1455627690095</v>
      </c>
      <c r="G690">
        <v>0.89989652526896102</v>
      </c>
      <c r="H690">
        <v>0.75547966875983297</v>
      </c>
      <c r="I690">
        <v>0.60747962242043496</v>
      </c>
      <c r="J690">
        <v>0.66010447595292598</v>
      </c>
      <c r="K690">
        <v>0.55780619808058096</v>
      </c>
      <c r="L690">
        <v>2015.29428606027</v>
      </c>
      <c r="M690">
        <v>33.640959780036198</v>
      </c>
      <c r="O690">
        <v>59.695472406714401</v>
      </c>
      <c r="P690">
        <v>-5.7361562806876598E-2</v>
      </c>
      <c r="Q690">
        <v>0.59285211023725004</v>
      </c>
      <c r="R690">
        <v>0.81891937240641899</v>
      </c>
      <c r="S690" t="s">
        <v>7307</v>
      </c>
      <c r="T690" t="s">
        <v>13232</v>
      </c>
      <c r="U690" t="s">
        <v>13232</v>
      </c>
      <c r="V690" t="s">
        <v>13232</v>
      </c>
      <c r="W690" t="s">
        <v>13900</v>
      </c>
      <c r="X690">
        <v>1</v>
      </c>
      <c r="Y690" t="s">
        <v>20436</v>
      </c>
      <c r="Z690" t="s">
        <v>26821</v>
      </c>
      <c r="AA690">
        <v>0.8651238852409282</v>
      </c>
      <c r="AB690" t="str">
        <f>HYPERLINK("Melting_Curves/meltCurve_G3V5V7_HNRNPC.pdf", "Melting_Curves/meltCurve_G3V5V7_HNRNPC.pdf")</f>
        <v>Melting_Curves/meltCurve_G3V5V7_HNRNPC.pdf</v>
      </c>
    </row>
    <row r="691" spans="1:28" x14ac:dyDescent="0.25">
      <c r="A691" t="s">
        <v>695</v>
      </c>
      <c r="B691">
        <v>0.99930955844802105</v>
      </c>
      <c r="C691">
        <v>1.13423983938461</v>
      </c>
      <c r="D691">
        <v>0.93516189984112297</v>
      </c>
      <c r="E691">
        <v>1.0483352440876199</v>
      </c>
      <c r="F691">
        <v>0.89974848917935801</v>
      </c>
      <c r="G691">
        <v>0.86867971354943996</v>
      </c>
      <c r="H691">
        <v>0.78331486137572903</v>
      </c>
      <c r="I691">
        <v>0.75978034487660895</v>
      </c>
      <c r="J691">
        <v>0.58222852574925399</v>
      </c>
      <c r="K691">
        <v>0.300225826842415</v>
      </c>
      <c r="L691">
        <v>952.66990780330696</v>
      </c>
      <c r="M691">
        <v>14.103473004023099</v>
      </c>
      <c r="N691">
        <v>67.548607335465206</v>
      </c>
      <c r="O691">
        <v>66.234058032273694</v>
      </c>
      <c r="P691">
        <v>-5.3240310235317903E-2</v>
      </c>
      <c r="Q691">
        <v>0</v>
      </c>
      <c r="R691">
        <v>0.90415531700681295</v>
      </c>
      <c r="S691" t="s">
        <v>7308</v>
      </c>
      <c r="T691" t="s">
        <v>13232</v>
      </c>
      <c r="U691" t="s">
        <v>13232</v>
      </c>
      <c r="V691" t="s">
        <v>13232</v>
      </c>
      <c r="W691" t="s">
        <v>13905</v>
      </c>
      <c r="X691">
        <v>18</v>
      </c>
      <c r="Y691" t="s">
        <v>20443</v>
      </c>
      <c r="Z691" t="s">
        <v>26822</v>
      </c>
      <c r="AA691">
        <v>0.85867133363098092</v>
      </c>
      <c r="AB691" t="str">
        <f>HYPERLINK("Melting_Curves/meltCurve_G3XA91_METAP2.pdf", "Melting_Curves/meltCurve_G3XA91_METAP2.pdf")</f>
        <v>Melting_Curves/meltCurve_G3XA91_METAP2.pdf</v>
      </c>
    </row>
    <row r="692" spans="1:28" x14ac:dyDescent="0.25">
      <c r="A692" t="s">
        <v>696</v>
      </c>
      <c r="B692">
        <v>0.99930955844802105</v>
      </c>
      <c r="C692">
        <v>0.96313531176002498</v>
      </c>
      <c r="D692">
        <v>0.94796182407880802</v>
      </c>
      <c r="E692">
        <v>0.71883942070353402</v>
      </c>
      <c r="F692">
        <v>0.49530708237368898</v>
      </c>
      <c r="G692">
        <v>0.379940167124307</v>
      </c>
      <c r="H692">
        <v>0.344797014984634</v>
      </c>
      <c r="I692">
        <v>0.38361950821232199</v>
      </c>
      <c r="J692">
        <v>0.35584227318751299</v>
      </c>
      <c r="K692">
        <v>0.28522800894808098</v>
      </c>
      <c r="L692">
        <v>1210.05086949324</v>
      </c>
      <c r="M692">
        <v>23.9270947422429</v>
      </c>
      <c r="N692">
        <v>53.059764496392603</v>
      </c>
      <c r="O692">
        <v>50.223130515447799</v>
      </c>
      <c r="P692">
        <v>-7.8951576247319299E-2</v>
      </c>
      <c r="Q692">
        <v>0.33713108139912401</v>
      </c>
      <c r="R692">
        <v>0.99240358884817104</v>
      </c>
      <c r="S692" t="s">
        <v>7309</v>
      </c>
      <c r="T692" t="s">
        <v>13232</v>
      </c>
      <c r="U692" t="s">
        <v>13232</v>
      </c>
      <c r="V692" t="s">
        <v>13232</v>
      </c>
      <c r="W692" t="s">
        <v>13906</v>
      </c>
      <c r="X692">
        <v>40</v>
      </c>
      <c r="Y692" t="s">
        <v>20444</v>
      </c>
      <c r="Z692" t="s">
        <v>26823</v>
      </c>
      <c r="AA692">
        <v>0.57723655674552909</v>
      </c>
      <c r="AB692" t="str">
        <f>HYPERLINK("Melting_Curves/meltCurve_G3XAA0_ARID1B.pdf", "Melting_Curves/meltCurve_G3XAA0_ARID1B.pdf")</f>
        <v>Melting_Curves/meltCurve_G3XAA0_ARID1B.pdf</v>
      </c>
    </row>
    <row r="693" spans="1:28" x14ac:dyDescent="0.25">
      <c r="A693" t="s">
        <v>697</v>
      </c>
      <c r="B693">
        <v>0.99930955844802105</v>
      </c>
      <c r="C693">
        <v>0.90850250528334697</v>
      </c>
      <c r="D693">
        <v>0.94403628370835702</v>
      </c>
      <c r="E693">
        <v>1.04751466787951</v>
      </c>
      <c r="F693">
        <v>0.99982594973013195</v>
      </c>
      <c r="G693">
        <v>0.34659193179071301</v>
      </c>
      <c r="H693">
        <v>0.203890962250309</v>
      </c>
      <c r="I693">
        <v>0.181469356053266</v>
      </c>
      <c r="J693">
        <v>0.17240487990505399</v>
      </c>
      <c r="K693">
        <v>0.12993771893310099</v>
      </c>
      <c r="L693">
        <v>4918.9452934183601</v>
      </c>
      <c r="M693">
        <v>87.612733927600601</v>
      </c>
      <c r="N693">
        <v>56.414988919859603</v>
      </c>
      <c r="O693">
        <v>56.114950529631201</v>
      </c>
      <c r="P693">
        <v>-0.32332276266622001</v>
      </c>
      <c r="Q693">
        <v>0.171662000553927</v>
      </c>
      <c r="R693">
        <v>0.98916360237149603</v>
      </c>
      <c r="S693" t="s">
        <v>7310</v>
      </c>
      <c r="T693" t="s">
        <v>13232</v>
      </c>
      <c r="U693" t="s">
        <v>13232</v>
      </c>
      <c r="V693" t="s">
        <v>13232</v>
      </c>
      <c r="W693" t="s">
        <v>13907</v>
      </c>
      <c r="X693">
        <v>21</v>
      </c>
      <c r="Y693" t="s">
        <v>20445</v>
      </c>
      <c r="Z693" t="s">
        <v>26824</v>
      </c>
      <c r="AA693">
        <v>0.6180889275319793</v>
      </c>
      <c r="AB693" t="str">
        <f>HYPERLINK("Melting_Curves/meltCurve_G3XAH0_SEPT5.pdf", "Melting_Curves/meltCurve_G3XAH0_SEPT5.pdf")</f>
        <v>Melting_Curves/meltCurve_G3XAH0_SEPT5.pdf</v>
      </c>
    </row>
    <row r="694" spans="1:28" x14ac:dyDescent="0.25">
      <c r="A694" t="s">
        <v>698</v>
      </c>
      <c r="B694">
        <v>0.99930955844802105</v>
      </c>
      <c r="C694">
        <v>1.1525261849561199</v>
      </c>
      <c r="D694">
        <v>1.2061191960978801</v>
      </c>
      <c r="E694">
        <v>1.1421594014060299</v>
      </c>
      <c r="F694">
        <v>1.0837163791371101</v>
      </c>
      <c r="G694">
        <v>0.93096446965581203</v>
      </c>
      <c r="H694">
        <v>0.83165139219003004</v>
      </c>
      <c r="I694">
        <v>0.95230506455958597</v>
      </c>
      <c r="J694">
        <v>0.92172300681293795</v>
      </c>
      <c r="K694">
        <v>0.80379993950203799</v>
      </c>
      <c r="L694">
        <v>14235.5691457583</v>
      </c>
      <c r="M694">
        <v>250</v>
      </c>
      <c r="O694">
        <v>56.938632805630697</v>
      </c>
      <c r="P694">
        <v>-0.13460780430948399</v>
      </c>
      <c r="Q694">
        <v>0.87736985099050002</v>
      </c>
      <c r="R694">
        <v>0.37510096913732199</v>
      </c>
      <c r="S694" t="s">
        <v>7311</v>
      </c>
      <c r="T694" t="s">
        <v>13232</v>
      </c>
      <c r="U694" t="s">
        <v>13232</v>
      </c>
      <c r="V694" t="s">
        <v>13232</v>
      </c>
      <c r="W694" t="s">
        <v>13908</v>
      </c>
      <c r="X694">
        <v>1</v>
      </c>
      <c r="Y694" t="s">
        <v>20446</v>
      </c>
      <c r="Z694" t="s">
        <v>26825</v>
      </c>
      <c r="AA694">
        <v>0.94663656916369876</v>
      </c>
      <c r="AB694" t="str">
        <f>HYPERLINK("Melting_Curves/meltCurve_G3XAI9_FAM133B.pdf", "Melting_Curves/meltCurve_G3XAI9_FAM133B.pdf")</f>
        <v>Melting_Curves/meltCurve_G3XAI9_FAM133B.pdf</v>
      </c>
    </row>
    <row r="695" spans="1:28" x14ac:dyDescent="0.25">
      <c r="A695" t="s">
        <v>699</v>
      </c>
      <c r="B695">
        <v>0.99930955844802105</v>
      </c>
      <c r="C695">
        <v>1.08636409039149</v>
      </c>
      <c r="D695">
        <v>1.12367401534384</v>
      </c>
      <c r="E695">
        <v>1.1284312699802399</v>
      </c>
      <c r="F695">
        <v>0.99633397086409203</v>
      </c>
      <c r="G695">
        <v>0.93294371978053503</v>
      </c>
      <c r="H695">
        <v>0.93094962629278799</v>
      </c>
      <c r="I695">
        <v>1.01406187877381</v>
      </c>
      <c r="J695">
        <v>0.94874953240128301</v>
      </c>
      <c r="K695">
        <v>0.81407463279700099</v>
      </c>
      <c r="L695">
        <v>2311.7600527568202</v>
      </c>
      <c r="M695">
        <v>31.546967856577702</v>
      </c>
      <c r="Q695">
        <v>0</v>
      </c>
      <c r="R695">
        <v>0.43084598438656102</v>
      </c>
      <c r="S695" t="s">
        <v>7312</v>
      </c>
      <c r="T695" t="s">
        <v>13232</v>
      </c>
      <c r="U695" t="s">
        <v>13232</v>
      </c>
      <c r="V695" t="s">
        <v>13232</v>
      </c>
      <c r="W695" t="s">
        <v>13909</v>
      </c>
      <c r="X695">
        <v>8</v>
      </c>
      <c r="Y695" t="s">
        <v>20447</v>
      </c>
      <c r="Z695" t="s">
        <v>26826</v>
      </c>
      <c r="AA695">
        <v>0.9863337947978249</v>
      </c>
      <c r="AB695" t="str">
        <f>HYPERLINK("Melting_Curves/meltCurve_G3XAL9_SLC12A2.pdf", "Melting_Curves/meltCurve_G3XAL9_SLC12A2.pdf")</f>
        <v>Melting_Curves/meltCurve_G3XAL9_SLC12A2.pdf</v>
      </c>
    </row>
    <row r="696" spans="1:28" x14ac:dyDescent="0.25">
      <c r="A696" t="s">
        <v>700</v>
      </c>
      <c r="B696">
        <v>0.99930955844802105</v>
      </c>
      <c r="C696">
        <v>0.98121499291960002</v>
      </c>
      <c r="D696">
        <v>0.94371556596081396</v>
      </c>
      <c r="E696">
        <v>0.74738677090049499</v>
      </c>
      <c r="F696">
        <v>0.46429804706050298</v>
      </c>
      <c r="G696">
        <v>0.35959624212211799</v>
      </c>
      <c r="H696">
        <v>0.30020232886043802</v>
      </c>
      <c r="I696">
        <v>0.30825054606487301</v>
      </c>
      <c r="J696">
        <v>0.285790798700503</v>
      </c>
      <c r="K696">
        <v>0.239027783085107</v>
      </c>
      <c r="L696">
        <v>1220.3974761936799</v>
      </c>
      <c r="M696">
        <v>23.901917462645699</v>
      </c>
      <c r="N696">
        <v>52.872652101303601</v>
      </c>
      <c r="O696">
        <v>50.7051662017276</v>
      </c>
      <c r="P696">
        <v>-8.48746825371543E-2</v>
      </c>
      <c r="Q696">
        <v>0.27980381277190802</v>
      </c>
      <c r="R696">
        <v>0.99538994254984803</v>
      </c>
      <c r="S696" t="s">
        <v>7313</v>
      </c>
      <c r="T696" t="s">
        <v>13232</v>
      </c>
      <c r="U696" t="s">
        <v>13232</v>
      </c>
      <c r="V696" t="s">
        <v>13232</v>
      </c>
      <c r="W696" t="s">
        <v>13910</v>
      </c>
      <c r="X696">
        <v>25</v>
      </c>
      <c r="Y696" t="s">
        <v>20448</v>
      </c>
      <c r="Z696" t="s">
        <v>26827</v>
      </c>
      <c r="AA696">
        <v>0.55239044020983241</v>
      </c>
      <c r="AB696" t="str">
        <f>HYPERLINK("Melting_Curves/meltCurve_G5E948_MAP4K4.pdf", "Melting_Curves/meltCurve_G5E948_MAP4K4.pdf")</f>
        <v>Melting_Curves/meltCurve_G5E948_MAP4K4.pdf</v>
      </c>
    </row>
    <row r="697" spans="1:28" x14ac:dyDescent="0.25">
      <c r="A697" t="s">
        <v>701</v>
      </c>
      <c r="B697">
        <v>0.99930955844802105</v>
      </c>
      <c r="C697">
        <v>0.98412959078964102</v>
      </c>
      <c r="D697">
        <v>1.21207408020622</v>
      </c>
      <c r="E697">
        <v>1.0219313643528201</v>
      </c>
      <c r="F697">
        <v>0.86475367259374303</v>
      </c>
      <c r="G697">
        <v>0.99472196201965302</v>
      </c>
      <c r="H697">
        <v>0.87466275701248097</v>
      </c>
      <c r="I697">
        <v>0.91545284218615097</v>
      </c>
      <c r="J697">
        <v>1.04146057843102</v>
      </c>
      <c r="K697">
        <v>0.73952234393661098</v>
      </c>
      <c r="L697">
        <v>15000</v>
      </c>
      <c r="M697">
        <v>213.242200068925</v>
      </c>
      <c r="Q697">
        <v>0</v>
      </c>
      <c r="R697">
        <v>0.384949841863098</v>
      </c>
      <c r="S697" t="s">
        <v>7314</v>
      </c>
      <c r="T697" t="s">
        <v>13232</v>
      </c>
      <c r="U697" t="s">
        <v>13232</v>
      </c>
      <c r="V697" t="s">
        <v>13232</v>
      </c>
      <c r="W697" t="s">
        <v>13911</v>
      </c>
      <c r="X697">
        <v>2</v>
      </c>
      <c r="Y697" t="s">
        <v>20449</v>
      </c>
      <c r="Z697" t="s">
        <v>26828</v>
      </c>
      <c r="AA697">
        <v>0.9967469300769185</v>
      </c>
      <c r="AB697" t="str">
        <f>HYPERLINK("Melting_Curves/meltCurve_G5E953_MTMR3.pdf", "Melting_Curves/meltCurve_G5E953_MTMR3.pdf")</f>
        <v>Melting_Curves/meltCurve_G5E953_MTMR3.pdf</v>
      </c>
    </row>
    <row r="698" spans="1:28" x14ac:dyDescent="0.25">
      <c r="A698" t="s">
        <v>702</v>
      </c>
      <c r="B698">
        <v>0.99930955844802105</v>
      </c>
      <c r="C698">
        <v>0.77121369907586801</v>
      </c>
      <c r="D698">
        <v>0.38114073461794301</v>
      </c>
      <c r="E698">
        <v>0.28404219006909298</v>
      </c>
      <c r="F698">
        <v>0.17821018403741901</v>
      </c>
      <c r="G698">
        <v>0.13180419247023401</v>
      </c>
      <c r="H698">
        <v>8.4277362602449807E-2</v>
      </c>
      <c r="I698">
        <v>7.4824896482422201E-2</v>
      </c>
      <c r="J698">
        <v>6.4557670142164306E-2</v>
      </c>
      <c r="K698">
        <v>5.2577009114184198E-2</v>
      </c>
      <c r="L698">
        <v>875.56143723999401</v>
      </c>
      <c r="M698">
        <v>19.410968710002301</v>
      </c>
      <c r="N698">
        <v>45.570676476578797</v>
      </c>
      <c r="O698">
        <v>44.635981378563898</v>
      </c>
      <c r="P698">
        <v>-9.8970006870911204E-2</v>
      </c>
      <c r="Q698">
        <v>8.9697948917840498E-2</v>
      </c>
      <c r="R698">
        <v>0.97735380507967395</v>
      </c>
      <c r="S698" t="s">
        <v>7315</v>
      </c>
      <c r="T698" t="s">
        <v>13232</v>
      </c>
      <c r="U698" t="s">
        <v>13232</v>
      </c>
      <c r="V698" t="s">
        <v>13232</v>
      </c>
      <c r="W698" t="s">
        <v>13442</v>
      </c>
      <c r="X698">
        <v>17</v>
      </c>
      <c r="Y698" t="s">
        <v>20450</v>
      </c>
      <c r="Z698" t="s">
        <v>26829</v>
      </c>
      <c r="AA698">
        <v>0.26097196211697649</v>
      </c>
      <c r="AB698" t="str">
        <f>HYPERLINK("Melting_Curves/meltCurve_G5E9A6_USP11.pdf", "Melting_Curves/meltCurve_G5E9A6_USP11.pdf")</f>
        <v>Melting_Curves/meltCurve_G5E9A6_USP11.pdf</v>
      </c>
    </row>
    <row r="699" spans="1:28" x14ac:dyDescent="0.25">
      <c r="A699" t="s">
        <v>703</v>
      </c>
      <c r="B699">
        <v>0.99930955844802105</v>
      </c>
      <c r="C699">
        <v>0.85510440405378796</v>
      </c>
      <c r="D699">
        <v>0.69913862999805898</v>
      </c>
      <c r="E699">
        <v>0.59900678654457296</v>
      </c>
      <c r="F699">
        <v>0.38373864605228802</v>
      </c>
      <c r="G699">
        <v>0.23037935277819999</v>
      </c>
      <c r="H699">
        <v>0.20107976417307599</v>
      </c>
      <c r="I699">
        <v>0.227823703946406</v>
      </c>
      <c r="J699">
        <v>0.206964630638065</v>
      </c>
      <c r="K699">
        <v>0.163108968550054</v>
      </c>
      <c r="L699">
        <v>613.05083261874802</v>
      </c>
      <c r="M699">
        <v>12.4953279234251</v>
      </c>
      <c r="N699">
        <v>50.549570189463203</v>
      </c>
      <c r="O699">
        <v>47.856628013918801</v>
      </c>
      <c r="P699">
        <v>-5.5246462537680598E-2</v>
      </c>
      <c r="Q699">
        <v>0.153807006595541</v>
      </c>
      <c r="R699">
        <v>0.98312694518489996</v>
      </c>
      <c r="S699" t="s">
        <v>7316</v>
      </c>
      <c r="T699" t="s">
        <v>13232</v>
      </c>
      <c r="U699" t="s">
        <v>13232</v>
      </c>
      <c r="V699" t="s">
        <v>13232</v>
      </c>
      <c r="W699" t="s">
        <v>13912</v>
      </c>
      <c r="X699">
        <v>1</v>
      </c>
      <c r="Y699" t="s">
        <v>20451</v>
      </c>
      <c r="Z699" t="s">
        <v>26830</v>
      </c>
      <c r="AA699">
        <v>0.43835059539111187</v>
      </c>
      <c r="AB699" t="str">
        <f>HYPERLINK("Melting_Curves/meltCurve_G5E9A7_DMWD.pdf", "Melting_Curves/meltCurve_G5E9A7_DMWD.pdf")</f>
        <v>Melting_Curves/meltCurve_G5E9A7_DMWD.pdf</v>
      </c>
    </row>
    <row r="700" spans="1:28" x14ac:dyDescent="0.25">
      <c r="A700" t="s">
        <v>704</v>
      </c>
      <c r="B700">
        <v>0.99930955844802105</v>
      </c>
      <c r="C700">
        <v>0.98761095439037405</v>
      </c>
      <c r="D700">
        <v>0.94861851971474198</v>
      </c>
      <c r="E700">
        <v>0.95050614301904901</v>
      </c>
      <c r="F700">
        <v>0.78087836249585996</v>
      </c>
      <c r="G700">
        <v>0.71586316302373698</v>
      </c>
      <c r="H700">
        <v>0.619407301814209</v>
      </c>
      <c r="I700">
        <v>0.73975410719698298</v>
      </c>
      <c r="J700">
        <v>0.81249996750974396</v>
      </c>
      <c r="K700">
        <v>0.62011406157272497</v>
      </c>
      <c r="L700">
        <v>2195.80739740533</v>
      </c>
      <c r="M700">
        <v>42.389570825260101</v>
      </c>
      <c r="O700">
        <v>51.6857658423164</v>
      </c>
      <c r="P700">
        <v>-6.1523278080635402E-2</v>
      </c>
      <c r="Q700">
        <v>0.69993822432653696</v>
      </c>
      <c r="R700">
        <v>0.84468309771076699</v>
      </c>
      <c r="S700" t="s">
        <v>7317</v>
      </c>
      <c r="T700" t="s">
        <v>13232</v>
      </c>
      <c r="U700" t="s">
        <v>13232</v>
      </c>
      <c r="V700" t="s">
        <v>13232</v>
      </c>
      <c r="W700" t="s">
        <v>13913</v>
      </c>
      <c r="X700">
        <v>2</v>
      </c>
      <c r="Y700" t="s">
        <v>20452</v>
      </c>
      <c r="Z700" t="s">
        <v>26831</v>
      </c>
      <c r="AA700">
        <v>0.81892470681253571</v>
      </c>
      <c r="AB700" t="str">
        <f>HYPERLINK("Melting_Curves/meltCurve_G5E9B5_TFPT.pdf", "Melting_Curves/meltCurve_G5E9B5_TFPT.pdf")</f>
        <v>Melting_Curves/meltCurve_G5E9B5_TFPT.pdf</v>
      </c>
    </row>
    <row r="701" spans="1:28" x14ac:dyDescent="0.25">
      <c r="A701" t="s">
        <v>705</v>
      </c>
      <c r="B701">
        <v>0.99930955844802105</v>
      </c>
      <c r="C701">
        <v>1.0238651435717201</v>
      </c>
      <c r="D701">
        <v>0.98157620546836499</v>
      </c>
      <c r="E701">
        <v>0.48526629497941198</v>
      </c>
      <c r="F701">
        <v>0.227714022317448</v>
      </c>
      <c r="G701">
        <v>0.177315952291553</v>
      </c>
      <c r="H701">
        <v>0.12557069604795701</v>
      </c>
      <c r="I701">
        <v>0.12586875623753599</v>
      </c>
      <c r="J701">
        <v>0.12622573750827501</v>
      </c>
      <c r="K701">
        <v>9.3949102781884203E-2</v>
      </c>
      <c r="L701">
        <v>1826.04959151711</v>
      </c>
      <c r="M701">
        <v>36.824469009515603</v>
      </c>
      <c r="N701">
        <v>49.999785236970297</v>
      </c>
      <c r="O701">
        <v>49.442386902504801</v>
      </c>
      <c r="P701">
        <v>-0.16184106355376801</v>
      </c>
      <c r="Q701">
        <v>0.13081871183225</v>
      </c>
      <c r="R701">
        <v>0.99646853997879103</v>
      </c>
      <c r="S701" t="s">
        <v>7318</v>
      </c>
      <c r="T701" t="s">
        <v>13232</v>
      </c>
      <c r="U701" t="s">
        <v>13232</v>
      </c>
      <c r="V701" t="s">
        <v>13232</v>
      </c>
      <c r="W701" t="s">
        <v>13914</v>
      </c>
      <c r="X701">
        <v>27</v>
      </c>
      <c r="Y701" t="s">
        <v>20453</v>
      </c>
      <c r="Z701" t="s">
        <v>26832</v>
      </c>
      <c r="AA701">
        <v>0.41213099103747147</v>
      </c>
      <c r="AB701" t="str">
        <f>HYPERLINK("Melting_Curves/meltCurve_G5E9C8_SOS1.pdf", "Melting_Curves/meltCurve_G5E9C8_SOS1.pdf")</f>
        <v>Melting_Curves/meltCurve_G5E9C8_SOS1.pdf</v>
      </c>
    </row>
    <row r="702" spans="1:28" x14ac:dyDescent="0.25">
      <c r="A702" t="s">
        <v>706</v>
      </c>
      <c r="B702">
        <v>0.99930955844802105</v>
      </c>
      <c r="C702">
        <v>1.0173963641019801</v>
      </c>
      <c r="D702">
        <v>0.98205364544084695</v>
      </c>
      <c r="E702">
        <v>0.85505605139163499</v>
      </c>
      <c r="F702">
        <v>0.72663016923707002</v>
      </c>
      <c r="G702">
        <v>0.62772751878276301</v>
      </c>
      <c r="H702">
        <v>0.46930858666717601</v>
      </c>
      <c r="I702">
        <v>0.64767934802823901</v>
      </c>
      <c r="J702">
        <v>0.66997437912978897</v>
      </c>
      <c r="K702">
        <v>0.55802494418207704</v>
      </c>
      <c r="L702">
        <v>1364.86911295199</v>
      </c>
      <c r="M702">
        <v>26.5798301003422</v>
      </c>
      <c r="O702">
        <v>51.061811590919703</v>
      </c>
      <c r="P702">
        <v>-5.3556599373425398E-2</v>
      </c>
      <c r="Q702">
        <v>0.58845984875303803</v>
      </c>
      <c r="R702">
        <v>0.921503508564816</v>
      </c>
      <c r="S702" t="s">
        <v>7319</v>
      </c>
      <c r="T702" t="s">
        <v>13232</v>
      </c>
      <c r="U702" t="s">
        <v>13232</v>
      </c>
      <c r="V702" t="s">
        <v>13232</v>
      </c>
      <c r="W702" t="s">
        <v>13915</v>
      </c>
      <c r="X702">
        <v>23</v>
      </c>
      <c r="Y702" t="s">
        <v>20454</v>
      </c>
      <c r="Z702" t="s">
        <v>26833</v>
      </c>
      <c r="AA702">
        <v>0.74746563638739005</v>
      </c>
      <c r="AB702" t="str">
        <f>HYPERLINK("Melting_Curves/meltCurve_G5E9F3_CABIN1.pdf", "Melting_Curves/meltCurve_G5E9F3_CABIN1.pdf")</f>
        <v>Melting_Curves/meltCurve_G5E9F3_CABIN1.pdf</v>
      </c>
    </row>
    <row r="703" spans="1:28" x14ac:dyDescent="0.25">
      <c r="A703" t="s">
        <v>707</v>
      </c>
      <c r="B703">
        <v>0.99930955844802105</v>
      </c>
      <c r="C703">
        <v>1.2622319720422099</v>
      </c>
      <c r="D703">
        <v>1.2043392802997399</v>
      </c>
      <c r="E703">
        <v>1.1313945418538001</v>
      </c>
      <c r="F703">
        <v>1.02661789379793</v>
      </c>
      <c r="G703">
        <v>0.99635929416133595</v>
      </c>
      <c r="H703">
        <v>1.06430662794637</v>
      </c>
      <c r="I703">
        <v>1.1184734122561999</v>
      </c>
      <c r="J703">
        <v>1.2462047430091501</v>
      </c>
      <c r="K703">
        <v>1.0127788185959099</v>
      </c>
      <c r="L703">
        <v>10246.8873906265</v>
      </c>
      <c r="M703">
        <v>250</v>
      </c>
      <c r="O703">
        <v>40.984926643659499</v>
      </c>
      <c r="P703">
        <v>0.18006353262967101</v>
      </c>
      <c r="Q703">
        <v>1.1180782506421001</v>
      </c>
      <c r="R703">
        <v>0.13408712086184599</v>
      </c>
      <c r="S703" t="s">
        <v>7320</v>
      </c>
      <c r="T703" t="s">
        <v>13232</v>
      </c>
      <c r="U703" t="s">
        <v>13232</v>
      </c>
      <c r="V703" t="s">
        <v>13232</v>
      </c>
      <c r="W703" t="s">
        <v>13916</v>
      </c>
      <c r="X703">
        <v>4</v>
      </c>
      <c r="Y703" t="s">
        <v>20455</v>
      </c>
      <c r="Z703" t="s">
        <v>26834</v>
      </c>
      <c r="AA703">
        <v>1.114181548290754</v>
      </c>
      <c r="AB703" t="str">
        <f>HYPERLINK("Melting_Curves/meltCurve_G5EA02_C4orf21.pdf", "Melting_Curves/meltCurve_G5EA02_C4orf21.pdf")</f>
        <v>Melting_Curves/meltCurve_G5EA02_C4orf21.pdf</v>
      </c>
    </row>
    <row r="704" spans="1:28" x14ac:dyDescent="0.25">
      <c r="A704" t="s">
        <v>708</v>
      </c>
      <c r="B704">
        <v>0.99930955844802105</v>
      </c>
      <c r="C704">
        <v>1.0564386478739101</v>
      </c>
      <c r="D704">
        <v>1.00860600515702</v>
      </c>
      <c r="E704">
        <v>0.95221090122494401</v>
      </c>
      <c r="F704">
        <v>0.91116493043268798</v>
      </c>
      <c r="G704">
        <v>0.63507510834582803</v>
      </c>
      <c r="H704">
        <v>0.47042789373629901</v>
      </c>
      <c r="I704">
        <v>0.412507667844487</v>
      </c>
      <c r="J704">
        <v>0.36797182568847597</v>
      </c>
      <c r="K704">
        <v>0.320726693364835</v>
      </c>
      <c r="L704">
        <v>1216.40030796576</v>
      </c>
      <c r="M704">
        <v>21.389104460646301</v>
      </c>
      <c r="N704">
        <v>59.979444459020002</v>
      </c>
      <c r="O704">
        <v>56.379985142766998</v>
      </c>
      <c r="P704">
        <v>-6.3070083834991394E-2</v>
      </c>
      <c r="Q704">
        <v>0.33502561398696801</v>
      </c>
      <c r="R704">
        <v>0.99237093768298201</v>
      </c>
      <c r="S704" t="s">
        <v>7321</v>
      </c>
      <c r="T704" t="s">
        <v>13232</v>
      </c>
      <c r="U704" t="s">
        <v>13232</v>
      </c>
      <c r="V704" t="s">
        <v>13232</v>
      </c>
      <c r="W704" t="s">
        <v>13917</v>
      </c>
      <c r="X704">
        <v>4</v>
      </c>
      <c r="Y704" t="s">
        <v>20456</v>
      </c>
      <c r="Z704" t="s">
        <v>26835</v>
      </c>
      <c r="AA704">
        <v>0.71649894793173508</v>
      </c>
      <c r="AB704" t="str">
        <f>HYPERLINK("Melting_Curves/meltCurve_G5EA07_PWWP2A.pdf", "Melting_Curves/meltCurve_G5EA07_PWWP2A.pdf")</f>
        <v>Melting_Curves/meltCurve_G5EA07_PWWP2A.pdf</v>
      </c>
    </row>
    <row r="705" spans="1:28" x14ac:dyDescent="0.25">
      <c r="A705" t="s">
        <v>709</v>
      </c>
      <c r="B705">
        <v>0.99930955844802105</v>
      </c>
      <c r="C705">
        <v>0.99637957987186199</v>
      </c>
      <c r="D705">
        <v>0.94796068900645802</v>
      </c>
      <c r="E705">
        <v>0.64187434639166796</v>
      </c>
      <c r="F705">
        <v>0.26885632363774398</v>
      </c>
      <c r="G705">
        <v>0.16695667268459899</v>
      </c>
      <c r="H705">
        <v>0.100266023475083</v>
      </c>
      <c r="I705">
        <v>8.7421312810718299E-2</v>
      </c>
      <c r="J705">
        <v>7.7982967633065101E-2</v>
      </c>
      <c r="K705">
        <v>6.0876098023413601E-2</v>
      </c>
      <c r="L705">
        <v>1433.92412019771</v>
      </c>
      <c r="M705">
        <v>28.2856641521368</v>
      </c>
      <c r="N705">
        <v>51.032917733001298</v>
      </c>
      <c r="O705">
        <v>50.4430227295422</v>
      </c>
      <c r="P705">
        <v>-0.12819521116718599</v>
      </c>
      <c r="Q705">
        <v>8.5543749943000805E-2</v>
      </c>
      <c r="R705">
        <v>0.99786841112253</v>
      </c>
      <c r="S705" t="s">
        <v>7322</v>
      </c>
      <c r="T705" t="s">
        <v>13232</v>
      </c>
      <c r="U705" t="s">
        <v>13232</v>
      </c>
      <c r="V705" t="s">
        <v>13232</v>
      </c>
      <c r="W705" t="s">
        <v>13918</v>
      </c>
      <c r="X705">
        <v>39</v>
      </c>
      <c r="Y705" t="s">
        <v>20457</v>
      </c>
      <c r="Z705" t="s">
        <v>26836</v>
      </c>
      <c r="AA705">
        <v>0.41796596866267072</v>
      </c>
      <c r="AB705" t="str">
        <f>HYPERLINK("Melting_Curves/meltCurve_G5EA52_PDIA3.pdf", "Melting_Curves/meltCurve_G5EA52_PDIA3.pdf")</f>
        <v>Melting_Curves/meltCurve_G5EA52_PDIA3.pdf</v>
      </c>
    </row>
    <row r="706" spans="1:28" x14ac:dyDescent="0.25">
      <c r="A706" t="s">
        <v>710</v>
      </c>
      <c r="B706">
        <v>0.99930955844802105</v>
      </c>
      <c r="C706">
        <v>1.13364653616741</v>
      </c>
      <c r="D706">
        <v>1.0265756627218701</v>
      </c>
      <c r="E706">
        <v>0.87248884480518296</v>
      </c>
      <c r="F706">
        <v>0.70146073646053497</v>
      </c>
      <c r="G706">
        <v>0.52822459876641503</v>
      </c>
      <c r="H706">
        <v>0.57629723863235705</v>
      </c>
      <c r="I706">
        <v>0.56488950086876299</v>
      </c>
      <c r="J706">
        <v>0.59407206710090499</v>
      </c>
      <c r="K706">
        <v>0.47108354937915797</v>
      </c>
      <c r="L706">
        <v>1723.15105916989</v>
      </c>
      <c r="M706">
        <v>33.325767922457203</v>
      </c>
      <c r="O706">
        <v>51.521126416167199</v>
      </c>
      <c r="P706">
        <v>-7.3712924571914307E-2</v>
      </c>
      <c r="Q706">
        <v>0.54416553680816304</v>
      </c>
      <c r="R706">
        <v>0.94205145440372096</v>
      </c>
      <c r="S706" t="s">
        <v>7323</v>
      </c>
      <c r="T706" t="s">
        <v>13232</v>
      </c>
      <c r="U706" t="s">
        <v>13232</v>
      </c>
      <c r="V706" t="s">
        <v>13232</v>
      </c>
      <c r="W706" t="s">
        <v>13919</v>
      </c>
      <c r="X706">
        <v>3</v>
      </c>
      <c r="Y706" t="s">
        <v>20458</v>
      </c>
      <c r="Z706" t="s">
        <v>26837</v>
      </c>
      <c r="AA706">
        <v>0.7243862791830582</v>
      </c>
      <c r="AB706" t="str">
        <f>HYPERLINK("Melting_Curves/meltCurve_G8JL86_COBLL1.pdf", "Melting_Curves/meltCurve_G8JL86_COBLL1.pdf")</f>
        <v>Melting_Curves/meltCurve_G8JL86_COBLL1.pdf</v>
      </c>
    </row>
    <row r="707" spans="1:28" x14ac:dyDescent="0.25">
      <c r="A707" t="s">
        <v>711</v>
      </c>
      <c r="B707">
        <v>0.99930955844802105</v>
      </c>
      <c r="C707">
        <v>1.02833801140089</v>
      </c>
      <c r="D707">
        <v>0.94304809534857303</v>
      </c>
      <c r="E707">
        <v>0.86844069757645004</v>
      </c>
      <c r="F707">
        <v>0.64628197124193998</v>
      </c>
      <c r="G707">
        <v>0.39655988116486202</v>
      </c>
      <c r="H707">
        <v>0.24833242459926</v>
      </c>
      <c r="I707">
        <v>0.20807431825980799</v>
      </c>
      <c r="J707">
        <v>0.18398571195392999</v>
      </c>
      <c r="K707">
        <v>0.13844009025685899</v>
      </c>
      <c r="L707">
        <v>978.73931044890003</v>
      </c>
      <c r="M707">
        <v>18.0507563564049</v>
      </c>
      <c r="N707">
        <v>55.276169937758802</v>
      </c>
      <c r="O707">
        <v>53.569176112064099</v>
      </c>
      <c r="P707">
        <v>-7.1971867160428998E-2</v>
      </c>
      <c r="Q707">
        <v>0.145678892886205</v>
      </c>
      <c r="R707">
        <v>0.99735466748619594</v>
      </c>
      <c r="S707" t="s">
        <v>7324</v>
      </c>
      <c r="T707" t="s">
        <v>13232</v>
      </c>
      <c r="U707" t="s">
        <v>13232</v>
      </c>
      <c r="V707" t="s">
        <v>13232</v>
      </c>
      <c r="W707" t="s">
        <v>13920</v>
      </c>
      <c r="X707">
        <v>8</v>
      </c>
      <c r="Y707" t="s">
        <v>20459</v>
      </c>
      <c r="Z707" t="s">
        <v>26838</v>
      </c>
      <c r="AA707">
        <v>0.5641962993643248</v>
      </c>
      <c r="AB707" t="str">
        <f>HYPERLINK("Melting_Curves/meltCurve_G8JL95_MAU2.pdf", "Melting_Curves/meltCurve_G8JL95_MAU2.pdf")</f>
        <v>Melting_Curves/meltCurve_G8JL95_MAU2.pdf</v>
      </c>
    </row>
    <row r="708" spans="1:28" x14ac:dyDescent="0.25">
      <c r="A708" t="s">
        <v>712</v>
      </c>
      <c r="B708">
        <v>0.99930955844802105</v>
      </c>
      <c r="C708">
        <v>0.92588014789122197</v>
      </c>
      <c r="D708">
        <v>0.87054068607539403</v>
      </c>
      <c r="E708">
        <v>0.70113105024521605</v>
      </c>
      <c r="F708">
        <v>0.58399302876779902</v>
      </c>
      <c r="G708">
        <v>0.61432084618837102</v>
      </c>
      <c r="H708">
        <v>0.40450055792846601</v>
      </c>
      <c r="I708">
        <v>0.62062683875368296</v>
      </c>
      <c r="J708">
        <v>0.50324978918167496</v>
      </c>
      <c r="K708">
        <v>0.39240058563782299</v>
      </c>
      <c r="L708">
        <v>658.24336977372195</v>
      </c>
      <c r="M708">
        <v>13.3399939184826</v>
      </c>
      <c r="N708">
        <v>62.056916061243697</v>
      </c>
      <c r="O708">
        <v>48.274317153549603</v>
      </c>
      <c r="P708">
        <v>-3.6794330775550402E-2</v>
      </c>
      <c r="Q708">
        <v>0.46748477868064198</v>
      </c>
      <c r="R708">
        <v>0.89591435724249702</v>
      </c>
      <c r="S708" t="s">
        <v>7325</v>
      </c>
      <c r="T708" t="s">
        <v>13232</v>
      </c>
      <c r="U708" t="s">
        <v>13232</v>
      </c>
      <c r="V708" t="s">
        <v>13232</v>
      </c>
      <c r="W708" t="s">
        <v>13921</v>
      </c>
      <c r="X708">
        <v>2</v>
      </c>
      <c r="Y708" t="s">
        <v>20460</v>
      </c>
      <c r="Z708" t="s">
        <v>26839</v>
      </c>
      <c r="AA708">
        <v>0.64936094272464928</v>
      </c>
      <c r="AB708" t="str">
        <f>HYPERLINK("Melting_Curves/meltCurve_G8JL98_TDG.pdf", "Melting_Curves/meltCurve_G8JL98_TDG.pdf")</f>
        <v>Melting_Curves/meltCurve_G8JL98_TDG.pdf</v>
      </c>
    </row>
    <row r="709" spans="1:28" x14ac:dyDescent="0.25">
      <c r="A709" t="s">
        <v>713</v>
      </c>
      <c r="B709">
        <v>0.99930955844802105</v>
      </c>
      <c r="C709">
        <v>1.07757340751793</v>
      </c>
      <c r="D709">
        <v>0.88225239035119696</v>
      </c>
      <c r="E709">
        <v>0.49545479686919303</v>
      </c>
      <c r="F709">
        <v>0.31946964781258802</v>
      </c>
      <c r="G709">
        <v>0.26421077343124499</v>
      </c>
      <c r="H709">
        <v>0.197481188886489</v>
      </c>
      <c r="I709">
        <v>0.19137919526844299</v>
      </c>
      <c r="J709">
        <v>0.161886991029978</v>
      </c>
      <c r="K709">
        <v>0.12848582096934999</v>
      </c>
      <c r="L709">
        <v>1236.7768809260799</v>
      </c>
      <c r="M709">
        <v>25.084586690831699</v>
      </c>
      <c r="N709">
        <v>50.205101438284302</v>
      </c>
      <c r="O709">
        <v>48.994113810755799</v>
      </c>
      <c r="P709">
        <v>-0.10480348670942501</v>
      </c>
      <c r="Q709">
        <v>0.18122058079704401</v>
      </c>
      <c r="R709">
        <v>0.98657545624693299</v>
      </c>
      <c r="S709" t="s">
        <v>7326</v>
      </c>
      <c r="T709" t="s">
        <v>13232</v>
      </c>
      <c r="U709" t="s">
        <v>13232</v>
      </c>
      <c r="V709" t="s">
        <v>13232</v>
      </c>
      <c r="W709" t="s">
        <v>13922</v>
      </c>
      <c r="X709">
        <v>19</v>
      </c>
      <c r="Y709" t="s">
        <v>20461</v>
      </c>
      <c r="Z709" t="s">
        <v>26840</v>
      </c>
      <c r="AA709">
        <v>0.44237979161539709</v>
      </c>
      <c r="AB709" t="str">
        <f>HYPERLINK("Melting_Curves/meltCurve_G8JLB3_PUS1.pdf", "Melting_Curves/meltCurve_G8JLB3_PUS1.pdf")</f>
        <v>Melting_Curves/meltCurve_G8JLB3_PUS1.pdf</v>
      </c>
    </row>
    <row r="710" spans="1:28" x14ac:dyDescent="0.25">
      <c r="A710" t="s">
        <v>714</v>
      </c>
      <c r="B710">
        <v>0.99930955844802105</v>
      </c>
      <c r="C710">
        <v>0.964515226931005</v>
      </c>
      <c r="D710">
        <v>0.80717799548492097</v>
      </c>
      <c r="E710">
        <v>0.65974728515995096</v>
      </c>
      <c r="F710">
        <v>0.49216896662811299</v>
      </c>
      <c r="G710">
        <v>0.32862064440298699</v>
      </c>
      <c r="H710">
        <v>0.28141137604323002</v>
      </c>
      <c r="I710">
        <v>0.311452908153941</v>
      </c>
      <c r="J710">
        <v>0.31234319933318699</v>
      </c>
      <c r="K710">
        <v>0.25599395622543603</v>
      </c>
      <c r="L710">
        <v>771.644973287472</v>
      </c>
      <c r="M710">
        <v>15.431644840600001</v>
      </c>
      <c r="N710">
        <v>52.567763865961801</v>
      </c>
      <c r="O710">
        <v>49.186920536936697</v>
      </c>
      <c r="P710">
        <v>-5.7698822567508697E-2</v>
      </c>
      <c r="Q710">
        <v>0.26442815611145398</v>
      </c>
      <c r="R710">
        <v>0.99140929491380503</v>
      </c>
      <c r="S710" t="s">
        <v>7327</v>
      </c>
      <c r="T710" t="s">
        <v>13232</v>
      </c>
      <c r="U710" t="s">
        <v>13232</v>
      </c>
      <c r="V710" t="s">
        <v>13232</v>
      </c>
      <c r="W710" t="s">
        <v>13923</v>
      </c>
      <c r="X710">
        <v>4</v>
      </c>
      <c r="Y710" t="s">
        <v>20462</v>
      </c>
      <c r="Z710" t="s">
        <v>26841</v>
      </c>
      <c r="AA710">
        <v>0.52639204485843871</v>
      </c>
      <c r="AB710" t="str">
        <f>HYPERLINK("Melting_Curves/meltCurve_G8JLE5_TIPIN.pdf", "Melting_Curves/meltCurve_G8JLE5_TIPIN.pdf")</f>
        <v>Melting_Curves/meltCurve_G8JLE5_TIPIN.pdf</v>
      </c>
    </row>
    <row r="711" spans="1:28" x14ac:dyDescent="0.25">
      <c r="A711" t="s">
        <v>715</v>
      </c>
      <c r="B711">
        <v>0.99930955844802105</v>
      </c>
      <c r="C711">
        <v>1.1044070050460699</v>
      </c>
      <c r="D711">
        <v>0.94990291458102105</v>
      </c>
      <c r="E711">
        <v>0.80575988495675499</v>
      </c>
      <c r="F711">
        <v>0.81199586458418804</v>
      </c>
      <c r="G711">
        <v>0.68884557415815495</v>
      </c>
      <c r="H711">
        <v>0.55232604284575304</v>
      </c>
      <c r="I711">
        <v>0.50793913691539305</v>
      </c>
      <c r="J711">
        <v>0.46075554238170102</v>
      </c>
      <c r="K711">
        <v>0.34390635161944</v>
      </c>
      <c r="L711">
        <v>530.83444254212895</v>
      </c>
      <c r="M711">
        <v>8.93062749978351</v>
      </c>
      <c r="N711">
        <v>63.515975192458903</v>
      </c>
      <c r="O711">
        <v>56.6861129677227</v>
      </c>
      <c r="P711">
        <v>-3.0818350853614201E-2</v>
      </c>
      <c r="Q711">
        <v>0.218121188790733</v>
      </c>
      <c r="R711">
        <v>0.95691169458942404</v>
      </c>
      <c r="S711" t="s">
        <v>7328</v>
      </c>
      <c r="T711" t="s">
        <v>13232</v>
      </c>
      <c r="U711" t="s">
        <v>13232</v>
      </c>
      <c r="V711" t="s">
        <v>13232</v>
      </c>
      <c r="W711" t="s">
        <v>13924</v>
      </c>
      <c r="X711">
        <v>3</v>
      </c>
      <c r="Y711" t="s">
        <v>20463</v>
      </c>
      <c r="Z711" t="s">
        <v>26842</v>
      </c>
      <c r="AA711">
        <v>0.72138710016464058</v>
      </c>
      <c r="AB711" t="str">
        <f>HYPERLINK("Melting_Curves/meltCurve_G8JLH2_CDC25B.pdf", "Melting_Curves/meltCurve_G8JLH2_CDC25B.pdf")</f>
        <v>Melting_Curves/meltCurve_G8JLH2_CDC25B.pdf</v>
      </c>
    </row>
    <row r="712" spans="1:28" x14ac:dyDescent="0.25">
      <c r="A712" t="s">
        <v>716</v>
      </c>
      <c r="B712">
        <v>0.99930955844802105</v>
      </c>
      <c r="C712">
        <v>1.02568254022955</v>
      </c>
      <c r="D712">
        <v>1.11497853784126</v>
      </c>
      <c r="E712">
        <v>0.96297854973030605</v>
      </c>
      <c r="F712">
        <v>0.69587611371928004</v>
      </c>
      <c r="G712">
        <v>0.39496546723352399</v>
      </c>
      <c r="H712">
        <v>0.14499449312051199</v>
      </c>
      <c r="I712">
        <v>0.11093318145005999</v>
      </c>
      <c r="J712">
        <v>9.1932347361508293E-2</v>
      </c>
      <c r="K712">
        <v>7.3325156915289E-2</v>
      </c>
      <c r="L712">
        <v>1314.2095950386099</v>
      </c>
      <c r="M712">
        <v>23.8420901068624</v>
      </c>
      <c r="N712">
        <v>55.497187463477403</v>
      </c>
      <c r="O712">
        <v>54.7380131136538</v>
      </c>
      <c r="P712">
        <v>-0.100776632438243</v>
      </c>
      <c r="Q712">
        <v>7.4540194431993195E-2</v>
      </c>
      <c r="R712">
        <v>0.98823886745658696</v>
      </c>
      <c r="S712" t="s">
        <v>7329</v>
      </c>
      <c r="T712" t="s">
        <v>13232</v>
      </c>
      <c r="U712" t="s">
        <v>13232</v>
      </c>
      <c r="V712" t="s">
        <v>13232</v>
      </c>
      <c r="W712" t="s">
        <v>13925</v>
      </c>
      <c r="X712">
        <v>10</v>
      </c>
      <c r="Y712" t="s">
        <v>20464</v>
      </c>
      <c r="Z712" t="s">
        <v>26843</v>
      </c>
      <c r="AA712">
        <v>0.55029974693661143</v>
      </c>
      <c r="AB712" t="str">
        <f>HYPERLINK("Melting_Curves/meltCurve_G8JLI5_WDR45.pdf", "Melting_Curves/meltCurve_G8JLI5_WDR45.pdf")</f>
        <v>Melting_Curves/meltCurve_G8JLI5_WDR45.pdf</v>
      </c>
    </row>
    <row r="713" spans="1:28" x14ac:dyDescent="0.25">
      <c r="A713" t="s">
        <v>717</v>
      </c>
      <c r="B713">
        <v>0.99930955844802105</v>
      </c>
      <c r="C713">
        <v>1.14582898621661</v>
      </c>
      <c r="D713">
        <v>1.0340535358885701</v>
      </c>
      <c r="E713">
        <v>0.96847177456884403</v>
      </c>
      <c r="F713">
        <v>0.76631170332179299</v>
      </c>
      <c r="G713">
        <v>0.61760687494153299</v>
      </c>
      <c r="H713">
        <v>0.60626609503245199</v>
      </c>
      <c r="I713">
        <v>0.59985359986616005</v>
      </c>
      <c r="J713">
        <v>0.69224861988622699</v>
      </c>
      <c r="K713">
        <v>0.50983704915589001</v>
      </c>
      <c r="L713">
        <v>2461.9679425122099</v>
      </c>
      <c r="M713">
        <v>46.801283339944703</v>
      </c>
      <c r="O713">
        <v>52.5089357155248</v>
      </c>
      <c r="P713">
        <v>-8.8502519467782897E-2</v>
      </c>
      <c r="Q713">
        <v>0.60281704940166603</v>
      </c>
      <c r="R713">
        <v>0.91300809989647902</v>
      </c>
      <c r="S713" t="s">
        <v>7330</v>
      </c>
      <c r="T713" t="s">
        <v>13232</v>
      </c>
      <c r="U713" t="s">
        <v>13232</v>
      </c>
      <c r="V713" t="s">
        <v>13232</v>
      </c>
      <c r="W713" t="s">
        <v>13926</v>
      </c>
      <c r="X713">
        <v>3</v>
      </c>
      <c r="Y713" t="s">
        <v>20465</v>
      </c>
      <c r="Z713" t="s">
        <v>26844</v>
      </c>
      <c r="AA713">
        <v>0.7707487583752467</v>
      </c>
      <c r="AB713" t="str">
        <f>HYPERLINK("Melting_Curves/meltCurve_G8JLK1_USE1.pdf", "Melting_Curves/meltCurve_G8JLK1_USE1.pdf")</f>
        <v>Melting_Curves/meltCurve_G8JLK1_USE1.pdf</v>
      </c>
    </row>
    <row r="714" spans="1:28" x14ac:dyDescent="0.25">
      <c r="A714" t="s">
        <v>718</v>
      </c>
      <c r="B714">
        <v>0.99930955844802105</v>
      </c>
      <c r="C714">
        <v>0.91412872165470505</v>
      </c>
      <c r="D714">
        <v>0.842799980630902</v>
      </c>
      <c r="E714">
        <v>0.78206569738297205</v>
      </c>
      <c r="F714">
        <v>0.71711050051105896</v>
      </c>
      <c r="G714">
        <v>0.45693704790686701</v>
      </c>
      <c r="H714">
        <v>0.23487463926074501</v>
      </c>
      <c r="I714">
        <v>0.193200975603422</v>
      </c>
      <c r="J714">
        <v>0.128156475144235</v>
      </c>
      <c r="K714">
        <v>9.4806003688916105E-2</v>
      </c>
      <c r="L714">
        <v>623.99824103758499</v>
      </c>
      <c r="M714">
        <v>11.1667403233798</v>
      </c>
      <c r="N714">
        <v>55.880091287860097</v>
      </c>
      <c r="O714">
        <v>54.1778459365513</v>
      </c>
      <c r="P714">
        <v>-5.1544572237105797E-2</v>
      </c>
      <c r="Q714">
        <v>0</v>
      </c>
      <c r="R714">
        <v>0.98601946521844197</v>
      </c>
      <c r="S714" t="s">
        <v>7331</v>
      </c>
      <c r="T714" t="s">
        <v>13232</v>
      </c>
      <c r="U714" t="s">
        <v>13232</v>
      </c>
      <c r="V714" t="s">
        <v>13232</v>
      </c>
      <c r="W714" t="s">
        <v>13927</v>
      </c>
      <c r="X714">
        <v>6</v>
      </c>
      <c r="Y714" t="s">
        <v>20466</v>
      </c>
      <c r="Z714" t="s">
        <v>26845</v>
      </c>
      <c r="AA714">
        <v>0.55064963966748881</v>
      </c>
      <c r="AB714" t="str">
        <f>HYPERLINK("Melting_Curves/meltCurve_G8JLK3_PACS2.pdf", "Melting_Curves/meltCurve_G8JLK3_PACS2.pdf")</f>
        <v>Melting_Curves/meltCurve_G8JLK3_PACS2.pdf</v>
      </c>
    </row>
    <row r="715" spans="1:28" x14ac:dyDescent="0.25">
      <c r="A715" t="s">
        <v>719</v>
      </c>
      <c r="B715">
        <v>0.99930955844802105</v>
      </c>
      <c r="C715">
        <v>0.92397745374212403</v>
      </c>
      <c r="D715">
        <v>0.83840787806025796</v>
      </c>
      <c r="E715">
        <v>0.73266547182168995</v>
      </c>
      <c r="F715">
        <v>0.44840868691545799</v>
      </c>
      <c r="G715">
        <v>0.20576345075628899</v>
      </c>
      <c r="H715">
        <v>0.103021035592085</v>
      </c>
      <c r="I715">
        <v>9.1238266061366896E-2</v>
      </c>
      <c r="J715">
        <v>8.2511990548323505E-2</v>
      </c>
      <c r="K715">
        <v>6.0577513595557103E-2</v>
      </c>
      <c r="L715">
        <v>825.73157173362495</v>
      </c>
      <c r="M715">
        <v>15.849278713971101</v>
      </c>
      <c r="N715">
        <v>52.351624298306902</v>
      </c>
      <c r="O715">
        <v>51.290751386916803</v>
      </c>
      <c r="P715">
        <v>-7.44141470326391E-2</v>
      </c>
      <c r="Q715">
        <v>3.6814806471224898E-2</v>
      </c>
      <c r="R715">
        <v>0.99226489765265202</v>
      </c>
      <c r="S715" t="s">
        <v>7332</v>
      </c>
      <c r="T715" t="s">
        <v>13232</v>
      </c>
      <c r="U715" t="s">
        <v>13232</v>
      </c>
      <c r="V715" t="s">
        <v>13232</v>
      </c>
      <c r="W715" t="s">
        <v>13928</v>
      </c>
      <c r="X715">
        <v>2</v>
      </c>
      <c r="Y715" t="s">
        <v>20467</v>
      </c>
      <c r="Z715" t="s">
        <v>26846</v>
      </c>
      <c r="AA715">
        <v>0.44497666961916871</v>
      </c>
      <c r="AB715" t="str">
        <f>HYPERLINK("Melting_Curves/meltCurve_G8JLL2_PPT2.pdf", "Melting_Curves/meltCurve_G8JLL2_PPT2.pdf")</f>
        <v>Melting_Curves/meltCurve_G8JLL2_PPT2.pdf</v>
      </c>
    </row>
    <row r="716" spans="1:28" x14ac:dyDescent="0.25">
      <c r="A716" t="s">
        <v>720</v>
      </c>
      <c r="B716">
        <v>0.99930955844802105</v>
      </c>
      <c r="C716">
        <v>1.04218361595326</v>
      </c>
      <c r="D716">
        <v>1.06644232368009</v>
      </c>
      <c r="E716">
        <v>0.96025980474692396</v>
      </c>
      <c r="F716">
        <v>0.85682242538964204</v>
      </c>
      <c r="G716">
        <v>0.62071225948461595</v>
      </c>
      <c r="H716">
        <v>0.54447229101352801</v>
      </c>
      <c r="I716">
        <v>0.55333592876229898</v>
      </c>
      <c r="J716">
        <v>0.54641249817559301</v>
      </c>
      <c r="K716">
        <v>0.46555099898005198</v>
      </c>
      <c r="L716">
        <v>1572.88287537729</v>
      </c>
      <c r="M716">
        <v>28.8387735033367</v>
      </c>
      <c r="O716">
        <v>54.280328305572901</v>
      </c>
      <c r="P716">
        <v>-6.3955829056511801E-2</v>
      </c>
      <c r="Q716">
        <v>0.51849313180263301</v>
      </c>
      <c r="R716">
        <v>0.97895362567997901</v>
      </c>
      <c r="S716" t="s">
        <v>7333</v>
      </c>
      <c r="T716" t="s">
        <v>13232</v>
      </c>
      <c r="U716" t="s">
        <v>13232</v>
      </c>
      <c r="V716" t="s">
        <v>13232</v>
      </c>
      <c r="W716" t="s">
        <v>13929</v>
      </c>
      <c r="X716">
        <v>26</v>
      </c>
      <c r="Y716" t="s">
        <v>20468</v>
      </c>
      <c r="Z716" t="s">
        <v>26847</v>
      </c>
      <c r="AA716">
        <v>0.75530103699352014</v>
      </c>
      <c r="AB716" t="str">
        <f>HYPERLINK("Melting_Curves/meltCurve_H0Y2S9_MPRIP.pdf", "Melting_Curves/meltCurve_H0Y2S9_MPRIP.pdf")</f>
        <v>Melting_Curves/meltCurve_H0Y2S9_MPRIP.pdf</v>
      </c>
    </row>
    <row r="717" spans="1:28" x14ac:dyDescent="0.25">
      <c r="A717" t="s">
        <v>721</v>
      </c>
      <c r="B717">
        <v>0.99930955844802105</v>
      </c>
      <c r="C717">
        <v>0.80427425541562403</v>
      </c>
      <c r="D717">
        <v>0.82112685082805204</v>
      </c>
      <c r="E717">
        <v>1.07145270871011</v>
      </c>
      <c r="F717">
        <v>0.779403826035035</v>
      </c>
      <c r="G717">
        <v>0.70457613557367404</v>
      </c>
      <c r="H717">
        <v>2.0660875012888198</v>
      </c>
      <c r="I717">
        <v>1.1385525187780301</v>
      </c>
      <c r="J717">
        <v>1.5602922124974199</v>
      </c>
      <c r="K717">
        <v>0.796184287004015</v>
      </c>
      <c r="L717">
        <v>2631.00115624411</v>
      </c>
      <c r="M717">
        <v>45.0579035828275</v>
      </c>
      <c r="O717">
        <v>58.276896020335997</v>
      </c>
      <c r="P717">
        <v>6.7726234638446195E-2</v>
      </c>
      <c r="Q717">
        <v>1.3503819599335301</v>
      </c>
      <c r="R717">
        <v>0.25416512152314302</v>
      </c>
      <c r="S717" t="s">
        <v>7334</v>
      </c>
      <c r="T717" t="s">
        <v>13232</v>
      </c>
      <c r="U717" t="s">
        <v>13232</v>
      </c>
      <c r="V717" t="s">
        <v>13232</v>
      </c>
      <c r="W717" t="s">
        <v>13713</v>
      </c>
      <c r="X717">
        <v>3</v>
      </c>
      <c r="Y717" t="s">
        <v>20252</v>
      </c>
      <c r="Z717" t="s">
        <v>26848</v>
      </c>
      <c r="AA717">
        <v>1.134479960242305</v>
      </c>
      <c r="AB717" t="str">
        <f>HYPERLINK("Melting_Curves/meltCurve_H0Y390_MACF1.pdf", "Melting_Curves/meltCurve_H0Y390_MACF1.pdf")</f>
        <v>Melting_Curves/meltCurve_H0Y390_MACF1.pdf</v>
      </c>
    </row>
    <row r="718" spans="1:28" x14ac:dyDescent="0.25">
      <c r="A718" t="s">
        <v>722</v>
      </c>
      <c r="B718">
        <v>0.99930955844802105</v>
      </c>
      <c r="C718">
        <v>1.02349512848056</v>
      </c>
      <c r="D718">
        <v>0.96443113458241203</v>
      </c>
      <c r="E718">
        <v>0.87354599918229903</v>
      </c>
      <c r="F718">
        <v>0.77527363121298598</v>
      </c>
      <c r="G718">
        <v>0.41661313715555998</v>
      </c>
      <c r="H718">
        <v>0.23138670618204801</v>
      </c>
      <c r="I718">
        <v>0.17001426897991001</v>
      </c>
      <c r="J718">
        <v>0.12862682394111599</v>
      </c>
      <c r="K718">
        <v>0.106099713567956</v>
      </c>
      <c r="L718">
        <v>1072.82291048978</v>
      </c>
      <c r="M718">
        <v>19.3268470167963</v>
      </c>
      <c r="N718">
        <v>56.1246867437305</v>
      </c>
      <c r="O718">
        <v>54.925424429884202</v>
      </c>
      <c r="P718">
        <v>-7.9574142014257596E-2</v>
      </c>
      <c r="Q718">
        <v>9.5459163457356999E-2</v>
      </c>
      <c r="R718">
        <v>0.99737119891840698</v>
      </c>
      <c r="S718" t="s">
        <v>7335</v>
      </c>
      <c r="T718" t="s">
        <v>13232</v>
      </c>
      <c r="U718" t="s">
        <v>13232</v>
      </c>
      <c r="V718" t="s">
        <v>13232</v>
      </c>
      <c r="W718" t="s">
        <v>13930</v>
      </c>
      <c r="X718">
        <v>3</v>
      </c>
      <c r="Y718" t="s">
        <v>20469</v>
      </c>
      <c r="Z718" t="s">
        <v>26849</v>
      </c>
      <c r="AA718">
        <v>0.57553975021942894</v>
      </c>
      <c r="AB718" t="str">
        <f>HYPERLINK("Melting_Curves/meltCurve_H0Y3A0_RPL35.pdf", "Melting_Curves/meltCurve_H0Y3A0_RPL35.pdf")</f>
        <v>Melting_Curves/meltCurve_H0Y3A0_RPL35.pdf</v>
      </c>
    </row>
    <row r="719" spans="1:28" x14ac:dyDescent="0.25">
      <c r="A719" t="s">
        <v>723</v>
      </c>
      <c r="B719">
        <v>0.99930955844802105</v>
      </c>
      <c r="C719">
        <v>0.92265527080243603</v>
      </c>
      <c r="D719">
        <v>0.91559845176041099</v>
      </c>
      <c r="E719">
        <v>0.80251752844912805</v>
      </c>
      <c r="F719">
        <v>0.74748077443704197</v>
      </c>
      <c r="G719">
        <v>0.52944049816737804</v>
      </c>
      <c r="H719">
        <v>0.40520117957577301</v>
      </c>
      <c r="I719">
        <v>0.45321778830862602</v>
      </c>
      <c r="J719">
        <v>0.36555629875905399</v>
      </c>
      <c r="K719">
        <v>0.26947627929135298</v>
      </c>
      <c r="L719">
        <v>531.58468803287894</v>
      </c>
      <c r="M719">
        <v>9.4970018396109399</v>
      </c>
      <c r="N719">
        <v>59.2066414041564</v>
      </c>
      <c r="O719">
        <v>53.660715498886802</v>
      </c>
      <c r="P719">
        <v>-3.5315407079123201E-2</v>
      </c>
      <c r="Q719">
        <v>0.20230485187293601</v>
      </c>
      <c r="R719">
        <v>0.97923941232508505</v>
      </c>
      <c r="S719" t="s">
        <v>7336</v>
      </c>
      <c r="T719" t="s">
        <v>13232</v>
      </c>
      <c r="U719" t="s">
        <v>13232</v>
      </c>
      <c r="V719" t="s">
        <v>13232</v>
      </c>
      <c r="W719" t="s">
        <v>13931</v>
      </c>
      <c r="X719">
        <v>6</v>
      </c>
      <c r="Y719" t="s">
        <v>20470</v>
      </c>
      <c r="Z719" t="s">
        <v>26850</v>
      </c>
      <c r="AA719">
        <v>0.64393023912736003</v>
      </c>
      <c r="AB719" t="str">
        <f>HYPERLINK("Melting_Curves/meltCurve_H0Y3K7_ABLIM1.pdf", "Melting_Curves/meltCurve_H0Y3K7_ABLIM1.pdf")</f>
        <v>Melting_Curves/meltCurve_H0Y3K7_ABLIM1.pdf</v>
      </c>
    </row>
    <row r="720" spans="1:28" x14ac:dyDescent="0.25">
      <c r="A720" t="s">
        <v>724</v>
      </c>
      <c r="B720">
        <v>0.99930955844802105</v>
      </c>
      <c r="C720">
        <v>1.1219657552511699</v>
      </c>
      <c r="D720">
        <v>0.89780230555190899</v>
      </c>
      <c r="E720">
        <v>0.77762979224218098</v>
      </c>
      <c r="F720">
        <v>0.70947547469822403</v>
      </c>
      <c r="G720">
        <v>0.64164562838509498</v>
      </c>
      <c r="H720">
        <v>0.644740740500649</v>
      </c>
      <c r="I720">
        <v>0.687930489342096</v>
      </c>
      <c r="J720">
        <v>0.67861596408117897</v>
      </c>
      <c r="K720">
        <v>0.55190113939102203</v>
      </c>
      <c r="L720">
        <v>1197.0253581689401</v>
      </c>
      <c r="M720">
        <v>24.4168722447892</v>
      </c>
      <c r="O720">
        <v>48.699225651355498</v>
      </c>
      <c r="P720">
        <v>-4.5074712390118898E-2</v>
      </c>
      <c r="Q720">
        <v>0.64040092369926105</v>
      </c>
      <c r="R720">
        <v>0.89258021065938498</v>
      </c>
      <c r="S720" t="s">
        <v>7337</v>
      </c>
      <c r="T720" t="s">
        <v>13232</v>
      </c>
      <c r="U720" t="s">
        <v>13232</v>
      </c>
      <c r="V720" t="s">
        <v>13232</v>
      </c>
      <c r="W720" t="s">
        <v>13932</v>
      </c>
      <c r="X720">
        <v>7</v>
      </c>
      <c r="Y720" t="s">
        <v>20471</v>
      </c>
      <c r="Z720" t="s">
        <v>26851</v>
      </c>
      <c r="AA720">
        <v>0.75192029489035206</v>
      </c>
      <c r="AB720" t="str">
        <f>HYPERLINK("Melting_Curves/meltCurve_H0Y3N9_PHF8.pdf", "Melting_Curves/meltCurve_H0Y3N9_PHF8.pdf")</f>
        <v>Melting_Curves/meltCurve_H0Y3N9_PHF8.pdf</v>
      </c>
    </row>
    <row r="721" spans="1:28" x14ac:dyDescent="0.25">
      <c r="A721" t="s">
        <v>725</v>
      </c>
      <c r="B721">
        <v>0.99930955844802105</v>
      </c>
      <c r="C721">
        <v>1.07131721908061</v>
      </c>
      <c r="D721">
        <v>0.80233810637061498</v>
      </c>
      <c r="E721">
        <v>0.58012944229886798</v>
      </c>
      <c r="F721">
        <v>0.31716754871494302</v>
      </c>
      <c r="G721">
        <v>0.17557828235283099</v>
      </c>
      <c r="H721">
        <v>0.11937073655720699</v>
      </c>
      <c r="I721">
        <v>0.119716238934091</v>
      </c>
      <c r="J721">
        <v>0.120705884190019</v>
      </c>
      <c r="K721">
        <v>9.1199567992452907E-2</v>
      </c>
      <c r="L721">
        <v>988.209980084054</v>
      </c>
      <c r="M721">
        <v>19.742475650543199</v>
      </c>
      <c r="N721">
        <v>50.634320824291898</v>
      </c>
      <c r="O721">
        <v>49.549938923555899</v>
      </c>
      <c r="P721">
        <v>-8.9542637440974196E-2</v>
      </c>
      <c r="Q721">
        <v>0.101089347921949</v>
      </c>
      <c r="R721">
        <v>0.98843619064871202</v>
      </c>
      <c r="S721" t="s">
        <v>7338</v>
      </c>
      <c r="T721" t="s">
        <v>13232</v>
      </c>
      <c r="U721" t="s">
        <v>13232</v>
      </c>
      <c r="V721" t="s">
        <v>13232</v>
      </c>
      <c r="W721" t="s">
        <v>13933</v>
      </c>
      <c r="X721">
        <v>33</v>
      </c>
      <c r="Y721" t="s">
        <v>20242</v>
      </c>
      <c r="Z721" t="s">
        <v>26852</v>
      </c>
      <c r="AA721">
        <v>0.41520535414694648</v>
      </c>
      <c r="AB721" t="str">
        <f>HYPERLINK("Melting_Curves/meltCurve_H0Y3P2_EIF4G2.pdf", "Melting_Curves/meltCurve_H0Y3P2_EIF4G2.pdf")</f>
        <v>Melting_Curves/meltCurve_H0Y3P2_EIF4G2.pdf</v>
      </c>
    </row>
    <row r="722" spans="1:28" x14ac:dyDescent="0.25">
      <c r="A722" t="s">
        <v>726</v>
      </c>
      <c r="B722">
        <v>0.99930955844802105</v>
      </c>
      <c r="C722">
        <v>1.26541863408723</v>
      </c>
      <c r="D722">
        <v>1.2333500596275699</v>
      </c>
      <c r="E722">
        <v>1.2356315767850301</v>
      </c>
      <c r="F722">
        <v>1.2843622283528999</v>
      </c>
      <c r="G722">
        <v>1.09972213426567</v>
      </c>
      <c r="H722">
        <v>1.2534950514555601</v>
      </c>
      <c r="I722">
        <v>1.5997246266104399</v>
      </c>
      <c r="J722">
        <v>1.58964176831601</v>
      </c>
      <c r="K722">
        <v>1.2942391291753801</v>
      </c>
      <c r="L722">
        <v>277.78616243239901</v>
      </c>
      <c r="M722">
        <v>5.5103218438491002</v>
      </c>
      <c r="O722">
        <v>44.938130617917899</v>
      </c>
      <c r="P722">
        <v>1.5394595400259401E-2</v>
      </c>
      <c r="Q722">
        <v>1.5</v>
      </c>
      <c r="R722">
        <v>0.39768272671733901</v>
      </c>
      <c r="S722" t="s">
        <v>7339</v>
      </c>
      <c r="T722" t="s">
        <v>13232</v>
      </c>
      <c r="U722" t="s">
        <v>13232</v>
      </c>
      <c r="V722" t="s">
        <v>13232</v>
      </c>
      <c r="W722" t="s">
        <v>13934</v>
      </c>
      <c r="X722">
        <v>3</v>
      </c>
      <c r="Y722" t="s">
        <v>20472</v>
      </c>
      <c r="Z722" t="s">
        <v>26853</v>
      </c>
      <c r="AA722">
        <v>1.286633061252952</v>
      </c>
      <c r="AB722" t="str">
        <f>HYPERLINK("Melting_Curves/meltCurve_H0Y3R4_SETD5.pdf", "Melting_Curves/meltCurve_H0Y3R4_SETD5.pdf")</f>
        <v>Melting_Curves/meltCurve_H0Y3R4_SETD5.pdf</v>
      </c>
    </row>
    <row r="723" spans="1:28" x14ac:dyDescent="0.25">
      <c r="A723" t="s">
        <v>727</v>
      </c>
      <c r="B723">
        <v>0.99930955844802105</v>
      </c>
      <c r="C723">
        <v>0.75195263472961005</v>
      </c>
      <c r="D723">
        <v>0.83242710587303304</v>
      </c>
      <c r="E723">
        <v>0.84580595061253405</v>
      </c>
      <c r="F723">
        <v>0.55152812431130505</v>
      </c>
      <c r="G723">
        <v>0.51907801135755305</v>
      </c>
      <c r="H723">
        <v>0.89884560347881903</v>
      </c>
      <c r="I723">
        <v>1.20530918588367</v>
      </c>
      <c r="J723">
        <v>1.05699342444563</v>
      </c>
      <c r="K723">
        <v>0.89725290015563497</v>
      </c>
      <c r="L723">
        <v>10211.9711443909</v>
      </c>
      <c r="M723">
        <v>250</v>
      </c>
      <c r="O723">
        <v>40.845270594615599</v>
      </c>
      <c r="P723">
        <v>-0.24496359111504201</v>
      </c>
      <c r="Q723">
        <v>0.83991033359092804</v>
      </c>
      <c r="R723">
        <v>5.6574424897785601E-2</v>
      </c>
      <c r="S723" t="s">
        <v>7340</v>
      </c>
      <c r="T723" t="s">
        <v>13232</v>
      </c>
      <c r="U723" t="s">
        <v>13232</v>
      </c>
      <c r="V723" t="s">
        <v>13232</v>
      </c>
      <c r="W723" t="s">
        <v>13935</v>
      </c>
      <c r="X723">
        <v>2</v>
      </c>
      <c r="Y723" t="s">
        <v>20473</v>
      </c>
      <c r="Z723" t="s">
        <v>26854</v>
      </c>
      <c r="AA723">
        <v>0.84445052904168005</v>
      </c>
      <c r="AB723" t="str">
        <f>HYPERLINK("Melting_Curves/meltCurve_H0Y452_C7orf43.pdf", "Melting_Curves/meltCurve_H0Y452_C7orf43.pdf")</f>
        <v>Melting_Curves/meltCurve_H0Y452_C7orf43.pdf</v>
      </c>
    </row>
    <row r="724" spans="1:28" x14ac:dyDescent="0.25">
      <c r="A724" t="s">
        <v>728</v>
      </c>
      <c r="B724">
        <v>0.99930955844802105</v>
      </c>
      <c r="C724">
        <v>1.43228084093449</v>
      </c>
      <c r="D724">
        <v>1.3277951456582</v>
      </c>
      <c r="E724">
        <v>1.2761071284625001</v>
      </c>
      <c r="F724">
        <v>1.0893067899414199</v>
      </c>
      <c r="G724">
        <v>1.21760506184423</v>
      </c>
      <c r="H724">
        <v>1.3070415656365</v>
      </c>
      <c r="I724">
        <v>1.440892399944</v>
      </c>
      <c r="J724">
        <v>1.51214904373893</v>
      </c>
      <c r="K724">
        <v>1.2504606306791699</v>
      </c>
      <c r="L724">
        <v>144.052903549956</v>
      </c>
      <c r="M724">
        <v>3.00210096565859</v>
      </c>
      <c r="Q724">
        <v>1.5</v>
      </c>
      <c r="R724">
        <v>0.17025222960759701</v>
      </c>
      <c r="S724" t="s">
        <v>7341</v>
      </c>
      <c r="T724" t="s">
        <v>13232</v>
      </c>
      <c r="U724" t="s">
        <v>13232</v>
      </c>
      <c r="V724" t="s">
        <v>13232</v>
      </c>
      <c r="W724" t="s">
        <v>13936</v>
      </c>
      <c r="X724">
        <v>2</v>
      </c>
      <c r="Y724" t="s">
        <v>19886</v>
      </c>
      <c r="Z724" t="s">
        <v>26855</v>
      </c>
      <c r="AA724">
        <v>1.287621174839872</v>
      </c>
      <c r="AB724" t="str">
        <f>HYPERLINK("Melting_Curves/meltCurve_H0Y459_NCOR1.pdf", "Melting_Curves/meltCurve_H0Y459_NCOR1.pdf")</f>
        <v>Melting_Curves/meltCurve_H0Y459_NCOR1.pdf</v>
      </c>
    </row>
    <row r="725" spans="1:28" x14ac:dyDescent="0.25">
      <c r="A725" t="s">
        <v>729</v>
      </c>
      <c r="B725">
        <v>0.99930955844802105</v>
      </c>
      <c r="C725">
        <v>0.81995650370551598</v>
      </c>
      <c r="D725">
        <v>0.73846448051734603</v>
      </c>
      <c r="E725">
        <v>0.65128833536277397</v>
      </c>
      <c r="F725">
        <v>0.46517465864188001</v>
      </c>
      <c r="G725">
        <v>0.27359332934070602</v>
      </c>
      <c r="H725">
        <v>0.18609757117848399</v>
      </c>
      <c r="I725">
        <v>0.13500571785927801</v>
      </c>
      <c r="J725">
        <v>0.111099523993125</v>
      </c>
      <c r="K725">
        <v>8.8430950515506396E-2</v>
      </c>
      <c r="L725">
        <v>491.70899420004702</v>
      </c>
      <c r="M725">
        <v>9.4642867616532698</v>
      </c>
      <c r="N725">
        <v>51.954146109701199</v>
      </c>
      <c r="O725">
        <v>49.793176155013398</v>
      </c>
      <c r="P725">
        <v>-4.7546503101943999E-2</v>
      </c>
      <c r="Q725">
        <v>0</v>
      </c>
      <c r="R725">
        <v>0.98738249660983202</v>
      </c>
      <c r="S725" t="s">
        <v>7342</v>
      </c>
      <c r="T725" t="s">
        <v>13232</v>
      </c>
      <c r="U725" t="s">
        <v>13232</v>
      </c>
      <c r="V725" t="s">
        <v>13232</v>
      </c>
      <c r="W725" t="s">
        <v>13937</v>
      </c>
      <c r="X725">
        <v>2</v>
      </c>
      <c r="Y725" t="s">
        <v>20474</v>
      </c>
      <c r="Z725" t="s">
        <v>26856</v>
      </c>
      <c r="AA725">
        <v>0.43890065947439999</v>
      </c>
      <c r="AB725" t="str">
        <f>HYPERLINK("Melting_Curves/meltCurve_H0Y498_EDEM3.pdf", "Melting_Curves/meltCurve_H0Y498_EDEM3.pdf")</f>
        <v>Melting_Curves/meltCurve_H0Y498_EDEM3.pdf</v>
      </c>
    </row>
    <row r="726" spans="1:28" x14ac:dyDescent="0.25">
      <c r="A726" t="s">
        <v>730</v>
      </c>
      <c r="B726">
        <v>0.99930955844802105</v>
      </c>
      <c r="C726">
        <v>0.55874210196547502</v>
      </c>
      <c r="D726">
        <v>0.54164252132054802</v>
      </c>
      <c r="E726">
        <v>0.63421537997956101</v>
      </c>
      <c r="F726">
        <v>0.49504399841597602</v>
      </c>
      <c r="G726">
        <v>0.29637656753184499</v>
      </c>
      <c r="H726">
        <v>0.15416372399800701</v>
      </c>
      <c r="I726">
        <v>0.12342998302718899</v>
      </c>
      <c r="J726">
        <v>0.123552455504069</v>
      </c>
      <c r="K726">
        <v>8.8766191587445795E-2</v>
      </c>
      <c r="L726">
        <v>350.633078275505</v>
      </c>
      <c r="M726">
        <v>7.0474169658541603</v>
      </c>
      <c r="N726">
        <v>49.7534175961339</v>
      </c>
      <c r="O726">
        <v>46.212824957694203</v>
      </c>
      <c r="P726">
        <v>-3.8193751054737102E-2</v>
      </c>
      <c r="Q726">
        <v>0</v>
      </c>
      <c r="R726">
        <v>0.86209887305345101</v>
      </c>
      <c r="S726" t="s">
        <v>7343</v>
      </c>
      <c r="T726" t="s">
        <v>13232</v>
      </c>
      <c r="U726" t="s">
        <v>13232</v>
      </c>
      <c r="V726" t="s">
        <v>13232</v>
      </c>
      <c r="W726" t="s">
        <v>13938</v>
      </c>
      <c r="X726">
        <v>12</v>
      </c>
      <c r="Y726" t="s">
        <v>20475</v>
      </c>
      <c r="Z726" t="s">
        <v>26857</v>
      </c>
      <c r="AA726">
        <v>0.39526660900735439</v>
      </c>
      <c r="AB726" t="str">
        <f>HYPERLINK("Melting_Curves/meltCurve_H0Y4R1_IMPDH2.pdf", "Melting_Curves/meltCurve_H0Y4R1_IMPDH2.pdf")</f>
        <v>Melting_Curves/meltCurve_H0Y4R1_IMPDH2.pdf</v>
      </c>
    </row>
    <row r="727" spans="1:28" x14ac:dyDescent="0.25">
      <c r="A727" t="s">
        <v>731</v>
      </c>
      <c r="B727">
        <v>0.99930955844802105</v>
      </c>
      <c r="C727">
        <v>1.3499408113431299</v>
      </c>
      <c r="D727">
        <v>1.39648085955079</v>
      </c>
      <c r="E727">
        <v>1.38453757990576</v>
      </c>
      <c r="F727">
        <v>1.3614884330502399</v>
      </c>
      <c r="G727">
        <v>1.2087490069379001</v>
      </c>
      <c r="H727">
        <v>1.0979125686995701</v>
      </c>
      <c r="I727">
        <v>1.20977076796667</v>
      </c>
      <c r="J727">
        <v>1.1837237790181501</v>
      </c>
      <c r="K727">
        <v>0.92228034583294005</v>
      </c>
      <c r="L727">
        <v>10254.776913638399</v>
      </c>
      <c r="M727">
        <v>250</v>
      </c>
      <c r="O727">
        <v>41.016471264520398</v>
      </c>
      <c r="P727">
        <v>0.35806817266326801</v>
      </c>
      <c r="Q727">
        <v>1.2349871521834099</v>
      </c>
      <c r="R727">
        <v>0.20141651633994001</v>
      </c>
      <c r="S727" t="s">
        <v>7344</v>
      </c>
      <c r="T727" t="s">
        <v>13232</v>
      </c>
      <c r="U727" t="s">
        <v>13232</v>
      </c>
      <c r="V727" t="s">
        <v>13232</v>
      </c>
      <c r="W727" t="s">
        <v>13939</v>
      </c>
      <c r="X727">
        <v>16</v>
      </c>
      <c r="Y727" t="s">
        <v>20476</v>
      </c>
      <c r="Z727" t="s">
        <v>26858</v>
      </c>
      <c r="AA727">
        <v>1.2269855866798709</v>
      </c>
      <c r="AB727" t="str">
        <f>HYPERLINK("Melting_Curves/meltCurve_H0Y4V9_LARP4B.pdf", "Melting_Curves/meltCurve_H0Y4V9_LARP4B.pdf")</f>
        <v>Melting_Curves/meltCurve_H0Y4V9_LARP4B.pdf</v>
      </c>
    </row>
    <row r="728" spans="1:28" x14ac:dyDescent="0.25">
      <c r="A728" t="s">
        <v>732</v>
      </c>
      <c r="B728">
        <v>0.99930955844802105</v>
      </c>
      <c r="C728">
        <v>1.00258661769667</v>
      </c>
      <c r="D728">
        <v>0.97332864325961299</v>
      </c>
      <c r="E728">
        <v>0.66057270943640101</v>
      </c>
      <c r="F728">
        <v>0.179873240871086</v>
      </c>
      <c r="G728">
        <v>0.100693211000255</v>
      </c>
      <c r="H728">
        <v>4.1439540858169303E-2</v>
      </c>
      <c r="I728">
        <v>2.70967530960716E-2</v>
      </c>
      <c r="J728">
        <v>2.0848130444792199E-2</v>
      </c>
      <c r="K728">
        <v>1.3766292626920799E-2</v>
      </c>
      <c r="L728">
        <v>1960.05306637591</v>
      </c>
      <c r="M728">
        <v>38.615310690098603</v>
      </c>
      <c r="N728">
        <v>50.855698569875102</v>
      </c>
      <c r="O728">
        <v>50.622890635116399</v>
      </c>
      <c r="P728">
        <v>-0.18391232999557999</v>
      </c>
      <c r="Q728">
        <v>3.5600008677868597E-2</v>
      </c>
      <c r="R728">
        <v>0.99795082314171901</v>
      </c>
      <c r="S728" t="s">
        <v>7345</v>
      </c>
      <c r="T728" t="s">
        <v>13232</v>
      </c>
      <c r="U728" t="s">
        <v>13232</v>
      </c>
      <c r="V728" t="s">
        <v>13232</v>
      </c>
      <c r="W728" t="s">
        <v>13940</v>
      </c>
      <c r="X728">
        <v>2</v>
      </c>
      <c r="Y728" t="s">
        <v>20477</v>
      </c>
      <c r="Z728" t="s">
        <v>26859</v>
      </c>
      <c r="AA728">
        <v>0.3850808448418338</v>
      </c>
      <c r="AB728" t="str">
        <f>HYPERLINK("Melting_Curves/meltCurve_H0Y547_ATP11A.pdf", "Melting_Curves/meltCurve_H0Y547_ATP11A.pdf")</f>
        <v>Melting_Curves/meltCurve_H0Y547_ATP11A.pdf</v>
      </c>
    </row>
    <row r="729" spans="1:28" x14ac:dyDescent="0.25">
      <c r="A729" t="s">
        <v>733</v>
      </c>
      <c r="B729">
        <v>0.99930955844802105</v>
      </c>
      <c r="C729">
        <v>1.01377321472696</v>
      </c>
      <c r="D729">
        <v>0.91478144463417699</v>
      </c>
      <c r="E729">
        <v>0.82435694503044998</v>
      </c>
      <c r="F729">
        <v>0.51820496770702795</v>
      </c>
      <c r="G729">
        <v>0.24961167356774799</v>
      </c>
      <c r="H729">
        <v>0.14856029253120001</v>
      </c>
      <c r="I729">
        <v>0.16813814296483301</v>
      </c>
      <c r="J729">
        <v>0.16202740070146701</v>
      </c>
      <c r="K729">
        <v>0.13147222630509001</v>
      </c>
      <c r="L729">
        <v>1281.81543937832</v>
      </c>
      <c r="M729">
        <v>24.408928369915198</v>
      </c>
      <c r="N729">
        <v>53.2379128394589</v>
      </c>
      <c r="O729">
        <v>52.165534015171701</v>
      </c>
      <c r="P729">
        <v>-0.100463707262822</v>
      </c>
      <c r="Q729">
        <v>0.141188777424783</v>
      </c>
      <c r="R729">
        <v>0.99606507014300805</v>
      </c>
      <c r="S729" t="s">
        <v>7346</v>
      </c>
      <c r="T729" t="s">
        <v>13232</v>
      </c>
      <c r="U729" t="s">
        <v>13232</v>
      </c>
      <c r="V729" t="s">
        <v>13232</v>
      </c>
      <c r="W729" t="s">
        <v>13941</v>
      </c>
      <c r="X729">
        <v>11</v>
      </c>
      <c r="Y729" t="s">
        <v>20295</v>
      </c>
      <c r="Z729" t="s">
        <v>26860</v>
      </c>
      <c r="AA729">
        <v>0.50767600436517835</v>
      </c>
      <c r="AB729" t="str">
        <f>HYPERLINK("Melting_Curves/meltCurve_H0Y5C2_ATE1.pdf", "Melting_Curves/meltCurve_H0Y5C2_ATE1.pdf")</f>
        <v>Melting_Curves/meltCurve_H0Y5C2_ATE1.pdf</v>
      </c>
    </row>
    <row r="730" spans="1:28" x14ac:dyDescent="0.25">
      <c r="A730" t="s">
        <v>734</v>
      </c>
      <c r="B730">
        <v>0.99930955844802105</v>
      </c>
      <c r="C730">
        <v>1.0467240265322499</v>
      </c>
      <c r="D730">
        <v>0.94982641806343504</v>
      </c>
      <c r="E730">
        <v>0.87385573636242397</v>
      </c>
      <c r="F730">
        <v>0.46690444774321999</v>
      </c>
      <c r="G730">
        <v>0.21559488672326901</v>
      </c>
      <c r="H730">
        <v>0.16492895889925699</v>
      </c>
      <c r="I730">
        <v>0.16545106974937701</v>
      </c>
      <c r="J730">
        <v>0.147301261559909</v>
      </c>
      <c r="K730">
        <v>0.108899469434206</v>
      </c>
      <c r="L730">
        <v>1812.2099677675501</v>
      </c>
      <c r="M730">
        <v>34.640906368475001</v>
      </c>
      <c r="N730">
        <v>52.8499854874539</v>
      </c>
      <c r="O730">
        <v>52.140764311145396</v>
      </c>
      <c r="P730">
        <v>-0.14149781309144299</v>
      </c>
      <c r="Q730">
        <v>0.14808534872048301</v>
      </c>
      <c r="R730">
        <v>0.99533835480265498</v>
      </c>
      <c r="S730" t="s">
        <v>7347</v>
      </c>
      <c r="T730" t="s">
        <v>13232</v>
      </c>
      <c r="U730" t="s">
        <v>13232</v>
      </c>
      <c r="V730" t="s">
        <v>13232</v>
      </c>
      <c r="W730" t="s">
        <v>13942</v>
      </c>
      <c r="X730">
        <v>1</v>
      </c>
      <c r="Y730" t="s">
        <v>20478</v>
      </c>
      <c r="Z730" t="s">
        <v>26861</v>
      </c>
      <c r="AA730">
        <v>0.50188084329562443</v>
      </c>
      <c r="AB730" t="str">
        <f>HYPERLINK("Melting_Curves/meltCurve_H0Y5Y0_PREP.pdf", "Melting_Curves/meltCurve_H0Y5Y0_PREP.pdf")</f>
        <v>Melting_Curves/meltCurve_H0Y5Y0_PREP.pdf</v>
      </c>
    </row>
    <row r="731" spans="1:28" x14ac:dyDescent="0.25">
      <c r="A731" t="s">
        <v>735</v>
      </c>
      <c r="B731">
        <v>0.99930955844802105</v>
      </c>
      <c r="C731">
        <v>0.94321313192854195</v>
      </c>
      <c r="D731">
        <v>0.95513668673002505</v>
      </c>
      <c r="E731">
        <v>0.792953265215394</v>
      </c>
      <c r="F731">
        <v>0.53026482124477303</v>
      </c>
      <c r="G731">
        <v>0.39595240980275198</v>
      </c>
      <c r="H731">
        <v>0.134284019110576</v>
      </c>
      <c r="I731">
        <v>0.14384082985209401</v>
      </c>
      <c r="J731">
        <v>7.8050065975976093E-2</v>
      </c>
      <c r="K731">
        <v>6.2602460773667601E-2</v>
      </c>
      <c r="L731">
        <v>788.24236747293696</v>
      </c>
      <c r="M731">
        <v>14.5892271777692</v>
      </c>
      <c r="N731">
        <v>54.248749500352602</v>
      </c>
      <c r="O731">
        <v>53.044400658444403</v>
      </c>
      <c r="P731">
        <v>-6.6794756785742898E-2</v>
      </c>
      <c r="Q731">
        <v>2.8683622968421502E-2</v>
      </c>
      <c r="R731">
        <v>0.991672276279015</v>
      </c>
      <c r="S731" t="s">
        <v>7348</v>
      </c>
      <c r="T731" t="s">
        <v>13232</v>
      </c>
      <c r="U731" t="s">
        <v>13232</v>
      </c>
      <c r="V731" t="s">
        <v>13232</v>
      </c>
      <c r="W731" t="s">
        <v>13943</v>
      </c>
      <c r="X731">
        <v>11</v>
      </c>
      <c r="Y731" t="s">
        <v>20479</v>
      </c>
      <c r="Z731" t="s">
        <v>26862</v>
      </c>
      <c r="AA731">
        <v>0.50348635683511289</v>
      </c>
      <c r="AB731" t="str">
        <f>HYPERLINK("Melting_Curves/meltCurve_H0Y6C3_PYCRL.pdf", "Melting_Curves/meltCurve_H0Y6C3_PYCRL.pdf")</f>
        <v>Melting_Curves/meltCurve_H0Y6C3_PYCRL.pdf</v>
      </c>
    </row>
    <row r="732" spans="1:28" x14ac:dyDescent="0.25">
      <c r="A732" t="s">
        <v>736</v>
      </c>
      <c r="B732">
        <v>0.99930955844802105</v>
      </c>
      <c r="C732">
        <v>0.74051715148943498</v>
      </c>
      <c r="D732">
        <v>0.56926921949496501</v>
      </c>
      <c r="E732">
        <v>0.39832042004887802</v>
      </c>
      <c r="F732">
        <v>0.315935634684542</v>
      </c>
      <c r="G732">
        <v>0.232537619037609</v>
      </c>
      <c r="H732">
        <v>0.149820708611998</v>
      </c>
      <c r="I732">
        <v>0.13753954755206499</v>
      </c>
      <c r="J732">
        <v>0.10234272370948901</v>
      </c>
      <c r="K732">
        <v>0.116018657196439</v>
      </c>
      <c r="L732">
        <v>561.71048151255695</v>
      </c>
      <c r="M732">
        <v>11.9611034218547</v>
      </c>
      <c r="N732">
        <v>47.890325902622301</v>
      </c>
      <c r="O732">
        <v>45.7064998853009</v>
      </c>
      <c r="P732">
        <v>-5.8664574491622601E-2</v>
      </c>
      <c r="Q732">
        <v>0.103527804481643</v>
      </c>
      <c r="R732">
        <v>0.98138804033812399</v>
      </c>
      <c r="S732" t="s">
        <v>7349</v>
      </c>
      <c r="T732" t="s">
        <v>13232</v>
      </c>
      <c r="U732" t="s">
        <v>13232</v>
      </c>
      <c r="V732" t="s">
        <v>13232</v>
      </c>
      <c r="W732" t="s">
        <v>13944</v>
      </c>
      <c r="X732">
        <v>3</v>
      </c>
      <c r="Y732" t="s">
        <v>20480</v>
      </c>
      <c r="Z732" t="s">
        <v>26863</v>
      </c>
      <c r="AA732">
        <v>0.34952183909393869</v>
      </c>
      <c r="AB732" t="str">
        <f>HYPERLINK("Melting_Curves/meltCurve_H0Y714_IMP4.pdf", "Melting_Curves/meltCurve_H0Y714_IMP4.pdf")</f>
        <v>Melting_Curves/meltCurve_H0Y714_IMP4.pdf</v>
      </c>
    </row>
    <row r="733" spans="1:28" x14ac:dyDescent="0.25">
      <c r="A733" t="s">
        <v>737</v>
      </c>
      <c r="B733">
        <v>0.99930955844802105</v>
      </c>
      <c r="C733">
        <v>1.1257460226520799</v>
      </c>
      <c r="D733">
        <v>1.16324504359265</v>
      </c>
      <c r="E733">
        <v>1.11306179809821</v>
      </c>
      <c r="F733">
        <v>1.2471151823275</v>
      </c>
      <c r="G733">
        <v>0.96957198543988898</v>
      </c>
      <c r="H733">
        <v>0.826806321273445</v>
      </c>
      <c r="I733">
        <v>0.98350723185636602</v>
      </c>
      <c r="J733">
        <v>0.96380343943060998</v>
      </c>
      <c r="K733">
        <v>0.74603483978556095</v>
      </c>
      <c r="L733">
        <v>3022.6438124330002</v>
      </c>
      <c r="M733">
        <v>42.094698738275099</v>
      </c>
      <c r="Q733">
        <v>0</v>
      </c>
      <c r="R733">
        <v>0.30344011760461298</v>
      </c>
      <c r="S733" t="s">
        <v>7350</v>
      </c>
      <c r="T733" t="s">
        <v>13232</v>
      </c>
      <c r="U733" t="s">
        <v>13232</v>
      </c>
      <c r="V733" t="s">
        <v>13232</v>
      </c>
      <c r="W733" t="s">
        <v>13945</v>
      </c>
      <c r="X733">
        <v>36</v>
      </c>
      <c r="Y733" t="s">
        <v>20444</v>
      </c>
      <c r="Z733" t="s">
        <v>26864</v>
      </c>
      <c r="AA733">
        <v>0.98501343935198904</v>
      </c>
      <c r="AB733" t="str">
        <f>HYPERLINK("Melting_Curves/meltCurve_H0Y7H8_ARID1B.pdf", "Melting_Curves/meltCurve_H0Y7H8_ARID1B.pdf")</f>
        <v>Melting_Curves/meltCurve_H0Y7H8_ARID1B.pdf</v>
      </c>
    </row>
    <row r="734" spans="1:28" x14ac:dyDescent="0.25">
      <c r="A734" t="s">
        <v>738</v>
      </c>
      <c r="B734">
        <v>0.99930955844802105</v>
      </c>
      <c r="C734">
        <v>0.75398690674028601</v>
      </c>
      <c r="D734">
        <v>0.78081325295848103</v>
      </c>
      <c r="E734">
        <v>0.74753986910203796</v>
      </c>
      <c r="F734">
        <v>0.56618230973038597</v>
      </c>
      <c r="G734">
        <v>0.56936838880193397</v>
      </c>
      <c r="H734">
        <v>0.33430571334063303</v>
      </c>
      <c r="I734">
        <v>0.39955042881742397</v>
      </c>
      <c r="J734">
        <v>0.18647542081909699</v>
      </c>
      <c r="K734">
        <v>0.163056519277545</v>
      </c>
      <c r="L734">
        <v>364.09313406520101</v>
      </c>
      <c r="M734">
        <v>6.4783714026798203</v>
      </c>
      <c r="N734">
        <v>56.201336943082097</v>
      </c>
      <c r="O734">
        <v>51.5653943446639</v>
      </c>
      <c r="P734">
        <v>-3.1485729537736297E-2</v>
      </c>
      <c r="Q734">
        <v>0</v>
      </c>
      <c r="R734">
        <v>0.924465758369029</v>
      </c>
      <c r="S734" t="s">
        <v>7351</v>
      </c>
      <c r="T734" t="s">
        <v>13232</v>
      </c>
      <c r="U734" t="s">
        <v>13232</v>
      </c>
      <c r="V734" t="s">
        <v>13232</v>
      </c>
      <c r="W734" t="s">
        <v>13946</v>
      </c>
      <c r="X734">
        <v>2</v>
      </c>
      <c r="Y734" t="s">
        <v>20481</v>
      </c>
      <c r="Z734" t="s">
        <v>26865</v>
      </c>
      <c r="AA734">
        <v>0.55450424589689706</v>
      </c>
      <c r="AB734" t="str">
        <f>HYPERLINK("Melting_Curves/meltCurve_H0Y7Z1_FN1.pdf", "Melting_Curves/meltCurve_H0Y7Z1_FN1.pdf")</f>
        <v>Melting_Curves/meltCurve_H0Y7Z1_FN1.pdf</v>
      </c>
    </row>
    <row r="735" spans="1:28" x14ac:dyDescent="0.25">
      <c r="A735" t="s">
        <v>739</v>
      </c>
      <c r="B735">
        <v>0.99930955844802105</v>
      </c>
      <c r="C735">
        <v>0.76319984075639902</v>
      </c>
      <c r="D735">
        <v>0.49230159843042498</v>
      </c>
      <c r="E735">
        <v>0.26318422088745802</v>
      </c>
      <c r="F735">
        <v>0.35574773783792202</v>
      </c>
      <c r="G735">
        <v>0.23029353315301701</v>
      </c>
      <c r="H735">
        <v>0.155536059413904</v>
      </c>
      <c r="I735">
        <v>0.15743161259034</v>
      </c>
      <c r="J735">
        <v>7.2174293074741103E-2</v>
      </c>
      <c r="K735">
        <v>4.9498461167832401E-2</v>
      </c>
      <c r="L735">
        <v>661.32848492300297</v>
      </c>
      <c r="M735">
        <v>14.4193099313972</v>
      </c>
      <c r="N735">
        <v>46.755759007860199</v>
      </c>
      <c r="O735">
        <v>45.0089933880787</v>
      </c>
      <c r="P735">
        <v>-7.0471803971198302E-2</v>
      </c>
      <c r="Q735">
        <v>0.12020957407391</v>
      </c>
      <c r="R735">
        <v>0.94842163392747103</v>
      </c>
      <c r="S735" t="s">
        <v>7352</v>
      </c>
      <c r="T735" t="s">
        <v>13232</v>
      </c>
      <c r="U735" t="s">
        <v>13232</v>
      </c>
      <c r="V735" t="s">
        <v>13232</v>
      </c>
      <c r="W735" t="s">
        <v>13947</v>
      </c>
      <c r="X735">
        <v>1</v>
      </c>
      <c r="Y735" t="s">
        <v>20482</v>
      </c>
      <c r="Z735" t="s">
        <v>26866</v>
      </c>
      <c r="AA735">
        <v>0.32040589446551632</v>
      </c>
      <c r="AB735" t="str">
        <f>HYPERLINK("Melting_Curves/meltCurve_H0Y8G9_HERC3.pdf", "Melting_Curves/meltCurve_H0Y8G9_HERC3.pdf")</f>
        <v>Melting_Curves/meltCurve_H0Y8G9_HERC3.pdf</v>
      </c>
    </row>
    <row r="736" spans="1:28" x14ac:dyDescent="0.25">
      <c r="A736" t="s">
        <v>740</v>
      </c>
      <c r="B736">
        <v>0.99930955844802105</v>
      </c>
      <c r="C736">
        <v>1.0000933004655801</v>
      </c>
      <c r="D736">
        <v>0.98899971403842601</v>
      </c>
      <c r="E736">
        <v>0.91150433614087001</v>
      </c>
      <c r="F736">
        <v>0.79793239732192101</v>
      </c>
      <c r="G736">
        <v>0.64719784531393298</v>
      </c>
      <c r="H736">
        <v>0.53825777291406995</v>
      </c>
      <c r="I736">
        <v>0.300169664792172</v>
      </c>
      <c r="J736">
        <v>0.116105873093618</v>
      </c>
      <c r="K736">
        <v>8.1700069463706906E-2</v>
      </c>
      <c r="L736">
        <v>809.69552759337796</v>
      </c>
      <c r="M736">
        <v>13.5351801506445</v>
      </c>
      <c r="N736">
        <v>59.821555427346702</v>
      </c>
      <c r="O736">
        <v>58.561054989556901</v>
      </c>
      <c r="P736">
        <v>-5.7791083795770602E-2</v>
      </c>
      <c r="Q736">
        <v>0</v>
      </c>
      <c r="R736">
        <v>0.98198833385012796</v>
      </c>
      <c r="S736" t="s">
        <v>7353</v>
      </c>
      <c r="T736" t="s">
        <v>13232</v>
      </c>
      <c r="U736" t="s">
        <v>13232</v>
      </c>
      <c r="V736" t="s">
        <v>13232</v>
      </c>
      <c r="W736" t="s">
        <v>13948</v>
      </c>
      <c r="X736">
        <v>11</v>
      </c>
      <c r="Y736" t="s">
        <v>20483</v>
      </c>
      <c r="Z736" t="s">
        <v>26867</v>
      </c>
      <c r="AA736">
        <v>0.66679430911053594</v>
      </c>
      <c r="AB736" t="str">
        <f>HYPERLINK("Melting_Curves/meltCurve_H0Y8X4_DNPH1.pdf", "Melting_Curves/meltCurve_H0Y8X4_DNPH1.pdf")</f>
        <v>Melting_Curves/meltCurve_H0Y8X4_DNPH1.pdf</v>
      </c>
    </row>
    <row r="737" spans="1:28" x14ac:dyDescent="0.25">
      <c r="A737" t="s">
        <v>741</v>
      </c>
      <c r="B737">
        <v>0.99930955844802105</v>
      </c>
      <c r="C737">
        <v>1.0598980771820801</v>
      </c>
      <c r="D737">
        <v>1.0409315596656801</v>
      </c>
      <c r="E737">
        <v>0.77504188480332203</v>
      </c>
      <c r="F737">
        <v>0.50513227973582497</v>
      </c>
      <c r="G737">
        <v>0.30647824624117598</v>
      </c>
      <c r="H737">
        <v>0.26643842593839701</v>
      </c>
      <c r="I737">
        <v>0.274530807951333</v>
      </c>
      <c r="J737">
        <v>0.24720100134584599</v>
      </c>
      <c r="K737">
        <v>0.19672229777938299</v>
      </c>
      <c r="L737">
        <v>1459.78693561315</v>
      </c>
      <c r="M737">
        <v>28.211733507433301</v>
      </c>
      <c r="N737">
        <v>53.005617044508298</v>
      </c>
      <c r="O737">
        <v>51.486072556957097</v>
      </c>
      <c r="P737">
        <v>-0.103490545078257</v>
      </c>
      <c r="Q737">
        <v>0.24453034916770799</v>
      </c>
      <c r="R737">
        <v>0.99033501172046201</v>
      </c>
      <c r="S737" t="s">
        <v>7354</v>
      </c>
      <c r="T737" t="s">
        <v>13232</v>
      </c>
      <c r="U737" t="s">
        <v>13232</v>
      </c>
      <c r="V737" t="s">
        <v>13232</v>
      </c>
      <c r="W737" t="s">
        <v>13949</v>
      </c>
      <c r="X737">
        <v>2</v>
      </c>
      <c r="Y737" t="s">
        <v>20484</v>
      </c>
      <c r="Z737" t="s">
        <v>26868</v>
      </c>
      <c r="AA737">
        <v>0.54570084218267956</v>
      </c>
      <c r="AB737" t="str">
        <f>HYPERLINK("Melting_Curves/meltCurve_H0Y905_RAPGEF2.pdf", "Melting_Curves/meltCurve_H0Y905_RAPGEF2.pdf")</f>
        <v>Melting_Curves/meltCurve_H0Y905_RAPGEF2.pdf</v>
      </c>
    </row>
    <row r="738" spans="1:28" x14ac:dyDescent="0.25">
      <c r="A738" t="s">
        <v>742</v>
      </c>
      <c r="B738">
        <v>0.99930955844802105</v>
      </c>
      <c r="C738">
        <v>0.94075511321566696</v>
      </c>
      <c r="D738">
        <v>0.800642336933029</v>
      </c>
      <c r="E738">
        <v>0.50075155639365598</v>
      </c>
      <c r="F738">
        <v>0.28547887283128598</v>
      </c>
      <c r="G738">
        <v>0.19608690284340199</v>
      </c>
      <c r="H738">
        <v>0.16138509907156401</v>
      </c>
      <c r="I738">
        <v>0.15330244110548799</v>
      </c>
      <c r="J738">
        <v>0.137935582652398</v>
      </c>
      <c r="K738">
        <v>0.13027227105122899</v>
      </c>
      <c r="L738">
        <v>928.89509931933299</v>
      </c>
      <c r="M738">
        <v>18.9538673646116</v>
      </c>
      <c r="N738">
        <v>49.837329538945802</v>
      </c>
      <c r="O738">
        <v>48.472450566342403</v>
      </c>
      <c r="P738">
        <v>-8.4540291734857206E-2</v>
      </c>
      <c r="Q738">
        <v>0.13522447647477601</v>
      </c>
      <c r="R738">
        <v>0.99926087564590704</v>
      </c>
      <c r="S738" t="s">
        <v>7355</v>
      </c>
      <c r="T738" t="s">
        <v>13232</v>
      </c>
      <c r="U738" t="s">
        <v>13232</v>
      </c>
      <c r="V738" t="s">
        <v>13232</v>
      </c>
      <c r="W738" t="s">
        <v>13950</v>
      </c>
      <c r="X738">
        <v>16</v>
      </c>
      <c r="Y738" t="s">
        <v>20485</v>
      </c>
      <c r="Z738" t="s">
        <v>26869</v>
      </c>
      <c r="AA738">
        <v>0.40839762072803432</v>
      </c>
      <c r="AB738" t="str">
        <f>HYPERLINK("Melting_Curves/meltCurve_H0Y9S9_PPIP5K2.pdf", "Melting_Curves/meltCurve_H0Y9S9_PPIP5K2.pdf")</f>
        <v>Melting_Curves/meltCurve_H0Y9S9_PPIP5K2.pdf</v>
      </c>
    </row>
    <row r="739" spans="1:28" x14ac:dyDescent="0.25">
      <c r="A739" t="s">
        <v>743</v>
      </c>
      <c r="B739">
        <v>0.99930955844802105</v>
      </c>
      <c r="C739">
        <v>1.17718184161435</v>
      </c>
      <c r="D739">
        <v>1.2190266969718599</v>
      </c>
      <c r="E739">
        <v>1.1192642279613001</v>
      </c>
      <c r="F739">
        <v>1.0762201650413401</v>
      </c>
      <c r="G739">
        <v>0.92390822237243797</v>
      </c>
      <c r="H739">
        <v>0.94016942264500503</v>
      </c>
      <c r="I739">
        <v>0.948519577428526</v>
      </c>
      <c r="J739">
        <v>0.95406236377550402</v>
      </c>
      <c r="K739">
        <v>0.80783555859740197</v>
      </c>
      <c r="L739">
        <v>1135.85760716406</v>
      </c>
      <c r="M739">
        <v>14.669269927588999</v>
      </c>
      <c r="Q739">
        <v>0</v>
      </c>
      <c r="R739">
        <v>0.262566178314523</v>
      </c>
      <c r="S739" t="s">
        <v>7356</v>
      </c>
      <c r="T739" t="s">
        <v>13232</v>
      </c>
      <c r="U739" t="s">
        <v>13232</v>
      </c>
      <c r="V739" t="s">
        <v>13232</v>
      </c>
      <c r="W739" t="s">
        <v>13951</v>
      </c>
      <c r="X739">
        <v>5</v>
      </c>
      <c r="Y739" t="s">
        <v>20486</v>
      </c>
      <c r="Z739" t="s">
        <v>26870</v>
      </c>
      <c r="AA739">
        <v>0.97551550168020784</v>
      </c>
      <c r="AB739" t="str">
        <f>HYPERLINK("Melting_Curves/meltCurve_H0YA52_PCBD2.pdf", "Melting_Curves/meltCurve_H0YA52_PCBD2.pdf")</f>
        <v>Melting_Curves/meltCurve_H0YA52_PCBD2.pdf</v>
      </c>
    </row>
    <row r="740" spans="1:28" x14ac:dyDescent="0.25">
      <c r="A740" t="s">
        <v>744</v>
      </c>
      <c r="B740">
        <v>0.99930955844802105</v>
      </c>
      <c r="C740">
        <v>1.14758284638972</v>
      </c>
      <c r="D740">
        <v>1.1328484393069</v>
      </c>
      <c r="E740">
        <v>1.06997886714513</v>
      </c>
      <c r="F740">
        <v>0.88505294960185399</v>
      </c>
      <c r="G740">
        <v>0.73861658827907395</v>
      </c>
      <c r="H740">
        <v>0.67640047524581903</v>
      </c>
      <c r="I740">
        <v>0.72801120770559902</v>
      </c>
      <c r="J740">
        <v>0.69951849340307504</v>
      </c>
      <c r="K740">
        <v>0.55147672807807602</v>
      </c>
      <c r="L740">
        <v>1905.2540612840501</v>
      </c>
      <c r="M740">
        <v>34.867009723402901</v>
      </c>
      <c r="O740">
        <v>54.464648531026903</v>
      </c>
      <c r="P740">
        <v>-5.40619802485943E-2</v>
      </c>
      <c r="Q740">
        <v>0.66220719892636803</v>
      </c>
      <c r="R740">
        <v>0.84030328761984496</v>
      </c>
      <c r="S740" t="s">
        <v>7357</v>
      </c>
      <c r="T740" t="s">
        <v>13232</v>
      </c>
      <c r="U740" t="s">
        <v>13232</v>
      </c>
      <c r="V740" t="s">
        <v>13232</v>
      </c>
      <c r="W740" t="s">
        <v>13952</v>
      </c>
      <c r="X740">
        <v>2</v>
      </c>
      <c r="Y740" t="s">
        <v>20487</v>
      </c>
      <c r="Z740" t="s">
        <v>26871</v>
      </c>
      <c r="AA740">
        <v>0.82875857634053629</v>
      </c>
      <c r="AB740" t="str">
        <f>HYPERLINK("Melting_Curves/meltCurve_H0YA61_RBM24.pdf", "Melting_Curves/meltCurve_H0YA61_RBM24.pdf")</f>
        <v>Melting_Curves/meltCurve_H0YA61_RBM24.pdf</v>
      </c>
    </row>
    <row r="741" spans="1:28" x14ac:dyDescent="0.25">
      <c r="A741" t="s">
        <v>745</v>
      </c>
      <c r="B741">
        <v>0.99930955844802105</v>
      </c>
      <c r="C741">
        <v>0.93076714876245803</v>
      </c>
      <c r="D741">
        <v>0.91720423553390595</v>
      </c>
      <c r="E741">
        <v>0.78775452597406104</v>
      </c>
      <c r="F741">
        <v>0.496962339651351</v>
      </c>
      <c r="G741">
        <v>0.28726443694541298</v>
      </c>
      <c r="H741">
        <v>0.134206186579308</v>
      </c>
      <c r="I741">
        <v>0.104940707236042</v>
      </c>
      <c r="J741">
        <v>8.2382037896471597E-2</v>
      </c>
      <c r="K741">
        <v>7.0181181733619896E-2</v>
      </c>
      <c r="L741">
        <v>900.931339410281</v>
      </c>
      <c r="M741">
        <v>17.0019120327804</v>
      </c>
      <c r="N741">
        <v>53.348081167721602</v>
      </c>
      <c r="O741">
        <v>52.2732147573793</v>
      </c>
      <c r="P741">
        <v>-7.6932862113069697E-2</v>
      </c>
      <c r="Q741">
        <v>5.3922967925019001E-2</v>
      </c>
      <c r="R741">
        <v>0.99586485234564004</v>
      </c>
      <c r="S741" t="s">
        <v>7358</v>
      </c>
      <c r="T741" t="s">
        <v>13232</v>
      </c>
      <c r="U741" t="s">
        <v>13232</v>
      </c>
      <c r="V741" t="s">
        <v>13232</v>
      </c>
      <c r="W741" t="s">
        <v>13953</v>
      </c>
      <c r="X741">
        <v>5</v>
      </c>
      <c r="Y741" t="s">
        <v>20488</v>
      </c>
      <c r="Z741" t="s">
        <v>26872</v>
      </c>
      <c r="AA741">
        <v>0.48052119748346012</v>
      </c>
      <c r="AB741" t="str">
        <f>HYPERLINK("Melting_Curves/meltCurve_H0YA68_MAN2B2.pdf", "Melting_Curves/meltCurve_H0YA68_MAN2B2.pdf")</f>
        <v>Melting_Curves/meltCurve_H0YA68_MAN2B2.pdf</v>
      </c>
    </row>
    <row r="742" spans="1:28" x14ac:dyDescent="0.25">
      <c r="A742" t="s">
        <v>746</v>
      </c>
      <c r="B742">
        <v>0.99930955844802105</v>
      </c>
      <c r="C742">
        <v>1.00836902950011</v>
      </c>
      <c r="D742">
        <v>1.03080284393091</v>
      </c>
      <c r="E742">
        <v>0.94471053010262296</v>
      </c>
      <c r="F742">
        <v>0.69711270384305302</v>
      </c>
      <c r="G742">
        <v>0.52086190037273805</v>
      </c>
      <c r="H742">
        <v>0.30178772128898601</v>
      </c>
      <c r="I742">
        <v>0.23496614597573201</v>
      </c>
      <c r="J742">
        <v>0.19112793542797701</v>
      </c>
      <c r="K742">
        <v>0.149001283684291</v>
      </c>
      <c r="L742">
        <v>966.01112706736296</v>
      </c>
      <c r="M742">
        <v>17.292307754565201</v>
      </c>
      <c r="N742">
        <v>56.945816513699803</v>
      </c>
      <c r="O742">
        <v>55.132593371081398</v>
      </c>
      <c r="P742">
        <v>-6.7435302855985493E-2</v>
      </c>
      <c r="Q742">
        <v>0.14004109265878301</v>
      </c>
      <c r="R742">
        <v>0.99239705295096503</v>
      </c>
      <c r="S742" t="s">
        <v>7359</v>
      </c>
      <c r="T742" t="s">
        <v>13232</v>
      </c>
      <c r="U742" t="s">
        <v>13232</v>
      </c>
      <c r="V742" t="s">
        <v>13232</v>
      </c>
      <c r="W742" t="s">
        <v>13954</v>
      </c>
      <c r="X742">
        <v>2</v>
      </c>
      <c r="Y742" t="s">
        <v>20489</v>
      </c>
      <c r="Z742" t="s">
        <v>26873</v>
      </c>
      <c r="AA742">
        <v>0.60816044088123722</v>
      </c>
      <c r="AB742" t="str">
        <f>HYPERLINK("Melting_Curves/meltCurve_H0YA80_UBE2B.pdf", "Melting_Curves/meltCurve_H0YA80_UBE2B.pdf")</f>
        <v>Melting_Curves/meltCurve_H0YA80_UBE2B.pdf</v>
      </c>
    </row>
    <row r="743" spans="1:28" x14ac:dyDescent="0.25">
      <c r="A743" t="s">
        <v>747</v>
      </c>
      <c r="B743">
        <v>0.99930955844802105</v>
      </c>
      <c r="C743">
        <v>1.1132483183821</v>
      </c>
      <c r="D743">
        <v>1.00165029609083</v>
      </c>
      <c r="E743">
        <v>1.0199784585606699</v>
      </c>
      <c r="F743">
        <v>0.91971333691568902</v>
      </c>
      <c r="G743">
        <v>0.89312605870536499</v>
      </c>
      <c r="H743">
        <v>0.90775400774446702</v>
      </c>
      <c r="I743">
        <v>1.01810052977041</v>
      </c>
      <c r="J743">
        <v>0.97163366380026694</v>
      </c>
      <c r="K743">
        <v>0.65740234024965205</v>
      </c>
      <c r="S743" t="s">
        <v>7360</v>
      </c>
      <c r="T743" t="s">
        <v>13232</v>
      </c>
      <c r="U743" t="s">
        <v>13233</v>
      </c>
      <c r="V743" t="s">
        <v>13232</v>
      </c>
      <c r="W743" t="s">
        <v>13955</v>
      </c>
      <c r="X743">
        <v>5</v>
      </c>
      <c r="Y743" t="s">
        <v>20490</v>
      </c>
      <c r="Z743" t="s">
        <v>26874</v>
      </c>
      <c r="AB743" t="str">
        <f>HYPERLINK("Melting_Curves/meltCurve_H0YA99_TCOF1.pdf", "Melting_Curves/meltCurve_H0YA99_TCOF1.pdf")</f>
        <v>Melting_Curves/meltCurve_H0YA99_TCOF1.pdf</v>
      </c>
    </row>
    <row r="744" spans="1:28" x14ac:dyDescent="0.25">
      <c r="A744" t="s">
        <v>748</v>
      </c>
      <c r="B744">
        <v>0.99930955844802105</v>
      </c>
      <c r="C744">
        <v>1.2847870490836599</v>
      </c>
      <c r="D744">
        <v>1.17775814433944</v>
      </c>
      <c r="E744">
        <v>1.01723798829673</v>
      </c>
      <c r="F744">
        <v>0.72162143914696897</v>
      </c>
      <c r="G744">
        <v>0.56986408470885297</v>
      </c>
      <c r="H744">
        <v>0.59222684014007199</v>
      </c>
      <c r="I744">
        <v>0.67292695447923301</v>
      </c>
      <c r="J744">
        <v>0.71935271952427804</v>
      </c>
      <c r="K744">
        <v>0.52753709743081401</v>
      </c>
      <c r="L744">
        <v>13198.444868778501</v>
      </c>
      <c r="M744">
        <v>250</v>
      </c>
      <c r="O744">
        <v>52.790401419731197</v>
      </c>
      <c r="P744">
        <v>-0.454176401618614</v>
      </c>
      <c r="Q744">
        <v>0.61638153042034405</v>
      </c>
      <c r="R744">
        <v>0.79042713563979505</v>
      </c>
      <c r="S744" t="s">
        <v>7361</v>
      </c>
      <c r="T744" t="s">
        <v>13232</v>
      </c>
      <c r="U744" t="s">
        <v>13232</v>
      </c>
      <c r="V744" t="s">
        <v>13232</v>
      </c>
      <c r="W744" t="s">
        <v>13956</v>
      </c>
      <c r="X744">
        <v>1</v>
      </c>
      <c r="Y744" t="s">
        <v>20491</v>
      </c>
      <c r="Z744" t="s">
        <v>26875</v>
      </c>
      <c r="AA744">
        <v>0.78001474361846512</v>
      </c>
      <c r="AB744" t="str">
        <f>HYPERLINK("Melting_Curves/meltCurve_H0YAD3_SPATA24.pdf", "Melting_Curves/meltCurve_H0YAD3_SPATA24.pdf")</f>
        <v>Melting_Curves/meltCurve_H0YAD3_SPATA24.pdf</v>
      </c>
    </row>
    <row r="745" spans="1:28" x14ac:dyDescent="0.25">
      <c r="A745" t="s">
        <v>749</v>
      </c>
      <c r="B745">
        <v>0.99930955844802105</v>
      </c>
      <c r="C745">
        <v>0.96751360270570796</v>
      </c>
      <c r="D745">
        <v>1.02770039683221</v>
      </c>
      <c r="E745">
        <v>1.00349434262448</v>
      </c>
      <c r="F745">
        <v>0.86588324350544499</v>
      </c>
      <c r="G745">
        <v>0.70161841948910497</v>
      </c>
      <c r="H745">
        <v>0.49492101977967901</v>
      </c>
      <c r="I745">
        <v>0.51592985451427897</v>
      </c>
      <c r="J745">
        <v>0.49271276092083199</v>
      </c>
      <c r="K745">
        <v>0.41416737448201402</v>
      </c>
      <c r="L745">
        <v>1284.93775224249</v>
      </c>
      <c r="M745">
        <v>22.833143984002</v>
      </c>
      <c r="N745">
        <v>62.4897367138527</v>
      </c>
      <c r="O745">
        <v>55.848790209827399</v>
      </c>
      <c r="P745">
        <v>-5.6381597085610198E-2</v>
      </c>
      <c r="Q745">
        <v>0.44838373887024902</v>
      </c>
      <c r="R745">
        <v>0.98414671975276602</v>
      </c>
      <c r="S745" t="s">
        <v>7362</v>
      </c>
      <c r="T745" t="s">
        <v>13232</v>
      </c>
      <c r="U745" t="s">
        <v>13232</v>
      </c>
      <c r="V745" t="s">
        <v>13232</v>
      </c>
      <c r="W745" t="s">
        <v>13957</v>
      </c>
      <c r="X745">
        <v>1</v>
      </c>
      <c r="Y745" t="s">
        <v>20492</v>
      </c>
      <c r="Z745" t="s">
        <v>26876</v>
      </c>
      <c r="AA745">
        <v>0.75345608020217392</v>
      </c>
      <c r="AB745" t="str">
        <f>HYPERLINK("Melting_Curves/meltCurve_H0YAE0_C5orf24.pdf", "Melting_Curves/meltCurve_H0YAE0_C5orf24.pdf")</f>
        <v>Melting_Curves/meltCurve_H0YAE0_C5orf24.pdf</v>
      </c>
    </row>
    <row r="746" spans="1:28" x14ac:dyDescent="0.25">
      <c r="A746" t="s">
        <v>750</v>
      </c>
      <c r="B746">
        <v>0.99930955844802105</v>
      </c>
      <c r="C746">
        <v>1.2221561370119201</v>
      </c>
      <c r="D746">
        <v>1.23435613341825</v>
      </c>
      <c r="E746">
        <v>1.11879144354881</v>
      </c>
      <c r="F746">
        <v>1.07371774081314</v>
      </c>
      <c r="G746">
        <v>0.809994307942285</v>
      </c>
      <c r="H746">
        <v>0.71079916414996902</v>
      </c>
      <c r="I746">
        <v>0.56596094867076197</v>
      </c>
      <c r="J746">
        <v>0.53567173932621304</v>
      </c>
      <c r="K746">
        <v>0.43790980694354797</v>
      </c>
      <c r="L746">
        <v>1361.24093210863</v>
      </c>
      <c r="M746">
        <v>22.575181542460701</v>
      </c>
      <c r="N746">
        <v>67.094354466118403</v>
      </c>
      <c r="O746">
        <v>59.830955076001402</v>
      </c>
      <c r="P746">
        <v>-5.1957412270142299E-2</v>
      </c>
      <c r="Q746">
        <v>0.44920063726380499</v>
      </c>
      <c r="R746">
        <v>0.82744405655762698</v>
      </c>
      <c r="S746" t="s">
        <v>7363</v>
      </c>
      <c r="T746" t="s">
        <v>13232</v>
      </c>
      <c r="U746" t="s">
        <v>13232</v>
      </c>
      <c r="V746" t="s">
        <v>13232</v>
      </c>
      <c r="W746" t="s">
        <v>13958</v>
      </c>
      <c r="X746">
        <v>6</v>
      </c>
      <c r="Y746" t="s">
        <v>20493</v>
      </c>
      <c r="Z746" t="s">
        <v>26877</v>
      </c>
      <c r="AA746">
        <v>0.82604355849648803</v>
      </c>
      <c r="AB746" t="str">
        <f>HYPERLINK("Melting_Curves/meltCurve_H0YAJ5_APBB2.pdf", "Melting_Curves/meltCurve_H0YAJ5_APBB2.pdf")</f>
        <v>Melting_Curves/meltCurve_H0YAJ5_APBB2.pdf</v>
      </c>
    </row>
    <row r="747" spans="1:28" x14ac:dyDescent="0.25">
      <c r="A747" t="s">
        <v>751</v>
      </c>
      <c r="B747">
        <v>0.99930955844802105</v>
      </c>
      <c r="C747">
        <v>1.0519480864750801</v>
      </c>
      <c r="D747">
        <v>0.82345305447098405</v>
      </c>
      <c r="E747">
        <v>0.84439892525801297</v>
      </c>
      <c r="F747">
        <v>0.669108414025959</v>
      </c>
      <c r="G747">
        <v>0.96429653979229202</v>
      </c>
      <c r="H747">
        <v>1.4132675747888701</v>
      </c>
      <c r="I747">
        <v>2.221750972593</v>
      </c>
      <c r="J747">
        <v>4.1343081596727496</v>
      </c>
      <c r="K747">
        <v>2.1572142145834801</v>
      </c>
      <c r="L747">
        <v>15000</v>
      </c>
      <c r="M747">
        <v>247.463051613581</v>
      </c>
      <c r="O747">
        <v>60.611153124795003</v>
      </c>
      <c r="P747">
        <v>0.510349681878006</v>
      </c>
      <c r="Q747">
        <v>1.5</v>
      </c>
      <c r="R747">
        <v>0.21033643470375499</v>
      </c>
      <c r="S747" t="s">
        <v>7364</v>
      </c>
      <c r="T747" t="s">
        <v>13232</v>
      </c>
      <c r="U747" t="s">
        <v>13232</v>
      </c>
      <c r="V747" t="s">
        <v>13232</v>
      </c>
      <c r="W747" t="s">
        <v>13959</v>
      </c>
      <c r="X747">
        <v>1</v>
      </c>
      <c r="Y747" t="s">
        <v>20494</v>
      </c>
      <c r="Z747" t="s">
        <v>26878</v>
      </c>
      <c r="AA747">
        <v>1.1563605539979871</v>
      </c>
      <c r="AB747" t="str">
        <f>HYPERLINK("Melting_Curves/meltCurve_H0YAK3_CDH18.pdf", "Melting_Curves/meltCurve_H0YAK3_CDH18.pdf")</f>
        <v>Melting_Curves/meltCurve_H0YAK3_CDH18.pdf</v>
      </c>
    </row>
    <row r="748" spans="1:28" x14ac:dyDescent="0.25">
      <c r="A748" t="s">
        <v>752</v>
      </c>
      <c r="B748">
        <v>0.99930955844802105</v>
      </c>
      <c r="C748">
        <v>0.90422954644003695</v>
      </c>
      <c r="D748">
        <v>0.86327913665461398</v>
      </c>
      <c r="E748">
        <v>0.78117429556264695</v>
      </c>
      <c r="F748">
        <v>0.66971978342507799</v>
      </c>
      <c r="G748">
        <v>0.52035146909427099</v>
      </c>
      <c r="H748">
        <v>0.41483591989630803</v>
      </c>
      <c r="I748">
        <v>0.41646578287303798</v>
      </c>
      <c r="J748">
        <v>0.354393217128746</v>
      </c>
      <c r="K748">
        <v>0.27381215096917</v>
      </c>
      <c r="L748">
        <v>457.568177164171</v>
      </c>
      <c r="M748">
        <v>8.2547249560006399</v>
      </c>
      <c r="N748">
        <v>58.467879246405303</v>
      </c>
      <c r="O748">
        <v>52.463471349828303</v>
      </c>
      <c r="P748">
        <v>-3.2510553102004E-2</v>
      </c>
      <c r="Q748">
        <v>0.17433854922676201</v>
      </c>
      <c r="R748">
        <v>0.99040269973077399</v>
      </c>
      <c r="S748" t="s">
        <v>7365</v>
      </c>
      <c r="T748" t="s">
        <v>13232</v>
      </c>
      <c r="U748" t="s">
        <v>13232</v>
      </c>
      <c r="V748" t="s">
        <v>13232</v>
      </c>
      <c r="W748" t="s">
        <v>13960</v>
      </c>
      <c r="X748">
        <v>5</v>
      </c>
      <c r="Y748" t="s">
        <v>20495</v>
      </c>
      <c r="Z748" t="s">
        <v>26879</v>
      </c>
      <c r="AA748">
        <v>0.61897575451196041</v>
      </c>
      <c r="AB748" t="str">
        <f>HYPERLINK("Melting_Curves/meltCurve_H0YB18_HYI.pdf", "Melting_Curves/meltCurve_H0YB18_HYI.pdf")</f>
        <v>Melting_Curves/meltCurve_H0YB18_HYI.pdf</v>
      </c>
    </row>
    <row r="749" spans="1:28" x14ac:dyDescent="0.25">
      <c r="A749" t="s">
        <v>753</v>
      </c>
      <c r="B749">
        <v>0.99930955844802105</v>
      </c>
      <c r="C749">
        <v>0.74094546097020397</v>
      </c>
      <c r="D749">
        <v>0.69839604318562798</v>
      </c>
      <c r="E749">
        <v>0.66806612032124701</v>
      </c>
      <c r="F749">
        <v>0.65393928408736601</v>
      </c>
      <c r="G749">
        <v>0.42615490272260298</v>
      </c>
      <c r="H749">
        <v>0.28477351435508702</v>
      </c>
      <c r="I749">
        <v>0.34595713915931098</v>
      </c>
      <c r="J749">
        <v>0.29847760578889998</v>
      </c>
      <c r="K749">
        <v>0.24424526193747101</v>
      </c>
      <c r="L749">
        <v>320.697519073482</v>
      </c>
      <c r="M749">
        <v>5.9023275082508002</v>
      </c>
      <c r="N749">
        <v>55.121319474021398</v>
      </c>
      <c r="O749">
        <v>49.076029295202197</v>
      </c>
      <c r="P749">
        <v>-2.8950974349606001E-2</v>
      </c>
      <c r="Q749">
        <v>4.0420884202051803E-2</v>
      </c>
      <c r="R749">
        <v>0.92540075572092495</v>
      </c>
      <c r="S749" t="s">
        <v>7366</v>
      </c>
      <c r="T749" t="s">
        <v>13232</v>
      </c>
      <c r="U749" t="s">
        <v>13232</v>
      </c>
      <c r="V749" t="s">
        <v>13232</v>
      </c>
      <c r="W749" t="s">
        <v>13961</v>
      </c>
      <c r="X749">
        <v>1</v>
      </c>
      <c r="Y749" t="s">
        <v>20496</v>
      </c>
      <c r="Z749" t="s">
        <v>26880</v>
      </c>
      <c r="AA749">
        <v>0.53100336965643857</v>
      </c>
      <c r="AB749" t="str">
        <f>HYPERLINK("Melting_Curves/meltCurve_H0YBG3_MYC.pdf", "Melting_Curves/meltCurve_H0YBG3_MYC.pdf")</f>
        <v>Melting_Curves/meltCurve_H0YBG3_MYC.pdf</v>
      </c>
    </row>
    <row r="750" spans="1:28" x14ac:dyDescent="0.25">
      <c r="A750" t="s">
        <v>754</v>
      </c>
      <c r="B750">
        <v>0.99930955844802105</v>
      </c>
      <c r="C750">
        <v>1.4407146797675801</v>
      </c>
      <c r="D750">
        <v>0.91630815140699895</v>
      </c>
      <c r="E750">
        <v>0.61413169676317503</v>
      </c>
      <c r="F750">
        <v>0.75164057021425201</v>
      </c>
      <c r="G750">
        <v>0.64209106049444498</v>
      </c>
      <c r="H750">
        <v>0.90028253603427599</v>
      </c>
      <c r="I750">
        <v>1.19690110652328</v>
      </c>
      <c r="J750">
        <v>1.44441894011561</v>
      </c>
      <c r="K750">
        <v>1.03145202549969</v>
      </c>
      <c r="L750">
        <v>15000</v>
      </c>
      <c r="M750">
        <v>235.94237176154499</v>
      </c>
      <c r="O750">
        <v>63.570278709037602</v>
      </c>
      <c r="P750">
        <v>0.22078295274090801</v>
      </c>
      <c r="Q750">
        <v>1.23794342161343</v>
      </c>
      <c r="R750">
        <v>0.19269715290575601</v>
      </c>
      <c r="S750" t="s">
        <v>7367</v>
      </c>
      <c r="T750" t="s">
        <v>13232</v>
      </c>
      <c r="U750" t="s">
        <v>13232</v>
      </c>
      <c r="V750" t="s">
        <v>13232</v>
      </c>
      <c r="W750" t="s">
        <v>13962</v>
      </c>
      <c r="X750">
        <v>7</v>
      </c>
      <c r="Y750" t="s">
        <v>20497</v>
      </c>
      <c r="Z750" t="s">
        <v>26881</v>
      </c>
      <c r="AA750">
        <v>1.0509309626276131</v>
      </c>
      <c r="AB750" t="str">
        <f>HYPERLINK("Melting_Curves/meltCurve_H0YBJ8_MTDH.pdf", "Melting_Curves/meltCurve_H0YBJ8_MTDH.pdf")</f>
        <v>Melting_Curves/meltCurve_H0YBJ8_MTDH.pdf</v>
      </c>
    </row>
    <row r="751" spans="1:28" x14ac:dyDescent="0.25">
      <c r="A751" t="s">
        <v>755</v>
      </c>
      <c r="B751">
        <v>0.99930955844802105</v>
      </c>
      <c r="C751">
        <v>1.0779578260705001</v>
      </c>
      <c r="D751">
        <v>1.1328097952804601</v>
      </c>
      <c r="E751">
        <v>1.2338526517983299</v>
      </c>
      <c r="F751">
        <v>0.71187124929952805</v>
      </c>
      <c r="G751">
        <v>0.22221465129606399</v>
      </c>
      <c r="H751">
        <v>0.12708204394233699</v>
      </c>
      <c r="I751">
        <v>8.8855145921523604E-2</v>
      </c>
      <c r="J751">
        <v>4.6379509153121799E-2</v>
      </c>
      <c r="K751">
        <v>6.05857388558943E-2</v>
      </c>
      <c r="L751">
        <v>2493.27110251369</v>
      </c>
      <c r="M751">
        <v>46.0089553182138</v>
      </c>
      <c r="N751">
        <v>54.420532196589697</v>
      </c>
      <c r="O751">
        <v>54.088916554796697</v>
      </c>
      <c r="P751">
        <v>-0.19390087959535099</v>
      </c>
      <c r="Q751">
        <v>8.8188289393198005E-2</v>
      </c>
      <c r="R751">
        <v>0.95828041815343801</v>
      </c>
      <c r="S751" t="s">
        <v>7368</v>
      </c>
      <c r="T751" t="s">
        <v>13232</v>
      </c>
      <c r="U751" t="s">
        <v>13232</v>
      </c>
      <c r="V751" t="s">
        <v>13232</v>
      </c>
      <c r="W751" t="s">
        <v>13963</v>
      </c>
      <c r="X751">
        <v>1</v>
      </c>
      <c r="Y751" t="s">
        <v>20498</v>
      </c>
      <c r="Z751" t="s">
        <v>26882</v>
      </c>
      <c r="AA751">
        <v>0.52208030232413472</v>
      </c>
      <c r="AB751" t="str">
        <f>HYPERLINK("Melting_Curves/meltCurve_H0YBQ5_CCNC.pdf", "Melting_Curves/meltCurve_H0YBQ5_CCNC.pdf")</f>
        <v>Melting_Curves/meltCurve_H0YBQ5_CCNC.pdf</v>
      </c>
    </row>
    <row r="752" spans="1:28" x14ac:dyDescent="0.25">
      <c r="A752" t="s">
        <v>756</v>
      </c>
      <c r="B752">
        <v>0.99930955844802105</v>
      </c>
      <c r="C752">
        <v>1.1050746042722099</v>
      </c>
      <c r="D752">
        <v>1.0606061128994999</v>
      </c>
      <c r="E752">
        <v>0.87403360430890298</v>
      </c>
      <c r="F752">
        <v>0.74283459330261103</v>
      </c>
      <c r="G752">
        <v>0.541882963102711</v>
      </c>
      <c r="H752">
        <v>0.27623639694289598</v>
      </c>
      <c r="I752">
        <v>0.14454251225631501</v>
      </c>
      <c r="J752">
        <v>0.104675410095492</v>
      </c>
      <c r="K752">
        <v>7.9896603723242199E-2</v>
      </c>
      <c r="L752">
        <v>911.40664856647004</v>
      </c>
      <c r="M752">
        <v>15.9956928921175</v>
      </c>
      <c r="N752">
        <v>57.142927239168699</v>
      </c>
      <c r="O752">
        <v>56.110022570149603</v>
      </c>
      <c r="P752">
        <v>-6.9669455255197896E-2</v>
      </c>
      <c r="Q752">
        <v>2.25249029645786E-2</v>
      </c>
      <c r="R752">
        <v>0.985602063675733</v>
      </c>
      <c r="S752" t="s">
        <v>7369</v>
      </c>
      <c r="T752" t="s">
        <v>13232</v>
      </c>
      <c r="U752" t="s">
        <v>13232</v>
      </c>
      <c r="V752" t="s">
        <v>13232</v>
      </c>
      <c r="W752" t="s">
        <v>13964</v>
      </c>
      <c r="X752">
        <v>2</v>
      </c>
      <c r="Y752" t="s">
        <v>20499</v>
      </c>
      <c r="Z752" t="s">
        <v>26883</v>
      </c>
      <c r="AA752">
        <v>0.59059001870292505</v>
      </c>
      <c r="AB752" t="str">
        <f>HYPERLINK("Melting_Curves/meltCurve_H0YBU8_MRPL43.pdf", "Melting_Curves/meltCurve_H0YBU8_MRPL43.pdf")</f>
        <v>Melting_Curves/meltCurve_H0YBU8_MRPL43.pdf</v>
      </c>
    </row>
    <row r="753" spans="1:28" x14ac:dyDescent="0.25">
      <c r="A753" t="s">
        <v>757</v>
      </c>
      <c r="B753">
        <v>0.99930955844802105</v>
      </c>
      <c r="C753">
        <v>1.0604826814756501</v>
      </c>
      <c r="D753">
        <v>1.0091830117535601</v>
      </c>
      <c r="E753">
        <v>0.92981146152000704</v>
      </c>
      <c r="F753">
        <v>0.81233293736669498</v>
      </c>
      <c r="G753">
        <v>0.61829371231514096</v>
      </c>
      <c r="H753">
        <v>0.47743628580142899</v>
      </c>
      <c r="I753">
        <v>0.53573404819550896</v>
      </c>
      <c r="J753">
        <v>0.464856902470204</v>
      </c>
      <c r="K753">
        <v>0.43688566450051203</v>
      </c>
      <c r="L753">
        <v>1191.93568325313</v>
      </c>
      <c r="M753">
        <v>21.841407051793102</v>
      </c>
      <c r="N753">
        <v>61.626071623403398</v>
      </c>
      <c r="O753">
        <v>54.121002991323202</v>
      </c>
      <c r="P753">
        <v>-5.4587920261290203E-2</v>
      </c>
      <c r="Q753">
        <v>0.45895699320966499</v>
      </c>
      <c r="R753">
        <v>0.98434512598301005</v>
      </c>
      <c r="S753" t="s">
        <v>7370</v>
      </c>
      <c r="T753" t="s">
        <v>13232</v>
      </c>
      <c r="U753" t="s">
        <v>13232</v>
      </c>
      <c r="V753" t="s">
        <v>13232</v>
      </c>
      <c r="W753" t="s">
        <v>13965</v>
      </c>
      <c r="X753">
        <v>2</v>
      </c>
      <c r="Y753" t="s">
        <v>20500</v>
      </c>
      <c r="Z753" t="s">
        <v>26884</v>
      </c>
      <c r="AA753">
        <v>0.72808490422363004</v>
      </c>
      <c r="AB753" t="str">
        <f>HYPERLINK("Melting_Curves/meltCurve_H0YBZ4_MTFR1.pdf", "Melting_Curves/meltCurve_H0YBZ4_MTFR1.pdf")</f>
        <v>Melting_Curves/meltCurve_H0YBZ4_MTFR1.pdf</v>
      </c>
    </row>
    <row r="754" spans="1:28" x14ac:dyDescent="0.25">
      <c r="A754" t="s">
        <v>758</v>
      </c>
      <c r="B754">
        <v>0.99930955844802105</v>
      </c>
      <c r="C754">
        <v>0.932362818714216</v>
      </c>
      <c r="D754">
        <v>0.92571022386233703</v>
      </c>
      <c r="E754">
        <v>0.73349049347267004</v>
      </c>
      <c r="F754">
        <v>0.77164474745743905</v>
      </c>
      <c r="G754">
        <v>0.63356893250687896</v>
      </c>
      <c r="H754">
        <v>0.59629194533976104</v>
      </c>
      <c r="I754">
        <v>0.60793290697014701</v>
      </c>
      <c r="J754">
        <v>0.54896273718192501</v>
      </c>
      <c r="K754">
        <v>0.39881812991992099</v>
      </c>
      <c r="L754">
        <v>352.85788342852197</v>
      </c>
      <c r="M754">
        <v>5.9812376780944199</v>
      </c>
      <c r="N754">
        <v>67.289843434668896</v>
      </c>
      <c r="O754">
        <v>53.412285874726102</v>
      </c>
      <c r="P754">
        <v>-2.07615943927494E-2</v>
      </c>
      <c r="Q754">
        <v>0.26081887889843502</v>
      </c>
      <c r="R754">
        <v>0.93465998054532795</v>
      </c>
      <c r="S754" t="s">
        <v>7371</v>
      </c>
      <c r="T754" t="s">
        <v>13232</v>
      </c>
      <c r="U754" t="s">
        <v>13232</v>
      </c>
      <c r="V754" t="s">
        <v>13232</v>
      </c>
      <c r="W754" t="s">
        <v>13693</v>
      </c>
      <c r="X754">
        <v>22</v>
      </c>
      <c r="Y754" t="s">
        <v>20232</v>
      </c>
      <c r="Z754" t="s">
        <v>26885</v>
      </c>
      <c r="AA754">
        <v>0.71322612473283187</v>
      </c>
      <c r="AB754" t="str">
        <f>HYPERLINK("Melting_Curves/meltCurve_H0YCG1_SF3B2.pdf", "Melting_Curves/meltCurve_H0YCG1_SF3B2.pdf")</f>
        <v>Melting_Curves/meltCurve_H0YCG1_SF3B2.pdf</v>
      </c>
    </row>
    <row r="755" spans="1:28" x14ac:dyDescent="0.25">
      <c r="A755" t="s">
        <v>759</v>
      </c>
      <c r="B755">
        <v>0.99930955844802105</v>
      </c>
      <c r="C755">
        <v>1.43039214708308</v>
      </c>
      <c r="D755">
        <v>1.2049268537747699</v>
      </c>
      <c r="E755">
        <v>1.1994428213038699</v>
      </c>
      <c r="F755">
        <v>1.24958160082748</v>
      </c>
      <c r="G755">
        <v>0.83019346426292295</v>
      </c>
      <c r="H755">
        <v>0.70172605279843203</v>
      </c>
      <c r="I755">
        <v>0.80830729238059296</v>
      </c>
      <c r="J755">
        <v>0.72764908320174204</v>
      </c>
      <c r="K755">
        <v>0.56227039740572005</v>
      </c>
      <c r="L755">
        <v>14234.8637934913</v>
      </c>
      <c r="M755">
        <v>250</v>
      </c>
      <c r="O755">
        <v>56.935811004802702</v>
      </c>
      <c r="P755">
        <v>-0.32933117086944602</v>
      </c>
      <c r="Q755">
        <v>0.69998820128749695</v>
      </c>
      <c r="R755">
        <v>0.51342172137613895</v>
      </c>
      <c r="S755" t="s">
        <v>7372</v>
      </c>
      <c r="T755" t="s">
        <v>13232</v>
      </c>
      <c r="U755" t="s">
        <v>13232</v>
      </c>
      <c r="V755" t="s">
        <v>13232</v>
      </c>
      <c r="W755" t="s">
        <v>13966</v>
      </c>
      <c r="X755">
        <v>1</v>
      </c>
      <c r="Y755" t="s">
        <v>20501</v>
      </c>
      <c r="Z755" t="s">
        <v>26886</v>
      </c>
      <c r="AA755">
        <v>0.86941939468885132</v>
      </c>
      <c r="AB755" t="str">
        <f>HYPERLINK("Melting_Curves/meltCurve_H0YCU9_TAGLN.pdf", "Melting_Curves/meltCurve_H0YCU9_TAGLN.pdf")</f>
        <v>Melting_Curves/meltCurve_H0YCU9_TAGLN.pdf</v>
      </c>
    </row>
    <row r="756" spans="1:28" x14ac:dyDescent="0.25">
      <c r="A756" t="s">
        <v>760</v>
      </c>
      <c r="B756">
        <v>0.99930955844802105</v>
      </c>
      <c r="C756">
        <v>1.0659799309747</v>
      </c>
      <c r="D756">
        <v>1.01848843184171</v>
      </c>
      <c r="E756">
        <v>0.988623750146295</v>
      </c>
      <c r="F756">
        <v>0.79389215675907099</v>
      </c>
      <c r="G756">
        <v>0.69347306753280702</v>
      </c>
      <c r="H756">
        <v>0.59828071472532296</v>
      </c>
      <c r="I756">
        <v>0.72911564119859196</v>
      </c>
      <c r="J756">
        <v>0.71750722841561598</v>
      </c>
      <c r="K756">
        <v>0.59077608979413498</v>
      </c>
      <c r="L756">
        <v>2955.3109088972401</v>
      </c>
      <c r="M756">
        <v>56.196713381120396</v>
      </c>
      <c r="O756">
        <v>52.522194800054898</v>
      </c>
      <c r="P756">
        <v>-8.9702371024327904E-2</v>
      </c>
      <c r="Q756">
        <v>0.66465196891924505</v>
      </c>
      <c r="R756">
        <v>0.92550625804160402</v>
      </c>
      <c r="S756" t="s">
        <v>7373</v>
      </c>
      <c r="T756" t="s">
        <v>13232</v>
      </c>
      <c r="U756" t="s">
        <v>13232</v>
      </c>
      <c r="V756" t="s">
        <v>13232</v>
      </c>
      <c r="W756" t="s">
        <v>13967</v>
      </c>
      <c r="X756">
        <v>3</v>
      </c>
      <c r="Y756" t="s">
        <v>20502</v>
      </c>
      <c r="Z756" t="s">
        <v>26887</v>
      </c>
      <c r="AA756">
        <v>0.80598666373387573</v>
      </c>
      <c r="AB756" t="str">
        <f>HYPERLINK("Melting_Curves/meltCurve_H0YDE2_PLEKHA7.pdf", "Melting_Curves/meltCurve_H0YDE2_PLEKHA7.pdf")</f>
        <v>Melting_Curves/meltCurve_H0YDE2_PLEKHA7.pdf</v>
      </c>
    </row>
    <row r="757" spans="1:28" x14ac:dyDescent="0.25">
      <c r="A757" t="s">
        <v>761</v>
      </c>
      <c r="B757">
        <v>0.99930955844802105</v>
      </c>
      <c r="C757">
        <v>0.86619038295447603</v>
      </c>
      <c r="D757">
        <v>0.79992290034984304</v>
      </c>
      <c r="E757">
        <v>0.60555214934086898</v>
      </c>
      <c r="F757">
        <v>0.44671340294171202</v>
      </c>
      <c r="G757">
        <v>0.22273584634129401</v>
      </c>
      <c r="H757">
        <v>0.28877155684259698</v>
      </c>
      <c r="I757">
        <v>0.20425860072649299</v>
      </c>
      <c r="J757">
        <v>0.31541267964230202</v>
      </c>
      <c r="K757">
        <v>0.25513708354429898</v>
      </c>
      <c r="L757">
        <v>746.39801922543995</v>
      </c>
      <c r="M757">
        <v>15.176343314127401</v>
      </c>
      <c r="N757">
        <v>51.289863703667201</v>
      </c>
      <c r="O757">
        <v>48.3514635715132</v>
      </c>
      <c r="P757">
        <v>-6.0266268965825397E-2</v>
      </c>
      <c r="Q757">
        <v>0.232046584321913</v>
      </c>
      <c r="R757">
        <v>0.971319585335087</v>
      </c>
      <c r="S757" t="s">
        <v>7374</v>
      </c>
      <c r="T757" t="s">
        <v>13232</v>
      </c>
      <c r="U757" t="s">
        <v>13232</v>
      </c>
      <c r="V757" t="s">
        <v>13232</v>
      </c>
      <c r="W757" t="s">
        <v>13968</v>
      </c>
      <c r="X757">
        <v>5</v>
      </c>
      <c r="Y757" t="s">
        <v>20503</v>
      </c>
      <c r="Z757" t="s">
        <v>26888</v>
      </c>
      <c r="AA757">
        <v>0.48550480341526842</v>
      </c>
      <c r="AB757" t="str">
        <f>HYPERLINK("Melting_Curves/meltCurve_H0YDF9_SCRIB.pdf", "Melting_Curves/meltCurve_H0YDF9_SCRIB.pdf")</f>
        <v>Melting_Curves/meltCurve_H0YDF9_SCRIB.pdf</v>
      </c>
    </row>
    <row r="758" spans="1:28" x14ac:dyDescent="0.25">
      <c r="A758" t="s">
        <v>762</v>
      </c>
      <c r="B758">
        <v>0.99930955844802105</v>
      </c>
      <c r="C758">
        <v>0.81200856933233101</v>
      </c>
      <c r="D758">
        <v>0.88459084619932804</v>
      </c>
      <c r="E758">
        <v>0.657296865339833</v>
      </c>
      <c r="F758">
        <v>0.72101425982283096</v>
      </c>
      <c r="G758">
        <v>0.72729699022404504</v>
      </c>
      <c r="H758">
        <v>0.86579008972557103</v>
      </c>
      <c r="I758">
        <v>1.0953345267135199</v>
      </c>
      <c r="J758">
        <v>1.21735809513231</v>
      </c>
      <c r="K758">
        <v>0.85954680552840601</v>
      </c>
      <c r="L758">
        <v>10205.957445039299</v>
      </c>
      <c r="M758">
        <v>250</v>
      </c>
      <c r="O758">
        <v>40.821217460683997</v>
      </c>
      <c r="P758">
        <v>-0.197297152864604</v>
      </c>
      <c r="Q758">
        <v>0.87113744087336997</v>
      </c>
      <c r="R758">
        <v>5.3239043181189299E-2</v>
      </c>
      <c r="S758" t="s">
        <v>7375</v>
      </c>
      <c r="T758" t="s">
        <v>13232</v>
      </c>
      <c r="U758" t="s">
        <v>13232</v>
      </c>
      <c r="V758" t="s">
        <v>13232</v>
      </c>
      <c r="W758" t="s">
        <v>13969</v>
      </c>
      <c r="X758">
        <v>2</v>
      </c>
      <c r="Y758" t="s">
        <v>20504</v>
      </c>
      <c r="Z758" t="s">
        <v>26889</v>
      </c>
      <c r="AA758">
        <v>0.87468923496058482</v>
      </c>
      <c r="AB758" t="str">
        <f>HYPERLINK("Melting_Curves/meltCurve_H0YDS2_TRMT44.pdf", "Melting_Curves/meltCurve_H0YDS2_TRMT44.pdf")</f>
        <v>Melting_Curves/meltCurve_H0YDS2_TRMT44.pdf</v>
      </c>
    </row>
    <row r="759" spans="1:28" x14ac:dyDescent="0.25">
      <c r="A759" t="s">
        <v>763</v>
      </c>
      <c r="B759">
        <v>0.99930955844802105</v>
      </c>
      <c r="C759">
        <v>1.1869662358467299</v>
      </c>
      <c r="D759">
        <v>1.1750352799678501</v>
      </c>
      <c r="E759">
        <v>0.99126202363570703</v>
      </c>
      <c r="F759">
        <v>0.61813026159918805</v>
      </c>
      <c r="G759">
        <v>0.33939810783632601</v>
      </c>
      <c r="H759">
        <v>0.190114034569941</v>
      </c>
      <c r="I759">
        <v>0.12380540087963</v>
      </c>
      <c r="J759">
        <v>0.122246482692835</v>
      </c>
      <c r="K759">
        <v>8.0302599131779007E-2</v>
      </c>
      <c r="L759">
        <v>1483.9780087126001</v>
      </c>
      <c r="M759">
        <v>27.404476629029599</v>
      </c>
      <c r="N759">
        <v>54.691832400226097</v>
      </c>
      <c r="O759">
        <v>53.865050145580398</v>
      </c>
      <c r="P759">
        <v>-0.11209364833851</v>
      </c>
      <c r="Q759">
        <v>0.118702583293781</v>
      </c>
      <c r="R759">
        <v>0.95741439868982403</v>
      </c>
      <c r="S759" t="s">
        <v>7376</v>
      </c>
      <c r="T759" t="s">
        <v>13232</v>
      </c>
      <c r="U759" t="s">
        <v>13232</v>
      </c>
      <c r="V759" t="s">
        <v>13232</v>
      </c>
      <c r="W759" t="s">
        <v>13970</v>
      </c>
      <c r="X759">
        <v>27</v>
      </c>
      <c r="Y759" t="s">
        <v>20505</v>
      </c>
      <c r="Z759" t="s">
        <v>26890</v>
      </c>
      <c r="AA759">
        <v>0.54129558498518549</v>
      </c>
      <c r="AB759" t="str">
        <f>HYPERLINK("Melting_Curves/meltCurve_H0YDU8_PPP5C.pdf", "Melting_Curves/meltCurve_H0YDU8_PPP5C.pdf")</f>
        <v>Melting_Curves/meltCurve_H0YDU8_PPP5C.pdf</v>
      </c>
    </row>
    <row r="760" spans="1:28" x14ac:dyDescent="0.25">
      <c r="A760" t="s">
        <v>764</v>
      </c>
      <c r="B760">
        <v>0.99930955844802105</v>
      </c>
      <c r="C760">
        <v>1.2743349354551201</v>
      </c>
      <c r="D760">
        <v>1.30825757363277</v>
      </c>
      <c r="E760">
        <v>1.2246657088133801</v>
      </c>
      <c r="F760">
        <v>0.84980988441266503</v>
      </c>
      <c r="G760">
        <v>0.540938008127818</v>
      </c>
      <c r="H760">
        <v>0.47822765799452099</v>
      </c>
      <c r="I760">
        <v>0.43834886726507</v>
      </c>
      <c r="J760">
        <v>0.428653998990428</v>
      </c>
      <c r="K760">
        <v>0.36454266894998499</v>
      </c>
      <c r="L760">
        <v>2312.2149604739802</v>
      </c>
      <c r="M760">
        <v>42.140698235495599</v>
      </c>
      <c r="N760">
        <v>57.493823825552802</v>
      </c>
      <c r="O760">
        <v>54.745802957765399</v>
      </c>
      <c r="P760">
        <v>-0.110269976681675</v>
      </c>
      <c r="Q760">
        <v>0.42698547912664497</v>
      </c>
      <c r="R760">
        <v>0.82516759479731305</v>
      </c>
      <c r="S760" t="s">
        <v>7377</v>
      </c>
      <c r="T760" t="s">
        <v>13232</v>
      </c>
      <c r="U760" t="s">
        <v>13232</v>
      </c>
      <c r="V760" t="s">
        <v>13232</v>
      </c>
      <c r="W760" t="s">
        <v>13971</v>
      </c>
      <c r="X760">
        <v>3</v>
      </c>
      <c r="Y760" t="s">
        <v>20506</v>
      </c>
      <c r="Z760" t="s">
        <v>26891</v>
      </c>
      <c r="AA760">
        <v>0.71294135430935723</v>
      </c>
      <c r="AB760" t="str">
        <f>HYPERLINK("Melting_Curves/meltCurve_H0YE28_C11orf31.pdf", "Melting_Curves/meltCurve_H0YE28_C11orf31.pdf")</f>
        <v>Melting_Curves/meltCurve_H0YE28_C11orf31.pdf</v>
      </c>
    </row>
    <row r="761" spans="1:28" x14ac:dyDescent="0.25">
      <c r="A761" t="s">
        <v>765</v>
      </c>
      <c r="B761">
        <v>0.99930955844802105</v>
      </c>
      <c r="C761">
        <v>0.71895254328844804</v>
      </c>
      <c r="D761">
        <v>0.46799779869081198</v>
      </c>
      <c r="E761">
        <v>0.64238220242657496</v>
      </c>
      <c r="F761">
        <v>0.35050995046405198</v>
      </c>
      <c r="G761">
        <v>0.15008394184257801</v>
      </c>
      <c r="H761">
        <v>0.16701855952469799</v>
      </c>
      <c r="I761">
        <v>0.19227232191470001</v>
      </c>
      <c r="J761">
        <v>0.19031286788502699</v>
      </c>
      <c r="K761">
        <v>0.117727271421959</v>
      </c>
      <c r="L761">
        <v>459.32909902306801</v>
      </c>
      <c r="M761">
        <v>9.6310101528513492</v>
      </c>
      <c r="N761">
        <v>48.7598357921283</v>
      </c>
      <c r="O761">
        <v>45.772616008609702</v>
      </c>
      <c r="P761">
        <v>-4.7630747359125397E-2</v>
      </c>
      <c r="Q761">
        <v>9.5023196999539095E-2</v>
      </c>
      <c r="R761">
        <v>0.88416104713634602</v>
      </c>
      <c r="S761" t="s">
        <v>7378</v>
      </c>
      <c r="T761" t="s">
        <v>13232</v>
      </c>
      <c r="U761" t="s">
        <v>13232</v>
      </c>
      <c r="V761" t="s">
        <v>13232</v>
      </c>
      <c r="W761" t="s">
        <v>13972</v>
      </c>
      <c r="X761">
        <v>1</v>
      </c>
      <c r="Y761" t="s">
        <v>20507</v>
      </c>
      <c r="Z761" t="s">
        <v>26892</v>
      </c>
      <c r="AA761">
        <v>0.37915452380556047</v>
      </c>
      <c r="AB761" t="str">
        <f>HYPERLINK("Melting_Curves/meltCurve_H0YE57_DHCR7.pdf", "Melting_Curves/meltCurve_H0YE57_DHCR7.pdf")</f>
        <v>Melting_Curves/meltCurve_H0YE57_DHCR7.pdf</v>
      </c>
    </row>
    <row r="762" spans="1:28" x14ac:dyDescent="0.25">
      <c r="A762" t="s">
        <v>766</v>
      </c>
      <c r="B762">
        <v>0.99930955844802105</v>
      </c>
      <c r="C762">
        <v>1.0241963494214401</v>
      </c>
      <c r="D762">
        <v>1.0366396087883401</v>
      </c>
      <c r="E762">
        <v>0.80857178242092798</v>
      </c>
      <c r="F762">
        <v>0.25136049505762198</v>
      </c>
      <c r="G762">
        <v>0.17538451846563299</v>
      </c>
      <c r="H762">
        <v>8.4699155664016507E-2</v>
      </c>
      <c r="I762">
        <v>6.08382268567874E-2</v>
      </c>
      <c r="J762">
        <v>6.4783323832806702E-2</v>
      </c>
      <c r="K762">
        <v>4.2799995387791098E-2</v>
      </c>
      <c r="L762">
        <v>2413.0283048966598</v>
      </c>
      <c r="M762">
        <v>46.947921385195599</v>
      </c>
      <c r="N762">
        <v>51.595411947298103</v>
      </c>
      <c r="O762">
        <v>51.304985339810102</v>
      </c>
      <c r="P762">
        <v>-0.209960871922895</v>
      </c>
      <c r="Q762">
        <v>8.2214753377853403E-2</v>
      </c>
      <c r="R762">
        <v>0.99354937169243296</v>
      </c>
      <c r="S762" t="s">
        <v>7379</v>
      </c>
      <c r="T762" t="s">
        <v>13232</v>
      </c>
      <c r="U762" t="s">
        <v>13232</v>
      </c>
      <c r="V762" t="s">
        <v>13232</v>
      </c>
      <c r="W762" t="s">
        <v>13973</v>
      </c>
      <c r="X762">
        <v>7</v>
      </c>
      <c r="Y762" t="s">
        <v>20508</v>
      </c>
      <c r="Z762" t="s">
        <v>26893</v>
      </c>
      <c r="AA762">
        <v>0.4332730342715288</v>
      </c>
      <c r="AB762" t="str">
        <f>HYPERLINK("Melting_Curves/meltCurve_H0YE76_ASCC1.pdf", "Melting_Curves/meltCurve_H0YE76_ASCC1.pdf")</f>
        <v>Melting_Curves/meltCurve_H0YE76_ASCC1.pdf</v>
      </c>
    </row>
    <row r="763" spans="1:28" x14ac:dyDescent="0.25">
      <c r="A763" t="s">
        <v>767</v>
      </c>
      <c r="B763">
        <v>0.99930955844802105</v>
      </c>
      <c r="C763">
        <v>0.87938439509280797</v>
      </c>
      <c r="D763">
        <v>0.90349357160882104</v>
      </c>
      <c r="E763">
        <v>0.90246260446797399</v>
      </c>
      <c r="F763">
        <v>0.79434954755895903</v>
      </c>
      <c r="G763">
        <v>0.68814887614504205</v>
      </c>
      <c r="H763">
        <v>0.36639620985479798</v>
      </c>
      <c r="I763">
        <v>0.30115765200054301</v>
      </c>
      <c r="J763">
        <v>0.26009912806931601</v>
      </c>
      <c r="K763">
        <v>0.207217548312539</v>
      </c>
      <c r="L763">
        <v>677.62350036427199</v>
      </c>
      <c r="M763">
        <v>11.531627306544999</v>
      </c>
      <c r="N763">
        <v>59.440642416160202</v>
      </c>
      <c r="O763">
        <v>57.078398258777497</v>
      </c>
      <c r="P763">
        <v>-4.7406536062255998E-2</v>
      </c>
      <c r="Q763">
        <v>6.1666373895136302E-2</v>
      </c>
      <c r="R763">
        <v>0.96965853209298303</v>
      </c>
      <c r="S763" t="s">
        <v>7380</v>
      </c>
      <c r="T763" t="s">
        <v>13232</v>
      </c>
      <c r="U763" t="s">
        <v>13232</v>
      </c>
      <c r="V763" t="s">
        <v>13232</v>
      </c>
      <c r="W763" t="s">
        <v>13974</v>
      </c>
      <c r="X763">
        <v>7</v>
      </c>
      <c r="Y763" t="s">
        <v>20509</v>
      </c>
      <c r="Z763" t="s">
        <v>26894</v>
      </c>
      <c r="AA763">
        <v>0.65639464502760181</v>
      </c>
      <c r="AB763" t="str">
        <f>HYPERLINK("Melting_Curves/meltCurve_H0YEB6_SSSCA1.pdf", "Melting_Curves/meltCurve_H0YEB6_SSSCA1.pdf")</f>
        <v>Melting_Curves/meltCurve_H0YEB6_SSSCA1.pdf</v>
      </c>
    </row>
    <row r="764" spans="1:28" x14ac:dyDescent="0.25">
      <c r="A764" t="s">
        <v>768</v>
      </c>
      <c r="B764">
        <v>0.99930955844802105</v>
      </c>
      <c r="C764">
        <v>1.14909327025478</v>
      </c>
      <c r="D764">
        <v>1.00618937351979</v>
      </c>
      <c r="E764">
        <v>0.63217007580764994</v>
      </c>
      <c r="F764">
        <v>0.54763200648159205</v>
      </c>
      <c r="G764">
        <v>0.43694588119837902</v>
      </c>
      <c r="H764">
        <v>0.37052995201969102</v>
      </c>
      <c r="I764">
        <v>0.20072202500839201</v>
      </c>
      <c r="J764">
        <v>0.16628559028388401</v>
      </c>
      <c r="K764">
        <v>0.120847558606688</v>
      </c>
      <c r="L764">
        <v>717.43585901836695</v>
      </c>
      <c r="M764">
        <v>13.4502271606574</v>
      </c>
      <c r="N764">
        <v>54.616874646001101</v>
      </c>
      <c r="O764">
        <v>52.202365575035799</v>
      </c>
      <c r="P764">
        <v>-5.5733087248985402E-2</v>
      </c>
      <c r="Q764">
        <v>0.134899615281312</v>
      </c>
      <c r="R764">
        <v>0.94292067654145495</v>
      </c>
      <c r="S764" t="s">
        <v>7381</v>
      </c>
      <c r="T764" t="s">
        <v>13232</v>
      </c>
      <c r="U764" t="s">
        <v>13232</v>
      </c>
      <c r="V764" t="s">
        <v>13232</v>
      </c>
      <c r="W764" t="s">
        <v>13975</v>
      </c>
      <c r="X764">
        <v>3</v>
      </c>
      <c r="Y764" t="s">
        <v>20510</v>
      </c>
      <c r="Z764" t="s">
        <v>26895</v>
      </c>
      <c r="AA764">
        <v>0.54065230112337948</v>
      </c>
      <c r="AB764" t="str">
        <f>HYPERLINK("Melting_Curves/meltCurve_H0YEB8_RNPC3.pdf", "Melting_Curves/meltCurve_H0YEB8_RNPC3.pdf")</f>
        <v>Melting_Curves/meltCurve_H0YEB8_RNPC3.pdf</v>
      </c>
    </row>
    <row r="765" spans="1:28" x14ac:dyDescent="0.25">
      <c r="A765" t="s">
        <v>769</v>
      </c>
      <c r="B765">
        <v>0.99930955844802105</v>
      </c>
      <c r="C765">
        <v>0.90783212593543305</v>
      </c>
      <c r="D765">
        <v>0.696474572829756</v>
      </c>
      <c r="E765">
        <v>0.545326233031866</v>
      </c>
      <c r="F765">
        <v>0.40641992277497901</v>
      </c>
      <c r="G765">
        <v>0.27124623722109598</v>
      </c>
      <c r="H765">
        <v>0.191069813114671</v>
      </c>
      <c r="I765">
        <v>0.16381795672701699</v>
      </c>
      <c r="J765">
        <v>0.12653160134083399</v>
      </c>
      <c r="K765">
        <v>0.113906837646726</v>
      </c>
      <c r="L765">
        <v>576.29277989839704</v>
      </c>
      <c r="M765">
        <v>11.5535684537581</v>
      </c>
      <c r="N765">
        <v>50.7549930690558</v>
      </c>
      <c r="O765">
        <v>48.455971281749797</v>
      </c>
      <c r="P765">
        <v>-5.42415665540633E-2</v>
      </c>
      <c r="Q765">
        <v>9.0291742072769507E-2</v>
      </c>
      <c r="R765">
        <v>0.99333201913945401</v>
      </c>
      <c r="S765" t="s">
        <v>7382</v>
      </c>
      <c r="T765" t="s">
        <v>13232</v>
      </c>
      <c r="U765" t="s">
        <v>13232</v>
      </c>
      <c r="V765" t="s">
        <v>13232</v>
      </c>
      <c r="W765" t="s">
        <v>13976</v>
      </c>
      <c r="X765">
        <v>8</v>
      </c>
      <c r="Y765" t="s">
        <v>20511</v>
      </c>
      <c r="Z765" t="s">
        <v>26896</v>
      </c>
      <c r="AA765">
        <v>0.42353197041942803</v>
      </c>
      <c r="AB765" t="str">
        <f>HYPERLINK("Melting_Curves/meltCurve_H0YEF3_RNASEH2C.pdf", "Melting_Curves/meltCurve_H0YEF3_RNASEH2C.pdf")</f>
        <v>Melting_Curves/meltCurve_H0YEF3_RNASEH2C.pdf</v>
      </c>
    </row>
    <row r="766" spans="1:28" x14ac:dyDescent="0.25">
      <c r="A766" t="s">
        <v>770</v>
      </c>
      <c r="B766">
        <v>0.99930955844802105</v>
      </c>
      <c r="C766">
        <v>0.98115728017502402</v>
      </c>
      <c r="D766">
        <v>0.92986772569879095</v>
      </c>
      <c r="E766">
        <v>0.73204239752783595</v>
      </c>
      <c r="F766">
        <v>0.46253312393311502</v>
      </c>
      <c r="G766">
        <v>0.327379751677218</v>
      </c>
      <c r="H766">
        <v>0.230626170628529</v>
      </c>
      <c r="I766">
        <v>0.18775924691895299</v>
      </c>
      <c r="J766">
        <v>0.15826797547597399</v>
      </c>
      <c r="K766">
        <v>0.13151149692037101</v>
      </c>
      <c r="L766">
        <v>895.46134690601002</v>
      </c>
      <c r="M766">
        <v>17.2227193927603</v>
      </c>
      <c r="N766">
        <v>53.067339157998802</v>
      </c>
      <c r="O766">
        <v>51.307255099758301</v>
      </c>
      <c r="P766">
        <v>-7.1572097193923795E-2</v>
      </c>
      <c r="Q766">
        <v>0.14718409539462901</v>
      </c>
      <c r="R766">
        <v>0.99646733538383003</v>
      </c>
      <c r="S766" t="s">
        <v>7383</v>
      </c>
      <c r="T766" t="s">
        <v>13232</v>
      </c>
      <c r="U766" t="s">
        <v>13232</v>
      </c>
      <c r="V766" t="s">
        <v>13232</v>
      </c>
      <c r="W766" t="s">
        <v>13977</v>
      </c>
      <c r="X766">
        <v>5</v>
      </c>
      <c r="Y766" t="s">
        <v>20512</v>
      </c>
      <c r="Z766" t="s">
        <v>26897</v>
      </c>
      <c r="AA766">
        <v>0.50340225208897771</v>
      </c>
      <c r="AB766" t="str">
        <f>HYPERLINK("Melting_Curves/meltCurve_H0YEL0_GEMIN2.pdf", "Melting_Curves/meltCurve_H0YEL0_GEMIN2.pdf")</f>
        <v>Melting_Curves/meltCurve_H0YEL0_GEMIN2.pdf</v>
      </c>
    </row>
    <row r="767" spans="1:28" x14ac:dyDescent="0.25">
      <c r="A767" t="s">
        <v>771</v>
      </c>
      <c r="B767">
        <v>0.99930955844802105</v>
      </c>
      <c r="C767">
        <v>0.90239438219672596</v>
      </c>
      <c r="D767">
        <v>0.91049562021971597</v>
      </c>
      <c r="E767">
        <v>0.82710489683163302</v>
      </c>
      <c r="F767">
        <v>0.74004902341098799</v>
      </c>
      <c r="G767">
        <v>0.63282264451263703</v>
      </c>
      <c r="H767">
        <v>0.57191115772330403</v>
      </c>
      <c r="I767">
        <v>0.65115509247158398</v>
      </c>
      <c r="J767">
        <v>0.60030076037196101</v>
      </c>
      <c r="K767">
        <v>0.49126004815770302</v>
      </c>
      <c r="L767">
        <v>492.05743521366099</v>
      </c>
      <c r="M767">
        <v>9.3809350504857107</v>
      </c>
      <c r="O767">
        <v>50.234945545983102</v>
      </c>
      <c r="P767">
        <v>-2.3171017471293801E-2</v>
      </c>
      <c r="Q767">
        <v>0.50398426224001802</v>
      </c>
      <c r="R767">
        <v>0.94235905349094795</v>
      </c>
      <c r="S767" t="s">
        <v>7384</v>
      </c>
      <c r="T767" t="s">
        <v>13232</v>
      </c>
      <c r="U767" t="s">
        <v>13232</v>
      </c>
      <c r="V767" t="s">
        <v>13232</v>
      </c>
      <c r="W767" t="s">
        <v>13978</v>
      </c>
      <c r="X767">
        <v>2</v>
      </c>
      <c r="Y767" t="s">
        <v>20513</v>
      </c>
      <c r="Z767" t="s">
        <v>26898</v>
      </c>
      <c r="AA767">
        <v>0.72902932801063158</v>
      </c>
      <c r="AB767" t="str">
        <f>HYPERLINK("Melting_Curves/meltCurve_H0YFB1_PKP4.pdf", "Melting_Curves/meltCurve_H0YFB1_PKP4.pdf")</f>
        <v>Melting_Curves/meltCurve_H0YFB1_PKP4.pdf</v>
      </c>
    </row>
    <row r="768" spans="1:28" x14ac:dyDescent="0.25">
      <c r="A768" t="s">
        <v>772</v>
      </c>
      <c r="B768">
        <v>0.99930955844802105</v>
      </c>
      <c r="C768">
        <v>1.0576731195892899</v>
      </c>
      <c r="D768">
        <v>0.92521299681864799</v>
      </c>
      <c r="E768">
        <v>0.82784791118247603</v>
      </c>
      <c r="F768">
        <v>0.65384288976453697</v>
      </c>
      <c r="G768">
        <v>0.58366607340560195</v>
      </c>
      <c r="H768">
        <v>0.50365383885459403</v>
      </c>
      <c r="I768">
        <v>0.53759936801257502</v>
      </c>
      <c r="J768">
        <v>0.54972303857121096</v>
      </c>
      <c r="K768">
        <v>0.417972678243129</v>
      </c>
      <c r="L768">
        <v>969.18788601786002</v>
      </c>
      <c r="M768">
        <v>18.841660880297201</v>
      </c>
      <c r="N768">
        <v>66.137187679504706</v>
      </c>
      <c r="O768">
        <v>50.869636061916502</v>
      </c>
      <c r="P768">
        <v>-4.7003866842972399E-2</v>
      </c>
      <c r="Q768">
        <v>0.49240756798024998</v>
      </c>
      <c r="R768">
        <v>0.96438426960068802</v>
      </c>
      <c r="S768" t="s">
        <v>7385</v>
      </c>
      <c r="T768" t="s">
        <v>13232</v>
      </c>
      <c r="U768" t="s">
        <v>13232</v>
      </c>
      <c r="V768" t="s">
        <v>13232</v>
      </c>
      <c r="W768" t="s">
        <v>13979</v>
      </c>
      <c r="X768">
        <v>1</v>
      </c>
      <c r="Y768" t="s">
        <v>20514</v>
      </c>
      <c r="Z768" t="s">
        <v>26899</v>
      </c>
      <c r="AA768">
        <v>0.69378903477773202</v>
      </c>
      <c r="AB768" t="str">
        <f>HYPERLINK("Melting_Curves/meltCurve_H0YFY6_NUMA1.pdf", "Melting_Curves/meltCurve_H0YFY6_NUMA1.pdf")</f>
        <v>Melting_Curves/meltCurve_H0YFY6_NUMA1.pdf</v>
      </c>
    </row>
    <row r="769" spans="1:28" x14ac:dyDescent="0.25">
      <c r="A769" t="s">
        <v>773</v>
      </c>
      <c r="B769">
        <v>0.99930955844802105</v>
      </c>
      <c r="C769">
        <v>0.99258272829709204</v>
      </c>
      <c r="D769">
        <v>0.96911932657835897</v>
      </c>
      <c r="E769">
        <v>0.95939998647262004</v>
      </c>
      <c r="F769">
        <v>0.86543339902703598</v>
      </c>
      <c r="G769">
        <v>0.73678113081110197</v>
      </c>
      <c r="H769">
        <v>0.70073033668100104</v>
      </c>
      <c r="I769">
        <v>0.67989569589465204</v>
      </c>
      <c r="J769">
        <v>0.63395518628089598</v>
      </c>
      <c r="K769">
        <v>0.40348547492481301</v>
      </c>
      <c r="L769">
        <v>451.549004032205</v>
      </c>
      <c r="M769">
        <v>6.5174363976496403</v>
      </c>
      <c r="N769">
        <v>69.283234507040405</v>
      </c>
      <c r="O769">
        <v>63.627592429747601</v>
      </c>
      <c r="P769">
        <v>-2.56693442903385E-2</v>
      </c>
      <c r="Q769">
        <v>0</v>
      </c>
      <c r="R769">
        <v>0.93976627616932895</v>
      </c>
      <c r="S769" t="s">
        <v>7386</v>
      </c>
      <c r="T769" t="s">
        <v>13232</v>
      </c>
      <c r="U769" t="s">
        <v>13232</v>
      </c>
      <c r="V769" t="s">
        <v>13232</v>
      </c>
      <c r="W769" t="s">
        <v>13980</v>
      </c>
      <c r="X769">
        <v>10</v>
      </c>
      <c r="Y769" t="s">
        <v>20515</v>
      </c>
      <c r="Z769" t="s">
        <v>26900</v>
      </c>
      <c r="AA769">
        <v>0.80422662645702303</v>
      </c>
      <c r="AB769" t="str">
        <f>HYPERLINK("Melting_Curves/meltCurve_H0YGR4_REXO2.pdf", "Melting_Curves/meltCurve_H0YGR4_REXO2.pdf")</f>
        <v>Melting_Curves/meltCurve_H0YGR4_REXO2.pdf</v>
      </c>
    </row>
    <row r="770" spans="1:28" x14ac:dyDescent="0.25">
      <c r="A770" t="s">
        <v>774</v>
      </c>
      <c r="B770">
        <v>0.99930955844802105</v>
      </c>
      <c r="C770">
        <v>0.93157657022708795</v>
      </c>
      <c r="D770">
        <v>0.92589056707334705</v>
      </c>
      <c r="E770">
        <v>0.66845795717887901</v>
      </c>
      <c r="F770">
        <v>0.553861686353604</v>
      </c>
      <c r="G770">
        <v>0.32487860135548602</v>
      </c>
      <c r="H770">
        <v>0.17579111168066999</v>
      </c>
      <c r="I770">
        <v>7.5290307099192794E-2</v>
      </c>
      <c r="J770">
        <v>4.8024494410222003E-2</v>
      </c>
      <c r="K770">
        <v>1.83944376064753E-2</v>
      </c>
      <c r="L770">
        <v>707.254863115494</v>
      </c>
      <c r="M770">
        <v>13.227867794914699</v>
      </c>
      <c r="N770">
        <v>53.4670367476132</v>
      </c>
      <c r="O770">
        <v>52.289378519531098</v>
      </c>
      <c r="P770">
        <v>-6.3254006383704195E-2</v>
      </c>
      <c r="Q770">
        <v>0</v>
      </c>
      <c r="R770">
        <v>0.99509977135755101</v>
      </c>
      <c r="S770" t="s">
        <v>7387</v>
      </c>
      <c r="T770" t="s">
        <v>13232</v>
      </c>
      <c r="U770" t="s">
        <v>13232</v>
      </c>
      <c r="V770" t="s">
        <v>13232</v>
      </c>
      <c r="W770" t="s">
        <v>13981</v>
      </c>
      <c r="X770">
        <v>1</v>
      </c>
      <c r="Y770" t="s">
        <v>20516</v>
      </c>
      <c r="Z770" t="s">
        <v>26901</v>
      </c>
      <c r="AA770">
        <v>0.47353541570535101</v>
      </c>
      <c r="AB770" t="str">
        <f>HYPERLINK("Melting_Curves/meltCurve_H0YIE9_FBXO21.pdf", "Melting_Curves/meltCurve_H0YIE9_FBXO21.pdf")</f>
        <v>Melting_Curves/meltCurve_H0YIE9_FBXO21.pdf</v>
      </c>
    </row>
    <row r="771" spans="1:28" x14ac:dyDescent="0.25">
      <c r="A771" t="s">
        <v>775</v>
      </c>
      <c r="B771">
        <v>0.99930955844802105</v>
      </c>
      <c r="C771">
        <v>1.0784119465259201</v>
      </c>
      <c r="D771">
        <v>1.0498868913420001</v>
      </c>
      <c r="E771">
        <v>0.97447973174661495</v>
      </c>
      <c r="F771">
        <v>0.79974221115045097</v>
      </c>
      <c r="G771">
        <v>0.81099861142715202</v>
      </c>
      <c r="H771">
        <v>0.69121666069670895</v>
      </c>
      <c r="I771">
        <v>0.84609047726018605</v>
      </c>
      <c r="J771">
        <v>0.82366263806015905</v>
      </c>
      <c r="K771">
        <v>0.66157066600209902</v>
      </c>
      <c r="L771">
        <v>3380.88656652595</v>
      </c>
      <c r="M771">
        <v>65.541614017650105</v>
      </c>
      <c r="O771">
        <v>51.535840895651397</v>
      </c>
      <c r="P771">
        <v>-7.4269347502430194E-2</v>
      </c>
      <c r="Q771">
        <v>0.76640591044114703</v>
      </c>
      <c r="R771">
        <v>0.80580173535871402</v>
      </c>
      <c r="S771" t="s">
        <v>7388</v>
      </c>
      <c r="T771" t="s">
        <v>13232</v>
      </c>
      <c r="U771" t="s">
        <v>13232</v>
      </c>
      <c r="V771" t="s">
        <v>13232</v>
      </c>
      <c r="W771" t="s">
        <v>13982</v>
      </c>
      <c r="X771">
        <v>2</v>
      </c>
      <c r="Y771" t="s">
        <v>20517</v>
      </c>
      <c r="Z771" t="s">
        <v>26902</v>
      </c>
      <c r="AA771">
        <v>0.85691154805348702</v>
      </c>
      <c r="AB771" t="str">
        <f>HYPERLINK("Melting_Curves/meltCurve_H0YJA8_C14orf142.pdf", "Melting_Curves/meltCurve_H0YJA8_C14orf142.pdf")</f>
        <v>Melting_Curves/meltCurve_H0YJA8_C14orf142.pdf</v>
      </c>
    </row>
    <row r="772" spans="1:28" x14ac:dyDescent="0.25">
      <c r="A772" t="s">
        <v>776</v>
      </c>
      <c r="B772">
        <v>0.99930955844802105</v>
      </c>
      <c r="C772">
        <v>1.77000983230356</v>
      </c>
      <c r="D772">
        <v>1.60683551015003</v>
      </c>
      <c r="E772">
        <v>1.4880328126665201</v>
      </c>
      <c r="F772">
        <v>1.96335657023836</v>
      </c>
      <c r="G772">
        <v>1.83976981812024</v>
      </c>
      <c r="H772">
        <v>2.1163207570806</v>
      </c>
      <c r="I772">
        <v>1.99411276966482</v>
      </c>
      <c r="J772">
        <v>2.0764504207102901</v>
      </c>
      <c r="K772">
        <v>1.4338068884759401</v>
      </c>
      <c r="L772">
        <v>10246.813447152999</v>
      </c>
      <c r="M772">
        <v>250</v>
      </c>
      <c r="O772">
        <v>40.984630890034801</v>
      </c>
      <c r="P772">
        <v>0.76248094391773602</v>
      </c>
      <c r="Q772">
        <v>1.5</v>
      </c>
      <c r="R772">
        <v>-0.24745477089791601</v>
      </c>
      <c r="S772" t="s">
        <v>7389</v>
      </c>
      <c r="T772" t="s">
        <v>13232</v>
      </c>
      <c r="U772" t="s">
        <v>13232</v>
      </c>
      <c r="V772" t="s">
        <v>13232</v>
      </c>
      <c r="W772" t="s">
        <v>13983</v>
      </c>
      <c r="X772">
        <v>1</v>
      </c>
      <c r="Y772" t="s">
        <v>20518</v>
      </c>
      <c r="Z772" t="s">
        <v>26903</v>
      </c>
      <c r="AA772">
        <v>1.483504411359363</v>
      </c>
      <c r="AB772" t="str">
        <f>HYPERLINK("Melting_Curves/meltCurve_H0YJH2_CEP128.pdf", "Melting_Curves/meltCurve_H0YJH2_CEP128.pdf")</f>
        <v>Melting_Curves/meltCurve_H0YJH2_CEP128.pdf</v>
      </c>
    </row>
    <row r="773" spans="1:28" x14ac:dyDescent="0.25">
      <c r="A773" t="s">
        <v>777</v>
      </c>
      <c r="B773">
        <v>0.99930955844802105</v>
      </c>
      <c r="C773">
        <v>1.09601234532154</v>
      </c>
      <c r="D773">
        <v>1.12377164407344</v>
      </c>
      <c r="E773">
        <v>1.13019220289644</v>
      </c>
      <c r="F773">
        <v>0.95836352981851203</v>
      </c>
      <c r="G773">
        <v>0.85183064772179795</v>
      </c>
      <c r="H773">
        <v>0.74071599393337095</v>
      </c>
      <c r="I773">
        <v>0.83551079530753303</v>
      </c>
      <c r="J773">
        <v>0.82462359601926805</v>
      </c>
      <c r="K773">
        <v>0.67728637232121602</v>
      </c>
      <c r="L773">
        <v>2418.7217093405902</v>
      </c>
      <c r="M773">
        <v>43.152794629912101</v>
      </c>
      <c r="O773">
        <v>55.930211858110802</v>
      </c>
      <c r="P773">
        <v>-4.4625781391183998E-2</v>
      </c>
      <c r="Q773">
        <v>0.768642992293741</v>
      </c>
      <c r="R773">
        <v>0.74840373842141406</v>
      </c>
      <c r="S773" t="s">
        <v>7390</v>
      </c>
      <c r="T773" t="s">
        <v>13232</v>
      </c>
      <c r="U773" t="s">
        <v>13232</v>
      </c>
      <c r="V773" t="s">
        <v>13232</v>
      </c>
      <c r="W773" t="s">
        <v>13984</v>
      </c>
      <c r="X773">
        <v>5</v>
      </c>
      <c r="Y773" t="s">
        <v>20519</v>
      </c>
      <c r="Z773" t="s">
        <v>26904</v>
      </c>
      <c r="AA773">
        <v>0.89318670702034786</v>
      </c>
      <c r="AB773" t="str">
        <f>HYPERLINK("Melting_Curves/meltCurve_H0YKX3_KIAA0101.pdf", "Melting_Curves/meltCurve_H0YKX3_KIAA0101.pdf")</f>
        <v>Melting_Curves/meltCurve_H0YKX3_KIAA0101.pdf</v>
      </c>
    </row>
    <row r="774" spans="1:28" x14ac:dyDescent="0.25">
      <c r="A774" t="s">
        <v>778</v>
      </c>
      <c r="B774">
        <v>0.99930955844802105</v>
      </c>
      <c r="C774">
        <v>0.89755771949188401</v>
      </c>
      <c r="D774">
        <v>0.88277774025556799</v>
      </c>
      <c r="E774">
        <v>0.82436994542721398</v>
      </c>
      <c r="F774">
        <v>0.598777436473652</v>
      </c>
      <c r="G774">
        <v>0.55570337530716896</v>
      </c>
      <c r="H774">
        <v>0.490511757488514</v>
      </c>
      <c r="I774">
        <v>0.50199136285143597</v>
      </c>
      <c r="J774">
        <v>0.46309126479457802</v>
      </c>
      <c r="K774">
        <v>0.402206958359557</v>
      </c>
      <c r="L774">
        <v>583.24820165703898</v>
      </c>
      <c r="M774">
        <v>11.2940799065306</v>
      </c>
      <c r="N774">
        <v>60.577871129143197</v>
      </c>
      <c r="O774">
        <v>50.102359963265101</v>
      </c>
      <c r="P774">
        <v>-3.3513282728572499E-2</v>
      </c>
      <c r="Q774">
        <v>0.40549980282064901</v>
      </c>
      <c r="R774">
        <v>0.96757251369290498</v>
      </c>
      <c r="S774" t="s">
        <v>7391</v>
      </c>
      <c r="T774" t="s">
        <v>13232</v>
      </c>
      <c r="U774" t="s">
        <v>13232</v>
      </c>
      <c r="V774" t="s">
        <v>13232</v>
      </c>
      <c r="W774" t="s">
        <v>13985</v>
      </c>
      <c r="X774">
        <v>1</v>
      </c>
      <c r="Y774" t="s">
        <v>20520</v>
      </c>
      <c r="Z774" t="s">
        <v>26905</v>
      </c>
      <c r="AA774">
        <v>0.65636517539460326</v>
      </c>
      <c r="AB774" t="str">
        <f>HYPERLINK("Melting_Curves/meltCurve_H0YLA0_PRC1.pdf", "Melting_Curves/meltCurve_H0YLA0_PRC1.pdf")</f>
        <v>Melting_Curves/meltCurve_H0YLA0_PRC1.pdf</v>
      </c>
    </row>
    <row r="775" spans="1:28" x14ac:dyDescent="0.25">
      <c r="A775" t="s">
        <v>779</v>
      </c>
      <c r="B775">
        <v>0.99930955844802105</v>
      </c>
      <c r="C775">
        <v>1.0510625845366199</v>
      </c>
      <c r="D775">
        <v>0.92017516179729797</v>
      </c>
      <c r="E775">
        <v>0.71173096229988697</v>
      </c>
      <c r="F775">
        <v>0.40241998714961102</v>
      </c>
      <c r="G775">
        <v>0.24374320832820801</v>
      </c>
      <c r="H775">
        <v>0.15574868697685301</v>
      </c>
      <c r="I775">
        <v>0.12289300790569201</v>
      </c>
      <c r="J775">
        <v>0.120954967299711</v>
      </c>
      <c r="K775">
        <v>9.2492248000925703E-2</v>
      </c>
      <c r="L775">
        <v>1096.3440957151499</v>
      </c>
      <c r="M775">
        <v>21.2700224818626</v>
      </c>
      <c r="N775">
        <v>52.1678075528134</v>
      </c>
      <c r="O775">
        <v>51.094976549081899</v>
      </c>
      <c r="P775">
        <v>-9.2389214632112901E-2</v>
      </c>
      <c r="Q775">
        <v>0.112270958167997</v>
      </c>
      <c r="R775">
        <v>0.995230107552879</v>
      </c>
      <c r="S775" t="s">
        <v>7392</v>
      </c>
      <c r="T775" t="s">
        <v>13232</v>
      </c>
      <c r="U775" t="s">
        <v>13232</v>
      </c>
      <c r="V775" t="s">
        <v>13232</v>
      </c>
      <c r="W775" t="s">
        <v>13986</v>
      </c>
      <c r="X775">
        <v>5</v>
      </c>
      <c r="Y775" t="s">
        <v>20521</v>
      </c>
      <c r="Z775" t="s">
        <v>26906</v>
      </c>
      <c r="AA775">
        <v>0.46485328414766403</v>
      </c>
      <c r="AB775" t="str">
        <f>HYPERLINK("Melting_Curves/meltCurve_H0YLB5_POU2F1.pdf", "Melting_Curves/meltCurve_H0YLB5_POU2F1.pdf")</f>
        <v>Melting_Curves/meltCurve_H0YLB5_POU2F1.pdf</v>
      </c>
    </row>
    <row r="776" spans="1:28" x14ac:dyDescent="0.25">
      <c r="A776" t="s">
        <v>780</v>
      </c>
      <c r="B776">
        <v>0.99930955844802105</v>
      </c>
      <c r="C776">
        <v>1.01665347465171</v>
      </c>
      <c r="D776">
        <v>0.988533857754194</v>
      </c>
      <c r="E776">
        <v>0.86613521887962497</v>
      </c>
      <c r="F776">
        <v>0.57330062425653605</v>
      </c>
      <c r="G776">
        <v>0.44540031946407599</v>
      </c>
      <c r="H776">
        <v>0.24088777235507999</v>
      </c>
      <c r="I776">
        <v>0.17344136986813399</v>
      </c>
      <c r="J776">
        <v>0.13086624076397099</v>
      </c>
      <c r="K776">
        <v>9.8357596451413606E-2</v>
      </c>
      <c r="L776">
        <v>850.24486466539497</v>
      </c>
      <c r="M776">
        <v>15.5498751674732</v>
      </c>
      <c r="N776">
        <v>55.327796349018499</v>
      </c>
      <c r="O776">
        <v>53.7982074195561</v>
      </c>
      <c r="P776">
        <v>-6.6239995428657494E-2</v>
      </c>
      <c r="Q776">
        <v>8.3393178518385194E-2</v>
      </c>
      <c r="R776">
        <v>0.99097605214193596</v>
      </c>
      <c r="S776" t="s">
        <v>7393</v>
      </c>
      <c r="T776" t="s">
        <v>13232</v>
      </c>
      <c r="U776" t="s">
        <v>13232</v>
      </c>
      <c r="V776" t="s">
        <v>13232</v>
      </c>
      <c r="W776" t="s">
        <v>13987</v>
      </c>
      <c r="X776">
        <v>3</v>
      </c>
      <c r="Y776" t="s">
        <v>20522</v>
      </c>
      <c r="Z776" t="s">
        <v>26907</v>
      </c>
      <c r="AA776">
        <v>0.54920804279917845</v>
      </c>
      <c r="AB776" t="str">
        <f>HYPERLINK("Melting_Curves/meltCurve_H0YLF3_B2M.pdf", "Melting_Curves/meltCurve_H0YLF3_B2M.pdf")</f>
        <v>Melting_Curves/meltCurve_H0YLF3_B2M.pdf</v>
      </c>
    </row>
    <row r="777" spans="1:28" x14ac:dyDescent="0.25">
      <c r="A777" t="s">
        <v>781</v>
      </c>
      <c r="B777">
        <v>0.99930955844802105</v>
      </c>
      <c r="C777">
        <v>0.88701596745556399</v>
      </c>
      <c r="D777">
        <v>0.67577026288481201</v>
      </c>
      <c r="E777">
        <v>0.43007091188612201</v>
      </c>
      <c r="F777">
        <v>0.29845138263309001</v>
      </c>
      <c r="G777">
        <v>0.30727985089330101</v>
      </c>
      <c r="H777">
        <v>0.24152693114590501</v>
      </c>
      <c r="I777">
        <v>0.26953146151935098</v>
      </c>
      <c r="J777">
        <v>0.24322803866237899</v>
      </c>
      <c r="K777">
        <v>0.208300130631875</v>
      </c>
      <c r="L777">
        <v>886.27980139005695</v>
      </c>
      <c r="M777">
        <v>18.9210745725747</v>
      </c>
      <c r="N777">
        <v>48.545012072082898</v>
      </c>
      <c r="O777">
        <v>46.327070727150101</v>
      </c>
      <c r="P777">
        <v>-7.7332085992072794E-2</v>
      </c>
      <c r="Q777">
        <v>0.242659536670809</v>
      </c>
      <c r="R777">
        <v>0.99364010624051902</v>
      </c>
      <c r="S777" t="s">
        <v>7394</v>
      </c>
      <c r="T777" t="s">
        <v>13232</v>
      </c>
      <c r="U777" t="s">
        <v>13232</v>
      </c>
      <c r="V777" t="s">
        <v>13232</v>
      </c>
      <c r="W777" t="s">
        <v>13988</v>
      </c>
      <c r="X777">
        <v>7</v>
      </c>
      <c r="Y777" t="s">
        <v>20523</v>
      </c>
      <c r="Z777" t="s">
        <v>26908</v>
      </c>
      <c r="AA777">
        <v>0.42797762468079109</v>
      </c>
      <c r="AB777" t="str">
        <f>HYPERLINK("Melting_Curves/meltCurve_H0YLN8_TRPM7.pdf", "Melting_Curves/meltCurve_H0YLN8_TRPM7.pdf")</f>
        <v>Melting_Curves/meltCurve_H0YLN8_TRPM7.pdf</v>
      </c>
    </row>
    <row r="778" spans="1:28" x14ac:dyDescent="0.25">
      <c r="A778" t="s">
        <v>782</v>
      </c>
      <c r="B778">
        <v>0.99930955844802105</v>
      </c>
      <c r="C778">
        <v>1.0253719591870001</v>
      </c>
      <c r="D778">
        <v>0.94456807012974098</v>
      </c>
      <c r="E778">
        <v>1.0430793538010401</v>
      </c>
      <c r="F778">
        <v>0.89031458169498401</v>
      </c>
      <c r="G778">
        <v>0.75452686614263598</v>
      </c>
      <c r="H778">
        <v>0.71067255934804696</v>
      </c>
      <c r="I778">
        <v>0.76956185522652099</v>
      </c>
      <c r="J778">
        <v>0.74706323402033503</v>
      </c>
      <c r="K778">
        <v>0.62409941410816006</v>
      </c>
      <c r="L778">
        <v>2536.2047952445901</v>
      </c>
      <c r="M778">
        <v>47.218191592006697</v>
      </c>
      <c r="O778">
        <v>53.616373695445802</v>
      </c>
      <c r="P778">
        <v>-6.2372595641281503E-2</v>
      </c>
      <c r="Q778">
        <v>0.71670335433890997</v>
      </c>
      <c r="R778">
        <v>0.90272044614001701</v>
      </c>
      <c r="S778" t="s">
        <v>7395</v>
      </c>
      <c r="T778" t="s">
        <v>13232</v>
      </c>
      <c r="U778" t="s">
        <v>13232</v>
      </c>
      <c r="V778" t="s">
        <v>13232</v>
      </c>
      <c r="W778" t="s">
        <v>13989</v>
      </c>
      <c r="X778">
        <v>9</v>
      </c>
      <c r="Y778" t="s">
        <v>20524</v>
      </c>
      <c r="Z778" t="s">
        <v>26909</v>
      </c>
      <c r="AA778">
        <v>0.84694587994808401</v>
      </c>
      <c r="AB778" t="str">
        <f>HYPERLINK("Melting_Curves/meltCurve_H0YLX2_RFX7.pdf", "Melting_Curves/meltCurve_H0YLX2_RFX7.pdf")</f>
        <v>Melting_Curves/meltCurve_H0YLX2_RFX7.pdf</v>
      </c>
    </row>
    <row r="779" spans="1:28" x14ac:dyDescent="0.25">
      <c r="A779" t="s">
        <v>783</v>
      </c>
      <c r="B779">
        <v>0.99930955844802105</v>
      </c>
      <c r="C779">
        <v>0.99528758320168598</v>
      </c>
      <c r="D779">
        <v>0.93245081651938</v>
      </c>
      <c r="E779">
        <v>0.76681080683603497</v>
      </c>
      <c r="F779">
        <v>0.38747353612291702</v>
      </c>
      <c r="G779">
        <v>0.29024321822147098</v>
      </c>
      <c r="H779">
        <v>0.233189201230386</v>
      </c>
      <c r="I779">
        <v>0.225438559890416</v>
      </c>
      <c r="J779">
        <v>0.22271571966311299</v>
      </c>
      <c r="K779">
        <v>0.17723508190100401</v>
      </c>
      <c r="L779">
        <v>1582.7082694784399</v>
      </c>
      <c r="M779">
        <v>30.940749558270099</v>
      </c>
      <c r="N779">
        <v>52.120904736436003</v>
      </c>
      <c r="O779">
        <v>50.940620353202803</v>
      </c>
      <c r="P779">
        <v>-0.11866151559388199</v>
      </c>
      <c r="Q779">
        <v>0.218550765184433</v>
      </c>
      <c r="R779">
        <v>0.99395549814009398</v>
      </c>
      <c r="S779" t="s">
        <v>7396</v>
      </c>
      <c r="T779" t="s">
        <v>13232</v>
      </c>
      <c r="U779" t="s">
        <v>13232</v>
      </c>
      <c r="V779" t="s">
        <v>13232</v>
      </c>
      <c r="W779" t="s">
        <v>13990</v>
      </c>
      <c r="X779">
        <v>54</v>
      </c>
      <c r="Y779" t="s">
        <v>20525</v>
      </c>
      <c r="Z779" t="s">
        <v>26910</v>
      </c>
      <c r="AA779">
        <v>0.51369466854900359</v>
      </c>
      <c r="AB779" t="str">
        <f>HYPERLINK("Melting_Curves/meltCurve_H0YM23_ANKRD17.pdf", "Melting_Curves/meltCurve_H0YM23_ANKRD17.pdf")</f>
        <v>Melting_Curves/meltCurve_H0YM23_ANKRD17.pdf</v>
      </c>
    </row>
    <row r="780" spans="1:28" x14ac:dyDescent="0.25">
      <c r="A780" t="s">
        <v>784</v>
      </c>
      <c r="B780">
        <v>0.99930955844802105</v>
      </c>
      <c r="C780">
        <v>0.97230549172172598</v>
      </c>
      <c r="D780">
        <v>1.0017974728099801</v>
      </c>
      <c r="E780">
        <v>1.13856062811028</v>
      </c>
      <c r="F780">
        <v>1.3654022609312599</v>
      </c>
      <c r="G780">
        <v>1.17158784846355</v>
      </c>
      <c r="H780">
        <v>0.59793380433902099</v>
      </c>
      <c r="I780">
        <v>0.78142985739203097</v>
      </c>
      <c r="J780">
        <v>0.72956309775521799</v>
      </c>
      <c r="K780">
        <v>0.45024327022918098</v>
      </c>
      <c r="L780">
        <v>14775.476377250699</v>
      </c>
      <c r="M780">
        <v>250</v>
      </c>
      <c r="O780">
        <v>59.098123461965599</v>
      </c>
      <c r="P780">
        <v>-0.38097287626019599</v>
      </c>
      <c r="Q780">
        <v>0.63976348769740399</v>
      </c>
      <c r="R780">
        <v>0.64716568149790299</v>
      </c>
      <c r="S780" t="s">
        <v>7397</v>
      </c>
      <c r="T780" t="s">
        <v>13232</v>
      </c>
      <c r="U780" t="s">
        <v>13232</v>
      </c>
      <c r="V780" t="s">
        <v>13232</v>
      </c>
      <c r="W780" t="s">
        <v>13991</v>
      </c>
      <c r="X780">
        <v>16</v>
      </c>
      <c r="Y780" t="s">
        <v>20526</v>
      </c>
      <c r="Z780" t="s">
        <v>26911</v>
      </c>
      <c r="AA780">
        <v>0.86917431311180948</v>
      </c>
      <c r="AB780" t="str">
        <f>HYPERLINK("Melting_Curves/meltCurve_H0YMB3_GMPR2.pdf", "Melting_Curves/meltCurve_H0YMB3_GMPR2.pdf")</f>
        <v>Melting_Curves/meltCurve_H0YMB3_GMPR2.pdf</v>
      </c>
    </row>
    <row r="781" spans="1:28" x14ac:dyDescent="0.25">
      <c r="A781" t="s">
        <v>785</v>
      </c>
      <c r="B781">
        <v>0.99930955844802105</v>
      </c>
      <c r="C781">
        <v>0.848470849108375</v>
      </c>
      <c r="D781">
        <v>0.93005036160074495</v>
      </c>
      <c r="E781">
        <v>0.830193365799066</v>
      </c>
      <c r="F781">
        <v>0.598486560651181</v>
      </c>
      <c r="G781">
        <v>0.41654289129737498</v>
      </c>
      <c r="H781">
        <v>0.31899422898086</v>
      </c>
      <c r="I781">
        <v>0.12039579767877299</v>
      </c>
      <c r="J781">
        <v>6.4713065621372995E-2</v>
      </c>
      <c r="K781">
        <v>6.6814319558471197E-2</v>
      </c>
      <c r="L781">
        <v>670.13318331418702</v>
      </c>
      <c r="M781">
        <v>12.1018188745555</v>
      </c>
      <c r="N781">
        <v>55.374583791863103</v>
      </c>
      <c r="O781">
        <v>53.927600728946601</v>
      </c>
      <c r="P781">
        <v>-5.6115244676440301E-2</v>
      </c>
      <c r="Q781">
        <v>0</v>
      </c>
      <c r="R781">
        <v>0.97772520221524095</v>
      </c>
      <c r="S781" t="s">
        <v>7398</v>
      </c>
      <c r="T781" t="s">
        <v>13232</v>
      </c>
      <c r="U781" t="s">
        <v>13232</v>
      </c>
      <c r="V781" t="s">
        <v>13232</v>
      </c>
      <c r="W781" t="s">
        <v>13992</v>
      </c>
      <c r="X781">
        <v>1</v>
      </c>
      <c r="Y781" t="s">
        <v>20527</v>
      </c>
      <c r="Z781" t="s">
        <v>26912</v>
      </c>
      <c r="AA781">
        <v>0.5347281332945315</v>
      </c>
      <c r="AB781" t="str">
        <f>HYPERLINK("Melting_Curves/meltCurve_H0YMX4_GATM.pdf", "Melting_Curves/meltCurve_H0YMX4_GATM.pdf")</f>
        <v>Melting_Curves/meltCurve_H0YMX4_GATM.pdf</v>
      </c>
    </row>
    <row r="782" spans="1:28" x14ac:dyDescent="0.25">
      <c r="A782" t="s">
        <v>786</v>
      </c>
      <c r="B782">
        <v>0.99930955844802105</v>
      </c>
      <c r="C782">
        <v>0.976229677624597</v>
      </c>
      <c r="D782">
        <v>0.97773450632062497</v>
      </c>
      <c r="E782">
        <v>0.78458993889990403</v>
      </c>
      <c r="F782">
        <v>0.582447765733351</v>
      </c>
      <c r="G782">
        <v>0.42275917599257301</v>
      </c>
      <c r="H782">
        <v>0.32849047327456099</v>
      </c>
      <c r="I782">
        <v>0.308953691613433</v>
      </c>
      <c r="J782">
        <v>0.24835490394227699</v>
      </c>
      <c r="K782">
        <v>0.225186586471566</v>
      </c>
      <c r="L782">
        <v>880.40526705749005</v>
      </c>
      <c r="M782">
        <v>16.677249094352199</v>
      </c>
      <c r="N782">
        <v>54.9494410274893</v>
      </c>
      <c r="O782">
        <v>52.049301478548998</v>
      </c>
      <c r="P782">
        <v>-6.0856945523381202E-2</v>
      </c>
      <c r="Q782">
        <v>0.24031851056037701</v>
      </c>
      <c r="R782">
        <v>0.99539117916563702</v>
      </c>
      <c r="S782" t="s">
        <v>7399</v>
      </c>
      <c r="T782" t="s">
        <v>13232</v>
      </c>
      <c r="U782" t="s">
        <v>13232</v>
      </c>
      <c r="V782" t="s">
        <v>13232</v>
      </c>
      <c r="W782" t="s">
        <v>13993</v>
      </c>
      <c r="X782">
        <v>2</v>
      </c>
      <c r="Y782" t="s">
        <v>20528</v>
      </c>
      <c r="Z782" t="s">
        <v>26913</v>
      </c>
      <c r="AA782">
        <v>0.57830739453952895</v>
      </c>
      <c r="AB782" t="str">
        <f>HYPERLINK("Melting_Curves/meltCurve_H0YN78_C15orf57.pdf", "Melting_Curves/meltCurve_H0YN78_C15orf57.pdf")</f>
        <v>Melting_Curves/meltCurve_H0YN78_C15orf57.pdf</v>
      </c>
    </row>
    <row r="783" spans="1:28" x14ac:dyDescent="0.25">
      <c r="A783" t="s">
        <v>787</v>
      </c>
      <c r="B783">
        <v>0.99930955844802105</v>
      </c>
      <c r="C783">
        <v>0.986150583046431</v>
      </c>
      <c r="D783">
        <v>0.97375368310070998</v>
      </c>
      <c r="E783">
        <v>0.87458426327942895</v>
      </c>
      <c r="F783">
        <v>0.73143949023152699</v>
      </c>
      <c r="G783">
        <v>0.40722808745932498</v>
      </c>
      <c r="H783">
        <v>0.24276137006399201</v>
      </c>
      <c r="I783">
        <v>0.211743751204612</v>
      </c>
      <c r="J783">
        <v>0.21326018739500899</v>
      </c>
      <c r="K783">
        <v>0.13450795631734799</v>
      </c>
      <c r="L783">
        <v>1093.5472559893201</v>
      </c>
      <c r="M783">
        <v>19.978783001241698</v>
      </c>
      <c r="N783">
        <v>55.784694445125602</v>
      </c>
      <c r="O783">
        <v>54.195898992090598</v>
      </c>
      <c r="P783">
        <v>-7.7728087200391094E-2</v>
      </c>
      <c r="Q783">
        <v>0.15662411425053399</v>
      </c>
      <c r="R783">
        <v>0.99714481619984596</v>
      </c>
      <c r="S783" t="s">
        <v>7400</v>
      </c>
      <c r="T783" t="s">
        <v>13232</v>
      </c>
      <c r="U783" t="s">
        <v>13232</v>
      </c>
      <c r="V783" t="s">
        <v>13232</v>
      </c>
      <c r="W783" t="s">
        <v>13994</v>
      </c>
      <c r="X783">
        <v>9</v>
      </c>
      <c r="Y783" t="s">
        <v>20529</v>
      </c>
      <c r="Z783" t="s">
        <v>26914</v>
      </c>
      <c r="AA783">
        <v>0.58219489554985293</v>
      </c>
      <c r="AB783" t="str">
        <f>HYPERLINK("Melting_Curves/meltCurve_H0YNE9_RAB8B.pdf", "Melting_Curves/meltCurve_H0YNE9_RAB8B.pdf")</f>
        <v>Melting_Curves/meltCurve_H0YNE9_RAB8B.pdf</v>
      </c>
    </row>
    <row r="784" spans="1:28" x14ac:dyDescent="0.25">
      <c r="A784" t="s">
        <v>788</v>
      </c>
      <c r="B784">
        <v>0.99930955844802105</v>
      </c>
      <c r="C784">
        <v>0.82570986625360698</v>
      </c>
      <c r="D784">
        <v>0.62797038525189397</v>
      </c>
      <c r="E784">
        <v>0.80862071933076296</v>
      </c>
      <c r="F784">
        <v>0.43288799213234502</v>
      </c>
      <c r="G784">
        <v>0.18309559501353301</v>
      </c>
      <c r="H784">
        <v>0.123700018443929</v>
      </c>
      <c r="I784">
        <v>9.2375498111971294E-2</v>
      </c>
      <c r="J784">
        <v>8.6382250048061604E-2</v>
      </c>
      <c r="K784">
        <v>6.1680208050607997E-2</v>
      </c>
      <c r="L784">
        <v>556.45050483903697</v>
      </c>
      <c r="M784">
        <v>10.775847487180499</v>
      </c>
      <c r="N784">
        <v>51.638662532454198</v>
      </c>
      <c r="O784">
        <v>49.955672773542602</v>
      </c>
      <c r="P784">
        <v>-5.3946740763546303E-2</v>
      </c>
      <c r="Q784">
        <v>0</v>
      </c>
      <c r="R784">
        <v>0.92333004912193295</v>
      </c>
      <c r="S784" t="s">
        <v>7401</v>
      </c>
      <c r="T784" t="s">
        <v>13232</v>
      </c>
      <c r="U784" t="s">
        <v>13232</v>
      </c>
      <c r="V784" t="s">
        <v>13232</v>
      </c>
      <c r="W784" t="s">
        <v>13995</v>
      </c>
      <c r="X784">
        <v>7</v>
      </c>
      <c r="Y784" t="s">
        <v>20530</v>
      </c>
      <c r="Z784" t="s">
        <v>26915</v>
      </c>
      <c r="AA784">
        <v>0.4239226438175514</v>
      </c>
      <c r="AB784" t="str">
        <f>HYPERLINK("Melting_Curves/meltCurve_H0YNG3_SEC11A.pdf", "Melting_Curves/meltCurve_H0YNG3_SEC11A.pdf")</f>
        <v>Melting_Curves/meltCurve_H0YNG3_SEC11A.pdf</v>
      </c>
    </row>
    <row r="785" spans="1:28" x14ac:dyDescent="0.25">
      <c r="A785" t="s">
        <v>789</v>
      </c>
      <c r="B785">
        <v>0.99930955844802105</v>
      </c>
      <c r="C785">
        <v>0.98506943267636704</v>
      </c>
      <c r="D785">
        <v>0.90512064643270496</v>
      </c>
      <c r="E785">
        <v>0.81475054719102302</v>
      </c>
      <c r="F785">
        <v>0.68072207344960201</v>
      </c>
      <c r="G785">
        <v>0.48197055383466503</v>
      </c>
      <c r="H785">
        <v>0.30751954516665903</v>
      </c>
      <c r="I785">
        <v>0.268340874651398</v>
      </c>
      <c r="J785">
        <v>0.236865787608912</v>
      </c>
      <c r="K785">
        <v>0.208366456281075</v>
      </c>
      <c r="L785">
        <v>713.60249247870104</v>
      </c>
      <c r="M785">
        <v>13.026893990935299</v>
      </c>
      <c r="N785">
        <v>56.407587139023697</v>
      </c>
      <c r="O785">
        <v>53.536508505551403</v>
      </c>
      <c r="P785">
        <v>-5.1307052434782098E-2</v>
      </c>
      <c r="Q785">
        <v>0.15672326832889799</v>
      </c>
      <c r="R785">
        <v>0.99791790414651305</v>
      </c>
      <c r="S785" t="s">
        <v>7402</v>
      </c>
      <c r="T785" t="s">
        <v>13232</v>
      </c>
      <c r="U785" t="s">
        <v>13232</v>
      </c>
      <c r="V785" t="s">
        <v>13232</v>
      </c>
      <c r="W785" t="s">
        <v>13996</v>
      </c>
      <c r="X785">
        <v>17</v>
      </c>
      <c r="Y785" t="s">
        <v>20531</v>
      </c>
      <c r="Z785" t="s">
        <v>26916</v>
      </c>
      <c r="AA785">
        <v>0.59114395708347656</v>
      </c>
      <c r="AB785" t="str">
        <f>HYPERLINK("Melting_Curves/meltCurve_H0YNH8_UACA.pdf", "Melting_Curves/meltCurve_H0YNH8_UACA.pdf")</f>
        <v>Melting_Curves/meltCurve_H0YNH8_UACA.pdf</v>
      </c>
    </row>
    <row r="786" spans="1:28" x14ac:dyDescent="0.25">
      <c r="A786" t="s">
        <v>790</v>
      </c>
      <c r="B786">
        <v>0.99930955844802105</v>
      </c>
      <c r="C786">
        <v>1.02515596029837</v>
      </c>
      <c r="D786">
        <v>0.95174826116740796</v>
      </c>
      <c r="E786">
        <v>0.87154119682319797</v>
      </c>
      <c r="F786">
        <v>0.67611633623031797</v>
      </c>
      <c r="G786">
        <v>0.56274286506611504</v>
      </c>
      <c r="H786">
        <v>0.543250909557221</v>
      </c>
      <c r="I786">
        <v>0.56559441503604402</v>
      </c>
      <c r="J786">
        <v>0.53479556028702602</v>
      </c>
      <c r="K786">
        <v>0.42376767346236399</v>
      </c>
      <c r="L786">
        <v>1163.21408866448</v>
      </c>
      <c r="M786">
        <v>22.430490775705</v>
      </c>
      <c r="O786">
        <v>51.451700153542298</v>
      </c>
      <c r="P786">
        <v>-5.3685435944149901E-2</v>
      </c>
      <c r="Q786">
        <v>0.50742943059196899</v>
      </c>
      <c r="R786">
        <v>0.971233382030255</v>
      </c>
      <c r="S786" t="s">
        <v>7403</v>
      </c>
      <c r="T786" t="s">
        <v>13232</v>
      </c>
      <c r="U786" t="s">
        <v>13232</v>
      </c>
      <c r="V786" t="s">
        <v>13232</v>
      </c>
      <c r="W786" t="s">
        <v>13997</v>
      </c>
      <c r="X786">
        <v>15</v>
      </c>
      <c r="Y786" t="s">
        <v>20532</v>
      </c>
      <c r="Z786" t="s">
        <v>26917</v>
      </c>
      <c r="AA786">
        <v>0.7076575847506541</v>
      </c>
      <c r="AB786" t="str">
        <f>HYPERLINK("Melting_Curves/meltCurve_H0YNU5_BLM.pdf", "Melting_Curves/meltCurve_H0YNU5_BLM.pdf")</f>
        <v>Melting_Curves/meltCurve_H0YNU5_BLM.pdf</v>
      </c>
    </row>
    <row r="787" spans="1:28" x14ac:dyDescent="0.25">
      <c r="A787" t="s">
        <v>791</v>
      </c>
      <c r="B787">
        <v>0.99930955844802105</v>
      </c>
      <c r="C787">
        <v>0.989146096168113</v>
      </c>
      <c r="D787">
        <v>0.99442217528274901</v>
      </c>
      <c r="E787">
        <v>0.86135847675134403</v>
      </c>
      <c r="F787">
        <v>0.67942837739621698</v>
      </c>
      <c r="G787">
        <v>0.56949354141766495</v>
      </c>
      <c r="H787">
        <v>0.37769103508298202</v>
      </c>
      <c r="I787">
        <v>0.263332252552678</v>
      </c>
      <c r="J787">
        <v>0.21492599334099999</v>
      </c>
      <c r="K787">
        <v>0.17822709522688601</v>
      </c>
      <c r="L787">
        <v>690.09805182097296</v>
      </c>
      <c r="M787">
        <v>12.147246548814801</v>
      </c>
      <c r="N787">
        <v>57.790730524075798</v>
      </c>
      <c r="O787">
        <v>55.337152491224103</v>
      </c>
      <c r="P787">
        <v>-4.97834091291647E-2</v>
      </c>
      <c r="Q787">
        <v>9.3049069607106502E-2</v>
      </c>
      <c r="R787">
        <v>0.99395038159827998</v>
      </c>
      <c r="S787" t="s">
        <v>7404</v>
      </c>
      <c r="T787" t="s">
        <v>13232</v>
      </c>
      <c r="U787" t="s">
        <v>13232</v>
      </c>
      <c r="V787" t="s">
        <v>13232</v>
      </c>
      <c r="W787" t="s">
        <v>13998</v>
      </c>
      <c r="X787">
        <v>5</v>
      </c>
      <c r="Y787" t="s">
        <v>20533</v>
      </c>
      <c r="Z787" t="s">
        <v>26918</v>
      </c>
      <c r="AA787">
        <v>0.61717287354362049</v>
      </c>
      <c r="AB787" t="str">
        <f>HYPERLINK("Melting_Curves/meltCurve_H3BLV0_CD55.pdf", "Melting_Curves/meltCurve_H3BLV0_CD55.pdf")</f>
        <v>Melting_Curves/meltCurve_H3BLV0_CD55.pdf</v>
      </c>
    </row>
    <row r="788" spans="1:28" x14ac:dyDescent="0.25">
      <c r="A788" t="s">
        <v>792</v>
      </c>
      <c r="B788">
        <v>0.99930955844802105</v>
      </c>
      <c r="C788">
        <v>1.01128510617234</v>
      </c>
      <c r="D788">
        <v>0.98032329433531595</v>
      </c>
      <c r="E788">
        <v>0.90158652293544805</v>
      </c>
      <c r="F788">
        <v>0.66395917425301998</v>
      </c>
      <c r="G788">
        <v>0.494133964848262</v>
      </c>
      <c r="H788">
        <v>0.35235738939836803</v>
      </c>
      <c r="I788">
        <v>0.32572857193552202</v>
      </c>
      <c r="J788">
        <v>0.26341690468463402</v>
      </c>
      <c r="K788">
        <v>0.19727070373167599</v>
      </c>
      <c r="L788">
        <v>876.49903629271898</v>
      </c>
      <c r="M788">
        <v>15.996964559716901</v>
      </c>
      <c r="N788">
        <v>56.8009672757711</v>
      </c>
      <c r="O788">
        <v>53.956821027902201</v>
      </c>
      <c r="P788">
        <v>-5.8108413389194501E-2</v>
      </c>
      <c r="Q788">
        <v>0.21607672956309501</v>
      </c>
      <c r="R788">
        <v>0.99193347340967097</v>
      </c>
      <c r="S788" t="s">
        <v>7405</v>
      </c>
      <c r="T788" t="s">
        <v>13232</v>
      </c>
      <c r="U788" t="s">
        <v>13232</v>
      </c>
      <c r="V788" t="s">
        <v>13232</v>
      </c>
      <c r="W788" t="s">
        <v>13999</v>
      </c>
      <c r="X788">
        <v>4</v>
      </c>
      <c r="Y788" t="s">
        <v>20534</v>
      </c>
      <c r="Z788" t="s">
        <v>26919</v>
      </c>
      <c r="AA788">
        <v>0.61683145197004186</v>
      </c>
      <c r="AB788" t="str">
        <f>HYPERLINK("Melting_Curves/meltCurve_H3BM67_NOL3.pdf", "Melting_Curves/meltCurve_H3BM67_NOL3.pdf")</f>
        <v>Melting_Curves/meltCurve_H3BM67_NOL3.pdf</v>
      </c>
    </row>
    <row r="789" spans="1:28" x14ac:dyDescent="0.25">
      <c r="A789" t="s">
        <v>793</v>
      </c>
      <c r="B789">
        <v>0.99930955844802105</v>
      </c>
      <c r="C789">
        <v>1.0142516213778401</v>
      </c>
      <c r="D789">
        <v>0.923438474588686</v>
      </c>
      <c r="E789">
        <v>0.71398972139467498</v>
      </c>
      <c r="F789">
        <v>0.288333208332336</v>
      </c>
      <c r="G789">
        <v>0.14974934805548601</v>
      </c>
      <c r="H789">
        <v>7.7638779614967096E-2</v>
      </c>
      <c r="I789">
        <v>6.4524716657220704E-2</v>
      </c>
      <c r="J789">
        <v>4.95080164396361E-2</v>
      </c>
      <c r="K789">
        <v>4.7484495472412597E-2</v>
      </c>
      <c r="L789">
        <v>1467.2664301596401</v>
      </c>
      <c r="M789">
        <v>28.650056526739899</v>
      </c>
      <c r="N789">
        <v>51.4498059443684</v>
      </c>
      <c r="O789">
        <v>50.965825392031803</v>
      </c>
      <c r="P789">
        <v>-0.13186890452437899</v>
      </c>
      <c r="Q789">
        <v>6.1676555463962397E-2</v>
      </c>
      <c r="R789">
        <v>0.99648534065737604</v>
      </c>
      <c r="S789" t="s">
        <v>7406</v>
      </c>
      <c r="T789" t="s">
        <v>13232</v>
      </c>
      <c r="U789" t="s">
        <v>13232</v>
      </c>
      <c r="V789" t="s">
        <v>13232</v>
      </c>
      <c r="W789" t="s">
        <v>14000</v>
      </c>
      <c r="X789">
        <v>2</v>
      </c>
      <c r="Y789" t="s">
        <v>20535</v>
      </c>
      <c r="Z789" t="s">
        <v>26920</v>
      </c>
      <c r="AA789">
        <v>0.41889263236105989</v>
      </c>
      <c r="AB789" t="str">
        <f>HYPERLINK("Melting_Curves/meltCurve_H3BM79_AKTIP.pdf", "Melting_Curves/meltCurve_H3BM79_AKTIP.pdf")</f>
        <v>Melting_Curves/meltCurve_H3BM79_AKTIP.pdf</v>
      </c>
    </row>
    <row r="790" spans="1:28" x14ac:dyDescent="0.25">
      <c r="A790" t="s">
        <v>794</v>
      </c>
      <c r="B790">
        <v>0.99930955844802105</v>
      </c>
      <c r="C790">
        <v>1.00160230734059</v>
      </c>
      <c r="D790">
        <v>0.98544890364603899</v>
      </c>
      <c r="E790">
        <v>0.92246484926724304</v>
      </c>
      <c r="F790">
        <v>0.79145505309553199</v>
      </c>
      <c r="G790">
        <v>0.69501587501313999</v>
      </c>
      <c r="H790">
        <v>0.69365647340447101</v>
      </c>
      <c r="I790">
        <v>0.77296445171529604</v>
      </c>
      <c r="J790">
        <v>0.70996897160611905</v>
      </c>
      <c r="K790">
        <v>0.60759917449808898</v>
      </c>
      <c r="L790">
        <v>1635.99371780915</v>
      </c>
      <c r="M790">
        <v>31.645425712745201</v>
      </c>
      <c r="O790">
        <v>51.492512250644197</v>
      </c>
      <c r="P790">
        <v>-4.7249142922956497E-2</v>
      </c>
      <c r="Q790">
        <v>0.69247195621153701</v>
      </c>
      <c r="R790">
        <v>0.92745245018374001</v>
      </c>
      <c r="S790" t="s">
        <v>7407</v>
      </c>
      <c r="T790" t="s">
        <v>13232</v>
      </c>
      <c r="U790" t="s">
        <v>13232</v>
      </c>
      <c r="V790" t="s">
        <v>13232</v>
      </c>
      <c r="W790" t="s">
        <v>14001</v>
      </c>
      <c r="X790">
        <v>13</v>
      </c>
      <c r="Y790" t="s">
        <v>20536</v>
      </c>
      <c r="Z790" t="s">
        <v>26921</v>
      </c>
      <c r="AA790">
        <v>0.81414176176147623</v>
      </c>
      <c r="AB790" t="str">
        <f>HYPERLINK("Melting_Curves/meltCurve_H3BMJ2_C15orf39.pdf", "Melting_Curves/meltCurve_H3BMJ2_C15orf39.pdf")</f>
        <v>Melting_Curves/meltCurve_H3BMJ2_C15orf39.pdf</v>
      </c>
    </row>
    <row r="791" spans="1:28" x14ac:dyDescent="0.25">
      <c r="A791" t="s">
        <v>795</v>
      </c>
      <c r="B791">
        <v>0.99930955844802105</v>
      </c>
      <c r="C791">
        <v>0.829461276190258</v>
      </c>
      <c r="D791">
        <v>0.86466827372858501</v>
      </c>
      <c r="E791">
        <v>0.82226748569377395</v>
      </c>
      <c r="F791">
        <v>0.65462370899228695</v>
      </c>
      <c r="G791">
        <v>0.52038312503982298</v>
      </c>
      <c r="H791">
        <v>0.452179156264296</v>
      </c>
      <c r="I791">
        <v>0.430027581420239</v>
      </c>
      <c r="J791">
        <v>0.43679777275081999</v>
      </c>
      <c r="K791">
        <v>0.35573168723232501</v>
      </c>
      <c r="L791">
        <v>449.10810784406999</v>
      </c>
      <c r="M791">
        <v>8.3507867356810799</v>
      </c>
      <c r="N791">
        <v>59.603893812838798</v>
      </c>
      <c r="O791">
        <v>50.961355600640999</v>
      </c>
      <c r="P791">
        <v>-2.95700088441734E-2</v>
      </c>
      <c r="Q791">
        <v>0.27888091094624401</v>
      </c>
      <c r="R791">
        <v>0.95879780160266703</v>
      </c>
      <c r="S791" t="s">
        <v>7408</v>
      </c>
      <c r="T791" t="s">
        <v>13232</v>
      </c>
      <c r="U791" t="s">
        <v>13232</v>
      </c>
      <c r="V791" t="s">
        <v>13232</v>
      </c>
      <c r="W791" t="s">
        <v>14002</v>
      </c>
      <c r="X791">
        <v>7</v>
      </c>
      <c r="Y791" t="s">
        <v>20537</v>
      </c>
      <c r="Z791" t="s">
        <v>26922</v>
      </c>
      <c r="AA791">
        <v>0.63523417395215609</v>
      </c>
      <c r="AB791" t="str">
        <f>HYPERLINK("Melting_Curves/meltCurve_H3BNT4_MPHOSPH6.pdf", "Melting_Curves/meltCurve_H3BNT4_MPHOSPH6.pdf")</f>
        <v>Melting_Curves/meltCurve_H3BNT4_MPHOSPH6.pdf</v>
      </c>
    </row>
    <row r="792" spans="1:28" x14ac:dyDescent="0.25">
      <c r="A792" t="s">
        <v>796</v>
      </c>
      <c r="B792">
        <v>0.99930955844802105</v>
      </c>
      <c r="C792">
        <v>0.896593377959231</v>
      </c>
      <c r="D792">
        <v>0.69362387623705302</v>
      </c>
      <c r="E792">
        <v>0.495820845857326</v>
      </c>
      <c r="F792">
        <v>0.24182015541205701</v>
      </c>
      <c r="G792">
        <v>0.144442864386544</v>
      </c>
      <c r="H792">
        <v>9.8268595351888893E-2</v>
      </c>
      <c r="I792">
        <v>8.4659489018087702E-2</v>
      </c>
      <c r="J792">
        <v>6.6588096600783395E-2</v>
      </c>
      <c r="K792">
        <v>4.7755316552590098E-2</v>
      </c>
      <c r="L792">
        <v>724.77702479408697</v>
      </c>
      <c r="M792">
        <v>14.8223209130974</v>
      </c>
      <c r="N792">
        <v>49.216593283338597</v>
      </c>
      <c r="O792">
        <v>48.033543223465401</v>
      </c>
      <c r="P792">
        <v>-7.3621048639491801E-2</v>
      </c>
      <c r="Q792">
        <v>4.5789418008455901E-2</v>
      </c>
      <c r="R792">
        <v>0.99469846203332901</v>
      </c>
      <c r="S792" t="s">
        <v>7409</v>
      </c>
      <c r="T792" t="s">
        <v>13232</v>
      </c>
      <c r="U792" t="s">
        <v>13232</v>
      </c>
      <c r="V792" t="s">
        <v>13232</v>
      </c>
      <c r="W792" t="s">
        <v>14003</v>
      </c>
      <c r="X792">
        <v>9</v>
      </c>
      <c r="Y792" t="s">
        <v>20538</v>
      </c>
      <c r="Z792" t="s">
        <v>26923</v>
      </c>
      <c r="AA792">
        <v>0.35297680689021538</v>
      </c>
      <c r="AB792" t="str">
        <f>HYPERLINK("Melting_Curves/meltCurve_H3BPB8_MPI.pdf", "Melting_Curves/meltCurve_H3BPB8_MPI.pdf")</f>
        <v>Melting_Curves/meltCurve_H3BPB8_MPI.pdf</v>
      </c>
    </row>
    <row r="793" spans="1:28" x14ac:dyDescent="0.25">
      <c r="A793" t="s">
        <v>797</v>
      </c>
      <c r="B793">
        <v>0.99930955844802105</v>
      </c>
      <c r="C793">
        <v>1.02802751688964</v>
      </c>
      <c r="D793">
        <v>0.96590693233587899</v>
      </c>
      <c r="E793">
        <v>0.86888719564541805</v>
      </c>
      <c r="F793">
        <v>0.30799167535905603</v>
      </c>
      <c r="G793">
        <v>0.20866863495847199</v>
      </c>
      <c r="H793">
        <v>0.13332960623602999</v>
      </c>
      <c r="I793">
        <v>0.12719527899116401</v>
      </c>
      <c r="J793">
        <v>0.116408266957825</v>
      </c>
      <c r="K793">
        <v>9.1981837279203699E-2</v>
      </c>
      <c r="L793">
        <v>2644.0645057992301</v>
      </c>
      <c r="M793">
        <v>51.208435579245297</v>
      </c>
      <c r="N793">
        <v>51.946836308993703</v>
      </c>
      <c r="O793">
        <v>51.554819602408003</v>
      </c>
      <c r="P793">
        <v>-0.21531608517066</v>
      </c>
      <c r="Q793">
        <v>0.13291060652104</v>
      </c>
      <c r="R793">
        <v>0.99455010401980903</v>
      </c>
      <c r="S793" t="s">
        <v>7410</v>
      </c>
      <c r="T793" t="s">
        <v>13232</v>
      </c>
      <c r="U793" t="s">
        <v>13232</v>
      </c>
      <c r="V793" t="s">
        <v>13232</v>
      </c>
      <c r="W793" t="s">
        <v>14004</v>
      </c>
      <c r="X793">
        <v>350</v>
      </c>
      <c r="Y793" t="s">
        <v>20252</v>
      </c>
      <c r="Z793" t="s">
        <v>26924</v>
      </c>
      <c r="AA793">
        <v>0.47103207178983758</v>
      </c>
      <c r="AB793" t="str">
        <f>HYPERLINK("Melting_Curves/meltCurve_H3BPE1_MACF1.pdf", "Melting_Curves/meltCurve_H3BPE1_MACF1.pdf")</f>
        <v>Melting_Curves/meltCurve_H3BPE1_MACF1.pdf</v>
      </c>
    </row>
    <row r="794" spans="1:28" x14ac:dyDescent="0.25">
      <c r="A794" t="s">
        <v>798</v>
      </c>
      <c r="B794">
        <v>0.99930955844802105</v>
      </c>
      <c r="C794">
        <v>1.06702059998021</v>
      </c>
      <c r="D794">
        <v>0.95990531682432301</v>
      </c>
      <c r="E794">
        <v>1.0359042972841901</v>
      </c>
      <c r="F794">
        <v>0.94187213644602996</v>
      </c>
      <c r="G794">
        <v>0.99327741839268802</v>
      </c>
      <c r="H794">
        <v>1.40344507587409</v>
      </c>
      <c r="I794">
        <v>1.68760447837883</v>
      </c>
      <c r="J794">
        <v>1.90225131113681</v>
      </c>
      <c r="K794">
        <v>1.2421953761201301</v>
      </c>
      <c r="L794">
        <v>15000</v>
      </c>
      <c r="M794">
        <v>247.33160410521501</v>
      </c>
      <c r="O794">
        <v>60.643354454070099</v>
      </c>
      <c r="P794">
        <v>0.50980768580521196</v>
      </c>
      <c r="Q794">
        <v>1.5</v>
      </c>
      <c r="R794">
        <v>0.73124832685064001</v>
      </c>
      <c r="S794" t="s">
        <v>7411</v>
      </c>
      <c r="T794" t="s">
        <v>13232</v>
      </c>
      <c r="U794" t="s">
        <v>13232</v>
      </c>
      <c r="V794" t="s">
        <v>13232</v>
      </c>
      <c r="W794" t="s">
        <v>14005</v>
      </c>
      <c r="X794">
        <v>4</v>
      </c>
      <c r="Y794" t="s">
        <v>20539</v>
      </c>
      <c r="Z794" t="s">
        <v>26925</v>
      </c>
      <c r="AA794">
        <v>1.1558235562789709</v>
      </c>
      <c r="AB794" t="str">
        <f>HYPERLINK("Melting_Curves/meltCurve_H3BPJ6_ZNF276.pdf", "Melting_Curves/meltCurve_H3BPJ6_ZNF276.pdf")</f>
        <v>Melting_Curves/meltCurve_H3BPJ6_ZNF276.pdf</v>
      </c>
    </row>
    <row r="795" spans="1:28" x14ac:dyDescent="0.25">
      <c r="A795" t="s">
        <v>799</v>
      </c>
      <c r="B795">
        <v>0.99930955844802105</v>
      </c>
      <c r="C795">
        <v>1.0840821015754301</v>
      </c>
      <c r="D795">
        <v>1.06466741524417</v>
      </c>
      <c r="E795">
        <v>0.92508123050336999</v>
      </c>
      <c r="F795">
        <v>0.748018533614902</v>
      </c>
      <c r="G795">
        <v>0.59864968512740702</v>
      </c>
      <c r="H795">
        <v>0.47901076633030498</v>
      </c>
      <c r="I795">
        <v>0.33027454334488598</v>
      </c>
      <c r="J795">
        <v>0.19860942435808601</v>
      </c>
      <c r="K795">
        <v>0.101761855876326</v>
      </c>
      <c r="L795">
        <v>714.51160530284403</v>
      </c>
      <c r="M795">
        <v>12.0048614064617</v>
      </c>
      <c r="N795">
        <v>59.518521841474801</v>
      </c>
      <c r="O795">
        <v>57.939132356690997</v>
      </c>
      <c r="P795">
        <v>-5.1811920385634203E-2</v>
      </c>
      <c r="Q795">
        <v>0</v>
      </c>
      <c r="R795">
        <v>0.976580697912101</v>
      </c>
      <c r="S795" t="s">
        <v>7412</v>
      </c>
      <c r="T795" t="s">
        <v>13232</v>
      </c>
      <c r="U795" t="s">
        <v>13232</v>
      </c>
      <c r="V795" t="s">
        <v>13232</v>
      </c>
      <c r="W795" t="s">
        <v>14006</v>
      </c>
      <c r="X795">
        <v>12</v>
      </c>
      <c r="Y795" t="s">
        <v>20540</v>
      </c>
      <c r="Z795" t="s">
        <v>26926</v>
      </c>
      <c r="AA795">
        <v>0.65576615474119437</v>
      </c>
      <c r="AB795" t="str">
        <f>HYPERLINK("Melting_Curves/meltCurve_H3BPK3_HAGH.pdf", "Melting_Curves/meltCurve_H3BPK3_HAGH.pdf")</f>
        <v>Melting_Curves/meltCurve_H3BPK3_HAGH.pdf</v>
      </c>
    </row>
    <row r="796" spans="1:28" x14ac:dyDescent="0.25">
      <c r="A796" t="s">
        <v>800</v>
      </c>
      <c r="B796">
        <v>0.99930955844802105</v>
      </c>
      <c r="C796">
        <v>0.96790004726089496</v>
      </c>
      <c r="D796">
        <v>0.94252231331541403</v>
      </c>
      <c r="E796">
        <v>0.81837568317248299</v>
      </c>
      <c r="F796">
        <v>0.62076570579024204</v>
      </c>
      <c r="G796">
        <v>0.34306621638639301</v>
      </c>
      <c r="H796">
        <v>0.17380425860159199</v>
      </c>
      <c r="I796">
        <v>0.12047208267902</v>
      </c>
      <c r="J796">
        <v>9.6351342669823897E-2</v>
      </c>
      <c r="K796">
        <v>6.92400066315976E-2</v>
      </c>
      <c r="L796">
        <v>896.61532292887898</v>
      </c>
      <c r="M796">
        <v>16.5235941025106</v>
      </c>
      <c r="N796">
        <v>54.602963352308898</v>
      </c>
      <c r="O796">
        <v>53.486637523045999</v>
      </c>
      <c r="P796">
        <v>-7.3459391311285704E-2</v>
      </c>
      <c r="Q796">
        <v>4.8917737440680502E-2</v>
      </c>
      <c r="R796">
        <v>0.99949795327885604</v>
      </c>
      <c r="S796" t="s">
        <v>7413</v>
      </c>
      <c r="T796" t="s">
        <v>13232</v>
      </c>
      <c r="U796" t="s">
        <v>13232</v>
      </c>
      <c r="V796" t="s">
        <v>13232</v>
      </c>
      <c r="W796" t="s">
        <v>14007</v>
      </c>
      <c r="X796">
        <v>2</v>
      </c>
      <c r="Y796" t="s">
        <v>20541</v>
      </c>
      <c r="Z796" t="s">
        <v>26927</v>
      </c>
      <c r="AA796">
        <v>0.51809884198209022</v>
      </c>
      <c r="AB796" t="str">
        <f>HYPERLINK("Melting_Curves/meltCurve_H3BPK6_ORAOV1.pdf", "Melting_Curves/meltCurve_H3BPK6_ORAOV1.pdf")</f>
        <v>Melting_Curves/meltCurve_H3BPK6_ORAOV1.pdf</v>
      </c>
    </row>
    <row r="797" spans="1:28" x14ac:dyDescent="0.25">
      <c r="A797" t="s">
        <v>801</v>
      </c>
      <c r="B797">
        <v>0.99930955844802105</v>
      </c>
      <c r="C797">
        <v>1.0043139742545799</v>
      </c>
      <c r="D797">
        <v>1.0396567305948401</v>
      </c>
      <c r="E797">
        <v>1.0049144894253701</v>
      </c>
      <c r="F797">
        <v>0.87944146444235405</v>
      </c>
      <c r="G797">
        <v>0.75535534377082103</v>
      </c>
      <c r="H797">
        <v>0.45257806493555602</v>
      </c>
      <c r="I797">
        <v>0.37734820641199901</v>
      </c>
      <c r="J797">
        <v>0.302808298933398</v>
      </c>
      <c r="K797">
        <v>0.237958472092625</v>
      </c>
      <c r="L797">
        <v>1130.6760629107901</v>
      </c>
      <c r="M797">
        <v>19.204485881714099</v>
      </c>
      <c r="N797">
        <v>60.697359799368598</v>
      </c>
      <c r="O797">
        <v>58.248386950844299</v>
      </c>
      <c r="P797">
        <v>-6.4373131395647001E-2</v>
      </c>
      <c r="Q797">
        <v>0.21903917607778201</v>
      </c>
      <c r="R797">
        <v>0.99299282112728904</v>
      </c>
      <c r="S797" t="s">
        <v>7414</v>
      </c>
      <c r="T797" t="s">
        <v>13232</v>
      </c>
      <c r="U797" t="s">
        <v>13232</v>
      </c>
      <c r="V797" t="s">
        <v>13232</v>
      </c>
      <c r="W797" t="s">
        <v>14008</v>
      </c>
      <c r="X797">
        <v>27</v>
      </c>
      <c r="Y797" t="s">
        <v>20542</v>
      </c>
      <c r="Z797" t="s">
        <v>26928</v>
      </c>
      <c r="AA797">
        <v>0.71861916071715015</v>
      </c>
      <c r="AB797" t="str">
        <f>HYPERLINK("Melting_Curves/meltCurve_H3BPS8_ALDOA.pdf", "Melting_Curves/meltCurve_H3BPS8_ALDOA.pdf")</f>
        <v>Melting_Curves/meltCurve_H3BPS8_ALDOA.pdf</v>
      </c>
    </row>
    <row r="798" spans="1:28" x14ac:dyDescent="0.25">
      <c r="A798" t="s">
        <v>802</v>
      </c>
      <c r="B798">
        <v>0.99930955844802105</v>
      </c>
      <c r="C798">
        <v>0.98920683873493398</v>
      </c>
      <c r="D798">
        <v>0.93306499792841702</v>
      </c>
      <c r="E798">
        <v>0.94238912381762496</v>
      </c>
      <c r="F798">
        <v>0.74805748368829295</v>
      </c>
      <c r="G798">
        <v>0.70861149433901405</v>
      </c>
      <c r="H798">
        <v>0.70971466731014599</v>
      </c>
      <c r="I798">
        <v>0.78438375407156802</v>
      </c>
      <c r="J798">
        <v>0.69779014680757701</v>
      </c>
      <c r="K798">
        <v>0.56967206645252599</v>
      </c>
      <c r="L798">
        <v>2471.51256772538</v>
      </c>
      <c r="M798">
        <v>48.060789332592996</v>
      </c>
      <c r="O798">
        <v>51.335921920132797</v>
      </c>
      <c r="P798">
        <v>-7.1881330799976897E-2</v>
      </c>
      <c r="Q798">
        <v>0.69288139202978405</v>
      </c>
      <c r="R798">
        <v>0.85434788510442805</v>
      </c>
      <c r="S798" t="s">
        <v>7415</v>
      </c>
      <c r="T798" t="s">
        <v>13232</v>
      </c>
      <c r="U798" t="s">
        <v>13232</v>
      </c>
      <c r="V798" t="s">
        <v>13232</v>
      </c>
      <c r="W798" t="s">
        <v>14009</v>
      </c>
      <c r="X798">
        <v>3</v>
      </c>
      <c r="Y798" t="s">
        <v>20543</v>
      </c>
      <c r="Z798" t="s">
        <v>26929</v>
      </c>
      <c r="AA798">
        <v>0.81059382072038422</v>
      </c>
      <c r="AB798" t="str">
        <f>HYPERLINK("Melting_Curves/meltCurve_H3BQA0_SNAPC5.pdf", "Melting_Curves/meltCurve_H3BQA0_SNAPC5.pdf")</f>
        <v>Melting_Curves/meltCurve_H3BQA0_SNAPC5.pdf</v>
      </c>
    </row>
    <row r="799" spans="1:28" x14ac:dyDescent="0.25">
      <c r="A799" t="s">
        <v>803</v>
      </c>
      <c r="B799">
        <v>0.99930955844802105</v>
      </c>
      <c r="C799">
        <v>0.916337395357535</v>
      </c>
      <c r="D799">
        <v>0.86749914888935498</v>
      </c>
      <c r="E799">
        <v>0.62701161602412203</v>
      </c>
      <c r="F799">
        <v>0.293570456147971</v>
      </c>
      <c r="G799">
        <v>0.20509374681008999</v>
      </c>
      <c r="H799">
        <v>0.12518855612013399</v>
      </c>
      <c r="I799">
        <v>0.114162253991276</v>
      </c>
      <c r="J799">
        <v>9.8566052220751002E-2</v>
      </c>
      <c r="K799">
        <v>8.1525309615261499E-2</v>
      </c>
      <c r="L799">
        <v>954.98768262873602</v>
      </c>
      <c r="M799">
        <v>18.938143970129602</v>
      </c>
      <c r="N799">
        <v>50.9562817464613</v>
      </c>
      <c r="O799">
        <v>49.874514263406901</v>
      </c>
      <c r="P799">
        <v>-8.6452012099687101E-2</v>
      </c>
      <c r="Q799">
        <v>8.9334653160779195E-2</v>
      </c>
      <c r="R799">
        <v>0.99321662947424505</v>
      </c>
      <c r="S799" t="s">
        <v>7416</v>
      </c>
      <c r="T799" t="s">
        <v>13232</v>
      </c>
      <c r="U799" t="s">
        <v>13232</v>
      </c>
      <c r="V799" t="s">
        <v>13232</v>
      </c>
      <c r="W799" t="s">
        <v>14010</v>
      </c>
      <c r="X799">
        <v>24</v>
      </c>
      <c r="Y799" t="s">
        <v>20544</v>
      </c>
      <c r="Z799" t="s">
        <v>26930</v>
      </c>
      <c r="AA799">
        <v>0.41988672102535518</v>
      </c>
      <c r="AB799" t="str">
        <f>HYPERLINK("Melting_Curves/meltCurve_H3BQZ7_hCG_2044799.pdf", "Melting_Curves/meltCurve_H3BQZ7_hCG_2044799.pdf")</f>
        <v>Melting_Curves/meltCurve_H3BQZ7_hCG_2044799.pdf</v>
      </c>
    </row>
    <row r="800" spans="1:28" x14ac:dyDescent="0.25">
      <c r="A800" t="s">
        <v>804</v>
      </c>
      <c r="B800">
        <v>0.99930955844802105</v>
      </c>
      <c r="C800">
        <v>1.0490019903780801</v>
      </c>
      <c r="D800">
        <v>1.06588971894395</v>
      </c>
      <c r="E800">
        <v>1.0142716331607999</v>
      </c>
      <c r="F800">
        <v>0.81656591417786195</v>
      </c>
      <c r="G800">
        <v>0.68097404070048795</v>
      </c>
      <c r="H800">
        <v>0.66569470040548795</v>
      </c>
      <c r="I800">
        <v>0.71898385012560295</v>
      </c>
      <c r="J800">
        <v>0.76211163567807105</v>
      </c>
      <c r="K800">
        <v>0.58015986641357797</v>
      </c>
      <c r="L800">
        <v>13233.743823897799</v>
      </c>
      <c r="M800">
        <v>250</v>
      </c>
      <c r="O800">
        <v>52.9315894401769</v>
      </c>
      <c r="P800">
        <v>-0.37597491144459599</v>
      </c>
      <c r="Q800">
        <v>0.68158481574710394</v>
      </c>
      <c r="R800">
        <v>0.91390852385723398</v>
      </c>
      <c r="S800" t="s">
        <v>7417</v>
      </c>
      <c r="T800" t="s">
        <v>13232</v>
      </c>
      <c r="U800" t="s">
        <v>13232</v>
      </c>
      <c r="V800" t="s">
        <v>13232</v>
      </c>
      <c r="W800" t="s">
        <v>14011</v>
      </c>
      <c r="X800">
        <v>14</v>
      </c>
      <c r="Y800" t="s">
        <v>20545</v>
      </c>
      <c r="Z800" t="s">
        <v>26931</v>
      </c>
      <c r="AA800">
        <v>0.81890414793786837</v>
      </c>
      <c r="AB800" t="str">
        <f>HYPERLINK("Melting_Curves/meltCurve_H3BRF9_ZFYVE19.pdf", "Melting_Curves/meltCurve_H3BRF9_ZFYVE19.pdf")</f>
        <v>Melting_Curves/meltCurve_H3BRF9_ZFYVE19.pdf</v>
      </c>
    </row>
    <row r="801" spans="1:28" x14ac:dyDescent="0.25">
      <c r="A801" t="s">
        <v>805</v>
      </c>
      <c r="B801">
        <v>0.99930955844802105</v>
      </c>
      <c r="C801">
        <v>1.10603879448486</v>
      </c>
      <c r="D801">
        <v>1.14930668649816</v>
      </c>
      <c r="E801">
        <v>1.00862443005944</v>
      </c>
      <c r="F801">
        <v>0.79269568739103402</v>
      </c>
      <c r="G801">
        <v>0.44828730808997502</v>
      </c>
      <c r="H801">
        <v>0.24644389993318899</v>
      </c>
      <c r="I801">
        <v>0.19942739679910801</v>
      </c>
      <c r="J801">
        <v>0.181139548212813</v>
      </c>
      <c r="K801">
        <v>0.14781367815874799</v>
      </c>
      <c r="L801">
        <v>1513.9708420408399</v>
      </c>
      <c r="M801">
        <v>27.2686972041266</v>
      </c>
      <c r="N801">
        <v>56.371991129610997</v>
      </c>
      <c r="O801">
        <v>55.224445819571599</v>
      </c>
      <c r="P801">
        <v>-0.102607529985901</v>
      </c>
      <c r="Q801">
        <v>0.16880651909489</v>
      </c>
      <c r="R801">
        <v>0.97602158161517305</v>
      </c>
      <c r="S801" t="s">
        <v>7418</v>
      </c>
      <c r="T801" t="s">
        <v>13232</v>
      </c>
      <c r="U801" t="s">
        <v>13232</v>
      </c>
      <c r="V801" t="s">
        <v>13232</v>
      </c>
      <c r="W801" t="s">
        <v>14012</v>
      </c>
      <c r="X801">
        <v>13</v>
      </c>
      <c r="Y801" t="s">
        <v>20546</v>
      </c>
      <c r="Z801" t="s">
        <v>26932</v>
      </c>
      <c r="AA801">
        <v>0.60541004958525357</v>
      </c>
      <c r="AB801" t="str">
        <f>HYPERLINK("Melting_Curves/meltCurve_H3BRL3_UBFD1.pdf", "Melting_Curves/meltCurve_H3BRL3_UBFD1.pdf")</f>
        <v>Melting_Curves/meltCurve_H3BRL3_UBFD1.pdf</v>
      </c>
    </row>
    <row r="802" spans="1:28" x14ac:dyDescent="0.25">
      <c r="A802" t="s">
        <v>806</v>
      </c>
      <c r="B802">
        <v>0.99930955844802105</v>
      </c>
      <c r="C802">
        <v>0.77799693596884001</v>
      </c>
      <c r="D802">
        <v>0.79224240648056099</v>
      </c>
      <c r="E802">
        <v>0.55594942038303696</v>
      </c>
      <c r="F802">
        <v>0.447121550329864</v>
      </c>
      <c r="G802">
        <v>0.35997884280841902</v>
      </c>
      <c r="H802">
        <v>0.29923983744975202</v>
      </c>
      <c r="I802">
        <v>0.28667138243383</v>
      </c>
      <c r="J802">
        <v>0.256513936129041</v>
      </c>
      <c r="K802">
        <v>0.197092287193156</v>
      </c>
      <c r="L802">
        <v>511.36096836138199</v>
      </c>
      <c r="M802">
        <v>10.3623824313949</v>
      </c>
      <c r="N802">
        <v>51.820788400338998</v>
      </c>
      <c r="O802">
        <v>47.616096328071102</v>
      </c>
      <c r="P802">
        <v>-4.3811795737871799E-2</v>
      </c>
      <c r="Q802">
        <v>0.19506477269199199</v>
      </c>
      <c r="R802">
        <v>0.97675782532997801</v>
      </c>
      <c r="S802" t="s">
        <v>7419</v>
      </c>
      <c r="T802" t="s">
        <v>13232</v>
      </c>
      <c r="U802" t="s">
        <v>13232</v>
      </c>
      <c r="V802" t="s">
        <v>13232</v>
      </c>
      <c r="W802" t="s">
        <v>14013</v>
      </c>
      <c r="X802">
        <v>29</v>
      </c>
      <c r="Y802" t="s">
        <v>20547</v>
      </c>
      <c r="Z802" t="s">
        <v>26933</v>
      </c>
      <c r="AA802">
        <v>0.48227362315635158</v>
      </c>
      <c r="AB802" t="str">
        <f>HYPERLINK("Melting_Curves/meltCurve_H3BRV0_EIF3C.pdf", "Melting_Curves/meltCurve_H3BRV0_EIF3C.pdf")</f>
        <v>Melting_Curves/meltCurve_H3BRV0_EIF3C.pdf</v>
      </c>
    </row>
    <row r="803" spans="1:28" x14ac:dyDescent="0.25">
      <c r="A803" t="s">
        <v>807</v>
      </c>
      <c r="B803">
        <v>0.99930955844802105</v>
      </c>
      <c r="C803">
        <v>1.15919989286592</v>
      </c>
      <c r="D803">
        <v>1.0847721633606</v>
      </c>
      <c r="E803">
        <v>0.92349199807536797</v>
      </c>
      <c r="F803">
        <v>0.76232842496878495</v>
      </c>
      <c r="G803">
        <v>0.64016053907334003</v>
      </c>
      <c r="H803">
        <v>0.84590088355615001</v>
      </c>
      <c r="I803">
        <v>0.89045446002293405</v>
      </c>
      <c r="J803">
        <v>0.98668751898822205</v>
      </c>
      <c r="K803">
        <v>0.79050806442995702</v>
      </c>
      <c r="L803">
        <v>12515.4225730901</v>
      </c>
      <c r="M803">
        <v>250</v>
      </c>
      <c r="O803">
        <v>50.058490121581102</v>
      </c>
      <c r="P803">
        <v>-0.22556118244266399</v>
      </c>
      <c r="Q803">
        <v>0.81933997706275496</v>
      </c>
      <c r="R803">
        <v>0.53424838358839899</v>
      </c>
      <c r="S803" t="s">
        <v>7420</v>
      </c>
      <c r="T803" t="s">
        <v>13232</v>
      </c>
      <c r="U803" t="s">
        <v>13232</v>
      </c>
      <c r="V803" t="s">
        <v>13232</v>
      </c>
      <c r="W803" t="s">
        <v>14014</v>
      </c>
      <c r="X803">
        <v>3</v>
      </c>
      <c r="Y803" t="s">
        <v>20548</v>
      </c>
      <c r="Z803" t="s">
        <v>26934</v>
      </c>
      <c r="AA803">
        <v>0.87994735603194085</v>
      </c>
      <c r="AB803" t="str">
        <f>HYPERLINK("Melting_Curves/meltCurve_H3BS09_CYLD.pdf", "Melting_Curves/meltCurve_H3BS09_CYLD.pdf")</f>
        <v>Melting_Curves/meltCurve_H3BS09_CYLD.pdf</v>
      </c>
    </row>
    <row r="804" spans="1:28" x14ac:dyDescent="0.25">
      <c r="A804" t="s">
        <v>808</v>
      </c>
      <c r="B804">
        <v>0.99930955844802105</v>
      </c>
      <c r="C804">
        <v>0.96415823056045202</v>
      </c>
      <c r="D804">
        <v>0.85328844373941004</v>
      </c>
      <c r="E804">
        <v>0.79011190485412597</v>
      </c>
      <c r="F804">
        <v>0.71149620517316103</v>
      </c>
      <c r="G804">
        <v>0.422022629162629</v>
      </c>
      <c r="H804">
        <v>0.28276793222138102</v>
      </c>
      <c r="I804">
        <v>0.50493348330787602</v>
      </c>
      <c r="J804">
        <v>0.40849503144168597</v>
      </c>
      <c r="K804">
        <v>0.29079024347844901</v>
      </c>
      <c r="L804">
        <v>759.72788415125206</v>
      </c>
      <c r="M804">
        <v>14.5101787789706</v>
      </c>
      <c r="N804">
        <v>56.536907288154403</v>
      </c>
      <c r="O804">
        <v>51.393942808236297</v>
      </c>
      <c r="P804">
        <v>-4.73727454817248E-2</v>
      </c>
      <c r="Q804">
        <v>0.32891462459920201</v>
      </c>
      <c r="R804">
        <v>0.921500506357947</v>
      </c>
      <c r="S804" t="s">
        <v>7421</v>
      </c>
      <c r="T804" t="s">
        <v>13232</v>
      </c>
      <c r="U804" t="s">
        <v>13232</v>
      </c>
      <c r="V804" t="s">
        <v>13232</v>
      </c>
      <c r="W804" t="s">
        <v>14015</v>
      </c>
      <c r="X804">
        <v>13</v>
      </c>
      <c r="Y804" t="s">
        <v>20549</v>
      </c>
      <c r="Z804" t="s">
        <v>26935</v>
      </c>
      <c r="AA804">
        <v>0.62091125530920321</v>
      </c>
      <c r="AB804" t="str">
        <f>HYPERLINK("Melting_Curves/meltCurve_H3BSC1_RAB11A.pdf", "Melting_Curves/meltCurve_H3BSC1_RAB11A.pdf")</f>
        <v>Melting_Curves/meltCurve_H3BSC1_RAB11A.pdf</v>
      </c>
    </row>
    <row r="805" spans="1:28" x14ac:dyDescent="0.25">
      <c r="A805" t="s">
        <v>809</v>
      </c>
      <c r="B805">
        <v>0.99930955844802105</v>
      </c>
      <c r="C805">
        <v>0.96797423484131995</v>
      </c>
      <c r="D805">
        <v>0.97877172059154405</v>
      </c>
      <c r="E805">
        <v>0.90610899150993296</v>
      </c>
      <c r="F805">
        <v>0.76454508650141195</v>
      </c>
      <c r="G805">
        <v>0.50487363172254196</v>
      </c>
      <c r="H805">
        <v>0.25738160626999501</v>
      </c>
      <c r="I805">
        <v>0.17115099403651701</v>
      </c>
      <c r="J805">
        <v>0.13955201957688099</v>
      </c>
      <c r="K805">
        <v>9.4096546101535103E-2</v>
      </c>
      <c r="L805">
        <v>960.49180659086596</v>
      </c>
      <c r="M805">
        <v>17.0164119466104</v>
      </c>
      <c r="N805">
        <v>56.912619038049002</v>
      </c>
      <c r="O805">
        <v>55.682775142569596</v>
      </c>
      <c r="P805">
        <v>-7.1419476173171306E-2</v>
      </c>
      <c r="Q805">
        <v>6.5234240125570803E-2</v>
      </c>
      <c r="R805">
        <v>0.99901690919781605</v>
      </c>
      <c r="S805" t="s">
        <v>7422</v>
      </c>
      <c r="T805" t="s">
        <v>13232</v>
      </c>
      <c r="U805" t="s">
        <v>13232</v>
      </c>
      <c r="V805" t="s">
        <v>13232</v>
      </c>
      <c r="W805" t="s">
        <v>14016</v>
      </c>
      <c r="X805">
        <v>6</v>
      </c>
      <c r="Y805" t="s">
        <v>20550</v>
      </c>
      <c r="Z805" t="s">
        <v>26936</v>
      </c>
      <c r="AA805">
        <v>0.59183881739794275</v>
      </c>
      <c r="AB805" t="str">
        <f>HYPERLINK("Melting_Curves/meltCurve_H3BST1_BLOC1S6.pdf", "Melting_Curves/meltCurve_H3BST1_BLOC1S6.pdf")</f>
        <v>Melting_Curves/meltCurve_H3BST1_BLOC1S6.pdf</v>
      </c>
    </row>
    <row r="806" spans="1:28" x14ac:dyDescent="0.25">
      <c r="A806" t="s">
        <v>810</v>
      </c>
      <c r="B806">
        <v>0.99930955844802105</v>
      </c>
      <c r="C806">
        <v>0.73912771407950395</v>
      </c>
      <c r="D806">
        <v>0.719617030834653</v>
      </c>
      <c r="E806">
        <v>0.69018462024037397</v>
      </c>
      <c r="F806">
        <v>0.37483747251507898</v>
      </c>
      <c r="G806">
        <v>0.30614507693901299</v>
      </c>
      <c r="H806">
        <v>0.300404081518164</v>
      </c>
      <c r="I806">
        <v>0.26448602719435899</v>
      </c>
      <c r="J806">
        <v>0.27946173676293601</v>
      </c>
      <c r="K806">
        <v>0.227515357686256</v>
      </c>
      <c r="L806">
        <v>496.00850633565699</v>
      </c>
      <c r="M806">
        <v>10.127049983469201</v>
      </c>
      <c r="N806">
        <v>51.523298670270698</v>
      </c>
      <c r="O806">
        <v>47.183849544638903</v>
      </c>
      <c r="P806">
        <v>-4.3118305617140702E-2</v>
      </c>
      <c r="Q806">
        <v>0.19678674558367401</v>
      </c>
      <c r="R806">
        <v>0.93377555833644599</v>
      </c>
      <c r="S806" t="s">
        <v>7423</v>
      </c>
      <c r="T806" t="s">
        <v>13232</v>
      </c>
      <c r="U806" t="s">
        <v>13232</v>
      </c>
      <c r="V806" t="s">
        <v>13232</v>
      </c>
      <c r="W806" t="s">
        <v>14017</v>
      </c>
      <c r="X806">
        <v>3</v>
      </c>
      <c r="Y806" t="s">
        <v>20551</v>
      </c>
      <c r="Z806" t="s">
        <v>26937</v>
      </c>
      <c r="AA806">
        <v>0.47582931249658372</v>
      </c>
      <c r="AB806" t="str">
        <f>HYPERLINK("Melting_Curves/meltCurve_H3BSZ4_MLST8.pdf", "Melting_Curves/meltCurve_H3BSZ4_MLST8.pdf")</f>
        <v>Melting_Curves/meltCurve_H3BSZ4_MLST8.pdf</v>
      </c>
    </row>
    <row r="807" spans="1:28" x14ac:dyDescent="0.25">
      <c r="A807" t="s">
        <v>811</v>
      </c>
      <c r="B807">
        <v>0.99930955844802105</v>
      </c>
      <c r="C807">
        <v>1.09143283799307</v>
      </c>
      <c r="D807">
        <v>1.1123698985095101</v>
      </c>
      <c r="E807">
        <v>1.1248965919452001</v>
      </c>
      <c r="F807">
        <v>0.98428576535152901</v>
      </c>
      <c r="G807">
        <v>1.01442934437179</v>
      </c>
      <c r="H807">
        <v>1.0885097768788401</v>
      </c>
      <c r="I807">
        <v>1.17430837496399</v>
      </c>
      <c r="J807">
        <v>1.04090706354964</v>
      </c>
      <c r="K807">
        <v>1.03804975389799</v>
      </c>
      <c r="L807">
        <v>10286.475959159499</v>
      </c>
      <c r="M807">
        <v>250</v>
      </c>
      <c r="O807">
        <v>41.143270745829803</v>
      </c>
      <c r="P807">
        <v>0.11295064823043401</v>
      </c>
      <c r="Q807">
        <v>1.0743545455765999</v>
      </c>
      <c r="R807">
        <v>0.15042203421661701</v>
      </c>
      <c r="S807" t="s">
        <v>7424</v>
      </c>
      <c r="T807" t="s">
        <v>13232</v>
      </c>
      <c r="U807" t="s">
        <v>13232</v>
      </c>
      <c r="V807" t="s">
        <v>13232</v>
      </c>
      <c r="W807" t="s">
        <v>14018</v>
      </c>
      <c r="X807">
        <v>2</v>
      </c>
      <c r="Y807" t="s">
        <v>20552</v>
      </c>
      <c r="Z807" t="s">
        <v>26938</v>
      </c>
      <c r="AA807">
        <v>1.071508774519341</v>
      </c>
      <c r="AB807" t="str">
        <f>HYPERLINK("Melting_Curves/meltCurve_H3BT74_CDK10.pdf", "Melting_Curves/meltCurve_H3BT74_CDK10.pdf")</f>
        <v>Melting_Curves/meltCurve_H3BT74_CDK10.pdf</v>
      </c>
    </row>
    <row r="808" spans="1:28" x14ac:dyDescent="0.25">
      <c r="A808" t="s">
        <v>812</v>
      </c>
      <c r="B808">
        <v>0.99930955844802105</v>
      </c>
      <c r="C808">
        <v>0.92379566830718596</v>
      </c>
      <c r="D808">
        <v>0.74227088456009704</v>
      </c>
      <c r="E808">
        <v>0.54379927381215498</v>
      </c>
      <c r="F808">
        <v>0.46103414550595001</v>
      </c>
      <c r="G808">
        <v>0.29325342884783501</v>
      </c>
      <c r="H808">
        <v>0.13327952514887301</v>
      </c>
      <c r="I808">
        <v>8.8356529777287002E-2</v>
      </c>
      <c r="J808">
        <v>6.0832479067822701E-2</v>
      </c>
      <c r="K808">
        <v>5.4058280003318103E-2</v>
      </c>
      <c r="L808">
        <v>557.62762298896098</v>
      </c>
      <c r="M808">
        <v>10.838886038309401</v>
      </c>
      <c r="N808">
        <v>51.446932139481099</v>
      </c>
      <c r="O808">
        <v>49.788614388951999</v>
      </c>
      <c r="P808">
        <v>-5.4443957342911201E-2</v>
      </c>
      <c r="Q808">
        <v>0</v>
      </c>
      <c r="R808">
        <v>0.99223988884940995</v>
      </c>
      <c r="S808" t="s">
        <v>7425</v>
      </c>
      <c r="T808" t="s">
        <v>13232</v>
      </c>
      <c r="U808" t="s">
        <v>13232</v>
      </c>
      <c r="V808" t="s">
        <v>13232</v>
      </c>
      <c r="W808" t="s">
        <v>14019</v>
      </c>
      <c r="X808">
        <v>8</v>
      </c>
      <c r="Y808" t="s">
        <v>20553</v>
      </c>
      <c r="Z808" t="s">
        <v>26939</v>
      </c>
      <c r="AA808">
        <v>0.41782114336686998</v>
      </c>
      <c r="AB808" t="str">
        <f>HYPERLINK("Melting_Curves/meltCurve_H3BTB7_EARS2.pdf", "Melting_Curves/meltCurve_H3BTB7_EARS2.pdf")</f>
        <v>Melting_Curves/meltCurve_H3BTB7_EARS2.pdf</v>
      </c>
    </row>
    <row r="809" spans="1:28" x14ac:dyDescent="0.25">
      <c r="A809" t="s">
        <v>813</v>
      </c>
      <c r="B809">
        <v>0.99930955844802105</v>
      </c>
      <c r="C809">
        <v>1.1399795568879301</v>
      </c>
      <c r="D809">
        <v>1.1191629748965899</v>
      </c>
      <c r="E809">
        <v>1.0250277607298199</v>
      </c>
      <c r="F809">
        <v>0.78454798571254403</v>
      </c>
      <c r="G809">
        <v>0.48919744526514503</v>
      </c>
      <c r="H809">
        <v>0.21198796292525901</v>
      </c>
      <c r="I809">
        <v>0.130577104469003</v>
      </c>
      <c r="J809">
        <v>8.6110524076348102E-2</v>
      </c>
      <c r="K809">
        <v>7.47209563888631E-2</v>
      </c>
      <c r="L809">
        <v>1329.7256980290199</v>
      </c>
      <c r="M809">
        <v>23.572850290705901</v>
      </c>
      <c r="N809">
        <v>56.7776648104374</v>
      </c>
      <c r="O809">
        <v>56.007952412147802</v>
      </c>
      <c r="P809">
        <v>-9.7759814405620399E-2</v>
      </c>
      <c r="Q809">
        <v>7.0925407047781303E-2</v>
      </c>
      <c r="R809">
        <v>0.97725289161398299</v>
      </c>
      <c r="S809" t="s">
        <v>7426</v>
      </c>
      <c r="T809" t="s">
        <v>13232</v>
      </c>
      <c r="U809" t="s">
        <v>13232</v>
      </c>
      <c r="V809" t="s">
        <v>13232</v>
      </c>
      <c r="W809" t="s">
        <v>14020</v>
      </c>
      <c r="X809">
        <v>7</v>
      </c>
      <c r="Y809" t="s">
        <v>20554</v>
      </c>
      <c r="Z809" t="s">
        <v>26940</v>
      </c>
      <c r="AA809">
        <v>0.5884062274140367</v>
      </c>
      <c r="AB809" t="str">
        <f>HYPERLINK("Melting_Curves/meltCurve_H3BTL1_MAP1LC3B.pdf", "Melting_Curves/meltCurve_H3BTL1_MAP1LC3B.pdf")</f>
        <v>Melting_Curves/meltCurve_H3BTL1_MAP1LC3B.pdf</v>
      </c>
    </row>
    <row r="810" spans="1:28" x14ac:dyDescent="0.25">
      <c r="A810" t="s">
        <v>814</v>
      </c>
      <c r="B810">
        <v>0.99930955844802105</v>
      </c>
      <c r="C810">
        <v>0.96157208679938799</v>
      </c>
      <c r="D810">
        <v>0.93909442434623003</v>
      </c>
      <c r="E810">
        <v>0.79722428782223898</v>
      </c>
      <c r="F810">
        <v>0.61142853384773399</v>
      </c>
      <c r="G810">
        <v>0.59672184770907299</v>
      </c>
      <c r="H810">
        <v>0.55998080138373896</v>
      </c>
      <c r="I810">
        <v>0.53337329885111495</v>
      </c>
      <c r="J810">
        <v>0.63257119968494402</v>
      </c>
      <c r="K810">
        <v>0.51178216104532304</v>
      </c>
      <c r="L810">
        <v>1221.1558783512701</v>
      </c>
      <c r="M810">
        <v>24.4714308252601</v>
      </c>
      <c r="O810">
        <v>49.571636743133197</v>
      </c>
      <c r="P810">
        <v>-5.4555018082672102E-2</v>
      </c>
      <c r="Q810">
        <v>0.55795932646649804</v>
      </c>
      <c r="R810">
        <v>0.96557399187783</v>
      </c>
      <c r="S810" t="s">
        <v>7427</v>
      </c>
      <c r="T810" t="s">
        <v>13232</v>
      </c>
      <c r="U810" t="s">
        <v>13232</v>
      </c>
      <c r="V810" t="s">
        <v>13232</v>
      </c>
      <c r="W810" t="s">
        <v>14021</v>
      </c>
      <c r="X810">
        <v>3</v>
      </c>
      <c r="Y810" t="s">
        <v>20555</v>
      </c>
      <c r="Z810" t="s">
        <v>26941</v>
      </c>
      <c r="AA810">
        <v>0.70797221229737584</v>
      </c>
      <c r="AB810" t="str">
        <f>HYPERLINK("Melting_Curves/meltCurve_H3BTT7_HERPUD1.pdf", "Melting_Curves/meltCurve_H3BTT7_HERPUD1.pdf")</f>
        <v>Melting_Curves/meltCurve_H3BTT7_HERPUD1.pdf</v>
      </c>
    </row>
    <row r="811" spans="1:28" x14ac:dyDescent="0.25">
      <c r="A811" t="s">
        <v>815</v>
      </c>
      <c r="B811">
        <v>0.99930955844802105</v>
      </c>
      <c r="C811">
        <v>1.1142712393117999</v>
      </c>
      <c r="D811">
        <v>1.19405632427686</v>
      </c>
      <c r="E811">
        <v>1.1111025364651399</v>
      </c>
      <c r="F811">
        <v>0.94852904287168005</v>
      </c>
      <c r="G811">
        <v>0.48548489398213301</v>
      </c>
      <c r="H811">
        <v>0.132722595689756</v>
      </c>
      <c r="I811">
        <v>8.1724605680952397E-2</v>
      </c>
      <c r="J811">
        <v>5.4196984540902798E-2</v>
      </c>
      <c r="K811">
        <v>4.33700344754199E-2</v>
      </c>
      <c r="L811">
        <v>2277.6837258083101</v>
      </c>
      <c r="M811">
        <v>40.122522383558703</v>
      </c>
      <c r="N811">
        <v>56.950258453636401</v>
      </c>
      <c r="O811">
        <v>56.627733949783597</v>
      </c>
      <c r="P811">
        <v>-0.16647338179363799</v>
      </c>
      <c r="Q811">
        <v>6.0179599025800203E-2</v>
      </c>
      <c r="R811">
        <v>0.97135369643043101</v>
      </c>
      <c r="S811" t="s">
        <v>7428</v>
      </c>
      <c r="T811" t="s">
        <v>13232</v>
      </c>
      <c r="U811" t="s">
        <v>13232</v>
      </c>
      <c r="V811" t="s">
        <v>13232</v>
      </c>
      <c r="W811" t="s">
        <v>14022</v>
      </c>
      <c r="X811">
        <v>5</v>
      </c>
      <c r="Y811" t="s">
        <v>20556</v>
      </c>
      <c r="Z811" t="s">
        <v>26942</v>
      </c>
      <c r="AA811">
        <v>0.58911271006655042</v>
      </c>
      <c r="AB811" t="str">
        <f>HYPERLINK("Melting_Curves/meltCurve_H3BU49_ARL2BP.pdf", "Melting_Curves/meltCurve_H3BU49_ARL2BP.pdf")</f>
        <v>Melting_Curves/meltCurve_H3BU49_ARL2BP.pdf</v>
      </c>
    </row>
    <row r="812" spans="1:28" x14ac:dyDescent="0.25">
      <c r="A812" t="s">
        <v>816</v>
      </c>
      <c r="B812">
        <v>0.99930955844802105</v>
      </c>
      <c r="C812">
        <v>0.90026022382595305</v>
      </c>
      <c r="D812">
        <v>0.65388778682186199</v>
      </c>
      <c r="E812">
        <v>1.0265363534057499</v>
      </c>
      <c r="F812">
        <v>0.65451087775235794</v>
      </c>
      <c r="G812">
        <v>0.40672413940468699</v>
      </c>
      <c r="H812">
        <v>0.24591673062292299</v>
      </c>
      <c r="I812">
        <v>0.31381784635611798</v>
      </c>
      <c r="J812">
        <v>0.30647271934871001</v>
      </c>
      <c r="K812">
        <v>0.24188684455805601</v>
      </c>
      <c r="L812">
        <v>1701.8051117979901</v>
      </c>
      <c r="M812">
        <v>31.796303296158801</v>
      </c>
      <c r="N812">
        <v>54.9251923494107</v>
      </c>
      <c r="O812">
        <v>53.3117326581919</v>
      </c>
      <c r="P812">
        <v>-0.10764428911990399</v>
      </c>
      <c r="Q812">
        <v>0.278070289173935</v>
      </c>
      <c r="R812">
        <v>0.83764820194389999</v>
      </c>
      <c r="S812" t="s">
        <v>7429</v>
      </c>
      <c r="T812" t="s">
        <v>13232</v>
      </c>
      <c r="U812" t="s">
        <v>13232</v>
      </c>
      <c r="V812" t="s">
        <v>13232</v>
      </c>
      <c r="W812" t="s">
        <v>14023</v>
      </c>
      <c r="X812">
        <v>1</v>
      </c>
      <c r="Y812" t="s">
        <v>20557</v>
      </c>
      <c r="Z812" t="s">
        <v>26943</v>
      </c>
      <c r="AA812">
        <v>0.60767880769551208</v>
      </c>
      <c r="AB812" t="str">
        <f>HYPERLINK("Melting_Curves/meltCurve_H3BU51_NPTN.pdf", "Melting_Curves/meltCurve_H3BU51_NPTN.pdf")</f>
        <v>Melting_Curves/meltCurve_H3BU51_NPTN.pdf</v>
      </c>
    </row>
    <row r="813" spans="1:28" x14ac:dyDescent="0.25">
      <c r="A813" t="s">
        <v>817</v>
      </c>
      <c r="B813">
        <v>0.99930955844802105</v>
      </c>
      <c r="C813">
        <v>1.2076446704058801</v>
      </c>
      <c r="D813">
        <v>1.2691460938795001</v>
      </c>
      <c r="E813">
        <v>1.25754479468259</v>
      </c>
      <c r="F813">
        <v>1.0990902436268</v>
      </c>
      <c r="G813">
        <v>1.0012656293194</v>
      </c>
      <c r="H813">
        <v>1.02837757789861</v>
      </c>
      <c r="I813">
        <v>0.98676422729052904</v>
      </c>
      <c r="J813">
        <v>1.01741242198145</v>
      </c>
      <c r="K813">
        <v>0.81241858729081595</v>
      </c>
      <c r="L813">
        <v>15000</v>
      </c>
      <c r="M813">
        <v>212.81989973416299</v>
      </c>
      <c r="Q813">
        <v>0</v>
      </c>
      <c r="R813">
        <v>-5.9943634283080097E-2</v>
      </c>
      <c r="S813" t="s">
        <v>7430</v>
      </c>
      <c r="T813" t="s">
        <v>13232</v>
      </c>
      <c r="U813" t="s">
        <v>13232</v>
      </c>
      <c r="V813" t="s">
        <v>13232</v>
      </c>
      <c r="W813" t="s">
        <v>14024</v>
      </c>
      <c r="X813">
        <v>46</v>
      </c>
      <c r="Y813" t="s">
        <v>20558</v>
      </c>
      <c r="Z813" t="s">
        <v>26944</v>
      </c>
      <c r="AA813">
        <v>0.99775989130038079</v>
      </c>
      <c r="AB813" t="str">
        <f>HYPERLINK("Melting_Curves/meltCurve_H3BUF6_ATXN2L.pdf", "Melting_Curves/meltCurve_H3BUF6_ATXN2L.pdf")</f>
        <v>Melting_Curves/meltCurve_H3BUF6_ATXN2L.pdf</v>
      </c>
    </row>
    <row r="814" spans="1:28" x14ac:dyDescent="0.25">
      <c r="A814" t="s">
        <v>818</v>
      </c>
      <c r="B814">
        <v>0.99930955844802105</v>
      </c>
      <c r="C814">
        <v>1.07340457687502</v>
      </c>
      <c r="D814">
        <v>1.0267649597203901</v>
      </c>
      <c r="E814">
        <v>0.97079253844123703</v>
      </c>
      <c r="F814">
        <v>0.84003001527015297</v>
      </c>
      <c r="G814">
        <v>0.67917442432187602</v>
      </c>
      <c r="H814">
        <v>0.63040912139887995</v>
      </c>
      <c r="I814">
        <v>0.66850440440562398</v>
      </c>
      <c r="J814">
        <v>0.66539077620146403</v>
      </c>
      <c r="K814">
        <v>0.57601833113908096</v>
      </c>
      <c r="L814">
        <v>1796.2986161999299</v>
      </c>
      <c r="M814">
        <v>33.599038888248501</v>
      </c>
      <c r="O814">
        <v>53.274488480462999</v>
      </c>
      <c r="P814">
        <v>-5.7715532238293697E-2</v>
      </c>
      <c r="Q814">
        <v>0.63394763573633695</v>
      </c>
      <c r="R814">
        <v>0.96367350812337904</v>
      </c>
      <c r="S814" t="s">
        <v>7431</v>
      </c>
      <c r="T814" t="s">
        <v>13232</v>
      </c>
      <c r="U814" t="s">
        <v>13232</v>
      </c>
      <c r="V814" t="s">
        <v>13232</v>
      </c>
      <c r="W814" t="s">
        <v>14025</v>
      </c>
      <c r="X814">
        <v>6</v>
      </c>
      <c r="Y814" t="s">
        <v>20559</v>
      </c>
      <c r="Z814" t="s">
        <v>26945</v>
      </c>
      <c r="AA814">
        <v>0.80012947446274318</v>
      </c>
      <c r="AB814" t="str">
        <f>HYPERLINK("Melting_Curves/meltCurve_H3BUJ7_E4F1.pdf", "Melting_Curves/meltCurve_H3BUJ7_E4F1.pdf")</f>
        <v>Melting_Curves/meltCurve_H3BUJ7_E4F1.pdf</v>
      </c>
    </row>
    <row r="815" spans="1:28" x14ac:dyDescent="0.25">
      <c r="A815" t="s">
        <v>819</v>
      </c>
      <c r="B815">
        <v>0.99930955844802105</v>
      </c>
      <c r="C815">
        <v>1.0647435723389</v>
      </c>
      <c r="D815">
        <v>0.73941559358736997</v>
      </c>
      <c r="E815">
        <v>0.55527866492521005</v>
      </c>
      <c r="F815">
        <v>0.42821942745257902</v>
      </c>
      <c r="G815">
        <v>0.31938351592193298</v>
      </c>
      <c r="H815">
        <v>0.185331333420828</v>
      </c>
      <c r="I815">
        <v>0.11264963519235199</v>
      </c>
      <c r="J815">
        <v>8.0860217416864902E-2</v>
      </c>
      <c r="K815">
        <v>5.7939044054935503E-2</v>
      </c>
      <c r="L815">
        <v>624.48090954094403</v>
      </c>
      <c r="M815">
        <v>12.168461887158699</v>
      </c>
      <c r="N815">
        <v>51.7015575961981</v>
      </c>
      <c r="O815">
        <v>49.9926286347836</v>
      </c>
      <c r="P815">
        <v>-5.8248904551783699E-2</v>
      </c>
      <c r="Q815">
        <v>4.2984741618280101E-2</v>
      </c>
      <c r="R815">
        <v>0.973618314734366</v>
      </c>
      <c r="S815" t="s">
        <v>7432</v>
      </c>
      <c r="T815" t="s">
        <v>13232</v>
      </c>
      <c r="U815" t="s">
        <v>13232</v>
      </c>
      <c r="V815" t="s">
        <v>13232</v>
      </c>
      <c r="W815" t="s">
        <v>14026</v>
      </c>
      <c r="X815">
        <v>17</v>
      </c>
      <c r="Y815" t="s">
        <v>20560</v>
      </c>
      <c r="Z815" t="s">
        <v>26946</v>
      </c>
      <c r="AA815">
        <v>0.43410176207936718</v>
      </c>
      <c r="AB815" t="str">
        <f>HYPERLINK("Melting_Curves/meltCurve_H3BUQ2_OGFOD1.pdf", "Melting_Curves/meltCurve_H3BUQ2_OGFOD1.pdf")</f>
        <v>Melting_Curves/meltCurve_H3BUQ2_OGFOD1.pdf</v>
      </c>
    </row>
    <row r="816" spans="1:28" x14ac:dyDescent="0.25">
      <c r="A816" t="s">
        <v>820</v>
      </c>
      <c r="B816">
        <v>0.99930955844802105</v>
      </c>
      <c r="C816">
        <v>0.84698826115375803</v>
      </c>
      <c r="D816">
        <v>0.82576843183319704</v>
      </c>
      <c r="E816">
        <v>0.813672395551709</v>
      </c>
      <c r="F816">
        <v>0.65530936669850604</v>
      </c>
      <c r="G816">
        <v>0.51245678810824002</v>
      </c>
      <c r="H816">
        <v>0.51640085723464901</v>
      </c>
      <c r="I816">
        <v>0.60557667814225102</v>
      </c>
      <c r="J816">
        <v>0.58975778308121696</v>
      </c>
      <c r="K816">
        <v>0.49622556599277601</v>
      </c>
      <c r="L816">
        <v>531.05056433335699</v>
      </c>
      <c r="M816">
        <v>10.8440731292746</v>
      </c>
      <c r="O816">
        <v>47.394390845309204</v>
      </c>
      <c r="P816">
        <v>-2.8051734108572299E-2</v>
      </c>
      <c r="Q816">
        <v>0.50977050354565501</v>
      </c>
      <c r="R816">
        <v>0.88846656410802405</v>
      </c>
      <c r="S816" t="s">
        <v>7433</v>
      </c>
      <c r="T816" t="s">
        <v>13232</v>
      </c>
      <c r="U816" t="s">
        <v>13232</v>
      </c>
      <c r="V816" t="s">
        <v>13232</v>
      </c>
      <c r="W816" t="s">
        <v>14027</v>
      </c>
      <c r="X816">
        <v>5</v>
      </c>
      <c r="Y816" t="s">
        <v>20561</v>
      </c>
      <c r="Z816" t="s">
        <v>26947</v>
      </c>
      <c r="AA816">
        <v>0.67763628501505935</v>
      </c>
      <c r="AB816" t="str">
        <f>HYPERLINK("Melting_Curves/meltCurve_H3BV80_RNPS1.pdf", "Melting_Curves/meltCurve_H3BV80_RNPS1.pdf")</f>
        <v>Melting_Curves/meltCurve_H3BV80_RNPS1.pdf</v>
      </c>
    </row>
    <row r="817" spans="1:28" x14ac:dyDescent="0.25">
      <c r="A817" t="s">
        <v>821</v>
      </c>
      <c r="B817">
        <v>0.99930955844802105</v>
      </c>
      <c r="C817">
        <v>1.0636622324829199</v>
      </c>
      <c r="D817">
        <v>1.0821297933734899</v>
      </c>
      <c r="E817">
        <v>0.91017572524809198</v>
      </c>
      <c r="F817">
        <v>0.54923688828404404</v>
      </c>
      <c r="G817">
        <v>0.39665666347246598</v>
      </c>
      <c r="H817">
        <v>0.18840805369733801</v>
      </c>
      <c r="I817">
        <v>7.4009687878457797E-2</v>
      </c>
      <c r="J817">
        <v>3.3580907856020699E-2</v>
      </c>
      <c r="K817">
        <v>2.63221262216497E-2</v>
      </c>
      <c r="L817">
        <v>990.42916948730203</v>
      </c>
      <c r="M817">
        <v>18.059821780184201</v>
      </c>
      <c r="N817">
        <v>54.943818528944597</v>
      </c>
      <c r="O817">
        <v>54.182433685871501</v>
      </c>
      <c r="P817">
        <v>-8.1955899894022799E-2</v>
      </c>
      <c r="Q817">
        <v>1.65232150637546E-2</v>
      </c>
      <c r="R817">
        <v>0.97962104332997901</v>
      </c>
      <c r="S817" t="s">
        <v>7434</v>
      </c>
      <c r="T817" t="s">
        <v>13232</v>
      </c>
      <c r="U817" t="s">
        <v>13232</v>
      </c>
      <c r="V817" t="s">
        <v>13232</v>
      </c>
      <c r="W817" t="s">
        <v>14028</v>
      </c>
      <c r="X817">
        <v>4</v>
      </c>
      <c r="Y817" t="s">
        <v>20562</v>
      </c>
      <c r="Z817" t="s">
        <v>26948</v>
      </c>
      <c r="AA817">
        <v>0.51830785630533893</v>
      </c>
      <c r="AB817" t="str">
        <f>HYPERLINK("Melting_Curves/meltCurve_H6UMI1_GABARAP.pdf", "Melting_Curves/meltCurve_H6UMI1_GABARAP.pdf")</f>
        <v>Melting_Curves/meltCurve_H6UMI1_GABARAP.pdf</v>
      </c>
    </row>
    <row r="818" spans="1:28" x14ac:dyDescent="0.25">
      <c r="A818" t="s">
        <v>822</v>
      </c>
      <c r="B818">
        <v>0.99930955844802105</v>
      </c>
      <c r="C818">
        <v>0.94495873390122798</v>
      </c>
      <c r="D818">
        <v>0.92339028195568296</v>
      </c>
      <c r="E818">
        <v>0.79918332230789602</v>
      </c>
      <c r="F818">
        <v>0.39592199679315399</v>
      </c>
      <c r="G818">
        <v>0.167552927558208</v>
      </c>
      <c r="H818">
        <v>9.1050046959995898E-2</v>
      </c>
      <c r="I818">
        <v>7.5306528314741703E-2</v>
      </c>
      <c r="J818">
        <v>6.7370364499194701E-2</v>
      </c>
      <c r="K818">
        <v>5.2287649564635497E-2</v>
      </c>
      <c r="L818">
        <v>1396.0353917902401</v>
      </c>
      <c r="M818">
        <v>26.824281450695299</v>
      </c>
      <c r="N818">
        <v>52.321791560844503</v>
      </c>
      <c r="O818">
        <v>51.757046079870001</v>
      </c>
      <c r="P818">
        <v>-0.120961958519944</v>
      </c>
      <c r="Q818">
        <v>6.6432212337229193E-2</v>
      </c>
      <c r="R818">
        <v>0.99509118900152205</v>
      </c>
      <c r="S818" t="s">
        <v>7435</v>
      </c>
      <c r="T818" t="s">
        <v>13232</v>
      </c>
      <c r="U818" t="s">
        <v>13232</v>
      </c>
      <c r="V818" t="s">
        <v>13232</v>
      </c>
      <c r="W818" t="s">
        <v>14029</v>
      </c>
      <c r="X818">
        <v>8</v>
      </c>
      <c r="Y818" t="s">
        <v>20563</v>
      </c>
      <c r="Z818" t="s">
        <v>26949</v>
      </c>
      <c r="AA818">
        <v>0.44865855360003498</v>
      </c>
      <c r="AB818" t="str">
        <f>HYPERLINK("Melting_Curves/meltCurve_H7BXD5_GCA.pdf", "Melting_Curves/meltCurve_H7BXD5_GCA.pdf")</f>
        <v>Melting_Curves/meltCurve_H7BXD5_GCA.pdf</v>
      </c>
    </row>
    <row r="819" spans="1:28" x14ac:dyDescent="0.25">
      <c r="A819" t="s">
        <v>823</v>
      </c>
      <c r="B819">
        <v>0.99930955844802105</v>
      </c>
      <c r="C819">
        <v>1.2014855669246201</v>
      </c>
      <c r="D819">
        <v>0.98750302416198898</v>
      </c>
      <c r="E819">
        <v>0.94436407763433206</v>
      </c>
      <c r="F819">
        <v>0.859832762770397</v>
      </c>
      <c r="G819">
        <v>0.697294271981725</v>
      </c>
      <c r="H819">
        <v>0.71227360787991301</v>
      </c>
      <c r="I819">
        <v>0.77703699284757599</v>
      </c>
      <c r="J819">
        <v>0.79624428892390398</v>
      </c>
      <c r="K819">
        <v>0.62695022270941003</v>
      </c>
      <c r="L819">
        <v>1945.61597216161</v>
      </c>
      <c r="M819">
        <v>36.963085407765398</v>
      </c>
      <c r="O819">
        <v>52.483374490712599</v>
      </c>
      <c r="P819">
        <v>-4.9257464475193698E-2</v>
      </c>
      <c r="Q819">
        <v>0.72024081714741905</v>
      </c>
      <c r="R819">
        <v>0.77757888610408998</v>
      </c>
      <c r="S819" t="s">
        <v>7436</v>
      </c>
      <c r="T819" t="s">
        <v>13232</v>
      </c>
      <c r="U819" t="s">
        <v>13232</v>
      </c>
      <c r="V819" t="s">
        <v>13232</v>
      </c>
      <c r="W819" t="s">
        <v>14030</v>
      </c>
      <c r="X819">
        <v>11</v>
      </c>
      <c r="Y819" t="s">
        <v>20564</v>
      </c>
      <c r="Z819" t="s">
        <v>26950</v>
      </c>
      <c r="AA819">
        <v>0.8392737890315235</v>
      </c>
      <c r="AB819" t="str">
        <f>HYPERLINK("Melting_Curves/meltCurve_H7BXF5_SAP130.pdf", "Melting_Curves/meltCurve_H7BXF5_SAP130.pdf")</f>
        <v>Melting_Curves/meltCurve_H7BXF5_SAP130.pdf</v>
      </c>
    </row>
    <row r="820" spans="1:28" x14ac:dyDescent="0.25">
      <c r="A820" t="s">
        <v>824</v>
      </c>
      <c r="B820">
        <v>0.99930955844802105</v>
      </c>
      <c r="C820">
        <v>0.94066448197086505</v>
      </c>
      <c r="D820">
        <v>1.0174726797113101</v>
      </c>
      <c r="E820">
        <v>0.88254284623331802</v>
      </c>
      <c r="F820">
        <v>0.78409752811290001</v>
      </c>
      <c r="G820">
        <v>0.670315857148989</v>
      </c>
      <c r="H820">
        <v>0.59055594762049202</v>
      </c>
      <c r="I820">
        <v>0.52664057949835796</v>
      </c>
      <c r="J820">
        <v>0.42151085277179801</v>
      </c>
      <c r="K820">
        <v>0.390226452514295</v>
      </c>
      <c r="L820">
        <v>551.06819783905905</v>
      </c>
      <c r="M820">
        <v>9.3339405837274292</v>
      </c>
      <c r="N820">
        <v>63.937188435074702</v>
      </c>
      <c r="O820">
        <v>56.519254844856803</v>
      </c>
      <c r="P820">
        <v>-3.07608321264011E-2</v>
      </c>
      <c r="Q820">
        <v>0.25541402008360298</v>
      </c>
      <c r="R820">
        <v>0.98315842954338095</v>
      </c>
      <c r="S820" t="s">
        <v>7437</v>
      </c>
      <c r="T820" t="s">
        <v>13232</v>
      </c>
      <c r="U820" t="s">
        <v>13232</v>
      </c>
      <c r="V820" t="s">
        <v>13232</v>
      </c>
      <c r="W820" t="s">
        <v>14031</v>
      </c>
      <c r="X820">
        <v>4</v>
      </c>
      <c r="Y820" t="s">
        <v>20565</v>
      </c>
      <c r="Z820" t="s">
        <v>26951</v>
      </c>
      <c r="AA820">
        <v>0.72847434226837704</v>
      </c>
      <c r="AB820" t="str">
        <f>HYPERLINK("Melting_Curves/meltCurve_H7BXG2_NPRL3.pdf", "Melting_Curves/meltCurve_H7BXG2_NPRL3.pdf")</f>
        <v>Melting_Curves/meltCurve_H7BXG2_NPRL3.pdf</v>
      </c>
    </row>
    <row r="821" spans="1:28" x14ac:dyDescent="0.25">
      <c r="A821" t="s">
        <v>825</v>
      </c>
      <c r="B821">
        <v>0.99930955844802105</v>
      </c>
      <c r="C821">
        <v>0.94752067789365702</v>
      </c>
      <c r="D821">
        <v>0.94996997496281899</v>
      </c>
      <c r="E821">
        <v>0.99760919262661796</v>
      </c>
      <c r="F821">
        <v>0.93178023982897995</v>
      </c>
      <c r="G821">
        <v>0.62734991085130698</v>
      </c>
      <c r="H821">
        <v>0.35983197017851198</v>
      </c>
      <c r="I821">
        <v>0.360621384475939</v>
      </c>
      <c r="J821">
        <v>0.34979873298983</v>
      </c>
      <c r="K821">
        <v>0.270732283347145</v>
      </c>
      <c r="L821">
        <v>1828.14450702465</v>
      </c>
      <c r="M821">
        <v>32.264421038613897</v>
      </c>
      <c r="N821">
        <v>58.457283294212999</v>
      </c>
      <c r="O821">
        <v>56.444979794116499</v>
      </c>
      <c r="P821">
        <v>-9.7967885358999501E-2</v>
      </c>
      <c r="Q821">
        <v>0.31444383385082397</v>
      </c>
      <c r="R821">
        <v>0.98945219670971096</v>
      </c>
      <c r="S821" t="s">
        <v>7438</v>
      </c>
      <c r="T821" t="s">
        <v>13232</v>
      </c>
      <c r="U821" t="s">
        <v>13232</v>
      </c>
      <c r="V821" t="s">
        <v>13232</v>
      </c>
      <c r="W821" t="s">
        <v>14032</v>
      </c>
      <c r="X821">
        <v>27</v>
      </c>
      <c r="Y821" t="s">
        <v>20566</v>
      </c>
      <c r="Z821" t="s">
        <v>26952</v>
      </c>
      <c r="AA821">
        <v>0.69919198344979205</v>
      </c>
      <c r="AB821" t="str">
        <f>HYPERLINK("Melting_Curves/meltCurve_H7BXH2_PPP6R3.pdf", "Melting_Curves/meltCurve_H7BXH2_PPP6R3.pdf")</f>
        <v>Melting_Curves/meltCurve_H7BXH2_PPP6R3.pdf</v>
      </c>
    </row>
    <row r="822" spans="1:28" x14ac:dyDescent="0.25">
      <c r="A822" t="s">
        <v>826</v>
      </c>
      <c r="B822">
        <v>0.99930955844802105</v>
      </c>
      <c r="C822">
        <v>0.98918370462208005</v>
      </c>
      <c r="D822">
        <v>0.98600684573822694</v>
      </c>
      <c r="E822">
        <v>0.90778441526404197</v>
      </c>
      <c r="F822">
        <v>0.55126709800496299</v>
      </c>
      <c r="G822">
        <v>0.23349870073387999</v>
      </c>
      <c r="H822">
        <v>0.11962071652461601</v>
      </c>
      <c r="I822">
        <v>9.3030053303317706E-2</v>
      </c>
      <c r="J822">
        <v>7.46323225090611E-2</v>
      </c>
      <c r="K822">
        <v>6.02805651307965E-2</v>
      </c>
      <c r="L822">
        <v>1474.0361447906801</v>
      </c>
      <c r="M822">
        <v>27.638575423009399</v>
      </c>
      <c r="N822">
        <v>53.666411153160198</v>
      </c>
      <c r="O822">
        <v>53.055727476190697</v>
      </c>
      <c r="P822">
        <v>-0.119948694263234</v>
      </c>
      <c r="Q822">
        <v>7.8982081316877006E-2</v>
      </c>
      <c r="R822">
        <v>0.99809682069930195</v>
      </c>
      <c r="S822" t="s">
        <v>7439</v>
      </c>
      <c r="T822" t="s">
        <v>13232</v>
      </c>
      <c r="U822" t="s">
        <v>13232</v>
      </c>
      <c r="V822" t="s">
        <v>13232</v>
      </c>
      <c r="W822" t="s">
        <v>14033</v>
      </c>
      <c r="X822">
        <v>9</v>
      </c>
      <c r="Y822" t="s">
        <v>20567</v>
      </c>
      <c r="Z822" t="s">
        <v>26953</v>
      </c>
      <c r="AA822">
        <v>0.49533051526815158</v>
      </c>
      <c r="AB822" t="str">
        <f>HYPERLINK("Melting_Curves/meltCurve_H7BXI1_ESYT2.pdf", "Melting_Curves/meltCurve_H7BXI1_ESYT2.pdf")</f>
        <v>Melting_Curves/meltCurve_H7BXI1_ESYT2.pdf</v>
      </c>
    </row>
    <row r="823" spans="1:28" x14ac:dyDescent="0.25">
      <c r="A823" t="s">
        <v>827</v>
      </c>
      <c r="B823">
        <v>0.99930955844802105</v>
      </c>
      <c r="C823">
        <v>2.1346993504854601</v>
      </c>
      <c r="D823">
        <v>1.4353799556742599</v>
      </c>
      <c r="E823">
        <v>1.76859445993121</v>
      </c>
      <c r="F823">
        <v>1.71265119855931</v>
      </c>
      <c r="G823">
        <v>2.23059926350061</v>
      </c>
      <c r="H823">
        <v>4.5201805152968104</v>
      </c>
      <c r="I823">
        <v>5.5980282267543204</v>
      </c>
      <c r="J823">
        <v>5.7416701273543396</v>
      </c>
      <c r="K823">
        <v>4.5405477658595697</v>
      </c>
      <c r="S823" t="s">
        <v>7440</v>
      </c>
      <c r="T823" t="s">
        <v>13232</v>
      </c>
      <c r="U823" t="s">
        <v>13233</v>
      </c>
      <c r="V823" t="s">
        <v>13232</v>
      </c>
      <c r="W823" t="s">
        <v>14034</v>
      </c>
      <c r="X823">
        <v>1</v>
      </c>
      <c r="Y823" t="s">
        <v>20568</v>
      </c>
      <c r="Z823" t="s">
        <v>26954</v>
      </c>
      <c r="AB823" t="str">
        <f>HYPERLINK("Melting_Curves/meltCurve_H7BXQ9_ERCC6L2.pdf", "Melting_Curves/meltCurve_H7BXQ9_ERCC6L2.pdf")</f>
        <v>Melting_Curves/meltCurve_H7BXQ9_ERCC6L2.pdf</v>
      </c>
    </row>
    <row r="824" spans="1:28" x14ac:dyDescent="0.25">
      <c r="A824" t="s">
        <v>828</v>
      </c>
      <c r="B824">
        <v>0.99930955844802105</v>
      </c>
      <c r="C824">
        <v>0.92372963779384698</v>
      </c>
      <c r="D824">
        <v>0.98278452175425501</v>
      </c>
      <c r="E824">
        <v>0.70446902885921303</v>
      </c>
      <c r="F824">
        <v>0.29252410666560902</v>
      </c>
      <c r="G824">
        <v>0.14065760557641499</v>
      </c>
      <c r="H824">
        <v>6.7151087550015698E-2</v>
      </c>
      <c r="I824">
        <v>6.02997720232923E-2</v>
      </c>
      <c r="J824">
        <v>1.6410526320543399E-2</v>
      </c>
      <c r="K824">
        <v>3.5907036935097301E-2</v>
      </c>
      <c r="L824">
        <v>1489.1646446073901</v>
      </c>
      <c r="M824">
        <v>29.036525650973498</v>
      </c>
      <c r="N824">
        <v>51.466517884823404</v>
      </c>
      <c r="O824">
        <v>51.044501839500498</v>
      </c>
      <c r="P824">
        <v>-0.135325171202268</v>
      </c>
      <c r="Q824">
        <v>4.8432339302104999E-2</v>
      </c>
      <c r="R824">
        <v>0.99421816787750905</v>
      </c>
      <c r="S824" t="s">
        <v>7441</v>
      </c>
      <c r="T824" t="s">
        <v>13232</v>
      </c>
      <c r="U824" t="s">
        <v>13232</v>
      </c>
      <c r="V824" t="s">
        <v>13232</v>
      </c>
      <c r="W824" t="s">
        <v>14035</v>
      </c>
      <c r="X824">
        <v>1</v>
      </c>
      <c r="Y824" t="s">
        <v>20569</v>
      </c>
      <c r="Z824" t="s">
        <v>26955</v>
      </c>
      <c r="AA824">
        <v>0.41282462858709501</v>
      </c>
      <c r="AB824" t="str">
        <f>HYPERLINK("Melting_Curves/meltCurve_H7BXU9_FGFR2.pdf", "Melting_Curves/meltCurve_H7BXU9_FGFR2.pdf")</f>
        <v>Melting_Curves/meltCurve_H7BXU9_FGFR2.pdf</v>
      </c>
    </row>
    <row r="825" spans="1:28" x14ac:dyDescent="0.25">
      <c r="A825" t="s">
        <v>829</v>
      </c>
      <c r="B825">
        <v>0.99930955844802105</v>
      </c>
      <c r="C825">
        <v>1.1592692606328401</v>
      </c>
      <c r="D825">
        <v>0.86117270536587498</v>
      </c>
      <c r="E825">
        <v>0.98190205530955599</v>
      </c>
      <c r="F825">
        <v>0.86105973468638797</v>
      </c>
      <c r="G825">
        <v>0.88031741967865695</v>
      </c>
      <c r="H825">
        <v>0.92270683759859395</v>
      </c>
      <c r="I825">
        <v>0.89492428589156903</v>
      </c>
      <c r="J825">
        <v>1.1563844015896501</v>
      </c>
      <c r="K825">
        <v>0.76152934187666899</v>
      </c>
      <c r="L825">
        <v>11124.082706642101</v>
      </c>
      <c r="M825">
        <v>250</v>
      </c>
      <c r="O825">
        <v>44.493483526963203</v>
      </c>
      <c r="P825">
        <v>-0.119399067263635</v>
      </c>
      <c r="Q825">
        <v>0.91500031350633104</v>
      </c>
      <c r="R825">
        <v>0.20439218964720801</v>
      </c>
      <c r="S825" t="s">
        <v>7442</v>
      </c>
      <c r="T825" t="s">
        <v>13232</v>
      </c>
      <c r="U825" t="s">
        <v>13232</v>
      </c>
      <c r="V825" t="s">
        <v>13232</v>
      </c>
      <c r="W825" t="s">
        <v>14036</v>
      </c>
      <c r="X825">
        <v>3</v>
      </c>
      <c r="Y825" t="s">
        <v>20570</v>
      </c>
      <c r="Z825" t="s">
        <v>26956</v>
      </c>
      <c r="AA825">
        <v>0.92774650818414117</v>
      </c>
      <c r="AB825" t="str">
        <f>HYPERLINK("Melting_Curves/meltCurve_H7BXZ5_KALRN.pdf", "Melting_Curves/meltCurve_H7BXZ5_KALRN.pdf")</f>
        <v>Melting_Curves/meltCurve_H7BXZ5_KALRN.pdf</v>
      </c>
    </row>
    <row r="826" spans="1:28" x14ac:dyDescent="0.25">
      <c r="A826" t="s">
        <v>830</v>
      </c>
      <c r="B826">
        <v>0.99930955844802105</v>
      </c>
      <c r="C826">
        <v>1.0818895470979399</v>
      </c>
      <c r="D826">
        <v>1.04488420161769</v>
      </c>
      <c r="E826">
        <v>0.95858776012116098</v>
      </c>
      <c r="F826">
        <v>0.86220410183844798</v>
      </c>
      <c r="G826">
        <v>0.64225892536364404</v>
      </c>
      <c r="H826">
        <v>0.56794660923709195</v>
      </c>
      <c r="I826">
        <v>0.61436743365058299</v>
      </c>
      <c r="J826">
        <v>0.64137065174252295</v>
      </c>
      <c r="K826">
        <v>0.50428726573534399</v>
      </c>
      <c r="L826">
        <v>1788.98839271569</v>
      </c>
      <c r="M826">
        <v>33.086103388273102</v>
      </c>
      <c r="O826">
        <v>53.874297989254501</v>
      </c>
      <c r="P826">
        <v>-6.4683877179751603E-2</v>
      </c>
      <c r="Q826">
        <v>0.57870121191568902</v>
      </c>
      <c r="R826">
        <v>0.95379764161332903</v>
      </c>
      <c r="S826" t="s">
        <v>7443</v>
      </c>
      <c r="T826" t="s">
        <v>13232</v>
      </c>
      <c r="U826" t="s">
        <v>13232</v>
      </c>
      <c r="V826" t="s">
        <v>13232</v>
      </c>
      <c r="W826" t="s">
        <v>14037</v>
      </c>
      <c r="X826">
        <v>10</v>
      </c>
      <c r="Y826" t="s">
        <v>20571</v>
      </c>
      <c r="Z826" t="s">
        <v>26957</v>
      </c>
      <c r="AA826">
        <v>0.7785893028301758</v>
      </c>
      <c r="AB826" t="str">
        <f>HYPERLINK("Melting_Curves/meltCurve_H7BY36_EWSR1.pdf", "Melting_Curves/meltCurve_H7BY36_EWSR1.pdf")</f>
        <v>Melting_Curves/meltCurve_H7BY36_EWSR1.pdf</v>
      </c>
    </row>
    <row r="827" spans="1:28" x14ac:dyDescent="0.25">
      <c r="A827" t="s">
        <v>831</v>
      </c>
      <c r="B827">
        <v>0.99930955844802105</v>
      </c>
      <c r="C827">
        <v>0.67438005732443795</v>
      </c>
      <c r="D827">
        <v>0.67374622661136896</v>
      </c>
      <c r="E827">
        <v>0.70160860827690796</v>
      </c>
      <c r="F827">
        <v>0.25013633144987402</v>
      </c>
      <c r="G827">
        <v>0.203151596190869</v>
      </c>
      <c r="H827">
        <v>0.14209723239876701</v>
      </c>
      <c r="I827">
        <v>0.113295391189181</v>
      </c>
      <c r="J827">
        <v>0.100211889731044</v>
      </c>
      <c r="K827">
        <v>0.10421475083338</v>
      </c>
      <c r="L827">
        <v>470.94936969093101</v>
      </c>
      <c r="M827">
        <v>9.4573566147204193</v>
      </c>
      <c r="N827">
        <v>49.906332979717597</v>
      </c>
      <c r="O827">
        <v>47.723058416775501</v>
      </c>
      <c r="P827">
        <v>-4.9065037316511399E-2</v>
      </c>
      <c r="Q827">
        <v>1.0241163840669301E-2</v>
      </c>
      <c r="R827">
        <v>0.90988389274317205</v>
      </c>
      <c r="S827" t="s">
        <v>7444</v>
      </c>
      <c r="T827" t="s">
        <v>13232</v>
      </c>
      <c r="U827" t="s">
        <v>13232</v>
      </c>
      <c r="V827" t="s">
        <v>13232</v>
      </c>
      <c r="W827" t="s">
        <v>14038</v>
      </c>
      <c r="X827">
        <v>5</v>
      </c>
      <c r="Y827" t="s">
        <v>20572</v>
      </c>
      <c r="Z827" t="s">
        <v>26958</v>
      </c>
      <c r="AA827">
        <v>0.38252373741751511</v>
      </c>
      <c r="AB827" t="str">
        <f>HYPERLINK("Melting_Curves/meltCurve_H7BYK9_STAG3.pdf", "Melting_Curves/meltCurve_H7BYK9_STAG3.pdf")</f>
        <v>Melting_Curves/meltCurve_H7BYK9_STAG3.pdf</v>
      </c>
    </row>
    <row r="828" spans="1:28" x14ac:dyDescent="0.25">
      <c r="A828" t="s">
        <v>832</v>
      </c>
      <c r="B828">
        <v>0.99930955844802105</v>
      </c>
      <c r="C828">
        <v>0.95337246319256597</v>
      </c>
      <c r="D828">
        <v>1.0406733610163199</v>
      </c>
      <c r="E828">
        <v>0.94561784277664795</v>
      </c>
      <c r="F828">
        <v>0.82273997174121904</v>
      </c>
      <c r="G828">
        <v>0.84616171215644198</v>
      </c>
      <c r="H828">
        <v>0.67349729030460703</v>
      </c>
      <c r="I828">
        <v>0.85515880145148204</v>
      </c>
      <c r="J828">
        <v>0.79697810941812797</v>
      </c>
      <c r="K828">
        <v>0.63535433643413897</v>
      </c>
      <c r="L828">
        <v>980.01321150874503</v>
      </c>
      <c r="M828">
        <v>18.502646311199499</v>
      </c>
      <c r="O828">
        <v>52.359041229345102</v>
      </c>
      <c r="P828">
        <v>-2.3224524289058201E-2</v>
      </c>
      <c r="Q828">
        <v>0.73712733372960204</v>
      </c>
      <c r="R828">
        <v>0.73144740282375997</v>
      </c>
      <c r="S828" t="s">
        <v>7445</v>
      </c>
      <c r="T828" t="s">
        <v>13232</v>
      </c>
      <c r="U828" t="s">
        <v>13232</v>
      </c>
      <c r="V828" t="s">
        <v>13232</v>
      </c>
      <c r="W828" t="s">
        <v>14039</v>
      </c>
      <c r="X828">
        <v>17</v>
      </c>
      <c r="Y828" t="s">
        <v>20573</v>
      </c>
      <c r="Z828" t="s">
        <v>26959</v>
      </c>
      <c r="AA828">
        <v>0.85486103862447138</v>
      </c>
      <c r="AB828" t="str">
        <f>HYPERLINK("Melting_Curves/meltCurve_H7BYN4_KIF23.pdf", "Melting_Curves/meltCurve_H7BYN4_KIF23.pdf")</f>
        <v>Melting_Curves/meltCurve_H7BYN4_KIF23.pdf</v>
      </c>
    </row>
    <row r="829" spans="1:28" x14ac:dyDescent="0.25">
      <c r="A829" t="s">
        <v>833</v>
      </c>
      <c r="B829">
        <v>0.99930955844802105</v>
      </c>
      <c r="C829">
        <v>0.91642004522169196</v>
      </c>
      <c r="D829">
        <v>0.73491189554277103</v>
      </c>
      <c r="E829">
        <v>0.93359770503871098</v>
      </c>
      <c r="F829">
        <v>0.94808761005540598</v>
      </c>
      <c r="G829">
        <v>0.83375215465152597</v>
      </c>
      <c r="H829">
        <v>0.910595437873717</v>
      </c>
      <c r="I829">
        <v>0.92744886664539805</v>
      </c>
      <c r="J829">
        <v>0.93361489164062095</v>
      </c>
      <c r="K829">
        <v>0.75271605530728602</v>
      </c>
      <c r="S829" t="s">
        <v>7446</v>
      </c>
      <c r="T829" t="s">
        <v>13232</v>
      </c>
      <c r="U829" t="s">
        <v>13233</v>
      </c>
      <c r="V829" t="s">
        <v>13232</v>
      </c>
      <c r="W829" t="s">
        <v>14040</v>
      </c>
      <c r="X829">
        <v>27</v>
      </c>
      <c r="Y829" t="s">
        <v>20574</v>
      </c>
      <c r="Z829" t="s">
        <v>26960</v>
      </c>
      <c r="AB829" t="str">
        <f>HYPERLINK("Melting_Curves/meltCurve_H7BYY1_TPM1.pdf", "Melting_Curves/meltCurve_H7BYY1_TPM1.pdf")</f>
        <v>Melting_Curves/meltCurve_H7BYY1_TPM1.pdf</v>
      </c>
    </row>
    <row r="830" spans="1:28" x14ac:dyDescent="0.25">
      <c r="A830" t="s">
        <v>834</v>
      </c>
      <c r="B830">
        <v>0.99930955844802105</v>
      </c>
      <c r="C830">
        <v>0.90975324300301896</v>
      </c>
      <c r="D830">
        <v>0.87299829767848303</v>
      </c>
      <c r="E830">
        <v>0.54723514409899499</v>
      </c>
      <c r="F830">
        <v>0.16280365545567799</v>
      </c>
      <c r="G830">
        <v>8.66004139462348E-2</v>
      </c>
      <c r="H830">
        <v>3.7538363541651E-2</v>
      </c>
      <c r="I830">
        <v>1.0510217381992501E-2</v>
      </c>
      <c r="J830">
        <v>1.4639579535878E-2</v>
      </c>
      <c r="K830">
        <v>7.6760719669576299E-3</v>
      </c>
      <c r="L830">
        <v>1174.5536257532499</v>
      </c>
      <c r="M830">
        <v>23.4919010287601</v>
      </c>
      <c r="N830">
        <v>50.045072779683899</v>
      </c>
      <c r="O830">
        <v>49.640162515511001</v>
      </c>
      <c r="P830">
        <v>-0.117026602055594</v>
      </c>
      <c r="Q830">
        <v>1.0872802092958701E-2</v>
      </c>
      <c r="R830">
        <v>0.99329433119113497</v>
      </c>
      <c r="S830" t="s">
        <v>7447</v>
      </c>
      <c r="T830" t="s">
        <v>13232</v>
      </c>
      <c r="U830" t="s">
        <v>13232</v>
      </c>
      <c r="V830" t="s">
        <v>13232</v>
      </c>
      <c r="W830" t="s">
        <v>14041</v>
      </c>
      <c r="X830">
        <v>8</v>
      </c>
      <c r="Y830" t="s">
        <v>20457</v>
      </c>
      <c r="Z830" t="s">
        <v>26961</v>
      </c>
      <c r="AA830">
        <v>0.35053927138793489</v>
      </c>
      <c r="AB830" t="str">
        <f>HYPERLINK("Melting_Curves/meltCurve_H7BZJ3_PDIA3.pdf", "Melting_Curves/meltCurve_H7BZJ3_PDIA3.pdf")</f>
        <v>Melting_Curves/meltCurve_H7BZJ3_PDIA3.pdf</v>
      </c>
    </row>
    <row r="831" spans="1:28" x14ac:dyDescent="0.25">
      <c r="A831" t="s">
        <v>835</v>
      </c>
      <c r="B831">
        <v>0.99930955844802105</v>
      </c>
      <c r="C831">
        <v>1.1989814106679</v>
      </c>
      <c r="D831">
        <v>1.2005306341706701</v>
      </c>
      <c r="E831">
        <v>1.10066203851262</v>
      </c>
      <c r="F831">
        <v>0.98774596342438103</v>
      </c>
      <c r="G831">
        <v>1.0073550006966201</v>
      </c>
      <c r="H831">
        <v>0.94830514944927602</v>
      </c>
      <c r="I831">
        <v>0.57392674841165103</v>
      </c>
      <c r="J831">
        <v>0.83664227757746901</v>
      </c>
      <c r="K831">
        <v>0.49434835954326101</v>
      </c>
      <c r="L831">
        <v>15000</v>
      </c>
      <c r="M831">
        <v>244.10039289688899</v>
      </c>
      <c r="O831">
        <v>61.446026628633398</v>
      </c>
      <c r="P831">
        <v>-0.36253171449867599</v>
      </c>
      <c r="Q831">
        <v>0.63496782469081403</v>
      </c>
      <c r="R831">
        <v>0.69987877360119999</v>
      </c>
      <c r="S831" t="s">
        <v>7448</v>
      </c>
      <c r="T831" t="s">
        <v>13232</v>
      </c>
      <c r="U831" t="s">
        <v>13232</v>
      </c>
      <c r="V831" t="s">
        <v>13232</v>
      </c>
      <c r="W831" t="s">
        <v>14042</v>
      </c>
      <c r="X831">
        <v>1</v>
      </c>
      <c r="Y831" t="s">
        <v>20575</v>
      </c>
      <c r="Z831" t="s">
        <v>26962</v>
      </c>
      <c r="AA831">
        <v>0.89600866100804599</v>
      </c>
      <c r="AB831" t="str">
        <f>HYPERLINK("Melting_Curves/meltCurve_H7BZK3_DNAJB14.pdf", "Melting_Curves/meltCurve_H7BZK3_DNAJB14.pdf")</f>
        <v>Melting_Curves/meltCurve_H7BZK3_DNAJB14.pdf</v>
      </c>
    </row>
    <row r="832" spans="1:28" x14ac:dyDescent="0.25">
      <c r="A832" t="s">
        <v>836</v>
      </c>
      <c r="B832">
        <v>0.99930955844802105</v>
      </c>
      <c r="C832">
        <v>0.49884860862876801</v>
      </c>
      <c r="D832">
        <v>0.37468180792003197</v>
      </c>
      <c r="E832">
        <v>0.45039863948780001</v>
      </c>
      <c r="F832">
        <v>0.213661820855786</v>
      </c>
      <c r="G832">
        <v>7.57167361315806E-2</v>
      </c>
      <c r="H832">
        <v>3.5447419973539597E-2</v>
      </c>
      <c r="I832">
        <v>3.6921039512016501E-2</v>
      </c>
      <c r="J832">
        <v>2.9376802116741998E-2</v>
      </c>
      <c r="K832">
        <v>2.3439631342250002E-2</v>
      </c>
      <c r="L832">
        <v>473.50028722278898</v>
      </c>
      <c r="M832">
        <v>10.3911945103424</v>
      </c>
      <c r="N832">
        <v>45.567459020244101</v>
      </c>
      <c r="O832">
        <v>43.976740181223001</v>
      </c>
      <c r="P832">
        <v>-5.9096907323420302E-2</v>
      </c>
      <c r="Q832">
        <v>0</v>
      </c>
      <c r="R832">
        <v>0.88687311768427801</v>
      </c>
      <c r="S832" t="s">
        <v>7449</v>
      </c>
      <c r="T832" t="s">
        <v>13232</v>
      </c>
      <c r="U832" t="s">
        <v>13232</v>
      </c>
      <c r="V832" t="s">
        <v>13232</v>
      </c>
      <c r="W832" t="s">
        <v>14043</v>
      </c>
      <c r="X832">
        <v>4</v>
      </c>
      <c r="Z832" t="s">
        <v>26963</v>
      </c>
      <c r="AA832">
        <v>0.24661997275353539</v>
      </c>
      <c r="AB832" t="str">
        <f>HYPERLINK("Melting_Curves/meltCurve_H7C0C1_.pdf", "Melting_Curves/meltCurve_H7C0C1_.pdf")</f>
        <v>Melting_Curves/meltCurve_H7C0C1_.pdf</v>
      </c>
    </row>
    <row r="833" spans="1:28" x14ac:dyDescent="0.25">
      <c r="A833" t="s">
        <v>837</v>
      </c>
      <c r="B833">
        <v>0.99930955844802105</v>
      </c>
      <c r="C833">
        <v>1.2425874436814699</v>
      </c>
      <c r="D833">
        <v>1.1702743521732</v>
      </c>
      <c r="E833">
        <v>1.0730661821148899</v>
      </c>
      <c r="F833">
        <v>1.04015641141826</v>
      </c>
      <c r="G833">
        <v>0.89970246801485099</v>
      </c>
      <c r="H833">
        <v>0.880465499754993</v>
      </c>
      <c r="I833">
        <v>0.89509194415197202</v>
      </c>
      <c r="J833">
        <v>0.73393103694817996</v>
      </c>
      <c r="K833">
        <v>0.89692589797001399</v>
      </c>
      <c r="L833">
        <v>10989.977970640801</v>
      </c>
      <c r="M833">
        <v>193.541497938118</v>
      </c>
      <c r="O833">
        <v>56.777510824764697</v>
      </c>
      <c r="P833">
        <v>-0.126462412100255</v>
      </c>
      <c r="Q833">
        <v>0.85160348354974602</v>
      </c>
      <c r="R833">
        <v>0.45661245352668201</v>
      </c>
      <c r="S833" t="s">
        <v>7450</v>
      </c>
      <c r="T833" t="s">
        <v>13232</v>
      </c>
      <c r="U833" t="s">
        <v>13232</v>
      </c>
      <c r="V833" t="s">
        <v>13232</v>
      </c>
      <c r="W833" t="s">
        <v>14044</v>
      </c>
      <c r="X833">
        <v>7</v>
      </c>
      <c r="Y833" t="s">
        <v>20576</v>
      </c>
      <c r="Z833" t="s">
        <v>26964</v>
      </c>
      <c r="AA833">
        <v>0.9346489590632403</v>
      </c>
      <c r="AB833" t="str">
        <f>HYPERLINK("Melting_Curves/meltCurve_H7C0J3_CHD3.pdf", "Melting_Curves/meltCurve_H7C0J3_CHD3.pdf")</f>
        <v>Melting_Curves/meltCurve_H7C0J3_CHD3.pdf</v>
      </c>
    </row>
    <row r="834" spans="1:28" x14ac:dyDescent="0.25">
      <c r="A834" t="s">
        <v>838</v>
      </c>
      <c r="B834">
        <v>0.99930955844802105</v>
      </c>
      <c r="C834">
        <v>0.76367043703846305</v>
      </c>
      <c r="D834">
        <v>0.74834534193448199</v>
      </c>
      <c r="E834">
        <v>0.76778882232543399</v>
      </c>
      <c r="F834">
        <v>0.73193149884237396</v>
      </c>
      <c r="G834">
        <v>0.59882003276996298</v>
      </c>
      <c r="H834">
        <v>0.48896483480172598</v>
      </c>
      <c r="I834">
        <v>0.476249532601769</v>
      </c>
      <c r="J834">
        <v>0.46433948495656102</v>
      </c>
      <c r="K834">
        <v>0.39407154264049699</v>
      </c>
      <c r="L834">
        <v>244.32283181843999</v>
      </c>
      <c r="M834">
        <v>3.8857394917225401</v>
      </c>
      <c r="N834">
        <v>62.876794778749399</v>
      </c>
      <c r="O834">
        <v>51.137692219293498</v>
      </c>
      <c r="P834">
        <v>-1.9264310221361301E-2</v>
      </c>
      <c r="Q834">
        <v>0</v>
      </c>
      <c r="R834">
        <v>0.91027728682382303</v>
      </c>
      <c r="S834" t="s">
        <v>7451</v>
      </c>
      <c r="T834" t="s">
        <v>13232</v>
      </c>
      <c r="U834" t="s">
        <v>13232</v>
      </c>
      <c r="V834" t="s">
        <v>13232</v>
      </c>
      <c r="W834" t="s">
        <v>14043</v>
      </c>
      <c r="X834">
        <v>11</v>
      </c>
      <c r="Z834" t="s">
        <v>26965</v>
      </c>
      <c r="AA834">
        <v>0.64288145256535012</v>
      </c>
      <c r="AB834" t="str">
        <f>HYPERLINK("Melting_Curves/meltCurve_H7C0S8_.pdf", "Melting_Curves/meltCurve_H7C0S8_.pdf")</f>
        <v>Melting_Curves/meltCurve_H7C0S8_.pdf</v>
      </c>
    </row>
    <row r="835" spans="1:28" x14ac:dyDescent="0.25">
      <c r="A835" t="s">
        <v>839</v>
      </c>
      <c r="B835">
        <v>0.99930955844802105</v>
      </c>
      <c r="C835">
        <v>0.71128039090478701</v>
      </c>
      <c r="D835">
        <v>0.51970680712802397</v>
      </c>
      <c r="E835">
        <v>0.36746859750323102</v>
      </c>
      <c r="F835">
        <v>0.26047874968889501</v>
      </c>
      <c r="G835">
        <v>0.17415999395854601</v>
      </c>
      <c r="H835">
        <v>0.121030361709447</v>
      </c>
      <c r="I835">
        <v>7.8948089261717799E-2</v>
      </c>
      <c r="J835">
        <v>5.8164483497912103E-2</v>
      </c>
      <c r="K835">
        <v>5.3782047706844402E-2</v>
      </c>
      <c r="L835">
        <v>563.01876342294202</v>
      </c>
      <c r="M835">
        <v>12.059133319444999</v>
      </c>
      <c r="N835">
        <v>47.1378403374488</v>
      </c>
      <c r="O835">
        <v>45.459884857867799</v>
      </c>
      <c r="P835">
        <v>-6.2728934071422396E-2</v>
      </c>
      <c r="Q835">
        <v>5.43347593142708E-2</v>
      </c>
      <c r="R835">
        <v>0.97884381231495798</v>
      </c>
      <c r="S835" t="s">
        <v>7452</v>
      </c>
      <c r="T835" t="s">
        <v>13232</v>
      </c>
      <c r="U835" t="s">
        <v>13232</v>
      </c>
      <c r="V835" t="s">
        <v>13232</v>
      </c>
      <c r="W835" t="s">
        <v>14045</v>
      </c>
      <c r="X835">
        <v>1</v>
      </c>
      <c r="Y835" t="s">
        <v>20577</v>
      </c>
      <c r="Z835" t="s">
        <v>26966</v>
      </c>
      <c r="AA835">
        <v>0.30545321740162013</v>
      </c>
      <c r="AB835" t="str">
        <f>HYPERLINK("Melting_Curves/meltCurve_H7C134_TRIM5.pdf", "Melting_Curves/meltCurve_H7C134_TRIM5.pdf")</f>
        <v>Melting_Curves/meltCurve_H7C134_TRIM5.pdf</v>
      </c>
    </row>
    <row r="836" spans="1:28" x14ac:dyDescent="0.25">
      <c r="A836" t="s">
        <v>840</v>
      </c>
      <c r="B836">
        <v>0.99930955844802105</v>
      </c>
      <c r="C836">
        <v>1.0857056245326899</v>
      </c>
      <c r="D836">
        <v>1.1359791191922499</v>
      </c>
      <c r="E836">
        <v>1.13915330445189</v>
      </c>
      <c r="F836">
        <v>1.0042002563928001</v>
      </c>
      <c r="G836">
        <v>0.87037027786205301</v>
      </c>
      <c r="H836">
        <v>0.893529191684025</v>
      </c>
      <c r="I836">
        <v>1.13358921336123</v>
      </c>
      <c r="J836">
        <v>0.99626497236138301</v>
      </c>
      <c r="K836">
        <v>0.79629268692702504</v>
      </c>
      <c r="L836">
        <v>7461.7566503654698</v>
      </c>
      <c r="M836">
        <v>106.04302012587</v>
      </c>
      <c r="Q836">
        <v>0.44227384875507397</v>
      </c>
      <c r="R836">
        <v>0.31120900633092002</v>
      </c>
      <c r="S836" t="s">
        <v>7453</v>
      </c>
      <c r="T836" t="s">
        <v>13232</v>
      </c>
      <c r="U836" t="s">
        <v>13232</v>
      </c>
      <c r="V836" t="s">
        <v>13232</v>
      </c>
      <c r="W836" t="s">
        <v>13534</v>
      </c>
      <c r="X836">
        <v>16</v>
      </c>
      <c r="Y836" t="s">
        <v>20073</v>
      </c>
      <c r="Z836" t="s">
        <v>26967</v>
      </c>
      <c r="AA836">
        <v>0.99456794868734366</v>
      </c>
      <c r="AB836" t="str">
        <f>HYPERLINK("Melting_Curves/meltCurve_H7C137_RANBP1.pdf", "Melting_Curves/meltCurve_H7C137_RANBP1.pdf")</f>
        <v>Melting_Curves/meltCurve_H7C137_RANBP1.pdf</v>
      </c>
    </row>
    <row r="837" spans="1:28" x14ac:dyDescent="0.25">
      <c r="A837" t="s">
        <v>841</v>
      </c>
      <c r="B837">
        <v>0.99930955844802105</v>
      </c>
      <c r="C837">
        <v>0.76694392218563101</v>
      </c>
      <c r="D837">
        <v>0.786524774853402</v>
      </c>
      <c r="E837">
        <v>0.81228235135262505</v>
      </c>
      <c r="F837">
        <v>0.79190005768616201</v>
      </c>
      <c r="G837">
        <v>0.57887013273770904</v>
      </c>
      <c r="H837">
        <v>0.37618411337523</v>
      </c>
      <c r="I837">
        <v>0.28601588628369001</v>
      </c>
      <c r="J837">
        <v>0.2594654864348</v>
      </c>
      <c r="K837">
        <v>0.15267096359641699</v>
      </c>
      <c r="L837">
        <v>462.63759040145197</v>
      </c>
      <c r="M837">
        <v>7.9760299484597104</v>
      </c>
      <c r="N837">
        <v>58.003495166789001</v>
      </c>
      <c r="O837">
        <v>54.697760662427797</v>
      </c>
      <c r="P837">
        <v>-3.6496711077805999E-2</v>
      </c>
      <c r="Q837">
        <v>0</v>
      </c>
      <c r="R837">
        <v>0.91876914536583698</v>
      </c>
      <c r="S837" t="s">
        <v>7454</v>
      </c>
      <c r="T837" t="s">
        <v>13232</v>
      </c>
      <c r="U837" t="s">
        <v>13232</v>
      </c>
      <c r="V837" t="s">
        <v>13232</v>
      </c>
      <c r="W837" t="s">
        <v>14046</v>
      </c>
      <c r="X837">
        <v>27</v>
      </c>
      <c r="Y837" t="s">
        <v>20578</v>
      </c>
      <c r="Z837" t="s">
        <v>26968</v>
      </c>
      <c r="AA837">
        <v>0.60357081048304684</v>
      </c>
      <c r="AB837" t="str">
        <f>HYPERLINK("Melting_Curves/meltCurve_H7C144_ACTN4.pdf", "Melting_Curves/meltCurve_H7C144_ACTN4.pdf")</f>
        <v>Melting_Curves/meltCurve_H7C144_ACTN4.pdf</v>
      </c>
    </row>
    <row r="838" spans="1:28" x14ac:dyDescent="0.25">
      <c r="A838" t="s">
        <v>842</v>
      </c>
      <c r="B838">
        <v>0.99930955844802105</v>
      </c>
      <c r="C838">
        <v>1.0963864911155601</v>
      </c>
      <c r="D838">
        <v>1.0731201771768299</v>
      </c>
      <c r="E838">
        <v>0.84662570319522701</v>
      </c>
      <c r="F838">
        <v>0.386537781694407</v>
      </c>
      <c r="G838">
        <v>0.30311116397209198</v>
      </c>
      <c r="H838">
        <v>0.31067738790508098</v>
      </c>
      <c r="I838">
        <v>0.37182763380955502</v>
      </c>
      <c r="J838">
        <v>0.42728246435850298</v>
      </c>
      <c r="K838">
        <v>0.294143988423336</v>
      </c>
      <c r="L838">
        <v>3427.0901110060299</v>
      </c>
      <c r="M838">
        <v>67.341730596278197</v>
      </c>
      <c r="N838">
        <v>51.775561118455798</v>
      </c>
      <c r="O838">
        <v>50.846217586575598</v>
      </c>
      <c r="P838">
        <v>-0.217948396100931</v>
      </c>
      <c r="Q838">
        <v>0.34175455903525598</v>
      </c>
      <c r="R838">
        <v>0.97440027163998799</v>
      </c>
      <c r="S838" t="s">
        <v>7455</v>
      </c>
      <c r="T838" t="s">
        <v>13232</v>
      </c>
      <c r="U838" t="s">
        <v>13232</v>
      </c>
      <c r="V838" t="s">
        <v>13232</v>
      </c>
      <c r="W838" t="s">
        <v>14047</v>
      </c>
      <c r="X838">
        <v>6</v>
      </c>
      <c r="Y838" t="s">
        <v>20579</v>
      </c>
      <c r="Z838" t="s">
        <v>26969</v>
      </c>
      <c r="AA838">
        <v>0.58153282590080613</v>
      </c>
      <c r="AB838" t="str">
        <f>HYPERLINK("Melting_Curves/meltCurve_H7C1C1_DONSON.pdf", "Melting_Curves/meltCurve_H7C1C1_DONSON.pdf")</f>
        <v>Melting_Curves/meltCurve_H7C1C1_DONSON.pdf</v>
      </c>
    </row>
    <row r="839" spans="1:28" x14ac:dyDescent="0.25">
      <c r="A839" t="s">
        <v>843</v>
      </c>
      <c r="B839">
        <v>0.99930955844802105</v>
      </c>
      <c r="C839">
        <v>1.09485307466896</v>
      </c>
      <c r="D839">
        <v>1.01095363488018</v>
      </c>
      <c r="E839">
        <v>1.10194229713122</v>
      </c>
      <c r="F839">
        <v>0.99465102054480503</v>
      </c>
      <c r="G839">
        <v>0.90987687393695504</v>
      </c>
      <c r="H839">
        <v>0.84792895660544298</v>
      </c>
      <c r="I839">
        <v>0.61621887372327699</v>
      </c>
      <c r="J839">
        <v>0.471183114554452</v>
      </c>
      <c r="K839">
        <v>0.250306311135577</v>
      </c>
      <c r="L839">
        <v>1202.4020137868899</v>
      </c>
      <c r="M839">
        <v>18.186810395855002</v>
      </c>
      <c r="N839">
        <v>66.113962154376097</v>
      </c>
      <c r="O839">
        <v>65.330167972497804</v>
      </c>
      <c r="P839">
        <v>-6.9599055448252706E-2</v>
      </c>
      <c r="Q839">
        <v>0</v>
      </c>
      <c r="R839">
        <v>0.96739191538812297</v>
      </c>
      <c r="S839" t="s">
        <v>7456</v>
      </c>
      <c r="T839" t="s">
        <v>13232</v>
      </c>
      <c r="U839" t="s">
        <v>13232</v>
      </c>
      <c r="V839" t="s">
        <v>13232</v>
      </c>
      <c r="W839" t="s">
        <v>14048</v>
      </c>
      <c r="X839">
        <v>2</v>
      </c>
      <c r="Y839" t="s">
        <v>20580</v>
      </c>
      <c r="Z839" t="s">
        <v>26970</v>
      </c>
      <c r="AA839">
        <v>0.84459231901432141</v>
      </c>
      <c r="AB839" t="str">
        <f>HYPERLINK("Melting_Curves/meltCurve_H7C1M0_FANCL.pdf", "Melting_Curves/meltCurve_H7C1M0_FANCL.pdf")</f>
        <v>Melting_Curves/meltCurve_H7C1M0_FANCL.pdf</v>
      </c>
    </row>
    <row r="840" spans="1:28" x14ac:dyDescent="0.25">
      <c r="A840" t="s">
        <v>844</v>
      </c>
      <c r="B840">
        <v>0.99930955844802105</v>
      </c>
      <c r="C840">
        <v>0.95607081729547605</v>
      </c>
      <c r="D840">
        <v>0.831358033132372</v>
      </c>
      <c r="E840">
        <v>0.54700870548562797</v>
      </c>
      <c r="F840">
        <v>0.31887350691333599</v>
      </c>
      <c r="G840">
        <v>0.188417288996131</v>
      </c>
      <c r="H840">
        <v>0.119186763543682</v>
      </c>
      <c r="I840">
        <v>0.11355014348744701</v>
      </c>
      <c r="J840">
        <v>0.103350208860466</v>
      </c>
      <c r="K840">
        <v>8.1725992009707205E-2</v>
      </c>
      <c r="L840">
        <v>886.92681066075204</v>
      </c>
      <c r="M840">
        <v>17.757129478961001</v>
      </c>
      <c r="N840">
        <v>50.499137510750003</v>
      </c>
      <c r="O840">
        <v>49.327096964087701</v>
      </c>
      <c r="P840">
        <v>-8.2068867148169702E-2</v>
      </c>
      <c r="Q840">
        <v>8.8138931241852306E-2</v>
      </c>
      <c r="R840">
        <v>0.99950504096810899</v>
      </c>
      <c r="S840" t="s">
        <v>7457</v>
      </c>
      <c r="T840" t="s">
        <v>13232</v>
      </c>
      <c r="U840" t="s">
        <v>13232</v>
      </c>
      <c r="V840" t="s">
        <v>13232</v>
      </c>
      <c r="W840" t="s">
        <v>14049</v>
      </c>
      <c r="X840">
        <v>8</v>
      </c>
      <c r="Y840" t="s">
        <v>20581</v>
      </c>
      <c r="Z840" t="s">
        <v>26971</v>
      </c>
      <c r="AA840">
        <v>0.40646933811311292</v>
      </c>
      <c r="AB840" t="str">
        <f>HYPERLINK("Melting_Curves/meltCurve_H7C1M5_DNTTIP1.pdf", "Melting_Curves/meltCurve_H7C1M5_DNTTIP1.pdf")</f>
        <v>Melting_Curves/meltCurve_H7C1M5_DNTTIP1.pdf</v>
      </c>
    </row>
    <row r="841" spans="1:28" x14ac:dyDescent="0.25">
      <c r="A841" t="s">
        <v>845</v>
      </c>
      <c r="B841">
        <v>0.99930955844802105</v>
      </c>
      <c r="C841">
        <v>0.98750756556130703</v>
      </c>
      <c r="D841">
        <v>0.94496847455220701</v>
      </c>
      <c r="E841">
        <v>0.80126759442742101</v>
      </c>
      <c r="F841">
        <v>0.63104813014490202</v>
      </c>
      <c r="G841">
        <v>0.47629714488668701</v>
      </c>
      <c r="H841">
        <v>0.42405774630672699</v>
      </c>
      <c r="I841">
        <v>0.424300959742476</v>
      </c>
      <c r="J841">
        <v>0.460106038467332</v>
      </c>
      <c r="K841">
        <v>0.36308836736216299</v>
      </c>
      <c r="L841">
        <v>1025.9725049879801</v>
      </c>
      <c r="M841">
        <v>19.859366926481801</v>
      </c>
      <c r="N841">
        <v>56.3524714295026</v>
      </c>
      <c r="O841">
        <v>51.146619753187203</v>
      </c>
      <c r="P841">
        <v>-5.7830405546284401E-2</v>
      </c>
      <c r="Q841">
        <v>0.40426484149494102</v>
      </c>
      <c r="R841">
        <v>0.99213170468870704</v>
      </c>
      <c r="S841" t="s">
        <v>7458</v>
      </c>
      <c r="T841" t="s">
        <v>13232</v>
      </c>
      <c r="U841" t="s">
        <v>13232</v>
      </c>
      <c r="V841" t="s">
        <v>13232</v>
      </c>
      <c r="W841" t="s">
        <v>14050</v>
      </c>
      <c r="X841">
        <v>5</v>
      </c>
      <c r="Y841" t="s">
        <v>20582</v>
      </c>
      <c r="Z841" t="s">
        <v>26972</v>
      </c>
      <c r="AA841">
        <v>0.64420593957841266</v>
      </c>
      <c r="AB841" t="str">
        <f>HYPERLINK("Melting_Curves/meltCurve_H7C1N2_COBL.pdf", "Melting_Curves/meltCurve_H7C1N2_COBL.pdf")</f>
        <v>Melting_Curves/meltCurve_H7C1N2_COBL.pdf</v>
      </c>
    </row>
    <row r="842" spans="1:28" x14ac:dyDescent="0.25">
      <c r="A842" t="s">
        <v>846</v>
      </c>
      <c r="B842">
        <v>0.99930955844802105</v>
      </c>
      <c r="C842">
        <v>0.97731175550818505</v>
      </c>
      <c r="D842">
        <v>0.86094619902937797</v>
      </c>
      <c r="E842">
        <v>0.53830521429263001</v>
      </c>
      <c r="F842">
        <v>0.299914412635023</v>
      </c>
      <c r="G842">
        <v>0.24639847912558799</v>
      </c>
      <c r="H842">
        <v>0.197973134440421</v>
      </c>
      <c r="I842">
        <v>0.20208083799968399</v>
      </c>
      <c r="J842">
        <v>0.182981953312605</v>
      </c>
      <c r="K842">
        <v>0.14444127303885201</v>
      </c>
      <c r="L842">
        <v>1105.49291509657</v>
      </c>
      <c r="M842">
        <v>22.411143399378201</v>
      </c>
      <c r="N842">
        <v>50.331036674927901</v>
      </c>
      <c r="O842">
        <v>48.940089190493602</v>
      </c>
      <c r="P842">
        <v>-9.3862605281453695E-2</v>
      </c>
      <c r="Q842">
        <v>0.18013088448022299</v>
      </c>
      <c r="R842">
        <v>0.99713981159373899</v>
      </c>
      <c r="S842" t="s">
        <v>7459</v>
      </c>
      <c r="T842" t="s">
        <v>13232</v>
      </c>
      <c r="U842" t="s">
        <v>13232</v>
      </c>
      <c r="V842" t="s">
        <v>13232</v>
      </c>
      <c r="W842" t="s">
        <v>14051</v>
      </c>
      <c r="X842">
        <v>16</v>
      </c>
      <c r="Y842" t="s">
        <v>20583</v>
      </c>
      <c r="Z842" t="s">
        <v>26973</v>
      </c>
      <c r="AA842">
        <v>0.44415145939727518</v>
      </c>
      <c r="AB842" t="str">
        <f>HYPERLINK("Melting_Curves/meltCurve_H7C1U3_CC2D1B.pdf", "Melting_Curves/meltCurve_H7C1U3_CC2D1B.pdf")</f>
        <v>Melting_Curves/meltCurve_H7C1U3_CC2D1B.pdf</v>
      </c>
    </row>
    <row r="843" spans="1:28" x14ac:dyDescent="0.25">
      <c r="A843" t="s">
        <v>847</v>
      </c>
      <c r="B843">
        <v>0.99930955844802105</v>
      </c>
      <c r="C843">
        <v>0.29377864441381202</v>
      </c>
      <c r="D843">
        <v>0.220873600617712</v>
      </c>
      <c r="E843">
        <v>0.28131641598712198</v>
      </c>
      <c r="F843">
        <v>0.20114303529386801</v>
      </c>
      <c r="G843">
        <v>0.115339849116169</v>
      </c>
      <c r="H843">
        <v>4.5318135226998901E-2</v>
      </c>
      <c r="I843">
        <v>4.1817192004084902E-2</v>
      </c>
      <c r="J843">
        <v>2.61374961358855E-2</v>
      </c>
      <c r="K843">
        <v>1.95070596636795E-2</v>
      </c>
      <c r="L843">
        <v>3471.5633756398302</v>
      </c>
      <c r="M843">
        <v>82.307481513454107</v>
      </c>
      <c r="N843">
        <v>42.317297984160398</v>
      </c>
      <c r="O843">
        <v>42.153101915649302</v>
      </c>
      <c r="P843">
        <v>-0.43021225712061201</v>
      </c>
      <c r="Q843">
        <v>0.11868139031630601</v>
      </c>
      <c r="R843">
        <v>0.90453346289724201</v>
      </c>
      <c r="S843" t="s">
        <v>7460</v>
      </c>
      <c r="T843" t="s">
        <v>13232</v>
      </c>
      <c r="U843" t="s">
        <v>13232</v>
      </c>
      <c r="V843" t="s">
        <v>13232</v>
      </c>
      <c r="W843" t="s">
        <v>14052</v>
      </c>
      <c r="X843">
        <v>3</v>
      </c>
      <c r="Y843" t="s">
        <v>20584</v>
      </c>
      <c r="Z843" t="s">
        <v>26974</v>
      </c>
      <c r="AA843">
        <v>0.18341645464011519</v>
      </c>
      <c r="AB843" t="str">
        <f>HYPERLINK("Melting_Curves/meltCurve_H7C1W2_IDH3G.pdf", "Melting_Curves/meltCurve_H7C1W2_IDH3G.pdf")</f>
        <v>Melting_Curves/meltCurve_H7C1W2_IDH3G.pdf</v>
      </c>
    </row>
    <row r="844" spans="1:28" x14ac:dyDescent="0.25">
      <c r="A844" t="s">
        <v>848</v>
      </c>
      <c r="B844">
        <v>0.99930955844802105</v>
      </c>
      <c r="C844">
        <v>1.0531797197609201</v>
      </c>
      <c r="D844">
        <v>1.2717868089126301</v>
      </c>
      <c r="E844">
        <v>1.14010617351049</v>
      </c>
      <c r="F844">
        <v>0.89543192237289504</v>
      </c>
      <c r="G844">
        <v>1.2260895368740901</v>
      </c>
      <c r="H844">
        <v>1.5515059739399399</v>
      </c>
      <c r="I844">
        <v>1.54831716946662</v>
      </c>
      <c r="J844">
        <v>2.24517511082502</v>
      </c>
      <c r="K844">
        <v>1.5311230305935399</v>
      </c>
      <c r="L844">
        <v>14260.936592877801</v>
      </c>
      <c r="M844">
        <v>250</v>
      </c>
      <c r="O844">
        <v>57.040085320277598</v>
      </c>
      <c r="P844">
        <v>0.54786022882867003</v>
      </c>
      <c r="Q844">
        <v>1.5</v>
      </c>
      <c r="R844">
        <v>0.52153381538299803</v>
      </c>
      <c r="S844" t="s">
        <v>7461</v>
      </c>
      <c r="T844" t="s">
        <v>13232</v>
      </c>
      <c r="U844" t="s">
        <v>13232</v>
      </c>
      <c r="V844" t="s">
        <v>13232</v>
      </c>
      <c r="W844" t="s">
        <v>14053</v>
      </c>
      <c r="X844">
        <v>1</v>
      </c>
      <c r="Y844" t="s">
        <v>20585</v>
      </c>
      <c r="Z844" t="s">
        <v>26975</v>
      </c>
      <c r="AA844">
        <v>1.215887505031271</v>
      </c>
      <c r="AB844" t="str">
        <f>HYPERLINK("Melting_Curves/meltCurve_H7C284_MFSD6.pdf", "Melting_Curves/meltCurve_H7C284_MFSD6.pdf")</f>
        <v>Melting_Curves/meltCurve_H7C284_MFSD6.pdf</v>
      </c>
    </row>
    <row r="845" spans="1:28" x14ac:dyDescent="0.25">
      <c r="A845" t="s">
        <v>849</v>
      </c>
      <c r="B845">
        <v>0.99930955844802105</v>
      </c>
      <c r="C845">
        <v>1.1984595151016399</v>
      </c>
      <c r="D845">
        <v>1.17806290686652</v>
      </c>
      <c r="E845">
        <v>1.16742344735702</v>
      </c>
      <c r="F845">
        <v>1.03050069646625</v>
      </c>
      <c r="G845">
        <v>0.83800934220967405</v>
      </c>
      <c r="H845">
        <v>0.93210845715633395</v>
      </c>
      <c r="I845">
        <v>0.93983573330035497</v>
      </c>
      <c r="J845">
        <v>1.1494624969885301</v>
      </c>
      <c r="K845">
        <v>0.708121107201795</v>
      </c>
      <c r="L845">
        <v>15000</v>
      </c>
      <c r="M845">
        <v>213.39933993322401</v>
      </c>
      <c r="Q845">
        <v>0</v>
      </c>
      <c r="R845">
        <v>0.34653238123748098</v>
      </c>
      <c r="S845" t="s">
        <v>7462</v>
      </c>
      <c r="T845" t="s">
        <v>13232</v>
      </c>
      <c r="U845" t="s">
        <v>13232</v>
      </c>
      <c r="V845" t="s">
        <v>13232</v>
      </c>
      <c r="W845" t="s">
        <v>14054</v>
      </c>
      <c r="X845">
        <v>2</v>
      </c>
      <c r="Y845" t="s">
        <v>20586</v>
      </c>
      <c r="Z845" t="s">
        <v>26976</v>
      </c>
      <c r="AA845">
        <v>0.99627978596134226</v>
      </c>
      <c r="AB845" t="str">
        <f>HYPERLINK("Melting_Curves/meltCurve_H7C2G2_ART4.pdf", "Melting_Curves/meltCurve_H7C2G2_ART4.pdf")</f>
        <v>Melting_Curves/meltCurve_H7C2G2_ART4.pdf</v>
      </c>
    </row>
    <row r="846" spans="1:28" x14ac:dyDescent="0.25">
      <c r="A846" t="s">
        <v>850</v>
      </c>
      <c r="B846">
        <v>0.99930955844802105</v>
      </c>
      <c r="C846">
        <v>0.86132096528520496</v>
      </c>
      <c r="D846">
        <v>0.78494417967840002</v>
      </c>
      <c r="E846">
        <v>0.86962990247671601</v>
      </c>
      <c r="F846">
        <v>0.42776980489627597</v>
      </c>
      <c r="G846">
        <v>0.13255926542825</v>
      </c>
      <c r="H846">
        <v>0.158868376288027</v>
      </c>
      <c r="I846">
        <v>8.0051431648182902E-2</v>
      </c>
      <c r="J846">
        <v>0</v>
      </c>
      <c r="K846">
        <v>0</v>
      </c>
      <c r="L846">
        <v>907.44441994522504</v>
      </c>
      <c r="M846">
        <v>17.223061577029899</v>
      </c>
      <c r="N846">
        <v>52.691525295578003</v>
      </c>
      <c r="O846">
        <v>51.992828452446602</v>
      </c>
      <c r="P846">
        <v>-8.27684337786012E-2</v>
      </c>
      <c r="Q846">
        <v>6.1587574930028002E-4</v>
      </c>
      <c r="R846">
        <v>0.950697601239753</v>
      </c>
      <c r="S846" t="s">
        <v>7463</v>
      </c>
      <c r="T846" t="s">
        <v>13232</v>
      </c>
      <c r="U846" t="s">
        <v>13232</v>
      </c>
      <c r="V846" t="s">
        <v>13232</v>
      </c>
      <c r="W846" t="s">
        <v>14055</v>
      </c>
      <c r="X846">
        <v>2</v>
      </c>
      <c r="Y846" t="s">
        <v>20587</v>
      </c>
      <c r="Z846" t="s">
        <v>26977</v>
      </c>
      <c r="AA846">
        <v>0.44095015259413689</v>
      </c>
      <c r="AB846" t="str">
        <f>HYPERLINK("Melting_Curves/meltCurve_H7C3E1_ATP6AP2.pdf", "Melting_Curves/meltCurve_H7C3E1_ATP6AP2.pdf")</f>
        <v>Melting_Curves/meltCurve_H7C3E1_ATP6AP2.pdf</v>
      </c>
    </row>
    <row r="847" spans="1:28" x14ac:dyDescent="0.25">
      <c r="A847" t="s">
        <v>851</v>
      </c>
      <c r="B847">
        <v>0.99930955844802105</v>
      </c>
      <c r="C847">
        <v>0.97075391438635805</v>
      </c>
      <c r="D847">
        <v>0.95187793507738905</v>
      </c>
      <c r="E847">
        <v>0.88218889928014399</v>
      </c>
      <c r="F847">
        <v>0.85562028232684695</v>
      </c>
      <c r="G847">
        <v>0.67068088986492502</v>
      </c>
      <c r="H847">
        <v>0.50955472585323403</v>
      </c>
      <c r="I847">
        <v>0.34702994133439102</v>
      </c>
      <c r="J847">
        <v>0.18273723145835399</v>
      </c>
      <c r="K847">
        <v>0.102893612200743</v>
      </c>
      <c r="L847">
        <v>770.43165980423601</v>
      </c>
      <c r="M847">
        <v>12.7745544435671</v>
      </c>
      <c r="N847">
        <v>60.309865552988803</v>
      </c>
      <c r="O847">
        <v>58.889270270380301</v>
      </c>
      <c r="P847">
        <v>-5.4241503574293998E-2</v>
      </c>
      <c r="Q847">
        <v>0</v>
      </c>
      <c r="R847">
        <v>0.99059326369179401</v>
      </c>
      <c r="S847" t="s">
        <v>7464</v>
      </c>
      <c r="T847" t="s">
        <v>13232</v>
      </c>
      <c r="U847" t="s">
        <v>13232</v>
      </c>
      <c r="V847" t="s">
        <v>13232</v>
      </c>
      <c r="W847" t="s">
        <v>14056</v>
      </c>
      <c r="X847">
        <v>10</v>
      </c>
      <c r="Y847" t="s">
        <v>20588</v>
      </c>
      <c r="Z847" t="s">
        <v>26978</v>
      </c>
      <c r="AA847">
        <v>0.67927263771247859</v>
      </c>
      <c r="AB847" t="str">
        <f>HYPERLINK("Melting_Curves/meltCurve_H7C3P4_GNS.pdf", "Melting_Curves/meltCurve_H7C3P4_GNS.pdf")</f>
        <v>Melting_Curves/meltCurve_H7C3P4_GNS.pdf</v>
      </c>
    </row>
    <row r="848" spans="1:28" x14ac:dyDescent="0.25">
      <c r="A848" t="s">
        <v>852</v>
      </c>
      <c r="B848">
        <v>0.99930955844802105</v>
      </c>
      <c r="C848">
        <v>0.87893128703638401</v>
      </c>
      <c r="D848">
        <v>0.91521660940883398</v>
      </c>
      <c r="E848">
        <v>0.86532878363592103</v>
      </c>
      <c r="F848">
        <v>0.76466369453383898</v>
      </c>
      <c r="G848">
        <v>0.59903216833252704</v>
      </c>
      <c r="H848">
        <v>0.51468418134364102</v>
      </c>
      <c r="I848">
        <v>0.54381272462522701</v>
      </c>
      <c r="J848">
        <v>0.54773911370059503</v>
      </c>
      <c r="K848">
        <v>0.45557098323463902</v>
      </c>
      <c r="L848">
        <v>557.61034688740494</v>
      </c>
      <c r="M848">
        <v>10.3616682682022</v>
      </c>
      <c r="N848">
        <v>66.640881683723194</v>
      </c>
      <c r="O848">
        <v>51.926005408749702</v>
      </c>
      <c r="P848">
        <v>-2.8350471336631902E-2</v>
      </c>
      <c r="Q848">
        <v>0.43194396892868597</v>
      </c>
      <c r="R848">
        <v>0.95242112841289195</v>
      </c>
      <c r="S848" t="s">
        <v>7465</v>
      </c>
      <c r="T848" t="s">
        <v>13232</v>
      </c>
      <c r="U848" t="s">
        <v>13232</v>
      </c>
      <c r="V848" t="s">
        <v>13232</v>
      </c>
      <c r="W848" t="s">
        <v>14057</v>
      </c>
      <c r="X848">
        <v>10</v>
      </c>
      <c r="Y848" t="s">
        <v>20589</v>
      </c>
      <c r="Z848" t="s">
        <v>26979</v>
      </c>
      <c r="AA848">
        <v>0.71066435811661666</v>
      </c>
      <c r="AB848" t="str">
        <f>HYPERLINK("Melting_Curves/meltCurve_H7C463_IMMT.pdf", "Melting_Curves/meltCurve_H7C463_IMMT.pdf")</f>
        <v>Melting_Curves/meltCurve_H7C463_IMMT.pdf</v>
      </c>
    </row>
    <row r="849" spans="1:28" x14ac:dyDescent="0.25">
      <c r="A849" t="s">
        <v>853</v>
      </c>
      <c r="B849">
        <v>0.99930955844802105</v>
      </c>
      <c r="C849">
        <v>1.0320487039370001</v>
      </c>
      <c r="D849">
        <v>1.01639300019686</v>
      </c>
      <c r="E849">
        <v>0.91503394322948495</v>
      </c>
      <c r="F849">
        <v>0.76009368704192004</v>
      </c>
      <c r="G849">
        <v>0.645817311153284</v>
      </c>
      <c r="H849">
        <v>0.58382790594989598</v>
      </c>
      <c r="I849">
        <v>0.57381804526200797</v>
      </c>
      <c r="J849">
        <v>0.59367322124586397</v>
      </c>
      <c r="K849">
        <v>0.493413948276541</v>
      </c>
      <c r="L849">
        <v>1175.5278540054301</v>
      </c>
      <c r="M849">
        <v>22.145999516384101</v>
      </c>
      <c r="O849">
        <v>52.653700345194302</v>
      </c>
      <c r="P849">
        <v>-4.7121779991229601E-2</v>
      </c>
      <c r="Q849">
        <v>0.55186814769867398</v>
      </c>
      <c r="R849">
        <v>0.97990341791911795</v>
      </c>
      <c r="S849" t="s">
        <v>7466</v>
      </c>
      <c r="T849" t="s">
        <v>13232</v>
      </c>
      <c r="U849" t="s">
        <v>13232</v>
      </c>
      <c r="V849" t="s">
        <v>13232</v>
      </c>
      <c r="W849" t="s">
        <v>14042</v>
      </c>
      <c r="X849">
        <v>1</v>
      </c>
      <c r="Y849" t="s">
        <v>20575</v>
      </c>
      <c r="Z849" t="s">
        <v>26980</v>
      </c>
      <c r="AA849">
        <v>0.75242137389548891</v>
      </c>
      <c r="AB849" t="str">
        <f>HYPERLINK("Melting_Curves/meltCurve_H7C494_DNAJB14.pdf", "Melting_Curves/meltCurve_H7C494_DNAJB14.pdf")</f>
        <v>Melting_Curves/meltCurve_H7C494_DNAJB14.pdf</v>
      </c>
    </row>
    <row r="850" spans="1:28" x14ac:dyDescent="0.25">
      <c r="A850" t="s">
        <v>854</v>
      </c>
      <c r="B850">
        <v>0.99930955844802105</v>
      </c>
      <c r="C850">
        <v>0.98805537357515705</v>
      </c>
      <c r="D850">
        <v>0.84661232300988798</v>
      </c>
      <c r="E850">
        <v>0.84065617536860904</v>
      </c>
      <c r="F850">
        <v>0.53814319341519901</v>
      </c>
      <c r="G850">
        <v>0.443764340430294</v>
      </c>
      <c r="H850">
        <v>0.33321810915080902</v>
      </c>
      <c r="I850">
        <v>0.35910579125679598</v>
      </c>
      <c r="J850">
        <v>0.30860426257358697</v>
      </c>
      <c r="K850">
        <v>0.210113312530156</v>
      </c>
      <c r="L850">
        <v>717.95269287276699</v>
      </c>
      <c r="M850">
        <v>13.634299367120599</v>
      </c>
      <c r="N850">
        <v>55.355555342945799</v>
      </c>
      <c r="O850">
        <v>51.563770773008798</v>
      </c>
      <c r="P850">
        <v>-5.0066334527496398E-2</v>
      </c>
      <c r="Q850">
        <v>0.24272419650955701</v>
      </c>
      <c r="R850">
        <v>0.97138286897958503</v>
      </c>
      <c r="S850" t="s">
        <v>7467</v>
      </c>
      <c r="T850" t="s">
        <v>13232</v>
      </c>
      <c r="U850" t="s">
        <v>13232</v>
      </c>
      <c r="V850" t="s">
        <v>13232</v>
      </c>
      <c r="W850" t="s">
        <v>14058</v>
      </c>
      <c r="X850">
        <v>2</v>
      </c>
      <c r="Y850" t="s">
        <v>20590</v>
      </c>
      <c r="Z850" t="s">
        <v>26981</v>
      </c>
      <c r="AA850">
        <v>0.58109833526532317</v>
      </c>
      <c r="AB850" t="str">
        <f>HYPERLINK("Melting_Curves/meltCurve_H7C4S2_HBP1.pdf", "Melting_Curves/meltCurve_H7C4S2_HBP1.pdf")</f>
        <v>Melting_Curves/meltCurve_H7C4S2_HBP1.pdf</v>
      </c>
    </row>
    <row r="851" spans="1:28" x14ac:dyDescent="0.25">
      <c r="A851" t="s">
        <v>855</v>
      </c>
      <c r="B851">
        <v>0.99930955844802105</v>
      </c>
      <c r="C851">
        <v>0.86549438435784598</v>
      </c>
      <c r="D851">
        <v>0.94395167239227296</v>
      </c>
      <c r="E851">
        <v>0.75995159910792498</v>
      </c>
      <c r="F851">
        <v>0.65120568745238205</v>
      </c>
      <c r="G851">
        <v>0.46467376154830298</v>
      </c>
      <c r="H851">
        <v>0.57976985545905901</v>
      </c>
      <c r="I851">
        <v>0.52331614988844899</v>
      </c>
      <c r="J851">
        <v>0.56353297947895997</v>
      </c>
      <c r="K851">
        <v>0.41245292998560901</v>
      </c>
      <c r="L851">
        <v>773.21683310222295</v>
      </c>
      <c r="M851">
        <v>15.4223090870404</v>
      </c>
      <c r="N851">
        <v>65.3738919163671</v>
      </c>
      <c r="O851">
        <v>49.315975101011098</v>
      </c>
      <c r="P851">
        <v>-4.01679552273113E-2</v>
      </c>
      <c r="Q851">
        <v>0.486265563975599</v>
      </c>
      <c r="R851">
        <v>0.90570185970186701</v>
      </c>
      <c r="S851" t="s">
        <v>7468</v>
      </c>
      <c r="T851" t="s">
        <v>13232</v>
      </c>
      <c r="U851" t="s">
        <v>13232</v>
      </c>
      <c r="V851" t="s">
        <v>13232</v>
      </c>
      <c r="W851" t="s">
        <v>14059</v>
      </c>
      <c r="X851">
        <v>4</v>
      </c>
      <c r="Y851" t="s">
        <v>19933</v>
      </c>
      <c r="Z851" t="s">
        <v>26982</v>
      </c>
      <c r="AA851">
        <v>0.67145691326684653</v>
      </c>
      <c r="AB851" t="str">
        <f>HYPERLINK("Melting_Curves/meltCurve_H7C4S4_FXR1.pdf", "Melting_Curves/meltCurve_H7C4S4_FXR1.pdf")</f>
        <v>Melting_Curves/meltCurve_H7C4S4_FXR1.pdf</v>
      </c>
    </row>
    <row r="852" spans="1:28" x14ac:dyDescent="0.25">
      <c r="A852" t="s">
        <v>856</v>
      </c>
      <c r="B852">
        <v>0.99930955844802105</v>
      </c>
      <c r="C852">
        <v>0.75276970564489898</v>
      </c>
      <c r="D852">
        <v>0.70391854069746396</v>
      </c>
      <c r="E852">
        <v>0.62425452882889299</v>
      </c>
      <c r="F852">
        <v>0.40888396988755699</v>
      </c>
      <c r="G852">
        <v>0.31129292660531799</v>
      </c>
      <c r="H852">
        <v>0.22550231614212299</v>
      </c>
      <c r="I852">
        <v>0.17386049437771001</v>
      </c>
      <c r="J852">
        <v>0.11431843738675999</v>
      </c>
      <c r="K852">
        <v>0.118107305848847</v>
      </c>
      <c r="L852">
        <v>418.86730211977999</v>
      </c>
      <c r="M852">
        <v>8.1460922517620507</v>
      </c>
      <c r="N852">
        <v>51.458260413663602</v>
      </c>
      <c r="O852">
        <v>48.599237976013598</v>
      </c>
      <c r="P852">
        <v>-4.1820116343946001E-2</v>
      </c>
      <c r="Q852">
        <v>3.0656349859925101E-3</v>
      </c>
      <c r="R852">
        <v>0.97577485643422401</v>
      </c>
      <c r="S852" t="s">
        <v>7469</v>
      </c>
      <c r="T852" t="s">
        <v>13232</v>
      </c>
      <c r="U852" t="s">
        <v>13232</v>
      </c>
      <c r="V852" t="s">
        <v>13232</v>
      </c>
      <c r="W852" t="s">
        <v>14060</v>
      </c>
      <c r="X852">
        <v>1</v>
      </c>
      <c r="Y852" t="s">
        <v>20591</v>
      </c>
      <c r="Z852" t="s">
        <v>26983</v>
      </c>
      <c r="AA852">
        <v>0.43228328738109179</v>
      </c>
      <c r="AB852" t="str">
        <f>HYPERLINK("Melting_Curves/meltCurve_H7C4Y3_PARP14.pdf", "Melting_Curves/meltCurve_H7C4Y3_PARP14.pdf")</f>
        <v>Melting_Curves/meltCurve_H7C4Y3_PARP14.pdf</v>
      </c>
    </row>
    <row r="853" spans="1:28" x14ac:dyDescent="0.25">
      <c r="A853" t="s">
        <v>857</v>
      </c>
      <c r="B853">
        <v>0.99930955844802105</v>
      </c>
      <c r="C853">
        <v>1.30065756876044</v>
      </c>
      <c r="D853">
        <v>1.2243821998545801</v>
      </c>
      <c r="E853">
        <v>1.12291826880571</v>
      </c>
      <c r="F853">
        <v>1.0980751642916</v>
      </c>
      <c r="G853">
        <v>1.0698600018644</v>
      </c>
      <c r="H853">
        <v>0.95177089327588704</v>
      </c>
      <c r="I853">
        <v>1.06182067703533</v>
      </c>
      <c r="J853">
        <v>1.1718747003262799</v>
      </c>
      <c r="K853">
        <v>0.83400788764467004</v>
      </c>
      <c r="L853">
        <v>15000</v>
      </c>
      <c r="M853">
        <v>212.671290180363</v>
      </c>
      <c r="Q853">
        <v>0</v>
      </c>
      <c r="R853">
        <v>-0.25694659518048402</v>
      </c>
      <c r="S853" t="s">
        <v>7470</v>
      </c>
      <c r="T853" t="s">
        <v>13232</v>
      </c>
      <c r="U853" t="s">
        <v>13232</v>
      </c>
      <c r="V853" t="s">
        <v>13232</v>
      </c>
      <c r="W853" t="s">
        <v>14061</v>
      </c>
      <c r="X853">
        <v>3</v>
      </c>
      <c r="Y853" t="s">
        <v>20592</v>
      </c>
      <c r="Z853" t="s">
        <v>26984</v>
      </c>
      <c r="AA853">
        <v>0.99804277844574973</v>
      </c>
      <c r="AB853" t="str">
        <f>HYPERLINK("Melting_Curves/meltCurve_H7C561_SF1.pdf", "Melting_Curves/meltCurve_H7C561_SF1.pdf")</f>
        <v>Melting_Curves/meltCurve_H7C561_SF1.pdf</v>
      </c>
    </row>
    <row r="854" spans="1:28" x14ac:dyDescent="0.25">
      <c r="A854" t="s">
        <v>858</v>
      </c>
      <c r="B854">
        <v>0.99930955844802105</v>
      </c>
      <c r="C854">
        <v>1.08375972073204</v>
      </c>
      <c r="D854">
        <v>1.11229410295276</v>
      </c>
      <c r="E854">
        <v>1.13366350062193</v>
      </c>
      <c r="F854">
        <v>0.99286048095392698</v>
      </c>
      <c r="G854">
        <v>0.81202747984539203</v>
      </c>
      <c r="H854">
        <v>0.75292976550458202</v>
      </c>
      <c r="I854">
        <v>0.69553244869594399</v>
      </c>
      <c r="J854">
        <v>0.59623347684102801</v>
      </c>
      <c r="K854">
        <v>0.45802558492729301</v>
      </c>
      <c r="L854">
        <v>887.26899789906099</v>
      </c>
      <c r="M854">
        <v>13.9084864943021</v>
      </c>
      <c r="N854">
        <v>69.483638515784094</v>
      </c>
      <c r="O854">
        <v>62.517989477848801</v>
      </c>
      <c r="P854">
        <v>-3.6716491585921898E-2</v>
      </c>
      <c r="Q854">
        <v>0.33993405176339198</v>
      </c>
      <c r="R854">
        <v>0.89286273097135105</v>
      </c>
      <c r="S854" t="s">
        <v>7471</v>
      </c>
      <c r="T854" t="s">
        <v>13232</v>
      </c>
      <c r="U854" t="s">
        <v>13232</v>
      </c>
      <c r="V854" t="s">
        <v>13232</v>
      </c>
      <c r="W854" t="s">
        <v>14062</v>
      </c>
      <c r="X854">
        <v>7</v>
      </c>
      <c r="Y854" t="s">
        <v>20593</v>
      </c>
      <c r="Z854" t="s">
        <v>26985</v>
      </c>
      <c r="AA854">
        <v>0.85110103171335361</v>
      </c>
      <c r="AB854" t="str">
        <f>HYPERLINK("Melting_Curves/meltCurve_H7C585_FXN.pdf", "Melting_Curves/meltCurve_H7C585_FXN.pdf")</f>
        <v>Melting_Curves/meltCurve_H7C585_FXN.pdf</v>
      </c>
    </row>
    <row r="855" spans="1:28" x14ac:dyDescent="0.25">
      <c r="A855" t="s">
        <v>859</v>
      </c>
      <c r="B855">
        <v>0.99930955844802105</v>
      </c>
      <c r="C855">
        <v>0.91953046896086199</v>
      </c>
      <c r="D855">
        <v>0.84413574560458704</v>
      </c>
      <c r="E855">
        <v>0.54143887537769797</v>
      </c>
      <c r="F855">
        <v>0.36496688948135497</v>
      </c>
      <c r="G855">
        <v>0.26871868003631</v>
      </c>
      <c r="H855">
        <v>0.17195631175208101</v>
      </c>
      <c r="I855">
        <v>0.16381530775992401</v>
      </c>
      <c r="J855">
        <v>0.13824988641851901</v>
      </c>
      <c r="K855">
        <v>0.117144824175191</v>
      </c>
      <c r="L855">
        <v>781.22831132282602</v>
      </c>
      <c r="M855">
        <v>15.6463373884006</v>
      </c>
      <c r="N855">
        <v>50.877770811536003</v>
      </c>
      <c r="O855">
        <v>49.1361424130004</v>
      </c>
      <c r="P855">
        <v>-6.9553329549179005E-2</v>
      </c>
      <c r="Q855">
        <v>0.12636691873740999</v>
      </c>
      <c r="R855">
        <v>0.99699313993998595</v>
      </c>
      <c r="S855" t="s">
        <v>7472</v>
      </c>
      <c r="T855" t="s">
        <v>13232</v>
      </c>
      <c r="U855" t="s">
        <v>13232</v>
      </c>
      <c r="V855" t="s">
        <v>13232</v>
      </c>
      <c r="W855" t="s">
        <v>14063</v>
      </c>
      <c r="X855">
        <v>5</v>
      </c>
      <c r="Y855" t="s">
        <v>20594</v>
      </c>
      <c r="Z855" t="s">
        <v>26986</v>
      </c>
      <c r="AA855">
        <v>0.43490820525801271</v>
      </c>
      <c r="AB855" t="str">
        <f>HYPERLINK("Melting_Curves/meltCurve_H7C5D9_LRCH4.pdf", "Melting_Curves/meltCurve_H7C5D9_LRCH4.pdf")</f>
        <v>Melting_Curves/meltCurve_H7C5D9_LRCH4.pdf</v>
      </c>
    </row>
    <row r="856" spans="1:28" x14ac:dyDescent="0.25">
      <c r="A856" t="s">
        <v>860</v>
      </c>
      <c r="B856">
        <v>0.99930955844802105</v>
      </c>
      <c r="C856">
        <v>1.03865984784858</v>
      </c>
      <c r="D856">
        <v>1.03147753913906</v>
      </c>
      <c r="E856">
        <v>0.98736734681760097</v>
      </c>
      <c r="F856">
        <v>0.99545416716463098</v>
      </c>
      <c r="G856">
        <v>0.87054623957388699</v>
      </c>
      <c r="H856">
        <v>0.52826792612197104</v>
      </c>
      <c r="I856">
        <v>0.1828768783802</v>
      </c>
      <c r="J856">
        <v>0.129832016310159</v>
      </c>
      <c r="K856">
        <v>0.104826567622282</v>
      </c>
      <c r="L856">
        <v>1974.95475715204</v>
      </c>
      <c r="M856">
        <v>32.559790080253599</v>
      </c>
      <c r="N856">
        <v>60.986525141897303</v>
      </c>
      <c r="O856">
        <v>60.428802387090201</v>
      </c>
      <c r="P856">
        <v>-0.12381536200113299</v>
      </c>
      <c r="Q856">
        <v>8.0831826281920094E-2</v>
      </c>
      <c r="R856">
        <v>0.99587568199532595</v>
      </c>
      <c r="S856" t="s">
        <v>7473</v>
      </c>
      <c r="T856" t="s">
        <v>13232</v>
      </c>
      <c r="U856" t="s">
        <v>13232</v>
      </c>
      <c r="V856" t="s">
        <v>13232</v>
      </c>
      <c r="X856">
        <v>56</v>
      </c>
      <c r="Z856" t="s">
        <v>26987</v>
      </c>
      <c r="AA856">
        <v>0.71850521182728644</v>
      </c>
      <c r="AB856" t="str">
        <f>HYPERLINK("Melting_Curves/meltCurve_H7C5E8_.pdf", "Melting_Curves/meltCurve_H7C5E8_.pdf")</f>
        <v>Melting_Curves/meltCurve_H7C5E8_.pdf</v>
      </c>
    </row>
    <row r="857" spans="1:28" x14ac:dyDescent="0.25">
      <c r="A857" t="s">
        <v>861</v>
      </c>
      <c r="B857">
        <v>0.99930955844802105</v>
      </c>
      <c r="C857">
        <v>1.0731770313345399</v>
      </c>
      <c r="D857">
        <v>1.04756603143823</v>
      </c>
      <c r="E857">
        <v>1.0577598786221001</v>
      </c>
      <c r="F857">
        <v>1.0709292556799299</v>
      </c>
      <c r="G857">
        <v>0.93238906141551803</v>
      </c>
      <c r="H857">
        <v>1.0250041947978601</v>
      </c>
      <c r="I857">
        <v>1.2419354912862799</v>
      </c>
      <c r="J857">
        <v>1.06392335269113</v>
      </c>
      <c r="K857">
        <v>0.93515192860561103</v>
      </c>
      <c r="L857">
        <v>10279.574695986001</v>
      </c>
      <c r="M857">
        <v>250</v>
      </c>
      <c r="O857">
        <v>41.115667497395101</v>
      </c>
      <c r="P857">
        <v>7.5639651243476394E-2</v>
      </c>
      <c r="Q857">
        <v>1.0497595959296799</v>
      </c>
      <c r="R857">
        <v>3.3671653760315702E-2</v>
      </c>
      <c r="S857" t="s">
        <v>7474</v>
      </c>
      <c r="T857" t="s">
        <v>13232</v>
      </c>
      <c r="U857" t="s">
        <v>13232</v>
      </c>
      <c r="V857" t="s">
        <v>13232</v>
      </c>
      <c r="W857" t="s">
        <v>14064</v>
      </c>
      <c r="X857">
        <v>2</v>
      </c>
      <c r="Y857" t="s">
        <v>20595</v>
      </c>
      <c r="Z857" t="s">
        <v>26988</v>
      </c>
      <c r="AA857">
        <v>1.047900899330513</v>
      </c>
      <c r="AB857" t="str">
        <f>HYPERLINK("Melting_Curves/meltCurve_H7C5F9_SUPT20H.pdf", "Melting_Curves/meltCurve_H7C5F9_SUPT20H.pdf")</f>
        <v>Melting_Curves/meltCurve_H7C5F9_SUPT20H.pdf</v>
      </c>
    </row>
    <row r="858" spans="1:28" x14ac:dyDescent="0.25">
      <c r="A858" t="s">
        <v>862</v>
      </c>
      <c r="B858">
        <v>0.99930955844802105</v>
      </c>
      <c r="C858">
        <v>1.0238668041799699</v>
      </c>
      <c r="D858">
        <v>1.03921516890771</v>
      </c>
      <c r="E858">
        <v>0.86709203664051104</v>
      </c>
      <c r="F858">
        <v>0.77060602181326798</v>
      </c>
      <c r="G858">
        <v>0.40784623602120401</v>
      </c>
      <c r="H858">
        <v>0.35556196071316798</v>
      </c>
      <c r="I858">
        <v>0.36475170494042602</v>
      </c>
      <c r="J858">
        <v>0.24537463711947899</v>
      </c>
      <c r="K858">
        <v>0.23051972608547899</v>
      </c>
      <c r="L858">
        <v>1217.8355640760101</v>
      </c>
      <c r="M858">
        <v>22.426262967801399</v>
      </c>
      <c r="N858">
        <v>56.223693754097603</v>
      </c>
      <c r="O858">
        <v>53.877735931367098</v>
      </c>
      <c r="P858">
        <v>-7.6226066816553598E-2</v>
      </c>
      <c r="Q858">
        <v>0.26750117576863502</v>
      </c>
      <c r="R858">
        <v>0.98278668016965198</v>
      </c>
      <c r="S858" t="s">
        <v>7475</v>
      </c>
      <c r="T858" t="s">
        <v>13232</v>
      </c>
      <c r="U858" t="s">
        <v>13232</v>
      </c>
      <c r="V858" t="s">
        <v>13232</v>
      </c>
      <c r="W858" t="s">
        <v>14065</v>
      </c>
      <c r="X858">
        <v>1</v>
      </c>
      <c r="Y858" t="s">
        <v>20596</v>
      </c>
      <c r="Z858" t="s">
        <v>26989</v>
      </c>
      <c r="AA858">
        <v>0.62496266775522757</v>
      </c>
      <c r="AB858" t="str">
        <f>HYPERLINK("Melting_Curves/meltCurve_H7C5V4_RNF217.pdf", "Melting_Curves/meltCurve_H7C5V4_RNF217.pdf")</f>
        <v>Melting_Curves/meltCurve_H7C5V4_RNF217.pdf</v>
      </c>
    </row>
    <row r="859" spans="1:28" x14ac:dyDescent="0.25">
      <c r="A859" t="s">
        <v>863</v>
      </c>
      <c r="B859">
        <v>0.99930955844802105</v>
      </c>
      <c r="C859">
        <v>1.2239569358412301</v>
      </c>
      <c r="D859">
        <v>1.14491993217595</v>
      </c>
      <c r="E859">
        <v>1.3187187967552401</v>
      </c>
      <c r="F859">
        <v>1.2447798364667999</v>
      </c>
      <c r="G859">
        <v>1.29541997442125</v>
      </c>
      <c r="H859">
        <v>1.14565561215539</v>
      </c>
      <c r="I859">
        <v>1.31895180171107</v>
      </c>
      <c r="J859">
        <v>1.2587792606588999</v>
      </c>
      <c r="K859">
        <v>0.99681101336334399</v>
      </c>
      <c r="L859">
        <v>10304.761192480801</v>
      </c>
      <c r="M859">
        <v>250</v>
      </c>
      <c r="O859">
        <v>41.216407299028198</v>
      </c>
      <c r="P859">
        <v>0.32821415954220401</v>
      </c>
      <c r="Q859">
        <v>1.2164449340005501</v>
      </c>
      <c r="R859">
        <v>0.32476214098650702</v>
      </c>
      <c r="S859" t="s">
        <v>7476</v>
      </c>
      <c r="T859" t="s">
        <v>13232</v>
      </c>
      <c r="U859" t="s">
        <v>13232</v>
      </c>
      <c r="V859" t="s">
        <v>13232</v>
      </c>
      <c r="W859" t="s">
        <v>14066</v>
      </c>
      <c r="X859">
        <v>3</v>
      </c>
      <c r="Y859" t="s">
        <v>20597</v>
      </c>
      <c r="Z859" t="s">
        <v>26990</v>
      </c>
      <c r="AA859">
        <v>1.207633528780083</v>
      </c>
      <c r="AB859" t="str">
        <f>HYPERLINK("Melting_Curves/meltCurve_H9KV61_PWWP2B.pdf", "Melting_Curves/meltCurve_H9KV61_PWWP2B.pdf")</f>
        <v>Melting_Curves/meltCurve_H9KV61_PWWP2B.pdf</v>
      </c>
    </row>
    <row r="860" spans="1:28" x14ac:dyDescent="0.25">
      <c r="A860" t="s">
        <v>864</v>
      </c>
      <c r="B860">
        <v>0.99930955844802105</v>
      </c>
      <c r="C860">
        <v>0.94745920804375106</v>
      </c>
      <c r="D860">
        <v>0.87518194770551805</v>
      </c>
      <c r="E860">
        <v>0.79197269368893897</v>
      </c>
      <c r="F860">
        <v>0.66200550732304797</v>
      </c>
      <c r="G860">
        <v>0.52085482604923805</v>
      </c>
      <c r="H860">
        <v>0.509622614532795</v>
      </c>
      <c r="I860">
        <v>0.53527710786427796</v>
      </c>
      <c r="J860">
        <v>0.49484714381060801</v>
      </c>
      <c r="K860">
        <v>0.37155005381143902</v>
      </c>
      <c r="L860">
        <v>600.43833894594297</v>
      </c>
      <c r="M860">
        <v>11.6098626203582</v>
      </c>
      <c r="N860">
        <v>61.207793506769903</v>
      </c>
      <c r="O860">
        <v>50.255003228252797</v>
      </c>
      <c r="P860">
        <v>-3.3659866267252599E-2</v>
      </c>
      <c r="Q860">
        <v>0.41735283510654603</v>
      </c>
      <c r="R860">
        <v>0.96773335328072296</v>
      </c>
      <c r="S860" t="s">
        <v>7477</v>
      </c>
      <c r="T860" t="s">
        <v>13232</v>
      </c>
      <c r="U860" t="s">
        <v>13232</v>
      </c>
      <c r="V860" t="s">
        <v>13232</v>
      </c>
      <c r="W860" t="s">
        <v>14067</v>
      </c>
      <c r="X860">
        <v>9</v>
      </c>
      <c r="Y860" t="s">
        <v>20598</v>
      </c>
      <c r="Z860" t="s">
        <v>26991</v>
      </c>
      <c r="AA860">
        <v>0.66390300469556429</v>
      </c>
      <c r="AB860" t="str">
        <f>HYPERLINK("Melting_Curves/meltCurve_H9KVB4_TNRC18.pdf", "Melting_Curves/meltCurve_H9KVB4_TNRC18.pdf")</f>
        <v>Melting_Curves/meltCurve_H9KVB4_TNRC18.pdf</v>
      </c>
    </row>
    <row r="861" spans="1:28" x14ac:dyDescent="0.25">
      <c r="A861" t="s">
        <v>865</v>
      </c>
      <c r="B861">
        <v>0.99930955844802105</v>
      </c>
      <c r="C861">
        <v>1.0044579575930499</v>
      </c>
      <c r="D861">
        <v>0.85283409665324506</v>
      </c>
      <c r="E861">
        <v>0.75122436452063601</v>
      </c>
      <c r="F861">
        <v>0.71049241392166596</v>
      </c>
      <c r="G861">
        <v>0.527386156162994</v>
      </c>
      <c r="H861">
        <v>0.37182343702212201</v>
      </c>
      <c r="I861">
        <v>0.33398424846868702</v>
      </c>
      <c r="J861">
        <v>0.352051380184906</v>
      </c>
      <c r="K861">
        <v>0.26781471805842799</v>
      </c>
      <c r="L861">
        <v>564.74228465522106</v>
      </c>
      <c r="M861">
        <v>10.3426141379786</v>
      </c>
      <c r="N861">
        <v>57.580581505827801</v>
      </c>
      <c r="O861">
        <v>52.680374784801501</v>
      </c>
      <c r="P861">
        <v>-3.8934018140915502E-2</v>
      </c>
      <c r="Q861">
        <v>0.20709324610275201</v>
      </c>
      <c r="R861">
        <v>0.98419723248310997</v>
      </c>
      <c r="S861" t="s">
        <v>7478</v>
      </c>
      <c r="T861" t="s">
        <v>13232</v>
      </c>
      <c r="U861" t="s">
        <v>13232</v>
      </c>
      <c r="V861" t="s">
        <v>13232</v>
      </c>
      <c r="W861" t="s">
        <v>14068</v>
      </c>
      <c r="X861">
        <v>3</v>
      </c>
      <c r="Y861" t="s">
        <v>20357</v>
      </c>
      <c r="Z861" t="s">
        <v>26992</v>
      </c>
      <c r="AA861">
        <v>0.6145866342163071</v>
      </c>
      <c r="AB861" t="str">
        <f>HYPERLINK("Melting_Curves/meltCurve_H9ZYI9_GABPB1.pdf", "Melting_Curves/meltCurve_H9ZYI9_GABPB1.pdf")</f>
        <v>Melting_Curves/meltCurve_H9ZYI9_GABPB1.pdf</v>
      </c>
    </row>
    <row r="862" spans="1:28" x14ac:dyDescent="0.25">
      <c r="A862" t="s">
        <v>866</v>
      </c>
      <c r="B862">
        <v>0.99930955844802105</v>
      </c>
      <c r="C862">
        <v>1.02719070876843</v>
      </c>
      <c r="D862">
        <v>1.0502065906798901</v>
      </c>
      <c r="E862">
        <v>0.99209386509993902</v>
      </c>
      <c r="F862">
        <v>0.86999349579200802</v>
      </c>
      <c r="G862">
        <v>0.78635870240281402</v>
      </c>
      <c r="H862">
        <v>0.78077145929469804</v>
      </c>
      <c r="I862">
        <v>0.85203260927729696</v>
      </c>
      <c r="J862">
        <v>0.82444938304559101</v>
      </c>
      <c r="K862">
        <v>0.66888276887471498</v>
      </c>
      <c r="L862">
        <v>3209.6277601127199</v>
      </c>
      <c r="M862">
        <v>60.9467985957913</v>
      </c>
      <c r="O862">
        <v>52.6061788115612</v>
      </c>
      <c r="P862">
        <v>-6.3126694486325102E-2</v>
      </c>
      <c r="Q862">
        <v>0.78204910453477405</v>
      </c>
      <c r="R862">
        <v>0.84221830195416703</v>
      </c>
      <c r="S862" t="s">
        <v>7479</v>
      </c>
      <c r="T862" t="s">
        <v>13232</v>
      </c>
      <c r="U862" t="s">
        <v>13232</v>
      </c>
      <c r="V862" t="s">
        <v>13232</v>
      </c>
      <c r="W862" t="s">
        <v>13476</v>
      </c>
      <c r="X862">
        <v>8</v>
      </c>
      <c r="Z862" t="s">
        <v>26993</v>
      </c>
      <c r="AA862">
        <v>0.87438469509233774</v>
      </c>
      <c r="AB862" t="str">
        <f>HYPERLINK("Melting_Curves/meltCurve_I3L097_.pdf", "Melting_Curves/meltCurve_I3L097_.pdf")</f>
        <v>Melting_Curves/meltCurve_I3L097_.pdf</v>
      </c>
    </row>
    <row r="863" spans="1:28" x14ac:dyDescent="0.25">
      <c r="A863" t="s">
        <v>867</v>
      </c>
      <c r="B863">
        <v>0.99930955844802105</v>
      </c>
      <c r="C863">
        <v>0.859175978200442</v>
      </c>
      <c r="D863">
        <v>0.84927234928198403</v>
      </c>
      <c r="E863">
        <v>0.71934405323024497</v>
      </c>
      <c r="F863">
        <v>0.37661569335870798</v>
      </c>
      <c r="G863">
        <v>0.26398703533154899</v>
      </c>
      <c r="H863">
        <v>0.18818623824310199</v>
      </c>
      <c r="I863">
        <v>0.17396328951537199</v>
      </c>
      <c r="J863">
        <v>0.17122098997619201</v>
      </c>
      <c r="K863">
        <v>0.127609372323332</v>
      </c>
      <c r="L863">
        <v>774.44340466603603</v>
      </c>
      <c r="M863">
        <v>15.1775753928762</v>
      </c>
      <c r="N863">
        <v>52.010170508806901</v>
      </c>
      <c r="O863">
        <v>50.164300393443</v>
      </c>
      <c r="P863">
        <v>-6.6200368209666197E-2</v>
      </c>
      <c r="Q863">
        <v>0.124873448451394</v>
      </c>
      <c r="R863">
        <v>0.97904712212732703</v>
      </c>
      <c r="S863" t="s">
        <v>7480</v>
      </c>
      <c r="T863" t="s">
        <v>13232</v>
      </c>
      <c r="U863" t="s">
        <v>13232</v>
      </c>
      <c r="V863" t="s">
        <v>13232</v>
      </c>
      <c r="W863" t="s">
        <v>14069</v>
      </c>
      <c r="X863">
        <v>1</v>
      </c>
      <c r="Y863" t="s">
        <v>20599</v>
      </c>
      <c r="Z863" t="s">
        <v>26994</v>
      </c>
      <c r="AA863">
        <v>0.46631053553510821</v>
      </c>
      <c r="AB863" t="str">
        <f>HYPERLINK("Melting_Curves/meltCurve_I3L100_NEURL4.pdf", "Melting_Curves/meltCurve_I3L100_NEURL4.pdf")</f>
        <v>Melting_Curves/meltCurve_I3L100_NEURL4.pdf</v>
      </c>
    </row>
    <row r="864" spans="1:28" x14ac:dyDescent="0.25">
      <c r="A864" t="s">
        <v>868</v>
      </c>
      <c r="B864">
        <v>0.99930955844802105</v>
      </c>
      <c r="C864">
        <v>1.00231505627281</v>
      </c>
      <c r="D864">
        <v>0.94969602095320504</v>
      </c>
      <c r="E864">
        <v>0.846341912389036</v>
      </c>
      <c r="F864">
        <v>0.57628281764519795</v>
      </c>
      <c r="G864">
        <v>0.28538323221850498</v>
      </c>
      <c r="H864">
        <v>0.138897088953154</v>
      </c>
      <c r="I864">
        <v>0.104022103214867</v>
      </c>
      <c r="J864">
        <v>8.2197330883233999E-2</v>
      </c>
      <c r="K864">
        <v>5.7615486630493998E-2</v>
      </c>
      <c r="L864">
        <v>1086.82949188769</v>
      </c>
      <c r="M864">
        <v>20.2524168844201</v>
      </c>
      <c r="N864">
        <v>54.017053747005903</v>
      </c>
      <c r="O864">
        <v>53.149190111043303</v>
      </c>
      <c r="P864">
        <v>-8.9362434806207799E-2</v>
      </c>
      <c r="Q864">
        <v>6.1960088767162899E-2</v>
      </c>
      <c r="R864">
        <v>0.99917360643540298</v>
      </c>
      <c r="S864" t="s">
        <v>7481</v>
      </c>
      <c r="T864" t="s">
        <v>13232</v>
      </c>
      <c r="U864" t="s">
        <v>13232</v>
      </c>
      <c r="V864" t="s">
        <v>13232</v>
      </c>
      <c r="W864" t="s">
        <v>14070</v>
      </c>
      <c r="X864">
        <v>13</v>
      </c>
      <c r="Y864" t="s">
        <v>20600</v>
      </c>
      <c r="Z864" t="s">
        <v>26995</v>
      </c>
      <c r="AA864">
        <v>0.50175995033212295</v>
      </c>
      <c r="AB864" t="str">
        <f>HYPERLINK("Melting_Curves/meltCurve_I3L1H5_DPH1.pdf", "Melting_Curves/meltCurve_I3L1H5_DPH1.pdf")</f>
        <v>Melting_Curves/meltCurve_I3L1H5_DPH1.pdf</v>
      </c>
    </row>
    <row r="865" spans="1:28" x14ac:dyDescent="0.25">
      <c r="A865" t="s">
        <v>869</v>
      </c>
      <c r="B865">
        <v>0.99930955844802105</v>
      </c>
      <c r="C865">
        <v>0.88962769585732604</v>
      </c>
      <c r="D865">
        <v>0.83647324101676501</v>
      </c>
      <c r="E865">
        <v>0.82269306411904497</v>
      </c>
      <c r="F865">
        <v>0.87611019943657298</v>
      </c>
      <c r="G865">
        <v>0.87994202757800399</v>
      </c>
      <c r="H865">
        <v>0.96983408219912404</v>
      </c>
      <c r="I865">
        <v>0.94206619875869801</v>
      </c>
      <c r="J865">
        <v>0.95330168816537697</v>
      </c>
      <c r="K865">
        <v>0.80729325282363296</v>
      </c>
      <c r="L865">
        <v>5125.0249071695598</v>
      </c>
      <c r="M865">
        <v>122.880157514841</v>
      </c>
      <c r="O865">
        <v>41.696462198457802</v>
      </c>
      <c r="P865">
        <v>-8.4013536527398402E-2</v>
      </c>
      <c r="Q865">
        <v>0.88596801181611295</v>
      </c>
      <c r="R865">
        <v>0.29478244252284902</v>
      </c>
      <c r="S865" t="s">
        <v>7482</v>
      </c>
      <c r="T865" t="s">
        <v>13232</v>
      </c>
      <c r="U865" t="s">
        <v>13232</v>
      </c>
      <c r="V865" t="s">
        <v>13232</v>
      </c>
      <c r="W865" t="s">
        <v>14071</v>
      </c>
      <c r="X865">
        <v>15</v>
      </c>
      <c r="Y865" t="s">
        <v>20601</v>
      </c>
      <c r="Z865" t="s">
        <v>26996</v>
      </c>
      <c r="AA865">
        <v>0.8924990715846467</v>
      </c>
      <c r="AB865" t="str">
        <f>HYPERLINK("Melting_Curves/meltCurve_I3L1K6_MYL4.pdf", "Melting_Curves/meltCurve_I3L1K6_MYL4.pdf")</f>
        <v>Melting_Curves/meltCurve_I3L1K6_MYL4.pdf</v>
      </c>
    </row>
    <row r="866" spans="1:28" x14ac:dyDescent="0.25">
      <c r="A866" t="s">
        <v>870</v>
      </c>
      <c r="B866">
        <v>0.99930955844802105</v>
      </c>
      <c r="C866">
        <v>0.842173182672462</v>
      </c>
      <c r="D866">
        <v>0.78335240433755204</v>
      </c>
      <c r="E866">
        <v>0.77305601956208003</v>
      </c>
      <c r="F866">
        <v>0.76481134699303299</v>
      </c>
      <c r="G866">
        <v>0.59872259145377904</v>
      </c>
      <c r="H866">
        <v>0.32577148458809202</v>
      </c>
      <c r="I866">
        <v>0.27094277725930899</v>
      </c>
      <c r="J866">
        <v>0.215711491257777</v>
      </c>
      <c r="K866">
        <v>0.136073394167114</v>
      </c>
      <c r="L866">
        <v>492.96065481825099</v>
      </c>
      <c r="M866">
        <v>8.5836385116715395</v>
      </c>
      <c r="N866">
        <v>57.430271836724401</v>
      </c>
      <c r="O866">
        <v>54.568055633383601</v>
      </c>
      <c r="P866">
        <v>-3.93595438039454E-2</v>
      </c>
      <c r="Q866">
        <v>0</v>
      </c>
      <c r="R866">
        <v>0.94762785235662905</v>
      </c>
      <c r="S866" t="s">
        <v>7483</v>
      </c>
      <c r="T866" t="s">
        <v>13232</v>
      </c>
      <c r="U866" t="s">
        <v>13232</v>
      </c>
      <c r="V866" t="s">
        <v>13232</v>
      </c>
      <c r="W866" t="s">
        <v>14072</v>
      </c>
      <c r="X866">
        <v>5</v>
      </c>
      <c r="Y866" t="s">
        <v>20602</v>
      </c>
      <c r="Z866" t="s">
        <v>26997</v>
      </c>
      <c r="AA866">
        <v>0.59131673969575371</v>
      </c>
      <c r="AB866" t="str">
        <f>HYPERLINK("Melting_Curves/meltCurve_I3L1Q3_ELP5.pdf", "Melting_Curves/meltCurve_I3L1Q3_ELP5.pdf")</f>
        <v>Melting_Curves/meltCurve_I3L1Q3_ELP5.pdf</v>
      </c>
    </row>
    <row r="867" spans="1:28" x14ac:dyDescent="0.25">
      <c r="A867" t="s">
        <v>871</v>
      </c>
      <c r="B867">
        <v>0.99930955844802105</v>
      </c>
      <c r="C867">
        <v>0.96815177982079403</v>
      </c>
      <c r="D867">
        <v>0.96900785589319505</v>
      </c>
      <c r="E867">
        <v>0.91486370666614403</v>
      </c>
      <c r="F867">
        <v>0.67481697140320096</v>
      </c>
      <c r="G867">
        <v>0.25083282409963198</v>
      </c>
      <c r="H867">
        <v>0.17344518880978799</v>
      </c>
      <c r="I867">
        <v>0.12524111937691601</v>
      </c>
      <c r="J867">
        <v>0.112786463470325</v>
      </c>
      <c r="K867">
        <v>8.2569870913084001E-2</v>
      </c>
      <c r="L867">
        <v>1535.1097823964601</v>
      </c>
      <c r="M867">
        <v>28.445449629853201</v>
      </c>
      <c r="N867">
        <v>54.433695505744701</v>
      </c>
      <c r="O867">
        <v>53.702194349129201</v>
      </c>
      <c r="P867">
        <v>-0.118088254073091</v>
      </c>
      <c r="Q867">
        <v>0.10825151287719</v>
      </c>
      <c r="R867">
        <v>0.99747648960923696</v>
      </c>
      <c r="S867" t="s">
        <v>7484</v>
      </c>
      <c r="T867" t="s">
        <v>13232</v>
      </c>
      <c r="U867" t="s">
        <v>13232</v>
      </c>
      <c r="V867" t="s">
        <v>13232</v>
      </c>
      <c r="W867" t="s">
        <v>14073</v>
      </c>
      <c r="X867">
        <v>6</v>
      </c>
      <c r="Y867" t="s">
        <v>20603</v>
      </c>
      <c r="Z867" t="s">
        <v>26998</v>
      </c>
      <c r="AA867">
        <v>0.52989821479125687</v>
      </c>
      <c r="AB867" t="str">
        <f>HYPERLINK("Melting_Curves/meltCurve_I3L232_B3GNTL1.pdf", "Melting_Curves/meltCurve_I3L232_B3GNTL1.pdf")</f>
        <v>Melting_Curves/meltCurve_I3L232_B3GNTL1.pdf</v>
      </c>
    </row>
    <row r="868" spans="1:28" x14ac:dyDescent="0.25">
      <c r="A868" t="s">
        <v>872</v>
      </c>
      <c r="B868">
        <v>0.99930955844802105</v>
      </c>
      <c r="C868">
        <v>1.1326209818458901</v>
      </c>
      <c r="D868">
        <v>1.0129289820924601</v>
      </c>
      <c r="E868">
        <v>0.75318022877874802</v>
      </c>
      <c r="F868">
        <v>0.57745557863669705</v>
      </c>
      <c r="G868">
        <v>0.58753605344868098</v>
      </c>
      <c r="H868">
        <v>0.59693622259171597</v>
      </c>
      <c r="I868">
        <v>0.47574458077839299</v>
      </c>
      <c r="J868">
        <v>0.43525452058501901</v>
      </c>
      <c r="K868">
        <v>0.395010456585215</v>
      </c>
      <c r="L868">
        <v>1520.26037461283</v>
      </c>
      <c r="M868">
        <v>30.1997878954753</v>
      </c>
      <c r="N868">
        <v>58.280105309984698</v>
      </c>
      <c r="O868">
        <v>50.120936175932499</v>
      </c>
      <c r="P868">
        <v>-7.6548204155872199E-2</v>
      </c>
      <c r="Q868">
        <v>0.49183193702157102</v>
      </c>
      <c r="R868">
        <v>0.91992446174658904</v>
      </c>
      <c r="S868" t="s">
        <v>7485</v>
      </c>
      <c r="T868" t="s">
        <v>13232</v>
      </c>
      <c r="U868" t="s">
        <v>13232</v>
      </c>
      <c r="V868" t="s">
        <v>13232</v>
      </c>
      <c r="W868" t="s">
        <v>14074</v>
      </c>
      <c r="X868">
        <v>25</v>
      </c>
      <c r="Y868" t="s">
        <v>20604</v>
      </c>
      <c r="Z868" t="s">
        <v>26999</v>
      </c>
      <c r="AA868">
        <v>0.6701008054221067</v>
      </c>
      <c r="AB868" t="str">
        <f>HYPERLINK("Melting_Curves/meltCurve_I3L2B0_CLUH.pdf", "Melting_Curves/meltCurve_I3L2B0_CLUH.pdf")</f>
        <v>Melting_Curves/meltCurve_I3L2B0_CLUH.pdf</v>
      </c>
    </row>
    <row r="869" spans="1:28" x14ac:dyDescent="0.25">
      <c r="A869" t="s">
        <v>873</v>
      </c>
      <c r="B869">
        <v>0.99930955844802105</v>
      </c>
      <c r="C869">
        <v>0.65634736169533703</v>
      </c>
      <c r="D869">
        <v>0.51234794009618301</v>
      </c>
      <c r="E869">
        <v>0.32494261623906601</v>
      </c>
      <c r="F869">
        <v>0.22715847314677901</v>
      </c>
      <c r="G869">
        <v>0.14098239032769899</v>
      </c>
      <c r="H869">
        <v>8.6684936172628499E-2</v>
      </c>
      <c r="I869">
        <v>7.8391753680571802E-2</v>
      </c>
      <c r="J869">
        <v>6.6800804044336706E-2</v>
      </c>
      <c r="K869">
        <v>5.4149649667492299E-2</v>
      </c>
      <c r="L869">
        <v>599.05653106661998</v>
      </c>
      <c r="M869">
        <v>13.0226359792112</v>
      </c>
      <c r="N869">
        <v>46.442147203719699</v>
      </c>
      <c r="O869">
        <v>44.956995751459701</v>
      </c>
      <c r="P869">
        <v>-6.8217670173037703E-2</v>
      </c>
      <c r="Q869">
        <v>5.8156171684861799E-2</v>
      </c>
      <c r="R869">
        <v>0.97587673128464503</v>
      </c>
      <c r="S869" t="s">
        <v>7486</v>
      </c>
      <c r="T869" t="s">
        <v>13232</v>
      </c>
      <c r="U869" t="s">
        <v>13232</v>
      </c>
      <c r="V869" t="s">
        <v>13232</v>
      </c>
      <c r="W869" t="s">
        <v>14075</v>
      </c>
      <c r="X869">
        <v>10</v>
      </c>
      <c r="Y869" t="s">
        <v>20605</v>
      </c>
      <c r="Z869" t="s">
        <v>27000</v>
      </c>
      <c r="AA869">
        <v>0.28321948452316392</v>
      </c>
      <c r="AB869" t="str">
        <f>HYPERLINK("Melting_Curves/meltCurve_I3L2C7_GEMIN4.pdf", "Melting_Curves/meltCurve_I3L2C7_GEMIN4.pdf")</f>
        <v>Melting_Curves/meltCurve_I3L2C7_GEMIN4.pdf</v>
      </c>
    </row>
    <row r="870" spans="1:28" x14ac:dyDescent="0.25">
      <c r="A870" t="s">
        <v>874</v>
      </c>
      <c r="B870">
        <v>0.99930955844802105</v>
      </c>
      <c r="C870">
        <v>1.03227778704629</v>
      </c>
      <c r="D870">
        <v>0.97868620699345199</v>
      </c>
      <c r="E870">
        <v>0.90074605278961695</v>
      </c>
      <c r="F870">
        <v>0.77432380751649799</v>
      </c>
      <c r="G870">
        <v>0.582564263808662</v>
      </c>
      <c r="H870">
        <v>0.56505270678307695</v>
      </c>
      <c r="I870">
        <v>0.57586021586771996</v>
      </c>
      <c r="J870">
        <v>0.6033721067026</v>
      </c>
      <c r="K870">
        <v>0.48420389458405999</v>
      </c>
      <c r="L870">
        <v>1352.43071181511</v>
      </c>
      <c r="M870">
        <v>25.651590260516802</v>
      </c>
      <c r="O870">
        <v>52.405782195675499</v>
      </c>
      <c r="P870">
        <v>-5.5285983842430601E-2</v>
      </c>
      <c r="Q870">
        <v>0.548212023052707</v>
      </c>
      <c r="R870">
        <v>0.97593577756281302</v>
      </c>
      <c r="S870" t="s">
        <v>7487</v>
      </c>
      <c r="T870" t="s">
        <v>13232</v>
      </c>
      <c r="U870" t="s">
        <v>13232</v>
      </c>
      <c r="V870" t="s">
        <v>13232</v>
      </c>
      <c r="W870" t="s">
        <v>14076</v>
      </c>
      <c r="X870">
        <v>15</v>
      </c>
      <c r="Y870" t="s">
        <v>20606</v>
      </c>
      <c r="Z870" t="s">
        <v>27001</v>
      </c>
      <c r="AA870">
        <v>0.74376963019200992</v>
      </c>
      <c r="AB870" t="str">
        <f>HYPERLINK("Melting_Curves/meltCurve_I3L2J0_CIC.pdf", "Melting_Curves/meltCurve_I3L2J0_CIC.pdf")</f>
        <v>Melting_Curves/meltCurve_I3L2J0_CIC.pdf</v>
      </c>
    </row>
    <row r="871" spans="1:28" x14ac:dyDescent="0.25">
      <c r="A871" t="s">
        <v>875</v>
      </c>
      <c r="B871">
        <v>0.99930955844802105</v>
      </c>
      <c r="C871">
        <v>1.12630416147584</v>
      </c>
      <c r="D871">
        <v>1.1407533166914701</v>
      </c>
      <c r="E871">
        <v>1.0695311979114901</v>
      </c>
      <c r="F871">
        <v>0.92822425377306494</v>
      </c>
      <c r="G871">
        <v>0.713396269763651</v>
      </c>
      <c r="H871">
        <v>0.65289997017109802</v>
      </c>
      <c r="I871">
        <v>0.64468820530922699</v>
      </c>
      <c r="J871">
        <v>0.64588016559040895</v>
      </c>
      <c r="K871">
        <v>0.54771954079210206</v>
      </c>
      <c r="L871">
        <v>2098.83776574184</v>
      </c>
      <c r="M871">
        <v>37.8954470141407</v>
      </c>
      <c r="O871">
        <v>55.231403238872701</v>
      </c>
      <c r="P871">
        <v>-6.5451580017654706E-2</v>
      </c>
      <c r="Q871">
        <v>0.618426639948643</v>
      </c>
      <c r="R871">
        <v>0.89661616956715195</v>
      </c>
      <c r="S871" t="s">
        <v>7488</v>
      </c>
      <c r="T871" t="s">
        <v>13232</v>
      </c>
      <c r="U871" t="s">
        <v>13232</v>
      </c>
      <c r="V871" t="s">
        <v>13232</v>
      </c>
      <c r="W871" t="s">
        <v>14077</v>
      </c>
      <c r="X871">
        <v>8</v>
      </c>
      <c r="Y871" t="s">
        <v>20607</v>
      </c>
      <c r="Z871" t="s">
        <v>27002</v>
      </c>
      <c r="AA871">
        <v>0.81572766344265335</v>
      </c>
      <c r="AB871" t="str">
        <f>HYPERLINK("Melting_Curves/meltCurve_I3L2L5_FAM195B.pdf", "Melting_Curves/meltCurve_I3L2L5_FAM195B.pdf")</f>
        <v>Melting_Curves/meltCurve_I3L2L5_FAM195B.pdf</v>
      </c>
    </row>
    <row r="872" spans="1:28" x14ac:dyDescent="0.25">
      <c r="A872" t="s">
        <v>876</v>
      </c>
      <c r="B872">
        <v>0.99930955844802105</v>
      </c>
      <c r="C872">
        <v>1.0682929195341599</v>
      </c>
      <c r="D872">
        <v>1.03316946605989</v>
      </c>
      <c r="E872">
        <v>0.98458471631818001</v>
      </c>
      <c r="F872">
        <v>0.53678942611828295</v>
      </c>
      <c r="G872">
        <v>0.79718154572591005</v>
      </c>
      <c r="H872">
        <v>1.0392229686191501</v>
      </c>
      <c r="I872">
        <v>1.2022767189283099</v>
      </c>
      <c r="J872">
        <v>1.2436023978415001</v>
      </c>
      <c r="K872">
        <v>0.95544535151741306</v>
      </c>
      <c r="L872">
        <v>15000</v>
      </c>
      <c r="M872">
        <v>245.022039002253</v>
      </c>
      <c r="O872">
        <v>61.2149026035734</v>
      </c>
      <c r="P872">
        <v>0.133863308522502</v>
      </c>
      <c r="Q872">
        <v>1.13377457248823</v>
      </c>
      <c r="R872">
        <v>0.146516461804995</v>
      </c>
      <c r="S872" t="s">
        <v>7489</v>
      </c>
      <c r="T872" t="s">
        <v>13232</v>
      </c>
      <c r="U872" t="s">
        <v>13232</v>
      </c>
      <c r="V872" t="s">
        <v>13232</v>
      </c>
      <c r="W872" t="s">
        <v>14078</v>
      </c>
      <c r="X872">
        <v>11</v>
      </c>
      <c r="Y872" t="s">
        <v>20608</v>
      </c>
      <c r="Z872" t="s">
        <v>27003</v>
      </c>
      <c r="AA872">
        <v>1.0391409313220059</v>
      </c>
      <c r="AB872" t="str">
        <f>HYPERLINK("Melting_Curves/meltCurve_I3L2N2_DVL2.pdf", "Melting_Curves/meltCurve_I3L2N2_DVL2.pdf")</f>
        <v>Melting_Curves/meltCurve_I3L2N2_DVL2.pdf</v>
      </c>
    </row>
    <row r="873" spans="1:28" x14ac:dyDescent="0.25">
      <c r="A873" t="s">
        <v>877</v>
      </c>
      <c r="B873">
        <v>0.99930955844802105</v>
      </c>
      <c r="C873">
        <v>0.85290667011281396</v>
      </c>
      <c r="D873">
        <v>0.65291172555677501</v>
      </c>
      <c r="E873">
        <v>0.71652232780519098</v>
      </c>
      <c r="F873">
        <v>0.450012508680047</v>
      </c>
      <c r="G873">
        <v>0.20810890038204</v>
      </c>
      <c r="H873">
        <v>0.157838476477076</v>
      </c>
      <c r="I873">
        <v>0.119920977263581</v>
      </c>
      <c r="J873">
        <v>0.11611180226101001</v>
      </c>
      <c r="K873">
        <v>6.6535412477189096E-2</v>
      </c>
      <c r="L873">
        <v>515.32573921976302</v>
      </c>
      <c r="M873">
        <v>9.9870975944472509</v>
      </c>
      <c r="N873">
        <v>51.599137285583701</v>
      </c>
      <c r="O873">
        <v>49.658315799654901</v>
      </c>
      <c r="P873">
        <v>-5.0303655893691603E-2</v>
      </c>
      <c r="Q873">
        <v>0</v>
      </c>
      <c r="R873">
        <v>0.96052194529921797</v>
      </c>
      <c r="S873" t="s">
        <v>7490</v>
      </c>
      <c r="T873" t="s">
        <v>13232</v>
      </c>
      <c r="U873" t="s">
        <v>13232</v>
      </c>
      <c r="V873" t="s">
        <v>13232</v>
      </c>
      <c r="W873" t="s">
        <v>14079</v>
      </c>
      <c r="X873">
        <v>1</v>
      </c>
      <c r="Y873" t="s">
        <v>20609</v>
      </c>
      <c r="Z873" t="s">
        <v>27004</v>
      </c>
      <c r="AA873">
        <v>0.42612566897880122</v>
      </c>
      <c r="AB873" t="str">
        <f>HYPERLINK("Melting_Curves/meltCurve_I3L3E4_CHMP6.pdf", "Melting_Curves/meltCurve_I3L3E4_CHMP6.pdf")</f>
        <v>Melting_Curves/meltCurve_I3L3E4_CHMP6.pdf</v>
      </c>
    </row>
    <row r="874" spans="1:28" x14ac:dyDescent="0.25">
      <c r="A874" t="s">
        <v>878</v>
      </c>
      <c r="B874">
        <v>0.99930955844802105</v>
      </c>
      <c r="C874">
        <v>0.39618558676774901</v>
      </c>
      <c r="D874">
        <v>0.27207202202854402</v>
      </c>
      <c r="E874">
        <v>0.25151260339849502</v>
      </c>
      <c r="F874">
        <v>0.15747425150285399</v>
      </c>
      <c r="G874">
        <v>9.1130913607323102E-2</v>
      </c>
      <c r="H874">
        <v>4.07356813993143E-2</v>
      </c>
      <c r="I874">
        <v>3.1912991710851102E-2</v>
      </c>
      <c r="J874">
        <v>2.8337769647346599E-2</v>
      </c>
      <c r="K874">
        <v>2.39522071379926E-2</v>
      </c>
      <c r="L874">
        <v>1817.5314201165399</v>
      </c>
      <c r="M874">
        <v>42.906190659535497</v>
      </c>
      <c r="N874">
        <v>42.5953228133613</v>
      </c>
      <c r="O874">
        <v>42.268878033639403</v>
      </c>
      <c r="P874">
        <v>-0.227049641017984</v>
      </c>
      <c r="Q874">
        <v>0.105292887404884</v>
      </c>
      <c r="R874">
        <v>0.91208259246685697</v>
      </c>
      <c r="S874" t="s">
        <v>7491</v>
      </c>
      <c r="T874" t="s">
        <v>13232</v>
      </c>
      <c r="U874" t="s">
        <v>13232</v>
      </c>
      <c r="V874" t="s">
        <v>13232</v>
      </c>
      <c r="W874" t="s">
        <v>14080</v>
      </c>
      <c r="X874">
        <v>5</v>
      </c>
      <c r="Y874" t="s">
        <v>20610</v>
      </c>
      <c r="Z874" t="s">
        <v>27005</v>
      </c>
      <c r="AA874">
        <v>0.1798925558927037</v>
      </c>
      <c r="AB874" t="str">
        <f>HYPERLINK("Melting_Curves/meltCurve_I3L3P7_RPS15A.pdf", "Melting_Curves/meltCurve_I3L3P7_RPS15A.pdf")</f>
        <v>Melting_Curves/meltCurve_I3L3P7_RPS15A.pdf</v>
      </c>
    </row>
    <row r="875" spans="1:28" x14ac:dyDescent="0.25">
      <c r="A875" t="s">
        <v>879</v>
      </c>
      <c r="B875">
        <v>0.99930955844802105</v>
      </c>
      <c r="C875">
        <v>1.1692730676899099</v>
      </c>
      <c r="D875">
        <v>1.1446962864808199</v>
      </c>
      <c r="E875">
        <v>1.01874315886217</v>
      </c>
      <c r="F875">
        <v>0.87786711798060102</v>
      </c>
      <c r="G875">
        <v>0.77989082016741995</v>
      </c>
      <c r="H875">
        <v>0.81164863019760103</v>
      </c>
      <c r="I875">
        <v>0.93257807223620903</v>
      </c>
      <c r="J875">
        <v>0.92568570770447001</v>
      </c>
      <c r="K875">
        <v>0.85237511535815103</v>
      </c>
      <c r="L875">
        <v>13146.819531450899</v>
      </c>
      <c r="M875">
        <v>250</v>
      </c>
      <c r="O875">
        <v>52.583913208413897</v>
      </c>
      <c r="P875">
        <v>-0.16588295553336399</v>
      </c>
      <c r="Q875">
        <v>0.86043560202744396</v>
      </c>
      <c r="R875">
        <v>0.56427946111558103</v>
      </c>
      <c r="S875" t="s">
        <v>7492</v>
      </c>
      <c r="T875" t="s">
        <v>13232</v>
      </c>
      <c r="U875" t="s">
        <v>13232</v>
      </c>
      <c r="V875" t="s">
        <v>13232</v>
      </c>
      <c r="W875" t="s">
        <v>14081</v>
      </c>
      <c r="X875">
        <v>1</v>
      </c>
      <c r="Y875" t="s">
        <v>20611</v>
      </c>
      <c r="Z875" t="s">
        <v>27006</v>
      </c>
      <c r="AA875">
        <v>0.91900634553014704</v>
      </c>
      <c r="AB875" t="str">
        <f>HYPERLINK("Melting_Curves/meltCurve_I3L3S0_TRAPPC1.pdf", "Melting_Curves/meltCurve_I3L3S0_TRAPPC1.pdf")</f>
        <v>Melting_Curves/meltCurve_I3L3S0_TRAPPC1.pdf</v>
      </c>
    </row>
    <row r="876" spans="1:28" x14ac:dyDescent="0.25">
      <c r="A876" t="s">
        <v>880</v>
      </c>
      <c r="B876">
        <v>0.99930955844802105</v>
      </c>
      <c r="C876">
        <v>1.0412781020041999</v>
      </c>
      <c r="D876">
        <v>0.94656197637638495</v>
      </c>
      <c r="E876">
        <v>0.90111395071009304</v>
      </c>
      <c r="F876">
        <v>0.74366205042025002</v>
      </c>
      <c r="G876">
        <v>0.567154778195882</v>
      </c>
      <c r="H876">
        <v>0.43141505000462599</v>
      </c>
      <c r="I876">
        <v>0.39466806739046001</v>
      </c>
      <c r="J876">
        <v>0.26943383915909802</v>
      </c>
      <c r="K876">
        <v>0.20016738144735699</v>
      </c>
      <c r="L876">
        <v>654.34446659999605</v>
      </c>
      <c r="M876">
        <v>11.3277938364793</v>
      </c>
      <c r="N876">
        <v>59.2120314479629</v>
      </c>
      <c r="O876">
        <v>56.052153461745696</v>
      </c>
      <c r="P876">
        <v>-4.4426343981439402E-2</v>
      </c>
      <c r="Q876">
        <v>0.12094380732796101</v>
      </c>
      <c r="R876">
        <v>0.98956947608843904</v>
      </c>
      <c r="S876" t="s">
        <v>7493</v>
      </c>
      <c r="T876" t="s">
        <v>13232</v>
      </c>
      <c r="U876" t="s">
        <v>13232</v>
      </c>
      <c r="V876" t="s">
        <v>13232</v>
      </c>
      <c r="W876" t="s">
        <v>14082</v>
      </c>
      <c r="X876">
        <v>6</v>
      </c>
      <c r="Y876" t="s">
        <v>20612</v>
      </c>
      <c r="Z876" t="s">
        <v>27007</v>
      </c>
      <c r="AA876">
        <v>0.65308499047591162</v>
      </c>
      <c r="AB876" t="str">
        <f>HYPERLINK("Melting_Curves/meltCurve_I3L413_CCNE1.pdf", "Melting_Curves/meltCurve_I3L413_CCNE1.pdf")</f>
        <v>Melting_Curves/meltCurve_I3L413_CCNE1.pdf</v>
      </c>
    </row>
    <row r="877" spans="1:28" x14ac:dyDescent="0.25">
      <c r="A877" t="s">
        <v>881</v>
      </c>
      <c r="B877">
        <v>0.99930955844802105</v>
      </c>
      <c r="C877">
        <v>0.90845534089355995</v>
      </c>
      <c r="D877">
        <v>0.83712466417899101</v>
      </c>
      <c r="E877">
        <v>0.82300994726547505</v>
      </c>
      <c r="F877">
        <v>0.41648973953019602</v>
      </c>
      <c r="G877">
        <v>0.23022420582501399</v>
      </c>
      <c r="H877">
        <v>0.142099959343813</v>
      </c>
      <c r="I877">
        <v>0.12209752525241099</v>
      </c>
      <c r="J877">
        <v>0.108627673066615</v>
      </c>
      <c r="K877">
        <v>9.2463092660652099E-2</v>
      </c>
      <c r="L877">
        <v>1015.34365566312</v>
      </c>
      <c r="M877">
        <v>19.481522928369799</v>
      </c>
      <c r="N877">
        <v>52.653883160371997</v>
      </c>
      <c r="O877">
        <v>51.578453889427301</v>
      </c>
      <c r="P877">
        <v>-8.5942474944320099E-2</v>
      </c>
      <c r="Q877">
        <v>8.9882258079353697E-2</v>
      </c>
      <c r="R877">
        <v>0.97741035373192198</v>
      </c>
      <c r="S877" t="s">
        <v>7494</v>
      </c>
      <c r="T877" t="s">
        <v>13232</v>
      </c>
      <c r="U877" t="s">
        <v>13232</v>
      </c>
      <c r="V877" t="s">
        <v>13232</v>
      </c>
      <c r="W877" t="s">
        <v>14083</v>
      </c>
      <c r="X877">
        <v>6</v>
      </c>
      <c r="Y877" t="s">
        <v>20613</v>
      </c>
      <c r="Z877" t="s">
        <v>27008</v>
      </c>
      <c r="AA877">
        <v>0.47070610195622659</v>
      </c>
      <c r="AB877" t="str">
        <f>HYPERLINK("Melting_Curves/meltCurve_I3L430_HMOX2.pdf", "Melting_Curves/meltCurve_I3L430_HMOX2.pdf")</f>
        <v>Melting_Curves/meltCurve_I3L430_HMOX2.pdf</v>
      </c>
    </row>
    <row r="878" spans="1:28" x14ac:dyDescent="0.25">
      <c r="A878" t="s">
        <v>882</v>
      </c>
      <c r="B878">
        <v>0.99930955844802105</v>
      </c>
      <c r="C878">
        <v>1.0852553174637001</v>
      </c>
      <c r="D878">
        <v>1.1135715647298701</v>
      </c>
      <c r="E878">
        <v>1.0920491046029399</v>
      </c>
      <c r="F878">
        <v>0.95305385048123303</v>
      </c>
      <c r="G878">
        <v>0.87736754566060104</v>
      </c>
      <c r="H878">
        <v>0.849010197547309</v>
      </c>
      <c r="I878">
        <v>0.87692951245982098</v>
      </c>
      <c r="J878">
        <v>0.86547130135933104</v>
      </c>
      <c r="K878">
        <v>0.718666314003641</v>
      </c>
      <c r="L878">
        <v>784.99720553294196</v>
      </c>
      <c r="M878">
        <v>12.5607025218864</v>
      </c>
      <c r="O878">
        <v>60.9756443852988</v>
      </c>
      <c r="P878">
        <v>-1.45989760785479E-2</v>
      </c>
      <c r="Q878">
        <v>0.71657558156721501</v>
      </c>
      <c r="R878">
        <v>0.69542667453941798</v>
      </c>
      <c r="S878" t="s">
        <v>7495</v>
      </c>
      <c r="T878" t="s">
        <v>13232</v>
      </c>
      <c r="U878" t="s">
        <v>13232</v>
      </c>
      <c r="V878" t="s">
        <v>13232</v>
      </c>
      <c r="W878" t="s">
        <v>14084</v>
      </c>
      <c r="X878">
        <v>19</v>
      </c>
      <c r="Y878" t="s">
        <v>20614</v>
      </c>
      <c r="Z878" t="s">
        <v>27009</v>
      </c>
      <c r="AA878">
        <v>0.92539741561918376</v>
      </c>
      <c r="AB878" t="str">
        <f>HYPERLINK("Melting_Curves/meltCurve_I3L4C3_SPAG7.pdf", "Melting_Curves/meltCurve_I3L4C3_SPAG7.pdf")</f>
        <v>Melting_Curves/meltCurve_I3L4C3_SPAG7.pdf</v>
      </c>
    </row>
    <row r="879" spans="1:28" x14ac:dyDescent="0.25">
      <c r="A879" t="s">
        <v>883</v>
      </c>
      <c r="B879">
        <v>0.99930955844802105</v>
      </c>
      <c r="C879">
        <v>0.98884565741457098</v>
      </c>
      <c r="D879">
        <v>0.89480992032466</v>
      </c>
      <c r="E879">
        <v>0.74170871547005301</v>
      </c>
      <c r="F879">
        <v>0.469677938756002</v>
      </c>
      <c r="G879">
        <v>0.18521761796083699</v>
      </c>
      <c r="H879">
        <v>0.11441080198223</v>
      </c>
      <c r="I879">
        <v>0.10601909477853801</v>
      </c>
      <c r="J879">
        <v>0.114270797937242</v>
      </c>
      <c r="K879">
        <v>8.3517878609846496E-2</v>
      </c>
      <c r="L879">
        <v>1080.8340102346999</v>
      </c>
      <c r="M879">
        <v>20.763178066752701</v>
      </c>
      <c r="N879">
        <v>52.5117247994461</v>
      </c>
      <c r="O879">
        <v>51.579675392062398</v>
      </c>
      <c r="P879">
        <v>-9.2330842011860606E-2</v>
      </c>
      <c r="Q879">
        <v>8.2556404780290193E-2</v>
      </c>
      <c r="R879">
        <v>0.99702483354801696</v>
      </c>
      <c r="S879" t="s">
        <v>7496</v>
      </c>
      <c r="T879" t="s">
        <v>13232</v>
      </c>
      <c r="U879" t="s">
        <v>13232</v>
      </c>
      <c r="V879" t="s">
        <v>13232</v>
      </c>
      <c r="W879" t="s">
        <v>14085</v>
      </c>
      <c r="X879">
        <v>7</v>
      </c>
      <c r="Y879" t="s">
        <v>20615</v>
      </c>
      <c r="Z879" t="s">
        <v>27010</v>
      </c>
      <c r="AA879">
        <v>0.46309098189064168</v>
      </c>
      <c r="AB879" t="str">
        <f>HYPERLINK("Melting_Curves/meltCurve_I3L4X3_NFKBIB.pdf", "Melting_Curves/meltCurve_I3L4X3_NFKBIB.pdf")</f>
        <v>Melting_Curves/meltCurve_I3L4X3_NFKBIB.pdf</v>
      </c>
    </row>
    <row r="880" spans="1:28" x14ac:dyDescent="0.25">
      <c r="A880" t="s">
        <v>884</v>
      </c>
      <c r="B880">
        <v>0.99930955844802105</v>
      </c>
      <c r="C880">
        <v>0.97837698662440198</v>
      </c>
      <c r="D880">
        <v>1.0038442573764099</v>
      </c>
      <c r="E880">
        <v>0.930496443623544</v>
      </c>
      <c r="F880">
        <v>0.79007645263935999</v>
      </c>
      <c r="G880">
        <v>0.644195846994985</v>
      </c>
      <c r="H880">
        <v>0.56533470421601195</v>
      </c>
      <c r="I880">
        <v>0.53413577824791403</v>
      </c>
      <c r="J880">
        <v>0.46273576997925397</v>
      </c>
      <c r="K880">
        <v>0.35548985514040399</v>
      </c>
      <c r="L880">
        <v>655.13407829901303</v>
      </c>
      <c r="M880">
        <v>11.373350968310101</v>
      </c>
      <c r="N880">
        <v>63.4160208489251</v>
      </c>
      <c r="O880">
        <v>55.907970106383502</v>
      </c>
      <c r="P880">
        <v>-3.4403347163758202E-2</v>
      </c>
      <c r="Q880">
        <v>0.323734458300036</v>
      </c>
      <c r="R880">
        <v>0.98143818992714404</v>
      </c>
      <c r="S880" t="s">
        <v>7497</v>
      </c>
      <c r="T880" t="s">
        <v>13232</v>
      </c>
      <c r="U880" t="s">
        <v>13232</v>
      </c>
      <c r="V880" t="s">
        <v>13232</v>
      </c>
      <c r="W880" t="s">
        <v>14086</v>
      </c>
      <c r="X880">
        <v>4</v>
      </c>
      <c r="Y880" t="s">
        <v>20616</v>
      </c>
      <c r="Z880" t="s">
        <v>27011</v>
      </c>
      <c r="AA880">
        <v>0.73001186549677544</v>
      </c>
      <c r="AB880" t="str">
        <f>HYPERLINK("Melting_Curves/meltCurve_I3L505_NDUFAB1.pdf", "Melting_Curves/meltCurve_I3L505_NDUFAB1.pdf")</f>
        <v>Melting_Curves/meltCurve_I3L505_NDUFAB1.pdf</v>
      </c>
    </row>
    <row r="881" spans="1:28" x14ac:dyDescent="0.25">
      <c r="A881" t="s">
        <v>885</v>
      </c>
      <c r="B881">
        <v>0.99930955844802105</v>
      </c>
      <c r="C881">
        <v>0.90660084314976397</v>
      </c>
      <c r="D881">
        <v>0.82917453897943905</v>
      </c>
      <c r="E881">
        <v>0.78883809599461296</v>
      </c>
      <c r="F881">
        <v>0.50537577661488697</v>
      </c>
      <c r="G881">
        <v>0.302394003357422</v>
      </c>
      <c r="H881">
        <v>0.191178098826669</v>
      </c>
      <c r="I881">
        <v>0.12455513098858199</v>
      </c>
      <c r="J881">
        <v>9.5791334394368002E-2</v>
      </c>
      <c r="K881">
        <v>6.4626602613626002E-2</v>
      </c>
      <c r="L881">
        <v>655.90709576924405</v>
      </c>
      <c r="M881">
        <v>12.269763343597401</v>
      </c>
      <c r="N881">
        <v>53.551488278674299</v>
      </c>
      <c r="O881">
        <v>52.096701415876197</v>
      </c>
      <c r="P881">
        <v>-5.8263390379105502E-2</v>
      </c>
      <c r="Q881">
        <v>1.06869346145774E-2</v>
      </c>
      <c r="R881">
        <v>0.988838907311688</v>
      </c>
      <c r="S881" t="s">
        <v>7498</v>
      </c>
      <c r="T881" t="s">
        <v>13232</v>
      </c>
      <c r="U881" t="s">
        <v>13232</v>
      </c>
      <c r="V881" t="s">
        <v>13232</v>
      </c>
      <c r="W881" t="s">
        <v>14087</v>
      </c>
      <c r="X881">
        <v>3</v>
      </c>
      <c r="Y881" t="s">
        <v>20617</v>
      </c>
      <c r="Z881" t="s">
        <v>27012</v>
      </c>
      <c r="AA881">
        <v>0.48097694139324237</v>
      </c>
      <c r="AB881" t="str">
        <f>HYPERLINK("Melting_Curves/meltCurve_I3NI44_TOM1L1.pdf", "Melting_Curves/meltCurve_I3NI44_TOM1L1.pdf")</f>
        <v>Melting_Curves/meltCurve_I3NI44_TOM1L1.pdf</v>
      </c>
    </row>
    <row r="882" spans="1:28" x14ac:dyDescent="0.25">
      <c r="A882" t="s">
        <v>886</v>
      </c>
      <c r="B882">
        <v>0.99930955844802105</v>
      </c>
      <c r="C882">
        <v>1.04259496751461</v>
      </c>
      <c r="D882">
        <v>1.0110609819882099</v>
      </c>
      <c r="E882">
        <v>0.94757730878103197</v>
      </c>
      <c r="F882">
        <v>0.91577558540724202</v>
      </c>
      <c r="G882">
        <v>0.75266769391648303</v>
      </c>
      <c r="H882">
        <v>0.636109971344749</v>
      </c>
      <c r="I882">
        <v>0.55586230686295202</v>
      </c>
      <c r="J882">
        <v>0.43169366158630901</v>
      </c>
      <c r="K882">
        <v>0.32066383768773199</v>
      </c>
      <c r="L882">
        <v>648.88260448085202</v>
      </c>
      <c r="M882">
        <v>10.131281701071099</v>
      </c>
      <c r="N882">
        <v>64.779527544846104</v>
      </c>
      <c r="O882">
        <v>61.702373981304298</v>
      </c>
      <c r="P882">
        <v>-3.8846470887004297E-2</v>
      </c>
      <c r="Q882">
        <v>5.4093578433366998E-2</v>
      </c>
      <c r="R882">
        <v>0.99030625801226901</v>
      </c>
      <c r="S882" t="s">
        <v>7499</v>
      </c>
      <c r="T882" t="s">
        <v>13232</v>
      </c>
      <c r="U882" t="s">
        <v>13232</v>
      </c>
      <c r="V882" t="s">
        <v>13232</v>
      </c>
      <c r="W882" t="s">
        <v>14088</v>
      </c>
      <c r="X882">
        <v>16</v>
      </c>
      <c r="Y882" t="s">
        <v>20618</v>
      </c>
      <c r="Z882" t="s">
        <v>27013</v>
      </c>
      <c r="AA882">
        <v>0.77277609897326849</v>
      </c>
      <c r="AB882" t="str">
        <f>HYPERLINK("Melting_Curves/meltCurve_I6L894_ANK2.pdf", "Melting_Curves/meltCurve_I6L894_ANK2.pdf")</f>
        <v>Melting_Curves/meltCurve_I6L894_ANK2.pdf</v>
      </c>
    </row>
    <row r="883" spans="1:28" x14ac:dyDescent="0.25">
      <c r="A883" t="s">
        <v>887</v>
      </c>
      <c r="B883">
        <v>0.99930955844802105</v>
      </c>
      <c r="C883">
        <v>1.09182140467794</v>
      </c>
      <c r="D883">
        <v>1.06713653578393</v>
      </c>
      <c r="E883">
        <v>1.0056493577827601</v>
      </c>
      <c r="F883">
        <v>0.86596600941333801</v>
      </c>
      <c r="G883">
        <v>0.75283046876387905</v>
      </c>
      <c r="H883">
        <v>0.69690520205413797</v>
      </c>
      <c r="I883">
        <v>0.61827391914717</v>
      </c>
      <c r="J883">
        <v>0.43048513981514902</v>
      </c>
      <c r="K883">
        <v>0.23517085618164699</v>
      </c>
      <c r="L883">
        <v>731.09959084309799</v>
      </c>
      <c r="M883">
        <v>11.257089266339699</v>
      </c>
      <c r="N883">
        <v>64.945683998138904</v>
      </c>
      <c r="O883">
        <v>62.997392931948703</v>
      </c>
      <c r="P883">
        <v>-4.4686625345370601E-2</v>
      </c>
      <c r="Q883">
        <v>0</v>
      </c>
      <c r="R883">
        <v>0.94914879634272697</v>
      </c>
      <c r="S883" t="s">
        <v>7500</v>
      </c>
      <c r="T883" t="s">
        <v>13232</v>
      </c>
      <c r="U883" t="s">
        <v>13232</v>
      </c>
      <c r="V883" t="s">
        <v>13232</v>
      </c>
      <c r="W883" t="s">
        <v>14089</v>
      </c>
      <c r="X883">
        <v>6</v>
      </c>
      <c r="Y883" t="s">
        <v>20619</v>
      </c>
      <c r="Z883" t="s">
        <v>27014</v>
      </c>
      <c r="AA883">
        <v>0.7874807334395203</v>
      </c>
      <c r="AB883" t="str">
        <f>HYPERLINK("Melting_Curves/meltCurve_J3KMY5_NPC2.pdf", "Melting_Curves/meltCurve_J3KMY5_NPC2.pdf")</f>
        <v>Melting_Curves/meltCurve_J3KMY5_NPC2.pdf</v>
      </c>
    </row>
    <row r="884" spans="1:28" x14ac:dyDescent="0.25">
      <c r="A884" t="s">
        <v>888</v>
      </c>
      <c r="B884">
        <v>0.99930955844802105</v>
      </c>
      <c r="C884">
        <v>0.56329959953775699</v>
      </c>
      <c r="D884">
        <v>0.52157565242105697</v>
      </c>
      <c r="E884">
        <v>0.40607831949828099</v>
      </c>
      <c r="F884">
        <v>0.161160439069611</v>
      </c>
      <c r="G884">
        <v>9.7578653539861102E-2</v>
      </c>
      <c r="H884">
        <v>5.3663598661262198E-2</v>
      </c>
      <c r="I884">
        <v>3.11272243646456E-2</v>
      </c>
      <c r="J884">
        <v>2.88967061399244E-2</v>
      </c>
      <c r="K884">
        <v>2.13676138947929E-2</v>
      </c>
      <c r="L884">
        <v>520.79478152365596</v>
      </c>
      <c r="M884">
        <v>11.232342345788901</v>
      </c>
      <c r="N884">
        <v>46.365648786102099</v>
      </c>
      <c r="O884">
        <v>44.968907221031699</v>
      </c>
      <c r="P884">
        <v>-6.2464516716733802E-2</v>
      </c>
      <c r="Q884">
        <v>0</v>
      </c>
      <c r="R884">
        <v>0.94365907989304798</v>
      </c>
      <c r="S884" t="s">
        <v>7501</v>
      </c>
      <c r="T884" t="s">
        <v>13232</v>
      </c>
      <c r="U884" t="s">
        <v>13232</v>
      </c>
      <c r="V884" t="s">
        <v>13232</v>
      </c>
      <c r="W884" t="s">
        <v>14090</v>
      </c>
      <c r="X884">
        <v>7</v>
      </c>
      <c r="Y884" t="s">
        <v>20620</v>
      </c>
      <c r="Z884" t="s">
        <v>27015</v>
      </c>
      <c r="AA884">
        <v>0.26193216647188672</v>
      </c>
      <c r="AB884" t="str">
        <f>HYPERLINK("Melting_Curves/meltCurve_J3KMZ7_INTS2.pdf", "Melting_Curves/meltCurve_J3KMZ7_INTS2.pdf")</f>
        <v>Melting_Curves/meltCurve_J3KMZ7_INTS2.pdf</v>
      </c>
    </row>
    <row r="885" spans="1:28" x14ac:dyDescent="0.25">
      <c r="A885" t="s">
        <v>889</v>
      </c>
      <c r="B885">
        <v>0.99930955844802105</v>
      </c>
      <c r="C885">
        <v>1.0661093245794</v>
      </c>
      <c r="D885">
        <v>1.05004144223025</v>
      </c>
      <c r="E885">
        <v>0.93967504241529598</v>
      </c>
      <c r="F885">
        <v>0.67294819720643295</v>
      </c>
      <c r="G885">
        <v>0.56486999168102403</v>
      </c>
      <c r="H885">
        <v>0.53384853185699099</v>
      </c>
      <c r="I885">
        <v>0.573121384195315</v>
      </c>
      <c r="J885">
        <v>0.54126287807253304</v>
      </c>
      <c r="K885">
        <v>0.45112881258387699</v>
      </c>
      <c r="L885">
        <v>2349.8138933804498</v>
      </c>
      <c r="M885">
        <v>45.123468984497798</v>
      </c>
      <c r="O885">
        <v>51.973220909870399</v>
      </c>
      <c r="P885">
        <v>-0.101963622087967</v>
      </c>
      <c r="Q885">
        <v>0.53023357960346396</v>
      </c>
      <c r="R885">
        <v>0.97047904100221505</v>
      </c>
      <c r="S885" t="s">
        <v>7502</v>
      </c>
      <c r="T885" t="s">
        <v>13232</v>
      </c>
      <c r="U885" t="s">
        <v>13232</v>
      </c>
      <c r="V885" t="s">
        <v>13232</v>
      </c>
      <c r="W885" t="s">
        <v>14091</v>
      </c>
      <c r="X885">
        <v>76</v>
      </c>
      <c r="Y885" t="s">
        <v>20621</v>
      </c>
      <c r="Z885" t="s">
        <v>27016</v>
      </c>
      <c r="AA885">
        <v>0.72064407763017135</v>
      </c>
      <c r="AB885" t="str">
        <f>HYPERLINK("Melting_Curves/meltCurve_J3KN01_MLLT4.pdf", "Melting_Curves/meltCurve_J3KN01_MLLT4.pdf")</f>
        <v>Melting_Curves/meltCurve_J3KN01_MLLT4.pdf</v>
      </c>
    </row>
    <row r="886" spans="1:28" x14ac:dyDescent="0.25">
      <c r="A886" t="s">
        <v>890</v>
      </c>
      <c r="B886">
        <v>0.99930955844802105</v>
      </c>
      <c r="C886">
        <v>0.79451187011331603</v>
      </c>
      <c r="D886">
        <v>0.76279900250376398</v>
      </c>
      <c r="E886">
        <v>0.66424667769079604</v>
      </c>
      <c r="F886">
        <v>0.44992940626565098</v>
      </c>
      <c r="G886">
        <v>0.23942631513559101</v>
      </c>
      <c r="H886">
        <v>0.104474212777398</v>
      </c>
      <c r="I886">
        <v>8.6294628796631995E-2</v>
      </c>
      <c r="J886">
        <v>7.7206943555645002E-2</v>
      </c>
      <c r="K886">
        <v>5.8721804752441598E-2</v>
      </c>
      <c r="L886">
        <v>567.19226067074203</v>
      </c>
      <c r="M886">
        <v>10.9961982096083</v>
      </c>
      <c r="N886">
        <v>51.5807446752844</v>
      </c>
      <c r="O886">
        <v>49.962913079881901</v>
      </c>
      <c r="P886">
        <v>-5.5040391202240198E-2</v>
      </c>
      <c r="Q886">
        <v>0</v>
      </c>
      <c r="R886">
        <v>0.97900936495500701</v>
      </c>
      <c r="S886" t="s">
        <v>7503</v>
      </c>
      <c r="T886" t="s">
        <v>13232</v>
      </c>
      <c r="U886" t="s">
        <v>13232</v>
      </c>
      <c r="V886" t="s">
        <v>13232</v>
      </c>
      <c r="W886" t="s">
        <v>14092</v>
      </c>
      <c r="X886">
        <v>6</v>
      </c>
      <c r="Y886" t="s">
        <v>20622</v>
      </c>
      <c r="Z886" t="s">
        <v>27017</v>
      </c>
      <c r="AA886">
        <v>0.42126345739456938</v>
      </c>
      <c r="AB886" t="str">
        <f>HYPERLINK("Melting_Curves/meltCurve_J3KN25_GALC.pdf", "Melting_Curves/meltCurve_J3KN25_GALC.pdf")</f>
        <v>Melting_Curves/meltCurve_J3KN25_GALC.pdf</v>
      </c>
    </row>
    <row r="887" spans="1:28" x14ac:dyDescent="0.25">
      <c r="A887" t="s">
        <v>891</v>
      </c>
      <c r="B887">
        <v>0.99930955844802105</v>
      </c>
      <c r="C887">
        <v>1.07676957920113</v>
      </c>
      <c r="D887">
        <v>1.07327567645364</v>
      </c>
      <c r="E887">
        <v>1.01905862737468</v>
      </c>
      <c r="F887">
        <v>1.0720418303472601</v>
      </c>
      <c r="G887">
        <v>1.0568865691449401</v>
      </c>
      <c r="H887">
        <v>1.0713759119981201</v>
      </c>
      <c r="I887">
        <v>1.1715770437423501</v>
      </c>
      <c r="J887">
        <v>1.18671129537092</v>
      </c>
      <c r="K887">
        <v>0.97524955758918896</v>
      </c>
      <c r="L887">
        <v>308.00782492149301</v>
      </c>
      <c r="M887">
        <v>6.6506922947020799</v>
      </c>
      <c r="O887">
        <v>42.662710291609201</v>
      </c>
      <c r="P887">
        <v>4.1021261926652E-3</v>
      </c>
      <c r="Q887">
        <v>1.10502219081275</v>
      </c>
      <c r="R887">
        <v>0.132353063126943</v>
      </c>
      <c r="S887" t="s">
        <v>7504</v>
      </c>
      <c r="T887" t="s">
        <v>13232</v>
      </c>
      <c r="U887" t="s">
        <v>13232</v>
      </c>
      <c r="V887" t="s">
        <v>13232</v>
      </c>
      <c r="W887" t="s">
        <v>14093</v>
      </c>
      <c r="X887">
        <v>4</v>
      </c>
      <c r="Y887" t="s">
        <v>20623</v>
      </c>
      <c r="Z887" t="s">
        <v>27018</v>
      </c>
      <c r="AA887">
        <v>1.0717553721846009</v>
      </c>
      <c r="AB887" t="str">
        <f>HYPERLINK("Melting_Curves/meltCurve_J3KN27_FBRSL1.pdf", "Melting_Curves/meltCurve_J3KN27_FBRSL1.pdf")</f>
        <v>Melting_Curves/meltCurve_J3KN27_FBRSL1.pdf</v>
      </c>
    </row>
    <row r="888" spans="1:28" x14ac:dyDescent="0.25">
      <c r="A888" t="s">
        <v>892</v>
      </c>
      <c r="B888">
        <v>0.99930955844802105</v>
      </c>
      <c r="C888">
        <v>0.89367735474606003</v>
      </c>
      <c r="D888">
        <v>0.69064863652381603</v>
      </c>
      <c r="E888">
        <v>0.65527695870397695</v>
      </c>
      <c r="F888">
        <v>0.90508425251080205</v>
      </c>
      <c r="G888">
        <v>0.91073882190533495</v>
      </c>
      <c r="H888">
        <v>1.00376287988138</v>
      </c>
      <c r="I888">
        <v>1.0449066011852901</v>
      </c>
      <c r="J888">
        <v>1.0245807720676701</v>
      </c>
      <c r="K888">
        <v>0.79139385742618795</v>
      </c>
      <c r="L888">
        <v>1.0000000000000001E-5</v>
      </c>
      <c r="M888">
        <v>1.0000000000000001E-5</v>
      </c>
      <c r="Q888">
        <v>0.783876999301374</v>
      </c>
      <c r="R888">
        <v>-6.5243646041324196E-9</v>
      </c>
      <c r="S888" t="s">
        <v>7505</v>
      </c>
      <c r="T888" t="s">
        <v>13232</v>
      </c>
      <c r="U888" t="s">
        <v>13232</v>
      </c>
      <c r="V888" t="s">
        <v>13232</v>
      </c>
      <c r="W888" t="s">
        <v>14094</v>
      </c>
      <c r="X888">
        <v>11</v>
      </c>
      <c r="Y888" t="s">
        <v>20624</v>
      </c>
      <c r="Z888" t="s">
        <v>27019</v>
      </c>
      <c r="AA888">
        <v>0.89193796942200543</v>
      </c>
      <c r="AB888" t="str">
        <f>HYPERLINK("Melting_Curves/meltCurve_J3KN29_PSMD9.pdf", "Melting_Curves/meltCurve_J3KN29_PSMD9.pdf")</f>
        <v>Melting_Curves/meltCurve_J3KN29_PSMD9.pdf</v>
      </c>
    </row>
    <row r="889" spans="1:28" x14ac:dyDescent="0.25">
      <c r="A889" t="s">
        <v>893</v>
      </c>
      <c r="B889">
        <v>0.99930955844802105</v>
      </c>
      <c r="C889">
        <v>1.2927258916478599</v>
      </c>
      <c r="D889">
        <v>1.3273402887849699</v>
      </c>
      <c r="E889">
        <v>1.25022432113051</v>
      </c>
      <c r="F889">
        <v>0.701276746744535</v>
      </c>
      <c r="G889">
        <v>0.41983466069838898</v>
      </c>
      <c r="H889">
        <v>0.29165395726295201</v>
      </c>
      <c r="I889">
        <v>0.24782811963409701</v>
      </c>
      <c r="J889">
        <v>0.24145959364727701</v>
      </c>
      <c r="K889">
        <v>0.20937205475184001</v>
      </c>
      <c r="L889">
        <v>2183.0043291110201</v>
      </c>
      <c r="M889">
        <v>40.2951793433189</v>
      </c>
      <c r="N889">
        <v>55.166121053853402</v>
      </c>
      <c r="O889">
        <v>54.042406389357403</v>
      </c>
      <c r="P889">
        <v>-0.13840108509569601</v>
      </c>
      <c r="Q889">
        <v>0.25752779648350599</v>
      </c>
      <c r="R889">
        <v>0.86034731007598497</v>
      </c>
      <c r="S889" t="s">
        <v>7506</v>
      </c>
      <c r="T889" t="s">
        <v>13232</v>
      </c>
      <c r="U889" t="s">
        <v>13232</v>
      </c>
      <c r="V889" t="s">
        <v>13232</v>
      </c>
      <c r="W889" t="s">
        <v>14095</v>
      </c>
      <c r="X889">
        <v>4</v>
      </c>
      <c r="Y889" t="s">
        <v>20625</v>
      </c>
      <c r="Z889" t="s">
        <v>27020</v>
      </c>
      <c r="AA889">
        <v>0.61108754151501565</v>
      </c>
      <c r="AB889" t="str">
        <f>HYPERLINK("Melting_Curves/meltCurve_J3KN33_CNTLN.pdf", "Melting_Curves/meltCurve_J3KN33_CNTLN.pdf")</f>
        <v>Melting_Curves/meltCurve_J3KN33_CNTLN.pdf</v>
      </c>
    </row>
    <row r="890" spans="1:28" x14ac:dyDescent="0.25">
      <c r="A890" t="s">
        <v>894</v>
      </c>
      <c r="B890">
        <v>0.99930955844802105</v>
      </c>
      <c r="C890">
        <v>1.1128779432269</v>
      </c>
      <c r="D890">
        <v>0.98473135314243598</v>
      </c>
      <c r="E890">
        <v>1.05235471613252</v>
      </c>
      <c r="F890">
        <v>0.93276305458615205</v>
      </c>
      <c r="G890">
        <v>0.890614684270293</v>
      </c>
      <c r="H890">
        <v>1.1240607057788701</v>
      </c>
      <c r="I890">
        <v>1.3011703219645501</v>
      </c>
      <c r="J890">
        <v>1.7797572232038401</v>
      </c>
      <c r="K890">
        <v>1.23129784131975</v>
      </c>
      <c r="L890">
        <v>3657.75542444541</v>
      </c>
      <c r="M890">
        <v>58.3022978607613</v>
      </c>
      <c r="O890">
        <v>62.664055152055901</v>
      </c>
      <c r="P890">
        <v>0.11309977538335</v>
      </c>
      <c r="Q890">
        <v>1.48624426512896</v>
      </c>
      <c r="R890">
        <v>0.67266314713766096</v>
      </c>
      <c r="S890" t="s">
        <v>7507</v>
      </c>
      <c r="T890" t="s">
        <v>13232</v>
      </c>
      <c r="U890" t="s">
        <v>13232</v>
      </c>
      <c r="V890" t="s">
        <v>13232</v>
      </c>
      <c r="W890" t="s">
        <v>14096</v>
      </c>
      <c r="X890">
        <v>7</v>
      </c>
      <c r="Y890" t="s">
        <v>20626</v>
      </c>
      <c r="Z890" t="s">
        <v>27021</v>
      </c>
      <c r="AA890">
        <v>1.116772540365605</v>
      </c>
      <c r="AB890" t="str">
        <f>HYPERLINK("Melting_Curves/meltCurve_J3KN66_TOR1AIP1.pdf", "Melting_Curves/meltCurve_J3KN66_TOR1AIP1.pdf")</f>
        <v>Melting_Curves/meltCurve_J3KN66_TOR1AIP1.pdf</v>
      </c>
    </row>
    <row r="891" spans="1:28" x14ac:dyDescent="0.25">
      <c r="A891" t="s">
        <v>895</v>
      </c>
      <c r="B891">
        <v>0.99930955844802105</v>
      </c>
      <c r="C891">
        <v>1.1121077489136599</v>
      </c>
      <c r="D891">
        <v>1.1421422631432001</v>
      </c>
      <c r="E891">
        <v>1.0783086521968901</v>
      </c>
      <c r="F891">
        <v>0.94536071653198805</v>
      </c>
      <c r="G891">
        <v>0.86043095206266595</v>
      </c>
      <c r="H891">
        <v>0.94744116233810405</v>
      </c>
      <c r="I891">
        <v>1.0150992871479501</v>
      </c>
      <c r="J891">
        <v>1.03830623921853</v>
      </c>
      <c r="K891">
        <v>0.83224618213810697</v>
      </c>
      <c r="L891">
        <v>13138.4470766227</v>
      </c>
      <c r="M891">
        <v>250</v>
      </c>
      <c r="O891">
        <v>52.550423804832299</v>
      </c>
      <c r="P891">
        <v>-7.2900962907779199E-2</v>
      </c>
      <c r="Q891">
        <v>0.938704374483737</v>
      </c>
      <c r="R891">
        <v>0.23098128598500101</v>
      </c>
      <c r="S891" t="s">
        <v>7508</v>
      </c>
      <c r="T891" t="s">
        <v>13232</v>
      </c>
      <c r="U891" t="s">
        <v>13232</v>
      </c>
      <c r="V891" t="s">
        <v>13232</v>
      </c>
      <c r="W891" t="s">
        <v>14097</v>
      </c>
      <c r="X891">
        <v>7</v>
      </c>
      <c r="Y891" t="s">
        <v>20627</v>
      </c>
      <c r="Z891" t="s">
        <v>27022</v>
      </c>
      <c r="AA891">
        <v>0.96435977140701534</v>
      </c>
      <c r="AB891" t="str">
        <f>HYPERLINK("Melting_Curves/meltCurve_J3KN68_VGLL4.pdf", "Melting_Curves/meltCurve_J3KN68_VGLL4.pdf")</f>
        <v>Melting_Curves/meltCurve_J3KN68_VGLL4.pdf</v>
      </c>
    </row>
    <row r="892" spans="1:28" x14ac:dyDescent="0.25">
      <c r="A892" t="s">
        <v>896</v>
      </c>
      <c r="B892">
        <v>0.99930955844802105</v>
      </c>
      <c r="C892">
        <v>0.89198057505782602</v>
      </c>
      <c r="D892">
        <v>0.87951830223476501</v>
      </c>
      <c r="E892">
        <v>0.84608074659256205</v>
      </c>
      <c r="F892">
        <v>0.49487717246310498</v>
      </c>
      <c r="G892">
        <v>0.27801690573592602</v>
      </c>
      <c r="H892">
        <v>0.146942094222377</v>
      </c>
      <c r="I892">
        <v>0.116572026928626</v>
      </c>
      <c r="J892">
        <v>0.11145173982463701</v>
      </c>
      <c r="K892">
        <v>7.7767622890852497E-2</v>
      </c>
      <c r="L892">
        <v>968.71525945823498</v>
      </c>
      <c r="M892">
        <v>18.286072518562001</v>
      </c>
      <c r="N892">
        <v>53.457894762977404</v>
      </c>
      <c r="O892">
        <v>52.354213327391498</v>
      </c>
      <c r="P892">
        <v>-8.0682470596130595E-2</v>
      </c>
      <c r="Q892">
        <v>7.6046229581116606E-2</v>
      </c>
      <c r="R892">
        <v>0.98341090681406196</v>
      </c>
      <c r="S892" t="s">
        <v>7509</v>
      </c>
      <c r="T892" t="s">
        <v>13232</v>
      </c>
      <c r="U892" t="s">
        <v>13232</v>
      </c>
      <c r="V892" t="s">
        <v>13232</v>
      </c>
      <c r="W892" t="s">
        <v>14098</v>
      </c>
      <c r="X892">
        <v>7</v>
      </c>
      <c r="Y892" t="s">
        <v>20628</v>
      </c>
      <c r="Z892" t="s">
        <v>27023</v>
      </c>
      <c r="AA892">
        <v>0.49042992619901621</v>
      </c>
      <c r="AB892" t="str">
        <f>HYPERLINK("Melting_Curves/meltCurve_J3KN93_ANKRD44.pdf", "Melting_Curves/meltCurve_J3KN93_ANKRD44.pdf")</f>
        <v>Melting_Curves/meltCurve_J3KN93_ANKRD44.pdf</v>
      </c>
    </row>
    <row r="893" spans="1:28" x14ac:dyDescent="0.25">
      <c r="A893" t="s">
        <v>897</v>
      </c>
      <c r="B893">
        <v>0.99930955844802105</v>
      </c>
      <c r="C893">
        <v>0.7274231182209</v>
      </c>
      <c r="D893">
        <v>0.63763434396160401</v>
      </c>
      <c r="E893">
        <v>0.59728802847545603</v>
      </c>
      <c r="F893">
        <v>0.47415375165745399</v>
      </c>
      <c r="G893">
        <v>0.424756553485579</v>
      </c>
      <c r="H893">
        <v>0.43187935408928801</v>
      </c>
      <c r="I893">
        <v>0.468063687033139</v>
      </c>
      <c r="J893">
        <v>0.472854804484241</v>
      </c>
      <c r="K893">
        <v>0.36954087756596599</v>
      </c>
      <c r="L893">
        <v>656.82382335547004</v>
      </c>
      <c r="M893">
        <v>14.718723212930101</v>
      </c>
      <c r="N893">
        <v>51.528025595498299</v>
      </c>
      <c r="O893">
        <v>43.8255978543163</v>
      </c>
      <c r="P893">
        <v>-4.78301705637528E-2</v>
      </c>
      <c r="Q893">
        <v>0.430396848818206</v>
      </c>
      <c r="R893">
        <v>0.92263904412097797</v>
      </c>
      <c r="S893" t="s">
        <v>7510</v>
      </c>
      <c r="T893" t="s">
        <v>13232</v>
      </c>
      <c r="U893" t="s">
        <v>13232</v>
      </c>
      <c r="V893" t="s">
        <v>13232</v>
      </c>
      <c r="W893" t="s">
        <v>14099</v>
      </c>
      <c r="X893">
        <v>26</v>
      </c>
      <c r="Y893" t="s">
        <v>20629</v>
      </c>
      <c r="Z893" t="s">
        <v>27024</v>
      </c>
      <c r="AA893">
        <v>0.538064529365607</v>
      </c>
      <c r="AB893" t="str">
        <f>HYPERLINK("Melting_Curves/meltCurve_J3KNB8_MAP3K4.pdf", "Melting_Curves/meltCurve_J3KNB8_MAP3K4.pdf")</f>
        <v>Melting_Curves/meltCurve_J3KNB8_MAP3K4.pdf</v>
      </c>
    </row>
    <row r="894" spans="1:28" x14ac:dyDescent="0.25">
      <c r="A894" t="s">
        <v>898</v>
      </c>
      <c r="B894">
        <v>0.99930955844802105</v>
      </c>
      <c r="C894">
        <v>0.985017062528457</v>
      </c>
      <c r="D894">
        <v>0.94655644970738595</v>
      </c>
      <c r="E894">
        <v>0.724080219764203</v>
      </c>
      <c r="F894">
        <v>0.255140296704498</v>
      </c>
      <c r="G894">
        <v>0.117578960466115</v>
      </c>
      <c r="H894">
        <v>4.1249087980469001E-2</v>
      </c>
      <c r="I894">
        <v>2.6709459685963801E-2</v>
      </c>
      <c r="J894">
        <v>1.8364350872480999E-2</v>
      </c>
      <c r="K894">
        <v>3.76253755563213E-3</v>
      </c>
      <c r="L894">
        <v>1649.22682056454</v>
      </c>
      <c r="M894">
        <v>32.157400718468502</v>
      </c>
      <c r="N894">
        <v>51.381742368965298</v>
      </c>
      <c r="O894">
        <v>51.0889661030279</v>
      </c>
      <c r="P894">
        <v>-0.15278822697457001</v>
      </c>
      <c r="Q894">
        <v>2.90566565584554E-2</v>
      </c>
      <c r="R894">
        <v>0.99680450548850297</v>
      </c>
      <c r="S894" t="s">
        <v>7511</v>
      </c>
      <c r="T894" t="s">
        <v>13232</v>
      </c>
      <c r="U894" t="s">
        <v>13232</v>
      </c>
      <c r="V894" t="s">
        <v>13232</v>
      </c>
      <c r="W894" t="s">
        <v>14100</v>
      </c>
      <c r="X894">
        <v>14</v>
      </c>
      <c r="Y894" t="s">
        <v>20630</v>
      </c>
      <c r="Z894" t="s">
        <v>27025</v>
      </c>
      <c r="AA894">
        <v>0.39966535098712908</v>
      </c>
      <c r="AB894" t="str">
        <f>HYPERLINK("Melting_Curves/meltCurve_J3KND1_SAAL1.pdf", "Melting_Curves/meltCurve_J3KND1_SAAL1.pdf")</f>
        <v>Melting_Curves/meltCurve_J3KND1_SAAL1.pdf</v>
      </c>
    </row>
    <row r="895" spans="1:28" x14ac:dyDescent="0.25">
      <c r="A895" t="s">
        <v>899</v>
      </c>
      <c r="B895">
        <v>0.99930955844802105</v>
      </c>
      <c r="C895">
        <v>0.99657310834242996</v>
      </c>
      <c r="D895">
        <v>0.98805035821964105</v>
      </c>
      <c r="E895">
        <v>0.84530346861352101</v>
      </c>
      <c r="F895">
        <v>0.62304226768290305</v>
      </c>
      <c r="G895">
        <v>0.39339075667698098</v>
      </c>
      <c r="H895">
        <v>0.215060208198777</v>
      </c>
      <c r="I895">
        <v>0.15425226505760301</v>
      </c>
      <c r="J895">
        <v>0.122461592824831</v>
      </c>
      <c r="K895">
        <v>9.6563825252781899E-2</v>
      </c>
      <c r="L895">
        <v>925.02301253416204</v>
      </c>
      <c r="M895">
        <v>16.978572909768399</v>
      </c>
      <c r="N895">
        <v>55.081549692185199</v>
      </c>
      <c r="O895">
        <v>53.7428394601557</v>
      </c>
      <c r="P895">
        <v>-7.2319648081629495E-2</v>
      </c>
      <c r="Q895">
        <v>8.4393732424907802E-2</v>
      </c>
      <c r="R895">
        <v>0.99868056706668096</v>
      </c>
      <c r="S895" t="s">
        <v>7512</v>
      </c>
      <c r="T895" t="s">
        <v>13232</v>
      </c>
      <c r="U895" t="s">
        <v>13232</v>
      </c>
      <c r="V895" t="s">
        <v>13232</v>
      </c>
      <c r="W895" t="s">
        <v>14101</v>
      </c>
      <c r="X895">
        <v>11</v>
      </c>
      <c r="Y895" t="s">
        <v>20631</v>
      </c>
      <c r="Z895" t="s">
        <v>27026</v>
      </c>
      <c r="AA895">
        <v>0.54203082571849626</v>
      </c>
      <c r="AB895" t="str">
        <f>HYPERLINK("Melting_Curves/meltCurve_J3KNF4_CCS.pdf", "Melting_Curves/meltCurve_J3KNF4_CCS.pdf")</f>
        <v>Melting_Curves/meltCurve_J3KNF4_CCS.pdf</v>
      </c>
    </row>
    <row r="896" spans="1:28" x14ac:dyDescent="0.25">
      <c r="A896" t="s">
        <v>900</v>
      </c>
      <c r="B896">
        <v>0.99930955844802105</v>
      </c>
      <c r="C896">
        <v>1.0001659220600601</v>
      </c>
      <c r="D896">
        <v>0.98263509200931798</v>
      </c>
      <c r="E896">
        <v>0.89615865345599499</v>
      </c>
      <c r="F896">
        <v>0.59492364598585501</v>
      </c>
      <c r="G896">
        <v>0.48137873572921203</v>
      </c>
      <c r="H896">
        <v>0.50788765937842695</v>
      </c>
      <c r="I896">
        <v>0.48499176146508999</v>
      </c>
      <c r="J896">
        <v>0.49205833656928799</v>
      </c>
      <c r="K896">
        <v>0.38541696685846299</v>
      </c>
      <c r="L896">
        <v>2228.83692176154</v>
      </c>
      <c r="M896">
        <v>43.189780483090601</v>
      </c>
      <c r="N896">
        <v>55.118160673203498</v>
      </c>
      <c r="O896">
        <v>51.495388054741603</v>
      </c>
      <c r="P896">
        <v>-0.111525531124904</v>
      </c>
      <c r="Q896">
        <v>0.46811105138567699</v>
      </c>
      <c r="R896">
        <v>0.98365365987549502</v>
      </c>
      <c r="S896" t="s">
        <v>7513</v>
      </c>
      <c r="T896" t="s">
        <v>13232</v>
      </c>
      <c r="U896" t="s">
        <v>13232</v>
      </c>
      <c r="V896" t="s">
        <v>13232</v>
      </c>
      <c r="W896" t="s">
        <v>14102</v>
      </c>
      <c r="X896">
        <v>7</v>
      </c>
      <c r="Y896" t="s">
        <v>20632</v>
      </c>
      <c r="Z896" t="s">
        <v>27027</v>
      </c>
      <c r="AA896">
        <v>0.67550042195053106</v>
      </c>
      <c r="AB896" t="str">
        <f>HYPERLINK("Melting_Curves/meltCurve_J3KNG8_FNIP1.pdf", "Melting_Curves/meltCurve_J3KNG8_FNIP1.pdf")</f>
        <v>Melting_Curves/meltCurve_J3KNG8_FNIP1.pdf</v>
      </c>
    </row>
    <row r="897" spans="1:28" x14ac:dyDescent="0.25">
      <c r="A897" t="s">
        <v>901</v>
      </c>
      <c r="B897">
        <v>0.99930955844802105</v>
      </c>
      <c r="C897">
        <v>0.88260124821509001</v>
      </c>
      <c r="D897">
        <v>0.55044616848741801</v>
      </c>
      <c r="E897">
        <v>0.36135292816849102</v>
      </c>
      <c r="F897">
        <v>0.25605132000867797</v>
      </c>
      <c r="G897">
        <v>0.17485646157038401</v>
      </c>
      <c r="H897">
        <v>0.129764220639313</v>
      </c>
      <c r="I897">
        <v>0.12468107589762301</v>
      </c>
      <c r="J897">
        <v>0.111660951453395</v>
      </c>
      <c r="K897">
        <v>9.2396609190706594E-2</v>
      </c>
      <c r="L897">
        <v>781.32622345373704</v>
      </c>
      <c r="M897">
        <v>16.705343863353001</v>
      </c>
      <c r="N897">
        <v>47.519858195194303</v>
      </c>
      <c r="O897">
        <v>46.116238506978</v>
      </c>
      <c r="P897">
        <v>-8.0086375057820597E-2</v>
      </c>
      <c r="Q897">
        <v>0.11572307435647999</v>
      </c>
      <c r="R897">
        <v>0.98852394326375104</v>
      </c>
      <c r="S897" t="s">
        <v>7514</v>
      </c>
      <c r="T897" t="s">
        <v>13232</v>
      </c>
      <c r="U897" t="s">
        <v>13232</v>
      </c>
      <c r="V897" t="s">
        <v>13232</v>
      </c>
      <c r="W897" t="s">
        <v>14103</v>
      </c>
      <c r="X897">
        <v>7</v>
      </c>
      <c r="Y897" t="s">
        <v>20633</v>
      </c>
      <c r="Z897" t="s">
        <v>27028</v>
      </c>
      <c r="AA897">
        <v>0.33472399204243641</v>
      </c>
      <c r="AB897" t="str">
        <f>HYPERLINK("Melting_Curves/meltCurve_J3KNH7_SENP3.pdf", "Melting_Curves/meltCurve_J3KNH7_SENP3.pdf")</f>
        <v>Melting_Curves/meltCurve_J3KNH7_SENP3.pdf</v>
      </c>
    </row>
    <row r="898" spans="1:28" x14ac:dyDescent="0.25">
      <c r="A898" t="s">
        <v>902</v>
      </c>
      <c r="B898">
        <v>0.99930955844802105</v>
      </c>
      <c r="C898">
        <v>1.3024941747035099</v>
      </c>
      <c r="D898">
        <v>1.0579708225251101</v>
      </c>
      <c r="E898">
        <v>1.0653355975248999</v>
      </c>
      <c r="F898">
        <v>0.99587742375973598</v>
      </c>
      <c r="G898">
        <v>1.3555454754870699</v>
      </c>
      <c r="H898">
        <v>2.1405787708804298</v>
      </c>
      <c r="I898">
        <v>2.7398134406174601</v>
      </c>
      <c r="J898">
        <v>3.9217306979273698</v>
      </c>
      <c r="K898">
        <v>2.5222469611703802</v>
      </c>
      <c r="L898">
        <v>14198.660707720001</v>
      </c>
      <c r="M898">
        <v>250</v>
      </c>
      <c r="O898">
        <v>56.7909869287042</v>
      </c>
      <c r="P898">
        <v>0.550263164447373</v>
      </c>
      <c r="Q898">
        <v>1.5</v>
      </c>
      <c r="R898">
        <v>-1.2626790992312099E-2</v>
      </c>
      <c r="S898" t="s">
        <v>7515</v>
      </c>
      <c r="T898" t="s">
        <v>13232</v>
      </c>
      <c r="U898" t="s">
        <v>13232</v>
      </c>
      <c r="V898" t="s">
        <v>13232</v>
      </c>
      <c r="W898" t="s">
        <v>14104</v>
      </c>
      <c r="X898">
        <v>3</v>
      </c>
      <c r="Y898" t="s">
        <v>20634</v>
      </c>
      <c r="Z898" t="s">
        <v>27029</v>
      </c>
      <c r="AA898">
        <v>1.2200394492948761</v>
      </c>
      <c r="AB898" t="str">
        <f>HYPERLINK("Melting_Curves/meltCurve_J3KNK0_BRSK1.pdf", "Melting_Curves/meltCurve_J3KNK0_BRSK1.pdf")</f>
        <v>Melting_Curves/meltCurve_J3KNK0_BRSK1.pdf</v>
      </c>
    </row>
    <row r="899" spans="1:28" x14ac:dyDescent="0.25">
      <c r="A899" t="s">
        <v>903</v>
      </c>
      <c r="B899">
        <v>0.99930955844802105</v>
      </c>
      <c r="C899">
        <v>1.03343996207625</v>
      </c>
      <c r="D899">
        <v>0.96849068932000903</v>
      </c>
      <c r="E899">
        <v>0.80732132457078198</v>
      </c>
      <c r="F899">
        <v>0.64842904331750995</v>
      </c>
      <c r="G899">
        <v>0.56550912750073701</v>
      </c>
      <c r="H899">
        <v>0.55702876827734205</v>
      </c>
      <c r="I899">
        <v>0.58301250872974497</v>
      </c>
      <c r="J899">
        <v>0.56930636415907998</v>
      </c>
      <c r="K899">
        <v>0.47338285828682802</v>
      </c>
      <c r="L899">
        <v>1350.5697592490401</v>
      </c>
      <c r="M899">
        <v>26.6859810417387</v>
      </c>
      <c r="O899">
        <v>50.328076499525999</v>
      </c>
      <c r="P899">
        <v>-6.0501781802070102E-2</v>
      </c>
      <c r="Q899">
        <v>0.54359457682413603</v>
      </c>
      <c r="R899">
        <v>0.97897800315889905</v>
      </c>
      <c r="S899" t="s">
        <v>7516</v>
      </c>
      <c r="T899" t="s">
        <v>13232</v>
      </c>
      <c r="U899" t="s">
        <v>13232</v>
      </c>
      <c r="V899" t="s">
        <v>13232</v>
      </c>
      <c r="W899" t="s">
        <v>14105</v>
      </c>
      <c r="X899">
        <v>44</v>
      </c>
      <c r="Y899" t="s">
        <v>20635</v>
      </c>
      <c r="Z899" t="s">
        <v>27030</v>
      </c>
      <c r="AA899">
        <v>0.70861093565760069</v>
      </c>
      <c r="AB899" t="str">
        <f>HYPERLINK("Melting_Curves/meltCurve_J3KNL6_SEC16A.pdf", "Melting_Curves/meltCurve_J3KNL6_SEC16A.pdf")</f>
        <v>Melting_Curves/meltCurve_J3KNL6_SEC16A.pdf</v>
      </c>
    </row>
    <row r="900" spans="1:28" x14ac:dyDescent="0.25">
      <c r="A900" t="s">
        <v>904</v>
      </c>
      <c r="B900">
        <v>0.99930955844802105</v>
      </c>
      <c r="C900">
        <v>1.3179737653932999</v>
      </c>
      <c r="D900">
        <v>1.11103185503668</v>
      </c>
      <c r="E900">
        <v>0.934247717032608</v>
      </c>
      <c r="F900">
        <v>0.77926360395574501</v>
      </c>
      <c r="G900">
        <v>0.4640546811438</v>
      </c>
      <c r="H900">
        <v>0.49812926292570903</v>
      </c>
      <c r="I900">
        <v>0.60498322100410395</v>
      </c>
      <c r="J900">
        <v>0.59633470064449901</v>
      </c>
      <c r="K900">
        <v>0.43914806775222498</v>
      </c>
      <c r="L900">
        <v>3041.1106077925601</v>
      </c>
      <c r="M900">
        <v>57.305458625825402</v>
      </c>
      <c r="O900">
        <v>53.003919822869101</v>
      </c>
      <c r="P900">
        <v>-0.12984008685190199</v>
      </c>
      <c r="Q900">
        <v>0.51962482053683601</v>
      </c>
      <c r="R900">
        <v>0.83074400315555497</v>
      </c>
      <c r="S900" t="s">
        <v>7517</v>
      </c>
      <c r="T900" t="s">
        <v>13232</v>
      </c>
      <c r="U900" t="s">
        <v>13232</v>
      </c>
      <c r="V900" t="s">
        <v>13232</v>
      </c>
      <c r="W900" t="s">
        <v>14106</v>
      </c>
      <c r="X900">
        <v>4</v>
      </c>
      <c r="Y900" t="s">
        <v>20636</v>
      </c>
      <c r="Z900" t="s">
        <v>27031</v>
      </c>
      <c r="AA900">
        <v>0.72973799242348414</v>
      </c>
      <c r="AB900" t="str">
        <f>HYPERLINK("Melting_Curves/meltCurve_J3KNL9_ZFYVE1.pdf", "Melting_Curves/meltCurve_J3KNL9_ZFYVE1.pdf")</f>
        <v>Melting_Curves/meltCurve_J3KNL9_ZFYVE1.pdf</v>
      </c>
    </row>
    <row r="901" spans="1:28" x14ac:dyDescent="0.25">
      <c r="A901" t="s">
        <v>905</v>
      </c>
      <c r="B901">
        <v>0.99930955844802105</v>
      </c>
      <c r="C901">
        <v>1.3127683045110501</v>
      </c>
      <c r="D901">
        <v>1.29361543672988</v>
      </c>
      <c r="E901">
        <v>1.17953502696893</v>
      </c>
      <c r="F901">
        <v>1.22287888805294</v>
      </c>
      <c r="G901">
        <v>0.97080229788780703</v>
      </c>
      <c r="H901">
        <v>0.873499595428197</v>
      </c>
      <c r="I901">
        <v>0.81464012656628804</v>
      </c>
      <c r="J901">
        <v>0.75646740863320905</v>
      </c>
      <c r="K901">
        <v>0.55078816222861104</v>
      </c>
      <c r="L901">
        <v>1160.98381995874</v>
      </c>
      <c r="M901">
        <v>16.781901690292202</v>
      </c>
      <c r="O901">
        <v>68.220780859179001</v>
      </c>
      <c r="P901">
        <v>-4.85674589430342E-2</v>
      </c>
      <c r="Q901">
        <v>0.21031724829628801</v>
      </c>
      <c r="R901">
        <v>0.52567858731652894</v>
      </c>
      <c r="S901" t="s">
        <v>7518</v>
      </c>
      <c r="T901" t="s">
        <v>13232</v>
      </c>
      <c r="U901" t="s">
        <v>13232</v>
      </c>
      <c r="V901" t="s">
        <v>13232</v>
      </c>
      <c r="W901" t="s">
        <v>14107</v>
      </c>
      <c r="X901">
        <v>5</v>
      </c>
      <c r="Y901" t="s">
        <v>20637</v>
      </c>
      <c r="Z901" t="s">
        <v>27032</v>
      </c>
      <c r="AA901">
        <v>0.92242745975707741</v>
      </c>
      <c r="AB901" t="str">
        <f>HYPERLINK("Melting_Curves/meltCurve_J3KNM5_YAF2.pdf", "Melting_Curves/meltCurve_J3KNM5_YAF2.pdf")</f>
        <v>Melting_Curves/meltCurve_J3KNM5_YAF2.pdf</v>
      </c>
    </row>
    <row r="902" spans="1:28" x14ac:dyDescent="0.25">
      <c r="A902" t="s">
        <v>906</v>
      </c>
      <c r="B902">
        <v>0.99930955844802105</v>
      </c>
      <c r="C902">
        <v>1.0289281461117601</v>
      </c>
      <c r="D902">
        <v>0.903048823008192</v>
      </c>
      <c r="E902">
        <v>0.63626607042161198</v>
      </c>
      <c r="F902">
        <v>0.307992510920158</v>
      </c>
      <c r="G902">
        <v>0.20222116998867701</v>
      </c>
      <c r="H902">
        <v>0.12668793866891401</v>
      </c>
      <c r="I902">
        <v>0.10654577414046799</v>
      </c>
      <c r="J902">
        <v>0.100027283845078</v>
      </c>
      <c r="K902">
        <v>7.8761376323786603E-2</v>
      </c>
      <c r="L902">
        <v>1170.6503027843701</v>
      </c>
      <c r="M902">
        <v>23.105505748688799</v>
      </c>
      <c r="N902">
        <v>51.161042418695203</v>
      </c>
      <c r="O902">
        <v>50.290487065578397</v>
      </c>
      <c r="P902">
        <v>-0.10334455120253799</v>
      </c>
      <c r="Q902">
        <v>0.100274655279862</v>
      </c>
      <c r="R902">
        <v>0.99621024461051999</v>
      </c>
      <c r="S902" t="s">
        <v>7519</v>
      </c>
      <c r="T902" t="s">
        <v>13232</v>
      </c>
      <c r="U902" t="s">
        <v>13232</v>
      </c>
      <c r="V902" t="s">
        <v>13232</v>
      </c>
      <c r="W902" t="s">
        <v>14108</v>
      </c>
      <c r="X902">
        <v>25</v>
      </c>
      <c r="Y902" t="s">
        <v>20638</v>
      </c>
      <c r="Z902" t="s">
        <v>27033</v>
      </c>
      <c r="AA902">
        <v>0.42959916348174931</v>
      </c>
      <c r="AB902" t="str">
        <f>HYPERLINK("Melting_Curves/meltCurve_J3KNN7_BRAP.pdf", "Melting_Curves/meltCurve_J3KNN7_BRAP.pdf")</f>
        <v>Melting_Curves/meltCurve_J3KNN7_BRAP.pdf</v>
      </c>
    </row>
    <row r="903" spans="1:28" x14ac:dyDescent="0.25">
      <c r="A903" t="s">
        <v>907</v>
      </c>
      <c r="B903">
        <v>0.99930955844802105</v>
      </c>
      <c r="C903">
        <v>0.88638156114580602</v>
      </c>
      <c r="D903">
        <v>0.52659295525286698</v>
      </c>
      <c r="E903">
        <v>0.314035306815727</v>
      </c>
      <c r="F903">
        <v>0.19135812014558401</v>
      </c>
      <c r="G903">
        <v>0.137443033222266</v>
      </c>
      <c r="H903">
        <v>8.2021544357388607E-2</v>
      </c>
      <c r="I903">
        <v>7.8493749783245095E-2</v>
      </c>
      <c r="J903">
        <v>6.8415304660422394E-2</v>
      </c>
      <c r="K903">
        <v>5.1355109371922697E-2</v>
      </c>
      <c r="L903">
        <v>843.25541992693297</v>
      </c>
      <c r="M903">
        <v>18.093296095239999</v>
      </c>
      <c r="N903">
        <v>47.035919306475201</v>
      </c>
      <c r="O903">
        <v>46.047832283987098</v>
      </c>
      <c r="P903">
        <v>-9.0748260046204496E-2</v>
      </c>
      <c r="Q903">
        <v>7.6219581858647106E-2</v>
      </c>
      <c r="R903">
        <v>0.98979168424542596</v>
      </c>
      <c r="S903" t="s">
        <v>7520</v>
      </c>
      <c r="T903" t="s">
        <v>13232</v>
      </c>
      <c r="U903" t="s">
        <v>13232</v>
      </c>
      <c r="V903" t="s">
        <v>13232</v>
      </c>
      <c r="W903" t="s">
        <v>14109</v>
      </c>
      <c r="X903">
        <v>9</v>
      </c>
      <c r="Y903" t="s">
        <v>20639</v>
      </c>
      <c r="Z903" t="s">
        <v>27034</v>
      </c>
      <c r="AA903">
        <v>0.29684646705912687</v>
      </c>
      <c r="AB903" t="str">
        <f>HYPERLINK("Melting_Curves/meltCurve_J3KNU8_ALDH6A1.pdf", "Melting_Curves/meltCurve_J3KNU8_ALDH6A1.pdf")</f>
        <v>Melting_Curves/meltCurve_J3KNU8_ALDH6A1.pdf</v>
      </c>
    </row>
    <row r="904" spans="1:28" x14ac:dyDescent="0.25">
      <c r="A904" t="s">
        <v>908</v>
      </c>
      <c r="B904">
        <v>0.99930955844802105</v>
      </c>
      <c r="C904">
        <v>1.2196618623125199</v>
      </c>
      <c r="D904">
        <v>1.25953245249501</v>
      </c>
      <c r="E904">
        <v>0.94705877138532402</v>
      </c>
      <c r="F904">
        <v>0.26762899719229599</v>
      </c>
      <c r="G904">
        <v>0.18440956948538201</v>
      </c>
      <c r="H904">
        <v>0.112372245488321</v>
      </c>
      <c r="I904">
        <v>9.3220947211074698E-2</v>
      </c>
      <c r="J904">
        <v>8.1541041140304193E-2</v>
      </c>
      <c r="K904">
        <v>5.48469451314803E-2</v>
      </c>
      <c r="L904">
        <v>3736.6726091454698</v>
      </c>
      <c r="M904">
        <v>71.994874543925903</v>
      </c>
      <c r="N904">
        <v>52.0719205932403</v>
      </c>
      <c r="O904">
        <v>51.861923546036998</v>
      </c>
      <c r="P904">
        <v>-0.31070297121102503</v>
      </c>
      <c r="Q904">
        <v>0.104733463621067</v>
      </c>
      <c r="R904">
        <v>0.94751793250911198</v>
      </c>
      <c r="S904" t="s">
        <v>7521</v>
      </c>
      <c r="T904" t="s">
        <v>13232</v>
      </c>
      <c r="U904" t="s">
        <v>13232</v>
      </c>
      <c r="V904" t="s">
        <v>13232</v>
      </c>
      <c r="W904" t="s">
        <v>14110</v>
      </c>
      <c r="X904">
        <v>8</v>
      </c>
      <c r="Y904" t="s">
        <v>20640</v>
      </c>
      <c r="Z904" t="s">
        <v>27035</v>
      </c>
      <c r="AA904">
        <v>0.46089903382779729</v>
      </c>
      <c r="AB904" t="str">
        <f>HYPERLINK("Melting_Curves/meltCurve_J3KNV1_ZNF292.pdf", "Melting_Curves/meltCurve_J3KNV1_ZNF292.pdf")</f>
        <v>Melting_Curves/meltCurve_J3KNV1_ZNF292.pdf</v>
      </c>
    </row>
    <row r="905" spans="1:28" x14ac:dyDescent="0.25">
      <c r="A905" t="s">
        <v>909</v>
      </c>
      <c r="B905">
        <v>0.99930955844802105</v>
      </c>
      <c r="C905">
        <v>1.0993002792469599</v>
      </c>
      <c r="D905">
        <v>0.99575558357855698</v>
      </c>
      <c r="E905">
        <v>0.99197189923803097</v>
      </c>
      <c r="F905">
        <v>0.86126223559437498</v>
      </c>
      <c r="G905">
        <v>0.66161933555527097</v>
      </c>
      <c r="H905">
        <v>0.63012756883920795</v>
      </c>
      <c r="I905">
        <v>0.67457216772786699</v>
      </c>
      <c r="J905">
        <v>0.56752074438697198</v>
      </c>
      <c r="K905">
        <v>0.48830313365605199</v>
      </c>
      <c r="L905">
        <v>1359.3148837912299</v>
      </c>
      <c r="M905">
        <v>24.8570670882443</v>
      </c>
      <c r="O905">
        <v>54.334995707578699</v>
      </c>
      <c r="P905">
        <v>-4.8849873649909899E-2</v>
      </c>
      <c r="Q905">
        <v>0.57288262274836399</v>
      </c>
      <c r="R905">
        <v>0.933809312057439</v>
      </c>
      <c r="S905" t="s">
        <v>7522</v>
      </c>
      <c r="T905" t="s">
        <v>13232</v>
      </c>
      <c r="U905" t="s">
        <v>13232</v>
      </c>
      <c r="V905" t="s">
        <v>13232</v>
      </c>
      <c r="W905" t="s">
        <v>14111</v>
      </c>
      <c r="X905">
        <v>3</v>
      </c>
      <c r="Y905" t="s">
        <v>20641</v>
      </c>
      <c r="Z905" t="s">
        <v>27036</v>
      </c>
      <c r="AA905">
        <v>0.78595509401006325</v>
      </c>
      <c r="AB905" t="str">
        <f>HYPERLINK("Melting_Curves/meltCurve_J3KNX4_MUM1.pdf", "Melting_Curves/meltCurve_J3KNX4_MUM1.pdf")</f>
        <v>Melting_Curves/meltCurve_J3KNX4_MUM1.pdf</v>
      </c>
    </row>
    <row r="906" spans="1:28" x14ac:dyDescent="0.25">
      <c r="A906" t="s">
        <v>910</v>
      </c>
      <c r="B906">
        <v>0.99930955844802105</v>
      </c>
      <c r="C906">
        <v>1.1393087289050701</v>
      </c>
      <c r="D906">
        <v>1.0525151657665199</v>
      </c>
      <c r="E906">
        <v>0.98565360984147699</v>
      </c>
      <c r="F906">
        <v>0.96223163489793595</v>
      </c>
      <c r="G906">
        <v>0.89277396518691798</v>
      </c>
      <c r="H906">
        <v>0.85533091087001401</v>
      </c>
      <c r="I906">
        <v>0.88937123363841497</v>
      </c>
      <c r="J906">
        <v>0.91190168730143795</v>
      </c>
      <c r="K906">
        <v>0.74910029549632196</v>
      </c>
      <c r="L906">
        <v>886.45893870849295</v>
      </c>
      <c r="M906">
        <v>15.392867910929199</v>
      </c>
      <c r="O906">
        <v>56.643202898791301</v>
      </c>
      <c r="P906">
        <v>-1.2277254328857901E-2</v>
      </c>
      <c r="Q906">
        <v>0.81930337334965697</v>
      </c>
      <c r="R906">
        <v>0.65360101578039198</v>
      </c>
      <c r="S906" t="s">
        <v>7523</v>
      </c>
      <c r="T906" t="s">
        <v>13232</v>
      </c>
      <c r="U906" t="s">
        <v>13232</v>
      </c>
      <c r="V906" t="s">
        <v>13232</v>
      </c>
      <c r="W906" t="s">
        <v>14112</v>
      </c>
      <c r="X906">
        <v>8</v>
      </c>
      <c r="Y906" t="s">
        <v>20642</v>
      </c>
      <c r="Z906" t="s">
        <v>27037</v>
      </c>
      <c r="AA906">
        <v>0.92783454944199073</v>
      </c>
      <c r="AB906" t="str">
        <f>HYPERLINK("Melting_Curves/meltCurve_J3KNZ9_FBRS.pdf", "Melting_Curves/meltCurve_J3KNZ9_FBRS.pdf")</f>
        <v>Melting_Curves/meltCurve_J3KNZ9_FBRS.pdf</v>
      </c>
    </row>
    <row r="907" spans="1:28" x14ac:dyDescent="0.25">
      <c r="A907" t="s">
        <v>911</v>
      </c>
      <c r="B907">
        <v>0.99930955844802105</v>
      </c>
      <c r="C907">
        <v>1.0924865501788801</v>
      </c>
      <c r="D907">
        <v>1.07594405080589</v>
      </c>
      <c r="E907">
        <v>0.99589896956483503</v>
      </c>
      <c r="F907">
        <v>0.90485170901577106</v>
      </c>
      <c r="G907">
        <v>0.83518311590413596</v>
      </c>
      <c r="H907">
        <v>0.87985527414391296</v>
      </c>
      <c r="I907">
        <v>0.96168976357414604</v>
      </c>
      <c r="J907">
        <v>0.92345768390791005</v>
      </c>
      <c r="K907">
        <v>0.74733487057672898</v>
      </c>
      <c r="L907">
        <v>4668.1865526536703</v>
      </c>
      <c r="M907">
        <v>89.081083363351894</v>
      </c>
      <c r="O907">
        <v>52.377402747123902</v>
      </c>
      <c r="P907">
        <v>-5.5476231160031003E-2</v>
      </c>
      <c r="Q907">
        <v>0.86952559004352903</v>
      </c>
      <c r="R907">
        <v>0.58890266055377105</v>
      </c>
      <c r="S907" t="s">
        <v>7524</v>
      </c>
      <c r="T907" t="s">
        <v>13232</v>
      </c>
      <c r="U907" t="s">
        <v>13232</v>
      </c>
      <c r="V907" t="s">
        <v>13232</v>
      </c>
      <c r="W907" t="s">
        <v>14113</v>
      </c>
      <c r="X907">
        <v>11</v>
      </c>
      <c r="Y907" t="s">
        <v>20643</v>
      </c>
      <c r="Z907" t="s">
        <v>27038</v>
      </c>
      <c r="AA907">
        <v>0.92356615691662114</v>
      </c>
      <c r="AB907" t="str">
        <f>HYPERLINK("Melting_Curves/meltCurve_J3KP19_SIPA1L1.pdf", "Melting_Curves/meltCurve_J3KP19_SIPA1L1.pdf")</f>
        <v>Melting_Curves/meltCurve_J3KP19_SIPA1L1.pdf</v>
      </c>
    </row>
    <row r="908" spans="1:28" x14ac:dyDescent="0.25">
      <c r="A908" t="s">
        <v>912</v>
      </c>
      <c r="B908">
        <v>0.99930955844802105</v>
      </c>
      <c r="C908">
        <v>1.0132647151979199</v>
      </c>
      <c r="D908">
        <v>0.87873542891924195</v>
      </c>
      <c r="E908">
        <v>0.83601272728211196</v>
      </c>
      <c r="F908">
        <v>0.37406955928518598</v>
      </c>
      <c r="G908">
        <v>0.155571871190329</v>
      </c>
      <c r="H908">
        <v>0.114259650618989</v>
      </c>
      <c r="I908">
        <v>0.109026383919543</v>
      </c>
      <c r="J908">
        <v>0.109757115553806</v>
      </c>
      <c r="K908">
        <v>7.4501332030302694E-2</v>
      </c>
      <c r="L908">
        <v>1848.87445969794</v>
      </c>
      <c r="M908">
        <v>35.641920964341097</v>
      </c>
      <c r="N908">
        <v>52.211446321176197</v>
      </c>
      <c r="O908">
        <v>51.711125546237099</v>
      </c>
      <c r="P908">
        <v>-0.15456750393770699</v>
      </c>
      <c r="Q908">
        <v>0.102985439023056</v>
      </c>
      <c r="R908">
        <v>0.99037144542685995</v>
      </c>
      <c r="S908" t="s">
        <v>7525</v>
      </c>
      <c r="T908" t="s">
        <v>13232</v>
      </c>
      <c r="U908" t="s">
        <v>13232</v>
      </c>
      <c r="V908" t="s">
        <v>13232</v>
      </c>
      <c r="W908" t="s">
        <v>14114</v>
      </c>
      <c r="X908">
        <v>12</v>
      </c>
      <c r="Y908" t="s">
        <v>20644</v>
      </c>
      <c r="Z908" t="s">
        <v>27039</v>
      </c>
      <c r="AA908">
        <v>0.46206540773182248</v>
      </c>
      <c r="AB908" t="str">
        <f>HYPERLINK("Melting_Curves/meltCurve_J3KP22_PTPRA.pdf", "Melting_Curves/meltCurve_J3KP22_PTPRA.pdf")</f>
        <v>Melting_Curves/meltCurve_J3KP22_PTPRA.pdf</v>
      </c>
    </row>
    <row r="909" spans="1:28" x14ac:dyDescent="0.25">
      <c r="A909" t="s">
        <v>913</v>
      </c>
      <c r="B909">
        <v>0.99930955844802105</v>
      </c>
      <c r="C909">
        <v>1.06824109693341</v>
      </c>
      <c r="D909">
        <v>1.0427022087264299</v>
      </c>
      <c r="E909">
        <v>1.00459798103209</v>
      </c>
      <c r="F909">
        <v>0.84376112753080901</v>
      </c>
      <c r="G909">
        <v>0.701071667430748</v>
      </c>
      <c r="H909">
        <v>0.68710702326637196</v>
      </c>
      <c r="I909">
        <v>0.67696214963457801</v>
      </c>
      <c r="J909">
        <v>0.62785193368161796</v>
      </c>
      <c r="K909">
        <v>0.51013040798749498</v>
      </c>
      <c r="L909">
        <v>1135.74659370932</v>
      </c>
      <c r="M909">
        <v>20.6465282327636</v>
      </c>
      <c r="O909">
        <v>54.500809864672298</v>
      </c>
      <c r="P909">
        <v>-3.8106798213501998E-2</v>
      </c>
      <c r="Q909">
        <v>0.59764805713004099</v>
      </c>
      <c r="R909">
        <v>0.92945468945680598</v>
      </c>
      <c r="S909" t="s">
        <v>7526</v>
      </c>
      <c r="T909" t="s">
        <v>13232</v>
      </c>
      <c r="U909" t="s">
        <v>13232</v>
      </c>
      <c r="V909" t="s">
        <v>13232</v>
      </c>
      <c r="W909" t="s">
        <v>14115</v>
      </c>
      <c r="X909">
        <v>12</v>
      </c>
      <c r="Y909" t="s">
        <v>20645</v>
      </c>
      <c r="Z909" t="s">
        <v>27040</v>
      </c>
      <c r="AA909">
        <v>0.80404943156927944</v>
      </c>
      <c r="AB909" t="str">
        <f>HYPERLINK("Melting_Curves/meltCurve_J3KP30_DNTTIP2.pdf", "Melting_Curves/meltCurve_J3KP30_DNTTIP2.pdf")</f>
        <v>Melting_Curves/meltCurve_J3KP30_DNTTIP2.pdf</v>
      </c>
    </row>
    <row r="910" spans="1:28" x14ac:dyDescent="0.25">
      <c r="A910" t="s">
        <v>914</v>
      </c>
      <c r="B910">
        <v>0.99930955844802105</v>
      </c>
      <c r="C910">
        <v>1.0144235066009699</v>
      </c>
      <c r="D910">
        <v>0.97176148422882502</v>
      </c>
      <c r="E910">
        <v>0.77664389204425699</v>
      </c>
      <c r="F910">
        <v>0.67331376004773202</v>
      </c>
      <c r="G910">
        <v>0.53658284606131201</v>
      </c>
      <c r="H910">
        <v>0.47204118189243899</v>
      </c>
      <c r="I910">
        <v>0.49981687525461399</v>
      </c>
      <c r="J910">
        <v>0.49943044933538</v>
      </c>
      <c r="K910">
        <v>0.37147842865645597</v>
      </c>
      <c r="L910">
        <v>913.59363784522202</v>
      </c>
      <c r="M910">
        <v>17.655614504839601</v>
      </c>
      <c r="N910">
        <v>59.020531002402898</v>
      </c>
      <c r="O910">
        <v>51.095084036257198</v>
      </c>
      <c r="P910">
        <v>-4.8095972915947499E-2</v>
      </c>
      <c r="Q910">
        <v>0.44327353998915398</v>
      </c>
      <c r="R910">
        <v>0.97732658860488897</v>
      </c>
      <c r="S910" t="s">
        <v>7527</v>
      </c>
      <c r="T910" t="s">
        <v>13232</v>
      </c>
      <c r="U910" t="s">
        <v>13232</v>
      </c>
      <c r="V910" t="s">
        <v>13232</v>
      </c>
      <c r="W910" t="s">
        <v>14116</v>
      </c>
      <c r="X910">
        <v>29</v>
      </c>
      <c r="Y910" t="s">
        <v>20646</v>
      </c>
      <c r="Z910" t="s">
        <v>27041</v>
      </c>
      <c r="AA910">
        <v>0.67084658805412201</v>
      </c>
      <c r="AB910" t="str">
        <f>HYPERLINK("Melting_Curves/meltCurve_J3KP36_FAM21C.pdf", "Melting_Curves/meltCurve_J3KP36_FAM21C.pdf")</f>
        <v>Melting_Curves/meltCurve_J3KP36_FAM21C.pdf</v>
      </c>
    </row>
    <row r="911" spans="1:28" x14ac:dyDescent="0.25">
      <c r="A911" t="s">
        <v>915</v>
      </c>
      <c r="B911">
        <v>0.99930955844802105</v>
      </c>
      <c r="C911">
        <v>1.02671044887429</v>
      </c>
      <c r="D911">
        <v>1.0016066743363901</v>
      </c>
      <c r="E911">
        <v>0.90309467964032097</v>
      </c>
      <c r="F911">
        <v>0.73439070189827604</v>
      </c>
      <c r="G911">
        <v>0.63846766017272905</v>
      </c>
      <c r="H911">
        <v>0.49601886996174799</v>
      </c>
      <c r="I911">
        <v>0.43039185839891198</v>
      </c>
      <c r="J911">
        <v>0.39953038821505898</v>
      </c>
      <c r="K911">
        <v>0.33340238007818901</v>
      </c>
      <c r="L911">
        <v>746.24520221297803</v>
      </c>
      <c r="M911">
        <v>13.2939840512565</v>
      </c>
      <c r="N911">
        <v>60.595758003875197</v>
      </c>
      <c r="O911">
        <v>54.909484604415198</v>
      </c>
      <c r="P911">
        <v>-4.1641455716507902E-2</v>
      </c>
      <c r="Q911">
        <v>0.31212775308379398</v>
      </c>
      <c r="R911">
        <v>0.98988531878474895</v>
      </c>
      <c r="S911" t="s">
        <v>7528</v>
      </c>
      <c r="T911" t="s">
        <v>13232</v>
      </c>
      <c r="U911" t="s">
        <v>13232</v>
      </c>
      <c r="V911" t="s">
        <v>13232</v>
      </c>
      <c r="W911" t="s">
        <v>14117</v>
      </c>
      <c r="X911">
        <v>1</v>
      </c>
      <c r="Y911" t="s">
        <v>20647</v>
      </c>
      <c r="Z911" t="s">
        <v>27042</v>
      </c>
      <c r="AA911">
        <v>0.69515869627697546</v>
      </c>
      <c r="AB911" t="str">
        <f>HYPERLINK("Melting_Curves/meltCurve_J3KP66_PROX1.pdf", "Melting_Curves/meltCurve_J3KP66_PROX1.pdf")</f>
        <v>Melting_Curves/meltCurve_J3KP66_PROX1.pdf</v>
      </c>
    </row>
    <row r="912" spans="1:28" x14ac:dyDescent="0.25">
      <c r="A912" t="s">
        <v>916</v>
      </c>
      <c r="B912">
        <v>0.99930955844802105</v>
      </c>
      <c r="C912">
        <v>1.09189847665217</v>
      </c>
      <c r="D912">
        <v>1.0277747615100199</v>
      </c>
      <c r="E912">
        <v>0.885169546282215</v>
      </c>
      <c r="F912">
        <v>0.71525361815128397</v>
      </c>
      <c r="G912">
        <v>0.60146368629428004</v>
      </c>
      <c r="H912">
        <v>0.55612465786837495</v>
      </c>
      <c r="I912">
        <v>0.56270343580928595</v>
      </c>
      <c r="J912">
        <v>0.54960834272324699</v>
      </c>
      <c r="K912">
        <v>0.45497442962413998</v>
      </c>
      <c r="L912">
        <v>1308.7358211221899</v>
      </c>
      <c r="M912">
        <v>24.987572119584499</v>
      </c>
      <c r="O912">
        <v>52.043496801774502</v>
      </c>
      <c r="P912">
        <v>-5.6696779987607498E-2</v>
      </c>
      <c r="Q912">
        <v>0.52765998745769505</v>
      </c>
      <c r="R912">
        <v>0.96364394259188402</v>
      </c>
      <c r="S912" t="s">
        <v>7529</v>
      </c>
      <c r="T912" t="s">
        <v>13232</v>
      </c>
      <c r="U912" t="s">
        <v>13232</v>
      </c>
      <c r="V912" t="s">
        <v>13232</v>
      </c>
      <c r="W912" t="s">
        <v>14118</v>
      </c>
      <c r="X912">
        <v>6</v>
      </c>
      <c r="Y912" t="s">
        <v>20648</v>
      </c>
      <c r="Z912" t="s">
        <v>27043</v>
      </c>
      <c r="AA912">
        <v>0.72683890740395307</v>
      </c>
      <c r="AB912" t="str">
        <f>HYPERLINK("Melting_Curves/meltCurve_J3KPK1_SYNJ1.pdf", "Melting_Curves/meltCurve_J3KPK1_SYNJ1.pdf")</f>
        <v>Melting_Curves/meltCurve_J3KPK1_SYNJ1.pdf</v>
      </c>
    </row>
    <row r="913" spans="1:28" x14ac:dyDescent="0.25">
      <c r="A913" t="s">
        <v>917</v>
      </c>
      <c r="B913">
        <v>0.99930955844802105</v>
      </c>
      <c r="C913">
        <v>1.11543919328898</v>
      </c>
      <c r="D913">
        <v>1.00745561050819</v>
      </c>
      <c r="E913">
        <v>0.99393102791037502</v>
      </c>
      <c r="F913">
        <v>0.97452930285303496</v>
      </c>
      <c r="G913">
        <v>0.76951815775488797</v>
      </c>
      <c r="H913">
        <v>0.80865810566727403</v>
      </c>
      <c r="I913">
        <v>0.98842272536008902</v>
      </c>
      <c r="J913">
        <v>0.975897673259982</v>
      </c>
      <c r="K913">
        <v>0.748512781945881</v>
      </c>
      <c r="L913">
        <v>13330.500497516099</v>
      </c>
      <c r="M913">
        <v>250</v>
      </c>
      <c r="O913">
        <v>53.318582266922299</v>
      </c>
      <c r="P913">
        <v>-0.166215609524233</v>
      </c>
      <c r="Q913">
        <v>0.85820188985256596</v>
      </c>
      <c r="R913">
        <v>0.485986320122759</v>
      </c>
      <c r="S913" t="s">
        <v>7530</v>
      </c>
      <c r="T913" t="s">
        <v>13232</v>
      </c>
      <c r="U913" t="s">
        <v>13232</v>
      </c>
      <c r="V913" t="s">
        <v>13232</v>
      </c>
      <c r="W913" t="s">
        <v>14119</v>
      </c>
      <c r="X913">
        <v>15</v>
      </c>
      <c r="Y913" t="s">
        <v>20649</v>
      </c>
      <c r="Z913" t="s">
        <v>27044</v>
      </c>
      <c r="AA913">
        <v>0.92118298273718158</v>
      </c>
      <c r="AB913" t="str">
        <f>HYPERLINK("Melting_Curves/meltCurve_J3KPS2_FAM83H.pdf", "Melting_Curves/meltCurve_J3KPS2_FAM83H.pdf")</f>
        <v>Melting_Curves/meltCurve_J3KPS2_FAM83H.pdf</v>
      </c>
    </row>
    <row r="914" spans="1:28" x14ac:dyDescent="0.25">
      <c r="A914" t="s">
        <v>918</v>
      </c>
      <c r="B914">
        <v>0.99930955844802105</v>
      </c>
      <c r="C914">
        <v>1.0015214203998899</v>
      </c>
      <c r="D914">
        <v>0.92403161816906798</v>
      </c>
      <c r="E914">
        <v>0.89740712552357804</v>
      </c>
      <c r="F914">
        <v>0.795496542637253</v>
      </c>
      <c r="G914">
        <v>0.24383005156802301</v>
      </c>
      <c r="H914">
        <v>0.14423617563670699</v>
      </c>
      <c r="I914">
        <v>0.117688017624737</v>
      </c>
      <c r="J914">
        <v>0.103457243145016</v>
      </c>
      <c r="K914">
        <v>8.5402559455261401E-2</v>
      </c>
      <c r="L914">
        <v>1920.7059645034601</v>
      </c>
      <c r="M914">
        <v>35.191192076466798</v>
      </c>
      <c r="N914">
        <v>54.935380204568197</v>
      </c>
      <c r="O914">
        <v>54.403823686201797</v>
      </c>
      <c r="P914">
        <v>-0.14521635445742501</v>
      </c>
      <c r="Q914">
        <v>0.10201419396978099</v>
      </c>
      <c r="R914">
        <v>0.99217482762375397</v>
      </c>
      <c r="S914" t="s">
        <v>7531</v>
      </c>
      <c r="T914" t="s">
        <v>13232</v>
      </c>
      <c r="U914" t="s">
        <v>13232</v>
      </c>
      <c r="V914" t="s">
        <v>13232</v>
      </c>
      <c r="W914" t="s">
        <v>14120</v>
      </c>
      <c r="X914">
        <v>10</v>
      </c>
      <c r="Y914" t="s">
        <v>20650</v>
      </c>
      <c r="Z914" t="s">
        <v>27045</v>
      </c>
      <c r="AA914">
        <v>0.54276459938778243</v>
      </c>
      <c r="AB914" t="str">
        <f>HYPERLINK("Melting_Curves/meltCurve_J3KPT0_DPP8.pdf", "Melting_Curves/meltCurve_J3KPT0_DPP8.pdf")</f>
        <v>Melting_Curves/meltCurve_J3KPT0_DPP8.pdf</v>
      </c>
    </row>
    <row r="915" spans="1:28" x14ac:dyDescent="0.25">
      <c r="A915" t="s">
        <v>919</v>
      </c>
      <c r="B915">
        <v>0.99930955844802105</v>
      </c>
      <c r="C915">
        <v>1.04638031094399</v>
      </c>
      <c r="D915">
        <v>1.0144974079597799</v>
      </c>
      <c r="E915">
        <v>0.78801035021028498</v>
      </c>
      <c r="F915">
        <v>0.289919566853995</v>
      </c>
      <c r="G915">
        <v>0.20181261771084799</v>
      </c>
      <c r="H915">
        <v>0.129311453520389</v>
      </c>
      <c r="I915">
        <v>0.11375913658720301</v>
      </c>
      <c r="J915">
        <v>0.10134739520637499</v>
      </c>
      <c r="K915">
        <v>8.1256689539542196E-2</v>
      </c>
      <c r="L915">
        <v>2190.8623567089098</v>
      </c>
      <c r="M915">
        <v>42.694233979627903</v>
      </c>
      <c r="N915">
        <v>51.650555175163298</v>
      </c>
      <c r="O915">
        <v>51.202988840412502</v>
      </c>
      <c r="P915">
        <v>-0.18321983652363599</v>
      </c>
      <c r="Q915">
        <v>0.121062824346922</v>
      </c>
      <c r="R915">
        <v>0.99421300554957404</v>
      </c>
      <c r="S915" t="s">
        <v>7532</v>
      </c>
      <c r="T915" t="s">
        <v>13232</v>
      </c>
      <c r="U915" t="s">
        <v>13232</v>
      </c>
      <c r="V915" t="s">
        <v>13232</v>
      </c>
      <c r="W915" t="s">
        <v>14121</v>
      </c>
      <c r="X915">
        <v>20</v>
      </c>
      <c r="Y915" t="s">
        <v>20651</v>
      </c>
      <c r="Z915" t="s">
        <v>27046</v>
      </c>
      <c r="AA915">
        <v>0.45530765623144281</v>
      </c>
      <c r="AB915" t="str">
        <f>HYPERLINK("Melting_Curves/meltCurve_J3KPV7_MPST.pdf", "Melting_Curves/meltCurve_J3KPV7_MPST.pdf")</f>
        <v>Melting_Curves/meltCurve_J3KPV7_MPST.pdf</v>
      </c>
    </row>
    <row r="916" spans="1:28" x14ac:dyDescent="0.25">
      <c r="A916" t="s">
        <v>920</v>
      </c>
      <c r="B916">
        <v>0.99930955844802105</v>
      </c>
      <c r="C916">
        <v>0.82415565626037202</v>
      </c>
      <c r="D916">
        <v>0.88677651690535897</v>
      </c>
      <c r="E916">
        <v>1.0561564459329</v>
      </c>
      <c r="F916">
        <v>1.1547831813017799</v>
      </c>
      <c r="G916">
        <v>0.50454857449193202</v>
      </c>
      <c r="H916">
        <v>0.12893789118125501</v>
      </c>
      <c r="I916">
        <v>9.0968691156692899E-2</v>
      </c>
      <c r="J916">
        <v>6.9682033258100004E-2</v>
      </c>
      <c r="K916">
        <v>5.5394356043437301E-2</v>
      </c>
      <c r="L916">
        <v>10166.671357797301</v>
      </c>
      <c r="M916">
        <v>178.531905038818</v>
      </c>
      <c r="N916">
        <v>57.006421583190402</v>
      </c>
      <c r="O916">
        <v>56.938818443759097</v>
      </c>
      <c r="P916">
        <v>-0.71627160296134795</v>
      </c>
      <c r="Q916">
        <v>8.6243803075625597E-2</v>
      </c>
      <c r="R916">
        <v>0.96047911650912599</v>
      </c>
      <c r="S916" t="s">
        <v>7533</v>
      </c>
      <c r="T916" t="s">
        <v>13232</v>
      </c>
      <c r="U916" t="s">
        <v>13232</v>
      </c>
      <c r="V916" t="s">
        <v>13232</v>
      </c>
      <c r="W916" t="s">
        <v>14122</v>
      </c>
      <c r="X916">
        <v>8</v>
      </c>
      <c r="Y916" t="s">
        <v>20652</v>
      </c>
      <c r="Z916" t="s">
        <v>27047</v>
      </c>
      <c r="AA916">
        <v>0.6025722149369096</v>
      </c>
      <c r="AB916" t="str">
        <f>HYPERLINK("Melting_Curves/meltCurve_J3KQ34_COPS7B.pdf", "Melting_Curves/meltCurve_J3KQ34_COPS7B.pdf")</f>
        <v>Melting_Curves/meltCurve_J3KQ34_COPS7B.pdf</v>
      </c>
    </row>
    <row r="917" spans="1:28" x14ac:dyDescent="0.25">
      <c r="A917" t="s">
        <v>921</v>
      </c>
      <c r="B917">
        <v>0.99930955844802105</v>
      </c>
      <c r="C917">
        <v>1.0546867723264</v>
      </c>
      <c r="D917">
        <v>1.20447520497004</v>
      </c>
      <c r="E917">
        <v>1.0946115843049</v>
      </c>
      <c r="F917">
        <v>0.96685789574527303</v>
      </c>
      <c r="G917">
        <v>1.12867399763473</v>
      </c>
      <c r="H917">
        <v>1.2680374325064701</v>
      </c>
      <c r="I917">
        <v>1.7431228512469701</v>
      </c>
      <c r="J917">
        <v>1.65932251047361</v>
      </c>
      <c r="K917">
        <v>1.16176434696623</v>
      </c>
      <c r="L917">
        <v>15000</v>
      </c>
      <c r="M917">
        <v>246.04625723682599</v>
      </c>
      <c r="O917">
        <v>60.9600979161631</v>
      </c>
      <c r="P917">
        <v>0.50452300422685803</v>
      </c>
      <c r="Q917">
        <v>1.5</v>
      </c>
      <c r="R917">
        <v>0.57507392951693803</v>
      </c>
      <c r="S917" t="s">
        <v>7534</v>
      </c>
      <c r="T917" t="s">
        <v>13232</v>
      </c>
      <c r="U917" t="s">
        <v>13232</v>
      </c>
      <c r="V917" t="s">
        <v>13232</v>
      </c>
      <c r="W917" t="s">
        <v>14123</v>
      </c>
      <c r="X917">
        <v>3</v>
      </c>
      <c r="Y917" t="s">
        <v>20653</v>
      </c>
      <c r="Z917" t="s">
        <v>27048</v>
      </c>
      <c r="AA917">
        <v>1.150542334183249</v>
      </c>
      <c r="AB917" t="str">
        <f>HYPERLINK("Melting_Curves/meltCurve_J3KQD2_SENP2.pdf", "Melting_Curves/meltCurve_J3KQD2_SENP2.pdf")</f>
        <v>Melting_Curves/meltCurve_J3KQD2_SENP2.pdf</v>
      </c>
    </row>
    <row r="918" spans="1:28" x14ac:dyDescent="0.25">
      <c r="A918" t="s">
        <v>922</v>
      </c>
      <c r="B918">
        <v>0.99930955844802105</v>
      </c>
      <c r="C918">
        <v>0.81873651843683104</v>
      </c>
      <c r="D918">
        <v>0.81827647229992295</v>
      </c>
      <c r="E918">
        <v>0.67449022822135896</v>
      </c>
      <c r="F918">
        <v>0.51860487130937105</v>
      </c>
      <c r="G918">
        <v>0.37599027370161198</v>
      </c>
      <c r="H918">
        <v>0.21792940032302999</v>
      </c>
      <c r="I918">
        <v>0.199555055624526</v>
      </c>
      <c r="J918">
        <v>0.165262144335592</v>
      </c>
      <c r="K918">
        <v>0.140024224960071</v>
      </c>
      <c r="L918">
        <v>479.457256444211</v>
      </c>
      <c r="M918">
        <v>9.0312287827191096</v>
      </c>
      <c r="N918">
        <v>53.4322740113724</v>
      </c>
      <c r="O918">
        <v>50.6798429231578</v>
      </c>
      <c r="P918">
        <v>-4.3325128637568398E-2</v>
      </c>
      <c r="Q918">
        <v>2.81995784791952E-2</v>
      </c>
      <c r="R918">
        <v>0.98745329390063097</v>
      </c>
      <c r="S918" t="s">
        <v>7535</v>
      </c>
      <c r="T918" t="s">
        <v>13232</v>
      </c>
      <c r="U918" t="s">
        <v>13232</v>
      </c>
      <c r="V918" t="s">
        <v>13232</v>
      </c>
      <c r="W918" t="s">
        <v>14124</v>
      </c>
      <c r="X918">
        <v>3</v>
      </c>
      <c r="Y918" t="s">
        <v>20654</v>
      </c>
      <c r="Z918" t="s">
        <v>27049</v>
      </c>
      <c r="AA918">
        <v>0.48798969379260537</v>
      </c>
      <c r="AB918" t="str">
        <f>HYPERLINK("Melting_Curves/meltCurve_J3KQS2_CDC7.pdf", "Melting_Curves/meltCurve_J3KQS2_CDC7.pdf")</f>
        <v>Melting_Curves/meltCurve_J3KQS2_CDC7.pdf</v>
      </c>
    </row>
    <row r="919" spans="1:28" x14ac:dyDescent="0.25">
      <c r="A919" t="s">
        <v>923</v>
      </c>
      <c r="B919">
        <v>0.99930955844802105</v>
      </c>
      <c r="C919">
        <v>0.87678692826386995</v>
      </c>
      <c r="D919">
        <v>0.79346433709955799</v>
      </c>
      <c r="E919">
        <v>0.80238873853142101</v>
      </c>
      <c r="F919">
        <v>0.77722933380978898</v>
      </c>
      <c r="G919">
        <v>0.62028872057159201</v>
      </c>
      <c r="H919">
        <v>0.27658631728205701</v>
      </c>
      <c r="I919">
        <v>0.14890333032195299</v>
      </c>
      <c r="J919">
        <v>0.11427752474292199</v>
      </c>
      <c r="K919">
        <v>8.4179954998431505E-2</v>
      </c>
      <c r="L919">
        <v>701.32637485271903</v>
      </c>
      <c r="M919">
        <v>12.2700911265336</v>
      </c>
      <c r="N919">
        <v>57.157383736316397</v>
      </c>
      <c r="O919">
        <v>55.702809044240503</v>
      </c>
      <c r="P919">
        <v>-5.5081629409512202E-2</v>
      </c>
      <c r="Q919">
        <v>0</v>
      </c>
      <c r="R919">
        <v>0.94634328257385003</v>
      </c>
      <c r="S919" t="s">
        <v>7536</v>
      </c>
      <c r="T919" t="s">
        <v>13232</v>
      </c>
      <c r="U919" t="s">
        <v>13232</v>
      </c>
      <c r="V919" t="s">
        <v>13232</v>
      </c>
      <c r="W919" t="s">
        <v>14125</v>
      </c>
      <c r="X919">
        <v>12</v>
      </c>
      <c r="Y919" t="s">
        <v>20655</v>
      </c>
      <c r="Z919" t="s">
        <v>27050</v>
      </c>
      <c r="AA919">
        <v>0.58816633149882047</v>
      </c>
      <c r="AB919" t="str">
        <f>HYPERLINK("Melting_Curves/meltCurve_J3KQS6_BABAM1.pdf", "Melting_Curves/meltCurve_J3KQS6_BABAM1.pdf")</f>
        <v>Melting_Curves/meltCurve_J3KQS6_BABAM1.pdf</v>
      </c>
    </row>
    <row r="920" spans="1:28" x14ac:dyDescent="0.25">
      <c r="A920" t="s">
        <v>924</v>
      </c>
      <c r="B920">
        <v>0.99930955844802105</v>
      </c>
      <c r="C920">
        <v>1.1236145168456799</v>
      </c>
      <c r="D920">
        <v>0.95500598378998403</v>
      </c>
      <c r="E920">
        <v>0.81518551157186303</v>
      </c>
      <c r="F920">
        <v>0.71617839585716203</v>
      </c>
      <c r="G920">
        <v>0.58099623779204501</v>
      </c>
      <c r="H920">
        <v>0.54810763309173005</v>
      </c>
      <c r="I920">
        <v>0.64495850513314501</v>
      </c>
      <c r="J920">
        <v>0.56201676431723901</v>
      </c>
      <c r="K920">
        <v>0.48773806393656299</v>
      </c>
      <c r="L920">
        <v>1153.0524746494</v>
      </c>
      <c r="M920">
        <v>22.5327896328469</v>
      </c>
      <c r="O920">
        <v>50.774263191958802</v>
      </c>
      <c r="P920">
        <v>-4.9418813582750999E-2</v>
      </c>
      <c r="Q920">
        <v>0.554577439414911</v>
      </c>
      <c r="R920">
        <v>0.93031277424282</v>
      </c>
      <c r="S920" t="s">
        <v>7537</v>
      </c>
      <c r="T920" t="s">
        <v>13232</v>
      </c>
      <c r="U920" t="s">
        <v>13232</v>
      </c>
      <c r="V920" t="s">
        <v>13232</v>
      </c>
      <c r="W920" t="s">
        <v>14126</v>
      </c>
      <c r="X920">
        <v>4</v>
      </c>
      <c r="Y920" t="s">
        <v>20656</v>
      </c>
      <c r="Z920" t="s">
        <v>27051</v>
      </c>
      <c r="AA920">
        <v>0.72538852027428313</v>
      </c>
      <c r="AB920" t="str">
        <f>HYPERLINK("Melting_Curves/meltCurve_J3KR07_CRAMP1L.pdf", "Melting_Curves/meltCurve_J3KR07_CRAMP1L.pdf")</f>
        <v>Melting_Curves/meltCurve_J3KR07_CRAMP1L.pdf</v>
      </c>
    </row>
    <row r="921" spans="1:28" x14ac:dyDescent="0.25">
      <c r="A921" t="s">
        <v>925</v>
      </c>
      <c r="B921">
        <v>0.99930955844802105</v>
      </c>
      <c r="C921">
        <v>0.91680433008040496</v>
      </c>
      <c r="D921">
        <v>0.88405654764239305</v>
      </c>
      <c r="E921">
        <v>0.862728795202097</v>
      </c>
      <c r="F921">
        <v>0.69514229921646897</v>
      </c>
      <c r="G921">
        <v>0.53009394505655705</v>
      </c>
      <c r="H921">
        <v>0.47500206649432702</v>
      </c>
      <c r="I921">
        <v>0.472539047378921</v>
      </c>
      <c r="J921">
        <v>0.44916541513353497</v>
      </c>
      <c r="K921">
        <v>0.37439371241171399</v>
      </c>
      <c r="L921">
        <v>609.68821665153496</v>
      </c>
      <c r="M921">
        <v>11.4009144151144</v>
      </c>
      <c r="N921">
        <v>60.2314749212306</v>
      </c>
      <c r="O921">
        <v>51.911155742989898</v>
      </c>
      <c r="P921">
        <v>-3.5107699053062498E-2</v>
      </c>
      <c r="Q921">
        <v>0.36077204489524201</v>
      </c>
      <c r="R921">
        <v>0.97668292127790302</v>
      </c>
      <c r="S921" t="s">
        <v>7538</v>
      </c>
      <c r="T921" t="s">
        <v>13232</v>
      </c>
      <c r="U921" t="s">
        <v>13232</v>
      </c>
      <c r="V921" t="s">
        <v>13232</v>
      </c>
      <c r="W921" t="s">
        <v>14127</v>
      </c>
      <c r="X921">
        <v>4</v>
      </c>
      <c r="Y921" t="s">
        <v>20657</v>
      </c>
      <c r="Z921" t="s">
        <v>27052</v>
      </c>
      <c r="AA921">
        <v>0.66635562596498665</v>
      </c>
      <c r="AB921" t="str">
        <f>HYPERLINK("Melting_Curves/meltCurve_J3KRP6_SS18.pdf", "Melting_Curves/meltCurve_J3KRP6_SS18.pdf")</f>
        <v>Melting_Curves/meltCurve_J3KRP6_SS18.pdf</v>
      </c>
    </row>
    <row r="922" spans="1:28" x14ac:dyDescent="0.25">
      <c r="A922" t="s">
        <v>926</v>
      </c>
      <c r="B922">
        <v>0.99930955844802105</v>
      </c>
      <c r="C922">
        <v>0.99602885879968495</v>
      </c>
      <c r="D922">
        <v>0.94425495330420195</v>
      </c>
      <c r="E922">
        <v>0.64670236762752897</v>
      </c>
      <c r="F922">
        <v>0.31991833205713999</v>
      </c>
      <c r="G922">
        <v>0.17798680162456901</v>
      </c>
      <c r="H922">
        <v>9.5621959192741496E-2</v>
      </c>
      <c r="I922">
        <v>6.6345927539677593E-2</v>
      </c>
      <c r="J922">
        <v>5.7255660028161001E-2</v>
      </c>
      <c r="K922">
        <v>4.0218326804663203E-2</v>
      </c>
      <c r="L922">
        <v>1172.5956141230699</v>
      </c>
      <c r="M922">
        <v>22.9641137223492</v>
      </c>
      <c r="N922">
        <v>51.352519167078803</v>
      </c>
      <c r="O922">
        <v>50.679583601523397</v>
      </c>
      <c r="P922">
        <v>-0.106384286918022</v>
      </c>
      <c r="Q922">
        <v>6.0897868324912903E-2</v>
      </c>
      <c r="R922">
        <v>0.998036474762796</v>
      </c>
      <c r="S922" t="s">
        <v>7539</v>
      </c>
      <c r="T922" t="s">
        <v>13232</v>
      </c>
      <c r="U922" t="s">
        <v>13232</v>
      </c>
      <c r="V922" t="s">
        <v>13232</v>
      </c>
      <c r="W922" t="s">
        <v>14128</v>
      </c>
      <c r="X922">
        <v>5</v>
      </c>
      <c r="Y922" t="s">
        <v>20658</v>
      </c>
      <c r="Z922" t="s">
        <v>27053</v>
      </c>
      <c r="AA922">
        <v>0.41719854011889229</v>
      </c>
      <c r="AB922" t="str">
        <f>HYPERLINK("Melting_Curves/meltCurve_J3KSB8_MIF4GD.pdf", "Melting_Curves/meltCurve_J3KSB8_MIF4GD.pdf")</f>
        <v>Melting_Curves/meltCurve_J3KSB8_MIF4GD.pdf</v>
      </c>
    </row>
    <row r="923" spans="1:28" x14ac:dyDescent="0.25">
      <c r="A923" t="s">
        <v>927</v>
      </c>
      <c r="B923">
        <v>0.99930955844802105</v>
      </c>
      <c r="C923">
        <v>0.95150375866908898</v>
      </c>
      <c r="D923">
        <v>0.86487599609965804</v>
      </c>
      <c r="E923">
        <v>0.78193106067783902</v>
      </c>
      <c r="F923">
        <v>0.628955366429931</v>
      </c>
      <c r="G923">
        <v>0.56628346192019297</v>
      </c>
      <c r="H923">
        <v>0.48047890102088198</v>
      </c>
      <c r="I923">
        <v>0.48459032686221898</v>
      </c>
      <c r="J923">
        <v>0.474111359828221</v>
      </c>
      <c r="K923">
        <v>0.37771720896799099</v>
      </c>
      <c r="L923">
        <v>573.56414916901201</v>
      </c>
      <c r="M923">
        <v>11.059526392587999</v>
      </c>
      <c r="N923">
        <v>60.239316598819599</v>
      </c>
      <c r="O923">
        <v>50.252523287019002</v>
      </c>
      <c r="P923">
        <v>-3.3429728948766502E-2</v>
      </c>
      <c r="Q923">
        <v>0.39260571098256097</v>
      </c>
      <c r="R923">
        <v>0.98497111951795802</v>
      </c>
      <c r="S923" t="s">
        <v>7540</v>
      </c>
      <c r="T923" t="s">
        <v>13232</v>
      </c>
      <c r="U923" t="s">
        <v>13232</v>
      </c>
      <c r="V923" t="s">
        <v>13232</v>
      </c>
      <c r="W923" t="s">
        <v>14129</v>
      </c>
      <c r="X923">
        <v>5</v>
      </c>
      <c r="Y923" t="s">
        <v>20659</v>
      </c>
      <c r="Z923" t="s">
        <v>27054</v>
      </c>
      <c r="AA923">
        <v>0.65355250279077204</v>
      </c>
      <c r="AB923" t="str">
        <f>HYPERLINK("Melting_Curves/meltCurve_J3KSW2_POLI.pdf", "Melting_Curves/meltCurve_J3KSW2_POLI.pdf")</f>
        <v>Melting_Curves/meltCurve_J3KSW2_POLI.pdf</v>
      </c>
    </row>
    <row r="924" spans="1:28" x14ac:dyDescent="0.25">
      <c r="A924" t="s">
        <v>928</v>
      </c>
      <c r="B924">
        <v>0.99930955844802105</v>
      </c>
      <c r="C924">
        <v>0.87369281323463699</v>
      </c>
      <c r="D924">
        <v>0.67399078150672498</v>
      </c>
      <c r="E924">
        <v>0.68810252809151995</v>
      </c>
      <c r="F924">
        <v>0.394275685683392</v>
      </c>
      <c r="G924">
        <v>0.22228828860404301</v>
      </c>
      <c r="H924">
        <v>0.137544942372722</v>
      </c>
      <c r="I924">
        <v>8.2976456558123302E-2</v>
      </c>
      <c r="J924">
        <v>6.1089676408675402E-2</v>
      </c>
      <c r="K924">
        <v>6.9527910534499901E-2</v>
      </c>
      <c r="L924">
        <v>559.34875682393397</v>
      </c>
      <c r="M924">
        <v>10.9157205137895</v>
      </c>
      <c r="N924">
        <v>51.242495292138898</v>
      </c>
      <c r="O924">
        <v>49.612715054960603</v>
      </c>
      <c r="P924">
        <v>-5.5023770589451501E-2</v>
      </c>
      <c r="Q924">
        <v>0</v>
      </c>
      <c r="R924">
        <v>0.97484931909833705</v>
      </c>
      <c r="S924" t="s">
        <v>7541</v>
      </c>
      <c r="T924" t="s">
        <v>13232</v>
      </c>
      <c r="U924" t="s">
        <v>13232</v>
      </c>
      <c r="V924" t="s">
        <v>13232</v>
      </c>
      <c r="W924" t="s">
        <v>14130</v>
      </c>
      <c r="X924">
        <v>1</v>
      </c>
      <c r="Y924" t="s">
        <v>20660</v>
      </c>
      <c r="Z924" t="s">
        <v>27055</v>
      </c>
      <c r="AA924">
        <v>0.41125050832471971</v>
      </c>
      <c r="AB924" t="str">
        <f>HYPERLINK("Melting_Curves/meltCurve_J3KSX7_RHOT1.pdf", "Melting_Curves/meltCurve_J3KSX7_RHOT1.pdf")</f>
        <v>Melting_Curves/meltCurve_J3KSX7_RHOT1.pdf</v>
      </c>
    </row>
    <row r="925" spans="1:28" x14ac:dyDescent="0.25">
      <c r="A925" t="s">
        <v>929</v>
      </c>
      <c r="B925">
        <v>0.99930955844802105</v>
      </c>
      <c r="C925">
        <v>1.0358642510110501</v>
      </c>
      <c r="D925">
        <v>1.0563047705694999</v>
      </c>
      <c r="E925">
        <v>1.0237031531756799</v>
      </c>
      <c r="F925">
        <v>0.89218441896977596</v>
      </c>
      <c r="G925">
        <v>0.851649278786209</v>
      </c>
      <c r="H925">
        <v>0.85119468282881205</v>
      </c>
      <c r="I925">
        <v>0.87343974590705498</v>
      </c>
      <c r="J925">
        <v>0.84392259754200505</v>
      </c>
      <c r="K925">
        <v>0.68055096612057098</v>
      </c>
      <c r="L925">
        <v>439.45273234040098</v>
      </c>
      <c r="M925">
        <v>5.2857550820679</v>
      </c>
      <c r="Q925">
        <v>0</v>
      </c>
      <c r="R925">
        <v>0.78633617423278501</v>
      </c>
      <c r="S925" t="s">
        <v>7542</v>
      </c>
      <c r="T925" t="s">
        <v>13232</v>
      </c>
      <c r="U925" t="s">
        <v>13232</v>
      </c>
      <c r="V925" t="s">
        <v>13232</v>
      </c>
      <c r="W925" t="s">
        <v>14131</v>
      </c>
      <c r="X925">
        <v>6</v>
      </c>
      <c r="Y925" t="s">
        <v>20661</v>
      </c>
      <c r="Z925" t="s">
        <v>27056</v>
      </c>
      <c r="AA925">
        <v>0.9109256454519723</v>
      </c>
      <c r="AB925" t="str">
        <f>HYPERLINK("Melting_Curves/meltCurve_J3KT51_HN1.pdf", "Melting_Curves/meltCurve_J3KT51_HN1.pdf")</f>
        <v>Melting_Curves/meltCurve_J3KT51_HN1.pdf</v>
      </c>
    </row>
    <row r="926" spans="1:28" x14ac:dyDescent="0.25">
      <c r="A926" t="s">
        <v>930</v>
      </c>
      <c r="B926">
        <v>0.99930955844802105</v>
      </c>
      <c r="C926">
        <v>1.03052199328866</v>
      </c>
      <c r="D926">
        <v>1.05538061877346</v>
      </c>
      <c r="E926">
        <v>0.91028803158120897</v>
      </c>
      <c r="F926">
        <v>0.60364112260865399</v>
      </c>
      <c r="G926">
        <v>0.19425859293037301</v>
      </c>
      <c r="H926">
        <v>9.3594763532684103E-2</v>
      </c>
      <c r="I926">
        <v>7.1686703651057795E-2</v>
      </c>
      <c r="J926">
        <v>6.4209309547415105E-2</v>
      </c>
      <c r="K926">
        <v>4.5540687645335698E-2</v>
      </c>
      <c r="L926">
        <v>1655.16204029508</v>
      </c>
      <c r="M926">
        <v>30.890080899406001</v>
      </c>
      <c r="N926">
        <v>53.812217147176902</v>
      </c>
      <c r="O926">
        <v>53.359253947808398</v>
      </c>
      <c r="P926">
        <v>-0.13578103689382601</v>
      </c>
      <c r="Q926">
        <v>6.1817561599809903E-2</v>
      </c>
      <c r="R926">
        <v>0.99721283044610398</v>
      </c>
      <c r="S926" t="s">
        <v>7543</v>
      </c>
      <c r="T926" t="s">
        <v>13232</v>
      </c>
      <c r="U926" t="s">
        <v>13232</v>
      </c>
      <c r="V926" t="s">
        <v>13232</v>
      </c>
      <c r="W926" t="s">
        <v>14132</v>
      </c>
      <c r="X926">
        <v>12</v>
      </c>
      <c r="Y926" t="s">
        <v>20662</v>
      </c>
      <c r="Z926" t="s">
        <v>27057</v>
      </c>
      <c r="AA926">
        <v>0.49236607820359701</v>
      </c>
      <c r="AB926" t="str">
        <f>HYPERLINK("Melting_Curves/meltCurve_J3KTF8_ARHGDIA.pdf", "Melting_Curves/meltCurve_J3KTF8_ARHGDIA.pdf")</f>
        <v>Melting_Curves/meltCurve_J3KTF8_ARHGDIA.pdf</v>
      </c>
    </row>
    <row r="927" spans="1:28" x14ac:dyDescent="0.25">
      <c r="A927" t="s">
        <v>931</v>
      </c>
      <c r="B927">
        <v>0.99930955844802105</v>
      </c>
      <c r="C927">
        <v>0.926246410744204</v>
      </c>
      <c r="D927">
        <v>0.75100693064314406</v>
      </c>
      <c r="E927">
        <v>0.65493893778080603</v>
      </c>
      <c r="F927">
        <v>0.61099669244973898</v>
      </c>
      <c r="G927">
        <v>0.48047054281228901</v>
      </c>
      <c r="H927">
        <v>0.426900841344999</v>
      </c>
      <c r="I927">
        <v>0.50465473822015905</v>
      </c>
      <c r="J927">
        <v>0.47241857608161197</v>
      </c>
      <c r="K927">
        <v>0.38724771624073601</v>
      </c>
      <c r="L927">
        <v>606.60549682700901</v>
      </c>
      <c r="M927">
        <v>12.5494024519456</v>
      </c>
      <c r="N927">
        <v>56.996539690435696</v>
      </c>
      <c r="O927">
        <v>47.1592490286302</v>
      </c>
      <c r="P927">
        <v>-3.8213758447129598E-2</v>
      </c>
      <c r="Q927">
        <v>0.425704279161569</v>
      </c>
      <c r="R927">
        <v>0.96403062128789696</v>
      </c>
      <c r="S927" t="s">
        <v>7544</v>
      </c>
      <c r="T927" t="s">
        <v>13232</v>
      </c>
      <c r="U927" t="s">
        <v>13232</v>
      </c>
      <c r="V927" t="s">
        <v>13232</v>
      </c>
      <c r="W927" t="s">
        <v>14133</v>
      </c>
      <c r="X927">
        <v>4</v>
      </c>
      <c r="Y927" t="s">
        <v>20663</v>
      </c>
      <c r="Z927" t="s">
        <v>27058</v>
      </c>
      <c r="AA927">
        <v>0.60562776926884765</v>
      </c>
      <c r="AB927" t="str">
        <f>HYPERLINK("Melting_Curves/meltCurve_J3QK86_BAZ2A.pdf", "Melting_Curves/meltCurve_J3QK86_BAZ2A.pdf")</f>
        <v>Melting_Curves/meltCurve_J3QK86_BAZ2A.pdf</v>
      </c>
    </row>
    <row r="928" spans="1:28" x14ac:dyDescent="0.25">
      <c r="A928" t="s">
        <v>932</v>
      </c>
      <c r="B928">
        <v>0.99930955844802105</v>
      </c>
      <c r="C928">
        <v>0.72502187012235997</v>
      </c>
      <c r="D928">
        <v>0.55178925805080603</v>
      </c>
      <c r="E928">
        <v>0.40103683443671001</v>
      </c>
      <c r="F928">
        <v>0.16095071606039399</v>
      </c>
      <c r="G928">
        <v>0.10676567751621301</v>
      </c>
      <c r="H928">
        <v>4.6599829490786802E-2</v>
      </c>
      <c r="I928">
        <v>1.5868946951251E-2</v>
      </c>
      <c r="J928">
        <v>1.62192913553059E-2</v>
      </c>
      <c r="K928">
        <v>4.8656110205918101E-3</v>
      </c>
      <c r="L928">
        <v>606.57297647538405</v>
      </c>
      <c r="M928">
        <v>12.851604516693801</v>
      </c>
      <c r="N928">
        <v>47.198232734891299</v>
      </c>
      <c r="O928">
        <v>46.099259838273099</v>
      </c>
      <c r="P928">
        <v>-6.9708163547135896E-2</v>
      </c>
      <c r="Q928">
        <v>0</v>
      </c>
      <c r="R928">
        <v>0.98234789242569898</v>
      </c>
      <c r="S928" t="s">
        <v>7545</v>
      </c>
      <c r="T928" t="s">
        <v>13232</v>
      </c>
      <c r="U928" t="s">
        <v>13232</v>
      </c>
      <c r="V928" t="s">
        <v>13232</v>
      </c>
      <c r="W928" t="s">
        <v>14134</v>
      </c>
      <c r="X928">
        <v>2</v>
      </c>
      <c r="Y928" t="s">
        <v>20664</v>
      </c>
      <c r="Z928" t="s">
        <v>27059</v>
      </c>
      <c r="AA928">
        <v>0.27636213231376627</v>
      </c>
      <c r="AB928" t="str">
        <f>HYPERLINK("Melting_Curves/meltCurve_J3QKW2_MRPS7.pdf", "Melting_Curves/meltCurve_J3QKW2_MRPS7.pdf")</f>
        <v>Melting_Curves/meltCurve_J3QKW2_MRPS7.pdf</v>
      </c>
    </row>
    <row r="929" spans="1:28" x14ac:dyDescent="0.25">
      <c r="A929" t="s">
        <v>933</v>
      </c>
      <c r="B929">
        <v>0.99930955844802105</v>
      </c>
      <c r="C929">
        <v>0.86606725790333206</v>
      </c>
      <c r="D929">
        <v>0.72027829118780895</v>
      </c>
      <c r="E929">
        <v>0.46458470484727599</v>
      </c>
      <c r="F929">
        <v>0.23656099055562399</v>
      </c>
      <c r="G929">
        <v>0.144529177124883</v>
      </c>
      <c r="H929">
        <v>8.5320543501543195E-2</v>
      </c>
      <c r="I929">
        <v>7.6781459942027896E-2</v>
      </c>
      <c r="J929">
        <v>7.5087281636058406E-2</v>
      </c>
      <c r="K929">
        <v>6.0393584936307497E-2</v>
      </c>
      <c r="L929">
        <v>743.48397125518102</v>
      </c>
      <c r="M929">
        <v>15.2635788073692</v>
      </c>
      <c r="N929">
        <v>49.053059185679203</v>
      </c>
      <c r="O929">
        <v>47.896526064812498</v>
      </c>
      <c r="P929">
        <v>-7.5639863145958802E-2</v>
      </c>
      <c r="Q929">
        <v>5.0669251263236299E-2</v>
      </c>
      <c r="R929">
        <v>0.99685830531645703</v>
      </c>
      <c r="S929" t="s">
        <v>7546</v>
      </c>
      <c r="T929" t="s">
        <v>13232</v>
      </c>
      <c r="U929" t="s">
        <v>13232</v>
      </c>
      <c r="V929" t="s">
        <v>13232</v>
      </c>
      <c r="W929" t="s">
        <v>14135</v>
      </c>
      <c r="X929">
        <v>6</v>
      </c>
      <c r="Y929" t="s">
        <v>20665</v>
      </c>
      <c r="Z929" t="s">
        <v>27060</v>
      </c>
      <c r="AA929">
        <v>0.34919568050631161</v>
      </c>
      <c r="AB929" t="str">
        <f>HYPERLINK("Melting_Curves/meltCurve_J3QL14_ATP6V0D1.pdf", "Melting_Curves/meltCurve_J3QL14_ATP6V0D1.pdf")</f>
        <v>Melting_Curves/meltCurve_J3QL14_ATP6V0D1.pdf</v>
      </c>
    </row>
    <row r="930" spans="1:28" x14ac:dyDescent="0.25">
      <c r="A930" t="s">
        <v>934</v>
      </c>
      <c r="B930">
        <v>0.99930955844802105</v>
      </c>
      <c r="C930">
        <v>0.74320173058226802</v>
      </c>
      <c r="D930">
        <v>0.61773183729456604</v>
      </c>
      <c r="E930">
        <v>0.47986141673287802</v>
      </c>
      <c r="F930">
        <v>0.29212940461666198</v>
      </c>
      <c r="G930">
        <v>0.18898622830573</v>
      </c>
      <c r="H930">
        <v>0.14424350815710599</v>
      </c>
      <c r="I930">
        <v>0.125457190531792</v>
      </c>
      <c r="J930">
        <v>0.111089664221926</v>
      </c>
      <c r="K930">
        <v>7.7719727698418797E-2</v>
      </c>
      <c r="L930">
        <v>536.91905096579001</v>
      </c>
      <c r="M930">
        <v>11.1861110162258</v>
      </c>
      <c r="N930">
        <v>48.596774101010901</v>
      </c>
      <c r="O930">
        <v>46.541388700139599</v>
      </c>
      <c r="P930">
        <v>-5.6240831901626799E-2</v>
      </c>
      <c r="Q930">
        <v>6.4304348865863004E-2</v>
      </c>
      <c r="R930">
        <v>0.98280669974883395</v>
      </c>
      <c r="S930" t="s">
        <v>7547</v>
      </c>
      <c r="T930" t="s">
        <v>13232</v>
      </c>
      <c r="U930" t="s">
        <v>13232</v>
      </c>
      <c r="V930" t="s">
        <v>13232</v>
      </c>
      <c r="W930" t="s">
        <v>14136</v>
      </c>
      <c r="X930">
        <v>2</v>
      </c>
      <c r="Y930" t="s">
        <v>20666</v>
      </c>
      <c r="Z930" t="s">
        <v>27061</v>
      </c>
      <c r="AA930">
        <v>0.35512256116616719</v>
      </c>
      <c r="AB930" t="str">
        <f>HYPERLINK("Melting_Curves/meltCurve_J3QL56_SCO1.pdf", "Melting_Curves/meltCurve_J3QL56_SCO1.pdf")</f>
        <v>Melting_Curves/meltCurve_J3QL56_SCO1.pdf</v>
      </c>
    </row>
    <row r="931" spans="1:28" x14ac:dyDescent="0.25">
      <c r="A931" t="s">
        <v>935</v>
      </c>
      <c r="B931">
        <v>0.99930955844802105</v>
      </c>
      <c r="C931">
        <v>0.85466051761656103</v>
      </c>
      <c r="D931">
        <v>0.83283643545543395</v>
      </c>
      <c r="E931">
        <v>0.83755288466352995</v>
      </c>
      <c r="F931">
        <v>0.59373348248195801</v>
      </c>
      <c r="G931">
        <v>0.46873575257914202</v>
      </c>
      <c r="H931">
        <v>0.40355275411679498</v>
      </c>
      <c r="I931">
        <v>0.420833487772863</v>
      </c>
      <c r="J931">
        <v>0.38725024625295901</v>
      </c>
      <c r="K931">
        <v>0.322242112524394</v>
      </c>
      <c r="L931">
        <v>516.18874568793296</v>
      </c>
      <c r="M931">
        <v>9.8204964556168708</v>
      </c>
      <c r="N931">
        <v>57.429852534193003</v>
      </c>
      <c r="O931">
        <v>50.521973772061799</v>
      </c>
      <c r="P931">
        <v>-3.48859938614349E-2</v>
      </c>
      <c r="Q931">
        <v>0.28248400678337898</v>
      </c>
      <c r="R931">
        <v>0.95515326585023497</v>
      </c>
      <c r="S931" t="s">
        <v>7548</v>
      </c>
      <c r="T931" t="s">
        <v>13232</v>
      </c>
      <c r="U931" t="s">
        <v>13232</v>
      </c>
      <c r="V931" t="s">
        <v>13232</v>
      </c>
      <c r="W931" t="s">
        <v>14137</v>
      </c>
      <c r="X931">
        <v>9</v>
      </c>
      <c r="Y931" t="s">
        <v>20667</v>
      </c>
      <c r="Z931" t="s">
        <v>27062</v>
      </c>
      <c r="AA931">
        <v>0.60914196150442657</v>
      </c>
      <c r="AB931" t="str">
        <f>HYPERLINK("Melting_Curves/meltCurve_J3QLD9_FLOT2.pdf", "Melting_Curves/meltCurve_J3QLD9_FLOT2.pdf")</f>
        <v>Melting_Curves/meltCurve_J3QLD9_FLOT2.pdf</v>
      </c>
    </row>
    <row r="932" spans="1:28" x14ac:dyDescent="0.25">
      <c r="A932" t="s">
        <v>936</v>
      </c>
      <c r="B932">
        <v>0.99930955844802105</v>
      </c>
      <c r="C932">
        <v>0.99488516017747597</v>
      </c>
      <c r="D932">
        <v>0.976054164415458</v>
      </c>
      <c r="E932">
        <v>0.83096740701035798</v>
      </c>
      <c r="F932">
        <v>0.206256214929668</v>
      </c>
      <c r="G932">
        <v>0.14147442556749301</v>
      </c>
      <c r="H932">
        <v>6.6226627860144993E-2</v>
      </c>
      <c r="I932">
        <v>4.4643877821310698E-2</v>
      </c>
      <c r="J932">
        <v>4.1837715096366197E-2</v>
      </c>
      <c r="K932">
        <v>2.9791290364190901E-2</v>
      </c>
      <c r="L932">
        <v>2783.6914509489202</v>
      </c>
      <c r="M932">
        <v>54.184324710997899</v>
      </c>
      <c r="N932">
        <v>51.502238719672398</v>
      </c>
      <c r="O932">
        <v>51.304647286457602</v>
      </c>
      <c r="P932">
        <v>-0.247428762929881</v>
      </c>
      <c r="Q932">
        <v>6.28849401002851E-2</v>
      </c>
      <c r="R932">
        <v>0.995647686055668</v>
      </c>
      <c r="S932" t="s">
        <v>7549</v>
      </c>
      <c r="T932" t="s">
        <v>13232</v>
      </c>
      <c r="U932" t="s">
        <v>13232</v>
      </c>
      <c r="V932" t="s">
        <v>13232</v>
      </c>
      <c r="W932" t="s">
        <v>14138</v>
      </c>
      <c r="X932">
        <v>1</v>
      </c>
      <c r="Y932" t="s">
        <v>20148</v>
      </c>
      <c r="Z932" t="s">
        <v>27063</v>
      </c>
      <c r="AA932">
        <v>0.41999823593801883</v>
      </c>
      <c r="AB932" t="str">
        <f>HYPERLINK("Melting_Curves/meltCurve_J3QLM9_DNAH9.pdf", "Melting_Curves/meltCurve_J3QLM9_DNAH9.pdf")</f>
        <v>Melting_Curves/meltCurve_J3QLM9_DNAH9.pdf</v>
      </c>
    </row>
    <row r="933" spans="1:28" x14ac:dyDescent="0.25">
      <c r="A933" t="s">
        <v>937</v>
      </c>
      <c r="B933">
        <v>0.99930955844802105</v>
      </c>
      <c r="C933">
        <v>0.96359847756402595</v>
      </c>
      <c r="D933">
        <v>0.75358251970137702</v>
      </c>
      <c r="E933">
        <v>0.49377391212334598</v>
      </c>
      <c r="F933">
        <v>0.21668306588238301</v>
      </c>
      <c r="G933">
        <v>0.16793784089729499</v>
      </c>
      <c r="H933">
        <v>0.101224416511926</v>
      </c>
      <c r="I933">
        <v>7.1424321437671995E-2</v>
      </c>
      <c r="J933">
        <v>5.5771167792611098E-2</v>
      </c>
      <c r="K933">
        <v>5.09370996023061E-2</v>
      </c>
      <c r="L933">
        <v>871.27395944631303</v>
      </c>
      <c r="M933">
        <v>17.722287154013799</v>
      </c>
      <c r="N933">
        <v>49.506853697925003</v>
      </c>
      <c r="O933">
        <v>48.549471285562497</v>
      </c>
      <c r="P933">
        <v>-8.5973167947616003E-2</v>
      </c>
      <c r="Q933">
        <v>5.7969714509800499E-2</v>
      </c>
      <c r="R933">
        <v>0.99477410619171602</v>
      </c>
      <c r="S933" t="s">
        <v>7550</v>
      </c>
      <c r="T933" t="s">
        <v>13232</v>
      </c>
      <c r="U933" t="s">
        <v>13232</v>
      </c>
      <c r="V933" t="s">
        <v>13232</v>
      </c>
      <c r="W933" t="s">
        <v>14139</v>
      </c>
      <c r="X933">
        <v>5</v>
      </c>
      <c r="Y933" t="s">
        <v>20668</v>
      </c>
      <c r="Z933" t="s">
        <v>27064</v>
      </c>
      <c r="AA933">
        <v>0.36246079587950147</v>
      </c>
      <c r="AB933" t="str">
        <f>HYPERLINK("Melting_Curves/meltCurve_J3QLN8_AURKB.pdf", "Melting_Curves/meltCurve_J3QLN8_AURKB.pdf")</f>
        <v>Melting_Curves/meltCurve_J3QLN8_AURKB.pdf</v>
      </c>
    </row>
    <row r="934" spans="1:28" x14ac:dyDescent="0.25">
      <c r="A934" t="s">
        <v>938</v>
      </c>
      <c r="B934">
        <v>0.99930955844802105</v>
      </c>
      <c r="C934">
        <v>0.72913967218796205</v>
      </c>
      <c r="D934">
        <v>0.77099963011207995</v>
      </c>
      <c r="E934">
        <v>0.52769799051268895</v>
      </c>
      <c r="F934">
        <v>0.249449831800993</v>
      </c>
      <c r="G934">
        <v>0.156554786851134</v>
      </c>
      <c r="H934">
        <v>8.9866477325719701E-2</v>
      </c>
      <c r="I934">
        <v>8.0246882192214597E-2</v>
      </c>
      <c r="J934">
        <v>7.6539972103953594E-2</v>
      </c>
      <c r="K934">
        <v>6.6799192472203894E-2</v>
      </c>
      <c r="L934">
        <v>611.56519702771595</v>
      </c>
      <c r="M934">
        <v>12.4315834764593</v>
      </c>
      <c r="N934">
        <v>49.401600479513299</v>
      </c>
      <c r="O934">
        <v>47.973530818800398</v>
      </c>
      <c r="P934">
        <v>-6.31517986666012E-2</v>
      </c>
      <c r="Q934">
        <v>2.5392723550976201E-2</v>
      </c>
      <c r="R934">
        <v>0.96988830135622395</v>
      </c>
      <c r="S934" t="s">
        <v>7551</v>
      </c>
      <c r="T934" t="s">
        <v>13232</v>
      </c>
      <c r="U934" t="s">
        <v>13232</v>
      </c>
      <c r="V934" t="s">
        <v>13232</v>
      </c>
      <c r="W934" t="s">
        <v>14140</v>
      </c>
      <c r="X934">
        <v>23</v>
      </c>
      <c r="Y934" t="s">
        <v>20669</v>
      </c>
      <c r="Z934" t="s">
        <v>27065</v>
      </c>
      <c r="AA934">
        <v>0.35744997261072342</v>
      </c>
      <c r="AB934" t="str">
        <f>HYPERLINK("Melting_Curves/meltCurve_J3QQJ5_TRAPPC8.pdf", "Melting_Curves/meltCurve_J3QQJ5_TRAPPC8.pdf")</f>
        <v>Melting_Curves/meltCurve_J3QQJ5_TRAPPC8.pdf</v>
      </c>
    </row>
    <row r="935" spans="1:28" x14ac:dyDescent="0.25">
      <c r="A935" t="s">
        <v>939</v>
      </c>
      <c r="B935">
        <v>0.99930955844802105</v>
      </c>
      <c r="C935">
        <v>0.94847660794952104</v>
      </c>
      <c r="D935">
        <v>0.83425973899250305</v>
      </c>
      <c r="E935">
        <v>0.75293625386009999</v>
      </c>
      <c r="F935">
        <v>0.64449328414116602</v>
      </c>
      <c r="G935">
        <v>0.442281417760224</v>
      </c>
      <c r="H935">
        <v>0.38517019882869202</v>
      </c>
      <c r="I935">
        <v>0.39368013949004299</v>
      </c>
      <c r="J935">
        <v>0.39357647633554399</v>
      </c>
      <c r="K935">
        <v>0.33040769497031203</v>
      </c>
      <c r="L935">
        <v>630.31582409284601</v>
      </c>
      <c r="M935">
        <v>12.187818426384201</v>
      </c>
      <c r="N935">
        <v>56.409153008983701</v>
      </c>
      <c r="O935">
        <v>50.383650832211103</v>
      </c>
      <c r="P935">
        <v>-4.1217975617307903E-2</v>
      </c>
      <c r="Q935">
        <v>0.31858472146905897</v>
      </c>
      <c r="R935">
        <v>0.98618772407530397</v>
      </c>
      <c r="S935" t="s">
        <v>7552</v>
      </c>
      <c r="T935" t="s">
        <v>13232</v>
      </c>
      <c r="U935" t="s">
        <v>13232</v>
      </c>
      <c r="V935" t="s">
        <v>13232</v>
      </c>
      <c r="W935" t="s">
        <v>14141</v>
      </c>
      <c r="X935">
        <v>5</v>
      </c>
      <c r="Y935" t="s">
        <v>20670</v>
      </c>
      <c r="Z935" t="s">
        <v>27066</v>
      </c>
      <c r="AA935">
        <v>0.60553060241768086</v>
      </c>
      <c r="AB935" t="str">
        <f>HYPERLINK("Melting_Curves/meltCurve_J3QQT2_RPL17.pdf", "Melting_Curves/meltCurve_J3QQT2_RPL17.pdf")</f>
        <v>Melting_Curves/meltCurve_J3QQT2_RPL17.pdf</v>
      </c>
    </row>
    <row r="936" spans="1:28" x14ac:dyDescent="0.25">
      <c r="A936" t="s">
        <v>940</v>
      </c>
      <c r="B936">
        <v>0.99930955844802105</v>
      </c>
      <c r="C936">
        <v>0.76137628338518804</v>
      </c>
      <c r="D936">
        <v>0.73066715267411597</v>
      </c>
      <c r="E936">
        <v>0.48359711629518298</v>
      </c>
      <c r="F936">
        <v>0.30595660699459598</v>
      </c>
      <c r="G936">
        <v>0.21884224924205001</v>
      </c>
      <c r="H936">
        <v>0.14559565625389501</v>
      </c>
      <c r="I936">
        <v>0.109100260028568</v>
      </c>
      <c r="J936">
        <v>8.7404334384352106E-2</v>
      </c>
      <c r="K936">
        <v>5.9829462148951497E-2</v>
      </c>
      <c r="L936">
        <v>550.28715750607603</v>
      </c>
      <c r="M936">
        <v>11.196675703837499</v>
      </c>
      <c r="N936">
        <v>49.504035235500197</v>
      </c>
      <c r="O936">
        <v>47.6578342694892</v>
      </c>
      <c r="P936">
        <v>-5.6476482006021303E-2</v>
      </c>
      <c r="Q936">
        <v>3.87507840386975E-2</v>
      </c>
      <c r="R936">
        <v>0.98636483560854205</v>
      </c>
      <c r="S936" t="s">
        <v>7553</v>
      </c>
      <c r="T936" t="s">
        <v>13232</v>
      </c>
      <c r="U936" t="s">
        <v>13232</v>
      </c>
      <c r="V936" t="s">
        <v>13232</v>
      </c>
      <c r="W936" t="s">
        <v>14142</v>
      </c>
      <c r="X936">
        <v>13</v>
      </c>
      <c r="Y936" t="s">
        <v>20671</v>
      </c>
      <c r="Z936" t="s">
        <v>27067</v>
      </c>
      <c r="AA936">
        <v>0.37101056994216558</v>
      </c>
      <c r="AB936" t="str">
        <f>HYPERLINK("Melting_Curves/meltCurve_J3QQW9_SUZ12.pdf", "Melting_Curves/meltCurve_J3QQW9_SUZ12.pdf")</f>
        <v>Melting_Curves/meltCurve_J3QQW9_SUZ12.pdf</v>
      </c>
    </row>
    <row r="937" spans="1:28" x14ac:dyDescent="0.25">
      <c r="A937" t="s">
        <v>941</v>
      </c>
      <c r="B937">
        <v>0.99930955844802105</v>
      </c>
      <c r="C937">
        <v>1.0924106412869199</v>
      </c>
      <c r="D937">
        <v>1.0819885805973399</v>
      </c>
      <c r="E937">
        <v>1.0689924000309301</v>
      </c>
      <c r="F937">
        <v>1.0039812231102601</v>
      </c>
      <c r="G937">
        <v>0.93297744951700601</v>
      </c>
      <c r="H937">
        <v>0.84479062750038403</v>
      </c>
      <c r="I937">
        <v>0.91206148297656398</v>
      </c>
      <c r="J937">
        <v>0.83325300661372403</v>
      </c>
      <c r="K937">
        <v>0.70024445481429298</v>
      </c>
      <c r="L937">
        <v>714.57872221714194</v>
      </c>
      <c r="M937">
        <v>9.2637411685871296</v>
      </c>
      <c r="Q937">
        <v>0</v>
      </c>
      <c r="R937">
        <v>0.78403297930390603</v>
      </c>
      <c r="S937" t="s">
        <v>7554</v>
      </c>
      <c r="T937" t="s">
        <v>13232</v>
      </c>
      <c r="U937" t="s">
        <v>13232</v>
      </c>
      <c r="V937" t="s">
        <v>13232</v>
      </c>
      <c r="W937" t="s">
        <v>14143</v>
      </c>
      <c r="X937">
        <v>7</v>
      </c>
      <c r="Y937" t="s">
        <v>20672</v>
      </c>
      <c r="Z937" t="s">
        <v>27068</v>
      </c>
      <c r="AA937">
        <v>0.93733485289429508</v>
      </c>
      <c r="AB937" t="str">
        <f>HYPERLINK("Melting_Curves/meltCurve_J3QQY0_MSL1.pdf", "Melting_Curves/meltCurve_J3QQY0_MSL1.pdf")</f>
        <v>Melting_Curves/meltCurve_J3QQY0_MSL1.pdf</v>
      </c>
    </row>
    <row r="938" spans="1:28" x14ac:dyDescent="0.25">
      <c r="A938" t="s">
        <v>942</v>
      </c>
      <c r="B938">
        <v>0.99930955844802105</v>
      </c>
      <c r="C938">
        <v>1.08183529895806</v>
      </c>
      <c r="D938">
        <v>1.05733642874251</v>
      </c>
      <c r="E938">
        <v>1.0502099180788</v>
      </c>
      <c r="F938">
        <v>1.1077532809005799</v>
      </c>
      <c r="G938">
        <v>0.90108643767583096</v>
      </c>
      <c r="H938">
        <v>0.755701496413552</v>
      </c>
      <c r="I938">
        <v>0.71685888061182301</v>
      </c>
      <c r="J938">
        <v>0.68412858892655104</v>
      </c>
      <c r="K938">
        <v>0.52985858777706696</v>
      </c>
      <c r="L938">
        <v>1245.09639683</v>
      </c>
      <c r="M938">
        <v>20.167108080035899</v>
      </c>
      <c r="O938">
        <v>61.141535238616797</v>
      </c>
      <c r="P938">
        <v>-3.7600326155171698E-2</v>
      </c>
      <c r="Q938">
        <v>0.54403592081468</v>
      </c>
      <c r="R938">
        <v>0.89694046761931401</v>
      </c>
      <c r="S938" t="s">
        <v>7555</v>
      </c>
      <c r="T938" t="s">
        <v>13232</v>
      </c>
      <c r="U938" t="s">
        <v>13232</v>
      </c>
      <c r="V938" t="s">
        <v>13232</v>
      </c>
      <c r="W938" t="s">
        <v>14144</v>
      </c>
      <c r="X938">
        <v>9</v>
      </c>
      <c r="Y938" t="s">
        <v>20673</v>
      </c>
      <c r="Z938" t="s">
        <v>27069</v>
      </c>
      <c r="AA938">
        <v>0.87627333060887902</v>
      </c>
      <c r="AB938" t="str">
        <f>HYPERLINK("Melting_Curves/meltCurve_J3QR09_RPL19.pdf", "Melting_Curves/meltCurve_J3QR09_RPL19.pdf")</f>
        <v>Melting_Curves/meltCurve_J3QR09_RPL19.pdf</v>
      </c>
    </row>
    <row r="939" spans="1:28" x14ac:dyDescent="0.25">
      <c r="A939" t="s">
        <v>943</v>
      </c>
      <c r="B939">
        <v>0.99930955844802105</v>
      </c>
      <c r="C939">
        <v>1.00636478202455</v>
      </c>
      <c r="D939">
        <v>1.04983262341709</v>
      </c>
      <c r="E939">
        <v>0.94840002022886905</v>
      </c>
      <c r="F939">
        <v>0.80130056555779405</v>
      </c>
      <c r="G939">
        <v>0.69593987932793999</v>
      </c>
      <c r="H939">
        <v>0.70928516515005302</v>
      </c>
      <c r="I939">
        <v>0.64639462783058399</v>
      </c>
      <c r="J939">
        <v>0.655629068815204</v>
      </c>
      <c r="K939">
        <v>0.49065627541782902</v>
      </c>
      <c r="L939">
        <v>798.52459704418004</v>
      </c>
      <c r="M939">
        <v>14.4673627342454</v>
      </c>
      <c r="O939">
        <v>54.172485299772703</v>
      </c>
      <c r="P939">
        <v>-2.89341078090701E-2</v>
      </c>
      <c r="Q939">
        <v>0.56667981274960399</v>
      </c>
      <c r="R939">
        <v>0.92039247644968902</v>
      </c>
      <c r="S939" t="s">
        <v>7556</v>
      </c>
      <c r="T939" t="s">
        <v>13232</v>
      </c>
      <c r="U939" t="s">
        <v>13232</v>
      </c>
      <c r="V939" t="s">
        <v>13232</v>
      </c>
      <c r="W939" t="s">
        <v>14145</v>
      </c>
      <c r="X939">
        <v>2</v>
      </c>
      <c r="Y939" t="s">
        <v>20674</v>
      </c>
      <c r="Z939" t="s">
        <v>27070</v>
      </c>
      <c r="AA939">
        <v>0.79469319768315716</v>
      </c>
      <c r="AB939" t="str">
        <f>HYPERLINK("Melting_Curves/meltCurve_J3QR65_MTMR4.pdf", "Melting_Curves/meltCurve_J3QR65_MTMR4.pdf")</f>
        <v>Melting_Curves/meltCurve_J3QR65_MTMR4.pdf</v>
      </c>
    </row>
    <row r="940" spans="1:28" x14ac:dyDescent="0.25">
      <c r="A940" t="s">
        <v>944</v>
      </c>
      <c r="B940">
        <v>0.99930955844802105</v>
      </c>
      <c r="C940">
        <v>0.61548826071298002</v>
      </c>
      <c r="D940">
        <v>0.490458232915573</v>
      </c>
      <c r="E940">
        <v>0.49165495355574401</v>
      </c>
      <c r="F940">
        <v>0.247989196783759</v>
      </c>
      <c r="G940">
        <v>0.143098375341321</v>
      </c>
      <c r="H940">
        <v>7.1495146811449403E-2</v>
      </c>
      <c r="I940">
        <v>6.8633148206428296E-2</v>
      </c>
      <c r="J940">
        <v>5.0421791054225902E-2</v>
      </c>
      <c r="K940">
        <v>4.0565968790007102E-2</v>
      </c>
      <c r="L940">
        <v>462.75314271323498</v>
      </c>
      <c r="M940">
        <v>9.7977989713441591</v>
      </c>
      <c r="N940">
        <v>47.230317462088898</v>
      </c>
      <c r="O940">
        <v>45.388901481427702</v>
      </c>
      <c r="P940">
        <v>-5.3994188779946502E-2</v>
      </c>
      <c r="Q940">
        <v>0</v>
      </c>
      <c r="R940">
        <v>0.93931052121202296</v>
      </c>
      <c r="S940" t="s">
        <v>7557</v>
      </c>
      <c r="T940" t="s">
        <v>13232</v>
      </c>
      <c r="U940" t="s">
        <v>13232</v>
      </c>
      <c r="V940" t="s">
        <v>13232</v>
      </c>
      <c r="W940" t="s">
        <v>14146</v>
      </c>
      <c r="X940">
        <v>7</v>
      </c>
      <c r="Y940" t="s">
        <v>20675</v>
      </c>
      <c r="Z940" t="s">
        <v>27071</v>
      </c>
      <c r="AA940">
        <v>0.29922811252752668</v>
      </c>
      <c r="AB940" t="str">
        <f>HYPERLINK("Melting_Curves/meltCurve_J3QRN6_MYO1D.pdf", "Melting_Curves/meltCurve_J3QRN6_MYO1D.pdf")</f>
        <v>Melting_Curves/meltCurve_J3QRN6_MYO1D.pdf</v>
      </c>
    </row>
    <row r="941" spans="1:28" x14ac:dyDescent="0.25">
      <c r="A941" t="s">
        <v>945</v>
      </c>
      <c r="B941">
        <v>0.99930955844802105</v>
      </c>
      <c r="C941">
        <v>1.0263835965599899</v>
      </c>
      <c r="D941">
        <v>1.05510766377983</v>
      </c>
      <c r="E941">
        <v>0.98830021988653605</v>
      </c>
      <c r="F941">
        <v>0.82451415266575501</v>
      </c>
      <c r="G941">
        <v>0.68363675206738705</v>
      </c>
      <c r="H941">
        <v>0.62220531458610795</v>
      </c>
      <c r="I941">
        <v>0.68427293627422403</v>
      </c>
      <c r="J941">
        <v>0.66739989336461403</v>
      </c>
      <c r="K941">
        <v>0.54712908914438996</v>
      </c>
      <c r="L941">
        <v>1938.82591399636</v>
      </c>
      <c r="M941">
        <v>36.355869720516203</v>
      </c>
      <c r="O941">
        <v>53.168525739672901</v>
      </c>
      <c r="P941">
        <v>-6.2839144145469497E-2</v>
      </c>
      <c r="Q941">
        <v>0.63240551152110203</v>
      </c>
      <c r="R941">
        <v>0.95170094445819997</v>
      </c>
      <c r="S941" t="s">
        <v>7558</v>
      </c>
      <c r="T941" t="s">
        <v>13232</v>
      </c>
      <c r="U941" t="s">
        <v>13232</v>
      </c>
      <c r="V941" t="s">
        <v>13232</v>
      </c>
      <c r="W941" t="s">
        <v>14147</v>
      </c>
      <c r="X941">
        <v>3</v>
      </c>
      <c r="Y941" t="s">
        <v>20676</v>
      </c>
      <c r="Z941" t="s">
        <v>27072</v>
      </c>
      <c r="AA941">
        <v>0.79736711576946628</v>
      </c>
      <c r="AB941" t="str">
        <f>HYPERLINK("Melting_Curves/meltCurve_J3QSH4_VEZF1.pdf", "Melting_Curves/meltCurve_J3QSH4_VEZF1.pdf")</f>
        <v>Melting_Curves/meltCurve_J3QSH4_VEZF1.pdf</v>
      </c>
    </row>
    <row r="942" spans="1:28" x14ac:dyDescent="0.25">
      <c r="A942" t="s">
        <v>946</v>
      </c>
      <c r="B942">
        <v>0.99930955844802105</v>
      </c>
      <c r="C942">
        <v>1.03827384234496</v>
      </c>
      <c r="D942">
        <v>1.02527285979951</v>
      </c>
      <c r="E942">
        <v>0.93790648583803005</v>
      </c>
      <c r="F942">
        <v>0.76228171354664798</v>
      </c>
      <c r="G942">
        <v>0.45192378593371502</v>
      </c>
      <c r="H942">
        <v>0.16531614040273199</v>
      </c>
      <c r="I942">
        <v>0.114200727785014</v>
      </c>
      <c r="J942">
        <v>9.9718545438767306E-2</v>
      </c>
      <c r="K942">
        <v>7.8226817100201601E-2</v>
      </c>
      <c r="L942">
        <v>1240.87897829452</v>
      </c>
      <c r="M942">
        <v>22.224619888099401</v>
      </c>
      <c r="N942">
        <v>56.189845357146801</v>
      </c>
      <c r="O942">
        <v>55.387388976712501</v>
      </c>
      <c r="P942">
        <v>-9.3723186145908299E-2</v>
      </c>
      <c r="Q942">
        <v>6.5726039943281397E-2</v>
      </c>
      <c r="R942">
        <v>0.99735232188016198</v>
      </c>
      <c r="S942" t="s">
        <v>7559</v>
      </c>
      <c r="T942" t="s">
        <v>13232</v>
      </c>
      <c r="U942" t="s">
        <v>13232</v>
      </c>
      <c r="V942" t="s">
        <v>13232</v>
      </c>
      <c r="W942" t="s">
        <v>14148</v>
      </c>
      <c r="X942">
        <v>17</v>
      </c>
      <c r="Y942" t="s">
        <v>20677</v>
      </c>
      <c r="Z942" t="s">
        <v>27073</v>
      </c>
      <c r="AA942">
        <v>0.56920530739591846</v>
      </c>
      <c r="AB942" t="str">
        <f>HYPERLINK("Melting_Curves/meltCurve_J3QT28_BUB3.pdf", "Melting_Curves/meltCurve_J3QT28_BUB3.pdf")</f>
        <v>Melting_Curves/meltCurve_J3QT28_BUB3.pdf</v>
      </c>
    </row>
    <row r="943" spans="1:28" x14ac:dyDescent="0.25">
      <c r="A943" t="s">
        <v>947</v>
      </c>
      <c r="B943">
        <v>0.99930955844802105</v>
      </c>
      <c r="C943">
        <v>0.83690260556569296</v>
      </c>
      <c r="D943">
        <v>0.89618455565246502</v>
      </c>
      <c r="E943">
        <v>0.75227015558579102</v>
      </c>
      <c r="F943">
        <v>0.64085781649524998</v>
      </c>
      <c r="G943">
        <v>0.482777059666262</v>
      </c>
      <c r="H943">
        <v>0.32852667495098198</v>
      </c>
      <c r="I943">
        <v>0.31903087406548303</v>
      </c>
      <c r="J943">
        <v>0.38144410073033103</v>
      </c>
      <c r="K943">
        <v>0.286536725323493</v>
      </c>
      <c r="L943">
        <v>551.31403857421503</v>
      </c>
      <c r="M943">
        <v>10.4062754226071</v>
      </c>
      <c r="N943">
        <v>56.434640901583897</v>
      </c>
      <c r="O943">
        <v>51.134586839287202</v>
      </c>
      <c r="P943">
        <v>-3.8905780990679303E-2</v>
      </c>
      <c r="Q943">
        <v>0.23561453708702401</v>
      </c>
      <c r="R943">
        <v>0.965796721984581</v>
      </c>
      <c r="S943" t="s">
        <v>7560</v>
      </c>
      <c r="T943" t="s">
        <v>13232</v>
      </c>
      <c r="U943" t="s">
        <v>13232</v>
      </c>
      <c r="V943" t="s">
        <v>13232</v>
      </c>
      <c r="W943" t="s">
        <v>14149</v>
      </c>
      <c r="X943">
        <v>8</v>
      </c>
      <c r="Y943" t="s">
        <v>20678</v>
      </c>
      <c r="Z943" t="s">
        <v>27074</v>
      </c>
      <c r="AA943">
        <v>0.59157400566246421</v>
      </c>
      <c r="AB943" t="str">
        <f>HYPERLINK("Melting_Curves/meltCurve_J3QT32_NDEL1.pdf", "Melting_Curves/meltCurve_J3QT32_NDEL1.pdf")</f>
        <v>Melting_Curves/meltCurve_J3QT32_NDEL1.pdf</v>
      </c>
    </row>
    <row r="944" spans="1:28" x14ac:dyDescent="0.25">
      <c r="A944" t="s">
        <v>948</v>
      </c>
      <c r="B944">
        <v>0.99930955844802105</v>
      </c>
      <c r="C944">
        <v>1.1291166083824999</v>
      </c>
      <c r="D944">
        <v>1.07695221837663</v>
      </c>
      <c r="E944">
        <v>1.0935548787597</v>
      </c>
      <c r="F944">
        <v>1.0720300046062801</v>
      </c>
      <c r="G944">
        <v>0.98651358032120295</v>
      </c>
      <c r="H944">
        <v>1.0790642568286299</v>
      </c>
      <c r="I944">
        <v>1.2649180201287999</v>
      </c>
      <c r="J944">
        <v>1.2558195104182199</v>
      </c>
      <c r="K944">
        <v>1.00460086792031</v>
      </c>
      <c r="L944">
        <v>135.17123954250701</v>
      </c>
      <c r="M944">
        <v>1.4632050088652599</v>
      </c>
      <c r="O944">
        <v>44.452690184904199</v>
      </c>
      <c r="P944">
        <v>3.5240451730591199E-3</v>
      </c>
      <c r="Q944">
        <v>1.3631822973158101</v>
      </c>
      <c r="R944">
        <v>0.110873411949012</v>
      </c>
      <c r="S944" t="s">
        <v>7561</v>
      </c>
      <c r="T944" t="s">
        <v>13232</v>
      </c>
      <c r="U944" t="s">
        <v>13232</v>
      </c>
      <c r="V944" t="s">
        <v>13232</v>
      </c>
      <c r="W944" t="s">
        <v>14150</v>
      </c>
      <c r="X944">
        <v>20</v>
      </c>
      <c r="Y944" t="s">
        <v>20679</v>
      </c>
      <c r="Z944" t="s">
        <v>27075</v>
      </c>
      <c r="AA944">
        <v>1.09634453212059</v>
      </c>
      <c r="AB944" t="str">
        <f>HYPERLINK("Melting_Curves/meltCurve_J3QT34_MAST4.pdf", "Melting_Curves/meltCurve_J3QT34_MAST4.pdf")</f>
        <v>Melting_Curves/meltCurve_J3QT34_MAST4.pdf</v>
      </c>
    </row>
    <row r="945" spans="1:28" x14ac:dyDescent="0.25">
      <c r="A945" t="s">
        <v>949</v>
      </c>
      <c r="B945">
        <v>0.99930955844802105</v>
      </c>
      <c r="C945">
        <v>0.69056342885061095</v>
      </c>
      <c r="D945">
        <v>0.53156183608094199</v>
      </c>
      <c r="E945">
        <v>0.74563106962224801</v>
      </c>
      <c r="F945">
        <v>0.344012896060089</v>
      </c>
      <c r="G945">
        <v>9.5738996825846495E-2</v>
      </c>
      <c r="H945">
        <v>5.2203240079143898E-2</v>
      </c>
      <c r="I945">
        <v>4.71709434630374E-2</v>
      </c>
      <c r="J945">
        <v>3.6711796017737698E-2</v>
      </c>
      <c r="K945">
        <v>3.4096030560477601E-2</v>
      </c>
      <c r="L945">
        <v>507.29474553423597</v>
      </c>
      <c r="M945">
        <v>10.2902200226036</v>
      </c>
      <c r="N945">
        <v>49.298736886709598</v>
      </c>
      <c r="O945">
        <v>47.5457954629371</v>
      </c>
      <c r="P945">
        <v>-5.4130474746739703E-2</v>
      </c>
      <c r="Q945">
        <v>0</v>
      </c>
      <c r="R945">
        <v>0.87785165780400198</v>
      </c>
      <c r="S945" t="s">
        <v>7562</v>
      </c>
      <c r="T945" t="s">
        <v>13232</v>
      </c>
      <c r="U945" t="s">
        <v>13232</v>
      </c>
      <c r="V945" t="s">
        <v>13232</v>
      </c>
      <c r="W945" t="s">
        <v>14151</v>
      </c>
      <c r="X945">
        <v>1</v>
      </c>
      <c r="Y945" t="s">
        <v>20680</v>
      </c>
      <c r="Z945" t="s">
        <v>27076</v>
      </c>
      <c r="AA945">
        <v>0.35581225806997718</v>
      </c>
      <c r="AB945" t="str">
        <f>HYPERLINK("Melting_Curves/meltCurve_J3QTB1_TMEM173.pdf", "Melting_Curves/meltCurve_J3QTB1_TMEM173.pdf")</f>
        <v>Melting_Curves/meltCurve_J3QTB1_TMEM173.pdf</v>
      </c>
    </row>
    <row r="946" spans="1:28" x14ac:dyDescent="0.25">
      <c r="A946" t="s">
        <v>950</v>
      </c>
      <c r="B946">
        <v>0.99930955844802105</v>
      </c>
      <c r="C946">
        <v>1.04056823385497</v>
      </c>
      <c r="D946">
        <v>1.1263564340141501</v>
      </c>
      <c r="E946">
        <v>1.02911268804019</v>
      </c>
      <c r="F946">
        <v>0.94856025064804395</v>
      </c>
      <c r="G946">
        <v>0.99760086025804795</v>
      </c>
      <c r="H946">
        <v>1.0579137134338901</v>
      </c>
      <c r="I946">
        <v>1.15105160116029</v>
      </c>
      <c r="J946">
        <v>1.29782393208284</v>
      </c>
      <c r="K946">
        <v>0.930079729970679</v>
      </c>
      <c r="L946">
        <v>15000</v>
      </c>
      <c r="M946">
        <v>245.73518573496401</v>
      </c>
      <c r="O946">
        <v>61.037274043718</v>
      </c>
      <c r="P946">
        <v>0.127139249193919</v>
      </c>
      <c r="Q946">
        <v>1.1263186382278101</v>
      </c>
      <c r="R946">
        <v>0.16543731906572501</v>
      </c>
      <c r="S946" t="s">
        <v>7563</v>
      </c>
      <c r="T946" t="s">
        <v>13232</v>
      </c>
      <c r="U946" t="s">
        <v>13232</v>
      </c>
      <c r="V946" t="s">
        <v>13232</v>
      </c>
      <c r="W946" t="s">
        <v>14152</v>
      </c>
      <c r="X946">
        <v>1</v>
      </c>
      <c r="Y946" t="s">
        <v>20681</v>
      </c>
      <c r="Z946" t="s">
        <v>27077</v>
      </c>
      <c r="AA946">
        <v>1.0377076044690761</v>
      </c>
      <c r="AB946" t="str">
        <f>HYPERLINK("Melting_Curves/meltCurve_J3QTB2_CHCHD6.pdf", "Melting_Curves/meltCurve_J3QTB2_CHCHD6.pdf")</f>
        <v>Melting_Curves/meltCurve_J3QTB2_CHCHD6.pdf</v>
      </c>
    </row>
    <row r="947" spans="1:28" x14ac:dyDescent="0.25">
      <c r="A947" t="s">
        <v>951</v>
      </c>
      <c r="B947">
        <v>0.99930955844802105</v>
      </c>
      <c r="C947">
        <v>1.0839205922969599</v>
      </c>
      <c r="D947">
        <v>0.84873579411632305</v>
      </c>
      <c r="E947">
        <v>0.73828552217246002</v>
      </c>
      <c r="F947">
        <v>0.62933337005993795</v>
      </c>
      <c r="G947">
        <v>0.70537311938977398</v>
      </c>
      <c r="H947">
        <v>0.76366650359928301</v>
      </c>
      <c r="I947">
        <v>0.62140593378229902</v>
      </c>
      <c r="J947">
        <v>0.47255741881558699</v>
      </c>
      <c r="K947">
        <v>0.29553419904309802</v>
      </c>
      <c r="L947">
        <v>329.24195486877198</v>
      </c>
      <c r="M947">
        <v>5.0001392251045198</v>
      </c>
      <c r="N947">
        <v>65.846558383711496</v>
      </c>
      <c r="O947">
        <v>57.469547994796599</v>
      </c>
      <c r="P947">
        <v>-2.18845330745105E-2</v>
      </c>
      <c r="Q947">
        <v>0</v>
      </c>
      <c r="R947">
        <v>0.78236049924019302</v>
      </c>
      <c r="S947" t="s">
        <v>7564</v>
      </c>
      <c r="T947" t="s">
        <v>13232</v>
      </c>
      <c r="U947" t="s">
        <v>13232</v>
      </c>
      <c r="V947" t="s">
        <v>13232</v>
      </c>
      <c r="W947" t="s">
        <v>14153</v>
      </c>
      <c r="X947">
        <v>2</v>
      </c>
      <c r="Y947" t="s">
        <v>20682</v>
      </c>
      <c r="Z947" t="s">
        <v>27078</v>
      </c>
      <c r="AA947">
        <v>0.71700479590442567</v>
      </c>
      <c r="AB947" t="str">
        <f>HYPERLINK("Melting_Curves/meltCurve_J3QTM1_DNAH12.pdf", "Melting_Curves/meltCurve_J3QTM1_DNAH12.pdf")</f>
        <v>Melting_Curves/meltCurve_J3QTM1_DNAH12.pdf</v>
      </c>
    </row>
    <row r="948" spans="1:28" x14ac:dyDescent="0.25">
      <c r="A948" t="s">
        <v>952</v>
      </c>
      <c r="B948">
        <v>0.99930955844802105</v>
      </c>
      <c r="C948">
        <v>1.00505184297999</v>
      </c>
      <c r="D948">
        <v>0.90186020054362903</v>
      </c>
      <c r="E948">
        <v>0.98683440039168002</v>
      </c>
      <c r="F948">
        <v>0.81046742522187698</v>
      </c>
      <c r="G948">
        <v>0.86370497537809199</v>
      </c>
      <c r="H948">
        <v>0.82974028215518902</v>
      </c>
      <c r="I948">
        <v>1.00520037845397</v>
      </c>
      <c r="J948">
        <v>0.83085477068304203</v>
      </c>
      <c r="K948">
        <v>0.84321379817961495</v>
      </c>
      <c r="L948">
        <v>843.675856777494</v>
      </c>
      <c r="M948">
        <v>17.8893623192155</v>
      </c>
      <c r="O948">
        <v>46.583292678102403</v>
      </c>
      <c r="P948">
        <v>-1.2598369454317601E-2</v>
      </c>
      <c r="Q948">
        <v>0.86878372667743597</v>
      </c>
      <c r="R948">
        <v>0.38672343982739898</v>
      </c>
      <c r="S948" t="s">
        <v>7565</v>
      </c>
      <c r="T948" t="s">
        <v>13232</v>
      </c>
      <c r="U948" t="s">
        <v>13232</v>
      </c>
      <c r="V948" t="s">
        <v>13232</v>
      </c>
      <c r="W948" t="s">
        <v>14154</v>
      </c>
      <c r="X948">
        <v>26</v>
      </c>
      <c r="Y948" t="s">
        <v>20683</v>
      </c>
      <c r="Z948" t="s">
        <v>27079</v>
      </c>
      <c r="AA948">
        <v>0.90253873915119442</v>
      </c>
      <c r="AB948" t="str">
        <f>HYPERLINK("Melting_Curves/meltCurve_J3QTV4_RGPD2.pdf", "Melting_Curves/meltCurve_J3QTV4_RGPD2.pdf")</f>
        <v>Melting_Curves/meltCurve_J3QTV4_RGPD2.pdf</v>
      </c>
    </row>
    <row r="949" spans="1:28" x14ac:dyDescent="0.25">
      <c r="A949" t="s">
        <v>953</v>
      </c>
      <c r="B949">
        <v>0.99930955844802105</v>
      </c>
      <c r="C949">
        <v>0.870132802340019</v>
      </c>
      <c r="D949">
        <v>0.92847398888910204</v>
      </c>
      <c r="E949">
        <v>0.95722897897508297</v>
      </c>
      <c r="F949">
        <v>0.79258944076820603</v>
      </c>
      <c r="G949">
        <v>0.39931483702958298</v>
      </c>
      <c r="H949">
        <v>0.162459415072705</v>
      </c>
      <c r="I949">
        <v>0.13298762646095499</v>
      </c>
      <c r="J949">
        <v>0.11301950171603201</v>
      </c>
      <c r="K949">
        <v>9.4310432837668906E-2</v>
      </c>
      <c r="L949">
        <v>1434.4314703191201</v>
      </c>
      <c r="M949">
        <v>25.859383471437301</v>
      </c>
      <c r="N949">
        <v>55.931008137320603</v>
      </c>
      <c r="O949">
        <v>55.141907101847799</v>
      </c>
      <c r="P949">
        <v>-0.105998390844305</v>
      </c>
      <c r="Q949">
        <v>9.5897285338374896E-2</v>
      </c>
      <c r="R949">
        <v>0.98473388790751604</v>
      </c>
      <c r="S949" t="s">
        <v>7566</v>
      </c>
      <c r="T949" t="s">
        <v>13232</v>
      </c>
      <c r="U949" t="s">
        <v>13232</v>
      </c>
      <c r="V949" t="s">
        <v>13232</v>
      </c>
      <c r="W949" t="s">
        <v>14155</v>
      </c>
      <c r="X949">
        <v>8</v>
      </c>
      <c r="Y949" t="s">
        <v>20684</v>
      </c>
      <c r="Z949" t="s">
        <v>27080</v>
      </c>
      <c r="AA949">
        <v>0.56999600573420195</v>
      </c>
      <c r="AB949" t="str">
        <f>HYPERLINK("Melting_Curves/meltCurve_J9JIC5_C17orf75.pdf", "Melting_Curves/meltCurve_J9JIC5_C17orf75.pdf")</f>
        <v>Melting_Curves/meltCurve_J9JIC5_C17orf75.pdf</v>
      </c>
    </row>
    <row r="950" spans="1:28" x14ac:dyDescent="0.25">
      <c r="A950" t="s">
        <v>954</v>
      </c>
      <c r="B950">
        <v>0.99930955844802105</v>
      </c>
      <c r="C950">
        <v>0.85401169262197496</v>
      </c>
      <c r="D950">
        <v>0.76258794283129605</v>
      </c>
      <c r="E950">
        <v>0.49008410773080302</v>
      </c>
      <c r="F950">
        <v>0.27748120982055702</v>
      </c>
      <c r="G950">
        <v>0.189101107608624</v>
      </c>
      <c r="H950">
        <v>0.16017689799204901</v>
      </c>
      <c r="I950">
        <v>0.151923872466799</v>
      </c>
      <c r="J950">
        <v>0.13961840052468</v>
      </c>
      <c r="K950">
        <v>0.120250843795004</v>
      </c>
      <c r="L950">
        <v>767.85487562197898</v>
      </c>
      <c r="M950">
        <v>15.7948154952894</v>
      </c>
      <c r="N950">
        <v>49.478249215508001</v>
      </c>
      <c r="O950">
        <v>47.855095264667497</v>
      </c>
      <c r="P950">
        <v>-7.2576101324296996E-2</v>
      </c>
      <c r="Q950">
        <v>0.120508731350839</v>
      </c>
      <c r="R950">
        <v>0.99463691636835705</v>
      </c>
      <c r="S950" t="s">
        <v>7567</v>
      </c>
      <c r="T950" t="s">
        <v>13232</v>
      </c>
      <c r="U950" t="s">
        <v>13232</v>
      </c>
      <c r="V950" t="s">
        <v>13232</v>
      </c>
      <c r="W950" t="s">
        <v>14156</v>
      </c>
      <c r="X950">
        <v>6</v>
      </c>
      <c r="Y950" t="s">
        <v>20685</v>
      </c>
      <c r="Z950" t="s">
        <v>27081</v>
      </c>
      <c r="AA950">
        <v>0.3929845339786463</v>
      </c>
      <c r="AB950" t="str">
        <f>HYPERLINK("Melting_Curves/meltCurve_K4DI92_RWDD4.pdf", "Melting_Curves/meltCurve_K4DI92_RWDD4.pdf")</f>
        <v>Melting_Curves/meltCurve_K4DI92_RWDD4.pdf</v>
      </c>
    </row>
    <row r="951" spans="1:28" x14ac:dyDescent="0.25">
      <c r="A951" t="s">
        <v>955</v>
      </c>
      <c r="B951">
        <v>0.99930955844802105</v>
      </c>
      <c r="C951">
        <v>0.85030868990649799</v>
      </c>
      <c r="D951">
        <v>0.82817339744961704</v>
      </c>
      <c r="E951">
        <v>0.44030100899401498</v>
      </c>
      <c r="F951">
        <v>0.216638499261078</v>
      </c>
      <c r="G951">
        <v>0.14822262730639199</v>
      </c>
      <c r="H951">
        <v>9.0587745816285897E-2</v>
      </c>
      <c r="I951">
        <v>7.6341718960532101E-2</v>
      </c>
      <c r="J951">
        <v>7.3935371765254804E-2</v>
      </c>
      <c r="K951">
        <v>5.2949042195977E-2</v>
      </c>
      <c r="L951">
        <v>899.28738132752403</v>
      </c>
      <c r="M951">
        <v>18.371584032458902</v>
      </c>
      <c r="N951">
        <v>49.304287218071899</v>
      </c>
      <c r="O951">
        <v>48.3810059533307</v>
      </c>
      <c r="P951">
        <v>-8.9064348041764094E-2</v>
      </c>
      <c r="Q951">
        <v>6.1849989349153402E-2</v>
      </c>
      <c r="R951">
        <v>0.991084095974195</v>
      </c>
      <c r="S951" t="s">
        <v>7568</v>
      </c>
      <c r="T951" t="s">
        <v>13232</v>
      </c>
      <c r="U951" t="s">
        <v>13232</v>
      </c>
      <c r="V951" t="s">
        <v>13232</v>
      </c>
      <c r="W951" t="s">
        <v>14074</v>
      </c>
      <c r="X951">
        <v>40</v>
      </c>
      <c r="Y951" t="s">
        <v>20604</v>
      </c>
      <c r="Z951" t="s">
        <v>27082</v>
      </c>
      <c r="AA951">
        <v>0.35734129038835349</v>
      </c>
      <c r="AB951" t="str">
        <f>HYPERLINK("Melting_Curves/meltCurve_K7EIG1_CLUH.pdf", "Melting_Curves/meltCurve_K7EIG1_CLUH.pdf")</f>
        <v>Melting_Curves/meltCurve_K7EIG1_CLUH.pdf</v>
      </c>
    </row>
    <row r="952" spans="1:28" x14ac:dyDescent="0.25">
      <c r="A952" t="s">
        <v>956</v>
      </c>
      <c r="B952">
        <v>0.99930955844802105</v>
      </c>
      <c r="C952">
        <v>1.0141448935988999</v>
      </c>
      <c r="D952">
        <v>0.92050448734551404</v>
      </c>
      <c r="E952">
        <v>0.92120410155411003</v>
      </c>
      <c r="F952">
        <v>0.70434639657419895</v>
      </c>
      <c r="G952">
        <v>0.72511688564917098</v>
      </c>
      <c r="H952">
        <v>0.35087162626385598</v>
      </c>
      <c r="I952">
        <v>0.12559630347929701</v>
      </c>
      <c r="J952">
        <v>5.7564970392137503E-2</v>
      </c>
      <c r="K952">
        <v>4.6882065836252797E-2</v>
      </c>
      <c r="L952">
        <v>953.51238248751395</v>
      </c>
      <c r="M952">
        <v>16.3408781984201</v>
      </c>
      <c r="N952">
        <v>58.351355447190997</v>
      </c>
      <c r="O952">
        <v>57.4984862835787</v>
      </c>
      <c r="P952">
        <v>-7.1054315388247496E-2</v>
      </c>
      <c r="Q952">
        <v>0</v>
      </c>
      <c r="R952">
        <v>0.96720995455907599</v>
      </c>
      <c r="S952" t="s">
        <v>7569</v>
      </c>
      <c r="T952" t="s">
        <v>13232</v>
      </c>
      <c r="U952" t="s">
        <v>13232</v>
      </c>
      <c r="V952" t="s">
        <v>13232</v>
      </c>
      <c r="W952" t="s">
        <v>14157</v>
      </c>
      <c r="X952">
        <v>6</v>
      </c>
      <c r="Y952" t="s">
        <v>20686</v>
      </c>
      <c r="Z952" t="s">
        <v>27083</v>
      </c>
      <c r="AA952">
        <v>0.6240227739063553</v>
      </c>
      <c r="AB952" t="str">
        <f>HYPERLINK("Melting_Curves/meltCurve_K7EIJ0_WBP2.pdf", "Melting_Curves/meltCurve_K7EIJ0_WBP2.pdf")</f>
        <v>Melting_Curves/meltCurve_K7EIJ0_WBP2.pdf</v>
      </c>
    </row>
    <row r="953" spans="1:28" x14ac:dyDescent="0.25">
      <c r="A953" t="s">
        <v>957</v>
      </c>
      <c r="B953">
        <v>0.99930955844802105</v>
      </c>
      <c r="C953">
        <v>0.83583695242608302</v>
      </c>
      <c r="D953">
        <v>0.87276931756211296</v>
      </c>
      <c r="E953">
        <v>0.64617533734722699</v>
      </c>
      <c r="F953">
        <v>0.27909344262365599</v>
      </c>
      <c r="G953">
        <v>0.16487171288869501</v>
      </c>
      <c r="H953">
        <v>8.8394628706959494E-2</v>
      </c>
      <c r="I953">
        <v>7.9813744606199805E-2</v>
      </c>
      <c r="J953">
        <v>6.6396430499162898E-2</v>
      </c>
      <c r="K953">
        <v>6.2598258080299299E-2</v>
      </c>
      <c r="L953">
        <v>913.54675263660204</v>
      </c>
      <c r="M953">
        <v>18.0483594924256</v>
      </c>
      <c r="N953">
        <v>50.916388708093201</v>
      </c>
      <c r="O953">
        <v>50.007487136951603</v>
      </c>
      <c r="P953">
        <v>-8.5684427159085905E-2</v>
      </c>
      <c r="Q953">
        <v>5.04059917151417E-2</v>
      </c>
      <c r="R953">
        <v>0.98081368364390997</v>
      </c>
      <c r="S953" t="s">
        <v>7570</v>
      </c>
      <c r="T953" t="s">
        <v>13232</v>
      </c>
      <c r="U953" t="s">
        <v>13232</v>
      </c>
      <c r="V953" t="s">
        <v>13232</v>
      </c>
      <c r="W953" t="s">
        <v>14158</v>
      </c>
      <c r="X953">
        <v>4</v>
      </c>
      <c r="Y953" t="s">
        <v>20687</v>
      </c>
      <c r="Z953" t="s">
        <v>27084</v>
      </c>
      <c r="AA953">
        <v>0.40244749039197752</v>
      </c>
      <c r="AB953" t="str">
        <f>HYPERLINK("Melting_Curves/meltCurve_K7EIN2_NUDT16L1.pdf", "Melting_Curves/meltCurve_K7EIN2_NUDT16L1.pdf")</f>
        <v>Melting_Curves/meltCurve_K7EIN2_NUDT16L1.pdf</v>
      </c>
    </row>
    <row r="954" spans="1:28" x14ac:dyDescent="0.25">
      <c r="A954" t="s">
        <v>958</v>
      </c>
      <c r="B954">
        <v>0.99930955844802105</v>
      </c>
      <c r="C954">
        <v>1.00300585008064</v>
      </c>
      <c r="D954">
        <v>0.96806689787085998</v>
      </c>
      <c r="E954">
        <v>0.92758472735863395</v>
      </c>
      <c r="F954">
        <v>0.59488258384033499</v>
      </c>
      <c r="G954">
        <v>0.54561461071122697</v>
      </c>
      <c r="H954">
        <v>0.34135210146214401</v>
      </c>
      <c r="I954">
        <v>0.36707030552713799</v>
      </c>
      <c r="J954">
        <v>0.32835251790428299</v>
      </c>
      <c r="K954">
        <v>0.19278424109898801</v>
      </c>
      <c r="L954">
        <v>837.00376051826095</v>
      </c>
      <c r="M954">
        <v>15.3737245955161</v>
      </c>
      <c r="N954">
        <v>56.944767320019601</v>
      </c>
      <c r="O954">
        <v>53.547554649014302</v>
      </c>
      <c r="P954">
        <v>-5.4161848932386202E-2</v>
      </c>
      <c r="Q954">
        <v>0.24547405247352999</v>
      </c>
      <c r="R954">
        <v>0.96582248994531605</v>
      </c>
      <c r="S954" t="s">
        <v>7571</v>
      </c>
      <c r="T954" t="s">
        <v>13232</v>
      </c>
      <c r="U954" t="s">
        <v>13232</v>
      </c>
      <c r="V954" t="s">
        <v>13232</v>
      </c>
      <c r="W954" t="s">
        <v>14159</v>
      </c>
      <c r="X954">
        <v>1</v>
      </c>
      <c r="Y954" t="s">
        <v>20688</v>
      </c>
      <c r="Z954" t="s">
        <v>27085</v>
      </c>
      <c r="AA954">
        <v>0.62340702328850783</v>
      </c>
      <c r="AB954" t="str">
        <f>HYPERLINK("Melting_Curves/meltCurve_K7EIP0_ACP5.pdf", "Melting_Curves/meltCurve_K7EIP0_ACP5.pdf")</f>
        <v>Melting_Curves/meltCurve_K7EIP0_ACP5.pdf</v>
      </c>
    </row>
    <row r="955" spans="1:28" x14ac:dyDescent="0.25">
      <c r="A955" t="s">
        <v>959</v>
      </c>
      <c r="B955">
        <v>0.99930955844802105</v>
      </c>
      <c r="C955">
        <v>0.87579999087307303</v>
      </c>
      <c r="D955">
        <v>0.87530050322818598</v>
      </c>
      <c r="E955">
        <v>0.76976644606038802</v>
      </c>
      <c r="F955">
        <v>0.57323847513432402</v>
      </c>
      <c r="G955">
        <v>0.383303398917061</v>
      </c>
      <c r="H955">
        <v>0.192187229585224</v>
      </c>
      <c r="I955">
        <v>9.3511572432667597E-2</v>
      </c>
      <c r="J955">
        <v>7.6454955837819999E-2</v>
      </c>
      <c r="K955">
        <v>5.80099660103299E-2</v>
      </c>
      <c r="L955">
        <v>670.61404462720202</v>
      </c>
      <c r="M955">
        <v>12.362054779720699</v>
      </c>
      <c r="N955">
        <v>54.2477812075374</v>
      </c>
      <c r="O955">
        <v>52.886860367753897</v>
      </c>
      <c r="P955">
        <v>-5.8448877940043199E-2</v>
      </c>
      <c r="Q955">
        <v>0</v>
      </c>
      <c r="R955">
        <v>0.99058183372552799</v>
      </c>
      <c r="S955" t="s">
        <v>7572</v>
      </c>
      <c r="T955" t="s">
        <v>13232</v>
      </c>
      <c r="U955" t="s">
        <v>13232</v>
      </c>
      <c r="V955" t="s">
        <v>13232</v>
      </c>
      <c r="W955" t="s">
        <v>14160</v>
      </c>
      <c r="X955">
        <v>12</v>
      </c>
      <c r="Y955" t="s">
        <v>20689</v>
      </c>
      <c r="Z955" t="s">
        <v>27086</v>
      </c>
      <c r="AA955">
        <v>0.499748757043882</v>
      </c>
      <c r="AB955" t="str">
        <f>HYPERLINK("Melting_Curves/meltCurve_K7EIU8_SMAD4.pdf", "Melting_Curves/meltCurve_K7EIU8_SMAD4.pdf")</f>
        <v>Melting_Curves/meltCurve_K7EIU8_SMAD4.pdf</v>
      </c>
    </row>
    <row r="956" spans="1:28" x14ac:dyDescent="0.25">
      <c r="A956" t="s">
        <v>960</v>
      </c>
      <c r="B956">
        <v>0.99930955844802105</v>
      </c>
      <c r="C956">
        <v>0.842762372830825</v>
      </c>
      <c r="D956">
        <v>0.81880007804156296</v>
      </c>
      <c r="E956">
        <v>0.52129936148390099</v>
      </c>
      <c r="F956">
        <v>0.27046045521086598</v>
      </c>
      <c r="G956">
        <v>0.15248592267982999</v>
      </c>
      <c r="H956">
        <v>0.124291445072922</v>
      </c>
      <c r="I956">
        <v>9.1416730330900406E-2</v>
      </c>
      <c r="J956">
        <v>0.103371685166027</v>
      </c>
      <c r="K956">
        <v>6.6893818334048796E-2</v>
      </c>
      <c r="L956">
        <v>796.76037310300399</v>
      </c>
      <c r="M956">
        <v>16.1134473032518</v>
      </c>
      <c r="N956">
        <v>49.906772294620602</v>
      </c>
      <c r="O956">
        <v>48.704153817783201</v>
      </c>
      <c r="P956">
        <v>-7.7010665230285796E-2</v>
      </c>
      <c r="Q956">
        <v>6.8988015858726201E-2</v>
      </c>
      <c r="R956">
        <v>0.990413262726902</v>
      </c>
      <c r="S956" t="s">
        <v>7573</v>
      </c>
      <c r="T956" t="s">
        <v>13232</v>
      </c>
      <c r="U956" t="s">
        <v>13232</v>
      </c>
      <c r="V956" t="s">
        <v>13232</v>
      </c>
      <c r="W956" t="s">
        <v>14161</v>
      </c>
      <c r="X956">
        <v>1</v>
      </c>
      <c r="Y956" t="s">
        <v>20690</v>
      </c>
      <c r="Z956" t="s">
        <v>27087</v>
      </c>
      <c r="AA956">
        <v>0.38195473893547832</v>
      </c>
      <c r="AB956" t="str">
        <f>HYPERLINK("Melting_Curves/meltCurve_K7EJ08_SEC14L1.pdf", "Melting_Curves/meltCurve_K7EJ08_SEC14L1.pdf")</f>
        <v>Melting_Curves/meltCurve_K7EJ08_SEC14L1.pdf</v>
      </c>
    </row>
    <row r="957" spans="1:28" x14ac:dyDescent="0.25">
      <c r="A957" t="s">
        <v>961</v>
      </c>
      <c r="B957">
        <v>0.99930955844802105</v>
      </c>
      <c r="C957">
        <v>0.87911205344038501</v>
      </c>
      <c r="D957">
        <v>0.905288754088031</v>
      </c>
      <c r="E957">
        <v>0.71935678556586802</v>
      </c>
      <c r="F957">
        <v>0.43722245375526098</v>
      </c>
      <c r="G957">
        <v>0.272683074724829</v>
      </c>
      <c r="H957">
        <v>0.127558786083485</v>
      </c>
      <c r="I957">
        <v>0.10186671693303</v>
      </c>
      <c r="J957">
        <v>0.11647825261268099</v>
      </c>
      <c r="K957">
        <v>0.108947219477975</v>
      </c>
      <c r="L957">
        <v>846.09785717042905</v>
      </c>
      <c r="M957">
        <v>16.283190943852201</v>
      </c>
      <c r="N957">
        <v>52.508194441958203</v>
      </c>
      <c r="O957">
        <v>51.196682500943801</v>
      </c>
      <c r="P957">
        <v>-7.3317851564009898E-2</v>
      </c>
      <c r="Q957">
        <v>7.7980236606002007E-2</v>
      </c>
      <c r="R957">
        <v>0.98983086784850505</v>
      </c>
      <c r="S957" t="s">
        <v>7574</v>
      </c>
      <c r="T957" t="s">
        <v>13232</v>
      </c>
      <c r="U957" t="s">
        <v>13232</v>
      </c>
      <c r="V957" t="s">
        <v>13232</v>
      </c>
      <c r="W957" t="s">
        <v>14162</v>
      </c>
      <c r="X957">
        <v>1</v>
      </c>
      <c r="Y957" t="s">
        <v>20691</v>
      </c>
      <c r="Z957" t="s">
        <v>27088</v>
      </c>
      <c r="AA957">
        <v>0.4637401685355112</v>
      </c>
      <c r="AB957" t="str">
        <f>HYPERLINK("Melting_Curves/meltCurve_K7EJ32_SPHK1.pdf", "Melting_Curves/meltCurve_K7EJ32_SPHK1.pdf")</f>
        <v>Melting_Curves/meltCurve_K7EJ32_SPHK1.pdf</v>
      </c>
    </row>
    <row r="958" spans="1:28" x14ac:dyDescent="0.25">
      <c r="A958" t="s">
        <v>962</v>
      </c>
      <c r="B958">
        <v>0.99930955844802105</v>
      </c>
      <c r="C958">
        <v>0.86255422969326001</v>
      </c>
      <c r="D958">
        <v>0.876733344337427</v>
      </c>
      <c r="E958">
        <v>0.66399168940432196</v>
      </c>
      <c r="F958">
        <v>0.34050424014858899</v>
      </c>
      <c r="G958">
        <v>0.16974220535849899</v>
      </c>
      <c r="H958">
        <v>8.7365029960115706E-2</v>
      </c>
      <c r="I958">
        <v>5.6219472711781099E-2</v>
      </c>
      <c r="J958">
        <v>4.1471028705630499E-2</v>
      </c>
      <c r="K958">
        <v>4.1952450320679499E-2</v>
      </c>
      <c r="L958">
        <v>854.06716618019698</v>
      </c>
      <c r="M958">
        <v>16.665500789219301</v>
      </c>
      <c r="N958">
        <v>51.385108392782598</v>
      </c>
      <c r="O958">
        <v>50.5267864626612</v>
      </c>
      <c r="P958">
        <v>-8.0665997914825593E-2</v>
      </c>
      <c r="Q958">
        <v>2.1806463414638998E-2</v>
      </c>
      <c r="R958">
        <v>0.989520288253669</v>
      </c>
      <c r="S958" t="s">
        <v>7575</v>
      </c>
      <c r="T958" t="s">
        <v>13232</v>
      </c>
      <c r="U958" t="s">
        <v>13232</v>
      </c>
      <c r="V958" t="s">
        <v>13232</v>
      </c>
      <c r="W958" t="s">
        <v>14163</v>
      </c>
      <c r="X958">
        <v>1</v>
      </c>
      <c r="Y958" t="s">
        <v>20692</v>
      </c>
      <c r="Z958" t="s">
        <v>27089</v>
      </c>
      <c r="AA958">
        <v>0.4073561774700154</v>
      </c>
      <c r="AB958" t="str">
        <f>HYPERLINK("Melting_Curves/meltCurve_K7EJA5_ATG4D.pdf", "Melting_Curves/meltCurve_K7EJA5_ATG4D.pdf")</f>
        <v>Melting_Curves/meltCurve_K7EJA5_ATG4D.pdf</v>
      </c>
    </row>
    <row r="959" spans="1:28" x14ac:dyDescent="0.25">
      <c r="A959" t="s">
        <v>963</v>
      </c>
      <c r="B959">
        <v>0.99930955844802105</v>
      </c>
      <c r="C959">
        <v>0.86402725107860001</v>
      </c>
      <c r="D959">
        <v>0.70114971520583402</v>
      </c>
      <c r="E959">
        <v>1.0788405438770801</v>
      </c>
      <c r="F959">
        <v>1.2326001992459401</v>
      </c>
      <c r="G959">
        <v>1.09167294544148</v>
      </c>
      <c r="H959">
        <v>0.57265977151976599</v>
      </c>
      <c r="I959">
        <v>6.6425200466588397E-2</v>
      </c>
      <c r="J959">
        <v>3.5246391663772601E-2</v>
      </c>
      <c r="K959">
        <v>2.4612908460337E-2</v>
      </c>
      <c r="L959">
        <v>5359.6288085205297</v>
      </c>
      <c r="M959">
        <v>87.6268735115884</v>
      </c>
      <c r="N959">
        <v>61.215189866039204</v>
      </c>
      <c r="O959">
        <v>61.132379445255602</v>
      </c>
      <c r="P959">
        <v>-0.345740124035745</v>
      </c>
      <c r="Q959">
        <v>3.5185742613685698E-2</v>
      </c>
      <c r="R959">
        <v>0.91153635050158699</v>
      </c>
      <c r="S959" t="s">
        <v>7576</v>
      </c>
      <c r="T959" t="s">
        <v>13232</v>
      </c>
      <c r="U959" t="s">
        <v>13232</v>
      </c>
      <c r="V959" t="s">
        <v>13232</v>
      </c>
      <c r="W959" t="s">
        <v>14046</v>
      </c>
      <c r="X959">
        <v>17</v>
      </c>
      <c r="Y959" t="s">
        <v>20578</v>
      </c>
      <c r="Z959" t="s">
        <v>27090</v>
      </c>
      <c r="AA959">
        <v>0.71668075674225096</v>
      </c>
      <c r="AB959" t="str">
        <f>HYPERLINK("Melting_Curves/meltCurve_K7EJH8_ACTN4.pdf", "Melting_Curves/meltCurve_K7EJH8_ACTN4.pdf")</f>
        <v>Melting_Curves/meltCurve_K7EJH8_ACTN4.pdf</v>
      </c>
    </row>
    <row r="960" spans="1:28" x14ac:dyDescent="0.25">
      <c r="A960" t="s">
        <v>964</v>
      </c>
      <c r="B960">
        <v>0.99930955844802105</v>
      </c>
      <c r="C960">
        <v>0.81225406276341205</v>
      </c>
      <c r="D960">
        <v>0.79687904415629496</v>
      </c>
      <c r="E960">
        <v>0.77928560430388905</v>
      </c>
      <c r="F960">
        <v>0.57483853418381003</v>
      </c>
      <c r="G960">
        <v>0.31519072206765197</v>
      </c>
      <c r="H960">
        <v>0.15187798778348699</v>
      </c>
      <c r="I960">
        <v>0.13368182656608099</v>
      </c>
      <c r="J960">
        <v>0.112910151308712</v>
      </c>
      <c r="K960">
        <v>7.2809572977649006E-2</v>
      </c>
      <c r="L960">
        <v>591.82709607518996</v>
      </c>
      <c r="M960">
        <v>11.0363531508264</v>
      </c>
      <c r="N960">
        <v>53.625240235146499</v>
      </c>
      <c r="O960">
        <v>51.954860982457802</v>
      </c>
      <c r="P960">
        <v>-5.3123179510918703E-2</v>
      </c>
      <c r="Q960">
        <v>0</v>
      </c>
      <c r="R960">
        <v>0.96906186415991402</v>
      </c>
      <c r="S960" t="s">
        <v>7577</v>
      </c>
      <c r="T960" t="s">
        <v>13232</v>
      </c>
      <c r="U960" t="s">
        <v>13232</v>
      </c>
      <c r="V960" t="s">
        <v>13232</v>
      </c>
      <c r="W960" t="s">
        <v>14164</v>
      </c>
      <c r="X960">
        <v>2</v>
      </c>
      <c r="Y960" t="s">
        <v>20693</v>
      </c>
      <c r="Z960" t="s">
        <v>27091</v>
      </c>
      <c r="AA960">
        <v>0.48343029187326808</v>
      </c>
      <c r="AB960" t="str">
        <f>HYPERLINK("Melting_Curves/meltCurve_K7EJQ7_SEC11C.pdf", "Melting_Curves/meltCurve_K7EJQ7_SEC11C.pdf")</f>
        <v>Melting_Curves/meltCurve_K7EJQ7_SEC11C.pdf</v>
      </c>
    </row>
    <row r="961" spans="1:28" x14ac:dyDescent="0.25">
      <c r="A961" t="s">
        <v>965</v>
      </c>
      <c r="B961">
        <v>0.99930955844802105</v>
      </c>
      <c r="C961">
        <v>0.98190818617888798</v>
      </c>
      <c r="D961">
        <v>1.1118726332912401</v>
      </c>
      <c r="E961">
        <v>1.02876895348914</v>
      </c>
      <c r="F961">
        <v>0.72551807091527398</v>
      </c>
      <c r="G961">
        <v>0.44665895760538199</v>
      </c>
      <c r="H961">
        <v>0.31227476626880801</v>
      </c>
      <c r="I961">
        <v>0.26614250118375399</v>
      </c>
      <c r="J961">
        <v>0.246943039440817</v>
      </c>
      <c r="K961">
        <v>0.205424601132037</v>
      </c>
      <c r="L961">
        <v>1504.6841743823099</v>
      </c>
      <c r="M961">
        <v>27.515968945881301</v>
      </c>
      <c r="N961">
        <v>56.039011617179703</v>
      </c>
      <c r="O961">
        <v>54.397651184348703</v>
      </c>
      <c r="P961">
        <v>-9.5736311117202502E-2</v>
      </c>
      <c r="Q961">
        <v>0.242943980309442</v>
      </c>
      <c r="R961">
        <v>0.979336863628535</v>
      </c>
      <c r="S961" t="s">
        <v>7578</v>
      </c>
      <c r="T961" t="s">
        <v>13232</v>
      </c>
      <c r="U961" t="s">
        <v>13232</v>
      </c>
      <c r="V961" t="s">
        <v>13232</v>
      </c>
      <c r="W961" t="s">
        <v>14165</v>
      </c>
      <c r="X961">
        <v>1</v>
      </c>
      <c r="Y961" t="s">
        <v>20694</v>
      </c>
      <c r="Z961" t="s">
        <v>27092</v>
      </c>
      <c r="AA961">
        <v>0.61938897565787177</v>
      </c>
      <c r="AB961" t="str">
        <f>HYPERLINK("Melting_Curves/meltCurve_K7EJS4_SPINT2.pdf", "Melting_Curves/meltCurve_K7EJS4_SPINT2.pdf")</f>
        <v>Melting_Curves/meltCurve_K7EJS4_SPINT2.pdf</v>
      </c>
    </row>
    <row r="962" spans="1:28" x14ac:dyDescent="0.25">
      <c r="A962" t="s">
        <v>966</v>
      </c>
      <c r="B962">
        <v>0.99930955844802105</v>
      </c>
      <c r="C962">
        <v>1.0275050836388899</v>
      </c>
      <c r="D962">
        <v>0.93230328509508298</v>
      </c>
      <c r="E962">
        <v>0.49522656224926698</v>
      </c>
      <c r="F962">
        <v>0.258230416045788</v>
      </c>
      <c r="G962">
        <v>0.18116502454229899</v>
      </c>
      <c r="H962">
        <v>0.11140748660637</v>
      </c>
      <c r="I962">
        <v>8.6047153130868095E-2</v>
      </c>
      <c r="J962">
        <v>7.7569348696535201E-2</v>
      </c>
      <c r="K962">
        <v>5.8585435695320001E-2</v>
      </c>
      <c r="L962">
        <v>1302.0786973174199</v>
      </c>
      <c r="M962">
        <v>26.153989369870001</v>
      </c>
      <c r="N962">
        <v>50.182554938991402</v>
      </c>
      <c r="O962">
        <v>49.496784199483002</v>
      </c>
      <c r="P962">
        <v>-0.119743083857677</v>
      </c>
      <c r="Q962">
        <v>9.3548767500217997E-2</v>
      </c>
      <c r="R962">
        <v>0.99467152153688998</v>
      </c>
      <c r="S962" t="s">
        <v>7579</v>
      </c>
      <c r="T962" t="s">
        <v>13232</v>
      </c>
      <c r="U962" t="s">
        <v>13232</v>
      </c>
      <c r="V962" t="s">
        <v>13232</v>
      </c>
      <c r="W962" t="s">
        <v>14166</v>
      </c>
      <c r="X962">
        <v>5</v>
      </c>
      <c r="Y962" t="s">
        <v>20695</v>
      </c>
      <c r="Z962" t="s">
        <v>27093</v>
      </c>
      <c r="AA962">
        <v>0.39658476060195641</v>
      </c>
      <c r="AB962" t="str">
        <f>HYPERLINK("Melting_Curves/meltCurve_K7EK07_H3F3B.pdf", "Melting_Curves/meltCurve_K7EK07_H3F3B.pdf")</f>
        <v>Melting_Curves/meltCurve_K7EK07_H3F3B.pdf</v>
      </c>
    </row>
    <row r="963" spans="1:28" x14ac:dyDescent="0.25">
      <c r="A963" t="s">
        <v>967</v>
      </c>
      <c r="B963">
        <v>0.99930955844802105</v>
      </c>
      <c r="C963">
        <v>1.1714763248267599</v>
      </c>
      <c r="D963">
        <v>0.46140071572943298</v>
      </c>
      <c r="E963">
        <v>0.42389334730692202</v>
      </c>
      <c r="F963">
        <v>0.106030761191781</v>
      </c>
      <c r="G963">
        <v>7.6297578931005902E-2</v>
      </c>
      <c r="H963">
        <v>4.1461508864308098E-2</v>
      </c>
      <c r="I963">
        <v>3.6584036803545099E-2</v>
      </c>
      <c r="J963">
        <v>3.2528457945396001E-2</v>
      </c>
      <c r="K963">
        <v>2.55751950926149E-2</v>
      </c>
      <c r="L963">
        <v>991.77428570169002</v>
      </c>
      <c r="M963">
        <v>20.898760764357501</v>
      </c>
      <c r="N963">
        <v>47.643191963665302</v>
      </c>
      <c r="O963">
        <v>47.028012207727798</v>
      </c>
      <c r="P963">
        <v>-0.106724625362799</v>
      </c>
      <c r="Q963">
        <v>3.9385862835392901E-2</v>
      </c>
      <c r="R963">
        <v>0.91733974252502104</v>
      </c>
      <c r="S963" t="s">
        <v>7580</v>
      </c>
      <c r="T963" t="s">
        <v>13232</v>
      </c>
      <c r="U963" t="s">
        <v>13232</v>
      </c>
      <c r="V963" t="s">
        <v>13232</v>
      </c>
      <c r="W963" t="s">
        <v>14167</v>
      </c>
      <c r="X963">
        <v>39</v>
      </c>
      <c r="Y963" t="s">
        <v>20696</v>
      </c>
      <c r="Z963" t="s">
        <v>27094</v>
      </c>
      <c r="AA963">
        <v>0.29071368020201671</v>
      </c>
      <c r="AB963" t="str">
        <f>HYPERLINK("Melting_Curves/meltCurve_K7EK35_STAT5A.pdf", "Melting_Curves/meltCurve_K7EK35_STAT5A.pdf")</f>
        <v>Melting_Curves/meltCurve_K7EK35_STAT5A.pdf</v>
      </c>
    </row>
    <row r="964" spans="1:28" x14ac:dyDescent="0.25">
      <c r="A964" t="s">
        <v>968</v>
      </c>
      <c r="B964">
        <v>0.99930955844802105</v>
      </c>
      <c r="C964">
        <v>0.91415042788725898</v>
      </c>
      <c r="D964">
        <v>0.53309385381091101</v>
      </c>
      <c r="E964">
        <v>0.34422891784896498</v>
      </c>
      <c r="F964">
        <v>0.216365947007996</v>
      </c>
      <c r="G964">
        <v>0.14385621595688999</v>
      </c>
      <c r="H964">
        <v>8.7767803169460895E-2</v>
      </c>
      <c r="I964">
        <v>6.5007242217309996E-2</v>
      </c>
      <c r="J964">
        <v>6.1123322274147497E-2</v>
      </c>
      <c r="K964">
        <v>4.3583746970396103E-2</v>
      </c>
      <c r="L964">
        <v>790.45690045924005</v>
      </c>
      <c r="M964">
        <v>16.807660032893899</v>
      </c>
      <c r="N964">
        <v>47.434654112730897</v>
      </c>
      <c r="O964">
        <v>46.378931405998401</v>
      </c>
      <c r="P964">
        <v>-8.4548080313717203E-2</v>
      </c>
      <c r="Q964">
        <v>6.6854552249081406E-2</v>
      </c>
      <c r="R964">
        <v>0.98471546761125195</v>
      </c>
      <c r="S964" t="s">
        <v>7581</v>
      </c>
      <c r="T964" t="s">
        <v>13232</v>
      </c>
      <c r="U964" t="s">
        <v>13232</v>
      </c>
      <c r="V964" t="s">
        <v>13232</v>
      </c>
      <c r="W964" t="s">
        <v>14168</v>
      </c>
      <c r="X964">
        <v>43</v>
      </c>
      <c r="Y964" t="s">
        <v>20697</v>
      </c>
      <c r="Z964" t="s">
        <v>27095</v>
      </c>
      <c r="AA964">
        <v>0.30543790038721391</v>
      </c>
      <c r="AB964" t="str">
        <f>HYPERLINK("Melting_Curves/meltCurve_K7EKE6_LONP1.pdf", "Melting_Curves/meltCurve_K7EKE6_LONP1.pdf")</f>
        <v>Melting_Curves/meltCurve_K7EKE6_LONP1.pdf</v>
      </c>
    </row>
    <row r="965" spans="1:28" x14ac:dyDescent="0.25">
      <c r="A965" t="s">
        <v>969</v>
      </c>
      <c r="B965">
        <v>0.99930955844802105</v>
      </c>
      <c r="C965">
        <v>1.1929059346358399</v>
      </c>
      <c r="D965">
        <v>1.08014685750164</v>
      </c>
      <c r="E965">
        <v>1.01275406225221</v>
      </c>
      <c r="F965">
        <v>0.88447973438274397</v>
      </c>
      <c r="G965">
        <v>0.53340918629866196</v>
      </c>
      <c r="H965">
        <v>0.42567779373286702</v>
      </c>
      <c r="I965">
        <v>0.31984052303807098</v>
      </c>
      <c r="J965">
        <v>0.23468153454809301</v>
      </c>
      <c r="K965">
        <v>0.19560063591829799</v>
      </c>
      <c r="L965">
        <v>1248.03244462886</v>
      </c>
      <c r="M965">
        <v>21.9737647269232</v>
      </c>
      <c r="N965">
        <v>58.378902692402001</v>
      </c>
      <c r="O965">
        <v>56.332358726874403</v>
      </c>
      <c r="P965">
        <v>-7.5637887223219902E-2</v>
      </c>
      <c r="Q965">
        <v>0.224390523207742</v>
      </c>
      <c r="R965">
        <v>0.95595203224708902</v>
      </c>
      <c r="S965" t="s">
        <v>7582</v>
      </c>
      <c r="T965" t="s">
        <v>13232</v>
      </c>
      <c r="U965" t="s">
        <v>13232</v>
      </c>
      <c r="V965" t="s">
        <v>13232</v>
      </c>
      <c r="W965" t="s">
        <v>14169</v>
      </c>
      <c r="X965">
        <v>3</v>
      </c>
      <c r="Y965" t="s">
        <v>20698</v>
      </c>
      <c r="Z965" t="s">
        <v>27096</v>
      </c>
      <c r="AA965">
        <v>0.66714038620822136</v>
      </c>
      <c r="AB965" t="str">
        <f>HYPERLINK("Melting_Curves/meltCurve_K7EKG9_ATXN7L3.pdf", "Melting_Curves/meltCurve_K7EKG9_ATXN7L3.pdf")</f>
        <v>Melting_Curves/meltCurve_K7EKG9_ATXN7L3.pdf</v>
      </c>
    </row>
    <row r="966" spans="1:28" x14ac:dyDescent="0.25">
      <c r="A966" t="s">
        <v>970</v>
      </c>
      <c r="B966">
        <v>0.99930955844802105</v>
      </c>
      <c r="C966">
        <v>1.1752915391398699</v>
      </c>
      <c r="D966">
        <v>1.09099807886172</v>
      </c>
      <c r="E966">
        <v>1.09548111066554</v>
      </c>
      <c r="F966">
        <v>0.94528638115403396</v>
      </c>
      <c r="G966">
        <v>1.15446537042283</v>
      </c>
      <c r="H966">
        <v>1.85634003474922</v>
      </c>
      <c r="I966">
        <v>2.3045007863696498</v>
      </c>
      <c r="J966">
        <v>3.2241095301043101</v>
      </c>
      <c r="K966">
        <v>2.0809743544618602</v>
      </c>
      <c r="L966">
        <v>14295.8918736085</v>
      </c>
      <c r="M966">
        <v>250</v>
      </c>
      <c r="O966">
        <v>57.1799083526763</v>
      </c>
      <c r="P966">
        <v>0.54652064092313701</v>
      </c>
      <c r="Q966">
        <v>1.5</v>
      </c>
      <c r="R966">
        <v>0.19112595997687001</v>
      </c>
      <c r="S966" t="s">
        <v>7583</v>
      </c>
      <c r="T966" t="s">
        <v>13232</v>
      </c>
      <c r="U966" t="s">
        <v>13232</v>
      </c>
      <c r="V966" t="s">
        <v>13232</v>
      </c>
      <c r="W966" t="s">
        <v>14170</v>
      </c>
      <c r="X966">
        <v>1</v>
      </c>
      <c r="Y966" t="s">
        <v>20699</v>
      </c>
      <c r="Z966" t="s">
        <v>27097</v>
      </c>
      <c r="AA966">
        <v>1.2135570302906089</v>
      </c>
      <c r="AB966" t="str">
        <f>HYPERLINK("Melting_Curves/meltCurve_K7EKT0_DOCK6.pdf", "Melting_Curves/meltCurve_K7EKT0_DOCK6.pdf")</f>
        <v>Melting_Curves/meltCurve_K7EKT0_DOCK6.pdf</v>
      </c>
    </row>
    <row r="967" spans="1:28" x14ac:dyDescent="0.25">
      <c r="A967" t="s">
        <v>971</v>
      </c>
      <c r="B967">
        <v>0.99930955844802105</v>
      </c>
      <c r="C967">
        <v>1.0835677081061199</v>
      </c>
      <c r="D967">
        <v>1.06766222284072</v>
      </c>
      <c r="E967">
        <v>1.08566249786306</v>
      </c>
      <c r="F967">
        <v>0.94573279408307598</v>
      </c>
      <c r="G967">
        <v>0.70360433147412804</v>
      </c>
      <c r="H967">
        <v>0.27381063173307801</v>
      </c>
      <c r="I967">
        <v>0.145191280842526</v>
      </c>
      <c r="J967">
        <v>0.115952469207234</v>
      </c>
      <c r="K967">
        <v>8.7316970430816404E-2</v>
      </c>
      <c r="L967">
        <v>1835.3558630443199</v>
      </c>
      <c r="M967">
        <v>31.474929647133798</v>
      </c>
      <c r="N967">
        <v>58.691392525599198</v>
      </c>
      <c r="O967">
        <v>58.077804830554797</v>
      </c>
      <c r="P967">
        <v>-0.123006505052868</v>
      </c>
      <c r="Q967">
        <v>9.2114350504707204E-2</v>
      </c>
      <c r="R967">
        <v>0.98851777386832196</v>
      </c>
      <c r="S967" t="s">
        <v>7584</v>
      </c>
      <c r="T967" t="s">
        <v>13232</v>
      </c>
      <c r="U967" t="s">
        <v>13232</v>
      </c>
      <c r="V967" t="s">
        <v>13232</v>
      </c>
      <c r="W967" t="s">
        <v>14171</v>
      </c>
      <c r="X967">
        <v>16</v>
      </c>
      <c r="Y967" t="s">
        <v>20700</v>
      </c>
      <c r="Z967" t="s">
        <v>27098</v>
      </c>
      <c r="AA967">
        <v>0.65176559847306736</v>
      </c>
      <c r="AB967" t="str">
        <f>HYPERLINK("Melting_Curves/meltCurve_K7EL68_CDC37.pdf", "Melting_Curves/meltCurve_K7EL68_CDC37.pdf")</f>
        <v>Melting_Curves/meltCurve_K7EL68_CDC37.pdf</v>
      </c>
    </row>
    <row r="968" spans="1:28" x14ac:dyDescent="0.25">
      <c r="A968" t="s">
        <v>972</v>
      </c>
      <c r="B968">
        <v>0.99930955844802105</v>
      </c>
      <c r="C968">
        <v>1.46133311382762</v>
      </c>
      <c r="D968">
        <v>1.46988819756196</v>
      </c>
      <c r="E968">
        <v>1.3312779755344899</v>
      </c>
      <c r="F968">
        <v>1.16081046641587</v>
      </c>
      <c r="G968">
        <v>1.3540842446789101</v>
      </c>
      <c r="H968">
        <v>1.59765338017098</v>
      </c>
      <c r="I968">
        <v>1.6716573010708</v>
      </c>
      <c r="J968">
        <v>1.7138573983780601</v>
      </c>
      <c r="K968">
        <v>1.3150109774566801</v>
      </c>
      <c r="L968">
        <v>10304.994130074399</v>
      </c>
      <c r="M968">
        <v>250</v>
      </c>
      <c r="O968">
        <v>41.217338985620501</v>
      </c>
      <c r="P968">
        <v>0.68667122237802702</v>
      </c>
      <c r="Q968">
        <v>1.45284416520933</v>
      </c>
      <c r="R968">
        <v>0.41021730901160602</v>
      </c>
      <c r="S968" t="s">
        <v>7585</v>
      </c>
      <c r="T968" t="s">
        <v>13232</v>
      </c>
      <c r="U968" t="s">
        <v>13232</v>
      </c>
      <c r="V968" t="s">
        <v>13232</v>
      </c>
      <c r="W968" t="s">
        <v>14172</v>
      </c>
      <c r="X968">
        <v>27</v>
      </c>
      <c r="Y968" t="s">
        <v>20701</v>
      </c>
      <c r="Z968" t="s">
        <v>27099</v>
      </c>
      <c r="AA968">
        <v>1.4343949629239749</v>
      </c>
      <c r="AB968" t="str">
        <f>HYPERLINK("Melting_Curves/meltCurve_K7EL81_PPP1R12C.pdf", "Melting_Curves/meltCurve_K7EL81_PPP1R12C.pdf")</f>
        <v>Melting_Curves/meltCurve_K7EL81_PPP1R12C.pdf</v>
      </c>
    </row>
    <row r="969" spans="1:28" x14ac:dyDescent="0.25">
      <c r="A969" t="s">
        <v>973</v>
      </c>
      <c r="B969">
        <v>0.99930955844802105</v>
      </c>
      <c r="C969">
        <v>0.90627022518495204</v>
      </c>
      <c r="D969">
        <v>0.71802809792981304</v>
      </c>
      <c r="E969">
        <v>0.53180487007168697</v>
      </c>
      <c r="F969">
        <v>0.35368355728045398</v>
      </c>
      <c r="G969">
        <v>0.23733243338572099</v>
      </c>
      <c r="H969">
        <v>0.132838789343483</v>
      </c>
      <c r="I969">
        <v>0.114647243066012</v>
      </c>
      <c r="J969">
        <v>0.10133528354938399</v>
      </c>
      <c r="K969">
        <v>9.2535176028124402E-2</v>
      </c>
      <c r="L969">
        <v>635.92561185652698</v>
      </c>
      <c r="M969">
        <v>12.792321269775099</v>
      </c>
      <c r="N969">
        <v>50.281864652217998</v>
      </c>
      <c r="O969">
        <v>48.543703943110202</v>
      </c>
      <c r="P969">
        <v>-6.1442826817958297E-2</v>
      </c>
      <c r="Q969">
        <v>6.7534293489604005E-2</v>
      </c>
      <c r="R969">
        <v>0.99642021532610503</v>
      </c>
      <c r="S969" t="s">
        <v>7586</v>
      </c>
      <c r="T969" t="s">
        <v>13232</v>
      </c>
      <c r="U969" t="s">
        <v>13232</v>
      </c>
      <c r="V969" t="s">
        <v>13232</v>
      </c>
      <c r="W969" t="s">
        <v>14173</v>
      </c>
      <c r="X969">
        <v>3</v>
      </c>
      <c r="Y969" t="s">
        <v>20702</v>
      </c>
      <c r="Z969" t="s">
        <v>27100</v>
      </c>
      <c r="AA969">
        <v>0.39897498739004511</v>
      </c>
      <c r="AB969" t="str">
        <f>HYPERLINK("Melting_Curves/meltCurve_K7ELC2_RPS15.pdf", "Melting_Curves/meltCurve_K7ELC2_RPS15.pdf")</f>
        <v>Melting_Curves/meltCurve_K7ELC2_RPS15.pdf</v>
      </c>
    </row>
    <row r="970" spans="1:28" x14ac:dyDescent="0.25">
      <c r="A970" t="s">
        <v>974</v>
      </c>
      <c r="B970">
        <v>0.99930955844802105</v>
      </c>
      <c r="C970">
        <v>0.996951227017006</v>
      </c>
      <c r="D970">
        <v>0.98904175847583897</v>
      </c>
      <c r="E970">
        <v>0.89576712543203096</v>
      </c>
      <c r="F970">
        <v>0.95498330734167602</v>
      </c>
      <c r="G970">
        <v>0.885781005095166</v>
      </c>
      <c r="H970">
        <v>0.69036000840311795</v>
      </c>
      <c r="I970">
        <v>0.78174095953920397</v>
      </c>
      <c r="J970">
        <v>0.84564138028770997</v>
      </c>
      <c r="K970">
        <v>0.71544939223988102</v>
      </c>
      <c r="L970">
        <v>820.11971041812399</v>
      </c>
      <c r="M970">
        <v>14.8274401579335</v>
      </c>
      <c r="O970">
        <v>54.334105338314501</v>
      </c>
      <c r="P970">
        <v>-1.7603920784894801E-2</v>
      </c>
      <c r="Q970">
        <v>0.74199398593968202</v>
      </c>
      <c r="R970">
        <v>0.77518655932948199</v>
      </c>
      <c r="S970" t="s">
        <v>7587</v>
      </c>
      <c r="T970" t="s">
        <v>13232</v>
      </c>
      <c r="U970" t="s">
        <v>13232</v>
      </c>
      <c r="V970" t="s">
        <v>13232</v>
      </c>
      <c r="W970" t="s">
        <v>14174</v>
      </c>
      <c r="X970">
        <v>8</v>
      </c>
      <c r="Y970" t="s">
        <v>20703</v>
      </c>
      <c r="Z970" t="s">
        <v>27101</v>
      </c>
      <c r="AA970">
        <v>0.87858801425321265</v>
      </c>
      <c r="AB970" t="str">
        <f>HYPERLINK("Melting_Curves/meltCurve_K7ELW5_PTBP1.pdf", "Melting_Curves/meltCurve_K7ELW5_PTBP1.pdf")</f>
        <v>Melting_Curves/meltCurve_K7ELW5_PTBP1.pdf</v>
      </c>
    </row>
    <row r="971" spans="1:28" x14ac:dyDescent="0.25">
      <c r="A971" t="s">
        <v>975</v>
      </c>
      <c r="B971">
        <v>0.99930955844802105</v>
      </c>
      <c r="C971">
        <v>1.0621342138601499</v>
      </c>
      <c r="D971">
        <v>1.09672318327414</v>
      </c>
      <c r="E971">
        <v>1.00944212990537</v>
      </c>
      <c r="F971">
        <v>0.78144709349508301</v>
      </c>
      <c r="G971">
        <v>0.61545644761272</v>
      </c>
      <c r="H971">
        <v>0.38906121334575</v>
      </c>
      <c r="I971">
        <v>0.280547977373861</v>
      </c>
      <c r="J971">
        <v>0.19894526881340399</v>
      </c>
      <c r="K971">
        <v>0.180622747504395</v>
      </c>
      <c r="L971">
        <v>1023.44736682952</v>
      </c>
      <c r="M971">
        <v>17.793201344089201</v>
      </c>
      <c r="N971">
        <v>58.689699903091899</v>
      </c>
      <c r="O971">
        <v>56.807238621140201</v>
      </c>
      <c r="P971">
        <v>-6.6610908798984E-2</v>
      </c>
      <c r="Q971">
        <v>0.14938601949657901</v>
      </c>
      <c r="R971">
        <v>0.98072074715951396</v>
      </c>
      <c r="S971" t="s">
        <v>7588</v>
      </c>
      <c r="T971" t="s">
        <v>13232</v>
      </c>
      <c r="U971" t="s">
        <v>13232</v>
      </c>
      <c r="V971" t="s">
        <v>13232</v>
      </c>
      <c r="W971" t="s">
        <v>14175</v>
      </c>
      <c r="X971">
        <v>2</v>
      </c>
      <c r="Y971" t="s">
        <v>20704</v>
      </c>
      <c r="Z971" t="s">
        <v>27102</v>
      </c>
      <c r="AA971">
        <v>0.65734024894063792</v>
      </c>
      <c r="AB971" t="str">
        <f>HYPERLINK("Melting_Curves/meltCurve_K7ELY0_WIPI1.pdf", "Melting_Curves/meltCurve_K7ELY0_WIPI1.pdf")</f>
        <v>Melting_Curves/meltCurve_K7ELY0_WIPI1.pdf</v>
      </c>
    </row>
    <row r="972" spans="1:28" x14ac:dyDescent="0.25">
      <c r="A972" t="s">
        <v>976</v>
      </c>
      <c r="B972">
        <v>0.99930955844802105</v>
      </c>
      <c r="C972">
        <v>0.64567156644178203</v>
      </c>
      <c r="D972">
        <v>0.71855316130259606</v>
      </c>
      <c r="E972">
        <v>0.99731206504724401</v>
      </c>
      <c r="F972">
        <v>1.1792438946388999</v>
      </c>
      <c r="G972">
        <v>1.00914189307312</v>
      </c>
      <c r="H972">
        <v>0.28616997355602097</v>
      </c>
      <c r="I972">
        <v>0.24528629768145199</v>
      </c>
      <c r="J972">
        <v>0.175445755580694</v>
      </c>
      <c r="K972">
        <v>6.8701327191371994E-2</v>
      </c>
      <c r="L972">
        <v>5738.6327912973802</v>
      </c>
      <c r="M972">
        <v>95.802396185515406</v>
      </c>
      <c r="N972">
        <v>60.146298645375197</v>
      </c>
      <c r="O972">
        <v>59.874639011246899</v>
      </c>
      <c r="P972">
        <v>-0.33526508118461101</v>
      </c>
      <c r="Q972">
        <v>0.16186340996882401</v>
      </c>
      <c r="R972">
        <v>0.83296394484132497</v>
      </c>
      <c r="S972" t="s">
        <v>7589</v>
      </c>
      <c r="T972" t="s">
        <v>13232</v>
      </c>
      <c r="U972" t="s">
        <v>13232</v>
      </c>
      <c r="V972" t="s">
        <v>13232</v>
      </c>
      <c r="W972" t="s">
        <v>14176</v>
      </c>
      <c r="X972">
        <v>1</v>
      </c>
      <c r="Y972" t="s">
        <v>20705</v>
      </c>
      <c r="Z972" t="s">
        <v>27103</v>
      </c>
      <c r="AA972">
        <v>0.71844828943216421</v>
      </c>
      <c r="AB972" t="str">
        <f>HYPERLINK("Melting_Curves/meltCurve_K7EM02_KATNAL2.pdf", "Melting_Curves/meltCurve_K7EM02_KATNAL2.pdf")</f>
        <v>Melting_Curves/meltCurve_K7EM02_KATNAL2.pdf</v>
      </c>
    </row>
    <row r="973" spans="1:28" x14ac:dyDescent="0.25">
      <c r="A973" t="s">
        <v>977</v>
      </c>
      <c r="B973">
        <v>0.99930955844802105</v>
      </c>
      <c r="C973">
        <v>0.89007234031688898</v>
      </c>
      <c r="D973">
        <v>0.76025350452437002</v>
      </c>
      <c r="E973">
        <v>0.82205744548308501</v>
      </c>
      <c r="F973">
        <v>0.61743601001283199</v>
      </c>
      <c r="G973">
        <v>0.36654844712281198</v>
      </c>
      <c r="H973">
        <v>0.27846409618446399</v>
      </c>
      <c r="I973">
        <v>0.25255506797646499</v>
      </c>
      <c r="J973">
        <v>0.33319332705591098</v>
      </c>
      <c r="K973">
        <v>0.189653431743771</v>
      </c>
      <c r="L973">
        <v>551.65909707345497</v>
      </c>
      <c r="M973">
        <v>10.370279731956501</v>
      </c>
      <c r="N973">
        <v>55.0577773496452</v>
      </c>
      <c r="O973">
        <v>51.332095566448402</v>
      </c>
      <c r="P973">
        <v>-4.3055190433181699E-2</v>
      </c>
      <c r="Q973">
        <v>0.14788129833351599</v>
      </c>
      <c r="R973">
        <v>0.947104619587263</v>
      </c>
      <c r="S973" t="s">
        <v>7590</v>
      </c>
      <c r="T973" t="s">
        <v>13232</v>
      </c>
      <c r="U973" t="s">
        <v>13232</v>
      </c>
      <c r="V973" t="s">
        <v>13232</v>
      </c>
      <c r="W973" t="s">
        <v>14177</v>
      </c>
      <c r="X973">
        <v>1</v>
      </c>
      <c r="Y973" t="s">
        <v>20706</v>
      </c>
      <c r="Z973" t="s">
        <v>27104</v>
      </c>
      <c r="AA973">
        <v>0.55030672953962601</v>
      </c>
      <c r="AB973" t="str">
        <f>HYPERLINK("Melting_Curves/meltCurve_K7EM09_TMEM205.pdf", "Melting_Curves/meltCurve_K7EM09_TMEM205.pdf")</f>
        <v>Melting_Curves/meltCurve_K7EM09_TMEM205.pdf</v>
      </c>
    </row>
    <row r="974" spans="1:28" x14ac:dyDescent="0.25">
      <c r="A974" t="s">
        <v>978</v>
      </c>
      <c r="B974">
        <v>0.99930955844802105</v>
      </c>
      <c r="C974">
        <v>0.97232041579803896</v>
      </c>
      <c r="D974">
        <v>0.73760481615271301</v>
      </c>
      <c r="E974">
        <v>0.88109706343872196</v>
      </c>
      <c r="F974">
        <v>0.72770989452433599</v>
      </c>
      <c r="G974">
        <v>0.74594185019556503</v>
      </c>
      <c r="H974">
        <v>0.543035882655729</v>
      </c>
      <c r="I974">
        <v>0.86927038582687399</v>
      </c>
      <c r="J974">
        <v>1.70860114391806</v>
      </c>
      <c r="K974">
        <v>0.83406185892926399</v>
      </c>
      <c r="L974">
        <v>10776.248358975299</v>
      </c>
      <c r="M974">
        <v>250</v>
      </c>
      <c r="O974">
        <v>43.102235012128197</v>
      </c>
      <c r="P974">
        <v>-0.17267758068684999</v>
      </c>
      <c r="Q974">
        <v>0.88091536554148497</v>
      </c>
      <c r="R974">
        <v>2.0379819842497999E-2</v>
      </c>
      <c r="S974" t="s">
        <v>7591</v>
      </c>
      <c r="T974" t="s">
        <v>13232</v>
      </c>
      <c r="U974" t="s">
        <v>13232</v>
      </c>
      <c r="V974" t="s">
        <v>13232</v>
      </c>
      <c r="W974" t="s">
        <v>14178</v>
      </c>
      <c r="X974">
        <v>1</v>
      </c>
      <c r="Y974" t="s">
        <v>20707</v>
      </c>
      <c r="Z974" t="s">
        <v>27105</v>
      </c>
      <c r="AA974">
        <v>0.89324960773901407</v>
      </c>
      <c r="AB974" t="str">
        <f>HYPERLINK("Melting_Curves/meltCurve_K7EM88_UBALD1.pdf", "Melting_Curves/meltCurve_K7EM88_UBALD1.pdf")</f>
        <v>Melting_Curves/meltCurve_K7EM88_UBALD1.pdf</v>
      </c>
    </row>
    <row r="975" spans="1:28" x14ac:dyDescent="0.25">
      <c r="A975" t="s">
        <v>979</v>
      </c>
      <c r="B975">
        <v>0.99930955844802105</v>
      </c>
      <c r="C975">
        <v>0.80145099570436495</v>
      </c>
      <c r="D975">
        <v>0.61776736176209701</v>
      </c>
      <c r="E975">
        <v>0.75867562602499905</v>
      </c>
      <c r="F975">
        <v>0.51318134780521296</v>
      </c>
      <c r="G975">
        <v>0.32072392873955602</v>
      </c>
      <c r="H975">
        <v>0.20324418317543599</v>
      </c>
      <c r="I975">
        <v>0.16453882717818599</v>
      </c>
      <c r="J975">
        <v>0.13218249080101599</v>
      </c>
      <c r="K975">
        <v>0.12717461057365601</v>
      </c>
      <c r="L975">
        <v>430.887500191953</v>
      </c>
      <c r="M975">
        <v>8.2021678098812192</v>
      </c>
      <c r="N975">
        <v>52.533366693531001</v>
      </c>
      <c r="O975">
        <v>49.687908193956197</v>
      </c>
      <c r="P975">
        <v>-4.1310943125291003E-2</v>
      </c>
      <c r="Q975">
        <v>0</v>
      </c>
      <c r="R975">
        <v>0.93663003262772504</v>
      </c>
      <c r="S975" t="s">
        <v>7592</v>
      </c>
      <c r="T975" t="s">
        <v>13232</v>
      </c>
      <c r="U975" t="s">
        <v>13232</v>
      </c>
      <c r="V975" t="s">
        <v>13232</v>
      </c>
      <c r="W975" t="s">
        <v>14179</v>
      </c>
      <c r="X975">
        <v>5</v>
      </c>
      <c r="Y975" t="s">
        <v>20708</v>
      </c>
      <c r="Z975" t="s">
        <v>27106</v>
      </c>
      <c r="AA975">
        <v>0.4606679752682562</v>
      </c>
      <c r="AB975" t="str">
        <f>HYPERLINK("Melting_Curves/meltCurve_K7EMW4_NCLN.pdf", "Melting_Curves/meltCurve_K7EMW4_NCLN.pdf")</f>
        <v>Melting_Curves/meltCurve_K7EMW4_NCLN.pdf</v>
      </c>
    </row>
    <row r="976" spans="1:28" x14ac:dyDescent="0.25">
      <c r="A976" t="s">
        <v>980</v>
      </c>
      <c r="B976">
        <v>0.99930955844802105</v>
      </c>
      <c r="C976">
        <v>1.04810462001213</v>
      </c>
      <c r="D976">
        <v>0.98715686322537499</v>
      </c>
      <c r="E976">
        <v>0.74759855484457705</v>
      </c>
      <c r="F976">
        <v>0.30805046363822602</v>
      </c>
      <c r="G976">
        <v>0.20300153776875399</v>
      </c>
      <c r="H976">
        <v>0.13138488961199199</v>
      </c>
      <c r="I976">
        <v>0.117876092742376</v>
      </c>
      <c r="J976">
        <v>0.1094250884069</v>
      </c>
      <c r="K976">
        <v>8.9636076900132894E-2</v>
      </c>
      <c r="L976">
        <v>1831.79460239626</v>
      </c>
      <c r="M976">
        <v>35.767079356372101</v>
      </c>
      <c r="N976">
        <v>51.6201981835937</v>
      </c>
      <c r="O976">
        <v>51.055237227573897</v>
      </c>
      <c r="P976">
        <v>-0.15368215329976401</v>
      </c>
      <c r="Q976">
        <v>0.12251673809349301</v>
      </c>
      <c r="R976">
        <v>0.995283642393473</v>
      </c>
      <c r="S976" t="s">
        <v>7593</v>
      </c>
      <c r="T976" t="s">
        <v>13232</v>
      </c>
      <c r="U976" t="s">
        <v>13232</v>
      </c>
      <c r="V976" t="s">
        <v>13232</v>
      </c>
      <c r="W976" t="s">
        <v>14180</v>
      </c>
      <c r="X976">
        <v>8</v>
      </c>
      <c r="Y976" t="s">
        <v>20709</v>
      </c>
      <c r="Z976" t="s">
        <v>27107</v>
      </c>
      <c r="AA976">
        <v>0.45442615381416568</v>
      </c>
      <c r="AB976" t="str">
        <f>HYPERLINK("Melting_Curves/meltCurve_K7EMX1_SPC24.pdf", "Melting_Curves/meltCurve_K7EMX1_SPC24.pdf")</f>
        <v>Melting_Curves/meltCurve_K7EMX1_SPC24.pdf</v>
      </c>
    </row>
    <row r="977" spans="1:28" x14ac:dyDescent="0.25">
      <c r="A977" t="s">
        <v>981</v>
      </c>
      <c r="B977">
        <v>0.99930955844802105</v>
      </c>
      <c r="C977">
        <v>1.24094893494779</v>
      </c>
      <c r="D977">
        <v>1.23085352541961</v>
      </c>
      <c r="E977">
        <v>1.2309235807688499</v>
      </c>
      <c r="F977">
        <v>1.1371648824352301</v>
      </c>
      <c r="G977">
        <v>1.00525714645576</v>
      </c>
      <c r="H977">
        <v>1.0540324700811701</v>
      </c>
      <c r="I977">
        <v>1.13446471116623</v>
      </c>
      <c r="J977">
        <v>1.1072729849425</v>
      </c>
      <c r="K977">
        <v>0.92910023433048605</v>
      </c>
      <c r="L977">
        <v>10249.9843138656</v>
      </c>
      <c r="M977">
        <v>250</v>
      </c>
      <c r="O977">
        <v>40.997293635477902</v>
      </c>
      <c r="P977">
        <v>0.181247757716368</v>
      </c>
      <c r="Q977">
        <v>1.11889073869801</v>
      </c>
      <c r="R977">
        <v>0.120597095513428</v>
      </c>
      <c r="S977" t="s">
        <v>7594</v>
      </c>
      <c r="T977" t="s">
        <v>13232</v>
      </c>
      <c r="U977" t="s">
        <v>13232</v>
      </c>
      <c r="V977" t="s">
        <v>13232</v>
      </c>
      <c r="W977" t="s">
        <v>14181</v>
      </c>
      <c r="X977">
        <v>2</v>
      </c>
      <c r="Y977" t="s">
        <v>20710</v>
      </c>
      <c r="Z977" t="s">
        <v>27108</v>
      </c>
      <c r="AA977">
        <v>1.1149182237184401</v>
      </c>
      <c r="AB977" t="str">
        <f>HYPERLINK("Melting_Curves/meltCurve_K7EMZ7_C19orf57.pdf", "Melting_Curves/meltCurve_K7EMZ7_C19orf57.pdf")</f>
        <v>Melting_Curves/meltCurve_K7EMZ7_C19orf57.pdf</v>
      </c>
    </row>
    <row r="978" spans="1:28" x14ac:dyDescent="0.25">
      <c r="A978" t="s">
        <v>982</v>
      </c>
      <c r="B978">
        <v>0.99930955844802105</v>
      </c>
      <c r="C978">
        <v>0.978580530905379</v>
      </c>
      <c r="D978">
        <v>1.0033722131757501</v>
      </c>
      <c r="E978">
        <v>0.92296106934669098</v>
      </c>
      <c r="F978">
        <v>0.64932809923784496</v>
      </c>
      <c r="G978">
        <v>0.32822691598541598</v>
      </c>
      <c r="H978">
        <v>0.196336657372396</v>
      </c>
      <c r="I978">
        <v>0.15906361206436401</v>
      </c>
      <c r="J978">
        <v>0.13026899706775499</v>
      </c>
      <c r="K978">
        <v>0.117146165972731</v>
      </c>
      <c r="L978">
        <v>1327.72822094509</v>
      </c>
      <c r="M978">
        <v>24.557712239916199</v>
      </c>
      <c r="N978">
        <v>54.7401595201462</v>
      </c>
      <c r="O978">
        <v>53.710953282947102</v>
      </c>
      <c r="P978">
        <v>-9.93831948452472E-2</v>
      </c>
      <c r="Q978">
        <v>0.13055602484981799</v>
      </c>
      <c r="R978">
        <v>0.99824939021759596</v>
      </c>
      <c r="S978" t="s">
        <v>7595</v>
      </c>
      <c r="T978" t="s">
        <v>13232</v>
      </c>
      <c r="U978" t="s">
        <v>13232</v>
      </c>
      <c r="V978" t="s">
        <v>13232</v>
      </c>
      <c r="W978" t="s">
        <v>14182</v>
      </c>
      <c r="X978">
        <v>1</v>
      </c>
      <c r="Y978" t="s">
        <v>20711</v>
      </c>
      <c r="Z978" t="s">
        <v>27109</v>
      </c>
      <c r="AA978">
        <v>0.54650984129903546</v>
      </c>
      <c r="AB978" t="str">
        <f>HYPERLINK("Melting_Curves/meltCurve_K7EN05_ELOF1.pdf", "Melting_Curves/meltCurve_K7EN05_ELOF1.pdf")</f>
        <v>Melting_Curves/meltCurve_K7EN05_ELOF1.pdf</v>
      </c>
    </row>
    <row r="979" spans="1:28" x14ac:dyDescent="0.25">
      <c r="A979" t="s">
        <v>983</v>
      </c>
      <c r="B979">
        <v>0.99930955844802105</v>
      </c>
      <c r="C979">
        <v>1.09265354136723</v>
      </c>
      <c r="D979">
        <v>1.04954970722217</v>
      </c>
      <c r="E979">
        <v>0.99641206876295296</v>
      </c>
      <c r="F979">
        <v>0.85870316137855396</v>
      </c>
      <c r="G979">
        <v>0.73674285549677299</v>
      </c>
      <c r="H979">
        <v>0.77222852420397103</v>
      </c>
      <c r="I979">
        <v>0.83106306405573804</v>
      </c>
      <c r="J979">
        <v>0.78408558368751002</v>
      </c>
      <c r="K979">
        <v>0.66121972323559797</v>
      </c>
      <c r="L979">
        <v>6684.22756305039</v>
      </c>
      <c r="M979">
        <v>126.44726156759199</v>
      </c>
      <c r="O979">
        <v>52.848583913363299</v>
      </c>
      <c r="P979">
        <v>-0.14531360467878901</v>
      </c>
      <c r="Q979">
        <v>0.75706504317052903</v>
      </c>
      <c r="R979">
        <v>0.86020703780896901</v>
      </c>
      <c r="S979" t="s">
        <v>7596</v>
      </c>
      <c r="T979" t="s">
        <v>13232</v>
      </c>
      <c r="U979" t="s">
        <v>13232</v>
      </c>
      <c r="V979" t="s">
        <v>13232</v>
      </c>
      <c r="W979" t="s">
        <v>13640</v>
      </c>
      <c r="X979">
        <v>6</v>
      </c>
      <c r="Y979" t="s">
        <v>20712</v>
      </c>
      <c r="Z979" t="s">
        <v>27110</v>
      </c>
      <c r="AA979">
        <v>0.86130574569403917</v>
      </c>
      <c r="AB979" t="str">
        <f>HYPERLINK("Melting_Curves/meltCurve_K7EN65_MBD1.pdf", "Melting_Curves/meltCurve_K7EN65_MBD1.pdf")</f>
        <v>Melting_Curves/meltCurve_K7EN65_MBD1.pdf</v>
      </c>
    </row>
    <row r="980" spans="1:28" x14ac:dyDescent="0.25">
      <c r="A980" t="s">
        <v>984</v>
      </c>
      <c r="B980">
        <v>0.99930955844802105</v>
      </c>
      <c r="C980">
        <v>1.0812166984682501</v>
      </c>
      <c r="D980">
        <v>1.02417246894452</v>
      </c>
      <c r="E980">
        <v>0.80489405999150898</v>
      </c>
      <c r="F980">
        <v>0.66656435777223499</v>
      </c>
      <c r="G980">
        <v>0.479082013946455</v>
      </c>
      <c r="H980">
        <v>0.37952182708215598</v>
      </c>
      <c r="I980">
        <v>0.33832280678890603</v>
      </c>
      <c r="J980">
        <v>0.28448972137141498</v>
      </c>
      <c r="K980">
        <v>0.18282817435919799</v>
      </c>
      <c r="L980">
        <v>813.02505440134701</v>
      </c>
      <c r="M980">
        <v>14.934336803893199</v>
      </c>
      <c r="N980">
        <v>56.663601553453702</v>
      </c>
      <c r="O980">
        <v>53.491847068210397</v>
      </c>
      <c r="P980">
        <v>-5.43259348843812E-2</v>
      </c>
      <c r="Q980">
        <v>0.22174087899639899</v>
      </c>
      <c r="R980">
        <v>0.97756491394459399</v>
      </c>
      <c r="S980" t="s">
        <v>7597</v>
      </c>
      <c r="T980" t="s">
        <v>13232</v>
      </c>
      <c r="U980" t="s">
        <v>13232</v>
      </c>
      <c r="V980" t="s">
        <v>13232</v>
      </c>
      <c r="W980" t="s">
        <v>14183</v>
      </c>
      <c r="X980">
        <v>4</v>
      </c>
      <c r="Y980" t="s">
        <v>20713</v>
      </c>
      <c r="Z980" t="s">
        <v>27111</v>
      </c>
      <c r="AA980">
        <v>0.61199286525580376</v>
      </c>
      <c r="AB980" t="str">
        <f>HYPERLINK("Melting_Curves/meltCurve_K7EN88_hCG_2039718.pdf", "Melting_Curves/meltCurve_K7EN88_hCG_2039718.pdf")</f>
        <v>Melting_Curves/meltCurve_K7EN88_hCG_2039718.pdf</v>
      </c>
    </row>
    <row r="981" spans="1:28" x14ac:dyDescent="0.25">
      <c r="A981" t="s">
        <v>985</v>
      </c>
      <c r="B981">
        <v>0.99930955844802105</v>
      </c>
      <c r="C981">
        <v>0.82638875245580601</v>
      </c>
      <c r="D981">
        <v>0.78531734213219195</v>
      </c>
      <c r="E981">
        <v>0.62347048043174502</v>
      </c>
      <c r="F981">
        <v>0.21381086526471599</v>
      </c>
      <c r="G981">
        <v>0.14208142878357</v>
      </c>
      <c r="H981">
        <v>9.9885483772360797E-2</v>
      </c>
      <c r="I981">
        <v>7.1570048344663004E-2</v>
      </c>
      <c r="J981">
        <v>6.6801863300535794E-2</v>
      </c>
      <c r="K981">
        <v>5.4148858372044598E-2</v>
      </c>
      <c r="L981">
        <v>765.52156681176803</v>
      </c>
      <c r="M981">
        <v>15.349276367296801</v>
      </c>
      <c r="N981">
        <v>50.1097994694642</v>
      </c>
      <c r="O981">
        <v>49.049917037209603</v>
      </c>
      <c r="P981">
        <v>-7.5508216710117398E-2</v>
      </c>
      <c r="Q981">
        <v>3.4917315666085601E-2</v>
      </c>
      <c r="R981">
        <v>0.97301210792013004</v>
      </c>
      <c r="S981" t="s">
        <v>7598</v>
      </c>
      <c r="T981" t="s">
        <v>13232</v>
      </c>
      <c r="U981" t="s">
        <v>13232</v>
      </c>
      <c r="V981" t="s">
        <v>13232</v>
      </c>
      <c r="W981" t="s">
        <v>14184</v>
      </c>
      <c r="X981">
        <v>3</v>
      </c>
      <c r="Y981" t="s">
        <v>20714</v>
      </c>
      <c r="Z981" t="s">
        <v>27112</v>
      </c>
      <c r="AA981">
        <v>0.37471400756759787</v>
      </c>
      <c r="AB981" t="str">
        <f>HYPERLINK("Melting_Curves/meltCurve_K7ENF0_NARS.pdf", "Melting_Curves/meltCurve_K7ENF0_NARS.pdf")</f>
        <v>Melting_Curves/meltCurve_K7ENF0_NARS.pdf</v>
      </c>
    </row>
    <row r="982" spans="1:28" x14ac:dyDescent="0.25">
      <c r="A982" t="s">
        <v>986</v>
      </c>
      <c r="B982">
        <v>0.99930955844802105</v>
      </c>
      <c r="C982">
        <v>0.866813631958117</v>
      </c>
      <c r="D982">
        <v>0.97395688847371098</v>
      </c>
      <c r="E982">
        <v>1.1479475488266699</v>
      </c>
      <c r="F982">
        <v>1.1140816158854401</v>
      </c>
      <c r="G982">
        <v>1.2812411927559999</v>
      </c>
      <c r="H982">
        <v>1.08393339879665</v>
      </c>
      <c r="I982">
        <v>1.33548425013048</v>
      </c>
      <c r="J982">
        <v>1.03976137180002</v>
      </c>
      <c r="K982">
        <v>0.80009994069207002</v>
      </c>
      <c r="L982">
        <v>15000</v>
      </c>
      <c r="M982">
        <v>212.89876872535299</v>
      </c>
      <c r="Q982">
        <v>0</v>
      </c>
      <c r="R982">
        <v>-5.3064250308245704E-3</v>
      </c>
      <c r="S982" t="s">
        <v>7599</v>
      </c>
      <c r="T982" t="s">
        <v>13232</v>
      </c>
      <c r="U982" t="s">
        <v>13232</v>
      </c>
      <c r="V982" t="s">
        <v>13232</v>
      </c>
      <c r="W982" t="s">
        <v>14185</v>
      </c>
      <c r="X982">
        <v>14</v>
      </c>
      <c r="Y982" t="s">
        <v>20715</v>
      </c>
      <c r="Z982" t="s">
        <v>27113</v>
      </c>
      <c r="AA982">
        <v>0.99759525342905575</v>
      </c>
      <c r="AB982" t="str">
        <f>HYPERLINK("Melting_Curves/meltCurve_K7ENJ0_RAD23A.pdf", "Melting_Curves/meltCurve_K7ENJ0_RAD23A.pdf")</f>
        <v>Melting_Curves/meltCurve_K7ENJ0_RAD23A.pdf</v>
      </c>
    </row>
    <row r="983" spans="1:28" x14ac:dyDescent="0.25">
      <c r="A983" t="s">
        <v>987</v>
      </c>
      <c r="B983">
        <v>0.99930955844802105</v>
      </c>
      <c r="C983">
        <v>0.91730596922515595</v>
      </c>
      <c r="D983">
        <v>0.89406998639697399</v>
      </c>
      <c r="E983">
        <v>0.71994216542381795</v>
      </c>
      <c r="F983">
        <v>0.17206312169704099</v>
      </c>
      <c r="G983">
        <v>0.126288017434733</v>
      </c>
      <c r="H983">
        <v>6.6787237004032093E-2</v>
      </c>
      <c r="I983">
        <v>5.25819294390443E-2</v>
      </c>
      <c r="J983">
        <v>4.0859476581988102E-2</v>
      </c>
      <c r="K983">
        <v>3.4393869003230701E-2</v>
      </c>
      <c r="L983">
        <v>2316.3121572761802</v>
      </c>
      <c r="M983">
        <v>45.5290550911499</v>
      </c>
      <c r="N983">
        <v>51.018681974423302</v>
      </c>
      <c r="O983">
        <v>50.777613566783003</v>
      </c>
      <c r="P983">
        <v>-0.21071372313320699</v>
      </c>
      <c r="Q983">
        <v>5.9982530974712997E-2</v>
      </c>
      <c r="R983">
        <v>0.98644419270447403</v>
      </c>
      <c r="S983" t="s">
        <v>7600</v>
      </c>
      <c r="T983" t="s">
        <v>13232</v>
      </c>
      <c r="U983" t="s">
        <v>13232</v>
      </c>
      <c r="V983" t="s">
        <v>13232</v>
      </c>
      <c r="W983" t="s">
        <v>14186</v>
      </c>
      <c r="X983">
        <v>14</v>
      </c>
      <c r="Y983" t="s">
        <v>20716</v>
      </c>
      <c r="Z983" t="s">
        <v>27114</v>
      </c>
      <c r="AA983">
        <v>0.40330060207983398</v>
      </c>
      <c r="AB983" t="str">
        <f>HYPERLINK("Melting_Curves/meltCurve_K7ENL9_C18orf8.pdf", "Melting_Curves/meltCurve_K7ENL9_C18orf8.pdf")</f>
        <v>Melting_Curves/meltCurve_K7ENL9_C18orf8.pdf</v>
      </c>
    </row>
    <row r="984" spans="1:28" x14ac:dyDescent="0.25">
      <c r="A984" t="s">
        <v>988</v>
      </c>
      <c r="B984">
        <v>0.99930955844802105</v>
      </c>
      <c r="C984">
        <v>1.05845845123158</v>
      </c>
      <c r="D984">
        <v>0.975778185706214</v>
      </c>
      <c r="E984">
        <v>1.0020398495048899</v>
      </c>
      <c r="F984">
        <v>0.97478919957843901</v>
      </c>
      <c r="G984">
        <v>0.936303452622951</v>
      </c>
      <c r="H984">
        <v>0.888205557295901</v>
      </c>
      <c r="I984">
        <v>1.0013197335225901</v>
      </c>
      <c r="J984">
        <v>0.95502964331501905</v>
      </c>
      <c r="K984">
        <v>0.77477160492971697</v>
      </c>
      <c r="L984">
        <v>2658.0788284689302</v>
      </c>
      <c r="M984">
        <v>36.730506001079902</v>
      </c>
      <c r="Q984">
        <v>0</v>
      </c>
      <c r="R984">
        <v>0.61765269576416504</v>
      </c>
      <c r="S984" t="s">
        <v>7601</v>
      </c>
      <c r="T984" t="s">
        <v>13232</v>
      </c>
      <c r="U984" t="s">
        <v>13232</v>
      </c>
      <c r="V984" t="s">
        <v>13232</v>
      </c>
      <c r="W984" t="s">
        <v>14187</v>
      </c>
      <c r="X984">
        <v>6</v>
      </c>
      <c r="Y984" t="s">
        <v>20291</v>
      </c>
      <c r="Z984" t="s">
        <v>27115</v>
      </c>
      <c r="AA984">
        <v>0.98522037783349503</v>
      </c>
      <c r="AB984" t="str">
        <f>HYPERLINK("Melting_Curves/meltCurve_K7ENQ6_DNMT1.pdf", "Melting_Curves/meltCurve_K7ENQ6_DNMT1.pdf")</f>
        <v>Melting_Curves/meltCurve_K7ENQ6_DNMT1.pdf</v>
      </c>
    </row>
    <row r="985" spans="1:28" x14ac:dyDescent="0.25">
      <c r="A985" t="s">
        <v>989</v>
      </c>
      <c r="B985">
        <v>0.99930955844802105</v>
      </c>
      <c r="C985">
        <v>1.09633406455878</v>
      </c>
      <c r="D985">
        <v>1.1322659157371</v>
      </c>
      <c r="E985">
        <v>1.0741174010813199</v>
      </c>
      <c r="F985">
        <v>1.03568866531967</v>
      </c>
      <c r="G985">
        <v>0.89795146067286702</v>
      </c>
      <c r="H985">
        <v>0.75742688047124795</v>
      </c>
      <c r="I985">
        <v>0.85450021313837499</v>
      </c>
      <c r="J985">
        <v>0.74886907975568695</v>
      </c>
      <c r="K985">
        <v>0.72413953566178602</v>
      </c>
      <c r="L985">
        <v>14262.341175519399</v>
      </c>
      <c r="M985">
        <v>250</v>
      </c>
      <c r="O985">
        <v>57.045704402933502</v>
      </c>
      <c r="P985">
        <v>-0.25063898511118099</v>
      </c>
      <c r="Q985">
        <v>0.77123392269420599</v>
      </c>
      <c r="R985">
        <v>0.80005098595680102</v>
      </c>
      <c r="S985" t="s">
        <v>7602</v>
      </c>
      <c r="T985" t="s">
        <v>13232</v>
      </c>
      <c r="U985" t="s">
        <v>13232</v>
      </c>
      <c r="V985" t="s">
        <v>13232</v>
      </c>
      <c r="W985" t="s">
        <v>14188</v>
      </c>
      <c r="X985">
        <v>6</v>
      </c>
      <c r="Y985" t="s">
        <v>20717</v>
      </c>
      <c r="Z985" t="s">
        <v>27116</v>
      </c>
      <c r="AA985">
        <v>0.90126736970646448</v>
      </c>
      <c r="AB985" t="str">
        <f>HYPERLINK("Melting_Curves/meltCurve_K7ENR1_ELK1.pdf", "Melting_Curves/meltCurve_K7ENR1_ELK1.pdf")</f>
        <v>Melting_Curves/meltCurve_K7ENR1_ELK1.pdf</v>
      </c>
    </row>
    <row r="986" spans="1:28" x14ac:dyDescent="0.25">
      <c r="A986" t="s">
        <v>990</v>
      </c>
      <c r="B986">
        <v>0.99930955844802105</v>
      </c>
      <c r="C986">
        <v>1.0044493752678301</v>
      </c>
      <c r="D986">
        <v>1.0080264189706301</v>
      </c>
      <c r="E986">
        <v>1.0108642360744899</v>
      </c>
      <c r="F986">
        <v>1.0229147601672</v>
      </c>
      <c r="G986">
        <v>0.75457992073948998</v>
      </c>
      <c r="H986">
        <v>0.34399072818759002</v>
      </c>
      <c r="I986">
        <v>0.16513052797382199</v>
      </c>
      <c r="J986">
        <v>7.9570838121083995E-2</v>
      </c>
      <c r="K986">
        <v>6.5987104128142807E-2</v>
      </c>
      <c r="L986">
        <v>1734.50318741462</v>
      </c>
      <c r="M986">
        <v>29.285589168507901</v>
      </c>
      <c r="N986">
        <v>59.477567725066102</v>
      </c>
      <c r="O986">
        <v>58.953087902196003</v>
      </c>
      <c r="P986">
        <v>-0.116989006018639</v>
      </c>
      <c r="Q986">
        <v>5.7992154222917203E-2</v>
      </c>
      <c r="R986">
        <v>0.99782108518692703</v>
      </c>
      <c r="S986" t="s">
        <v>7603</v>
      </c>
      <c r="T986" t="s">
        <v>13232</v>
      </c>
      <c r="U986" t="s">
        <v>13232</v>
      </c>
      <c r="V986" t="s">
        <v>13232</v>
      </c>
      <c r="W986" t="s">
        <v>14189</v>
      </c>
      <c r="X986">
        <v>8</v>
      </c>
      <c r="Y986" t="s">
        <v>20718</v>
      </c>
      <c r="Z986" t="s">
        <v>27117</v>
      </c>
      <c r="AA986">
        <v>0.66792078567567548</v>
      </c>
      <c r="AB986" t="str">
        <f>HYPERLINK("Melting_Curves/meltCurve_K7ENR6_PSMG2.pdf", "Melting_Curves/meltCurve_K7ENR6_PSMG2.pdf")</f>
        <v>Melting_Curves/meltCurve_K7ENR6_PSMG2.pdf</v>
      </c>
    </row>
    <row r="987" spans="1:28" x14ac:dyDescent="0.25">
      <c r="A987" t="s">
        <v>991</v>
      </c>
      <c r="B987">
        <v>0.99930955844802105</v>
      </c>
      <c r="C987">
        <v>1.0256381338957401</v>
      </c>
      <c r="D987">
        <v>0.98800829884317198</v>
      </c>
      <c r="E987">
        <v>0.88085313100863305</v>
      </c>
      <c r="F987">
        <v>0.78353648898155703</v>
      </c>
      <c r="G987">
        <v>0.70281877967100903</v>
      </c>
      <c r="H987">
        <v>0.57335399382158803</v>
      </c>
      <c r="I987">
        <v>0.55663778246297901</v>
      </c>
      <c r="J987">
        <v>0.55961907215144402</v>
      </c>
      <c r="K987">
        <v>0.42910535854290999</v>
      </c>
      <c r="L987">
        <v>659.29094590327998</v>
      </c>
      <c r="M987">
        <v>11.758761534432301</v>
      </c>
      <c r="N987">
        <v>67.588142686963096</v>
      </c>
      <c r="O987">
        <v>54.520158792809099</v>
      </c>
      <c r="P987">
        <v>-3.06008510465577E-2</v>
      </c>
      <c r="Q987">
        <v>0.432617700756455</v>
      </c>
      <c r="R987">
        <v>0.97685995998506603</v>
      </c>
      <c r="S987" t="s">
        <v>7604</v>
      </c>
      <c r="T987" t="s">
        <v>13232</v>
      </c>
      <c r="U987" t="s">
        <v>13232</v>
      </c>
      <c r="V987" t="s">
        <v>13232</v>
      </c>
      <c r="W987" t="s">
        <v>14190</v>
      </c>
      <c r="X987">
        <v>3</v>
      </c>
      <c r="Y987" t="s">
        <v>20719</v>
      </c>
      <c r="Z987" t="s">
        <v>27118</v>
      </c>
      <c r="AA987">
        <v>0.74802656753594832</v>
      </c>
      <c r="AB987" t="str">
        <f>HYPERLINK("Melting_Curves/meltCurve_K7EP81_C19orf55.pdf", "Melting_Curves/meltCurve_K7EP81_C19orf55.pdf")</f>
        <v>Melting_Curves/meltCurve_K7EP81_C19orf55.pdf</v>
      </c>
    </row>
    <row r="988" spans="1:28" x14ac:dyDescent="0.25">
      <c r="A988" t="s">
        <v>992</v>
      </c>
      <c r="B988">
        <v>0.99930955844802105</v>
      </c>
      <c r="C988">
        <v>1.0209975159635301</v>
      </c>
      <c r="D988">
        <v>1.04350800327051</v>
      </c>
      <c r="E988">
        <v>0.83931114805559903</v>
      </c>
      <c r="F988">
        <v>0.54818294229902997</v>
      </c>
      <c r="G988">
        <v>0.45560587340115799</v>
      </c>
      <c r="H988">
        <v>0.408546268295499</v>
      </c>
      <c r="I988">
        <v>0.54644110656649802</v>
      </c>
      <c r="J988">
        <v>0.37710783904137901</v>
      </c>
      <c r="K988">
        <v>0.30422668928320101</v>
      </c>
      <c r="L988">
        <v>1940.5689452801601</v>
      </c>
      <c r="M988">
        <v>37.805650740499402</v>
      </c>
      <c r="N988">
        <v>53.848690814598598</v>
      </c>
      <c r="O988">
        <v>51.187145288104297</v>
      </c>
      <c r="P988">
        <v>-0.10807608056592199</v>
      </c>
      <c r="Q988">
        <v>0.41468101469010898</v>
      </c>
      <c r="R988">
        <v>0.95432814118203202</v>
      </c>
      <c r="S988" t="s">
        <v>7605</v>
      </c>
      <c r="T988" t="s">
        <v>13232</v>
      </c>
      <c r="U988" t="s">
        <v>13232</v>
      </c>
      <c r="V988" t="s">
        <v>13232</v>
      </c>
      <c r="W988" t="s">
        <v>14191</v>
      </c>
      <c r="X988">
        <v>3</v>
      </c>
      <c r="Y988" t="s">
        <v>20720</v>
      </c>
      <c r="Z988" t="s">
        <v>27119</v>
      </c>
      <c r="AA988">
        <v>0.63806512390857406</v>
      </c>
      <c r="AB988" t="str">
        <f>HYPERLINK("Melting_Curves/meltCurve_K7EPS8_C19orf12.pdf", "Melting_Curves/meltCurve_K7EPS8_C19orf12.pdf")</f>
        <v>Melting_Curves/meltCurve_K7EPS8_C19orf12.pdf</v>
      </c>
    </row>
    <row r="989" spans="1:28" x14ac:dyDescent="0.25">
      <c r="A989" t="s">
        <v>993</v>
      </c>
      <c r="B989">
        <v>0.99930955844802105</v>
      </c>
      <c r="C989">
        <v>0.95114551084485399</v>
      </c>
      <c r="D989">
        <v>0.87521632521332904</v>
      </c>
      <c r="E989">
        <v>0.81412839930828396</v>
      </c>
      <c r="F989">
        <v>0.50053111831638097</v>
      </c>
      <c r="G989">
        <v>0.367610178404563</v>
      </c>
      <c r="H989">
        <v>0.30745999635979798</v>
      </c>
      <c r="I989">
        <v>0.24057235433817001</v>
      </c>
      <c r="J989">
        <v>0.21367833171003001</v>
      </c>
      <c r="K989">
        <v>0.15620482498716101</v>
      </c>
      <c r="L989">
        <v>757.36426942374499</v>
      </c>
      <c r="M989">
        <v>14.3838165389108</v>
      </c>
      <c r="N989">
        <v>54.1969628368782</v>
      </c>
      <c r="O989">
        <v>51.667559739442702</v>
      </c>
      <c r="P989">
        <v>-5.7911306969163301E-2</v>
      </c>
      <c r="Q989">
        <v>0.16801505051560001</v>
      </c>
      <c r="R989">
        <v>0.98530290447592594</v>
      </c>
      <c r="S989" t="s">
        <v>7606</v>
      </c>
      <c r="T989" t="s">
        <v>13232</v>
      </c>
      <c r="U989" t="s">
        <v>13232</v>
      </c>
      <c r="V989" t="s">
        <v>13232</v>
      </c>
      <c r="W989" t="s">
        <v>14192</v>
      </c>
      <c r="X989">
        <v>1</v>
      </c>
      <c r="Y989" t="s">
        <v>20721</v>
      </c>
      <c r="Z989" t="s">
        <v>27120</v>
      </c>
      <c r="AA989">
        <v>0.53821213114478217</v>
      </c>
      <c r="AB989" t="str">
        <f>HYPERLINK("Melting_Curves/meltCurve_K7EPU2_NFIX.pdf", "Melting_Curves/meltCurve_K7EPU2_NFIX.pdf")</f>
        <v>Melting_Curves/meltCurve_K7EPU2_NFIX.pdf</v>
      </c>
    </row>
    <row r="990" spans="1:28" x14ac:dyDescent="0.25">
      <c r="A990" t="s">
        <v>994</v>
      </c>
      <c r="B990">
        <v>0.99930955844802105</v>
      </c>
      <c r="C990">
        <v>0.77143363067947301</v>
      </c>
      <c r="D990">
        <v>0.57486223954583104</v>
      </c>
      <c r="E990">
        <v>0.77166753383499298</v>
      </c>
      <c r="F990">
        <v>0.51388080368519296</v>
      </c>
      <c r="G990">
        <v>0.221136385642802</v>
      </c>
      <c r="H990">
        <v>8.6994818055379897E-2</v>
      </c>
      <c r="I990">
        <v>0.18917805255046999</v>
      </c>
      <c r="J990">
        <v>0.114803825364138</v>
      </c>
      <c r="K990">
        <v>7.4598782885256995E-2</v>
      </c>
      <c r="L990">
        <v>459.13667924564999</v>
      </c>
      <c r="M990">
        <v>8.9090863283686197</v>
      </c>
      <c r="N990">
        <v>51.535768947091</v>
      </c>
      <c r="O990">
        <v>49.137605048056201</v>
      </c>
      <c r="P990">
        <v>-4.5361440071172203E-2</v>
      </c>
      <c r="Q990">
        <v>0</v>
      </c>
      <c r="R990">
        <v>0.89418150908939698</v>
      </c>
      <c r="S990" t="s">
        <v>7607</v>
      </c>
      <c r="T990" t="s">
        <v>13232</v>
      </c>
      <c r="U990" t="s">
        <v>13232</v>
      </c>
      <c r="V990" t="s">
        <v>13232</v>
      </c>
      <c r="W990" t="s">
        <v>14193</v>
      </c>
      <c r="X990">
        <v>1</v>
      </c>
      <c r="Y990" t="s">
        <v>20722</v>
      </c>
      <c r="Z990" t="s">
        <v>27121</v>
      </c>
      <c r="AA990">
        <v>0.4295379787413045</v>
      </c>
      <c r="AB990" t="str">
        <f>HYPERLINK("Melting_Curves/meltCurve_K7EQG1_QPCTL.pdf", "Melting_Curves/meltCurve_K7EQG1_QPCTL.pdf")</f>
        <v>Melting_Curves/meltCurve_K7EQG1_QPCTL.pdf</v>
      </c>
    </row>
    <row r="991" spans="1:28" x14ac:dyDescent="0.25">
      <c r="A991" t="s">
        <v>995</v>
      </c>
      <c r="B991">
        <v>0.99930955844802105</v>
      </c>
      <c r="C991">
        <v>0.80337581262999902</v>
      </c>
      <c r="D991">
        <v>0.82418532371158704</v>
      </c>
      <c r="E991">
        <v>0.74686684216590604</v>
      </c>
      <c r="F991">
        <v>0.55013216252429498</v>
      </c>
      <c r="G991">
        <v>0.46822768969386802</v>
      </c>
      <c r="H991">
        <v>0.39745440271830901</v>
      </c>
      <c r="I991">
        <v>0.35380991836368803</v>
      </c>
      <c r="J991">
        <v>0.31333852117279198</v>
      </c>
      <c r="K991">
        <v>0.25239066598544402</v>
      </c>
      <c r="L991">
        <v>400.74757170852399</v>
      </c>
      <c r="M991">
        <v>7.4500172652656502</v>
      </c>
      <c r="N991">
        <v>56.2591754249123</v>
      </c>
      <c r="O991">
        <v>50.324302767589799</v>
      </c>
      <c r="P991">
        <v>-3.1898592489791003E-2</v>
      </c>
      <c r="Q991">
        <v>0.13937814130429799</v>
      </c>
      <c r="R991">
        <v>0.97101012860792102</v>
      </c>
      <c r="S991" t="s">
        <v>7608</v>
      </c>
      <c r="T991" t="s">
        <v>13232</v>
      </c>
      <c r="U991" t="s">
        <v>13232</v>
      </c>
      <c r="V991" t="s">
        <v>13232</v>
      </c>
      <c r="W991" t="s">
        <v>14194</v>
      </c>
      <c r="X991">
        <v>5</v>
      </c>
      <c r="Y991" t="s">
        <v>20723</v>
      </c>
      <c r="Z991" t="s">
        <v>27122</v>
      </c>
      <c r="AA991">
        <v>0.56655537481406637</v>
      </c>
      <c r="AB991" t="str">
        <f>HYPERLINK("Melting_Curves/meltCurve_K7EQU4_SAFB2.pdf", "Melting_Curves/meltCurve_K7EQU4_SAFB2.pdf")</f>
        <v>Melting_Curves/meltCurve_K7EQU4_SAFB2.pdf</v>
      </c>
    </row>
    <row r="992" spans="1:28" x14ac:dyDescent="0.25">
      <c r="A992" t="s">
        <v>996</v>
      </c>
      <c r="B992">
        <v>0.99930955844802105</v>
      </c>
      <c r="C992">
        <v>0.91188630501297496</v>
      </c>
      <c r="D992">
        <v>0.86643449537801098</v>
      </c>
      <c r="E992">
        <v>0.80087119584472</v>
      </c>
      <c r="F992">
        <v>0.67811530544554499</v>
      </c>
      <c r="G992">
        <v>0.56754884923850302</v>
      </c>
      <c r="H992">
        <v>0.577312774343269</v>
      </c>
      <c r="I992">
        <v>0.57459389007929995</v>
      </c>
      <c r="J992">
        <v>0.49169989760887201</v>
      </c>
      <c r="K992">
        <v>0.359812694452747</v>
      </c>
      <c r="L992">
        <v>374.91219195911299</v>
      </c>
      <c r="M992">
        <v>6.6611193129538702</v>
      </c>
      <c r="N992">
        <v>64.057292424122096</v>
      </c>
      <c r="O992">
        <v>51.860594493211401</v>
      </c>
      <c r="P992">
        <v>-2.3261030771203998E-2</v>
      </c>
      <c r="Q992">
        <v>0.27720491586332502</v>
      </c>
      <c r="R992">
        <v>0.94967277364861202</v>
      </c>
      <c r="S992" t="s">
        <v>7609</v>
      </c>
      <c r="T992" t="s">
        <v>13232</v>
      </c>
      <c r="U992" t="s">
        <v>13232</v>
      </c>
      <c r="V992" t="s">
        <v>13232</v>
      </c>
      <c r="W992" t="s">
        <v>14195</v>
      </c>
      <c r="X992">
        <v>1</v>
      </c>
      <c r="Y992" t="s">
        <v>20724</v>
      </c>
      <c r="Z992" t="s">
        <v>27123</v>
      </c>
      <c r="AA992">
        <v>0.67981984928750638</v>
      </c>
      <c r="AB992" t="str">
        <f>HYPERLINK("Melting_Curves/meltCurve_K7EQV7_ZNF700.pdf", "Melting_Curves/meltCurve_K7EQV7_ZNF700.pdf")</f>
        <v>Melting_Curves/meltCurve_K7EQV7_ZNF700.pdf</v>
      </c>
    </row>
    <row r="993" spans="1:28" x14ac:dyDescent="0.25">
      <c r="A993" t="s">
        <v>997</v>
      </c>
      <c r="B993">
        <v>0.99930955844802105</v>
      </c>
      <c r="C993">
        <v>0.84731266581842501</v>
      </c>
      <c r="D993">
        <v>0.80839362175091101</v>
      </c>
      <c r="E993">
        <v>0.57400447129490895</v>
      </c>
      <c r="F993">
        <v>0.41712733968126198</v>
      </c>
      <c r="G993">
        <v>0.30832475362443301</v>
      </c>
      <c r="H993">
        <v>0.29172238384645899</v>
      </c>
      <c r="I993">
        <v>0.26043733703088301</v>
      </c>
      <c r="J993">
        <v>0.23364331420125001</v>
      </c>
      <c r="K993">
        <v>0.16372742579343899</v>
      </c>
      <c r="L993">
        <v>621.05289175784696</v>
      </c>
      <c r="M993">
        <v>12.5367426698883</v>
      </c>
      <c r="N993">
        <v>51.5050722710724</v>
      </c>
      <c r="O993">
        <v>48.328845178349702</v>
      </c>
      <c r="P993">
        <v>-5.2527853794960701E-2</v>
      </c>
      <c r="Q993">
        <v>0.19019022924215401</v>
      </c>
      <c r="R993">
        <v>0.98787914215336803</v>
      </c>
      <c r="S993" t="s">
        <v>7610</v>
      </c>
      <c r="T993" t="s">
        <v>13232</v>
      </c>
      <c r="U993" t="s">
        <v>13232</v>
      </c>
      <c r="V993" t="s">
        <v>13232</v>
      </c>
      <c r="W993" t="s">
        <v>14196</v>
      </c>
      <c r="X993">
        <v>2</v>
      </c>
      <c r="Y993" t="s">
        <v>20725</v>
      </c>
      <c r="Z993" t="s">
        <v>27124</v>
      </c>
      <c r="AA993">
        <v>0.47448617585723712</v>
      </c>
      <c r="AB993" t="str">
        <f>HYPERLINK("Melting_Curves/meltCurve_K7EQW8_TPM4.pdf", "Melting_Curves/meltCurve_K7EQW8_TPM4.pdf")</f>
        <v>Melting_Curves/meltCurve_K7EQW8_TPM4.pdf</v>
      </c>
    </row>
    <row r="994" spans="1:28" x14ac:dyDescent="0.25">
      <c r="A994" t="s">
        <v>998</v>
      </c>
      <c r="B994">
        <v>0.99930955844802105</v>
      </c>
      <c r="C994">
        <v>1.23872902884903</v>
      </c>
      <c r="D994">
        <v>1.22799276017502</v>
      </c>
      <c r="E994">
        <v>1.39831236503417</v>
      </c>
      <c r="F994">
        <v>1.3723447505425901</v>
      </c>
      <c r="G994">
        <v>1.54230912722616</v>
      </c>
      <c r="H994">
        <v>1.6874582771714299</v>
      </c>
      <c r="I994">
        <v>2.0351923021567599</v>
      </c>
      <c r="J994">
        <v>2.10765483756628</v>
      </c>
      <c r="K994">
        <v>1.6156634580034901</v>
      </c>
      <c r="L994">
        <v>818.96634374375196</v>
      </c>
      <c r="M994">
        <v>18.118773021942101</v>
      </c>
      <c r="O994">
        <v>44.660076145530901</v>
      </c>
      <c r="P994">
        <v>5.0715442370470203E-2</v>
      </c>
      <c r="Q994">
        <v>1.5</v>
      </c>
      <c r="R994">
        <v>0.34046208930835398</v>
      </c>
      <c r="S994" t="s">
        <v>7611</v>
      </c>
      <c r="T994" t="s">
        <v>13232</v>
      </c>
      <c r="U994" t="s">
        <v>13232</v>
      </c>
      <c r="V994" t="s">
        <v>13232</v>
      </c>
      <c r="W994" t="s">
        <v>14197</v>
      </c>
      <c r="X994">
        <v>1</v>
      </c>
      <c r="Y994" t="s">
        <v>20726</v>
      </c>
      <c r="Z994" t="s">
        <v>27125</v>
      </c>
      <c r="AA994">
        <v>1.4029397503981449</v>
      </c>
      <c r="AB994" t="str">
        <f>HYPERLINK("Melting_Curves/meltCurve_K7EQX8_MXRA7.pdf", "Melting_Curves/meltCurve_K7EQX8_MXRA7.pdf")</f>
        <v>Melting_Curves/meltCurve_K7EQX8_MXRA7.pdf</v>
      </c>
    </row>
    <row r="995" spans="1:28" x14ac:dyDescent="0.25">
      <c r="A995" t="s">
        <v>999</v>
      </c>
      <c r="B995">
        <v>0.99930955844802105</v>
      </c>
      <c r="C995">
        <v>0.99247280505283697</v>
      </c>
      <c r="D995">
        <v>1.0445617687884701</v>
      </c>
      <c r="E995">
        <v>0.93124862517368501</v>
      </c>
      <c r="F995">
        <v>0.70014743373788602</v>
      </c>
      <c r="G995">
        <v>0.46302160759557098</v>
      </c>
      <c r="H995">
        <v>0.35480245623135098</v>
      </c>
      <c r="I995">
        <v>0.387375600566983</v>
      </c>
      <c r="J995">
        <v>0.32065490869313901</v>
      </c>
      <c r="K995">
        <v>0.30022104264725802</v>
      </c>
      <c r="L995">
        <v>1418.15074394063</v>
      </c>
      <c r="M995">
        <v>26.433039821080701</v>
      </c>
      <c r="N995">
        <v>55.960924591965302</v>
      </c>
      <c r="O995">
        <v>53.346420019989601</v>
      </c>
      <c r="P995">
        <v>-8.2736702689134398E-2</v>
      </c>
      <c r="Q995">
        <v>0.33209934110543698</v>
      </c>
      <c r="R995">
        <v>0.99206263198595701</v>
      </c>
      <c r="S995" t="s">
        <v>7612</v>
      </c>
      <c r="T995" t="s">
        <v>13232</v>
      </c>
      <c r="U995" t="s">
        <v>13232</v>
      </c>
      <c r="V995" t="s">
        <v>13232</v>
      </c>
      <c r="W995" t="s">
        <v>14198</v>
      </c>
      <c r="X995">
        <v>9</v>
      </c>
      <c r="Y995" t="s">
        <v>20727</v>
      </c>
      <c r="Z995" t="s">
        <v>27126</v>
      </c>
      <c r="AA995">
        <v>0.64157414733898277</v>
      </c>
      <c r="AB995" t="str">
        <f>HYPERLINK("Melting_Curves/meltCurve_K7EQZ1_CXXC1.pdf", "Melting_Curves/meltCurve_K7EQZ1_CXXC1.pdf")</f>
        <v>Melting_Curves/meltCurve_K7EQZ1_CXXC1.pdf</v>
      </c>
    </row>
    <row r="996" spans="1:28" x14ac:dyDescent="0.25">
      <c r="A996" t="s">
        <v>1000</v>
      </c>
      <c r="B996">
        <v>0.99930955844802105</v>
      </c>
      <c r="C996">
        <v>0.95262546029341999</v>
      </c>
      <c r="D996">
        <v>0.98285928245673304</v>
      </c>
      <c r="E996">
        <v>0.82456216420762296</v>
      </c>
      <c r="F996">
        <v>0.35582898052260198</v>
      </c>
      <c r="G996">
        <v>0.17509239197165799</v>
      </c>
      <c r="H996">
        <v>0.103054269073308</v>
      </c>
      <c r="I996">
        <v>9.3434320566999296E-2</v>
      </c>
      <c r="J996">
        <v>9.4758898284827101E-2</v>
      </c>
      <c r="K996">
        <v>6.3844980374115901E-2</v>
      </c>
      <c r="L996">
        <v>1903.50634185494</v>
      </c>
      <c r="M996">
        <v>36.736134722842401</v>
      </c>
      <c r="N996">
        <v>52.120809175031297</v>
      </c>
      <c r="O996">
        <v>51.6628150071652</v>
      </c>
      <c r="P996">
        <v>-0.16056721876914501</v>
      </c>
      <c r="Q996">
        <v>9.67661190494358E-2</v>
      </c>
      <c r="R996">
        <v>0.99614908773444399</v>
      </c>
      <c r="S996" t="s">
        <v>7613</v>
      </c>
      <c r="T996" t="s">
        <v>13232</v>
      </c>
      <c r="U996" t="s">
        <v>13232</v>
      </c>
      <c r="V996" t="s">
        <v>13232</v>
      </c>
      <c r="W996" t="s">
        <v>14199</v>
      </c>
      <c r="X996">
        <v>6</v>
      </c>
      <c r="Y996" t="s">
        <v>20728</v>
      </c>
      <c r="Z996" t="s">
        <v>27127</v>
      </c>
      <c r="AA996">
        <v>0.45634638327472471</v>
      </c>
      <c r="AB996" t="str">
        <f>HYPERLINK("Melting_Curves/meltCurve_K7ERF1_EIF3K.pdf", "Melting_Curves/meltCurve_K7ERF1_EIF3K.pdf")</f>
        <v>Melting_Curves/meltCurve_K7ERF1_EIF3K.pdf</v>
      </c>
    </row>
    <row r="997" spans="1:28" x14ac:dyDescent="0.25">
      <c r="A997" t="s">
        <v>1001</v>
      </c>
      <c r="B997">
        <v>0.99930955844802105</v>
      </c>
      <c r="C997">
        <v>0.89199380237853998</v>
      </c>
      <c r="D997">
        <v>0.83302274352158101</v>
      </c>
      <c r="E997">
        <v>0.84259478323666503</v>
      </c>
      <c r="F997">
        <v>0.59444522346246098</v>
      </c>
      <c r="G997">
        <v>0.39854410998342699</v>
      </c>
      <c r="H997">
        <v>0.20230754046392599</v>
      </c>
      <c r="I997">
        <v>0.15585457354851001</v>
      </c>
      <c r="J997">
        <v>0.108498618447033</v>
      </c>
      <c r="K997">
        <v>6.74137210495976E-2</v>
      </c>
      <c r="L997">
        <v>651.47348644739805</v>
      </c>
      <c r="M997">
        <v>11.869344170690299</v>
      </c>
      <c r="N997">
        <v>54.887066792352897</v>
      </c>
      <c r="O997">
        <v>53.398621026115997</v>
      </c>
      <c r="P997">
        <v>-5.5583501965360001E-2</v>
      </c>
      <c r="Q997">
        <v>0</v>
      </c>
      <c r="R997">
        <v>0.98424652864388795</v>
      </c>
      <c r="S997" t="s">
        <v>7614</v>
      </c>
      <c r="T997" t="s">
        <v>13232</v>
      </c>
      <c r="U997" t="s">
        <v>13232</v>
      </c>
      <c r="V997" t="s">
        <v>13232</v>
      </c>
      <c r="W997" t="s">
        <v>14200</v>
      </c>
      <c r="X997">
        <v>2</v>
      </c>
      <c r="Y997" t="s">
        <v>20729</v>
      </c>
      <c r="Z997" t="s">
        <v>27128</v>
      </c>
      <c r="AA997">
        <v>0.52019189852583159</v>
      </c>
      <c r="AB997" t="str">
        <f>HYPERLINK("Melting_Curves/meltCurve_K7ERI9_APOC1.pdf", "Melting_Curves/meltCurve_K7ERI9_APOC1.pdf")</f>
        <v>Melting_Curves/meltCurve_K7ERI9_APOC1.pdf</v>
      </c>
    </row>
    <row r="998" spans="1:28" x14ac:dyDescent="0.25">
      <c r="A998" t="s">
        <v>1002</v>
      </c>
      <c r="B998">
        <v>0.99930955844802105</v>
      </c>
      <c r="C998">
        <v>0.883334720782327</v>
      </c>
      <c r="D998">
        <v>0.80733769997063898</v>
      </c>
      <c r="E998">
        <v>0.71941573802689796</v>
      </c>
      <c r="F998">
        <v>0.63031780269315596</v>
      </c>
      <c r="G998">
        <v>0.31148333801850397</v>
      </c>
      <c r="H998">
        <v>0.19906101620623101</v>
      </c>
      <c r="I998">
        <v>0.175644205897804</v>
      </c>
      <c r="J998">
        <v>0.12302140914215901</v>
      </c>
      <c r="K998">
        <v>0.134919721698567</v>
      </c>
      <c r="L998">
        <v>567.15446912579398</v>
      </c>
      <c r="M998">
        <v>10.5512677851319</v>
      </c>
      <c r="N998">
        <v>53.967825102805797</v>
      </c>
      <c r="O998">
        <v>51.929187274274099</v>
      </c>
      <c r="P998">
        <v>-4.9767939213001003E-2</v>
      </c>
      <c r="Q998">
        <v>2.0634985302146702E-2</v>
      </c>
      <c r="R998">
        <v>0.98151919301327895</v>
      </c>
      <c r="S998" t="s">
        <v>7615</v>
      </c>
      <c r="T998" t="s">
        <v>13232</v>
      </c>
      <c r="U998" t="s">
        <v>13232</v>
      </c>
      <c r="V998" t="s">
        <v>13232</v>
      </c>
      <c r="W998" t="s">
        <v>14043</v>
      </c>
      <c r="X998">
        <v>7</v>
      </c>
      <c r="Z998" t="s">
        <v>27129</v>
      </c>
      <c r="AA998">
        <v>0.49893005208748148</v>
      </c>
      <c r="AB998" t="str">
        <f>HYPERLINK("Melting_Curves/meltCurve_K7ERQ8_.pdf", "Melting_Curves/meltCurve_K7ERQ8_.pdf")</f>
        <v>Melting_Curves/meltCurve_K7ERQ8_.pdf</v>
      </c>
    </row>
    <row r="999" spans="1:28" x14ac:dyDescent="0.25">
      <c r="A999" t="s">
        <v>1003</v>
      </c>
      <c r="B999">
        <v>0.99930955844802105</v>
      </c>
      <c r="C999">
        <v>0.90235013601296099</v>
      </c>
      <c r="D999">
        <v>0.83639068338442002</v>
      </c>
      <c r="E999">
        <v>0.74938124661035399</v>
      </c>
      <c r="F999">
        <v>0.61333784016766502</v>
      </c>
      <c r="G999">
        <v>0.52799100912652297</v>
      </c>
      <c r="H999">
        <v>0.50743822655638704</v>
      </c>
      <c r="I999">
        <v>0.57192741255166601</v>
      </c>
      <c r="J999">
        <v>0.56975855394151398</v>
      </c>
      <c r="K999">
        <v>0.46740648712248201</v>
      </c>
      <c r="L999">
        <v>663.10941775659398</v>
      </c>
      <c r="M999">
        <v>13.6354820144649</v>
      </c>
      <c r="O999">
        <v>47.620952746326097</v>
      </c>
      <c r="P999">
        <v>-3.5339615807871899E-2</v>
      </c>
      <c r="Q999">
        <v>0.506388009137824</v>
      </c>
      <c r="R999">
        <v>0.95852770296990597</v>
      </c>
      <c r="S999" t="s">
        <v>7616</v>
      </c>
      <c r="T999" t="s">
        <v>13232</v>
      </c>
      <c r="U999" t="s">
        <v>13232</v>
      </c>
      <c r="V999" t="s">
        <v>13232</v>
      </c>
      <c r="W999" t="s">
        <v>14201</v>
      </c>
      <c r="X999">
        <v>30</v>
      </c>
      <c r="Y999" t="s">
        <v>20730</v>
      </c>
      <c r="Z999" t="s">
        <v>27130</v>
      </c>
      <c r="AA999">
        <v>0.66318725340133822</v>
      </c>
      <c r="AB999" t="str">
        <f>HYPERLINK("Melting_Curves/meltCurve_K7ES11_UBE2O.pdf", "Melting_Curves/meltCurve_K7ES11_UBE2O.pdf")</f>
        <v>Melting_Curves/meltCurve_K7ES11_UBE2O.pdf</v>
      </c>
    </row>
    <row r="1000" spans="1:28" x14ac:dyDescent="0.25">
      <c r="A1000" t="s">
        <v>1004</v>
      </c>
      <c r="B1000">
        <v>0.99930955844802105</v>
      </c>
      <c r="C1000">
        <v>0.92334665285820305</v>
      </c>
      <c r="D1000">
        <v>1.00735260144757</v>
      </c>
      <c r="E1000">
        <v>0.65796872878639301</v>
      </c>
      <c r="F1000">
        <v>0.1730734521501</v>
      </c>
      <c r="G1000">
        <v>9.0300354338658795E-2</v>
      </c>
      <c r="H1000">
        <v>4.80131546113855E-2</v>
      </c>
      <c r="I1000">
        <v>3.9945343460599303E-2</v>
      </c>
      <c r="J1000">
        <v>3.41541163551402E-2</v>
      </c>
      <c r="K1000">
        <v>2.4092997177801001E-2</v>
      </c>
      <c r="L1000">
        <v>2134.0347283712799</v>
      </c>
      <c r="M1000">
        <v>42.093989526874402</v>
      </c>
      <c r="N1000">
        <v>50.809687369896899</v>
      </c>
      <c r="O1000">
        <v>50.582878830541702</v>
      </c>
      <c r="P1000">
        <v>-0.19876530511061499</v>
      </c>
      <c r="Q1000">
        <v>4.4604231307053703E-2</v>
      </c>
      <c r="R1000">
        <v>0.99533719047144897</v>
      </c>
      <c r="S1000" t="s">
        <v>7617</v>
      </c>
      <c r="T1000" t="s">
        <v>13232</v>
      </c>
      <c r="U1000" t="s">
        <v>13232</v>
      </c>
      <c r="V1000" t="s">
        <v>13232</v>
      </c>
      <c r="W1000" t="s">
        <v>14202</v>
      </c>
      <c r="X1000">
        <v>3</v>
      </c>
      <c r="Y1000" t="s">
        <v>20731</v>
      </c>
      <c r="Z1000" t="s">
        <v>27131</v>
      </c>
      <c r="AA1000">
        <v>0.38828433531744339</v>
      </c>
      <c r="AB1000" t="str">
        <f>HYPERLINK("Melting_Curves/meltCurve_K7ES84_FAM86A.pdf", "Melting_Curves/meltCurve_K7ES84_FAM86A.pdf")</f>
        <v>Melting_Curves/meltCurve_K7ES84_FAM86A.pdf</v>
      </c>
    </row>
    <row r="1001" spans="1:28" x14ac:dyDescent="0.25">
      <c r="A1001" t="s">
        <v>1005</v>
      </c>
      <c r="B1001">
        <v>0.99930955844802105</v>
      </c>
      <c r="C1001">
        <v>1.17703407756126</v>
      </c>
      <c r="D1001">
        <v>1.15102861427764</v>
      </c>
      <c r="E1001">
        <v>1.0798771561868401</v>
      </c>
      <c r="F1001">
        <v>0.99065580428477895</v>
      </c>
      <c r="G1001">
        <v>0.981862915758968</v>
      </c>
      <c r="H1001">
        <v>1.0361499988668801</v>
      </c>
      <c r="I1001">
        <v>1.0749199781390399</v>
      </c>
      <c r="J1001">
        <v>1.06135907966876</v>
      </c>
      <c r="K1001">
        <v>0.75796487120883504</v>
      </c>
      <c r="L1001">
        <v>15000</v>
      </c>
      <c r="M1001">
        <v>213.14412047549999</v>
      </c>
      <c r="Q1001">
        <v>0</v>
      </c>
      <c r="R1001">
        <v>0.40597772139550797</v>
      </c>
      <c r="S1001" t="s">
        <v>7618</v>
      </c>
      <c r="T1001" t="s">
        <v>13232</v>
      </c>
      <c r="U1001" t="s">
        <v>13232</v>
      </c>
      <c r="V1001" t="s">
        <v>13232</v>
      </c>
      <c r="W1001" t="s">
        <v>14185</v>
      </c>
      <c r="X1001">
        <v>17</v>
      </c>
      <c r="Y1001" t="s">
        <v>20715</v>
      </c>
      <c r="Z1001" t="s">
        <v>27132</v>
      </c>
      <c r="AA1001">
        <v>0.99701233869401884</v>
      </c>
      <c r="AB1001" t="str">
        <f>HYPERLINK("Melting_Curves/meltCurve_K7ESE3_RAD23A.pdf", "Melting_Curves/meltCurve_K7ESE3_RAD23A.pdf")</f>
        <v>Melting_Curves/meltCurve_K7ESE3_RAD23A.pdf</v>
      </c>
    </row>
    <row r="1002" spans="1:28" x14ac:dyDescent="0.25">
      <c r="A1002" t="s">
        <v>1006</v>
      </c>
      <c r="B1002">
        <v>0.99930955844802105</v>
      </c>
      <c r="C1002">
        <v>0.81258889078200103</v>
      </c>
      <c r="D1002">
        <v>0.828391941912339</v>
      </c>
      <c r="E1002">
        <v>0.62857958316361195</v>
      </c>
      <c r="F1002">
        <v>0.23566084908469201</v>
      </c>
      <c r="G1002">
        <v>0.15576523635348799</v>
      </c>
      <c r="H1002">
        <v>9.59639737265017E-2</v>
      </c>
      <c r="I1002">
        <v>7.5245314731709104E-2</v>
      </c>
      <c r="J1002">
        <v>6.6396519905295506E-2</v>
      </c>
      <c r="K1002">
        <v>5.2011640077900802E-2</v>
      </c>
      <c r="L1002">
        <v>797.27978718627401</v>
      </c>
      <c r="M1002">
        <v>15.891840183568601</v>
      </c>
      <c r="N1002">
        <v>50.416115257845597</v>
      </c>
      <c r="O1002">
        <v>49.394887695508103</v>
      </c>
      <c r="P1002">
        <v>-7.7426657882612701E-2</v>
      </c>
      <c r="Q1002">
        <v>3.7449914593867303E-2</v>
      </c>
      <c r="R1002">
        <v>0.97332292125652098</v>
      </c>
      <c r="S1002" t="s">
        <v>7619</v>
      </c>
      <c r="T1002" t="s">
        <v>13232</v>
      </c>
      <c r="U1002" t="s">
        <v>13232</v>
      </c>
      <c r="V1002" t="s">
        <v>13232</v>
      </c>
      <c r="W1002" t="s">
        <v>14203</v>
      </c>
      <c r="X1002">
        <v>52</v>
      </c>
      <c r="Y1002" t="s">
        <v>20732</v>
      </c>
      <c r="Z1002" t="s">
        <v>27133</v>
      </c>
      <c r="AA1002">
        <v>0.38433082510887179</v>
      </c>
      <c r="AB1002" t="str">
        <f>HYPERLINK("Melting_Curves/meltCurve_K7ESI9_DNM2.pdf", "Melting_Curves/meltCurve_K7ESI9_DNM2.pdf")</f>
        <v>Melting_Curves/meltCurve_K7ESI9_DNM2.pdf</v>
      </c>
    </row>
    <row r="1003" spans="1:28" x14ac:dyDescent="0.25">
      <c r="A1003" t="s">
        <v>1007</v>
      </c>
      <c r="B1003">
        <v>0.99930955844802105</v>
      </c>
      <c r="C1003">
        <v>0.85058318369646602</v>
      </c>
      <c r="D1003">
        <v>0.83077703294577898</v>
      </c>
      <c r="E1003">
        <v>0.61324654055705496</v>
      </c>
      <c r="F1003">
        <v>0.270926300230387</v>
      </c>
      <c r="G1003">
        <v>0.155656148430519</v>
      </c>
      <c r="H1003">
        <v>9.7529483302440101E-2</v>
      </c>
      <c r="I1003">
        <v>8.9640987474958106E-2</v>
      </c>
      <c r="J1003">
        <v>7.9041609879253197E-2</v>
      </c>
      <c r="K1003">
        <v>6.3557074086521795E-2</v>
      </c>
      <c r="L1003">
        <v>830.31206352702702</v>
      </c>
      <c r="M1003">
        <v>16.541671118208299</v>
      </c>
      <c r="N1003">
        <v>50.532132843883304</v>
      </c>
      <c r="O1003">
        <v>49.478789616259498</v>
      </c>
      <c r="P1003">
        <v>-7.9220637224487106E-2</v>
      </c>
      <c r="Q1003">
        <v>5.2218732475056998E-2</v>
      </c>
      <c r="R1003">
        <v>0.98543208697502105</v>
      </c>
      <c r="S1003" t="s">
        <v>7620</v>
      </c>
      <c r="T1003" t="s">
        <v>13232</v>
      </c>
      <c r="U1003" t="s">
        <v>13232</v>
      </c>
      <c r="V1003" t="s">
        <v>13232</v>
      </c>
      <c r="W1003" t="s">
        <v>14204</v>
      </c>
      <c r="X1003">
        <v>16</v>
      </c>
      <c r="Y1003" t="s">
        <v>20733</v>
      </c>
      <c r="Z1003" t="s">
        <v>27134</v>
      </c>
      <c r="AA1003">
        <v>0.39316790440109939</v>
      </c>
      <c r="AB1003" t="str">
        <f>HYPERLINK("Melting_Curves/meltCurve_M0QWZ7_SARS2.pdf", "Melting_Curves/meltCurve_M0QWZ7_SARS2.pdf")</f>
        <v>Melting_Curves/meltCurve_M0QWZ7_SARS2.pdf</v>
      </c>
    </row>
    <row r="1004" spans="1:28" x14ac:dyDescent="0.25">
      <c r="A1004" t="s">
        <v>1008</v>
      </c>
      <c r="B1004">
        <v>0.99930955844802105</v>
      </c>
      <c r="C1004">
        <v>1.0389692894403599</v>
      </c>
      <c r="D1004">
        <v>0.87451773027749102</v>
      </c>
      <c r="E1004">
        <v>0.60224297992492204</v>
      </c>
      <c r="F1004">
        <v>0.48505241469753901</v>
      </c>
      <c r="G1004">
        <v>0.41450482311417097</v>
      </c>
      <c r="H1004">
        <v>0.37652818861537002</v>
      </c>
      <c r="I1004">
        <v>0.39244411592660999</v>
      </c>
      <c r="J1004">
        <v>0.38936769696760698</v>
      </c>
      <c r="K1004">
        <v>0.336507017373193</v>
      </c>
      <c r="L1004">
        <v>1143.19469697809</v>
      </c>
      <c r="M1004">
        <v>23.3441840673546</v>
      </c>
      <c r="N1004">
        <v>52.0951187594723</v>
      </c>
      <c r="O1004">
        <v>48.616166975165797</v>
      </c>
      <c r="P1004">
        <v>-7.4827059162675499E-2</v>
      </c>
      <c r="Q1004">
        <v>0.37667718999381</v>
      </c>
      <c r="R1004">
        <v>0.99028228209489499</v>
      </c>
      <c r="S1004" t="s">
        <v>7621</v>
      </c>
      <c r="T1004" t="s">
        <v>13232</v>
      </c>
      <c r="U1004" t="s">
        <v>13232</v>
      </c>
      <c r="V1004" t="s">
        <v>13232</v>
      </c>
      <c r="W1004" t="s">
        <v>14205</v>
      </c>
      <c r="X1004">
        <v>23</v>
      </c>
      <c r="Y1004" t="s">
        <v>20734</v>
      </c>
      <c r="Z1004" t="s">
        <v>27135</v>
      </c>
      <c r="AA1004">
        <v>0.56943799401668005</v>
      </c>
      <c r="AB1004" t="str">
        <f>HYPERLINK("Melting_Curves/meltCurve_M0QX35_PAF1.pdf", "Melting_Curves/meltCurve_M0QX35_PAF1.pdf")</f>
        <v>Melting_Curves/meltCurve_M0QX35_PAF1.pdf</v>
      </c>
    </row>
    <row r="1005" spans="1:28" x14ac:dyDescent="0.25">
      <c r="A1005" t="s">
        <v>1009</v>
      </c>
      <c r="B1005">
        <v>0.99930955844802105</v>
      </c>
      <c r="C1005">
        <v>0.94282384507813199</v>
      </c>
      <c r="D1005">
        <v>0.74455763959839705</v>
      </c>
      <c r="E1005">
        <v>0.55915300783208999</v>
      </c>
      <c r="F1005">
        <v>0.404414439156151</v>
      </c>
      <c r="G1005">
        <v>0.35572669285337</v>
      </c>
      <c r="H1005">
        <v>0.33623565437111202</v>
      </c>
      <c r="I1005">
        <v>0.30312525586866601</v>
      </c>
      <c r="J1005">
        <v>0.35592729249295302</v>
      </c>
      <c r="K1005">
        <v>0.232204723244269</v>
      </c>
      <c r="L1005">
        <v>802.45740978356002</v>
      </c>
      <c r="M1005">
        <v>16.6906059819562</v>
      </c>
      <c r="N1005">
        <v>50.828510107252797</v>
      </c>
      <c r="O1005">
        <v>47.4041398396933</v>
      </c>
      <c r="P1005">
        <v>-6.1854646024769602E-2</v>
      </c>
      <c r="Q1005">
        <v>0.29733639374433302</v>
      </c>
      <c r="R1005">
        <v>0.98449903282788398</v>
      </c>
      <c r="S1005" t="s">
        <v>7622</v>
      </c>
      <c r="T1005" t="s">
        <v>13232</v>
      </c>
      <c r="U1005" t="s">
        <v>13232</v>
      </c>
      <c r="V1005" t="s">
        <v>13232</v>
      </c>
      <c r="W1005" t="s">
        <v>14043</v>
      </c>
      <c r="X1005">
        <v>1</v>
      </c>
      <c r="Z1005" t="s">
        <v>27136</v>
      </c>
      <c r="AA1005">
        <v>0.50108505169907847</v>
      </c>
      <c r="AB1005" t="str">
        <f>HYPERLINK("Melting_Curves/meltCurve_M0QXF5_.pdf", "Melting_Curves/meltCurve_M0QXF5_.pdf")</f>
        <v>Melting_Curves/meltCurve_M0QXF5_.pdf</v>
      </c>
    </row>
    <row r="1006" spans="1:28" x14ac:dyDescent="0.25">
      <c r="A1006" t="s">
        <v>1010</v>
      </c>
      <c r="B1006">
        <v>0.99930955844802105</v>
      </c>
      <c r="C1006">
        <v>0.83505487902054998</v>
      </c>
      <c r="D1006">
        <v>0.86276196638611402</v>
      </c>
      <c r="E1006">
        <v>0.62251792839407305</v>
      </c>
      <c r="F1006">
        <v>0.39515133751588699</v>
      </c>
      <c r="G1006">
        <v>0.25051151426297302</v>
      </c>
      <c r="H1006">
        <v>0.117520697869139</v>
      </c>
      <c r="I1006">
        <v>8.4691718875805899E-2</v>
      </c>
      <c r="J1006">
        <v>2.9710085935071101E-2</v>
      </c>
      <c r="K1006">
        <v>2.75489283167114E-2</v>
      </c>
      <c r="L1006">
        <v>652.60125566401405</v>
      </c>
      <c r="M1006">
        <v>12.6381752891271</v>
      </c>
      <c r="N1006">
        <v>51.637300557747501</v>
      </c>
      <c r="O1006">
        <v>50.395639666554999</v>
      </c>
      <c r="P1006">
        <v>-6.2707146701305699E-2</v>
      </c>
      <c r="Q1006">
        <v>0</v>
      </c>
      <c r="R1006">
        <v>0.99000809304950499</v>
      </c>
      <c r="S1006" t="s">
        <v>7623</v>
      </c>
      <c r="T1006" t="s">
        <v>13232</v>
      </c>
      <c r="U1006" t="s">
        <v>13232</v>
      </c>
      <c r="V1006" t="s">
        <v>13232</v>
      </c>
      <c r="W1006" t="s">
        <v>14206</v>
      </c>
      <c r="X1006">
        <v>2</v>
      </c>
      <c r="Y1006" t="s">
        <v>20735</v>
      </c>
      <c r="Z1006" t="s">
        <v>27137</v>
      </c>
      <c r="AA1006">
        <v>0.41710779853236241</v>
      </c>
      <c r="AB1006" t="str">
        <f>HYPERLINK("Melting_Curves/meltCurve_M0QXX4_KPTN.pdf", "Melting_Curves/meltCurve_M0QXX4_KPTN.pdf")</f>
        <v>Melting_Curves/meltCurve_M0QXX4_KPTN.pdf</v>
      </c>
    </row>
    <row r="1007" spans="1:28" x14ac:dyDescent="0.25">
      <c r="A1007" t="s">
        <v>1011</v>
      </c>
      <c r="B1007">
        <v>0.99930955844802105</v>
      </c>
      <c r="C1007">
        <v>1.0292834344294199</v>
      </c>
      <c r="D1007">
        <v>1.04956264122016</v>
      </c>
      <c r="E1007">
        <v>0.96671966541723797</v>
      </c>
      <c r="F1007">
        <v>0.83136716573630698</v>
      </c>
      <c r="G1007">
        <v>0.62021674800767401</v>
      </c>
      <c r="H1007">
        <v>0.59146621383226505</v>
      </c>
      <c r="I1007">
        <v>0.58611071191199704</v>
      </c>
      <c r="J1007">
        <v>0.59646312551704095</v>
      </c>
      <c r="K1007">
        <v>0.48126760788477502</v>
      </c>
      <c r="L1007">
        <v>1680.77762675186</v>
      </c>
      <c r="M1007">
        <v>31.209045235915699</v>
      </c>
      <c r="O1007">
        <v>53.6357949233089</v>
      </c>
      <c r="P1007">
        <v>-6.4217336863981303E-2</v>
      </c>
      <c r="Q1007">
        <v>0.55854737313411396</v>
      </c>
      <c r="R1007">
        <v>0.97273688356791199</v>
      </c>
      <c r="S1007" t="s">
        <v>7624</v>
      </c>
      <c r="T1007" t="s">
        <v>13232</v>
      </c>
      <c r="U1007" t="s">
        <v>13232</v>
      </c>
      <c r="V1007" t="s">
        <v>13232</v>
      </c>
      <c r="W1007" t="s">
        <v>14207</v>
      </c>
      <c r="X1007">
        <v>2</v>
      </c>
      <c r="Y1007" t="s">
        <v>20736</v>
      </c>
      <c r="Z1007" t="s">
        <v>27138</v>
      </c>
      <c r="AA1007">
        <v>0.76511288914210951</v>
      </c>
      <c r="AB1007" t="str">
        <f>HYPERLINK("Melting_Curves/meltCurve_M0QY01_EPS15L1.pdf", "Melting_Curves/meltCurve_M0QY01_EPS15L1.pdf")</f>
        <v>Melting_Curves/meltCurve_M0QY01_EPS15L1.pdf</v>
      </c>
    </row>
    <row r="1008" spans="1:28" x14ac:dyDescent="0.25">
      <c r="A1008" t="s">
        <v>1012</v>
      </c>
      <c r="B1008">
        <v>0.99930955844802105</v>
      </c>
      <c r="C1008">
        <v>1.7332227537570799</v>
      </c>
      <c r="D1008">
        <v>1.5267845457681</v>
      </c>
      <c r="E1008">
        <v>1.4008654752001899</v>
      </c>
      <c r="F1008">
        <v>1.64875164213105</v>
      </c>
      <c r="G1008">
        <v>1.73910654321467</v>
      </c>
      <c r="H1008">
        <v>2.4181937105826399</v>
      </c>
      <c r="I1008">
        <v>2.6939553491417598</v>
      </c>
      <c r="J1008">
        <v>2.8269507064180801</v>
      </c>
      <c r="K1008">
        <v>2.2903469153623601</v>
      </c>
      <c r="L1008">
        <v>10249.0159107951</v>
      </c>
      <c r="M1008">
        <v>250</v>
      </c>
      <c r="O1008">
        <v>40.993440619284002</v>
      </c>
      <c r="P1008">
        <v>0.76231709047212404</v>
      </c>
      <c r="Q1008">
        <v>1.5</v>
      </c>
      <c r="R1008">
        <v>-0.49048185354450102</v>
      </c>
      <c r="S1008" t="s">
        <v>7625</v>
      </c>
      <c r="T1008" t="s">
        <v>13232</v>
      </c>
      <c r="U1008" t="s">
        <v>13232</v>
      </c>
      <c r="V1008" t="s">
        <v>13232</v>
      </c>
      <c r="W1008" t="s">
        <v>14208</v>
      </c>
      <c r="X1008">
        <v>1</v>
      </c>
      <c r="Y1008" t="s">
        <v>20737</v>
      </c>
      <c r="Z1008" t="s">
        <v>27139</v>
      </c>
      <c r="AA1008">
        <v>1.4833578624323971</v>
      </c>
      <c r="AB1008" t="str">
        <f>HYPERLINK("Melting_Curves/meltCurve_M0QY46_USF2.pdf", "Melting_Curves/meltCurve_M0QY46_USF2.pdf")</f>
        <v>Melting_Curves/meltCurve_M0QY46_USF2.pdf</v>
      </c>
    </row>
    <row r="1009" spans="1:28" x14ac:dyDescent="0.25">
      <c r="A1009" t="s">
        <v>1013</v>
      </c>
      <c r="B1009">
        <v>0.99930955844802105</v>
      </c>
      <c r="C1009">
        <v>1.02806000582941</v>
      </c>
      <c r="D1009">
        <v>1.04471444586413</v>
      </c>
      <c r="E1009">
        <v>1.13495552878606</v>
      </c>
      <c r="F1009">
        <v>1.00444964349206</v>
      </c>
      <c r="G1009">
        <v>0.99959111395744504</v>
      </c>
      <c r="H1009">
        <v>1.0040671383669999</v>
      </c>
      <c r="I1009">
        <v>1.1963906252469201</v>
      </c>
      <c r="J1009">
        <v>1.08545107816549</v>
      </c>
      <c r="K1009">
        <v>0.95056373747167899</v>
      </c>
      <c r="L1009">
        <v>2120.7916375832801</v>
      </c>
      <c r="M1009">
        <v>49.501629862278101</v>
      </c>
      <c r="O1009">
        <v>42.773137916244401</v>
      </c>
      <c r="P1009">
        <v>1.52774223682276E-2</v>
      </c>
      <c r="Q1009">
        <v>1.0528033056281301</v>
      </c>
      <c r="R1009">
        <v>5.7550703520901997E-2</v>
      </c>
      <c r="S1009" t="s">
        <v>7626</v>
      </c>
      <c r="T1009" t="s">
        <v>13232</v>
      </c>
      <c r="U1009" t="s">
        <v>13232</v>
      </c>
      <c r="V1009" t="s">
        <v>13232</v>
      </c>
      <c r="W1009" t="s">
        <v>14209</v>
      </c>
      <c r="X1009">
        <v>7</v>
      </c>
      <c r="Y1009" t="s">
        <v>20738</v>
      </c>
      <c r="Z1009" t="s">
        <v>27140</v>
      </c>
      <c r="AA1009">
        <v>1.047660322612191</v>
      </c>
      <c r="AB1009" t="str">
        <f>HYPERLINK("Melting_Curves/meltCurve_M0QYR7_SMG9.pdf", "Melting_Curves/meltCurve_M0QYR7_SMG9.pdf")</f>
        <v>Melting_Curves/meltCurve_M0QYR7_SMG9.pdf</v>
      </c>
    </row>
    <row r="1010" spans="1:28" x14ac:dyDescent="0.25">
      <c r="A1010" t="s">
        <v>1014</v>
      </c>
      <c r="B1010">
        <v>0.99930955844802105</v>
      </c>
      <c r="C1010">
        <v>1.0227669196501401</v>
      </c>
      <c r="D1010">
        <v>0.99711326591050897</v>
      </c>
      <c r="E1010">
        <v>0.91439135496477897</v>
      </c>
      <c r="F1010">
        <v>0.70251817790557003</v>
      </c>
      <c r="G1010">
        <v>0.42758134010273102</v>
      </c>
      <c r="H1010">
        <v>0.20928389039586701</v>
      </c>
      <c r="I1010">
        <v>0.120625790929377</v>
      </c>
      <c r="J1010">
        <v>0.12925938836533701</v>
      </c>
      <c r="K1010">
        <v>0.112900710859782</v>
      </c>
      <c r="L1010">
        <v>1108.8993006609501</v>
      </c>
      <c r="M1010">
        <v>20.0845445081282</v>
      </c>
      <c r="N1010">
        <v>55.780972876197403</v>
      </c>
      <c r="O1010">
        <v>54.672975096004201</v>
      </c>
      <c r="P1010">
        <v>-8.33301041925886E-2</v>
      </c>
      <c r="Q1010">
        <v>9.2683657229125901E-2</v>
      </c>
      <c r="R1010">
        <v>0.99807390308307498</v>
      </c>
      <c r="S1010" t="s">
        <v>7627</v>
      </c>
      <c r="T1010" t="s">
        <v>13232</v>
      </c>
      <c r="U1010" t="s">
        <v>13232</v>
      </c>
      <c r="V1010" t="s">
        <v>13232</v>
      </c>
      <c r="W1010" t="s">
        <v>14210</v>
      </c>
      <c r="X1010">
        <v>9</v>
      </c>
      <c r="Y1010" t="s">
        <v>20739</v>
      </c>
      <c r="Z1010" t="s">
        <v>27141</v>
      </c>
      <c r="AA1010">
        <v>0.56467690634594214</v>
      </c>
      <c r="AB1010" t="str">
        <f>HYPERLINK("Melting_Curves/meltCurve_M0QZ22_SAMD4B.pdf", "Melting_Curves/meltCurve_M0QZ22_SAMD4B.pdf")</f>
        <v>Melting_Curves/meltCurve_M0QZ22_SAMD4B.pdf</v>
      </c>
    </row>
    <row r="1011" spans="1:28" x14ac:dyDescent="0.25">
      <c r="A1011" t="s">
        <v>1015</v>
      </c>
      <c r="B1011">
        <v>0.99930955844802105</v>
      </c>
      <c r="C1011">
        <v>1.0866366292727601</v>
      </c>
      <c r="D1011">
        <v>1.1003950201906301</v>
      </c>
      <c r="E1011">
        <v>1.02949679244888</v>
      </c>
      <c r="F1011">
        <v>0.89877299606595396</v>
      </c>
      <c r="G1011">
        <v>0.73183716244631303</v>
      </c>
      <c r="H1011">
        <v>0.72237011012278396</v>
      </c>
      <c r="I1011">
        <v>0.82717503068147202</v>
      </c>
      <c r="J1011">
        <v>0.81687548662653797</v>
      </c>
      <c r="K1011">
        <v>0.66077399365650902</v>
      </c>
      <c r="L1011">
        <v>13269.7605452395</v>
      </c>
      <c r="M1011">
        <v>250</v>
      </c>
      <c r="O1011">
        <v>53.075645511866597</v>
      </c>
      <c r="P1011">
        <v>-0.292264045576625</v>
      </c>
      <c r="Q1011">
        <v>0.75180635440425003</v>
      </c>
      <c r="R1011">
        <v>0.83461863497684496</v>
      </c>
      <c r="S1011" t="s">
        <v>7628</v>
      </c>
      <c r="T1011" t="s">
        <v>13232</v>
      </c>
      <c r="U1011" t="s">
        <v>13232</v>
      </c>
      <c r="V1011" t="s">
        <v>13232</v>
      </c>
      <c r="W1011" t="s">
        <v>14211</v>
      </c>
      <c r="X1011">
        <v>10</v>
      </c>
      <c r="Y1011" t="s">
        <v>20740</v>
      </c>
      <c r="Z1011" t="s">
        <v>27142</v>
      </c>
      <c r="AA1011">
        <v>0.86003397968676387</v>
      </c>
      <c r="AB1011" t="str">
        <f>HYPERLINK("Melting_Curves/meltCurve_M0QZ28_DTNA.pdf", "Melting_Curves/meltCurve_M0QZ28_DTNA.pdf")</f>
        <v>Melting_Curves/meltCurve_M0QZ28_DTNA.pdf</v>
      </c>
    </row>
    <row r="1012" spans="1:28" x14ac:dyDescent="0.25">
      <c r="A1012" t="s">
        <v>1016</v>
      </c>
      <c r="B1012">
        <v>0.99930955844802105</v>
      </c>
      <c r="C1012">
        <v>1.0225346635750201</v>
      </c>
      <c r="D1012">
        <v>0.95414861217450797</v>
      </c>
      <c r="E1012">
        <v>0.871160398100436</v>
      </c>
      <c r="F1012">
        <v>0.77457396998399497</v>
      </c>
      <c r="G1012">
        <v>0.66236031504011905</v>
      </c>
      <c r="H1012">
        <v>0.56148924094267405</v>
      </c>
      <c r="I1012">
        <v>0.57555557821838299</v>
      </c>
      <c r="J1012">
        <v>0.52036686343851402</v>
      </c>
      <c r="K1012">
        <v>0.39661832456325402</v>
      </c>
      <c r="L1012">
        <v>579.07614647248897</v>
      </c>
      <c r="M1012">
        <v>10.237104270178399</v>
      </c>
      <c r="N1012">
        <v>65.566800258692695</v>
      </c>
      <c r="O1012">
        <v>54.535361788189597</v>
      </c>
      <c r="P1012">
        <v>-2.9233288371638098E-2</v>
      </c>
      <c r="Q1012">
        <v>0.37734769483057001</v>
      </c>
      <c r="R1012">
        <v>0.97626147533562102</v>
      </c>
      <c r="S1012" t="s">
        <v>7629</v>
      </c>
      <c r="T1012" t="s">
        <v>13232</v>
      </c>
      <c r="U1012" t="s">
        <v>13232</v>
      </c>
      <c r="V1012" t="s">
        <v>13232</v>
      </c>
      <c r="W1012" t="s">
        <v>14212</v>
      </c>
      <c r="X1012">
        <v>6</v>
      </c>
      <c r="Y1012" t="s">
        <v>20741</v>
      </c>
      <c r="Z1012" t="s">
        <v>27143</v>
      </c>
      <c r="AA1012">
        <v>0.73258054980291609</v>
      </c>
      <c r="AB1012" t="str">
        <f>HYPERLINK("Melting_Curves/meltCurve_M0QZ43_HRC.pdf", "Melting_Curves/meltCurve_M0QZ43_HRC.pdf")</f>
        <v>Melting_Curves/meltCurve_M0QZ43_HRC.pdf</v>
      </c>
    </row>
    <row r="1013" spans="1:28" x14ac:dyDescent="0.25">
      <c r="A1013" t="s">
        <v>1017</v>
      </c>
      <c r="B1013">
        <v>0.99930955844802105</v>
      </c>
      <c r="C1013">
        <v>0.89777903342422005</v>
      </c>
      <c r="D1013">
        <v>0.64340955575643899</v>
      </c>
      <c r="E1013">
        <v>0.54590554330850904</v>
      </c>
      <c r="F1013">
        <v>0.45929862255076898</v>
      </c>
      <c r="G1013">
        <v>0.35671201640025602</v>
      </c>
      <c r="H1013">
        <v>0.34759013185625898</v>
      </c>
      <c r="I1013">
        <v>0.31868963735170303</v>
      </c>
      <c r="J1013">
        <v>0.30925743799981598</v>
      </c>
      <c r="K1013">
        <v>0.20988993362269001</v>
      </c>
      <c r="L1013">
        <v>598.52597189615301</v>
      </c>
      <c r="M1013">
        <v>12.5272210018501</v>
      </c>
      <c r="N1013">
        <v>50.953301904192301</v>
      </c>
      <c r="O1013">
        <v>46.609552913580501</v>
      </c>
      <c r="P1013">
        <v>-4.8996667909558797E-2</v>
      </c>
      <c r="Q1013">
        <v>0.27094862905036499</v>
      </c>
      <c r="R1013">
        <v>0.96980287424695</v>
      </c>
      <c r="S1013" t="s">
        <v>7630</v>
      </c>
      <c r="T1013" t="s">
        <v>13232</v>
      </c>
      <c r="U1013" t="s">
        <v>13232</v>
      </c>
      <c r="V1013" t="s">
        <v>13232</v>
      </c>
      <c r="W1013" t="s">
        <v>14213</v>
      </c>
      <c r="X1013">
        <v>3</v>
      </c>
      <c r="Y1013" t="s">
        <v>20742</v>
      </c>
      <c r="Z1013" t="s">
        <v>27144</v>
      </c>
      <c r="AA1013">
        <v>0.48676122863926757</v>
      </c>
      <c r="AB1013" t="str">
        <f>HYPERLINK("Melting_Curves/meltCurve_M0QZ57_ZBTB45.pdf", "Melting_Curves/meltCurve_M0QZ57_ZBTB45.pdf")</f>
        <v>Melting_Curves/meltCurve_M0QZ57_ZBTB45.pdf</v>
      </c>
    </row>
    <row r="1014" spans="1:28" x14ac:dyDescent="0.25">
      <c r="A1014" t="s">
        <v>1018</v>
      </c>
      <c r="B1014">
        <v>0.99930955844802105</v>
      </c>
      <c r="C1014">
        <v>0.878542684292419</v>
      </c>
      <c r="D1014">
        <v>0.853512783071257</v>
      </c>
      <c r="E1014">
        <v>0.75899838333173497</v>
      </c>
      <c r="F1014">
        <v>0.54943546199771798</v>
      </c>
      <c r="G1014">
        <v>0.204566269693194</v>
      </c>
      <c r="H1014">
        <v>0.14622268829403401</v>
      </c>
      <c r="I1014">
        <v>0.13215491777996499</v>
      </c>
      <c r="J1014">
        <v>0.134081451940994</v>
      </c>
      <c r="K1014">
        <v>0.106074656010384</v>
      </c>
      <c r="L1014">
        <v>856.51442594359196</v>
      </c>
      <c r="M1014">
        <v>16.3174259474956</v>
      </c>
      <c r="N1014">
        <v>53.0522895124017</v>
      </c>
      <c r="O1014">
        <v>51.721403791528999</v>
      </c>
      <c r="P1014">
        <v>-7.2621926633965397E-2</v>
      </c>
      <c r="Q1014">
        <v>7.9306923292936898E-2</v>
      </c>
      <c r="R1014">
        <v>0.98016407928652305</v>
      </c>
      <c r="S1014" t="s">
        <v>7631</v>
      </c>
      <c r="T1014" t="s">
        <v>13232</v>
      </c>
      <c r="U1014" t="s">
        <v>13232</v>
      </c>
      <c r="V1014" t="s">
        <v>13232</v>
      </c>
      <c r="W1014" t="s">
        <v>14214</v>
      </c>
      <c r="X1014">
        <v>1</v>
      </c>
      <c r="Y1014" t="s">
        <v>20743</v>
      </c>
      <c r="Z1014" t="s">
        <v>27145</v>
      </c>
      <c r="AA1014">
        <v>0.48045294231671498</v>
      </c>
      <c r="AB1014" t="str">
        <f>HYPERLINK("Melting_Curves/meltCurve_M0QZH0_RCN3.pdf", "Melting_Curves/meltCurve_M0QZH0_RCN3.pdf")</f>
        <v>Melting_Curves/meltCurve_M0QZH0_RCN3.pdf</v>
      </c>
    </row>
    <row r="1015" spans="1:28" x14ac:dyDescent="0.25">
      <c r="A1015" t="s">
        <v>1019</v>
      </c>
      <c r="B1015">
        <v>0.99930955844802105</v>
      </c>
      <c r="C1015">
        <v>1.19474524424215</v>
      </c>
      <c r="D1015">
        <v>1.10263169562552</v>
      </c>
      <c r="E1015">
        <v>0.84664034565259205</v>
      </c>
      <c r="F1015">
        <v>0.67934683290617204</v>
      </c>
      <c r="G1015">
        <v>0.51660746823772397</v>
      </c>
      <c r="H1015">
        <v>0.52654783899986102</v>
      </c>
      <c r="I1015">
        <v>0.546342546256947</v>
      </c>
      <c r="J1015">
        <v>0.54721562151918002</v>
      </c>
      <c r="K1015">
        <v>0.47129780136615701</v>
      </c>
      <c r="L1015">
        <v>1757.9276281504201</v>
      </c>
      <c r="M1015">
        <v>34.086613828340099</v>
      </c>
      <c r="O1015">
        <v>51.395841610373097</v>
      </c>
      <c r="P1015">
        <v>-7.9662903708848598E-2</v>
      </c>
      <c r="Q1015">
        <v>0.51953855493779</v>
      </c>
      <c r="R1015">
        <v>0.91556105424119805</v>
      </c>
      <c r="S1015" t="s">
        <v>7632</v>
      </c>
      <c r="T1015" t="s">
        <v>13232</v>
      </c>
      <c r="U1015" t="s">
        <v>13232</v>
      </c>
      <c r="V1015" t="s">
        <v>13232</v>
      </c>
      <c r="W1015" t="s">
        <v>14215</v>
      </c>
      <c r="X1015">
        <v>28</v>
      </c>
      <c r="Y1015" t="s">
        <v>20744</v>
      </c>
      <c r="Z1015" t="s">
        <v>27146</v>
      </c>
      <c r="AA1015">
        <v>0.7072363572817596</v>
      </c>
      <c r="AB1015" t="str">
        <f>HYPERLINK("Melting_Curves/meltCurve_M0QZM1_HNRNPM.pdf", "Melting_Curves/meltCurve_M0QZM1_HNRNPM.pdf")</f>
        <v>Melting_Curves/meltCurve_M0QZM1_HNRNPM.pdf</v>
      </c>
    </row>
    <row r="1016" spans="1:28" x14ac:dyDescent="0.25">
      <c r="A1016" t="s">
        <v>1020</v>
      </c>
      <c r="B1016">
        <v>0.99930955844802105</v>
      </c>
      <c r="C1016">
        <v>1.02520853348589</v>
      </c>
      <c r="D1016">
        <v>0.86440935522349005</v>
      </c>
      <c r="E1016">
        <v>0.50037843502607104</v>
      </c>
      <c r="F1016">
        <v>0.27189248687067002</v>
      </c>
      <c r="G1016">
        <v>0.19724890344149701</v>
      </c>
      <c r="H1016">
        <v>0.15740830699128699</v>
      </c>
      <c r="I1016">
        <v>0.15541947027119599</v>
      </c>
      <c r="J1016">
        <v>0.15939155489647</v>
      </c>
      <c r="K1016">
        <v>0.123401835381365</v>
      </c>
      <c r="L1016">
        <v>1226.64949637517</v>
      </c>
      <c r="M1016">
        <v>24.893391704433501</v>
      </c>
      <c r="N1016">
        <v>49.991566494187701</v>
      </c>
      <c r="O1016">
        <v>48.961415535352899</v>
      </c>
      <c r="P1016">
        <v>-0.10806134996460399</v>
      </c>
      <c r="Q1016">
        <v>0.14985240079622</v>
      </c>
      <c r="R1016">
        <v>0.99728618811447201</v>
      </c>
      <c r="S1016" t="s">
        <v>7633</v>
      </c>
      <c r="T1016" t="s">
        <v>13232</v>
      </c>
      <c r="U1016" t="s">
        <v>13232</v>
      </c>
      <c r="V1016" t="s">
        <v>13232</v>
      </c>
      <c r="W1016" t="s">
        <v>14216</v>
      </c>
      <c r="X1016">
        <v>45</v>
      </c>
      <c r="Y1016" t="s">
        <v>20745</v>
      </c>
      <c r="Z1016" t="s">
        <v>27147</v>
      </c>
      <c r="AA1016">
        <v>0.42033580157269462</v>
      </c>
      <c r="AB1016" t="str">
        <f>HYPERLINK("Melting_Curves/meltCurve_M0QZR4_ARHGEF1.pdf", "Melting_Curves/meltCurve_M0QZR4_ARHGEF1.pdf")</f>
        <v>Melting_Curves/meltCurve_M0QZR4_ARHGEF1.pdf</v>
      </c>
    </row>
    <row r="1017" spans="1:28" x14ac:dyDescent="0.25">
      <c r="A1017" t="s">
        <v>1021</v>
      </c>
      <c r="B1017">
        <v>0.99930955844802105</v>
      </c>
      <c r="C1017">
        <v>1.6510678046178</v>
      </c>
      <c r="D1017">
        <v>1.4639494752706601</v>
      </c>
      <c r="E1017">
        <v>2.10522223454777</v>
      </c>
      <c r="F1017">
        <v>2.3602786637767599</v>
      </c>
      <c r="G1017">
        <v>1.83259308198868</v>
      </c>
      <c r="H1017">
        <v>1.8676476741796999</v>
      </c>
      <c r="I1017">
        <v>1.31576000037316</v>
      </c>
      <c r="J1017">
        <v>1.6095685806803199</v>
      </c>
      <c r="K1017">
        <v>0.26365579480248102</v>
      </c>
      <c r="L1017">
        <v>15000</v>
      </c>
      <c r="M1017">
        <v>215.30970883418701</v>
      </c>
      <c r="N1017">
        <v>69.667083701293805</v>
      </c>
      <c r="O1017">
        <v>69.661052342950995</v>
      </c>
      <c r="P1017">
        <v>-0.77270450904980204</v>
      </c>
      <c r="Q1017">
        <v>0</v>
      </c>
      <c r="R1017">
        <v>-0.77028160193952599</v>
      </c>
      <c r="S1017" t="s">
        <v>7634</v>
      </c>
      <c r="T1017" t="s">
        <v>13232</v>
      </c>
      <c r="U1017" t="s">
        <v>13232</v>
      </c>
      <c r="V1017" t="s">
        <v>13232</v>
      </c>
      <c r="W1017" t="s">
        <v>14217</v>
      </c>
      <c r="X1017">
        <v>2</v>
      </c>
      <c r="Y1017" t="s">
        <v>20746</v>
      </c>
      <c r="Z1017" t="s">
        <v>27148</v>
      </c>
      <c r="AA1017">
        <v>0.98569213700295932</v>
      </c>
      <c r="AB1017" t="str">
        <f>HYPERLINK("Melting_Curves/meltCurve_M0QZW6_CCDC155.pdf", "Melting_Curves/meltCurve_M0QZW6_CCDC155.pdf")</f>
        <v>Melting_Curves/meltCurve_M0QZW6_CCDC155.pdf</v>
      </c>
    </row>
    <row r="1018" spans="1:28" x14ac:dyDescent="0.25">
      <c r="A1018" t="s">
        <v>1022</v>
      </c>
      <c r="B1018">
        <v>0.99930955844802105</v>
      </c>
      <c r="C1018">
        <v>1.03127310108121</v>
      </c>
      <c r="D1018">
        <v>1.0030898660895999</v>
      </c>
      <c r="E1018">
        <v>0.92844471512423599</v>
      </c>
      <c r="F1018">
        <v>0.86483423398559101</v>
      </c>
      <c r="G1018">
        <v>0.67605432769365004</v>
      </c>
      <c r="H1018">
        <v>0.47814785375006003</v>
      </c>
      <c r="I1018">
        <v>0.36542127199140201</v>
      </c>
      <c r="J1018">
        <v>0.30465107622892201</v>
      </c>
      <c r="K1018">
        <v>0.22833939139325099</v>
      </c>
      <c r="L1018">
        <v>846.12699944085205</v>
      </c>
      <c r="M1018">
        <v>14.3643405379405</v>
      </c>
      <c r="N1018">
        <v>60.569220351736298</v>
      </c>
      <c r="O1018">
        <v>57.798336555048202</v>
      </c>
      <c r="P1018">
        <v>-5.2005376277448397E-2</v>
      </c>
      <c r="Q1018">
        <v>0.16307623978407901</v>
      </c>
      <c r="R1018">
        <v>0.99763398575522499</v>
      </c>
      <c r="S1018" t="s">
        <v>7635</v>
      </c>
      <c r="T1018" t="s">
        <v>13232</v>
      </c>
      <c r="U1018" t="s">
        <v>13232</v>
      </c>
      <c r="V1018" t="s">
        <v>13232</v>
      </c>
      <c r="X1018">
        <v>14</v>
      </c>
      <c r="Z1018" t="s">
        <v>27149</v>
      </c>
      <c r="AA1018">
        <v>0.69930666317865131</v>
      </c>
      <c r="AB1018" t="str">
        <f>HYPERLINK("Melting_Curves/meltCurve_M0R009_.pdf", "Melting_Curves/meltCurve_M0R009_.pdf")</f>
        <v>Melting_Curves/meltCurve_M0R009_.pdf</v>
      </c>
    </row>
    <row r="1019" spans="1:28" x14ac:dyDescent="0.25">
      <c r="A1019" t="s">
        <v>1023</v>
      </c>
      <c r="B1019">
        <v>0.99930955844802105</v>
      </c>
      <c r="C1019">
        <v>0.96823925653018705</v>
      </c>
      <c r="D1019">
        <v>0.89975576260805501</v>
      </c>
      <c r="E1019">
        <v>0.70004288535986403</v>
      </c>
      <c r="F1019">
        <v>0.51099057387123503</v>
      </c>
      <c r="G1019">
        <v>0.238347561700225</v>
      </c>
      <c r="H1019">
        <v>0.13266229637590701</v>
      </c>
      <c r="I1019">
        <v>0.11803416870189801</v>
      </c>
      <c r="J1019">
        <v>4.0811099708762601E-2</v>
      </c>
      <c r="K1019">
        <v>5.9093204446379603E-2</v>
      </c>
      <c r="L1019">
        <v>813.75115188248606</v>
      </c>
      <c r="M1019">
        <v>15.450541193964099</v>
      </c>
      <c r="N1019">
        <v>52.884955111380002</v>
      </c>
      <c r="O1019">
        <v>51.809500221406097</v>
      </c>
      <c r="P1019">
        <v>-7.2272868131025694E-2</v>
      </c>
      <c r="Q1019">
        <v>3.0691732246100299E-2</v>
      </c>
      <c r="R1019">
        <v>0.99830517777125105</v>
      </c>
      <c r="S1019" t="s">
        <v>7636</v>
      </c>
      <c r="T1019" t="s">
        <v>13232</v>
      </c>
      <c r="U1019" t="s">
        <v>13232</v>
      </c>
      <c r="V1019" t="s">
        <v>13232</v>
      </c>
      <c r="W1019" t="s">
        <v>14218</v>
      </c>
      <c r="X1019">
        <v>1</v>
      </c>
      <c r="Y1019" t="s">
        <v>20747</v>
      </c>
      <c r="Z1019" t="s">
        <v>27150</v>
      </c>
      <c r="AA1019">
        <v>0.46025319868758979</v>
      </c>
      <c r="AB1019" t="str">
        <f>HYPERLINK("Melting_Curves/meltCurve_M0R044_MPND.pdf", "Melting_Curves/meltCurve_M0R044_MPND.pdf")</f>
        <v>Melting_Curves/meltCurve_M0R044_MPND.pdf</v>
      </c>
    </row>
    <row r="1020" spans="1:28" x14ac:dyDescent="0.25">
      <c r="A1020" t="s">
        <v>1024</v>
      </c>
      <c r="B1020">
        <v>0.99930955844802105</v>
      </c>
      <c r="C1020">
        <v>0.80975327688971999</v>
      </c>
      <c r="D1020">
        <v>0.75972879652882797</v>
      </c>
      <c r="E1020">
        <v>0.65536615942295395</v>
      </c>
      <c r="F1020">
        <v>0.53165254118800798</v>
      </c>
      <c r="G1020">
        <v>0.36305246723400397</v>
      </c>
      <c r="H1020">
        <v>0.161913991128009</v>
      </c>
      <c r="I1020">
        <v>0.114742682314162</v>
      </c>
      <c r="J1020">
        <v>7.6702237618156893E-2</v>
      </c>
      <c r="K1020">
        <v>5.8716967448093897E-2</v>
      </c>
      <c r="L1020">
        <v>517.05471355224597</v>
      </c>
      <c r="M1020">
        <v>9.8297326228864801</v>
      </c>
      <c r="N1020">
        <v>52.601093545452699</v>
      </c>
      <c r="O1020">
        <v>50.562773738718199</v>
      </c>
      <c r="P1020">
        <v>-4.86268792525376E-2</v>
      </c>
      <c r="Q1020">
        <v>0</v>
      </c>
      <c r="R1020">
        <v>0.97936788387506801</v>
      </c>
      <c r="S1020" t="s">
        <v>7637</v>
      </c>
      <c r="T1020" t="s">
        <v>13232</v>
      </c>
      <c r="U1020" t="s">
        <v>13232</v>
      </c>
      <c r="V1020" t="s">
        <v>13232</v>
      </c>
      <c r="W1020" t="s">
        <v>14219</v>
      </c>
      <c r="X1020">
        <v>3</v>
      </c>
      <c r="Y1020" t="s">
        <v>20748</v>
      </c>
      <c r="Z1020" t="s">
        <v>27151</v>
      </c>
      <c r="AA1020">
        <v>0.45636662847715159</v>
      </c>
      <c r="AB1020" t="str">
        <f>HYPERLINK("Melting_Curves/meltCurve_M0R0B4_KXD1.pdf", "Melting_Curves/meltCurve_M0R0B4_KXD1.pdf")</f>
        <v>Melting_Curves/meltCurve_M0R0B4_KXD1.pdf</v>
      </c>
    </row>
    <row r="1021" spans="1:28" x14ac:dyDescent="0.25">
      <c r="A1021" t="s">
        <v>1025</v>
      </c>
      <c r="B1021">
        <v>0.99930955844802105</v>
      </c>
      <c r="C1021">
        <v>0.65164247195696801</v>
      </c>
      <c r="D1021">
        <v>0.397633745661361</v>
      </c>
      <c r="E1021">
        <v>0.304247412279959</v>
      </c>
      <c r="F1021">
        <v>0.142716509876053</v>
      </c>
      <c r="G1021">
        <v>0.122910741244376</v>
      </c>
      <c r="H1021">
        <v>7.5381749568662296E-2</v>
      </c>
      <c r="I1021">
        <v>6.0616791321874301E-2</v>
      </c>
      <c r="J1021">
        <v>5.5910843910960503E-2</v>
      </c>
      <c r="K1021">
        <v>4.1350474274181002E-2</v>
      </c>
      <c r="L1021">
        <v>718.20800492299998</v>
      </c>
      <c r="M1021">
        <v>15.973761487450799</v>
      </c>
      <c r="N1021">
        <v>45.364500873982799</v>
      </c>
      <c r="O1021">
        <v>44.274781462106503</v>
      </c>
      <c r="P1021">
        <v>-8.4240238132987796E-2</v>
      </c>
      <c r="Q1021">
        <v>6.6112716375497205E-2</v>
      </c>
      <c r="R1021">
        <v>0.97057603715362295</v>
      </c>
      <c r="S1021" t="s">
        <v>7638</v>
      </c>
      <c r="T1021" t="s">
        <v>13232</v>
      </c>
      <c r="U1021" t="s">
        <v>13232</v>
      </c>
      <c r="V1021" t="s">
        <v>13232</v>
      </c>
      <c r="W1021" t="s">
        <v>14220</v>
      </c>
      <c r="X1021">
        <v>8</v>
      </c>
      <c r="Y1021" t="s">
        <v>20749</v>
      </c>
      <c r="Z1021" t="s">
        <v>27152</v>
      </c>
      <c r="AA1021">
        <v>0.24691606737466851</v>
      </c>
      <c r="AB1021" t="str">
        <f>HYPERLINK("Melting_Curves/meltCurve_M0R0F0_RPS5.pdf", "Melting_Curves/meltCurve_M0R0F0_RPS5.pdf")</f>
        <v>Melting_Curves/meltCurve_M0R0F0_RPS5.pdf</v>
      </c>
    </row>
    <row r="1022" spans="1:28" x14ac:dyDescent="0.25">
      <c r="A1022" t="s">
        <v>1026</v>
      </c>
      <c r="B1022">
        <v>0.99930955844802105</v>
      </c>
      <c r="C1022">
        <v>1.63698475372158</v>
      </c>
      <c r="D1022">
        <v>1.6483496948785501</v>
      </c>
      <c r="E1022">
        <v>1.5065083619772299</v>
      </c>
      <c r="F1022">
        <v>0.88998136206776202</v>
      </c>
      <c r="G1022">
        <v>1.35385708897797</v>
      </c>
      <c r="H1022">
        <v>1.82204860472028</v>
      </c>
      <c r="I1022">
        <v>2.6099219016858299</v>
      </c>
      <c r="J1022">
        <v>2.5890565489544199</v>
      </c>
      <c r="K1022">
        <v>1.6986422619914401</v>
      </c>
      <c r="L1022">
        <v>10257.575262396</v>
      </c>
      <c r="M1022">
        <v>250</v>
      </c>
      <c r="O1022">
        <v>41.0276753642733</v>
      </c>
      <c r="P1022">
        <v>0.76168098107711502</v>
      </c>
      <c r="Q1022">
        <v>1.5</v>
      </c>
      <c r="R1022">
        <v>-1.9466381908144901E-2</v>
      </c>
      <c r="S1022" t="s">
        <v>7639</v>
      </c>
      <c r="T1022" t="s">
        <v>13232</v>
      </c>
      <c r="U1022" t="s">
        <v>13232</v>
      </c>
      <c r="V1022" t="s">
        <v>13232</v>
      </c>
      <c r="W1022" t="s">
        <v>14221</v>
      </c>
      <c r="X1022">
        <v>1</v>
      </c>
      <c r="Y1022" t="s">
        <v>20750</v>
      </c>
      <c r="Z1022" t="s">
        <v>27153</v>
      </c>
      <c r="AA1022">
        <v>1.482788194632104</v>
      </c>
      <c r="AB1022" t="str">
        <f>HYPERLINK("Melting_Curves/meltCurve_M0R0Q5_ZNF414.pdf", "Melting_Curves/meltCurve_M0R0Q5_ZNF414.pdf")</f>
        <v>Melting_Curves/meltCurve_M0R0Q5_ZNF414.pdf</v>
      </c>
    </row>
    <row r="1023" spans="1:28" x14ac:dyDescent="0.25">
      <c r="A1023" t="s">
        <v>1027</v>
      </c>
      <c r="B1023">
        <v>0.99930955844802105</v>
      </c>
      <c r="C1023">
        <v>0.87835028653888503</v>
      </c>
      <c r="D1023">
        <v>0.41588464367788802</v>
      </c>
      <c r="E1023">
        <v>0.27386620011998802</v>
      </c>
      <c r="F1023">
        <v>0.47810429430699702</v>
      </c>
      <c r="G1023">
        <v>0</v>
      </c>
      <c r="H1023">
        <v>0</v>
      </c>
      <c r="I1023">
        <v>0</v>
      </c>
      <c r="J1023">
        <v>0.47993197927850101</v>
      </c>
      <c r="K1023">
        <v>0</v>
      </c>
      <c r="L1023">
        <v>870.31512706168405</v>
      </c>
      <c r="M1023">
        <v>19.066595145503801</v>
      </c>
      <c r="N1023">
        <v>46.412508361750298</v>
      </c>
      <c r="O1023">
        <v>45.152843286411198</v>
      </c>
      <c r="P1023">
        <v>-9.1313320913780596E-2</v>
      </c>
      <c r="Q1023">
        <v>0.13505397054255999</v>
      </c>
      <c r="R1023">
        <v>0.75371087717623497</v>
      </c>
      <c r="S1023" t="s">
        <v>7640</v>
      </c>
      <c r="T1023" t="s">
        <v>13232</v>
      </c>
      <c r="U1023" t="s">
        <v>13232</v>
      </c>
      <c r="V1023" t="s">
        <v>13232</v>
      </c>
      <c r="W1023" t="s">
        <v>14222</v>
      </c>
      <c r="X1023">
        <v>1</v>
      </c>
      <c r="Y1023" t="s">
        <v>20751</v>
      </c>
      <c r="Z1023" t="s">
        <v>27154</v>
      </c>
      <c r="AA1023">
        <v>0.31317794774712049</v>
      </c>
      <c r="AB1023" t="str">
        <f>HYPERLINK("Melting_Curves/meltCurve_M0R1B5_ILVBL.pdf", "Melting_Curves/meltCurve_M0R1B5_ILVBL.pdf")</f>
        <v>Melting_Curves/meltCurve_M0R1B5_ILVBL.pdf</v>
      </c>
    </row>
    <row r="1024" spans="1:28" x14ac:dyDescent="0.25">
      <c r="A1024" t="s">
        <v>1028</v>
      </c>
      <c r="B1024">
        <v>0.99930955844802105</v>
      </c>
      <c r="C1024">
        <v>0.85314881107984097</v>
      </c>
      <c r="D1024">
        <v>0.94433734454338203</v>
      </c>
      <c r="E1024">
        <v>0.68188201114109004</v>
      </c>
      <c r="F1024">
        <v>0.26887200385739901</v>
      </c>
      <c r="G1024">
        <v>0.25087802121147501</v>
      </c>
      <c r="H1024">
        <v>0.144827308659842</v>
      </c>
      <c r="I1024">
        <v>0</v>
      </c>
      <c r="J1024">
        <v>0.29616027596765698</v>
      </c>
      <c r="K1024">
        <v>0</v>
      </c>
      <c r="L1024">
        <v>1331.63623950538</v>
      </c>
      <c r="M1024">
        <v>26.243496542609101</v>
      </c>
      <c r="N1024">
        <v>51.2658456627818</v>
      </c>
      <c r="O1024">
        <v>50.449693129134701</v>
      </c>
      <c r="P1024">
        <v>-0.114743925495762</v>
      </c>
      <c r="Q1024">
        <v>0.117688989762803</v>
      </c>
      <c r="R1024">
        <v>0.931318861171195</v>
      </c>
      <c r="S1024" t="s">
        <v>7641</v>
      </c>
      <c r="T1024" t="s">
        <v>13232</v>
      </c>
      <c r="U1024" t="s">
        <v>13232</v>
      </c>
      <c r="V1024" t="s">
        <v>13232</v>
      </c>
      <c r="W1024" t="s">
        <v>14223</v>
      </c>
      <c r="X1024">
        <v>8</v>
      </c>
      <c r="Y1024" t="s">
        <v>20752</v>
      </c>
      <c r="Z1024" t="s">
        <v>27155</v>
      </c>
      <c r="AA1024">
        <v>0.44082101263139628</v>
      </c>
      <c r="AB1024" t="str">
        <f>HYPERLINK("Melting_Curves/meltCurve_M0R1T5_CHMP2A.pdf", "Melting_Curves/meltCurve_M0R1T5_CHMP2A.pdf")</f>
        <v>Melting_Curves/meltCurve_M0R1T5_CHMP2A.pdf</v>
      </c>
    </row>
    <row r="1025" spans="1:28" x14ac:dyDescent="0.25">
      <c r="A1025" t="s">
        <v>1029</v>
      </c>
      <c r="B1025">
        <v>0.99930955844802105</v>
      </c>
      <c r="C1025">
        <v>0.58415700438737606</v>
      </c>
      <c r="D1025">
        <v>0.54643293536594995</v>
      </c>
      <c r="E1025">
        <v>0.53582200625926202</v>
      </c>
      <c r="F1025">
        <v>0.36421196854572202</v>
      </c>
      <c r="G1025">
        <v>0.25528883974872402</v>
      </c>
      <c r="H1025">
        <v>0.15194527650016801</v>
      </c>
      <c r="I1025">
        <v>0.14306242672257599</v>
      </c>
      <c r="J1025">
        <v>0.11473442705352099</v>
      </c>
      <c r="K1025">
        <v>9.0720835954233595E-2</v>
      </c>
      <c r="L1025">
        <v>365.17982358351298</v>
      </c>
      <c r="M1025">
        <v>7.5038962408329404</v>
      </c>
      <c r="N1025">
        <v>48.666110399885198</v>
      </c>
      <c r="O1025">
        <v>45.568852600988201</v>
      </c>
      <c r="P1025">
        <v>-4.1224600025647498E-2</v>
      </c>
      <c r="Q1025">
        <v>5.7707384662427902E-5</v>
      </c>
      <c r="R1025">
        <v>0.91938413512595296</v>
      </c>
      <c r="S1025" t="s">
        <v>7642</v>
      </c>
      <c r="T1025" t="s">
        <v>13232</v>
      </c>
      <c r="U1025" t="s">
        <v>13232</v>
      </c>
      <c r="V1025" t="s">
        <v>13232</v>
      </c>
      <c r="W1025" t="s">
        <v>14224</v>
      </c>
      <c r="X1025">
        <v>6</v>
      </c>
      <c r="Y1025" t="s">
        <v>20753</v>
      </c>
      <c r="Z1025" t="s">
        <v>27156</v>
      </c>
      <c r="AA1025">
        <v>0.36251724534056801</v>
      </c>
      <c r="AB1025" t="str">
        <f>HYPERLINK("Melting_Curves/meltCurve_M0R299_FBL.pdf", "Melting_Curves/meltCurve_M0R299_FBL.pdf")</f>
        <v>Melting_Curves/meltCurve_M0R299_FBL.pdf</v>
      </c>
    </row>
    <row r="1026" spans="1:28" x14ac:dyDescent="0.25">
      <c r="A1026" t="s">
        <v>1030</v>
      </c>
      <c r="B1026">
        <v>0.99930955844802105</v>
      </c>
      <c r="C1026">
        <v>0.73486398190954905</v>
      </c>
      <c r="D1026">
        <v>0.74622846717039304</v>
      </c>
      <c r="E1026">
        <v>0.92411064616525895</v>
      </c>
      <c r="F1026">
        <v>0.923317292999289</v>
      </c>
      <c r="G1026">
        <v>0.69425897224802602</v>
      </c>
      <c r="H1026">
        <v>0.27055066117809601</v>
      </c>
      <c r="I1026">
        <v>0.285000269155127</v>
      </c>
      <c r="J1026">
        <v>0.33376104115208599</v>
      </c>
      <c r="K1026">
        <v>0.222222884052106</v>
      </c>
      <c r="L1026">
        <v>2743.2203675374199</v>
      </c>
      <c r="M1026">
        <v>47.862033637389104</v>
      </c>
      <c r="N1026">
        <v>58.250990254004698</v>
      </c>
      <c r="O1026">
        <v>57.215375780740899</v>
      </c>
      <c r="P1026">
        <v>-0.15303306128328101</v>
      </c>
      <c r="Q1026">
        <v>0.26824377936143301</v>
      </c>
      <c r="R1026">
        <v>0.818252972629125</v>
      </c>
      <c r="S1026" t="s">
        <v>7643</v>
      </c>
      <c r="T1026" t="s">
        <v>13232</v>
      </c>
      <c r="U1026" t="s">
        <v>13232</v>
      </c>
      <c r="V1026" t="s">
        <v>13232</v>
      </c>
      <c r="W1026" t="s">
        <v>14225</v>
      </c>
      <c r="X1026">
        <v>6</v>
      </c>
      <c r="Y1026" t="s">
        <v>20754</v>
      </c>
      <c r="Z1026" t="s">
        <v>27157</v>
      </c>
      <c r="AA1026">
        <v>0.69260527680002748</v>
      </c>
      <c r="AB1026" t="str">
        <f>HYPERLINK("Melting_Curves/meltCurve_M0R2P6_SHKBP1.pdf", "Melting_Curves/meltCurve_M0R2P6_SHKBP1.pdf")</f>
        <v>Melting_Curves/meltCurve_M0R2P6_SHKBP1.pdf</v>
      </c>
    </row>
    <row r="1027" spans="1:28" x14ac:dyDescent="0.25">
      <c r="A1027" t="s">
        <v>1031</v>
      </c>
      <c r="B1027">
        <v>0.99930955844802105</v>
      </c>
      <c r="C1027">
        <v>1.06364864779701</v>
      </c>
      <c r="D1027">
        <v>1.0278701661096099</v>
      </c>
      <c r="E1027">
        <v>1.2132861483778501</v>
      </c>
      <c r="F1027">
        <v>1.13938085992627</v>
      </c>
      <c r="G1027">
        <v>1.37897829908962</v>
      </c>
      <c r="H1027">
        <v>2.2235282594016899</v>
      </c>
      <c r="I1027">
        <v>3.1881101769855</v>
      </c>
      <c r="J1027">
        <v>4.2049915690109296</v>
      </c>
      <c r="K1027">
        <v>2.6361588806174798</v>
      </c>
      <c r="L1027">
        <v>2460.35214114362</v>
      </c>
      <c r="M1027">
        <v>45.678917972687302</v>
      </c>
      <c r="O1027">
        <v>53.758943509033401</v>
      </c>
      <c r="P1027">
        <v>0.10621248895702</v>
      </c>
      <c r="Q1027">
        <v>1.5</v>
      </c>
      <c r="R1027">
        <v>-7.3748600649395896E-2</v>
      </c>
      <c r="S1027" t="s">
        <v>7644</v>
      </c>
      <c r="T1027" t="s">
        <v>13232</v>
      </c>
      <c r="U1027" t="s">
        <v>13232</v>
      </c>
      <c r="V1027" t="s">
        <v>13232</v>
      </c>
      <c r="W1027" t="s">
        <v>14226</v>
      </c>
      <c r="X1027">
        <v>1</v>
      </c>
      <c r="Y1027" t="s">
        <v>20755</v>
      </c>
      <c r="Z1027" t="s">
        <v>27158</v>
      </c>
      <c r="AA1027">
        <v>1.267544790251369</v>
      </c>
      <c r="AB1027" t="str">
        <f>HYPERLINK("Melting_Curves/meltCurve_M0R2S3_CCDC94.pdf", "Melting_Curves/meltCurve_M0R2S3_CCDC94.pdf")</f>
        <v>Melting_Curves/meltCurve_M0R2S3_CCDC94.pdf</v>
      </c>
    </row>
    <row r="1028" spans="1:28" x14ac:dyDescent="0.25">
      <c r="A1028" t="s">
        <v>1032</v>
      </c>
      <c r="B1028">
        <v>0.99930955844802105</v>
      </c>
      <c r="C1028">
        <v>1.0108855507032899</v>
      </c>
      <c r="D1028">
        <v>0.98513244106269504</v>
      </c>
      <c r="E1028">
        <v>0.90187424479545297</v>
      </c>
      <c r="F1028">
        <v>0.77169601460541404</v>
      </c>
      <c r="G1028">
        <v>0.71237877564268803</v>
      </c>
      <c r="H1028">
        <v>0.69523127046597599</v>
      </c>
      <c r="I1028">
        <v>0.79363868438788499</v>
      </c>
      <c r="J1028">
        <v>0.804646432773794</v>
      </c>
      <c r="K1028">
        <v>0.63803861931707995</v>
      </c>
      <c r="L1028">
        <v>2027.80963003241</v>
      </c>
      <c r="M1028">
        <v>39.994039059464598</v>
      </c>
      <c r="O1028">
        <v>50.5765257635613</v>
      </c>
      <c r="P1028">
        <v>-5.3669396224995398E-2</v>
      </c>
      <c r="Q1028">
        <v>0.72851893424833303</v>
      </c>
      <c r="R1028">
        <v>0.87892822521635094</v>
      </c>
      <c r="S1028" t="s">
        <v>7645</v>
      </c>
      <c r="T1028" t="s">
        <v>13232</v>
      </c>
      <c r="U1028" t="s">
        <v>13232</v>
      </c>
      <c r="V1028" t="s">
        <v>13232</v>
      </c>
      <c r="W1028" t="s">
        <v>14227</v>
      </c>
      <c r="X1028">
        <v>24</v>
      </c>
      <c r="Y1028" t="s">
        <v>20756</v>
      </c>
      <c r="Z1028" t="s">
        <v>27159</v>
      </c>
      <c r="AA1028">
        <v>0.82632428664122082</v>
      </c>
      <c r="AB1028" t="str">
        <f>HYPERLINK("Melting_Curves/meltCurve_M0R300_MYO9B.pdf", "Melting_Curves/meltCurve_M0R300_MYO9B.pdf")</f>
        <v>Melting_Curves/meltCurve_M0R300_MYO9B.pdf</v>
      </c>
    </row>
    <row r="1029" spans="1:28" x14ac:dyDescent="0.25">
      <c r="A1029" t="s">
        <v>1033</v>
      </c>
      <c r="B1029">
        <v>0.99930955844802105</v>
      </c>
      <c r="C1029">
        <v>0.96990678758527704</v>
      </c>
      <c r="D1029">
        <v>0.87265616940323998</v>
      </c>
      <c r="E1029">
        <v>1.06175336941288</v>
      </c>
      <c r="F1029">
        <v>0.98862740479395395</v>
      </c>
      <c r="G1029">
        <v>0.712935891815344</v>
      </c>
      <c r="H1029">
        <v>0.39067814123969002</v>
      </c>
      <c r="I1029">
        <v>0.25622089274612297</v>
      </c>
      <c r="J1029">
        <v>0.22698267026241301</v>
      </c>
      <c r="K1029">
        <v>0.172627783599514</v>
      </c>
      <c r="L1029">
        <v>1646.70991766061</v>
      </c>
      <c r="M1029">
        <v>28.174094495266299</v>
      </c>
      <c r="N1029">
        <v>59.445549719054299</v>
      </c>
      <c r="O1029">
        <v>58.155579608106599</v>
      </c>
      <c r="P1029">
        <v>-9.8295539255712799E-2</v>
      </c>
      <c r="Q1029">
        <v>0.18841948688878299</v>
      </c>
      <c r="R1029">
        <v>0.97973190949848599</v>
      </c>
      <c r="S1029" t="s">
        <v>7646</v>
      </c>
      <c r="T1029" t="s">
        <v>13232</v>
      </c>
      <c r="U1029" t="s">
        <v>13232</v>
      </c>
      <c r="V1029" t="s">
        <v>13232</v>
      </c>
      <c r="W1029" t="s">
        <v>14228</v>
      </c>
      <c r="X1029">
        <v>2</v>
      </c>
      <c r="Y1029" t="s">
        <v>20757</v>
      </c>
      <c r="Z1029" t="s">
        <v>27160</v>
      </c>
      <c r="AA1029">
        <v>0.69330867101927729</v>
      </c>
      <c r="AB1029" t="str">
        <f>HYPERLINK("Melting_Curves/meltCurve_M0R3D4_RABAC1.pdf", "Melting_Curves/meltCurve_M0R3D4_RABAC1.pdf")</f>
        <v>Melting_Curves/meltCurve_M0R3D4_RABAC1.pdf</v>
      </c>
    </row>
    <row r="1030" spans="1:28" x14ac:dyDescent="0.25">
      <c r="A1030" t="s">
        <v>1034</v>
      </c>
      <c r="B1030">
        <v>0.99930955844802105</v>
      </c>
      <c r="C1030">
        <v>0.79789297690995797</v>
      </c>
      <c r="D1030">
        <v>0.62599415223180599</v>
      </c>
      <c r="E1030">
        <v>0.53291439481335401</v>
      </c>
      <c r="F1030">
        <v>0.24583369823418499</v>
      </c>
      <c r="G1030">
        <v>0.163445932353428</v>
      </c>
      <c r="H1030">
        <v>8.7801760162532702E-2</v>
      </c>
      <c r="I1030">
        <v>7.1941279197893004E-2</v>
      </c>
      <c r="J1030">
        <v>2.3359780304918101E-2</v>
      </c>
      <c r="K1030">
        <v>6.35945149750205E-2</v>
      </c>
      <c r="L1030">
        <v>565.08025209686798</v>
      </c>
      <c r="M1030">
        <v>11.5520885797681</v>
      </c>
      <c r="N1030">
        <v>48.9569977592176</v>
      </c>
      <c r="O1030">
        <v>47.518940571377001</v>
      </c>
      <c r="P1030">
        <v>-6.0499552330308098E-2</v>
      </c>
      <c r="Q1030">
        <v>4.8303748242444497E-3</v>
      </c>
      <c r="R1030">
        <v>0.98081544942435295</v>
      </c>
      <c r="S1030" t="s">
        <v>7647</v>
      </c>
      <c r="T1030" t="s">
        <v>13232</v>
      </c>
      <c r="U1030" t="s">
        <v>13232</v>
      </c>
      <c r="V1030" t="s">
        <v>13232</v>
      </c>
      <c r="W1030" t="s">
        <v>14229</v>
      </c>
      <c r="X1030">
        <v>3</v>
      </c>
      <c r="Y1030" t="s">
        <v>20758</v>
      </c>
      <c r="Z1030" t="s">
        <v>27161</v>
      </c>
      <c r="AA1030">
        <v>0.33973676910533013</v>
      </c>
      <c r="AB1030" t="str">
        <f>HYPERLINK("Melting_Curves/meltCurve_O00116_AGPS.pdf", "Melting_Curves/meltCurve_O00116_AGPS.pdf")</f>
        <v>Melting_Curves/meltCurve_O00116_AGPS.pdf</v>
      </c>
    </row>
    <row r="1031" spans="1:28" x14ac:dyDescent="0.25">
      <c r="A1031" t="s">
        <v>1035</v>
      </c>
      <c r="B1031">
        <v>0.99930955844802105</v>
      </c>
      <c r="C1031">
        <v>0.944431429660894</v>
      </c>
      <c r="D1031">
        <v>0.97297378355174502</v>
      </c>
      <c r="E1031">
        <v>0.87598869149457403</v>
      </c>
      <c r="F1031">
        <v>0.63117118779510695</v>
      </c>
      <c r="G1031">
        <v>0.42556139230162598</v>
      </c>
      <c r="H1031">
        <v>0.273387627823376</v>
      </c>
      <c r="I1031">
        <v>0.16050824496862401</v>
      </c>
      <c r="J1031">
        <v>0.12054026702317901</v>
      </c>
      <c r="K1031">
        <v>0.113328369528177</v>
      </c>
      <c r="L1031">
        <v>840.34075433323801</v>
      </c>
      <c r="M1031">
        <v>15.257840727219</v>
      </c>
      <c r="N1031">
        <v>55.665544758896303</v>
      </c>
      <c r="O1031">
        <v>54.155920679546597</v>
      </c>
      <c r="P1031">
        <v>-6.5186016378674605E-2</v>
      </c>
      <c r="Q1031">
        <v>7.4607000906545803E-2</v>
      </c>
      <c r="R1031">
        <v>0.99499503433612102</v>
      </c>
      <c r="S1031" t="s">
        <v>7648</v>
      </c>
      <c r="T1031" t="s">
        <v>13232</v>
      </c>
      <c r="U1031" t="s">
        <v>13232</v>
      </c>
      <c r="V1031" t="s">
        <v>13232</v>
      </c>
      <c r="W1031" t="s">
        <v>14230</v>
      </c>
      <c r="X1031">
        <v>1</v>
      </c>
      <c r="Y1031" t="s">
        <v>20759</v>
      </c>
      <c r="Z1031" t="s">
        <v>27162</v>
      </c>
      <c r="AA1031">
        <v>0.55707569332567353</v>
      </c>
      <c r="AB1031" t="str">
        <f>HYPERLINK("Melting_Curves/meltCurve_O00124_2_UBXN8.pdf", "Melting_Curves/meltCurve_O00124_2_UBXN8.pdf")</f>
        <v>Melting_Curves/meltCurve_O00124_2_UBXN8.pdf</v>
      </c>
    </row>
    <row r="1032" spans="1:28" x14ac:dyDescent="0.25">
      <c r="A1032" t="s">
        <v>1036</v>
      </c>
      <c r="B1032">
        <v>0.99930955844802105</v>
      </c>
      <c r="C1032">
        <v>0.81941134850443098</v>
      </c>
      <c r="D1032">
        <v>0.48107716898463299</v>
      </c>
      <c r="E1032">
        <v>0.28814405357210199</v>
      </c>
      <c r="F1032">
        <v>0.18952962605156101</v>
      </c>
      <c r="G1032">
        <v>0.14945081523661</v>
      </c>
      <c r="H1032">
        <v>0.111506671606349</v>
      </c>
      <c r="I1032">
        <v>0.12044855038232199</v>
      </c>
      <c r="J1032">
        <v>0.11024074098134901</v>
      </c>
      <c r="K1032">
        <v>8.6960374495009304E-2</v>
      </c>
      <c r="L1032">
        <v>904.70339248253299</v>
      </c>
      <c r="M1032">
        <v>19.8162792592017</v>
      </c>
      <c r="N1032">
        <v>46.274017730973398</v>
      </c>
      <c r="O1032">
        <v>45.197251613559501</v>
      </c>
      <c r="P1032">
        <v>-9.6843307141734405E-2</v>
      </c>
      <c r="Q1032">
        <v>0.11650353200871599</v>
      </c>
      <c r="R1032">
        <v>0.99189610047278598</v>
      </c>
      <c r="S1032" t="s">
        <v>7649</v>
      </c>
      <c r="T1032" t="s">
        <v>13232</v>
      </c>
      <c r="U1032" t="s">
        <v>13232</v>
      </c>
      <c r="V1032" t="s">
        <v>13232</v>
      </c>
      <c r="W1032" t="s">
        <v>14231</v>
      </c>
      <c r="X1032">
        <v>29</v>
      </c>
      <c r="Y1032" t="s">
        <v>20760</v>
      </c>
      <c r="Z1032" t="s">
        <v>27163</v>
      </c>
      <c r="AA1032">
        <v>0.29735829452264467</v>
      </c>
      <c r="AB1032" t="str">
        <f>HYPERLINK("Melting_Curves/meltCurve_O00139_1_KIF2A.pdf", "Melting_Curves/meltCurve_O00139_1_KIF2A.pdf")</f>
        <v>Melting_Curves/meltCurve_O00139_1_KIF2A.pdf</v>
      </c>
    </row>
    <row r="1033" spans="1:28" x14ac:dyDescent="0.25">
      <c r="A1033" t="s">
        <v>1037</v>
      </c>
      <c r="B1033">
        <v>0.99930955844802105</v>
      </c>
      <c r="C1033">
        <v>0.956337447226557</v>
      </c>
      <c r="D1033">
        <v>0.67458858367661401</v>
      </c>
      <c r="E1033">
        <v>0.63820131659746404</v>
      </c>
      <c r="F1033">
        <v>0.59817515767686502</v>
      </c>
      <c r="G1033">
        <v>0.64983699773833503</v>
      </c>
      <c r="H1033">
        <v>0.60227145620756595</v>
      </c>
      <c r="I1033">
        <v>0.74640652964216503</v>
      </c>
      <c r="J1033">
        <v>0.70750287912731702</v>
      </c>
      <c r="K1033">
        <v>0.53947351265509402</v>
      </c>
      <c r="L1033">
        <v>2694.5902207817498</v>
      </c>
      <c r="M1033">
        <v>60.830010555006602</v>
      </c>
      <c r="O1033">
        <v>44.249254100861101</v>
      </c>
      <c r="P1033">
        <v>-0.12364538697552099</v>
      </c>
      <c r="Q1033">
        <v>0.64022928712640104</v>
      </c>
      <c r="R1033">
        <v>0.85994554759409403</v>
      </c>
      <c r="S1033" t="s">
        <v>7650</v>
      </c>
      <c r="T1033" t="s">
        <v>13232</v>
      </c>
      <c r="U1033" t="s">
        <v>13232</v>
      </c>
      <c r="V1033" t="s">
        <v>13232</v>
      </c>
      <c r="W1033" t="s">
        <v>14232</v>
      </c>
      <c r="X1033">
        <v>27</v>
      </c>
      <c r="Y1033" t="s">
        <v>20760</v>
      </c>
      <c r="Z1033" t="s">
        <v>27164</v>
      </c>
      <c r="AA1033">
        <v>0.69224520694808456</v>
      </c>
      <c r="AB1033" t="str">
        <f>HYPERLINK("Melting_Curves/meltCurve_O00139_2_KIF2A.pdf", "Melting_Curves/meltCurve_O00139_2_KIF2A.pdf")</f>
        <v>Melting_Curves/meltCurve_O00139_2_KIF2A.pdf</v>
      </c>
    </row>
    <row r="1034" spans="1:28" x14ac:dyDescent="0.25">
      <c r="A1034" t="s">
        <v>1038</v>
      </c>
      <c r="B1034">
        <v>0.99930955844802105</v>
      </c>
      <c r="C1034">
        <v>0.54367854852183595</v>
      </c>
      <c r="D1034">
        <v>0.403670081452699</v>
      </c>
      <c r="E1034">
        <v>0.34966068288195701</v>
      </c>
      <c r="F1034">
        <v>0.23924738730560099</v>
      </c>
      <c r="G1034">
        <v>0.15323428146294599</v>
      </c>
      <c r="H1034">
        <v>9.0801084479004104E-2</v>
      </c>
      <c r="I1034">
        <v>7.5066491543221397E-2</v>
      </c>
      <c r="J1034">
        <v>6.1129539739131898E-2</v>
      </c>
      <c r="K1034">
        <v>5.0703027904967703E-2</v>
      </c>
      <c r="L1034">
        <v>556.107891365966</v>
      </c>
      <c r="M1034">
        <v>12.381942736758299</v>
      </c>
      <c r="N1034">
        <v>45.444609491462799</v>
      </c>
      <c r="O1034">
        <v>43.789547788031498</v>
      </c>
      <c r="P1034">
        <v>-6.5936575164703207E-2</v>
      </c>
      <c r="Q1034">
        <v>6.7443099990916702E-2</v>
      </c>
      <c r="R1034">
        <v>0.929034433973011</v>
      </c>
      <c r="S1034" t="s">
        <v>7651</v>
      </c>
      <c r="T1034" t="s">
        <v>13232</v>
      </c>
      <c r="U1034" t="s">
        <v>13232</v>
      </c>
      <c r="V1034" t="s">
        <v>13232</v>
      </c>
      <c r="W1034" t="s">
        <v>14233</v>
      </c>
      <c r="X1034">
        <v>24</v>
      </c>
      <c r="Y1034" t="s">
        <v>20761</v>
      </c>
      <c r="Z1034" t="s">
        <v>27165</v>
      </c>
      <c r="AA1034">
        <v>0.2644814915005832</v>
      </c>
      <c r="AB1034" t="str">
        <f>HYPERLINK("Melting_Curves/meltCurve_O00148_DDX39A.pdf", "Melting_Curves/meltCurve_O00148_DDX39A.pdf")</f>
        <v>Melting_Curves/meltCurve_O00148_DDX39A.pdf</v>
      </c>
    </row>
    <row r="1035" spans="1:28" x14ac:dyDescent="0.25">
      <c r="A1035" t="s">
        <v>1039</v>
      </c>
      <c r="B1035">
        <v>0.99930955844802105</v>
      </c>
      <c r="C1035">
        <v>1.0578769289057099</v>
      </c>
      <c r="D1035">
        <v>1.09130518506828</v>
      </c>
      <c r="E1035">
        <v>1.0672108142660099</v>
      </c>
      <c r="F1035">
        <v>0.92612862705667498</v>
      </c>
      <c r="G1035">
        <v>0.76021979662380901</v>
      </c>
      <c r="H1035">
        <v>0.59152670418575504</v>
      </c>
      <c r="I1035">
        <v>0.59715628660250397</v>
      </c>
      <c r="J1035">
        <v>0.59055719007585805</v>
      </c>
      <c r="K1035">
        <v>0.47058273469676598</v>
      </c>
      <c r="L1035">
        <v>1550.3813984623901</v>
      </c>
      <c r="M1035">
        <v>27.252756189226002</v>
      </c>
      <c r="O1035">
        <v>56.585313607434301</v>
      </c>
      <c r="P1035">
        <v>-5.56149878510852E-2</v>
      </c>
      <c r="Q1035">
        <v>0.53810741815750895</v>
      </c>
      <c r="R1035">
        <v>0.94806018249616097</v>
      </c>
      <c r="S1035" t="s">
        <v>7652</v>
      </c>
      <c r="T1035" t="s">
        <v>13232</v>
      </c>
      <c r="U1035" t="s">
        <v>13232</v>
      </c>
      <c r="V1035" t="s">
        <v>13232</v>
      </c>
      <c r="W1035" t="s">
        <v>14234</v>
      </c>
      <c r="X1035">
        <v>25</v>
      </c>
      <c r="Y1035" t="s">
        <v>20762</v>
      </c>
      <c r="Z1035" t="s">
        <v>27166</v>
      </c>
      <c r="AA1035">
        <v>0.801767015075187</v>
      </c>
      <c r="AB1035" t="str">
        <f>HYPERLINK("Melting_Curves/meltCurve_O00151_PDLIM1.pdf", "Melting_Curves/meltCurve_O00151_PDLIM1.pdf")</f>
        <v>Melting_Curves/meltCurve_O00151_PDLIM1.pdf</v>
      </c>
    </row>
    <row r="1036" spans="1:28" x14ac:dyDescent="0.25">
      <c r="A1036" t="s">
        <v>1040</v>
      </c>
      <c r="B1036">
        <v>0.99930955844802105</v>
      </c>
      <c r="C1036">
        <v>0.97259619924996299</v>
      </c>
      <c r="D1036">
        <v>0.96000305945668296</v>
      </c>
      <c r="E1036">
        <v>0.92854213649322304</v>
      </c>
      <c r="F1036">
        <v>0.91001935483021301</v>
      </c>
      <c r="G1036">
        <v>0.74061559859528303</v>
      </c>
      <c r="H1036">
        <v>0.488150941074244</v>
      </c>
      <c r="I1036">
        <v>0.26203946678706702</v>
      </c>
      <c r="J1036">
        <v>0.103523579617391</v>
      </c>
      <c r="K1036">
        <v>7.2764760393146E-2</v>
      </c>
      <c r="L1036">
        <v>1090.73913209585</v>
      </c>
      <c r="M1036">
        <v>18.067298330640501</v>
      </c>
      <c r="N1036">
        <v>60.3709043503586</v>
      </c>
      <c r="O1036">
        <v>59.645888920073297</v>
      </c>
      <c r="P1036">
        <v>-7.5731024184497495E-2</v>
      </c>
      <c r="Q1036">
        <v>0</v>
      </c>
      <c r="R1036">
        <v>0.994207005994728</v>
      </c>
      <c r="S1036" t="s">
        <v>7653</v>
      </c>
      <c r="T1036" t="s">
        <v>13232</v>
      </c>
      <c r="U1036" t="s">
        <v>13232</v>
      </c>
      <c r="V1036" t="s">
        <v>13232</v>
      </c>
      <c r="W1036" t="s">
        <v>14235</v>
      </c>
      <c r="X1036">
        <v>21</v>
      </c>
      <c r="Y1036" t="s">
        <v>20763</v>
      </c>
      <c r="Z1036" t="s">
        <v>27167</v>
      </c>
      <c r="AA1036">
        <v>0.68629832197812501</v>
      </c>
      <c r="AB1036" t="str">
        <f>HYPERLINK("Melting_Curves/meltCurve_O00154_6_ACOT7.pdf", "Melting_Curves/meltCurve_O00154_6_ACOT7.pdf")</f>
        <v>Melting_Curves/meltCurve_O00154_6_ACOT7.pdf</v>
      </c>
    </row>
    <row r="1037" spans="1:28" x14ac:dyDescent="0.25">
      <c r="A1037" t="s">
        <v>1041</v>
      </c>
      <c r="B1037">
        <v>0.99930955844802105</v>
      </c>
      <c r="C1037">
        <v>1.1936892737348801</v>
      </c>
      <c r="D1037">
        <v>1.04725088680706</v>
      </c>
      <c r="E1037">
        <v>0.897538793286901</v>
      </c>
      <c r="F1037">
        <v>1.03320574639138</v>
      </c>
      <c r="G1037">
        <v>1.0506395094682599</v>
      </c>
      <c r="H1037">
        <v>0.29202155416544201</v>
      </c>
      <c r="I1037">
        <v>0.13209991744060501</v>
      </c>
      <c r="J1037">
        <v>0.105361660368692</v>
      </c>
      <c r="K1037">
        <v>3.7060983622793899E-2</v>
      </c>
      <c r="L1037">
        <v>8252.6371124357393</v>
      </c>
      <c r="M1037">
        <v>136.54839187397101</v>
      </c>
      <c r="N1037">
        <v>60.526826783631499</v>
      </c>
      <c r="O1037">
        <v>60.424493407863203</v>
      </c>
      <c r="P1037">
        <v>-0.51337277043812501</v>
      </c>
      <c r="Q1037">
        <v>9.1302699849885899E-2</v>
      </c>
      <c r="R1037">
        <v>0.97071222921976397</v>
      </c>
      <c r="S1037" t="s">
        <v>7654</v>
      </c>
      <c r="T1037" t="s">
        <v>13232</v>
      </c>
      <c r="U1037" t="s">
        <v>13232</v>
      </c>
      <c r="V1037" t="s">
        <v>13232</v>
      </c>
      <c r="W1037" t="s">
        <v>14236</v>
      </c>
      <c r="X1037">
        <v>3</v>
      </c>
      <c r="Y1037" t="s">
        <v>20764</v>
      </c>
      <c r="Z1037" t="s">
        <v>27168</v>
      </c>
      <c r="AA1037">
        <v>0.7106745780975473</v>
      </c>
      <c r="AB1037" t="str">
        <f>HYPERLINK("Melting_Curves/meltCurve_O00159_MYO1C.pdf", "Melting_Curves/meltCurve_O00159_MYO1C.pdf")</f>
        <v>Melting_Curves/meltCurve_O00159_MYO1C.pdf</v>
      </c>
    </row>
    <row r="1038" spans="1:28" x14ac:dyDescent="0.25">
      <c r="A1038" t="s">
        <v>1042</v>
      </c>
      <c r="B1038">
        <v>0.99930955844802105</v>
      </c>
      <c r="C1038">
        <v>0.97572943805475099</v>
      </c>
      <c r="D1038">
        <v>0.89418513569112601</v>
      </c>
      <c r="E1038">
        <v>0.53331474968654502</v>
      </c>
      <c r="F1038">
        <v>0.21446707089479</v>
      </c>
      <c r="G1038">
        <v>0.160897745568647</v>
      </c>
      <c r="H1038">
        <v>0.115146106820568</v>
      </c>
      <c r="I1038">
        <v>0.10018702276003701</v>
      </c>
      <c r="J1038">
        <v>9.0486191556703302E-2</v>
      </c>
      <c r="K1038">
        <v>7.4353442592423893E-2</v>
      </c>
      <c r="L1038">
        <v>1298.27777783282</v>
      </c>
      <c r="M1038">
        <v>26.105008910253598</v>
      </c>
      <c r="N1038">
        <v>50.140868204077798</v>
      </c>
      <c r="O1038">
        <v>49.443784465941597</v>
      </c>
      <c r="P1038">
        <v>-0.119365840962567</v>
      </c>
      <c r="Q1038">
        <v>9.5677775233239601E-2</v>
      </c>
      <c r="R1038">
        <v>0.99765908998596298</v>
      </c>
      <c r="S1038" t="s">
        <v>7655</v>
      </c>
      <c r="T1038" t="s">
        <v>13232</v>
      </c>
      <c r="U1038" t="s">
        <v>13232</v>
      </c>
      <c r="V1038" t="s">
        <v>13232</v>
      </c>
      <c r="W1038" t="s">
        <v>14237</v>
      </c>
      <c r="X1038">
        <v>25</v>
      </c>
      <c r="Y1038" t="s">
        <v>20765</v>
      </c>
      <c r="Z1038" t="s">
        <v>27169</v>
      </c>
      <c r="AA1038">
        <v>0.39645237224492369</v>
      </c>
      <c r="AB1038" t="str">
        <f>HYPERLINK("Melting_Curves/meltCurve_O00160_MYO1F.pdf", "Melting_Curves/meltCurve_O00160_MYO1F.pdf")</f>
        <v>Melting_Curves/meltCurve_O00160_MYO1F.pdf</v>
      </c>
    </row>
    <row r="1039" spans="1:28" x14ac:dyDescent="0.25">
      <c r="A1039" t="s">
        <v>1043</v>
      </c>
      <c r="B1039">
        <v>0.99930955844802105</v>
      </c>
      <c r="C1039">
        <v>1.0634980772987099</v>
      </c>
      <c r="D1039">
        <v>1.0655972558331299</v>
      </c>
      <c r="E1039">
        <v>1.0615980668582199</v>
      </c>
      <c r="F1039">
        <v>0.89604303995858303</v>
      </c>
      <c r="G1039">
        <v>0.78784214664238705</v>
      </c>
      <c r="H1039">
        <v>0.81904792270647298</v>
      </c>
      <c r="I1039">
        <v>0.858486375832481</v>
      </c>
      <c r="J1039">
        <v>0.82650159352533903</v>
      </c>
      <c r="K1039">
        <v>0.68676030933520005</v>
      </c>
      <c r="L1039">
        <v>13248.1102121397</v>
      </c>
      <c r="M1039">
        <v>250</v>
      </c>
      <c r="O1039">
        <v>52.989050815616999</v>
      </c>
      <c r="P1039">
        <v>-0.24093696859427599</v>
      </c>
      <c r="Q1039">
        <v>0.79572766424576802</v>
      </c>
      <c r="R1039">
        <v>0.81731709425979604</v>
      </c>
      <c r="S1039" t="s">
        <v>7656</v>
      </c>
      <c r="T1039" t="s">
        <v>13232</v>
      </c>
      <c r="U1039" t="s">
        <v>13232</v>
      </c>
      <c r="V1039" t="s">
        <v>13232</v>
      </c>
      <c r="W1039" t="s">
        <v>14238</v>
      </c>
      <c r="X1039">
        <v>18</v>
      </c>
      <c r="Y1039" t="s">
        <v>20766</v>
      </c>
      <c r="Z1039" t="s">
        <v>27170</v>
      </c>
      <c r="AA1039">
        <v>0.88421320306812545</v>
      </c>
      <c r="AB1039" t="str">
        <f>HYPERLINK("Melting_Curves/meltCurve_O00161_SNAP23.pdf", "Melting_Curves/meltCurve_O00161_SNAP23.pdf")</f>
        <v>Melting_Curves/meltCurve_O00161_SNAP23.pdf</v>
      </c>
    </row>
    <row r="1040" spans="1:28" x14ac:dyDescent="0.25">
      <c r="A1040" t="s">
        <v>1044</v>
      </c>
      <c r="B1040">
        <v>0.99930955844802105</v>
      </c>
      <c r="C1040">
        <v>0.70807444158880795</v>
      </c>
      <c r="D1040">
        <v>0.65418644026086004</v>
      </c>
      <c r="E1040">
        <v>0.54950425035174499</v>
      </c>
      <c r="F1040">
        <v>0.441912695977079</v>
      </c>
      <c r="G1040">
        <v>0.35100125904803497</v>
      </c>
      <c r="H1040">
        <v>0.26231790451310399</v>
      </c>
      <c r="I1040">
        <v>0.27622316271720798</v>
      </c>
      <c r="J1040">
        <v>0.27694452744264902</v>
      </c>
      <c r="K1040">
        <v>0.22327154296319199</v>
      </c>
      <c r="L1040">
        <v>456.45566460843298</v>
      </c>
      <c r="M1040">
        <v>9.5630032334776907</v>
      </c>
      <c r="N1040">
        <v>50.536443154543903</v>
      </c>
      <c r="O1040">
        <v>45.784146248902204</v>
      </c>
      <c r="P1040">
        <v>-4.14884943136513E-2</v>
      </c>
      <c r="Q1040">
        <v>0.20593145756477699</v>
      </c>
      <c r="R1040">
        <v>0.95931081636174098</v>
      </c>
      <c r="S1040" t="s">
        <v>7657</v>
      </c>
      <c r="T1040" t="s">
        <v>13232</v>
      </c>
      <c r="U1040" t="s">
        <v>13232</v>
      </c>
      <c r="V1040" t="s">
        <v>13232</v>
      </c>
      <c r="W1040" t="s">
        <v>14239</v>
      </c>
      <c r="X1040">
        <v>3</v>
      </c>
      <c r="Y1040" t="s">
        <v>20767</v>
      </c>
      <c r="Z1040" t="s">
        <v>27171</v>
      </c>
      <c r="AA1040">
        <v>0.45661235558683422</v>
      </c>
      <c r="AB1040" t="str">
        <f>HYPERLINK("Melting_Curves/meltCurve_O00165_5_HAX1.pdf", "Melting_Curves/meltCurve_O00165_5_HAX1.pdf")</f>
        <v>Melting_Curves/meltCurve_O00165_5_HAX1.pdf</v>
      </c>
    </row>
    <row r="1041" spans="1:28" x14ac:dyDescent="0.25">
      <c r="A1041" t="s">
        <v>1045</v>
      </c>
      <c r="B1041">
        <v>0.99930955844802105</v>
      </c>
      <c r="C1041">
        <v>0.94908751434181104</v>
      </c>
      <c r="D1041">
        <v>0.94334493019846499</v>
      </c>
      <c r="E1041">
        <v>0.70795905476634802</v>
      </c>
      <c r="F1041">
        <v>0.33903617923016199</v>
      </c>
      <c r="G1041">
        <v>0.197751816026289</v>
      </c>
      <c r="H1041">
        <v>0.12301085027828999</v>
      </c>
      <c r="I1041">
        <v>0.11618041268580299</v>
      </c>
      <c r="J1041">
        <v>0.100484373509817</v>
      </c>
      <c r="K1041">
        <v>7.8415574829633503E-2</v>
      </c>
      <c r="L1041">
        <v>1301.69868069329</v>
      </c>
      <c r="M1041">
        <v>25.4155352323987</v>
      </c>
      <c r="N1041">
        <v>51.682205358257697</v>
      </c>
      <c r="O1041">
        <v>50.902733487426403</v>
      </c>
      <c r="P1041">
        <v>-0.11205434896368301</v>
      </c>
      <c r="Q1041">
        <v>0.102312699811621</v>
      </c>
      <c r="R1041">
        <v>0.99626102980520403</v>
      </c>
      <c r="S1041" t="s">
        <v>7658</v>
      </c>
      <c r="T1041" t="s">
        <v>13232</v>
      </c>
      <c r="U1041" t="s">
        <v>13232</v>
      </c>
      <c r="V1041" t="s">
        <v>13232</v>
      </c>
      <c r="W1041" t="s">
        <v>14240</v>
      </c>
      <c r="X1041">
        <v>17</v>
      </c>
      <c r="Y1041" t="s">
        <v>20768</v>
      </c>
      <c r="Z1041" t="s">
        <v>27172</v>
      </c>
      <c r="AA1041">
        <v>0.44581783409244591</v>
      </c>
      <c r="AB1041" t="str">
        <f>HYPERLINK("Melting_Curves/meltCurve_O00170_AIP.pdf", "Melting_Curves/meltCurve_O00170_AIP.pdf")</f>
        <v>Melting_Curves/meltCurve_O00170_AIP.pdf</v>
      </c>
    </row>
    <row r="1042" spans="1:28" x14ac:dyDescent="0.25">
      <c r="A1042" t="s">
        <v>1046</v>
      </c>
      <c r="B1042">
        <v>0.99930955844802105</v>
      </c>
      <c r="C1042">
        <v>0.92954095947265203</v>
      </c>
      <c r="D1042">
        <v>0.80354683349815603</v>
      </c>
      <c r="E1042">
        <v>0.45773907286947702</v>
      </c>
      <c r="F1042">
        <v>0.22863601934099601</v>
      </c>
      <c r="G1042">
        <v>0.14510205158423201</v>
      </c>
      <c r="H1042">
        <v>8.8561710019943604E-2</v>
      </c>
      <c r="I1042">
        <v>7.2705876447767798E-2</v>
      </c>
      <c r="J1042">
        <v>6.3263038648821698E-2</v>
      </c>
      <c r="K1042">
        <v>4.7387725367370397E-2</v>
      </c>
      <c r="L1042">
        <v>929.47623609074606</v>
      </c>
      <c r="M1042">
        <v>18.916868730621999</v>
      </c>
      <c r="N1042">
        <v>49.462863902168898</v>
      </c>
      <c r="O1042">
        <v>48.595576639029098</v>
      </c>
      <c r="P1042">
        <v>-9.1583682103672098E-2</v>
      </c>
      <c r="Q1042">
        <v>5.8960288474398298E-2</v>
      </c>
      <c r="R1042">
        <v>0.99886458650835996</v>
      </c>
      <c r="S1042" t="s">
        <v>7659</v>
      </c>
      <c r="T1042" t="s">
        <v>13232</v>
      </c>
      <c r="U1042" t="s">
        <v>13232</v>
      </c>
      <c r="V1042" t="s">
        <v>13232</v>
      </c>
      <c r="W1042" t="s">
        <v>14241</v>
      </c>
      <c r="X1042">
        <v>17</v>
      </c>
      <c r="Y1042" t="s">
        <v>20769</v>
      </c>
      <c r="Z1042" t="s">
        <v>27173</v>
      </c>
      <c r="AA1042">
        <v>0.36022728417494321</v>
      </c>
      <c r="AB1042" t="str">
        <f>HYPERLINK("Melting_Curves/meltCurve_O00178_GTPBP1.pdf", "Melting_Curves/meltCurve_O00178_GTPBP1.pdf")</f>
        <v>Melting_Curves/meltCurve_O00178_GTPBP1.pdf</v>
      </c>
    </row>
    <row r="1043" spans="1:28" x14ac:dyDescent="0.25">
      <c r="A1043" t="s">
        <v>1047</v>
      </c>
      <c r="B1043">
        <v>0.99930955844802105</v>
      </c>
      <c r="C1043">
        <v>0.82825496419335098</v>
      </c>
      <c r="D1043">
        <v>0.62920409742963201</v>
      </c>
      <c r="E1043">
        <v>0.50922130689230605</v>
      </c>
      <c r="F1043">
        <v>0.29437941154423902</v>
      </c>
      <c r="G1043">
        <v>0.18223849408953999</v>
      </c>
      <c r="H1043">
        <v>9.4228699687167905E-2</v>
      </c>
      <c r="I1043">
        <v>5.9853797624782899E-2</v>
      </c>
      <c r="J1043">
        <v>5.1476197050934702E-2</v>
      </c>
      <c r="K1043">
        <v>4.0419254515968103E-2</v>
      </c>
      <c r="L1043">
        <v>555.39589619739399</v>
      </c>
      <c r="M1043">
        <v>11.2859097280864</v>
      </c>
      <c r="N1043">
        <v>49.218851060413101</v>
      </c>
      <c r="O1043">
        <v>47.7423063535445</v>
      </c>
      <c r="P1043">
        <v>-5.9065986477170498E-2</v>
      </c>
      <c r="Q1043">
        <v>8.47986297110547E-4</v>
      </c>
      <c r="R1043">
        <v>0.98967716654233795</v>
      </c>
      <c r="S1043" t="s">
        <v>7660</v>
      </c>
      <c r="T1043" t="s">
        <v>13232</v>
      </c>
      <c r="U1043" t="s">
        <v>13232</v>
      </c>
      <c r="V1043" t="s">
        <v>13232</v>
      </c>
      <c r="W1043" t="s">
        <v>14242</v>
      </c>
      <c r="X1043">
        <v>4</v>
      </c>
      <c r="Y1043" t="s">
        <v>20770</v>
      </c>
      <c r="Z1043" t="s">
        <v>27174</v>
      </c>
      <c r="AA1043">
        <v>0.34766183921205229</v>
      </c>
      <c r="AB1043" t="str">
        <f>HYPERLINK("Melting_Curves/meltCurve_O00186_STXBP3.pdf", "Melting_Curves/meltCurve_O00186_STXBP3.pdf")</f>
        <v>Melting_Curves/meltCurve_O00186_STXBP3.pdf</v>
      </c>
    </row>
    <row r="1044" spans="1:28" x14ac:dyDescent="0.25">
      <c r="A1044" t="s">
        <v>1048</v>
      </c>
      <c r="B1044">
        <v>0.99930955844802105</v>
      </c>
      <c r="C1044">
        <v>1.01257110802853</v>
      </c>
      <c r="D1044">
        <v>1.0106518111963101</v>
      </c>
      <c r="E1044">
        <v>0.69748161559366295</v>
      </c>
      <c r="F1044">
        <v>0.328683340773328</v>
      </c>
      <c r="G1044">
        <v>0.12981351466029001</v>
      </c>
      <c r="H1044">
        <v>0.101924073938295</v>
      </c>
      <c r="I1044">
        <v>7.3771870199751996E-2</v>
      </c>
      <c r="J1044">
        <v>2.82440192071245E-2</v>
      </c>
      <c r="K1044">
        <v>5.0646750402783103E-2</v>
      </c>
      <c r="L1044">
        <v>1501.2285868958199</v>
      </c>
      <c r="M1044">
        <v>29.240650369643799</v>
      </c>
      <c r="N1044">
        <v>51.580418161584397</v>
      </c>
      <c r="O1044">
        <v>51.102136396900697</v>
      </c>
      <c r="P1044">
        <v>-0.133954317941126</v>
      </c>
      <c r="Q1044">
        <v>6.3590949535915306E-2</v>
      </c>
      <c r="R1044">
        <v>0.99723389607813595</v>
      </c>
      <c r="S1044" t="s">
        <v>7661</v>
      </c>
      <c r="T1044" t="s">
        <v>13232</v>
      </c>
      <c r="U1044" t="s">
        <v>13232</v>
      </c>
      <c r="V1044" t="s">
        <v>13232</v>
      </c>
      <c r="W1044" t="s">
        <v>14243</v>
      </c>
      <c r="X1044">
        <v>3</v>
      </c>
      <c r="Y1044" t="s">
        <v>20771</v>
      </c>
      <c r="Z1044" t="s">
        <v>27175</v>
      </c>
      <c r="AA1044">
        <v>0.4237990872337129</v>
      </c>
      <c r="AB1044" t="str">
        <f>HYPERLINK("Melting_Curves/meltCurve_O00213_3_APBB1.pdf", "Melting_Curves/meltCurve_O00213_3_APBB1.pdf")</f>
        <v>Melting_Curves/meltCurve_O00213_3_APBB1.pdf</v>
      </c>
    </row>
    <row r="1045" spans="1:28" x14ac:dyDescent="0.25">
      <c r="A1045" t="s">
        <v>1049</v>
      </c>
      <c r="B1045">
        <v>0.99930955844802105</v>
      </c>
      <c r="C1045">
        <v>1.01388122248255</v>
      </c>
      <c r="D1045">
        <v>0.97555204204150803</v>
      </c>
      <c r="E1045">
        <v>0.82854504027665299</v>
      </c>
      <c r="F1045">
        <v>0.39643270030460798</v>
      </c>
      <c r="G1045">
        <v>0.25881213440775902</v>
      </c>
      <c r="H1045">
        <v>0.18770987196144501</v>
      </c>
      <c r="I1045">
        <v>0.180894817709045</v>
      </c>
      <c r="J1045">
        <v>0.173596036222602</v>
      </c>
      <c r="K1045">
        <v>0.12683651224439199</v>
      </c>
      <c r="L1045">
        <v>1874.33044050698</v>
      </c>
      <c r="M1045">
        <v>36.253769734831998</v>
      </c>
      <c r="N1045">
        <v>52.329406377545702</v>
      </c>
      <c r="O1045">
        <v>51.543745037113901</v>
      </c>
      <c r="P1045">
        <v>-0.14477984848938499</v>
      </c>
      <c r="Q1045">
        <v>0.176640411931174</v>
      </c>
      <c r="R1045">
        <v>0.99512611582114296</v>
      </c>
      <c r="S1045" t="s">
        <v>7662</v>
      </c>
      <c r="T1045" t="s">
        <v>13232</v>
      </c>
      <c r="U1045" t="s">
        <v>13232</v>
      </c>
      <c r="V1045" t="s">
        <v>13232</v>
      </c>
      <c r="W1045" t="s">
        <v>14244</v>
      </c>
      <c r="X1045">
        <v>8</v>
      </c>
      <c r="Y1045" t="s">
        <v>20772</v>
      </c>
      <c r="Z1045" t="s">
        <v>27176</v>
      </c>
      <c r="AA1045">
        <v>0.50134317858193955</v>
      </c>
      <c r="AB1045" t="str">
        <f>HYPERLINK("Melting_Curves/meltCurve_O00221_NFKBIE.pdf", "Melting_Curves/meltCurve_O00221_NFKBIE.pdf")</f>
        <v>Melting_Curves/meltCurve_O00221_NFKBIE.pdf</v>
      </c>
    </row>
    <row r="1046" spans="1:28" x14ac:dyDescent="0.25">
      <c r="A1046" t="s">
        <v>1050</v>
      </c>
      <c r="B1046">
        <v>0.99930955844802105</v>
      </c>
      <c r="C1046">
        <v>0.62124098677462003</v>
      </c>
      <c r="D1046">
        <v>0.69482619753608599</v>
      </c>
      <c r="E1046">
        <v>0.65132228477585197</v>
      </c>
      <c r="F1046">
        <v>0.25720115869733901</v>
      </c>
      <c r="G1046">
        <v>0.15455955287062301</v>
      </c>
      <c r="H1046">
        <v>7.3817593405944806E-2</v>
      </c>
      <c r="I1046">
        <v>5.8983212254006101E-2</v>
      </c>
      <c r="J1046">
        <v>4.8841880602747301E-2</v>
      </c>
      <c r="K1046">
        <v>3.8670662564387198E-2</v>
      </c>
      <c r="L1046">
        <v>514.81914900871595</v>
      </c>
      <c r="M1046">
        <v>10.452212048968899</v>
      </c>
      <c r="N1046">
        <v>49.254571355664801</v>
      </c>
      <c r="O1046">
        <v>47.554023917732202</v>
      </c>
      <c r="P1046">
        <v>-5.4971708046422298E-2</v>
      </c>
      <c r="Q1046">
        <v>0</v>
      </c>
      <c r="R1046">
        <v>0.91535448820685705</v>
      </c>
      <c r="S1046" t="s">
        <v>7663</v>
      </c>
      <c r="T1046" t="s">
        <v>13232</v>
      </c>
      <c r="U1046" t="s">
        <v>13232</v>
      </c>
      <c r="V1046" t="s">
        <v>13232</v>
      </c>
      <c r="W1046" t="s">
        <v>14245</v>
      </c>
      <c r="X1046">
        <v>24</v>
      </c>
      <c r="Y1046" t="s">
        <v>20773</v>
      </c>
      <c r="Z1046" t="s">
        <v>27177</v>
      </c>
      <c r="AA1046">
        <v>0.35343813543069319</v>
      </c>
      <c r="AB1046" t="str">
        <f>HYPERLINK("Melting_Curves/meltCurve_O00231_PSMD11.pdf", "Melting_Curves/meltCurve_O00231_PSMD11.pdf")</f>
        <v>Melting_Curves/meltCurve_O00231_PSMD11.pdf</v>
      </c>
    </row>
    <row r="1047" spans="1:28" x14ac:dyDescent="0.25">
      <c r="A1047" t="s">
        <v>1051</v>
      </c>
      <c r="B1047">
        <v>0.99930955844802105</v>
      </c>
      <c r="C1047">
        <v>0.62546285781894195</v>
      </c>
      <c r="D1047">
        <v>0.695197486484882</v>
      </c>
      <c r="E1047">
        <v>0.645417173177119</v>
      </c>
      <c r="F1047">
        <v>0.249797027066123</v>
      </c>
      <c r="G1047">
        <v>0.14999390073476701</v>
      </c>
      <c r="H1047">
        <v>7.2014517333882894E-2</v>
      </c>
      <c r="I1047">
        <v>5.74683580782199E-2</v>
      </c>
      <c r="J1047">
        <v>4.8242094188386403E-2</v>
      </c>
      <c r="K1047">
        <v>3.6781431328818899E-2</v>
      </c>
      <c r="L1047">
        <v>520.35007759118503</v>
      </c>
      <c r="M1047">
        <v>10.5760518434441</v>
      </c>
      <c r="N1047">
        <v>49.200794137171599</v>
      </c>
      <c r="O1047">
        <v>47.539464707700603</v>
      </c>
      <c r="P1047">
        <v>-5.5639048606280203E-2</v>
      </c>
      <c r="Q1047">
        <v>0</v>
      </c>
      <c r="R1047">
        <v>0.91789422681350696</v>
      </c>
      <c r="S1047" t="s">
        <v>7664</v>
      </c>
      <c r="T1047" t="s">
        <v>13232</v>
      </c>
      <c r="U1047" t="s">
        <v>13232</v>
      </c>
      <c r="V1047" t="s">
        <v>13232</v>
      </c>
      <c r="W1047" t="s">
        <v>14246</v>
      </c>
      <c r="X1047">
        <v>31</v>
      </c>
      <c r="Y1047" t="s">
        <v>20774</v>
      </c>
      <c r="Z1047" t="s">
        <v>27178</v>
      </c>
      <c r="AA1047">
        <v>0.35103135424377158</v>
      </c>
      <c r="AB1047" t="str">
        <f>HYPERLINK("Melting_Curves/meltCurve_O00232_PSMD12.pdf", "Melting_Curves/meltCurve_O00232_PSMD12.pdf")</f>
        <v>Melting_Curves/meltCurve_O00232_PSMD12.pdf</v>
      </c>
    </row>
    <row r="1048" spans="1:28" x14ac:dyDescent="0.25">
      <c r="A1048" t="s">
        <v>1052</v>
      </c>
      <c r="B1048">
        <v>0.99930955844802105</v>
      </c>
      <c r="C1048">
        <v>0.94640467372678905</v>
      </c>
      <c r="D1048">
        <v>0.95001665721195705</v>
      </c>
      <c r="E1048">
        <v>0.893720822826504</v>
      </c>
      <c r="F1048">
        <v>0.70915533457754498</v>
      </c>
      <c r="G1048">
        <v>0.61468840037115402</v>
      </c>
      <c r="H1048">
        <v>0.57740273092122096</v>
      </c>
      <c r="I1048">
        <v>0.56520985921338696</v>
      </c>
      <c r="J1048">
        <v>0.53048317398383205</v>
      </c>
      <c r="K1048">
        <v>0.39706106714594203</v>
      </c>
      <c r="L1048">
        <v>586.19487243303399</v>
      </c>
      <c r="M1048">
        <v>10.7119558127036</v>
      </c>
      <c r="N1048">
        <v>65.620572954867598</v>
      </c>
      <c r="O1048">
        <v>52.919692367506798</v>
      </c>
      <c r="P1048">
        <v>-2.9585251076113001E-2</v>
      </c>
      <c r="Q1048">
        <v>0.415584736147875</v>
      </c>
      <c r="R1048">
        <v>0.96045332769622405</v>
      </c>
      <c r="S1048" t="s">
        <v>7665</v>
      </c>
      <c r="T1048" t="s">
        <v>13232</v>
      </c>
      <c r="U1048" t="s">
        <v>13232</v>
      </c>
      <c r="V1048" t="s">
        <v>13232</v>
      </c>
      <c r="W1048" t="s">
        <v>13583</v>
      </c>
      <c r="X1048">
        <v>9</v>
      </c>
      <c r="Y1048" t="s">
        <v>20121</v>
      </c>
      <c r="Z1048" t="s">
        <v>27179</v>
      </c>
      <c r="AA1048">
        <v>0.71768170728465253</v>
      </c>
      <c r="AB1048" t="str">
        <f>HYPERLINK("Melting_Curves/meltCurve_O00244_ATOX1.pdf", "Melting_Curves/meltCurve_O00244_ATOX1.pdf")</f>
        <v>Melting_Curves/meltCurve_O00244_ATOX1.pdf</v>
      </c>
    </row>
    <row r="1049" spans="1:28" x14ac:dyDescent="0.25">
      <c r="A1049" t="s">
        <v>1053</v>
      </c>
      <c r="B1049">
        <v>0.99930955844802105</v>
      </c>
      <c r="C1049">
        <v>0.88749972136390298</v>
      </c>
      <c r="D1049">
        <v>0.64838002195435296</v>
      </c>
      <c r="E1049">
        <v>0.483066439361309</v>
      </c>
      <c r="F1049">
        <v>0.34364167353900998</v>
      </c>
      <c r="G1049">
        <v>0.24098564796460101</v>
      </c>
      <c r="H1049">
        <v>0.19179407061057999</v>
      </c>
      <c r="I1049">
        <v>0.12952000409172801</v>
      </c>
      <c r="J1049">
        <v>0.139841441345087</v>
      </c>
      <c r="K1049">
        <v>9.8923049708475999E-2</v>
      </c>
      <c r="L1049">
        <v>614.98551640734797</v>
      </c>
      <c r="M1049">
        <v>12.656996578651301</v>
      </c>
      <c r="N1049">
        <v>49.519264111536003</v>
      </c>
      <c r="O1049">
        <v>47.423565147029201</v>
      </c>
      <c r="P1049">
        <v>-5.9672101220056603E-2</v>
      </c>
      <c r="Q1049">
        <v>0.10585133160783</v>
      </c>
      <c r="R1049">
        <v>0.99076040027989198</v>
      </c>
      <c r="S1049" t="s">
        <v>7666</v>
      </c>
      <c r="T1049" t="s">
        <v>13232</v>
      </c>
      <c r="U1049" t="s">
        <v>13232</v>
      </c>
      <c r="V1049" t="s">
        <v>13232</v>
      </c>
      <c r="W1049" t="s">
        <v>14247</v>
      </c>
      <c r="X1049">
        <v>7</v>
      </c>
      <c r="Y1049" t="s">
        <v>20775</v>
      </c>
      <c r="Z1049" t="s">
        <v>27180</v>
      </c>
      <c r="AA1049">
        <v>0.39253691386248651</v>
      </c>
      <c r="AB1049" t="str">
        <f>HYPERLINK("Melting_Curves/meltCurve_O00255_2_MEN1.pdf", "Melting_Curves/meltCurve_O00255_2_MEN1.pdf")</f>
        <v>Melting_Curves/meltCurve_O00255_2_MEN1.pdf</v>
      </c>
    </row>
    <row r="1050" spans="1:28" x14ac:dyDescent="0.25">
      <c r="A1050" t="s">
        <v>1054</v>
      </c>
      <c r="B1050">
        <v>0.99930955844802105</v>
      </c>
      <c r="C1050">
        <v>1.18678640873165</v>
      </c>
      <c r="D1050">
        <v>1.1387327774990199</v>
      </c>
      <c r="E1050">
        <v>1.1350042216679099</v>
      </c>
      <c r="F1050">
        <v>1.0596002618300899</v>
      </c>
      <c r="G1050">
        <v>0.97301873711263998</v>
      </c>
      <c r="H1050">
        <v>1.1645254052590801</v>
      </c>
      <c r="I1050">
        <v>1.3936157829315099</v>
      </c>
      <c r="J1050">
        <v>1.4392529807691801</v>
      </c>
      <c r="K1050">
        <v>1.08981139141845</v>
      </c>
      <c r="L1050">
        <v>215.67880289538201</v>
      </c>
      <c r="M1050">
        <v>3.1402241541120799</v>
      </c>
      <c r="O1050">
        <v>51.576699314011599</v>
      </c>
      <c r="P1050">
        <v>7.8164260199603298E-3</v>
      </c>
      <c r="Q1050">
        <v>1.5</v>
      </c>
      <c r="R1050">
        <v>0.21480138073035501</v>
      </c>
      <c r="S1050" t="s">
        <v>7667</v>
      </c>
      <c r="T1050" t="s">
        <v>13232</v>
      </c>
      <c r="U1050" t="s">
        <v>13232</v>
      </c>
      <c r="V1050" t="s">
        <v>13232</v>
      </c>
      <c r="W1050" t="s">
        <v>14248</v>
      </c>
      <c r="X1050">
        <v>17</v>
      </c>
      <c r="Y1050" t="s">
        <v>20776</v>
      </c>
      <c r="Z1050" t="s">
        <v>27181</v>
      </c>
      <c r="AA1050">
        <v>1.1550217416803401</v>
      </c>
      <c r="AB1050" t="str">
        <f>HYPERLINK("Melting_Curves/meltCurve_O00257_CBX4.pdf", "Melting_Curves/meltCurve_O00257_CBX4.pdf")</f>
        <v>Melting_Curves/meltCurve_O00257_CBX4.pdf</v>
      </c>
    </row>
    <row r="1051" spans="1:28" x14ac:dyDescent="0.25">
      <c r="A1051" t="s">
        <v>1055</v>
      </c>
      <c r="B1051">
        <v>0.99930955844802105</v>
      </c>
      <c r="C1051">
        <v>0.73346144990152695</v>
      </c>
      <c r="D1051">
        <v>0.59451386349268998</v>
      </c>
      <c r="E1051">
        <v>0.63943748430103098</v>
      </c>
      <c r="F1051">
        <v>0.45645739416897901</v>
      </c>
      <c r="G1051">
        <v>0.24892367977418001</v>
      </c>
      <c r="H1051">
        <v>0.19461822398437001</v>
      </c>
      <c r="I1051">
        <v>0.15786519284571601</v>
      </c>
      <c r="J1051">
        <v>0.14388187952141199</v>
      </c>
      <c r="K1051">
        <v>0.105278009939273</v>
      </c>
      <c r="L1051">
        <v>397.82550936242598</v>
      </c>
      <c r="M1051">
        <v>7.8297602826619599</v>
      </c>
      <c r="N1051">
        <v>50.8093995849134</v>
      </c>
      <c r="O1051">
        <v>47.814890337657197</v>
      </c>
      <c r="P1051">
        <v>-4.0988043560767198E-2</v>
      </c>
      <c r="Q1051">
        <v>0</v>
      </c>
      <c r="R1051">
        <v>0.94854257990419899</v>
      </c>
      <c r="S1051" t="s">
        <v>7668</v>
      </c>
      <c r="T1051" t="s">
        <v>13232</v>
      </c>
      <c r="U1051" t="s">
        <v>13232</v>
      </c>
      <c r="V1051" t="s">
        <v>13232</v>
      </c>
      <c r="W1051" t="s">
        <v>14249</v>
      </c>
      <c r="X1051">
        <v>4</v>
      </c>
      <c r="Y1051" t="s">
        <v>20777</v>
      </c>
      <c r="Z1051" t="s">
        <v>27182</v>
      </c>
      <c r="AA1051">
        <v>0.41609243657705242</v>
      </c>
      <c r="AB1051" t="str">
        <f>HYPERLINK("Melting_Curves/meltCurve_O00264_PGRMC1.pdf", "Melting_Curves/meltCurve_O00264_PGRMC1.pdf")</f>
        <v>Melting_Curves/meltCurve_O00264_PGRMC1.pdf</v>
      </c>
    </row>
    <row r="1052" spans="1:28" x14ac:dyDescent="0.25">
      <c r="A1052" t="s">
        <v>1056</v>
      </c>
      <c r="B1052">
        <v>0.99930955844802105</v>
      </c>
      <c r="C1052">
        <v>0.96382550746333995</v>
      </c>
      <c r="D1052">
        <v>0.94386381198354796</v>
      </c>
      <c r="E1052">
        <v>0.89163736843918995</v>
      </c>
      <c r="F1052">
        <v>0.76391272788135001</v>
      </c>
      <c r="G1052">
        <v>0.64694614780191795</v>
      </c>
      <c r="H1052">
        <v>0.58331792167435204</v>
      </c>
      <c r="I1052">
        <v>0.61434011267208</v>
      </c>
      <c r="J1052">
        <v>0.54249305684757498</v>
      </c>
      <c r="K1052">
        <v>0.43809836616839598</v>
      </c>
      <c r="L1052">
        <v>559.96116292770603</v>
      </c>
      <c r="M1052">
        <v>10.0686354078556</v>
      </c>
      <c r="N1052">
        <v>68.914534090123198</v>
      </c>
      <c r="O1052">
        <v>53.554252706438</v>
      </c>
      <c r="P1052">
        <v>-2.6880184761947E-2</v>
      </c>
      <c r="Q1052">
        <v>0.42837690869345901</v>
      </c>
      <c r="R1052">
        <v>0.97038827940580996</v>
      </c>
      <c r="S1052" t="s">
        <v>7669</v>
      </c>
      <c r="T1052" t="s">
        <v>13232</v>
      </c>
      <c r="U1052" t="s">
        <v>13232</v>
      </c>
      <c r="V1052" t="s">
        <v>13232</v>
      </c>
      <c r="W1052" t="s">
        <v>14250</v>
      </c>
      <c r="X1052">
        <v>18</v>
      </c>
      <c r="Y1052" t="s">
        <v>20778</v>
      </c>
      <c r="Z1052" t="s">
        <v>27183</v>
      </c>
      <c r="AA1052">
        <v>0.73902544929419778</v>
      </c>
      <c r="AB1052" t="str">
        <f>HYPERLINK("Melting_Curves/meltCurve_O00268_TAF4.pdf", "Melting_Curves/meltCurve_O00268_TAF4.pdf")</f>
        <v>Melting_Curves/meltCurve_O00268_TAF4.pdf</v>
      </c>
    </row>
    <row r="1053" spans="1:28" x14ac:dyDescent="0.25">
      <c r="A1053" t="s">
        <v>1057</v>
      </c>
      <c r="B1053">
        <v>0.99930955844802105</v>
      </c>
      <c r="C1053">
        <v>1.04221541009598</v>
      </c>
      <c r="D1053">
        <v>1.0213981810678401</v>
      </c>
      <c r="E1053">
        <v>0.90230006200004198</v>
      </c>
      <c r="F1053">
        <v>0.78728203229927396</v>
      </c>
      <c r="G1053">
        <v>0.67499293115296499</v>
      </c>
      <c r="H1053">
        <v>0.65567618075348999</v>
      </c>
      <c r="I1053">
        <v>0.68609375613926404</v>
      </c>
      <c r="J1053">
        <v>0.70416191343322798</v>
      </c>
      <c r="K1053">
        <v>0.550348193477602</v>
      </c>
      <c r="L1053">
        <v>1395.0755582459301</v>
      </c>
      <c r="M1053">
        <v>26.776034555587099</v>
      </c>
      <c r="O1053">
        <v>51.813641194707799</v>
      </c>
      <c r="P1053">
        <v>-4.5762067955487998E-2</v>
      </c>
      <c r="Q1053">
        <v>0.64579145188226506</v>
      </c>
      <c r="R1053">
        <v>0.93931461500905</v>
      </c>
      <c r="S1053" t="s">
        <v>7670</v>
      </c>
      <c r="T1053" t="s">
        <v>13232</v>
      </c>
      <c r="U1053" t="s">
        <v>13232</v>
      </c>
      <c r="V1053" t="s">
        <v>13232</v>
      </c>
      <c r="W1053" t="s">
        <v>14251</v>
      </c>
      <c r="X1053">
        <v>18</v>
      </c>
      <c r="Y1053" t="s">
        <v>20779</v>
      </c>
      <c r="Z1053" t="s">
        <v>27184</v>
      </c>
      <c r="AA1053">
        <v>0.79150933683269986</v>
      </c>
      <c r="AB1053" t="str">
        <f>HYPERLINK("Melting_Curves/meltCurve_O00273_DFFA.pdf", "Melting_Curves/meltCurve_O00273_DFFA.pdf")</f>
        <v>Melting_Curves/meltCurve_O00273_DFFA.pdf</v>
      </c>
    </row>
    <row r="1054" spans="1:28" x14ac:dyDescent="0.25">
      <c r="A1054" t="s">
        <v>1058</v>
      </c>
      <c r="B1054">
        <v>0.99930955844802105</v>
      </c>
      <c r="C1054">
        <v>0.95418358461351305</v>
      </c>
      <c r="D1054">
        <v>0.93795422058507505</v>
      </c>
      <c r="E1054">
        <v>0.85629824618139905</v>
      </c>
      <c r="F1054">
        <v>0.57846418849844095</v>
      </c>
      <c r="G1054">
        <v>0.47569225301745499</v>
      </c>
      <c r="H1054">
        <v>0.37446867613722301</v>
      </c>
      <c r="I1054">
        <v>0.411804147629665</v>
      </c>
      <c r="J1054">
        <v>0.37897542069757101</v>
      </c>
      <c r="K1054">
        <v>0.30174547153745301</v>
      </c>
      <c r="L1054">
        <v>1055.60562644629</v>
      </c>
      <c r="M1054">
        <v>20.238255231913001</v>
      </c>
      <c r="N1054">
        <v>55.5238844796488</v>
      </c>
      <c r="O1054">
        <v>51.657681106153198</v>
      </c>
      <c r="P1054">
        <v>-6.3338115143715901E-2</v>
      </c>
      <c r="Q1054">
        <v>0.35334374108869498</v>
      </c>
      <c r="R1054">
        <v>0.98242299534149902</v>
      </c>
      <c r="S1054" t="s">
        <v>7671</v>
      </c>
      <c r="T1054" t="s">
        <v>13232</v>
      </c>
      <c r="U1054" t="s">
        <v>13232</v>
      </c>
      <c r="V1054" t="s">
        <v>13232</v>
      </c>
      <c r="W1054" t="s">
        <v>14252</v>
      </c>
      <c r="X1054">
        <v>14</v>
      </c>
      <c r="Y1054" t="s">
        <v>20779</v>
      </c>
      <c r="Z1054" t="s">
        <v>27185</v>
      </c>
      <c r="AA1054">
        <v>0.62418759530466161</v>
      </c>
      <c r="AB1054" t="str">
        <f>HYPERLINK("Melting_Curves/meltCurve_O00273_2_DFFA.pdf", "Melting_Curves/meltCurve_O00273_2_DFFA.pdf")</f>
        <v>Melting_Curves/meltCurve_O00273_2_DFFA.pdf</v>
      </c>
    </row>
    <row r="1055" spans="1:28" x14ac:dyDescent="0.25">
      <c r="A1055" t="s">
        <v>1059</v>
      </c>
      <c r="B1055">
        <v>0.99930955844802105</v>
      </c>
      <c r="C1055">
        <v>1.04459109381365</v>
      </c>
      <c r="D1055">
        <v>1.04706032906608</v>
      </c>
      <c r="E1055">
        <v>1.12469091366782</v>
      </c>
      <c r="F1055">
        <v>0.99810690046678796</v>
      </c>
      <c r="G1055">
        <v>0.86797653058872204</v>
      </c>
      <c r="H1055">
        <v>0.84028806474074602</v>
      </c>
      <c r="I1055">
        <v>0.92437918267090602</v>
      </c>
      <c r="J1055">
        <v>0.84311664432320399</v>
      </c>
      <c r="K1055">
        <v>0.768927023439827</v>
      </c>
      <c r="L1055">
        <v>5065.5493933991402</v>
      </c>
      <c r="M1055">
        <v>90.583599828927603</v>
      </c>
      <c r="O1055">
        <v>55.894025185547697</v>
      </c>
      <c r="P1055">
        <v>-6.3138583981972293E-2</v>
      </c>
      <c r="Q1055">
        <v>0.84416299029360897</v>
      </c>
      <c r="R1055">
        <v>0.72786473178761901</v>
      </c>
      <c r="S1055" t="s">
        <v>7672</v>
      </c>
      <c r="T1055" t="s">
        <v>13232</v>
      </c>
      <c r="U1055" t="s">
        <v>13232</v>
      </c>
      <c r="V1055" t="s">
        <v>13232</v>
      </c>
      <c r="W1055" t="s">
        <v>14253</v>
      </c>
      <c r="X1055">
        <v>7</v>
      </c>
      <c r="Y1055" t="s">
        <v>20780</v>
      </c>
      <c r="Z1055" t="s">
        <v>27186</v>
      </c>
      <c r="AA1055">
        <v>0.92698372688540054</v>
      </c>
      <c r="AB1055" t="str">
        <f>HYPERLINK("Melting_Curves/meltCurve_O00287_RFXAP.pdf", "Melting_Curves/meltCurve_O00287_RFXAP.pdf")</f>
        <v>Melting_Curves/meltCurve_O00287_RFXAP.pdf</v>
      </c>
    </row>
    <row r="1056" spans="1:28" x14ac:dyDescent="0.25">
      <c r="A1056" t="s">
        <v>1060</v>
      </c>
      <c r="B1056">
        <v>0.99930955844802105</v>
      </c>
      <c r="C1056">
        <v>1.0278218814320801</v>
      </c>
      <c r="D1056">
        <v>0.99020703579381797</v>
      </c>
      <c r="E1056">
        <v>0.84385268230925203</v>
      </c>
      <c r="F1056">
        <v>0.373560514214269</v>
      </c>
      <c r="G1056">
        <v>0.23779170451908299</v>
      </c>
      <c r="H1056">
        <v>0.171847372322459</v>
      </c>
      <c r="I1056">
        <v>0.17028686471829699</v>
      </c>
      <c r="J1056">
        <v>0.16581051975199501</v>
      </c>
      <c r="K1056">
        <v>0.149059762639035</v>
      </c>
      <c r="L1056">
        <v>2194.6584680738702</v>
      </c>
      <c r="M1056">
        <v>42.488875014465997</v>
      </c>
      <c r="N1056">
        <v>52.178691881232602</v>
      </c>
      <c r="O1056">
        <v>51.538518375824196</v>
      </c>
      <c r="P1056">
        <v>-0.17019212343303999</v>
      </c>
      <c r="Q1056">
        <v>0.174236966401798</v>
      </c>
      <c r="R1056">
        <v>0.99715380709708801</v>
      </c>
      <c r="S1056" t="s">
        <v>7673</v>
      </c>
      <c r="T1056" t="s">
        <v>13232</v>
      </c>
      <c r="U1056" t="s">
        <v>13232</v>
      </c>
      <c r="V1056" t="s">
        <v>13232</v>
      </c>
      <c r="W1056" t="s">
        <v>14254</v>
      </c>
      <c r="X1056">
        <v>5</v>
      </c>
      <c r="Y1056" t="s">
        <v>20781</v>
      </c>
      <c r="Z1056" t="s">
        <v>27187</v>
      </c>
      <c r="AA1056">
        <v>0.49758851775372548</v>
      </c>
      <c r="AB1056" t="str">
        <f>HYPERLINK("Melting_Curves/meltCurve_O00291_3_HIP1.pdf", "Melting_Curves/meltCurve_O00291_3_HIP1.pdf")</f>
        <v>Melting_Curves/meltCurve_O00291_3_HIP1.pdf</v>
      </c>
    </row>
    <row r="1057" spans="1:28" x14ac:dyDescent="0.25">
      <c r="A1057" t="s">
        <v>1061</v>
      </c>
      <c r="B1057">
        <v>0.99930955844802105</v>
      </c>
      <c r="C1057">
        <v>1.07461128658881</v>
      </c>
      <c r="D1057">
        <v>1.0325523210551899</v>
      </c>
      <c r="E1057">
        <v>1.00296419037993</v>
      </c>
      <c r="F1057">
        <v>0.59609265438759795</v>
      </c>
      <c r="G1057">
        <v>0.152122321847806</v>
      </c>
      <c r="H1057">
        <v>8.3080693858889706E-2</v>
      </c>
      <c r="I1057">
        <v>5.9764430094334603E-2</v>
      </c>
      <c r="J1057">
        <v>5.0639077700877402E-2</v>
      </c>
      <c r="K1057">
        <v>4.03741003888567E-2</v>
      </c>
      <c r="L1057">
        <v>2334.3043809588999</v>
      </c>
      <c r="M1057">
        <v>43.6934299715207</v>
      </c>
      <c r="N1057">
        <v>53.591250120153497</v>
      </c>
      <c r="O1057">
        <v>53.313061682036697</v>
      </c>
      <c r="P1057">
        <v>-0.19187478691554299</v>
      </c>
      <c r="Q1057">
        <v>6.3528087991931798E-2</v>
      </c>
      <c r="R1057">
        <v>0.99446345765263899</v>
      </c>
      <c r="S1057" t="s">
        <v>7674</v>
      </c>
      <c r="T1057" t="s">
        <v>13232</v>
      </c>
      <c r="U1057" t="s">
        <v>13232</v>
      </c>
      <c r="V1057" t="s">
        <v>13232</v>
      </c>
      <c r="W1057" t="s">
        <v>14255</v>
      </c>
      <c r="X1057">
        <v>17</v>
      </c>
      <c r="Y1057" t="s">
        <v>20782</v>
      </c>
      <c r="Z1057" t="s">
        <v>27188</v>
      </c>
      <c r="AA1057">
        <v>0.48547978679150749</v>
      </c>
      <c r="AB1057" t="str">
        <f>HYPERLINK("Melting_Curves/meltCurve_O00299_CLIC1.pdf", "Melting_Curves/meltCurve_O00299_CLIC1.pdf")</f>
        <v>Melting_Curves/meltCurve_O00299_CLIC1.pdf</v>
      </c>
    </row>
    <row r="1058" spans="1:28" x14ac:dyDescent="0.25">
      <c r="A1058" t="s">
        <v>1062</v>
      </c>
      <c r="B1058">
        <v>0.99930955844802105</v>
      </c>
      <c r="C1058">
        <v>0.780545555287949</v>
      </c>
      <c r="D1058">
        <v>0.64008645370227002</v>
      </c>
      <c r="E1058">
        <v>0.32866447991258702</v>
      </c>
      <c r="F1058">
        <v>0.20387950993947501</v>
      </c>
      <c r="G1058">
        <v>0.12508894558230699</v>
      </c>
      <c r="H1058">
        <v>7.1938204571889194E-2</v>
      </c>
      <c r="I1058">
        <v>6.0450008116119301E-2</v>
      </c>
      <c r="J1058">
        <v>5.4512073109641498E-2</v>
      </c>
      <c r="K1058">
        <v>3.5944861652959098E-2</v>
      </c>
      <c r="L1058">
        <v>701.60774739617295</v>
      </c>
      <c r="M1058">
        <v>14.827448541628501</v>
      </c>
      <c r="N1058">
        <v>47.585127798809303</v>
      </c>
      <c r="O1058">
        <v>46.4825043937321</v>
      </c>
      <c r="P1058">
        <v>-7.6572894241040398E-2</v>
      </c>
      <c r="Q1058">
        <v>3.9909593383800498E-2</v>
      </c>
      <c r="R1058">
        <v>0.99401605776542601</v>
      </c>
      <c r="S1058" t="s">
        <v>7675</v>
      </c>
      <c r="T1058" t="s">
        <v>13232</v>
      </c>
      <c r="U1058" t="s">
        <v>13232</v>
      </c>
      <c r="V1058" t="s">
        <v>13232</v>
      </c>
      <c r="W1058" t="s">
        <v>14256</v>
      </c>
      <c r="X1058">
        <v>10</v>
      </c>
      <c r="Y1058" t="s">
        <v>20783</v>
      </c>
      <c r="Z1058" t="s">
        <v>27189</v>
      </c>
      <c r="AA1058">
        <v>0.30031676745845132</v>
      </c>
      <c r="AB1058" t="str">
        <f>HYPERLINK("Melting_Curves/meltCurve_O00303_EIF3F.pdf", "Melting_Curves/meltCurve_O00303_EIF3F.pdf")</f>
        <v>Melting_Curves/meltCurve_O00303_EIF3F.pdf</v>
      </c>
    </row>
    <row r="1059" spans="1:28" x14ac:dyDescent="0.25">
      <c r="A1059" t="s">
        <v>1063</v>
      </c>
      <c r="B1059">
        <v>0.99930955844802105</v>
      </c>
      <c r="C1059">
        <v>1.29919622626791</v>
      </c>
      <c r="D1059">
        <v>1.1688362299872701</v>
      </c>
      <c r="E1059">
        <v>0.91394161299713295</v>
      </c>
      <c r="F1059">
        <v>0.55275403419263602</v>
      </c>
      <c r="G1059">
        <v>0.46722345842080598</v>
      </c>
      <c r="H1059">
        <v>0.43947088549904101</v>
      </c>
      <c r="I1059">
        <v>0.55178751760325995</v>
      </c>
      <c r="J1059">
        <v>0.53674147540703498</v>
      </c>
      <c r="K1059">
        <v>0.36513911639267799</v>
      </c>
      <c r="L1059">
        <v>3031.6893438362299</v>
      </c>
      <c r="M1059">
        <v>58.950137288513503</v>
      </c>
      <c r="N1059">
        <v>54.074443754103903</v>
      </c>
      <c r="O1059">
        <v>51.368932390792601</v>
      </c>
      <c r="P1059">
        <v>-0.15145982980012601</v>
      </c>
      <c r="Q1059">
        <v>0.47207394087251398</v>
      </c>
      <c r="R1059">
        <v>0.86010950498244299</v>
      </c>
      <c r="S1059" t="s">
        <v>7676</v>
      </c>
      <c r="T1059" t="s">
        <v>13232</v>
      </c>
      <c r="U1059" t="s">
        <v>13232</v>
      </c>
      <c r="V1059" t="s">
        <v>13232</v>
      </c>
      <c r="W1059" t="s">
        <v>14257</v>
      </c>
      <c r="X1059">
        <v>4</v>
      </c>
      <c r="Y1059" t="s">
        <v>20784</v>
      </c>
      <c r="Z1059" t="s">
        <v>27190</v>
      </c>
      <c r="AA1059">
        <v>0.67403927290006393</v>
      </c>
      <c r="AB1059" t="str">
        <f>HYPERLINK("Melting_Curves/meltCurve_O00308_WWP2.pdf", "Melting_Curves/meltCurve_O00308_WWP2.pdf")</f>
        <v>Melting_Curves/meltCurve_O00308_WWP2.pdf</v>
      </c>
    </row>
    <row r="1060" spans="1:28" x14ac:dyDescent="0.25">
      <c r="A1060" t="s">
        <v>1064</v>
      </c>
      <c r="B1060">
        <v>0.99930955844802105</v>
      </c>
      <c r="C1060">
        <v>0.84652448977060102</v>
      </c>
      <c r="D1060">
        <v>0.91976291291492995</v>
      </c>
      <c r="E1060">
        <v>0.74922151716381402</v>
      </c>
      <c r="F1060">
        <v>0.28968260095272702</v>
      </c>
      <c r="G1060">
        <v>0.169415920190953</v>
      </c>
      <c r="H1060">
        <v>9.3620306441474302E-2</v>
      </c>
      <c r="I1060">
        <v>5.8599970125956698E-2</v>
      </c>
      <c r="J1060">
        <v>3.8722169594084199E-2</v>
      </c>
      <c r="K1060">
        <v>2.84990815107839E-2</v>
      </c>
      <c r="L1060">
        <v>1367.3374883050301</v>
      </c>
      <c r="M1060">
        <v>26.595741481886801</v>
      </c>
      <c r="N1060">
        <v>51.635677992180298</v>
      </c>
      <c r="O1060">
        <v>51.123874082368701</v>
      </c>
      <c r="P1060">
        <v>-0.122977713462225</v>
      </c>
      <c r="Q1060">
        <v>5.4430494040811898E-2</v>
      </c>
      <c r="R1060">
        <v>0.97715062847443401</v>
      </c>
      <c r="S1060" t="s">
        <v>7677</v>
      </c>
      <c r="T1060" t="s">
        <v>13232</v>
      </c>
      <c r="U1060" t="s">
        <v>13232</v>
      </c>
      <c r="V1060" t="s">
        <v>13232</v>
      </c>
      <c r="W1060" t="s">
        <v>14258</v>
      </c>
      <c r="X1060">
        <v>6</v>
      </c>
      <c r="Y1060" t="s">
        <v>20785</v>
      </c>
      <c r="Z1060" t="s">
        <v>27191</v>
      </c>
      <c r="AA1060">
        <v>0.42172211668059828</v>
      </c>
      <c r="AB1060" t="str">
        <f>HYPERLINK("Melting_Curves/meltCurve_O00329_PIK3CD.pdf", "Melting_Curves/meltCurve_O00329_PIK3CD.pdf")</f>
        <v>Melting_Curves/meltCurve_O00329_PIK3CD.pdf</v>
      </c>
    </row>
    <row r="1061" spans="1:28" x14ac:dyDescent="0.25">
      <c r="A1061" t="s">
        <v>1065</v>
      </c>
      <c r="B1061">
        <v>0.99930955844802105</v>
      </c>
      <c r="C1061">
        <v>0.91818159376033404</v>
      </c>
      <c r="D1061">
        <v>0.97557788236034004</v>
      </c>
      <c r="E1061">
        <v>1.07401044867468</v>
      </c>
      <c r="F1061">
        <v>0.834439429270313</v>
      </c>
      <c r="G1061">
        <v>0.58646773812862796</v>
      </c>
      <c r="H1061">
        <v>0.38829368772272299</v>
      </c>
      <c r="I1061">
        <v>0.21678908117894499</v>
      </c>
      <c r="J1061">
        <v>8.7573898240395506E-2</v>
      </c>
      <c r="K1061">
        <v>4.7539916701854097E-2</v>
      </c>
      <c r="L1061">
        <v>1003.37025612975</v>
      </c>
      <c r="M1061">
        <v>17.068977131954401</v>
      </c>
      <c r="N1061">
        <v>58.783268622712598</v>
      </c>
      <c r="O1061">
        <v>57.9942147029927</v>
      </c>
      <c r="P1061">
        <v>-7.3584992284765199E-2</v>
      </c>
      <c r="Q1061">
        <v>0</v>
      </c>
      <c r="R1061">
        <v>0.981389638771756</v>
      </c>
      <c r="S1061" t="s">
        <v>7678</v>
      </c>
      <c r="T1061" t="s">
        <v>13232</v>
      </c>
      <c r="U1061" t="s">
        <v>13232</v>
      </c>
      <c r="V1061" t="s">
        <v>13232</v>
      </c>
      <c r="W1061" t="s">
        <v>14259</v>
      </c>
      <c r="X1061">
        <v>3</v>
      </c>
      <c r="Y1061" t="s">
        <v>20786</v>
      </c>
      <c r="Z1061" t="s">
        <v>27192</v>
      </c>
      <c r="AA1061">
        <v>0.63731225038109229</v>
      </c>
      <c r="AB1061" t="str">
        <f>HYPERLINK("Melting_Curves/meltCurve_O00399_DCTN6.pdf", "Melting_Curves/meltCurve_O00399_DCTN6.pdf")</f>
        <v>Melting_Curves/meltCurve_O00399_DCTN6.pdf</v>
      </c>
    </row>
    <row r="1062" spans="1:28" x14ac:dyDescent="0.25">
      <c r="A1062" t="s">
        <v>1066</v>
      </c>
      <c r="B1062">
        <v>0.99930955844802105</v>
      </c>
      <c r="C1062">
        <v>1.0428296513861901</v>
      </c>
      <c r="D1062">
        <v>0.98546306478787404</v>
      </c>
      <c r="E1062">
        <v>0.81117598889178</v>
      </c>
      <c r="F1062">
        <v>0.60332335251658997</v>
      </c>
      <c r="G1062">
        <v>0.51136016085689795</v>
      </c>
      <c r="H1062">
        <v>0.51641797651524701</v>
      </c>
      <c r="I1062">
        <v>0.57410789951706898</v>
      </c>
      <c r="J1062">
        <v>0.57269860677700302</v>
      </c>
      <c r="K1062">
        <v>0.44550101607648102</v>
      </c>
      <c r="L1062">
        <v>1863.2679947976601</v>
      </c>
      <c r="M1062">
        <v>36.829397773968097</v>
      </c>
      <c r="O1062">
        <v>50.443418984527497</v>
      </c>
      <c r="P1062">
        <v>-8.7056552788354405E-2</v>
      </c>
      <c r="Q1062">
        <v>0.52305317743242297</v>
      </c>
      <c r="R1062">
        <v>0.97183088922140304</v>
      </c>
      <c r="S1062" t="s">
        <v>7679</v>
      </c>
      <c r="T1062" t="s">
        <v>13232</v>
      </c>
      <c r="U1062" t="s">
        <v>13232</v>
      </c>
      <c r="V1062" t="s">
        <v>13232</v>
      </c>
      <c r="W1062" t="s">
        <v>14260</v>
      </c>
      <c r="X1062">
        <v>18</v>
      </c>
      <c r="Y1062" t="s">
        <v>20787</v>
      </c>
      <c r="Z1062" t="s">
        <v>27193</v>
      </c>
      <c r="AA1062">
        <v>0.6934153598333922</v>
      </c>
      <c r="AB1062" t="str">
        <f>HYPERLINK("Melting_Curves/meltCurve_O00401_WASL.pdf", "Melting_Curves/meltCurve_O00401_WASL.pdf")</f>
        <v>Melting_Curves/meltCurve_O00401_WASL.pdf</v>
      </c>
    </row>
    <row r="1063" spans="1:28" x14ac:dyDescent="0.25">
      <c r="A1063" t="s">
        <v>1067</v>
      </c>
      <c r="B1063">
        <v>0.99930955844802105</v>
      </c>
      <c r="C1063">
        <v>0.95887757997898304</v>
      </c>
      <c r="D1063">
        <v>0.96060597290295502</v>
      </c>
      <c r="E1063">
        <v>0.97565504419423699</v>
      </c>
      <c r="F1063">
        <v>0.85866725910877795</v>
      </c>
      <c r="G1063">
        <v>0.397921927406028</v>
      </c>
      <c r="H1063">
        <v>0.11459060231748899</v>
      </c>
      <c r="I1063">
        <v>8.6148155852379907E-2</v>
      </c>
      <c r="J1063">
        <v>6.6648910894319194E-2</v>
      </c>
      <c r="K1063">
        <v>5.1172224704021697E-2</v>
      </c>
      <c r="L1063">
        <v>1743.99021890718</v>
      </c>
      <c r="M1063">
        <v>31.173092613406901</v>
      </c>
      <c r="N1063">
        <v>56.163665723136397</v>
      </c>
      <c r="O1063">
        <v>55.716653759003897</v>
      </c>
      <c r="P1063">
        <v>-0.131893357893441</v>
      </c>
      <c r="Q1063">
        <v>5.7056603803791003E-2</v>
      </c>
      <c r="R1063">
        <v>0.99801350262089905</v>
      </c>
      <c r="S1063" t="s">
        <v>7680</v>
      </c>
      <c r="T1063" t="s">
        <v>13232</v>
      </c>
      <c r="U1063" t="s">
        <v>13232</v>
      </c>
      <c r="V1063" t="s">
        <v>13232</v>
      </c>
      <c r="W1063" t="s">
        <v>14261</v>
      </c>
      <c r="X1063">
        <v>49</v>
      </c>
      <c r="Y1063" t="s">
        <v>20788</v>
      </c>
      <c r="Z1063" t="s">
        <v>27194</v>
      </c>
      <c r="AA1063">
        <v>0.56409915245464748</v>
      </c>
      <c r="AB1063" t="str">
        <f>HYPERLINK("Melting_Curves/meltCurve_O00410_IPO5.pdf", "Melting_Curves/meltCurve_O00410_IPO5.pdf")</f>
        <v>Melting_Curves/meltCurve_O00410_IPO5.pdf</v>
      </c>
    </row>
    <row r="1064" spans="1:28" x14ac:dyDescent="0.25">
      <c r="A1064" t="s">
        <v>1068</v>
      </c>
      <c r="B1064">
        <v>0.99930955844802105</v>
      </c>
      <c r="C1064">
        <v>1.0845233681997</v>
      </c>
      <c r="D1064">
        <v>1.0725672224323499</v>
      </c>
      <c r="E1064">
        <v>0.95595927163031302</v>
      </c>
      <c r="F1064">
        <v>0.84671099639754299</v>
      </c>
      <c r="G1064">
        <v>0.75843973531876596</v>
      </c>
      <c r="H1064">
        <v>0.73458962151164298</v>
      </c>
      <c r="I1064">
        <v>0.78812946653314297</v>
      </c>
      <c r="J1064">
        <v>0.76331303296116904</v>
      </c>
      <c r="K1064">
        <v>0.63674661109681197</v>
      </c>
      <c r="L1064">
        <v>1769.38565150724</v>
      </c>
      <c r="M1064">
        <v>33.623752862127397</v>
      </c>
      <c r="O1064">
        <v>52.437992107529098</v>
      </c>
      <c r="P1064">
        <v>-4.3079345864526601E-2</v>
      </c>
      <c r="Q1064">
        <v>0.73126318587760597</v>
      </c>
      <c r="R1064">
        <v>0.87904423035263202</v>
      </c>
      <c r="S1064" t="s">
        <v>7681</v>
      </c>
      <c r="T1064" t="s">
        <v>13232</v>
      </c>
      <c r="U1064" t="s">
        <v>13232</v>
      </c>
      <c r="V1064" t="s">
        <v>13232</v>
      </c>
      <c r="W1064" t="s">
        <v>14262</v>
      </c>
      <c r="X1064">
        <v>6</v>
      </c>
      <c r="Y1064" t="s">
        <v>20789</v>
      </c>
      <c r="Z1064" t="s">
        <v>27195</v>
      </c>
      <c r="AA1064">
        <v>0.84572221260191549</v>
      </c>
      <c r="AB1064" t="str">
        <f>HYPERLINK("Melting_Curves/meltCurve_O00411_POLRMT.pdf", "Melting_Curves/meltCurve_O00411_POLRMT.pdf")</f>
        <v>Melting_Curves/meltCurve_O00411_POLRMT.pdf</v>
      </c>
    </row>
    <row r="1065" spans="1:28" x14ac:dyDescent="0.25">
      <c r="A1065" t="s">
        <v>1069</v>
      </c>
      <c r="B1065">
        <v>0.99930955844802105</v>
      </c>
      <c r="C1065">
        <v>0.85164005133256004</v>
      </c>
      <c r="D1065">
        <v>0.37219359026239701</v>
      </c>
      <c r="E1065">
        <v>0.25162990048778699</v>
      </c>
      <c r="F1065">
        <v>0.157122917897107</v>
      </c>
      <c r="G1065">
        <v>0.116823531443983</v>
      </c>
      <c r="H1065">
        <v>9.20199559980895E-2</v>
      </c>
      <c r="I1065">
        <v>9.2890047228440506E-2</v>
      </c>
      <c r="J1065">
        <v>9.0326352211577907E-2</v>
      </c>
      <c r="K1065">
        <v>7.1123725043110694E-2</v>
      </c>
      <c r="L1065">
        <v>1296.22210605183</v>
      </c>
      <c r="M1065">
        <v>28.8240017124803</v>
      </c>
      <c r="N1065">
        <v>45.368876190345802</v>
      </c>
      <c r="O1065">
        <v>44.755441867982697</v>
      </c>
      <c r="P1065">
        <v>-0.142997463026275</v>
      </c>
      <c r="Q1065">
        <v>0.111869830034257</v>
      </c>
      <c r="R1065">
        <v>0.98435023937937205</v>
      </c>
      <c r="S1065" t="s">
        <v>7682</v>
      </c>
      <c r="T1065" t="s">
        <v>13232</v>
      </c>
      <c r="U1065" t="s">
        <v>13232</v>
      </c>
      <c r="V1065" t="s">
        <v>13232</v>
      </c>
      <c r="W1065" t="s">
        <v>14263</v>
      </c>
      <c r="X1065">
        <v>13</v>
      </c>
      <c r="Y1065" t="s">
        <v>20790</v>
      </c>
      <c r="Z1065" t="s">
        <v>27196</v>
      </c>
      <c r="AA1065">
        <v>0.26531501380521388</v>
      </c>
      <c r="AB1065" t="str">
        <f>HYPERLINK("Melting_Curves/meltCurve_O00418_EEF2K.pdf", "Melting_Curves/meltCurve_O00418_EEF2K.pdf")</f>
        <v>Melting_Curves/meltCurve_O00418_EEF2K.pdf</v>
      </c>
    </row>
    <row r="1066" spans="1:28" x14ac:dyDescent="0.25">
      <c r="A1066" t="s">
        <v>1070</v>
      </c>
      <c r="B1066">
        <v>0.99930955844802105</v>
      </c>
      <c r="C1066">
        <v>1.1390459510025699</v>
      </c>
      <c r="D1066">
        <v>0.66909058493557205</v>
      </c>
      <c r="E1066">
        <v>0.53196070710809595</v>
      </c>
      <c r="F1066">
        <v>0.451414882084967</v>
      </c>
      <c r="G1066">
        <v>0.32304364449802098</v>
      </c>
      <c r="H1066">
        <v>0.29290003850586499</v>
      </c>
      <c r="I1066">
        <v>0.30782054226671401</v>
      </c>
      <c r="J1066">
        <v>0.32901468001425799</v>
      </c>
      <c r="K1066">
        <v>0.233183138515037</v>
      </c>
      <c r="L1066">
        <v>958.72470613790199</v>
      </c>
      <c r="M1066">
        <v>19.965477232793699</v>
      </c>
      <c r="N1066">
        <v>50.285352957175498</v>
      </c>
      <c r="O1066">
        <v>47.545176282144197</v>
      </c>
      <c r="P1066">
        <v>-7.3838833961239497E-2</v>
      </c>
      <c r="Q1066">
        <v>0.29667289662207702</v>
      </c>
      <c r="R1066">
        <v>0.92803457454621696</v>
      </c>
      <c r="S1066" t="s">
        <v>7683</v>
      </c>
      <c r="T1066" t="s">
        <v>13232</v>
      </c>
      <c r="U1066" t="s">
        <v>13232</v>
      </c>
      <c r="V1066" t="s">
        <v>13232</v>
      </c>
      <c r="W1066" t="s">
        <v>14264</v>
      </c>
      <c r="X1066">
        <v>2</v>
      </c>
      <c r="Y1066" t="s">
        <v>20791</v>
      </c>
      <c r="Z1066" t="s">
        <v>27197</v>
      </c>
      <c r="AA1066">
        <v>0.49470305805285569</v>
      </c>
      <c r="AB1066" t="str">
        <f>HYPERLINK("Melting_Curves/meltCurve_O00422_SAP18.pdf", "Melting_Curves/meltCurve_O00422_SAP18.pdf")</f>
        <v>Melting_Curves/meltCurve_O00422_SAP18.pdf</v>
      </c>
    </row>
    <row r="1067" spans="1:28" x14ac:dyDescent="0.25">
      <c r="A1067" t="s">
        <v>1071</v>
      </c>
      <c r="B1067">
        <v>0.99930955844802105</v>
      </c>
      <c r="C1067">
        <v>0.88293883278359697</v>
      </c>
      <c r="D1067">
        <v>0.79656213579949797</v>
      </c>
      <c r="E1067">
        <v>0.67841414911754305</v>
      </c>
      <c r="F1067">
        <v>0.48947146736518299</v>
      </c>
      <c r="G1067">
        <v>0.39916134849915602</v>
      </c>
      <c r="H1067">
        <v>0.37747168883278098</v>
      </c>
      <c r="I1067">
        <v>0.39373588307758101</v>
      </c>
      <c r="J1067">
        <v>0.38905909672835298</v>
      </c>
      <c r="K1067">
        <v>0.31660720531320502</v>
      </c>
      <c r="L1067">
        <v>654.13857375597695</v>
      </c>
      <c r="M1067">
        <v>13.325865420008199</v>
      </c>
      <c r="N1067">
        <v>53.599028271444098</v>
      </c>
      <c r="O1067">
        <v>48.021989764304998</v>
      </c>
      <c r="P1067">
        <v>-4.5994201551409403E-2</v>
      </c>
      <c r="Q1067">
        <v>0.33711541562141201</v>
      </c>
      <c r="R1067">
        <v>0.98321835440880001</v>
      </c>
      <c r="S1067" t="s">
        <v>7684</v>
      </c>
      <c r="T1067" t="s">
        <v>13232</v>
      </c>
      <c r="U1067" t="s">
        <v>13232</v>
      </c>
      <c r="V1067" t="s">
        <v>13232</v>
      </c>
      <c r="W1067" t="s">
        <v>14265</v>
      </c>
      <c r="X1067">
        <v>18</v>
      </c>
      <c r="Y1067" t="s">
        <v>20792</v>
      </c>
      <c r="Z1067" t="s">
        <v>27198</v>
      </c>
      <c r="AA1067">
        <v>0.55815477404216529</v>
      </c>
      <c r="AB1067" t="str">
        <f>HYPERLINK("Melting_Curves/meltCurve_O00425_IGF2BP3.pdf", "Melting_Curves/meltCurve_O00425_IGF2BP3.pdf")</f>
        <v>Melting_Curves/meltCurve_O00425_IGF2BP3.pdf</v>
      </c>
    </row>
    <row r="1068" spans="1:28" x14ac:dyDescent="0.25">
      <c r="A1068" t="s">
        <v>1072</v>
      </c>
      <c r="B1068">
        <v>0.99930955844802105</v>
      </c>
      <c r="C1068">
        <v>1.05187445658385</v>
      </c>
      <c r="D1068">
        <v>0.97341604089197298</v>
      </c>
      <c r="E1068">
        <v>0.710674677963956</v>
      </c>
      <c r="F1068">
        <v>0.28735072784383697</v>
      </c>
      <c r="G1068">
        <v>0.299865176161211</v>
      </c>
      <c r="H1068">
        <v>0.29252207618571702</v>
      </c>
      <c r="I1068">
        <v>0.31109652053729497</v>
      </c>
      <c r="J1068">
        <v>0.274470116154719</v>
      </c>
      <c r="K1068">
        <v>0.23140253792495299</v>
      </c>
      <c r="L1068">
        <v>4409.2940196791496</v>
      </c>
      <c r="M1068">
        <v>87.792307731590199</v>
      </c>
      <c r="N1068">
        <v>50.702475971740498</v>
      </c>
      <c r="O1068">
        <v>50.198107623195099</v>
      </c>
      <c r="P1068">
        <v>-0.31410806562813798</v>
      </c>
      <c r="Q1068">
        <v>0.28159405469124399</v>
      </c>
      <c r="R1068">
        <v>0.99332470220248703</v>
      </c>
      <c r="S1068" t="s">
        <v>7685</v>
      </c>
      <c r="T1068" t="s">
        <v>13232</v>
      </c>
      <c r="U1068" t="s">
        <v>13232</v>
      </c>
      <c r="V1068" t="s">
        <v>13232</v>
      </c>
      <c r="W1068" t="s">
        <v>14266</v>
      </c>
      <c r="X1068">
        <v>44</v>
      </c>
      <c r="Y1068" t="s">
        <v>20793</v>
      </c>
      <c r="Z1068" t="s">
        <v>27199</v>
      </c>
      <c r="AA1068">
        <v>0.52694467917017795</v>
      </c>
      <c r="AB1068" t="str">
        <f>HYPERLINK("Melting_Curves/meltCurve_O00429_3_DNM1L.pdf", "Melting_Curves/meltCurve_O00429_3_DNM1L.pdf")</f>
        <v>Melting_Curves/meltCurve_O00429_3_DNM1L.pdf</v>
      </c>
    </row>
    <row r="1069" spans="1:28" x14ac:dyDescent="0.25">
      <c r="A1069" t="s">
        <v>1073</v>
      </c>
      <c r="B1069">
        <v>0.99930955844802105</v>
      </c>
      <c r="C1069">
        <v>0.99262718252040305</v>
      </c>
      <c r="D1069">
        <v>0.74149378771602004</v>
      </c>
      <c r="E1069">
        <v>0.57375824155992605</v>
      </c>
      <c r="F1069">
        <v>0.16204565203756399</v>
      </c>
      <c r="G1069">
        <v>0.117554528386435</v>
      </c>
      <c r="H1069">
        <v>7.7876044343776304E-2</v>
      </c>
      <c r="I1069">
        <v>6.9172045257660006E-2</v>
      </c>
      <c r="J1069">
        <v>6.7361697431130796E-2</v>
      </c>
      <c r="K1069">
        <v>4.8238937539267397E-2</v>
      </c>
      <c r="L1069">
        <v>967.44723724000903</v>
      </c>
      <c r="M1069">
        <v>19.5633572347189</v>
      </c>
      <c r="N1069">
        <v>49.712062086109299</v>
      </c>
      <c r="O1069">
        <v>48.9440090579009</v>
      </c>
      <c r="P1069">
        <v>-9.5070263056507398E-2</v>
      </c>
      <c r="Q1069">
        <v>4.8639218769642598E-2</v>
      </c>
      <c r="R1069">
        <v>0.98175410509209304</v>
      </c>
      <c r="S1069" t="s">
        <v>7686</v>
      </c>
      <c r="T1069" t="s">
        <v>13232</v>
      </c>
      <c r="U1069" t="s">
        <v>13232</v>
      </c>
      <c r="V1069" t="s">
        <v>13232</v>
      </c>
      <c r="W1069" t="s">
        <v>14267</v>
      </c>
      <c r="X1069">
        <v>45</v>
      </c>
      <c r="Y1069" t="s">
        <v>20793</v>
      </c>
      <c r="Z1069" t="s">
        <v>27200</v>
      </c>
      <c r="AA1069">
        <v>0.36225824829919501</v>
      </c>
      <c r="AB1069" t="str">
        <f>HYPERLINK("Melting_Curves/meltCurve_O00429_4_DNM1L.pdf", "Melting_Curves/meltCurve_O00429_4_DNM1L.pdf")</f>
        <v>Melting_Curves/meltCurve_O00429_4_DNM1L.pdf</v>
      </c>
    </row>
    <row r="1070" spans="1:28" x14ac:dyDescent="0.25">
      <c r="A1070" t="s">
        <v>1074</v>
      </c>
      <c r="B1070">
        <v>0.99930955844802105</v>
      </c>
      <c r="C1070">
        <v>0.95237384862449903</v>
      </c>
      <c r="D1070">
        <v>0.81774933328937005</v>
      </c>
      <c r="E1070">
        <v>0.69147232774256195</v>
      </c>
      <c r="F1070">
        <v>0.58566537822610498</v>
      </c>
      <c r="G1070">
        <v>0.48827888331859298</v>
      </c>
      <c r="H1070">
        <v>0.24702340082756299</v>
      </c>
      <c r="I1070">
        <v>7.9242160567651598E-2</v>
      </c>
      <c r="J1070">
        <v>5.93367447311463E-2</v>
      </c>
      <c r="K1070">
        <v>4.7729251671822598E-2</v>
      </c>
      <c r="L1070">
        <v>601.74051574185603</v>
      </c>
      <c r="M1070">
        <v>11.0579204891087</v>
      </c>
      <c r="N1070">
        <v>54.417149713308802</v>
      </c>
      <c r="O1070">
        <v>52.7283923427037</v>
      </c>
      <c r="P1070">
        <v>-5.2446036858741302E-2</v>
      </c>
      <c r="Q1070">
        <v>0</v>
      </c>
      <c r="R1070">
        <v>0.97680119001608501</v>
      </c>
      <c r="S1070" t="s">
        <v>7687</v>
      </c>
      <c r="T1070" t="s">
        <v>13232</v>
      </c>
      <c r="U1070" t="s">
        <v>13232</v>
      </c>
      <c r="V1070" t="s">
        <v>13232</v>
      </c>
      <c r="W1070" t="s">
        <v>14268</v>
      </c>
      <c r="X1070">
        <v>17</v>
      </c>
      <c r="Y1070" t="s">
        <v>20794</v>
      </c>
      <c r="Z1070" t="s">
        <v>27201</v>
      </c>
      <c r="AA1070">
        <v>0.50725014353459719</v>
      </c>
      <c r="AB1070" t="str">
        <f>HYPERLINK("Melting_Curves/meltCurve_O00442_RTCA.pdf", "Melting_Curves/meltCurve_O00442_RTCA.pdf")</f>
        <v>Melting_Curves/meltCurve_O00442_RTCA.pdf</v>
      </c>
    </row>
    <row r="1071" spans="1:28" x14ac:dyDescent="0.25">
      <c r="A1071" t="s">
        <v>1075</v>
      </c>
      <c r="B1071">
        <v>0.99930955844802105</v>
      </c>
      <c r="C1071">
        <v>1.3269858491769499</v>
      </c>
      <c r="D1071">
        <v>1.2219575435729</v>
      </c>
      <c r="E1071">
        <v>0.88123321709435898</v>
      </c>
      <c r="F1071">
        <v>0.81826819022559705</v>
      </c>
      <c r="G1071">
        <v>0.72289922858030597</v>
      </c>
      <c r="H1071">
        <v>0.75098467569240801</v>
      </c>
      <c r="I1071">
        <v>0.80014819160453599</v>
      </c>
      <c r="J1071">
        <v>0.76036388615331496</v>
      </c>
      <c r="K1071">
        <v>0.60945620033357895</v>
      </c>
      <c r="L1071">
        <v>1987.65562232293</v>
      </c>
      <c r="M1071">
        <v>38.882022780047599</v>
      </c>
      <c r="O1071">
        <v>50.9854952486331</v>
      </c>
      <c r="P1071">
        <v>-5.1232471003664501E-2</v>
      </c>
      <c r="Q1071">
        <v>0.73127863944941995</v>
      </c>
      <c r="R1071">
        <v>0.61322496833184603</v>
      </c>
      <c r="S1071" t="s">
        <v>7688</v>
      </c>
      <c r="T1071" t="s">
        <v>13232</v>
      </c>
      <c r="U1071" t="s">
        <v>13232</v>
      </c>
      <c r="V1071" t="s">
        <v>13232</v>
      </c>
      <c r="W1071" t="s">
        <v>14269</v>
      </c>
      <c r="X1071">
        <v>7</v>
      </c>
      <c r="Y1071" t="s">
        <v>20795</v>
      </c>
      <c r="Z1071" t="s">
        <v>27202</v>
      </c>
      <c r="AA1071">
        <v>0.83189143969279633</v>
      </c>
      <c r="AB1071" t="str">
        <f>HYPERLINK("Melting_Curves/meltCurve_O00443_PIK3C2A.pdf", "Melting_Curves/meltCurve_O00443_PIK3C2A.pdf")</f>
        <v>Melting_Curves/meltCurve_O00443_PIK3C2A.pdf</v>
      </c>
    </row>
    <row r="1072" spans="1:28" x14ac:dyDescent="0.25">
      <c r="A1072" t="s">
        <v>1076</v>
      </c>
      <c r="B1072">
        <v>0.99930955844802105</v>
      </c>
      <c r="C1072">
        <v>0.86408096221413599</v>
      </c>
      <c r="D1072">
        <v>0.83946094412236105</v>
      </c>
      <c r="E1072">
        <v>0.55178284002711697</v>
      </c>
      <c r="F1072">
        <v>0.26131069741957602</v>
      </c>
      <c r="G1072">
        <v>0.17760322393865</v>
      </c>
      <c r="H1072">
        <v>0.113143921891472</v>
      </c>
      <c r="I1072">
        <v>0.110867590571101</v>
      </c>
      <c r="J1072">
        <v>0.10237016046380699</v>
      </c>
      <c r="K1072">
        <v>6.93910165503938E-2</v>
      </c>
      <c r="L1072">
        <v>860.56996301004494</v>
      </c>
      <c r="M1072">
        <v>17.3175135491643</v>
      </c>
      <c r="N1072">
        <v>50.188570623741398</v>
      </c>
      <c r="O1072">
        <v>49.045178650344297</v>
      </c>
      <c r="P1072">
        <v>-8.1348749607986798E-2</v>
      </c>
      <c r="Q1072">
        <v>7.8497121819330995E-2</v>
      </c>
      <c r="R1072">
        <v>0.99039503791907002</v>
      </c>
      <c r="S1072" t="s">
        <v>7689</v>
      </c>
      <c r="T1072" t="s">
        <v>13232</v>
      </c>
      <c r="U1072" t="s">
        <v>13232</v>
      </c>
      <c r="V1072" t="s">
        <v>13232</v>
      </c>
      <c r="W1072" t="s">
        <v>14270</v>
      </c>
      <c r="X1072">
        <v>18</v>
      </c>
      <c r="Y1072" t="s">
        <v>20796</v>
      </c>
      <c r="Z1072" t="s">
        <v>27203</v>
      </c>
      <c r="AA1072">
        <v>0.39324853106363528</v>
      </c>
      <c r="AB1072" t="str">
        <f>HYPERLINK("Melting_Curves/meltCurve_O00459_PIK3R2.pdf", "Melting_Curves/meltCurve_O00459_PIK3R2.pdf")</f>
        <v>Melting_Curves/meltCurve_O00459_PIK3R2.pdf</v>
      </c>
    </row>
    <row r="1073" spans="1:28" x14ac:dyDescent="0.25">
      <c r="A1073" t="s">
        <v>1077</v>
      </c>
      <c r="B1073">
        <v>0.99930955844802105</v>
      </c>
      <c r="C1073">
        <v>0.96770170282964796</v>
      </c>
      <c r="D1073">
        <v>0.94512370887090702</v>
      </c>
      <c r="E1073">
        <v>0.88014080370926995</v>
      </c>
      <c r="F1073">
        <v>0.77109785394942498</v>
      </c>
      <c r="G1073">
        <v>0.45399088323941</v>
      </c>
      <c r="H1073">
        <v>0.16913369357559699</v>
      </c>
      <c r="I1073">
        <v>0.111898075205734</v>
      </c>
      <c r="J1073">
        <v>0.10448007321502201</v>
      </c>
      <c r="K1073">
        <v>8.09967953413082E-2</v>
      </c>
      <c r="L1073">
        <v>1084.2107873275299</v>
      </c>
      <c r="M1073">
        <v>19.410896179130798</v>
      </c>
      <c r="N1073">
        <v>56.164135531516401</v>
      </c>
      <c r="O1073">
        <v>55.273092961826201</v>
      </c>
      <c r="P1073">
        <v>-8.3360947159343002E-2</v>
      </c>
      <c r="Q1073">
        <v>5.0543938265646599E-2</v>
      </c>
      <c r="R1073">
        <v>0.99579450000093095</v>
      </c>
      <c r="S1073" t="s">
        <v>7690</v>
      </c>
      <c r="T1073" t="s">
        <v>13232</v>
      </c>
      <c r="U1073" t="s">
        <v>13232</v>
      </c>
      <c r="V1073" t="s">
        <v>13232</v>
      </c>
      <c r="W1073" t="s">
        <v>14271</v>
      </c>
      <c r="X1073">
        <v>14</v>
      </c>
      <c r="Y1073" t="s">
        <v>20797</v>
      </c>
      <c r="Z1073" t="s">
        <v>27204</v>
      </c>
      <c r="AA1073">
        <v>0.56516640876673274</v>
      </c>
      <c r="AB1073" t="str">
        <f>HYPERLINK("Melting_Curves/meltCurve_O00462_MANBA.pdf", "Melting_Curves/meltCurve_O00462_MANBA.pdf")</f>
        <v>Melting_Curves/meltCurve_O00462_MANBA.pdf</v>
      </c>
    </row>
    <row r="1074" spans="1:28" x14ac:dyDescent="0.25">
      <c r="A1074" t="s">
        <v>1078</v>
      </c>
      <c r="B1074">
        <v>0.99930955844802105</v>
      </c>
      <c r="C1074">
        <v>0.83124522220219899</v>
      </c>
      <c r="D1074">
        <v>0.87710338780089703</v>
      </c>
      <c r="E1074">
        <v>0.808353539527083</v>
      </c>
      <c r="F1074">
        <v>0.62319463218161697</v>
      </c>
      <c r="G1074">
        <v>0.50157129967754799</v>
      </c>
      <c r="H1074">
        <v>0.35163643889713903</v>
      </c>
      <c r="I1074">
        <v>0.37291262674561898</v>
      </c>
      <c r="J1074">
        <v>0.202159529947639</v>
      </c>
      <c r="K1074">
        <v>0.212236692820095</v>
      </c>
      <c r="L1074">
        <v>432.49141308900897</v>
      </c>
      <c r="M1074">
        <v>7.5595901559977996</v>
      </c>
      <c r="N1074">
        <v>57.210947284792802</v>
      </c>
      <c r="O1074">
        <v>53.618731450206504</v>
      </c>
      <c r="P1074">
        <v>-3.5296178185758302E-2</v>
      </c>
      <c r="Q1074">
        <v>0</v>
      </c>
      <c r="R1074">
        <v>0.97108292719578104</v>
      </c>
      <c r="S1074" t="s">
        <v>7691</v>
      </c>
      <c r="T1074" t="s">
        <v>13232</v>
      </c>
      <c r="U1074" t="s">
        <v>13232</v>
      </c>
      <c r="V1074" t="s">
        <v>13232</v>
      </c>
      <c r="W1074" t="s">
        <v>14272</v>
      </c>
      <c r="X1074">
        <v>2</v>
      </c>
      <c r="Y1074" t="s">
        <v>20798</v>
      </c>
      <c r="Z1074" t="s">
        <v>27205</v>
      </c>
      <c r="AA1074">
        <v>0.58241306781660185</v>
      </c>
      <c r="AB1074" t="str">
        <f>HYPERLINK("Melting_Curves/meltCurve_O00468_2_AGRN.pdf", "Melting_Curves/meltCurve_O00468_2_AGRN.pdf")</f>
        <v>Melting_Curves/meltCurve_O00468_2_AGRN.pdf</v>
      </c>
    </row>
    <row r="1075" spans="1:28" x14ac:dyDescent="0.25">
      <c r="A1075" t="s">
        <v>1079</v>
      </c>
      <c r="B1075">
        <v>0.99930955844802105</v>
      </c>
      <c r="C1075">
        <v>0.792043363209601</v>
      </c>
      <c r="D1075">
        <v>0.66561170422716098</v>
      </c>
      <c r="E1075">
        <v>0.42275879668936001</v>
      </c>
      <c r="F1075">
        <v>0.219569327026572</v>
      </c>
      <c r="G1075">
        <v>0.154158426272724</v>
      </c>
      <c r="H1075">
        <v>8.8970125972370404E-2</v>
      </c>
      <c r="I1075">
        <v>7.4252125154793E-2</v>
      </c>
      <c r="J1075">
        <v>6.0663436267757997E-2</v>
      </c>
      <c r="K1075">
        <v>4.8671593234381597E-2</v>
      </c>
      <c r="L1075">
        <v>649.25174415902995</v>
      </c>
      <c r="M1075">
        <v>13.512089620159101</v>
      </c>
      <c r="N1075">
        <v>48.3397177252223</v>
      </c>
      <c r="O1075">
        <v>47.033874355076797</v>
      </c>
      <c r="P1075">
        <v>-6.9035229929053102E-2</v>
      </c>
      <c r="Q1075">
        <v>3.8934324443270801E-2</v>
      </c>
      <c r="R1075">
        <v>0.99285379183363198</v>
      </c>
      <c r="S1075" t="s">
        <v>7692</v>
      </c>
      <c r="T1075" t="s">
        <v>13232</v>
      </c>
      <c r="U1075" t="s">
        <v>13232</v>
      </c>
      <c r="V1075" t="s">
        <v>13232</v>
      </c>
      <c r="W1075" t="s">
        <v>14273</v>
      </c>
      <c r="X1075">
        <v>24</v>
      </c>
      <c r="Y1075" t="s">
        <v>20799</v>
      </c>
      <c r="Z1075" t="s">
        <v>27206</v>
      </c>
      <c r="AA1075">
        <v>0.32699875019465757</v>
      </c>
      <c r="AB1075" t="str">
        <f>HYPERLINK("Melting_Curves/meltCurve_O00471_EXOC5.pdf", "Melting_Curves/meltCurve_O00471_EXOC5.pdf")</f>
        <v>Melting_Curves/meltCurve_O00471_EXOC5.pdf</v>
      </c>
    </row>
    <row r="1076" spans="1:28" x14ac:dyDescent="0.25">
      <c r="A1076" t="s">
        <v>1080</v>
      </c>
      <c r="B1076">
        <v>0.99930955844802105</v>
      </c>
      <c r="C1076">
        <v>0.95710915297331001</v>
      </c>
      <c r="D1076">
        <v>1.0411279638956501</v>
      </c>
      <c r="E1076">
        <v>0.70576976027848504</v>
      </c>
      <c r="F1076">
        <v>0.64869747090719798</v>
      </c>
      <c r="G1076">
        <v>0.93285853387907702</v>
      </c>
      <c r="H1076">
        <v>0.64765261456640699</v>
      </c>
      <c r="I1076">
        <v>1.1504904571398</v>
      </c>
      <c r="J1076">
        <v>1.00586261492291</v>
      </c>
      <c r="K1076">
        <v>0.70675465558200901</v>
      </c>
      <c r="L1076">
        <v>11954.991120180801</v>
      </c>
      <c r="M1076">
        <v>250</v>
      </c>
      <c r="O1076">
        <v>47.8169047427237</v>
      </c>
      <c r="P1076">
        <v>-0.22442614626211199</v>
      </c>
      <c r="Q1076">
        <v>0.82829818319686599</v>
      </c>
      <c r="R1076">
        <v>0.20052298645314201</v>
      </c>
      <c r="S1076" t="s">
        <v>7693</v>
      </c>
      <c r="T1076" t="s">
        <v>13232</v>
      </c>
      <c r="U1076" t="s">
        <v>13232</v>
      </c>
      <c r="V1076" t="s">
        <v>13232</v>
      </c>
      <c r="W1076" t="s">
        <v>14274</v>
      </c>
      <c r="X1076">
        <v>7</v>
      </c>
      <c r="Y1076" t="s">
        <v>20800</v>
      </c>
      <c r="Z1076" t="s">
        <v>27207</v>
      </c>
      <c r="AA1076">
        <v>0.87306932993469011</v>
      </c>
      <c r="AB1076" t="str">
        <f>HYPERLINK("Melting_Curves/meltCurve_O00479_HMGN4.pdf", "Melting_Curves/meltCurve_O00479_HMGN4.pdf")</f>
        <v>Melting_Curves/meltCurve_O00479_HMGN4.pdf</v>
      </c>
    </row>
    <row r="1077" spans="1:28" x14ac:dyDescent="0.25">
      <c r="A1077" t="s">
        <v>1081</v>
      </c>
      <c r="B1077">
        <v>0.99930955844802105</v>
      </c>
      <c r="C1077">
        <v>0.58743661998918495</v>
      </c>
      <c r="D1077">
        <v>0.67202291680091197</v>
      </c>
      <c r="E1077">
        <v>0.62925861820763196</v>
      </c>
      <c r="F1077">
        <v>0.23927518309008999</v>
      </c>
      <c r="G1077">
        <v>0.14085009261572501</v>
      </c>
      <c r="H1077">
        <v>6.4615750598382302E-2</v>
      </c>
      <c r="I1077">
        <v>4.6588976470882303E-2</v>
      </c>
      <c r="J1077">
        <v>3.4341310129370299E-2</v>
      </c>
      <c r="K1077">
        <v>2.9202756785033802E-2</v>
      </c>
      <c r="L1077">
        <v>505.56256212563602</v>
      </c>
      <c r="M1077">
        <v>10.3783016414065</v>
      </c>
      <c r="N1077">
        <v>48.713419630013199</v>
      </c>
      <c r="O1077">
        <v>47.008904136133602</v>
      </c>
      <c r="P1077">
        <v>-5.5216568446266802E-2</v>
      </c>
      <c r="Q1077">
        <v>0</v>
      </c>
      <c r="R1077">
        <v>0.90537450644276296</v>
      </c>
      <c r="S1077" t="s">
        <v>7694</v>
      </c>
      <c r="T1077" t="s">
        <v>13232</v>
      </c>
      <c r="U1077" t="s">
        <v>13232</v>
      </c>
      <c r="V1077" t="s">
        <v>13232</v>
      </c>
      <c r="W1077" t="s">
        <v>14275</v>
      </c>
      <c r="X1077">
        <v>12</v>
      </c>
      <c r="Y1077" t="s">
        <v>20801</v>
      </c>
      <c r="Z1077" t="s">
        <v>27208</v>
      </c>
      <c r="AA1077">
        <v>0.33776669157326089</v>
      </c>
      <c r="AB1077" t="str">
        <f>HYPERLINK("Melting_Curves/meltCurve_O00487_PSMD14.pdf", "Melting_Curves/meltCurve_O00487_PSMD14.pdf")</f>
        <v>Melting_Curves/meltCurve_O00487_PSMD14.pdf</v>
      </c>
    </row>
    <row r="1078" spans="1:28" x14ac:dyDescent="0.25">
      <c r="A1078" t="s">
        <v>1082</v>
      </c>
      <c r="B1078">
        <v>0.99930955844802105</v>
      </c>
      <c r="C1078">
        <v>1.08282244329584</v>
      </c>
      <c r="D1078">
        <v>1.0354351002458699</v>
      </c>
      <c r="E1078">
        <v>0.86070103828587097</v>
      </c>
      <c r="F1078">
        <v>0.53425716201664197</v>
      </c>
      <c r="G1078">
        <v>0.43080151498234998</v>
      </c>
      <c r="H1078">
        <v>0.32553819666123601</v>
      </c>
      <c r="I1078">
        <v>0.34864544691565802</v>
      </c>
      <c r="J1078">
        <v>0.33453479887093501</v>
      </c>
      <c r="K1078">
        <v>0.27789946057550202</v>
      </c>
      <c r="L1078">
        <v>1699.81525413851</v>
      </c>
      <c r="M1078">
        <v>32.741670137036699</v>
      </c>
      <c r="N1078">
        <v>53.704743152595803</v>
      </c>
      <c r="O1078">
        <v>51.723443433505501</v>
      </c>
      <c r="P1078">
        <v>-0.105716034665301</v>
      </c>
      <c r="Q1078">
        <v>0.33198616155628802</v>
      </c>
      <c r="R1078">
        <v>0.98267832988313397</v>
      </c>
      <c r="S1078" t="s">
        <v>7695</v>
      </c>
      <c r="T1078" t="s">
        <v>13232</v>
      </c>
      <c r="U1078" t="s">
        <v>13232</v>
      </c>
      <c r="V1078" t="s">
        <v>13232</v>
      </c>
      <c r="W1078" t="s">
        <v>14276</v>
      </c>
      <c r="X1078">
        <v>10</v>
      </c>
      <c r="Y1078" t="s">
        <v>20802</v>
      </c>
      <c r="Z1078" t="s">
        <v>27209</v>
      </c>
      <c r="AA1078">
        <v>0.60090143773129223</v>
      </c>
      <c r="AB1078" t="str">
        <f>HYPERLINK("Melting_Curves/meltCurve_O00499_6_BIN1.pdf", "Melting_Curves/meltCurve_O00499_6_BIN1.pdf")</f>
        <v>Melting_Curves/meltCurve_O00499_6_BIN1.pdf</v>
      </c>
    </row>
    <row r="1079" spans="1:28" x14ac:dyDescent="0.25">
      <c r="A1079" t="s">
        <v>1083</v>
      </c>
      <c r="B1079">
        <v>0.99930955844802105</v>
      </c>
      <c r="C1079">
        <v>1.0064293395842301</v>
      </c>
      <c r="D1079">
        <v>0.97502890421968902</v>
      </c>
      <c r="E1079">
        <v>0.92738507496417899</v>
      </c>
      <c r="F1079">
        <v>0.742385332328097</v>
      </c>
      <c r="G1079">
        <v>0.36123762119575697</v>
      </c>
      <c r="H1079">
        <v>0.16451389049548601</v>
      </c>
      <c r="I1079">
        <v>0.13892784169245601</v>
      </c>
      <c r="J1079">
        <v>0.121317489309038</v>
      </c>
      <c r="K1079">
        <v>8.8812310539208197E-2</v>
      </c>
      <c r="L1079">
        <v>1350.7529995428599</v>
      </c>
      <c r="M1079">
        <v>24.5849583545921</v>
      </c>
      <c r="N1079">
        <v>55.444610032961201</v>
      </c>
      <c r="O1079">
        <v>54.582606357133699</v>
      </c>
      <c r="P1079">
        <v>-0.10136308605880399</v>
      </c>
      <c r="Q1079">
        <v>9.9842722165899497E-2</v>
      </c>
      <c r="R1079">
        <v>0.99938933618881698</v>
      </c>
      <c r="S1079" t="s">
        <v>7696</v>
      </c>
      <c r="T1079" t="s">
        <v>13232</v>
      </c>
      <c r="U1079" t="s">
        <v>13232</v>
      </c>
      <c r="V1079" t="s">
        <v>13232</v>
      </c>
      <c r="W1079" t="s">
        <v>14277</v>
      </c>
      <c r="X1079">
        <v>13</v>
      </c>
      <c r="Y1079" t="s">
        <v>20803</v>
      </c>
      <c r="Z1079" t="s">
        <v>27210</v>
      </c>
      <c r="AA1079">
        <v>0.55676559345430632</v>
      </c>
      <c r="AB1079" t="str">
        <f>HYPERLINK("Melting_Curves/meltCurve_O00505_KPNA3.pdf", "Melting_Curves/meltCurve_O00505_KPNA3.pdf")</f>
        <v>Melting_Curves/meltCurve_O00505_KPNA3.pdf</v>
      </c>
    </row>
    <row r="1080" spans="1:28" x14ac:dyDescent="0.25">
      <c r="A1080" t="s">
        <v>1084</v>
      </c>
      <c r="B1080">
        <v>0.99930955844802105</v>
      </c>
      <c r="C1080">
        <v>1.0105855774308199</v>
      </c>
      <c r="D1080">
        <v>0.97998510712521103</v>
      </c>
      <c r="E1080">
        <v>0.84973696719957303</v>
      </c>
      <c r="F1080">
        <v>0.75779456866640604</v>
      </c>
      <c r="G1080">
        <v>0.59663554712237199</v>
      </c>
      <c r="H1080">
        <v>0.450931993996536</v>
      </c>
      <c r="I1080">
        <v>0.26653917123379001</v>
      </c>
      <c r="J1080">
        <v>0.19074068469993</v>
      </c>
      <c r="K1080">
        <v>0.147711834957793</v>
      </c>
      <c r="L1080">
        <v>652.09395217978204</v>
      </c>
      <c r="M1080">
        <v>11.0732255608897</v>
      </c>
      <c r="N1080">
        <v>58.889269592584697</v>
      </c>
      <c r="O1080">
        <v>57.066461830040303</v>
      </c>
      <c r="P1080">
        <v>-4.8526156054436602E-2</v>
      </c>
      <c r="Q1080">
        <v>0</v>
      </c>
      <c r="R1080">
        <v>0.99496531407646804</v>
      </c>
      <c r="S1080" t="s">
        <v>7697</v>
      </c>
      <c r="T1080" t="s">
        <v>13232</v>
      </c>
      <c r="U1080" t="s">
        <v>13232</v>
      </c>
      <c r="V1080" t="s">
        <v>13232</v>
      </c>
      <c r="W1080" t="s">
        <v>14278</v>
      </c>
      <c r="X1080">
        <v>9</v>
      </c>
      <c r="Y1080" t="s">
        <v>20804</v>
      </c>
      <c r="Z1080" t="s">
        <v>27211</v>
      </c>
      <c r="AA1080">
        <v>0.63647907376882251</v>
      </c>
      <c r="AB1080" t="str">
        <f>HYPERLINK("Melting_Curves/meltCurve_O00506_STK25.pdf", "Melting_Curves/meltCurve_O00506_STK25.pdf")</f>
        <v>Melting_Curves/meltCurve_O00506_STK25.pdf</v>
      </c>
    </row>
    <row r="1081" spans="1:28" x14ac:dyDescent="0.25">
      <c r="A1081" t="s">
        <v>1085</v>
      </c>
      <c r="B1081">
        <v>0.99930955844802105</v>
      </c>
      <c r="C1081">
        <v>1.0396311172401</v>
      </c>
      <c r="D1081">
        <v>0.98576391543472996</v>
      </c>
      <c r="E1081">
        <v>0.93523450050585599</v>
      </c>
      <c r="F1081">
        <v>0.78988755909769504</v>
      </c>
      <c r="G1081">
        <v>0.66136930121746296</v>
      </c>
      <c r="H1081">
        <v>0.69053756933322397</v>
      </c>
      <c r="I1081">
        <v>0.685879328695438</v>
      </c>
      <c r="J1081">
        <v>0.68933899346974703</v>
      </c>
      <c r="K1081">
        <v>0.55283159215990696</v>
      </c>
      <c r="L1081">
        <v>1636.32709846086</v>
      </c>
      <c r="M1081">
        <v>31.286287622288</v>
      </c>
      <c r="O1081">
        <v>52.089447614963099</v>
      </c>
      <c r="P1081">
        <v>-5.2536068932404402E-2</v>
      </c>
      <c r="Q1081">
        <v>0.65012663163581896</v>
      </c>
      <c r="R1081">
        <v>0.94243366850763299</v>
      </c>
      <c r="S1081" t="s">
        <v>7698</v>
      </c>
      <c r="T1081" t="s">
        <v>13232</v>
      </c>
      <c r="U1081" t="s">
        <v>13232</v>
      </c>
      <c r="V1081" t="s">
        <v>13232</v>
      </c>
      <c r="W1081" t="s">
        <v>14279</v>
      </c>
      <c r="X1081">
        <v>13</v>
      </c>
      <c r="Y1081" t="s">
        <v>20805</v>
      </c>
      <c r="Z1081" t="s">
        <v>27212</v>
      </c>
      <c r="AA1081">
        <v>0.79566160330988756</v>
      </c>
      <c r="AB1081" t="str">
        <f>HYPERLINK("Melting_Curves/meltCurve_O00512_BCL9.pdf", "Melting_Curves/meltCurve_O00512_BCL9.pdf")</f>
        <v>Melting_Curves/meltCurve_O00512_BCL9.pdf</v>
      </c>
    </row>
    <row r="1082" spans="1:28" x14ac:dyDescent="0.25">
      <c r="A1082" t="s">
        <v>1086</v>
      </c>
      <c r="B1082">
        <v>0.99930955844802105</v>
      </c>
      <c r="C1082">
        <v>0.82336911408358604</v>
      </c>
      <c r="D1082">
        <v>0.71853805746981803</v>
      </c>
      <c r="E1082">
        <v>0.54116461307295005</v>
      </c>
      <c r="F1082">
        <v>0.21248010535952899</v>
      </c>
      <c r="G1082">
        <v>0.15417009124877001</v>
      </c>
      <c r="H1082">
        <v>8.3599268951891403E-2</v>
      </c>
      <c r="I1082">
        <v>8.8225132461794503E-2</v>
      </c>
      <c r="J1082">
        <v>7.1216028725904698E-2</v>
      </c>
      <c r="K1082">
        <v>5.6556000264310298E-2</v>
      </c>
      <c r="L1082">
        <v>682.97766447877495</v>
      </c>
      <c r="M1082">
        <v>13.9279664770647</v>
      </c>
      <c r="N1082">
        <v>49.312131688600402</v>
      </c>
      <c r="O1082">
        <v>48.0587178226098</v>
      </c>
      <c r="P1082">
        <v>-6.97482652156316E-2</v>
      </c>
      <c r="Q1082">
        <v>3.7458753095898099E-2</v>
      </c>
      <c r="R1082">
        <v>0.98367218666755996</v>
      </c>
      <c r="S1082" t="s">
        <v>7699</v>
      </c>
      <c r="T1082" t="s">
        <v>13232</v>
      </c>
      <c r="U1082" t="s">
        <v>13232</v>
      </c>
      <c r="V1082" t="s">
        <v>13232</v>
      </c>
      <c r="W1082" t="s">
        <v>14280</v>
      </c>
      <c r="X1082">
        <v>2</v>
      </c>
      <c r="Y1082" t="s">
        <v>20806</v>
      </c>
      <c r="Z1082" t="s">
        <v>27213</v>
      </c>
      <c r="AA1082">
        <v>0.35459577290892191</v>
      </c>
      <c r="AB1082" t="str">
        <f>HYPERLINK("Melting_Curves/meltCurve_O00522_3_KRIT1.pdf", "Melting_Curves/meltCurve_O00522_3_KRIT1.pdf")</f>
        <v>Melting_Curves/meltCurve_O00522_3_KRIT1.pdf</v>
      </c>
    </row>
    <row r="1083" spans="1:28" x14ac:dyDescent="0.25">
      <c r="A1083" t="s">
        <v>1087</v>
      </c>
      <c r="B1083">
        <v>0.99930955844802105</v>
      </c>
      <c r="C1083">
        <v>1.0126334168156901</v>
      </c>
      <c r="D1083">
        <v>0.99296085652574795</v>
      </c>
      <c r="E1083">
        <v>0.93357966053081598</v>
      </c>
      <c r="F1083">
        <v>0.88845292412634502</v>
      </c>
      <c r="G1083">
        <v>0.71206421349285698</v>
      </c>
      <c r="H1083">
        <v>0.65990168044355002</v>
      </c>
      <c r="I1083">
        <v>0.69608557861613296</v>
      </c>
      <c r="J1083">
        <v>0.68582993730551201</v>
      </c>
      <c r="K1083">
        <v>0.53334163531707302</v>
      </c>
      <c r="L1083">
        <v>950.24743770292605</v>
      </c>
      <c r="M1083">
        <v>17.288683249850799</v>
      </c>
      <c r="O1083">
        <v>54.243999474377503</v>
      </c>
      <c r="P1083">
        <v>-3.1084972440284901E-2</v>
      </c>
      <c r="Q1083">
        <v>0.60990072251445404</v>
      </c>
      <c r="R1083">
        <v>0.94033949286649299</v>
      </c>
      <c r="S1083" t="s">
        <v>7700</v>
      </c>
      <c r="T1083" t="s">
        <v>13232</v>
      </c>
      <c r="U1083" t="s">
        <v>13232</v>
      </c>
      <c r="V1083" t="s">
        <v>13232</v>
      </c>
      <c r="W1083" t="s">
        <v>14281</v>
      </c>
      <c r="X1083">
        <v>14</v>
      </c>
      <c r="Y1083" t="s">
        <v>20807</v>
      </c>
      <c r="Z1083" t="s">
        <v>27214</v>
      </c>
      <c r="AA1083">
        <v>0.81085155144039578</v>
      </c>
      <c r="AB1083" t="str">
        <f>HYPERLINK("Melting_Curves/meltCurve_O00534_VWA5A.pdf", "Melting_Curves/meltCurve_O00534_VWA5A.pdf")</f>
        <v>Melting_Curves/meltCurve_O00534_VWA5A.pdf</v>
      </c>
    </row>
    <row r="1084" spans="1:28" x14ac:dyDescent="0.25">
      <c r="A1084" t="s">
        <v>1088</v>
      </c>
      <c r="B1084">
        <v>0.99930955844802105</v>
      </c>
      <c r="C1084">
        <v>1.1405495821578699</v>
      </c>
      <c r="D1084">
        <v>1.08073652547847</v>
      </c>
      <c r="E1084">
        <v>1.12940625319864</v>
      </c>
      <c r="F1084">
        <v>0.61777739462755998</v>
      </c>
      <c r="G1084">
        <v>0.226039598695251</v>
      </c>
      <c r="H1084">
        <v>0.129708762809671</v>
      </c>
      <c r="I1084">
        <v>0.112436585294536</v>
      </c>
      <c r="J1084">
        <v>0.115077060462624</v>
      </c>
      <c r="K1084">
        <v>7.6911312525495906E-2</v>
      </c>
      <c r="L1084">
        <v>13262.7028617862</v>
      </c>
      <c r="M1084">
        <v>250</v>
      </c>
      <c r="N1084">
        <v>53.115968496938997</v>
      </c>
      <c r="O1084">
        <v>53.047416577626301</v>
      </c>
      <c r="P1084">
        <v>-1.0226291455000101</v>
      </c>
      <c r="Q1084">
        <v>0.132034652944825</v>
      </c>
      <c r="R1084">
        <v>0.97298419740832898</v>
      </c>
      <c r="S1084" t="s">
        <v>7701</v>
      </c>
      <c r="T1084" t="s">
        <v>13232</v>
      </c>
      <c r="U1084" t="s">
        <v>13232</v>
      </c>
      <c r="V1084" t="s">
        <v>13232</v>
      </c>
      <c r="W1084" t="s">
        <v>14282</v>
      </c>
      <c r="X1084">
        <v>4</v>
      </c>
      <c r="Y1084" t="s">
        <v>20808</v>
      </c>
      <c r="Z1084" t="s">
        <v>27215</v>
      </c>
      <c r="AA1084">
        <v>0.5097038663273854</v>
      </c>
      <c r="AB1084" t="str">
        <f>HYPERLINK("Melting_Curves/meltCurve_O00560_3_SDCBP.pdf", "Melting_Curves/meltCurve_O00560_3_SDCBP.pdf")</f>
        <v>Melting_Curves/meltCurve_O00560_3_SDCBP.pdf</v>
      </c>
    </row>
    <row r="1085" spans="1:28" x14ac:dyDescent="0.25">
      <c r="A1085" t="s">
        <v>1089</v>
      </c>
      <c r="B1085">
        <v>0.99930955844802105</v>
      </c>
      <c r="C1085">
        <v>1.0076830792409299</v>
      </c>
      <c r="D1085">
        <v>0.99188030930706195</v>
      </c>
      <c r="E1085">
        <v>0.86297495198433205</v>
      </c>
      <c r="F1085">
        <v>0.55823161204252902</v>
      </c>
      <c r="G1085">
        <v>0.41651970815934403</v>
      </c>
      <c r="H1085">
        <v>0.33803345773353999</v>
      </c>
      <c r="I1085">
        <v>0.34731227025226402</v>
      </c>
      <c r="J1085">
        <v>0.31724012725366402</v>
      </c>
      <c r="K1085">
        <v>0.26636257539624397</v>
      </c>
      <c r="L1085">
        <v>1439.17891447034</v>
      </c>
      <c r="M1085">
        <v>27.577100094111799</v>
      </c>
      <c r="N1085">
        <v>54.171391252387899</v>
      </c>
      <c r="O1085">
        <v>51.915357137464099</v>
      </c>
      <c r="P1085">
        <v>-9.0584931420899004E-2</v>
      </c>
      <c r="Q1085">
        <v>0.31788244790286702</v>
      </c>
      <c r="R1085">
        <v>0.99304109480078395</v>
      </c>
      <c r="S1085" t="s">
        <v>7702</v>
      </c>
      <c r="T1085" t="s">
        <v>13232</v>
      </c>
      <c r="U1085" t="s">
        <v>13232</v>
      </c>
      <c r="V1085" t="s">
        <v>13232</v>
      </c>
      <c r="W1085" t="s">
        <v>14283</v>
      </c>
      <c r="X1085">
        <v>14</v>
      </c>
      <c r="Y1085" t="s">
        <v>20809</v>
      </c>
      <c r="Z1085" t="s">
        <v>27216</v>
      </c>
      <c r="AA1085">
        <v>0.60015051294904032</v>
      </c>
      <c r="AB1085" t="str">
        <f>HYPERLINK("Melting_Curves/meltCurve_O00566_MPHOSPH10.pdf", "Melting_Curves/meltCurve_O00566_MPHOSPH10.pdf")</f>
        <v>Melting_Curves/meltCurve_O00566_MPHOSPH10.pdf</v>
      </c>
    </row>
    <row r="1086" spans="1:28" x14ac:dyDescent="0.25">
      <c r="A1086" t="s">
        <v>1090</v>
      </c>
      <c r="B1086">
        <v>0.99930955844802105</v>
      </c>
      <c r="C1086">
        <v>0.96578980835149697</v>
      </c>
      <c r="D1086">
        <v>0.98693898646997102</v>
      </c>
      <c r="E1086">
        <v>0.95884637360035196</v>
      </c>
      <c r="F1086">
        <v>0.84816670397048899</v>
      </c>
      <c r="G1086">
        <v>0.747592101956568</v>
      </c>
      <c r="H1086">
        <v>0.65673205961060799</v>
      </c>
      <c r="I1086">
        <v>0.70679895767933898</v>
      </c>
      <c r="J1086">
        <v>0.67491264210619395</v>
      </c>
      <c r="K1086">
        <v>0.54727894674613897</v>
      </c>
      <c r="L1086">
        <v>756.33965153247698</v>
      </c>
      <c r="M1086">
        <v>13.585118863914101</v>
      </c>
      <c r="O1086">
        <v>54.5093153359146</v>
      </c>
      <c r="P1086">
        <v>-2.5576411929723999E-2</v>
      </c>
      <c r="Q1086">
        <v>0.58956700467949597</v>
      </c>
      <c r="R1086">
        <v>0.94578771587990795</v>
      </c>
      <c r="S1086" t="s">
        <v>7703</v>
      </c>
      <c r="T1086" t="s">
        <v>13232</v>
      </c>
      <c r="U1086" t="s">
        <v>13232</v>
      </c>
      <c r="V1086" t="s">
        <v>13232</v>
      </c>
      <c r="W1086" t="s">
        <v>14284</v>
      </c>
      <c r="X1086">
        <v>14</v>
      </c>
      <c r="Y1086" t="s">
        <v>20810</v>
      </c>
      <c r="Z1086" t="s">
        <v>27217</v>
      </c>
      <c r="AA1086">
        <v>0.8121539875742716</v>
      </c>
      <c r="AB1086" t="str">
        <f>HYPERLINK("Melting_Curves/meltCurve_O00567_NOP56.pdf", "Melting_Curves/meltCurve_O00567_NOP56.pdf")</f>
        <v>Melting_Curves/meltCurve_O00567_NOP56.pdf</v>
      </c>
    </row>
    <row r="1087" spans="1:28" x14ac:dyDescent="0.25">
      <c r="A1087" t="s">
        <v>1091</v>
      </c>
      <c r="B1087">
        <v>0.99930955844802105</v>
      </c>
      <c r="C1087">
        <v>1.5181140826747299</v>
      </c>
      <c r="D1087">
        <v>1.41075088534713</v>
      </c>
      <c r="E1087">
        <v>1.0847864300555199</v>
      </c>
      <c r="F1087">
        <v>1.4396073431827301</v>
      </c>
      <c r="G1087">
        <v>1.22552294662267</v>
      </c>
      <c r="H1087">
        <v>1.51699513944564</v>
      </c>
      <c r="I1087">
        <v>1.75227546640664</v>
      </c>
      <c r="J1087">
        <v>1.9446392203382501</v>
      </c>
      <c r="K1087">
        <v>1.37717167063928</v>
      </c>
      <c r="L1087">
        <v>423.03099890025197</v>
      </c>
      <c r="M1087">
        <v>9.8256869274963599</v>
      </c>
      <c r="O1087">
        <v>41.383940295592197</v>
      </c>
      <c r="P1087">
        <v>2.9693884012199599E-2</v>
      </c>
      <c r="Q1087">
        <v>1.5</v>
      </c>
      <c r="R1087">
        <v>0.238198943572175</v>
      </c>
      <c r="S1087" t="s">
        <v>7704</v>
      </c>
      <c r="T1087" t="s">
        <v>13232</v>
      </c>
      <c r="U1087" t="s">
        <v>13232</v>
      </c>
      <c r="V1087" t="s">
        <v>13232</v>
      </c>
      <c r="W1087" t="s">
        <v>14285</v>
      </c>
      <c r="X1087">
        <v>2</v>
      </c>
      <c r="Y1087" t="s">
        <v>20811</v>
      </c>
      <c r="Z1087" t="s">
        <v>27218</v>
      </c>
      <c r="AA1087">
        <v>1.406219626366884</v>
      </c>
      <c r="AB1087" t="str">
        <f>HYPERLINK("Melting_Curves/meltCurve_O00570_SOX1.pdf", "Melting_Curves/meltCurve_O00570_SOX1.pdf")</f>
        <v>Melting_Curves/meltCurve_O00570_SOX1.pdf</v>
      </c>
    </row>
    <row r="1088" spans="1:28" x14ac:dyDescent="0.25">
      <c r="A1088" t="s">
        <v>1092</v>
      </c>
      <c r="B1088">
        <v>0.99930955844802105</v>
      </c>
      <c r="C1088">
        <v>1.0150286261881201</v>
      </c>
      <c r="D1088">
        <v>0.94169736907111601</v>
      </c>
      <c r="E1088">
        <v>0.444992782272221</v>
      </c>
      <c r="F1088">
        <v>0.25023896338106699</v>
      </c>
      <c r="G1088">
        <v>0.207606841001376</v>
      </c>
      <c r="H1088">
        <v>0.161189376002698</v>
      </c>
      <c r="I1088">
        <v>0.1711246387932</v>
      </c>
      <c r="J1088">
        <v>0.152684531108115</v>
      </c>
      <c r="K1088">
        <v>0.11894403156314801</v>
      </c>
      <c r="L1088">
        <v>1687.16610079001</v>
      </c>
      <c r="M1088">
        <v>34.343578581268197</v>
      </c>
      <c r="N1088">
        <v>49.698514969515401</v>
      </c>
      <c r="O1088">
        <v>48.9604348167206</v>
      </c>
      <c r="P1088">
        <v>-0.14671829134234701</v>
      </c>
      <c r="Q1088">
        <v>0.16335289558710001</v>
      </c>
      <c r="R1088">
        <v>0.99621601330342702</v>
      </c>
      <c r="S1088" t="s">
        <v>7705</v>
      </c>
      <c r="T1088" t="s">
        <v>13232</v>
      </c>
      <c r="U1088" t="s">
        <v>13232</v>
      </c>
      <c r="V1088" t="s">
        <v>13232</v>
      </c>
      <c r="W1088" t="s">
        <v>14286</v>
      </c>
      <c r="X1088">
        <v>51</v>
      </c>
      <c r="Y1088" t="s">
        <v>20812</v>
      </c>
      <c r="Z1088" t="s">
        <v>27219</v>
      </c>
      <c r="AA1088">
        <v>0.42173797936132812</v>
      </c>
      <c r="AB1088" t="str">
        <f>HYPERLINK("Melting_Curves/meltCurve_O00571_DDX3X.pdf", "Melting_Curves/meltCurve_O00571_DDX3X.pdf")</f>
        <v>Melting_Curves/meltCurve_O00571_DDX3X.pdf</v>
      </c>
    </row>
    <row r="1089" spans="1:28" x14ac:dyDescent="0.25">
      <c r="A1089" t="s">
        <v>1093</v>
      </c>
      <c r="B1089">
        <v>0.99930955844802105</v>
      </c>
      <c r="C1089">
        <v>1.07792387512084</v>
      </c>
      <c r="D1089">
        <v>1.0696689553946399</v>
      </c>
      <c r="E1089">
        <v>0.76405359448242005</v>
      </c>
      <c r="F1089">
        <v>0.46228494302433998</v>
      </c>
      <c r="G1089">
        <v>0.31607283726527402</v>
      </c>
      <c r="H1089">
        <v>0.195709075111797</v>
      </c>
      <c r="I1089">
        <v>0.133431472630545</v>
      </c>
      <c r="J1089">
        <v>9.9395081677255206E-2</v>
      </c>
      <c r="K1089">
        <v>8.0003099463455296E-2</v>
      </c>
      <c r="L1089">
        <v>1138.9085254003001</v>
      </c>
      <c r="M1089">
        <v>21.6941804209956</v>
      </c>
      <c r="N1089">
        <v>53.148088351241398</v>
      </c>
      <c r="O1089">
        <v>52.058348606583202</v>
      </c>
      <c r="P1089">
        <v>-9.2049321591910802E-2</v>
      </c>
      <c r="Q1089">
        <v>0.116477371565053</v>
      </c>
      <c r="R1089">
        <v>0.98110516637914202</v>
      </c>
      <c r="S1089" t="s">
        <v>7706</v>
      </c>
      <c r="T1089" t="s">
        <v>13232</v>
      </c>
      <c r="U1089" t="s">
        <v>13232</v>
      </c>
      <c r="V1089" t="s">
        <v>13232</v>
      </c>
      <c r="W1089" t="s">
        <v>14287</v>
      </c>
      <c r="X1089">
        <v>16</v>
      </c>
      <c r="Y1089" t="s">
        <v>20813</v>
      </c>
      <c r="Z1089" t="s">
        <v>27220</v>
      </c>
      <c r="AA1089">
        <v>0.49511290875557579</v>
      </c>
      <c r="AB1089" t="str">
        <f>HYPERLINK("Melting_Curves/meltCurve_O00625_PIR.pdf", "Melting_Curves/meltCurve_O00625_PIR.pdf")</f>
        <v>Melting_Curves/meltCurve_O00625_PIR.pdf</v>
      </c>
    </row>
    <row r="1090" spans="1:28" x14ac:dyDescent="0.25">
      <c r="A1090" t="s">
        <v>1094</v>
      </c>
      <c r="B1090">
        <v>0.99930955844802105</v>
      </c>
      <c r="C1090">
        <v>1.00194799904303</v>
      </c>
      <c r="D1090">
        <v>0.966673656924807</v>
      </c>
      <c r="E1090">
        <v>0.93969729726479601</v>
      </c>
      <c r="F1090">
        <v>0.88069069152481605</v>
      </c>
      <c r="G1090">
        <v>0.62192840187331999</v>
      </c>
      <c r="H1090">
        <v>0.18862746882760401</v>
      </c>
      <c r="I1090">
        <v>0.146522462510565</v>
      </c>
      <c r="J1090">
        <v>0.107323558275867</v>
      </c>
      <c r="K1090">
        <v>8.4182206344060997E-2</v>
      </c>
      <c r="L1090">
        <v>1532.7911210878899</v>
      </c>
      <c r="M1090">
        <v>26.686531150263299</v>
      </c>
      <c r="N1090">
        <v>57.791437918917097</v>
      </c>
      <c r="O1090">
        <v>57.1172671624537</v>
      </c>
      <c r="P1090">
        <v>-0.107986500230857</v>
      </c>
      <c r="Q1090">
        <v>7.5514195550050997E-2</v>
      </c>
      <c r="R1090">
        <v>0.99492198307223401</v>
      </c>
      <c r="S1090" t="s">
        <v>7707</v>
      </c>
      <c r="T1090" t="s">
        <v>13232</v>
      </c>
      <c r="U1090" t="s">
        <v>13232</v>
      </c>
      <c r="V1090" t="s">
        <v>13232</v>
      </c>
      <c r="W1090" t="s">
        <v>14288</v>
      </c>
      <c r="X1090">
        <v>12</v>
      </c>
      <c r="Y1090" t="s">
        <v>20814</v>
      </c>
      <c r="Z1090" t="s">
        <v>27221</v>
      </c>
      <c r="AA1090">
        <v>0.62029215690825268</v>
      </c>
      <c r="AB1090" t="str">
        <f>HYPERLINK("Melting_Curves/meltCurve_O00629_KPNA4.pdf", "Melting_Curves/meltCurve_O00629_KPNA4.pdf")</f>
        <v>Melting_Curves/meltCurve_O00629_KPNA4.pdf</v>
      </c>
    </row>
    <row r="1091" spans="1:28" x14ac:dyDescent="0.25">
      <c r="A1091" t="s">
        <v>1095</v>
      </c>
      <c r="B1091">
        <v>0.99930955844802105</v>
      </c>
      <c r="C1091">
        <v>0.862145287806103</v>
      </c>
      <c r="D1091">
        <v>0.82107157922947105</v>
      </c>
      <c r="E1091">
        <v>0.89895939324193896</v>
      </c>
      <c r="F1091">
        <v>0.81309417952047003</v>
      </c>
      <c r="G1091">
        <v>0.57345184361114698</v>
      </c>
      <c r="H1091">
        <v>0.37827124676583501</v>
      </c>
      <c r="I1091">
        <v>0.245233741922572</v>
      </c>
      <c r="J1091">
        <v>0.17098001953657799</v>
      </c>
      <c r="K1091">
        <v>0.117932791238337</v>
      </c>
      <c r="L1091">
        <v>674.70286602510305</v>
      </c>
      <c r="M1091">
        <v>11.565413865231401</v>
      </c>
      <c r="N1091">
        <v>58.3379992791549</v>
      </c>
      <c r="O1091">
        <v>56.675653020608301</v>
      </c>
      <c r="P1091">
        <v>-5.1029979815791403E-2</v>
      </c>
      <c r="Q1091">
        <v>0</v>
      </c>
      <c r="R1091">
        <v>0.96270030194634004</v>
      </c>
      <c r="S1091" t="s">
        <v>7708</v>
      </c>
      <c r="T1091" t="s">
        <v>13232</v>
      </c>
      <c r="U1091" t="s">
        <v>13232</v>
      </c>
      <c r="V1091" t="s">
        <v>13232</v>
      </c>
      <c r="W1091" t="s">
        <v>14289</v>
      </c>
      <c r="X1091">
        <v>13</v>
      </c>
      <c r="Y1091" t="s">
        <v>20815</v>
      </c>
      <c r="Z1091" t="s">
        <v>27222</v>
      </c>
      <c r="AA1091">
        <v>0.62192045498787862</v>
      </c>
      <c r="AB1091" t="str">
        <f>HYPERLINK("Melting_Curves/meltCurve_O00743_PPP6C.pdf", "Melting_Curves/meltCurve_O00743_PPP6C.pdf")</f>
        <v>Melting_Curves/meltCurve_O00743_PPP6C.pdf</v>
      </c>
    </row>
    <row r="1092" spans="1:28" x14ac:dyDescent="0.25">
      <c r="A1092" t="s">
        <v>1096</v>
      </c>
      <c r="B1092">
        <v>0.99930955844802105</v>
      </c>
      <c r="C1092">
        <v>1.00681568379278</v>
      </c>
      <c r="D1092">
        <v>1.0317954653424499</v>
      </c>
      <c r="E1092">
        <v>0.86516485129808796</v>
      </c>
      <c r="F1092">
        <v>0.60316403651913297</v>
      </c>
      <c r="G1092">
        <v>0.26588231436037502</v>
      </c>
      <c r="H1092">
        <v>0.18295229735596799</v>
      </c>
      <c r="I1092">
        <v>0.146160139002557</v>
      </c>
      <c r="J1092">
        <v>0.11897259964538701</v>
      </c>
      <c r="K1092">
        <v>7.8070519294552304E-2</v>
      </c>
      <c r="L1092">
        <v>1322.07851053645</v>
      </c>
      <c r="M1092">
        <v>24.713252971286099</v>
      </c>
      <c r="N1092">
        <v>54.059248641169603</v>
      </c>
      <c r="O1092">
        <v>53.150148412882402</v>
      </c>
      <c r="P1092">
        <v>-0.10306522740938399</v>
      </c>
      <c r="Q1092">
        <v>0.113373700163129</v>
      </c>
      <c r="R1092">
        <v>0.99673939288677804</v>
      </c>
      <c r="S1092" t="s">
        <v>7709</v>
      </c>
      <c r="T1092" t="s">
        <v>13232</v>
      </c>
      <c r="U1092" t="s">
        <v>13232</v>
      </c>
      <c r="V1092" t="s">
        <v>13232</v>
      </c>
      <c r="W1092" t="s">
        <v>14290</v>
      </c>
      <c r="X1092">
        <v>5</v>
      </c>
      <c r="Y1092" t="s">
        <v>20816</v>
      </c>
      <c r="Z1092" t="s">
        <v>27223</v>
      </c>
      <c r="AA1092">
        <v>0.52062378213633609</v>
      </c>
      <c r="AB1092" t="str">
        <f>HYPERLINK("Melting_Curves/meltCurve_O00748_CES2.pdf", "Melting_Curves/meltCurve_O00748_CES2.pdf")</f>
        <v>Melting_Curves/meltCurve_O00748_CES2.pdf</v>
      </c>
    </row>
    <row r="1093" spans="1:28" x14ac:dyDescent="0.25">
      <c r="A1093" t="s">
        <v>1097</v>
      </c>
      <c r="B1093">
        <v>0.99930955844802105</v>
      </c>
      <c r="C1093">
        <v>0.94430468948686597</v>
      </c>
      <c r="D1093">
        <v>0.93560765320316697</v>
      </c>
      <c r="E1093">
        <v>0.91278131446187005</v>
      </c>
      <c r="F1093">
        <v>0.87834283686686299</v>
      </c>
      <c r="G1093">
        <v>0.69366838376996298</v>
      </c>
      <c r="H1093">
        <v>0.39713949359742901</v>
      </c>
      <c r="I1093">
        <v>0.36705176255322403</v>
      </c>
      <c r="J1093">
        <v>0.33088876160284197</v>
      </c>
      <c r="K1093">
        <v>0.231374868903373</v>
      </c>
      <c r="L1093">
        <v>921.34196873650001</v>
      </c>
      <c r="M1093">
        <v>15.8695785975581</v>
      </c>
      <c r="N1093">
        <v>60.051109569095097</v>
      </c>
      <c r="O1093">
        <v>57.158690789181598</v>
      </c>
      <c r="P1093">
        <v>-5.5199578888805403E-2</v>
      </c>
      <c r="Q1093">
        <v>0.20479800492772199</v>
      </c>
      <c r="R1093">
        <v>0.98316868655720802</v>
      </c>
      <c r="S1093" t="s">
        <v>7710</v>
      </c>
      <c r="T1093" t="s">
        <v>13232</v>
      </c>
      <c r="U1093" t="s">
        <v>13232</v>
      </c>
      <c r="V1093" t="s">
        <v>13232</v>
      </c>
      <c r="W1093" t="s">
        <v>14291</v>
      </c>
      <c r="X1093">
        <v>23</v>
      </c>
      <c r="Y1093" t="s">
        <v>20817</v>
      </c>
      <c r="Z1093" t="s">
        <v>27224</v>
      </c>
      <c r="AA1093">
        <v>0.69385053520378426</v>
      </c>
      <c r="AB1093" t="str">
        <f>HYPERLINK("Melting_Curves/meltCurve_O00754_2_MAN2B1.pdf", "Melting_Curves/meltCurve_O00754_2_MAN2B1.pdf")</f>
        <v>Melting_Curves/meltCurve_O00754_2_MAN2B1.pdf</v>
      </c>
    </row>
    <row r="1094" spans="1:28" x14ac:dyDescent="0.25">
      <c r="A1094" t="s">
        <v>1098</v>
      </c>
      <c r="B1094">
        <v>0.99930955844802105</v>
      </c>
      <c r="C1094">
        <v>0.92801174048358304</v>
      </c>
      <c r="D1094">
        <v>0.88970635197394099</v>
      </c>
      <c r="E1094">
        <v>0.87298368584029895</v>
      </c>
      <c r="F1094">
        <v>0.67333543355950898</v>
      </c>
      <c r="G1094">
        <v>0.175382984260263</v>
      </c>
      <c r="H1094">
        <v>8.4141310590884394E-2</v>
      </c>
      <c r="I1094">
        <v>6.2693842482996004E-2</v>
      </c>
      <c r="J1094">
        <v>5.9642886902815197E-2</v>
      </c>
      <c r="K1094">
        <v>4.5683489800049798E-2</v>
      </c>
      <c r="L1094">
        <v>1556.22062263886</v>
      </c>
      <c r="M1094">
        <v>28.875890309216899</v>
      </c>
      <c r="N1094">
        <v>54.076491325134903</v>
      </c>
      <c r="O1094">
        <v>53.636934437236199</v>
      </c>
      <c r="P1094">
        <v>-0.128323491298311</v>
      </c>
      <c r="Q1094">
        <v>4.6564251536834501E-2</v>
      </c>
      <c r="R1094">
        <v>0.98775002008629897</v>
      </c>
      <c r="S1094" t="s">
        <v>7711</v>
      </c>
      <c r="T1094" t="s">
        <v>13232</v>
      </c>
      <c r="U1094" t="s">
        <v>13232</v>
      </c>
      <c r="V1094" t="s">
        <v>13232</v>
      </c>
      <c r="W1094" t="s">
        <v>14292</v>
      </c>
      <c r="X1094">
        <v>13</v>
      </c>
      <c r="Y1094" t="s">
        <v>20818</v>
      </c>
      <c r="Z1094" t="s">
        <v>27225</v>
      </c>
      <c r="AA1094">
        <v>0.4948458189950507</v>
      </c>
      <c r="AB1094" t="str">
        <f>HYPERLINK("Melting_Curves/meltCurve_O00764_PDXK.pdf", "Melting_Curves/meltCurve_O00764_PDXK.pdf")</f>
        <v>Melting_Curves/meltCurve_O00764_PDXK.pdf</v>
      </c>
    </row>
    <row r="1095" spans="1:28" x14ac:dyDescent="0.25">
      <c r="A1095" t="s">
        <v>1099</v>
      </c>
      <c r="B1095">
        <v>0.99930955844802105</v>
      </c>
      <c r="C1095">
        <v>0.89424042396294301</v>
      </c>
      <c r="D1095">
        <v>0.83429561741982705</v>
      </c>
      <c r="E1095">
        <v>0.60801359903410501</v>
      </c>
      <c r="F1095">
        <v>0.39451016562198499</v>
      </c>
      <c r="G1095">
        <v>0.32313249161912599</v>
      </c>
      <c r="H1095">
        <v>0.27870467007548</v>
      </c>
      <c r="I1095">
        <v>0.30628966825464798</v>
      </c>
      <c r="J1095">
        <v>0.29241066090481399</v>
      </c>
      <c r="K1095">
        <v>0.23919981650894501</v>
      </c>
      <c r="L1095">
        <v>828.46800421304204</v>
      </c>
      <c r="M1095">
        <v>16.856425761652101</v>
      </c>
      <c r="N1095">
        <v>51.409448419486601</v>
      </c>
      <c r="O1095">
        <v>48.472420636832801</v>
      </c>
      <c r="P1095">
        <v>-6.4185158597188596E-2</v>
      </c>
      <c r="Q1095">
        <v>0.26176268215939102</v>
      </c>
      <c r="R1095">
        <v>0.99089434973217605</v>
      </c>
      <c r="S1095" t="s">
        <v>7712</v>
      </c>
      <c r="T1095" t="s">
        <v>13232</v>
      </c>
      <c r="U1095" t="s">
        <v>13232</v>
      </c>
      <c r="V1095" t="s">
        <v>13232</v>
      </c>
      <c r="W1095" t="s">
        <v>14293</v>
      </c>
      <c r="X1095">
        <v>57</v>
      </c>
      <c r="Y1095" t="s">
        <v>20819</v>
      </c>
      <c r="Z1095" t="s">
        <v>27226</v>
      </c>
      <c r="AA1095">
        <v>0.50139404749806937</v>
      </c>
      <c r="AB1095" t="str">
        <f>HYPERLINK("Melting_Curves/meltCurve_O14497_ARID1A.pdf", "Melting_Curves/meltCurve_O14497_ARID1A.pdf")</f>
        <v>Melting_Curves/meltCurve_O14497_ARID1A.pdf</v>
      </c>
    </row>
    <row r="1096" spans="1:28" x14ac:dyDescent="0.25">
      <c r="A1096" t="s">
        <v>1100</v>
      </c>
      <c r="B1096">
        <v>0.99930955844802105</v>
      </c>
      <c r="C1096">
        <v>1.43622849723604</v>
      </c>
      <c r="D1096">
        <v>1.3834537630841499</v>
      </c>
      <c r="E1096">
        <v>1.43119491699228</v>
      </c>
      <c r="F1096">
        <v>1.2644719494365</v>
      </c>
      <c r="G1096">
        <v>0.83551778434896196</v>
      </c>
      <c r="H1096">
        <v>0.86152220864552098</v>
      </c>
      <c r="I1096">
        <v>0.64413289221965697</v>
      </c>
      <c r="J1096">
        <v>0.56284948495464904</v>
      </c>
      <c r="K1096">
        <v>0.53428059412963202</v>
      </c>
      <c r="L1096">
        <v>1725.15248615686</v>
      </c>
      <c r="M1096">
        <v>27.737683229242599</v>
      </c>
      <c r="O1096">
        <v>61.874683542059799</v>
      </c>
      <c r="P1096">
        <v>-5.5282565021850603E-2</v>
      </c>
      <c r="Q1096">
        <v>0.50672725640764105</v>
      </c>
      <c r="R1096">
        <v>0.47658818365620498</v>
      </c>
      <c r="S1096" t="s">
        <v>7713</v>
      </c>
      <c r="T1096" t="s">
        <v>13232</v>
      </c>
      <c r="U1096" t="s">
        <v>13232</v>
      </c>
      <c r="V1096" t="s">
        <v>13232</v>
      </c>
      <c r="W1096" t="s">
        <v>14294</v>
      </c>
      <c r="X1096">
        <v>3</v>
      </c>
      <c r="Y1096" t="s">
        <v>20820</v>
      </c>
      <c r="Z1096" t="s">
        <v>27227</v>
      </c>
      <c r="AA1096">
        <v>0.87385805252630488</v>
      </c>
      <c r="AB1096" t="str">
        <f>HYPERLINK("Melting_Curves/meltCurve_O14503_BHLHE40.pdf", "Melting_Curves/meltCurve_O14503_BHLHE40.pdf")</f>
        <v>Melting_Curves/meltCurve_O14503_BHLHE40.pdf</v>
      </c>
    </row>
    <row r="1097" spans="1:28" x14ac:dyDescent="0.25">
      <c r="A1097" t="s">
        <v>1101</v>
      </c>
      <c r="B1097">
        <v>0.99930955844802105</v>
      </c>
      <c r="C1097">
        <v>1.0325269908093599</v>
      </c>
      <c r="D1097">
        <v>1.03170135155858</v>
      </c>
      <c r="E1097">
        <v>0.94207247533520799</v>
      </c>
      <c r="F1097">
        <v>0.68172313022342701</v>
      </c>
      <c r="G1097">
        <v>0.18359254550857901</v>
      </c>
      <c r="H1097">
        <v>7.3860505056031797E-2</v>
      </c>
      <c r="I1097">
        <v>5.33147687468392E-2</v>
      </c>
      <c r="J1097">
        <v>4.3931264386301197E-2</v>
      </c>
      <c r="K1097">
        <v>3.6094134282301099E-2</v>
      </c>
      <c r="L1097">
        <v>1846.1490623802099</v>
      </c>
      <c r="M1097">
        <v>34.141733008503998</v>
      </c>
      <c r="N1097">
        <v>54.222282152426502</v>
      </c>
      <c r="O1097">
        <v>53.888596021106999</v>
      </c>
      <c r="P1097">
        <v>-0.15129009548571001</v>
      </c>
      <c r="Q1097">
        <v>4.4831319719009402E-2</v>
      </c>
      <c r="R1097">
        <v>0.998750332910044</v>
      </c>
      <c r="S1097" t="s">
        <v>7714</v>
      </c>
      <c r="T1097" t="s">
        <v>13232</v>
      </c>
      <c r="U1097" t="s">
        <v>13232</v>
      </c>
      <c r="V1097" t="s">
        <v>13232</v>
      </c>
      <c r="W1097" t="s">
        <v>14295</v>
      </c>
      <c r="X1097">
        <v>13</v>
      </c>
      <c r="Y1097" t="s">
        <v>20821</v>
      </c>
      <c r="Z1097" t="s">
        <v>27228</v>
      </c>
      <c r="AA1097">
        <v>0.49778344324537499</v>
      </c>
      <c r="AB1097" t="str">
        <f>HYPERLINK("Melting_Curves/meltCurve_O14508_SOCS2.pdf", "Melting_Curves/meltCurve_O14508_SOCS2.pdf")</f>
        <v>Melting_Curves/meltCurve_O14508_SOCS2.pdf</v>
      </c>
    </row>
    <row r="1098" spans="1:28" x14ac:dyDescent="0.25">
      <c r="A1098" t="s">
        <v>1102</v>
      </c>
      <c r="B1098">
        <v>0.99930955844802105</v>
      </c>
      <c r="C1098">
        <v>1.5042886351211799</v>
      </c>
      <c r="D1098">
        <v>1.04504850829736</v>
      </c>
      <c r="E1098">
        <v>0.82571485550368295</v>
      </c>
      <c r="F1098">
        <v>0.81633125969328502</v>
      </c>
      <c r="G1098">
        <v>0.55699476119503399</v>
      </c>
      <c r="H1098">
        <v>0.60789819307910897</v>
      </c>
      <c r="I1098">
        <v>0.63585133298732299</v>
      </c>
      <c r="J1098">
        <v>0.68049329694216198</v>
      </c>
      <c r="K1098">
        <v>0.53439892014796897</v>
      </c>
      <c r="L1098">
        <v>1468.3052440915501</v>
      </c>
      <c r="M1098">
        <v>28.275555340589602</v>
      </c>
      <c r="O1098">
        <v>51.670770053242897</v>
      </c>
      <c r="P1098">
        <v>-5.4403614492621502E-2</v>
      </c>
      <c r="Q1098">
        <v>0.60233442284590699</v>
      </c>
      <c r="R1098">
        <v>0.64237464140251699</v>
      </c>
      <c r="S1098" t="s">
        <v>7715</v>
      </c>
      <c r="T1098" t="s">
        <v>13232</v>
      </c>
      <c r="U1098" t="s">
        <v>13232</v>
      </c>
      <c r="V1098" t="s">
        <v>13232</v>
      </c>
      <c r="W1098" t="s">
        <v>14296</v>
      </c>
      <c r="X1098">
        <v>2</v>
      </c>
      <c r="Y1098" t="s">
        <v>20822</v>
      </c>
      <c r="Z1098" t="s">
        <v>27229</v>
      </c>
      <c r="AA1098">
        <v>0.76330516342424948</v>
      </c>
      <c r="AB1098" t="str">
        <f>HYPERLINK("Melting_Curves/meltCurve_O14519_2_CDK2AP1.pdf", "Melting_Curves/meltCurve_O14519_2_CDK2AP1.pdf")</f>
        <v>Melting_Curves/meltCurve_O14519_2_CDK2AP1.pdf</v>
      </c>
    </row>
    <row r="1099" spans="1:28" x14ac:dyDescent="0.25">
      <c r="A1099" t="s">
        <v>1103</v>
      </c>
      <c r="B1099">
        <v>0.99930955844802105</v>
      </c>
      <c r="C1099">
        <v>1.0945614579915901</v>
      </c>
      <c r="D1099">
        <v>1.0537475572928801</v>
      </c>
      <c r="E1099">
        <v>0.58972435519929101</v>
      </c>
      <c r="F1099">
        <v>0.50314218579737502</v>
      </c>
      <c r="G1099">
        <v>0.28093639901031398</v>
      </c>
      <c r="H1099">
        <v>0.181120685833043</v>
      </c>
      <c r="I1099">
        <v>0.16796964560689601</v>
      </c>
      <c r="J1099">
        <v>0.139038466916618</v>
      </c>
      <c r="K1099">
        <v>0.12164866053765799</v>
      </c>
      <c r="L1099">
        <v>1057.52930666664</v>
      </c>
      <c r="M1099">
        <v>20.5294503738656</v>
      </c>
      <c r="N1099">
        <v>52.389943409841798</v>
      </c>
      <c r="O1099">
        <v>51.031486462335103</v>
      </c>
      <c r="P1099">
        <v>-8.59481298364798E-2</v>
      </c>
      <c r="Q1099">
        <v>0.14543604074190999</v>
      </c>
      <c r="R1099">
        <v>0.97010900794265598</v>
      </c>
      <c r="S1099" t="s">
        <v>7716</v>
      </c>
      <c r="T1099" t="s">
        <v>13232</v>
      </c>
      <c r="U1099" t="s">
        <v>13232</v>
      </c>
      <c r="V1099" t="s">
        <v>13232</v>
      </c>
      <c r="W1099" t="s">
        <v>14297</v>
      </c>
      <c r="X1099">
        <v>3</v>
      </c>
      <c r="Y1099" t="s">
        <v>20823</v>
      </c>
      <c r="Z1099" t="s">
        <v>27230</v>
      </c>
      <c r="AA1099">
        <v>0.4846737330850216</v>
      </c>
      <c r="AB1099" t="str">
        <f>HYPERLINK("Melting_Curves/meltCurve_O14526_2_FCHO1.pdf", "Melting_Curves/meltCurve_O14526_2_FCHO1.pdf")</f>
        <v>Melting_Curves/meltCurve_O14526_2_FCHO1.pdf</v>
      </c>
    </row>
    <row r="1100" spans="1:28" x14ac:dyDescent="0.25">
      <c r="A1100" t="s">
        <v>1104</v>
      </c>
      <c r="B1100">
        <v>0.99930955844802105</v>
      </c>
      <c r="C1100">
        <v>1.0464602240156999</v>
      </c>
      <c r="D1100">
        <v>0.99234915596767304</v>
      </c>
      <c r="E1100">
        <v>0.880385256955733</v>
      </c>
      <c r="F1100">
        <v>0.70359751582503305</v>
      </c>
      <c r="G1100">
        <v>0.57340400145311299</v>
      </c>
      <c r="H1100">
        <v>0.52747510812357301</v>
      </c>
      <c r="I1100">
        <v>0.59684379336893101</v>
      </c>
      <c r="J1100">
        <v>0.56201109849323005</v>
      </c>
      <c r="K1100">
        <v>0.48462668087543298</v>
      </c>
      <c r="L1100">
        <v>1492.8169162254501</v>
      </c>
      <c r="M1100">
        <v>28.779299412774201</v>
      </c>
      <c r="O1100">
        <v>51.622691613753297</v>
      </c>
      <c r="P1100">
        <v>-6.4009437661110197E-2</v>
      </c>
      <c r="Q1100">
        <v>0.54073738673541505</v>
      </c>
      <c r="R1100">
        <v>0.97890684377577497</v>
      </c>
      <c r="S1100" t="s">
        <v>7717</v>
      </c>
      <c r="T1100" t="s">
        <v>13232</v>
      </c>
      <c r="U1100" t="s">
        <v>13232</v>
      </c>
      <c r="V1100" t="s">
        <v>13232</v>
      </c>
      <c r="W1100" t="s">
        <v>14298</v>
      </c>
      <c r="X1100">
        <v>16</v>
      </c>
      <c r="Y1100" t="s">
        <v>20824</v>
      </c>
      <c r="Z1100" t="s">
        <v>27231</v>
      </c>
      <c r="AA1100">
        <v>0.72565037179436509</v>
      </c>
      <c r="AB1100" t="str">
        <f>HYPERLINK("Melting_Curves/meltCurve_O14545_TRAFD1.pdf", "Melting_Curves/meltCurve_O14545_TRAFD1.pdf")</f>
        <v>Melting_Curves/meltCurve_O14545_TRAFD1.pdf</v>
      </c>
    </row>
    <row r="1101" spans="1:28" x14ac:dyDescent="0.25">
      <c r="A1101" t="s">
        <v>1105</v>
      </c>
      <c r="B1101">
        <v>0.99930955844802105</v>
      </c>
      <c r="C1101">
        <v>0.92053294733222202</v>
      </c>
      <c r="D1101">
        <v>0.97007026857300804</v>
      </c>
      <c r="E1101">
        <v>0.84761704358540202</v>
      </c>
      <c r="F1101">
        <v>0.72251563009226405</v>
      </c>
      <c r="G1101">
        <v>0.59009981514183696</v>
      </c>
      <c r="H1101">
        <v>0.46723717392629999</v>
      </c>
      <c r="I1101">
        <v>0.42693362057391798</v>
      </c>
      <c r="J1101">
        <v>0.39796088291382298</v>
      </c>
      <c r="K1101">
        <v>0.28069123072532698</v>
      </c>
      <c r="L1101">
        <v>557.72375862068702</v>
      </c>
      <c r="M1101">
        <v>9.8191605743312795</v>
      </c>
      <c r="N1101">
        <v>60.200639550035099</v>
      </c>
      <c r="O1101">
        <v>54.594069717790902</v>
      </c>
      <c r="P1101">
        <v>-3.54103668862258E-2</v>
      </c>
      <c r="Q1101">
        <v>0.212890596557819</v>
      </c>
      <c r="R1101">
        <v>0.98672134625006502</v>
      </c>
      <c r="S1101" t="s">
        <v>7718</v>
      </c>
      <c r="T1101" t="s">
        <v>13232</v>
      </c>
      <c r="U1101" t="s">
        <v>13232</v>
      </c>
      <c r="V1101" t="s">
        <v>13232</v>
      </c>
      <c r="W1101" t="s">
        <v>14299</v>
      </c>
      <c r="X1101">
        <v>6</v>
      </c>
      <c r="Y1101" t="s">
        <v>20616</v>
      </c>
      <c r="Z1101" t="s">
        <v>27232</v>
      </c>
      <c r="AA1101">
        <v>0.66684025977916106</v>
      </c>
      <c r="AB1101" t="str">
        <f>HYPERLINK("Melting_Curves/meltCurve_O14561_NDUFAB1.pdf", "Melting_Curves/meltCurve_O14561_NDUFAB1.pdf")</f>
        <v>Melting_Curves/meltCurve_O14561_NDUFAB1.pdf</v>
      </c>
    </row>
    <row r="1102" spans="1:28" x14ac:dyDescent="0.25">
      <c r="A1102" t="s">
        <v>1106</v>
      </c>
      <c r="B1102">
        <v>0.99930955844802105</v>
      </c>
      <c r="C1102">
        <v>1.0528059438059301</v>
      </c>
      <c r="D1102">
        <v>0.97456941369467698</v>
      </c>
      <c r="E1102">
        <v>0.87579791399602702</v>
      </c>
      <c r="F1102">
        <v>0.67705317198616299</v>
      </c>
      <c r="G1102">
        <v>0.37355553565578298</v>
      </c>
      <c r="H1102">
        <v>0.274835516495604</v>
      </c>
      <c r="I1102">
        <v>0.253271991485023</v>
      </c>
      <c r="J1102">
        <v>0.24956582480609499</v>
      </c>
      <c r="K1102">
        <v>0.201309418992411</v>
      </c>
      <c r="L1102">
        <v>1246.5723740910801</v>
      </c>
      <c r="M1102">
        <v>23.222785365304599</v>
      </c>
      <c r="N1102">
        <v>55.0941721195518</v>
      </c>
      <c r="O1102">
        <v>53.285563017503002</v>
      </c>
      <c r="P1102">
        <v>-8.4479036826726306E-2</v>
      </c>
      <c r="Q1102">
        <v>0.22465254756743899</v>
      </c>
      <c r="R1102">
        <v>0.99609135719713005</v>
      </c>
      <c r="S1102" t="s">
        <v>7719</v>
      </c>
      <c r="T1102" t="s">
        <v>13232</v>
      </c>
      <c r="U1102" t="s">
        <v>13232</v>
      </c>
      <c r="V1102" t="s">
        <v>13232</v>
      </c>
      <c r="W1102" t="s">
        <v>14300</v>
      </c>
      <c r="X1102">
        <v>30</v>
      </c>
      <c r="Y1102" t="s">
        <v>20825</v>
      </c>
      <c r="Z1102" t="s">
        <v>27233</v>
      </c>
      <c r="AA1102">
        <v>0.58637316230534575</v>
      </c>
      <c r="AB1102" t="str">
        <f>HYPERLINK("Melting_Curves/meltCurve_O14578_4_CIT.pdf", "Melting_Curves/meltCurve_O14578_4_CIT.pdf")</f>
        <v>Melting_Curves/meltCurve_O14578_4_CIT.pdf</v>
      </c>
    </row>
    <row r="1103" spans="1:28" x14ac:dyDescent="0.25">
      <c r="A1103" t="s">
        <v>1107</v>
      </c>
      <c r="B1103">
        <v>0.99930955844802105</v>
      </c>
      <c r="C1103">
        <v>0.68722577886289604</v>
      </c>
      <c r="D1103">
        <v>0.69523077538057099</v>
      </c>
      <c r="E1103">
        <v>0.71343347135910096</v>
      </c>
      <c r="F1103">
        <v>0.30889551420521999</v>
      </c>
      <c r="G1103">
        <v>0.14809905704697901</v>
      </c>
      <c r="H1103">
        <v>8.33741422560135E-2</v>
      </c>
      <c r="I1103">
        <v>7.1767261835562202E-2</v>
      </c>
      <c r="J1103">
        <v>6.29690615512737E-2</v>
      </c>
      <c r="K1103">
        <v>4.7664893946020602E-2</v>
      </c>
      <c r="L1103">
        <v>541.53925927234002</v>
      </c>
      <c r="M1103">
        <v>10.8025248787007</v>
      </c>
      <c r="N1103">
        <v>50.1308041695615</v>
      </c>
      <c r="O1103">
        <v>48.504577025699199</v>
      </c>
      <c r="P1103">
        <v>-5.5698006370833102E-2</v>
      </c>
      <c r="Q1103">
        <v>0</v>
      </c>
      <c r="R1103">
        <v>0.92455325609264205</v>
      </c>
      <c r="S1103" t="s">
        <v>7720</v>
      </c>
      <c r="T1103" t="s">
        <v>13232</v>
      </c>
      <c r="U1103" t="s">
        <v>13232</v>
      </c>
      <c r="V1103" t="s">
        <v>13232</v>
      </c>
      <c r="W1103" t="s">
        <v>14301</v>
      </c>
      <c r="X1103">
        <v>17</v>
      </c>
      <c r="Y1103" t="s">
        <v>20826</v>
      </c>
      <c r="Z1103" t="s">
        <v>27234</v>
      </c>
      <c r="AA1103">
        <v>0.37786751845041933</v>
      </c>
      <c r="AB1103" t="str">
        <f>HYPERLINK("Melting_Curves/meltCurve_O14579_COPE.pdf", "Melting_Curves/meltCurve_O14579_COPE.pdf")</f>
        <v>Melting_Curves/meltCurve_O14579_COPE.pdf</v>
      </c>
    </row>
    <row r="1104" spans="1:28" x14ac:dyDescent="0.25">
      <c r="A1104" t="s">
        <v>1108</v>
      </c>
      <c r="B1104">
        <v>0.99930955844802105</v>
      </c>
      <c r="C1104">
        <v>0.92129584225079297</v>
      </c>
      <c r="D1104">
        <v>0.92621564396825595</v>
      </c>
      <c r="E1104">
        <v>0.739568350977867</v>
      </c>
      <c r="F1104">
        <v>0.39897819340255403</v>
      </c>
      <c r="G1104">
        <v>0.23901874088539701</v>
      </c>
      <c r="H1104">
        <v>0.15854416311931499</v>
      </c>
      <c r="I1104">
        <v>0.14436144131245299</v>
      </c>
      <c r="J1104">
        <v>0.13005397564272</v>
      </c>
      <c r="K1104">
        <v>0.102149351047621</v>
      </c>
      <c r="L1104">
        <v>1105.2899478756999</v>
      </c>
      <c r="M1104">
        <v>21.4336659893481</v>
      </c>
      <c r="N1104">
        <v>52.2417078335965</v>
      </c>
      <c r="O1104">
        <v>51.125347167574297</v>
      </c>
      <c r="P1104">
        <v>-9.2155097154360696E-2</v>
      </c>
      <c r="Q1104">
        <v>0.12075804799369499</v>
      </c>
      <c r="R1104">
        <v>0.99343414172581401</v>
      </c>
      <c r="S1104" t="s">
        <v>7721</v>
      </c>
      <c r="T1104" t="s">
        <v>13232</v>
      </c>
      <c r="U1104" t="s">
        <v>13232</v>
      </c>
      <c r="V1104" t="s">
        <v>13232</v>
      </c>
      <c r="W1104" t="s">
        <v>14302</v>
      </c>
      <c r="X1104">
        <v>36</v>
      </c>
      <c r="Y1104" t="s">
        <v>20827</v>
      </c>
      <c r="Z1104" t="s">
        <v>27235</v>
      </c>
      <c r="AA1104">
        <v>0.47051401960422079</v>
      </c>
      <c r="AB1104" t="str">
        <f>HYPERLINK("Melting_Curves/meltCurve_O14617_AP3D1.pdf", "Melting_Curves/meltCurve_O14617_AP3D1.pdf")</f>
        <v>Melting_Curves/meltCurve_O14617_AP3D1.pdf</v>
      </c>
    </row>
    <row r="1105" spans="1:28" x14ac:dyDescent="0.25">
      <c r="A1105" t="s">
        <v>1109</v>
      </c>
      <c r="B1105">
        <v>0.99930955844802105</v>
      </c>
      <c r="C1105">
        <v>1.2292548447374401</v>
      </c>
      <c r="D1105">
        <v>1.22105468692838</v>
      </c>
      <c r="E1105">
        <v>1.2330064305547299</v>
      </c>
      <c r="F1105">
        <v>1.16837114129918</v>
      </c>
      <c r="G1105">
        <v>0.99858178393799402</v>
      </c>
      <c r="H1105">
        <v>0.89121953703511503</v>
      </c>
      <c r="I1105">
        <v>0.81345188141556302</v>
      </c>
      <c r="J1105">
        <v>0.77124950211290599</v>
      </c>
      <c r="K1105">
        <v>0.593201375805259</v>
      </c>
      <c r="L1105">
        <v>1269.05221942604</v>
      </c>
      <c r="M1105">
        <v>18.843884902011901</v>
      </c>
      <c r="O1105">
        <v>66.600887719185906</v>
      </c>
      <c r="P1105">
        <v>-4.1000842786269399E-2</v>
      </c>
      <c r="Q1105">
        <v>0.42037852934104403</v>
      </c>
      <c r="R1105">
        <v>0.574127706289009</v>
      </c>
      <c r="S1105" t="s">
        <v>7722</v>
      </c>
      <c r="T1105" t="s">
        <v>13232</v>
      </c>
      <c r="U1105" t="s">
        <v>13232</v>
      </c>
      <c r="V1105" t="s">
        <v>13232</v>
      </c>
      <c r="W1105" t="s">
        <v>14303</v>
      </c>
      <c r="X1105">
        <v>9</v>
      </c>
      <c r="Y1105" t="s">
        <v>20828</v>
      </c>
      <c r="Z1105" t="s">
        <v>27236</v>
      </c>
      <c r="AA1105">
        <v>0.92711378803636435</v>
      </c>
      <c r="AB1105" t="str">
        <f>HYPERLINK("Melting_Curves/meltCurve_O14646_2_CHD1.pdf", "Melting_Curves/meltCurve_O14646_2_CHD1.pdf")</f>
        <v>Melting_Curves/meltCurve_O14646_2_CHD1.pdf</v>
      </c>
    </row>
    <row r="1106" spans="1:28" x14ac:dyDescent="0.25">
      <c r="A1106" t="s">
        <v>1110</v>
      </c>
      <c r="B1106">
        <v>0.99930955844802105</v>
      </c>
      <c r="C1106">
        <v>1.3000388305830599</v>
      </c>
      <c r="D1106">
        <v>1.2239666913546901</v>
      </c>
      <c r="E1106">
        <v>1.1473104182268401</v>
      </c>
      <c r="F1106">
        <v>1.20534991819557</v>
      </c>
      <c r="G1106">
        <v>1.1916892386206701</v>
      </c>
      <c r="H1106">
        <v>1.33533257492419</v>
      </c>
      <c r="I1106">
        <v>1.4236533750668801</v>
      </c>
      <c r="J1106">
        <v>1.4134465242647101</v>
      </c>
      <c r="K1106">
        <v>1.0505657422750101</v>
      </c>
      <c r="L1106">
        <v>10272.022746402001</v>
      </c>
      <c r="M1106">
        <v>250</v>
      </c>
      <c r="O1106">
        <v>41.0854817539077</v>
      </c>
      <c r="P1106">
        <v>0.38729529387786799</v>
      </c>
      <c r="Q1106">
        <v>1.25459529557381</v>
      </c>
      <c r="R1106">
        <v>0.32313352607059198</v>
      </c>
      <c r="S1106" t="s">
        <v>7723</v>
      </c>
      <c r="T1106" t="s">
        <v>13232</v>
      </c>
      <c r="U1106" t="s">
        <v>13232</v>
      </c>
      <c r="V1106" t="s">
        <v>13232</v>
      </c>
      <c r="W1106" t="s">
        <v>14304</v>
      </c>
      <c r="X1106">
        <v>4</v>
      </c>
      <c r="Y1106" t="s">
        <v>20829</v>
      </c>
      <c r="Z1106" t="s">
        <v>27237</v>
      </c>
      <c r="AA1106">
        <v>1.245341382801384</v>
      </c>
      <c r="AB1106" t="str">
        <f>HYPERLINK("Melting_Curves/meltCurve_O14647_CHD2.pdf", "Melting_Curves/meltCurve_O14647_CHD2.pdf")</f>
        <v>Melting_Curves/meltCurve_O14647_CHD2.pdf</v>
      </c>
    </row>
    <row r="1107" spans="1:28" x14ac:dyDescent="0.25">
      <c r="A1107" t="s">
        <v>1111</v>
      </c>
      <c r="B1107">
        <v>0.99930955844802105</v>
      </c>
      <c r="C1107">
        <v>1.55816598097431</v>
      </c>
      <c r="D1107">
        <v>1.85053045713175</v>
      </c>
      <c r="E1107">
        <v>1.68404987079611</v>
      </c>
      <c r="F1107">
        <v>1.52274383386742</v>
      </c>
      <c r="G1107">
        <v>1.88248678659733</v>
      </c>
      <c r="H1107">
        <v>2.0675145293481898</v>
      </c>
      <c r="I1107">
        <v>1.6255543989918699</v>
      </c>
      <c r="J1107">
        <v>1.8086720038331201</v>
      </c>
      <c r="K1107">
        <v>0.94031402595807601</v>
      </c>
      <c r="L1107">
        <v>0.121420882648172</v>
      </c>
      <c r="M1107">
        <v>14.4207256464921</v>
      </c>
      <c r="Q1107">
        <v>1.5</v>
      </c>
      <c r="R1107">
        <v>-7.2577393437449803E-2</v>
      </c>
      <c r="S1107" t="s">
        <v>7724</v>
      </c>
      <c r="T1107" t="s">
        <v>13232</v>
      </c>
      <c r="U1107" t="s">
        <v>13232</v>
      </c>
      <c r="V1107" t="s">
        <v>13232</v>
      </c>
      <c r="W1107" t="s">
        <v>14305</v>
      </c>
      <c r="X1107">
        <v>1</v>
      </c>
      <c r="Y1107" t="s">
        <v>20830</v>
      </c>
      <c r="Z1107" t="s">
        <v>27238</v>
      </c>
      <c r="AA1107">
        <v>1.499999726402651</v>
      </c>
      <c r="AB1107" t="str">
        <f>HYPERLINK("Melting_Curves/meltCurve_O14649_KCNK3.pdf", "Melting_Curves/meltCurve_O14649_KCNK3.pdf")</f>
        <v>Melting_Curves/meltCurve_O14649_KCNK3.pdf</v>
      </c>
    </row>
    <row r="1108" spans="1:28" x14ac:dyDescent="0.25">
      <c r="A1108" t="s">
        <v>1112</v>
      </c>
      <c r="B1108">
        <v>0.99930955844802105</v>
      </c>
      <c r="C1108">
        <v>1.0825281643196001</v>
      </c>
      <c r="D1108">
        <v>1.03848270013121</v>
      </c>
      <c r="E1108">
        <v>1.0320019427173801</v>
      </c>
      <c r="F1108">
        <v>0.96884238449761295</v>
      </c>
      <c r="G1108">
        <v>0.915501072048715</v>
      </c>
      <c r="H1108">
        <v>0.763442412695717</v>
      </c>
      <c r="I1108">
        <v>0.71744992459610701</v>
      </c>
      <c r="J1108">
        <v>0.45798632345950302</v>
      </c>
      <c r="K1108">
        <v>0.34127920062175099</v>
      </c>
      <c r="L1108">
        <v>978.30792938645504</v>
      </c>
      <c r="M1108">
        <v>14.643014438194699</v>
      </c>
      <c r="N1108">
        <v>66.810569932627303</v>
      </c>
      <c r="O1108">
        <v>65.601609247174494</v>
      </c>
      <c r="P1108">
        <v>-5.5808997700958797E-2</v>
      </c>
      <c r="Q1108">
        <v>0</v>
      </c>
      <c r="R1108">
        <v>0.97244799139681404</v>
      </c>
      <c r="S1108" t="s">
        <v>7725</v>
      </c>
      <c r="T1108" t="s">
        <v>13232</v>
      </c>
      <c r="U1108" t="s">
        <v>13232</v>
      </c>
      <c r="V1108" t="s">
        <v>13232</v>
      </c>
      <c r="W1108" t="s">
        <v>14306</v>
      </c>
      <c r="X1108">
        <v>5</v>
      </c>
      <c r="Y1108" t="s">
        <v>20831</v>
      </c>
      <c r="Z1108" t="s">
        <v>27239</v>
      </c>
      <c r="AA1108">
        <v>0.84665913668087689</v>
      </c>
      <c r="AB1108" t="str">
        <f>HYPERLINK("Melting_Curves/meltCurve_O14653_3_GOSR2.pdf", "Melting_Curves/meltCurve_O14653_3_GOSR2.pdf")</f>
        <v>Melting_Curves/meltCurve_O14653_3_GOSR2.pdf</v>
      </c>
    </row>
    <row r="1109" spans="1:28" x14ac:dyDescent="0.25">
      <c r="A1109" t="s">
        <v>1113</v>
      </c>
      <c r="B1109">
        <v>0.99930955844802105</v>
      </c>
      <c r="C1109">
        <v>1.64691388464197</v>
      </c>
      <c r="D1109">
        <v>1.6326958512832099</v>
      </c>
      <c r="E1109">
        <v>1.5625217708500301</v>
      </c>
      <c r="F1109">
        <v>1.6514940065382799</v>
      </c>
      <c r="G1109">
        <v>1.7454421880445401</v>
      </c>
      <c r="H1109">
        <v>2.1458383305730302</v>
      </c>
      <c r="I1109">
        <v>2.4005140796620599</v>
      </c>
      <c r="J1109">
        <v>2.7430671533458</v>
      </c>
      <c r="K1109">
        <v>2.11802084547171</v>
      </c>
      <c r="L1109">
        <v>10255.876377308899</v>
      </c>
      <c r="M1109">
        <v>250</v>
      </c>
      <c r="O1109">
        <v>41.020885026322901</v>
      </c>
      <c r="P1109">
        <v>0.76180715331058502</v>
      </c>
      <c r="Q1109">
        <v>1.5</v>
      </c>
      <c r="R1109">
        <v>-0.48956901964136401</v>
      </c>
      <c r="S1109" t="s">
        <v>7726</v>
      </c>
      <c r="T1109" t="s">
        <v>13232</v>
      </c>
      <c r="U1109" t="s">
        <v>13232</v>
      </c>
      <c r="V1109" t="s">
        <v>13232</v>
      </c>
      <c r="W1109" t="s">
        <v>14307</v>
      </c>
      <c r="X1109">
        <v>1</v>
      </c>
      <c r="Y1109" t="s">
        <v>20832</v>
      </c>
      <c r="Z1109" t="s">
        <v>27240</v>
      </c>
      <c r="AA1109">
        <v>1.482901280400847</v>
      </c>
      <c r="AB1109" t="str">
        <f>HYPERLINK("Melting_Curves/meltCurve_O14654_IRS4.pdf", "Melting_Curves/meltCurve_O14654_IRS4.pdf")</f>
        <v>Melting_Curves/meltCurve_O14654_IRS4.pdf</v>
      </c>
    </row>
    <row r="1110" spans="1:28" x14ac:dyDescent="0.25">
      <c r="A1110" t="s">
        <v>1114</v>
      </c>
      <c r="B1110">
        <v>0.99930955844802105</v>
      </c>
      <c r="C1110">
        <v>0.89648756830500398</v>
      </c>
      <c r="D1110">
        <v>0.777569307971821</v>
      </c>
      <c r="E1110">
        <v>0.61061983696266997</v>
      </c>
      <c r="F1110">
        <v>0.28110426218763601</v>
      </c>
      <c r="G1110">
        <v>0.18178078280468399</v>
      </c>
      <c r="H1110">
        <v>9.5879535147126896E-2</v>
      </c>
      <c r="I1110">
        <v>8.3094143675592896E-2</v>
      </c>
      <c r="J1110">
        <v>6.4186967814040097E-2</v>
      </c>
      <c r="K1110">
        <v>5.2096227055119702E-2</v>
      </c>
      <c r="L1110">
        <v>744.52054917041403</v>
      </c>
      <c r="M1110">
        <v>14.8157564414026</v>
      </c>
      <c r="N1110">
        <v>50.505765639332402</v>
      </c>
      <c r="O1110">
        <v>49.363086628671603</v>
      </c>
      <c r="P1110">
        <v>-7.2350248093619701E-2</v>
      </c>
      <c r="Q1110">
        <v>3.5876905366520502E-2</v>
      </c>
      <c r="R1110">
        <v>0.990941198859421</v>
      </c>
      <c r="S1110" t="s">
        <v>7727</v>
      </c>
      <c r="T1110" t="s">
        <v>13232</v>
      </c>
      <c r="U1110" t="s">
        <v>13232</v>
      </c>
      <c r="V1110" t="s">
        <v>13232</v>
      </c>
      <c r="W1110" t="s">
        <v>14308</v>
      </c>
      <c r="X1110">
        <v>3</v>
      </c>
      <c r="Y1110" t="s">
        <v>20833</v>
      </c>
      <c r="Z1110" t="s">
        <v>27241</v>
      </c>
      <c r="AA1110">
        <v>0.38864933466028839</v>
      </c>
      <c r="AB1110" t="str">
        <f>HYPERLINK("Melting_Curves/meltCurve_O14656_TOR1A.pdf", "Melting_Curves/meltCurve_O14656_TOR1A.pdf")</f>
        <v>Melting_Curves/meltCurve_O14656_TOR1A.pdf</v>
      </c>
    </row>
    <row r="1111" spans="1:28" x14ac:dyDescent="0.25">
      <c r="A1111" t="s">
        <v>1115</v>
      </c>
      <c r="B1111">
        <v>0.99930955844802105</v>
      </c>
      <c r="C1111">
        <v>0.92917488231922096</v>
      </c>
      <c r="D1111">
        <v>0.73389235363306005</v>
      </c>
      <c r="E1111">
        <v>0.48324005708902601</v>
      </c>
      <c r="F1111">
        <v>0.248161172977369</v>
      </c>
      <c r="G1111">
        <v>0.21834660988732699</v>
      </c>
      <c r="H1111">
        <v>0.11705153365342599</v>
      </c>
      <c r="I1111">
        <v>0.10742576335698301</v>
      </c>
      <c r="J1111">
        <v>9.5000410998304294E-2</v>
      </c>
      <c r="K1111">
        <v>8.1014066198392701E-2</v>
      </c>
      <c r="L1111">
        <v>791.08522154517902</v>
      </c>
      <c r="M1111">
        <v>16.192018839707998</v>
      </c>
      <c r="N1111">
        <v>49.445970180485901</v>
      </c>
      <c r="O1111">
        <v>48.129521610723003</v>
      </c>
      <c r="P1111">
        <v>-7.6729870778987602E-2</v>
      </c>
      <c r="Q1111">
        <v>8.7773885714118399E-2</v>
      </c>
      <c r="R1111">
        <v>0.99486011423488696</v>
      </c>
      <c r="S1111" t="s">
        <v>7728</v>
      </c>
      <c r="T1111" t="s">
        <v>13232</v>
      </c>
      <c r="U1111" t="s">
        <v>13232</v>
      </c>
      <c r="V1111" t="s">
        <v>13232</v>
      </c>
      <c r="W1111" t="s">
        <v>14309</v>
      </c>
      <c r="X1111">
        <v>5</v>
      </c>
      <c r="Y1111" t="s">
        <v>20834</v>
      </c>
      <c r="Z1111" t="s">
        <v>27242</v>
      </c>
      <c r="AA1111">
        <v>0.37661808790063278</v>
      </c>
      <c r="AB1111" t="str">
        <f>HYPERLINK("Melting_Curves/meltCurve_O14657_TOR1B.pdf", "Melting_Curves/meltCurve_O14657_TOR1B.pdf")</f>
        <v>Melting_Curves/meltCurve_O14657_TOR1B.pdf</v>
      </c>
    </row>
    <row r="1112" spans="1:28" x14ac:dyDescent="0.25">
      <c r="A1112" t="s">
        <v>1116</v>
      </c>
      <c r="B1112">
        <v>0.99930955844802105</v>
      </c>
      <c r="C1112">
        <v>1.05453567425668</v>
      </c>
      <c r="D1112">
        <v>0.96751853779700903</v>
      </c>
      <c r="E1112">
        <v>0.88184255963414204</v>
      </c>
      <c r="F1112">
        <v>0.749088947342466</v>
      </c>
      <c r="G1112">
        <v>0.66915781794273199</v>
      </c>
      <c r="H1112">
        <v>0.67510772980701395</v>
      </c>
      <c r="I1112">
        <v>0.75567927650220601</v>
      </c>
      <c r="J1112">
        <v>0.75525903403121697</v>
      </c>
      <c r="K1112">
        <v>0.61420232819376197</v>
      </c>
      <c r="L1112">
        <v>1774.1246599005401</v>
      </c>
      <c r="M1112">
        <v>35.052471580065003</v>
      </c>
      <c r="O1112">
        <v>50.449511665178697</v>
      </c>
      <c r="P1112">
        <v>-5.3281350162032698E-2</v>
      </c>
      <c r="Q1112">
        <v>0.69325887121065</v>
      </c>
      <c r="R1112">
        <v>0.91098754471161603</v>
      </c>
      <c r="S1112" t="s">
        <v>7729</v>
      </c>
      <c r="T1112" t="s">
        <v>13232</v>
      </c>
      <c r="U1112" t="s">
        <v>13232</v>
      </c>
      <c r="V1112" t="s">
        <v>13232</v>
      </c>
      <c r="W1112" t="s">
        <v>14310</v>
      </c>
      <c r="X1112">
        <v>66</v>
      </c>
      <c r="Y1112" t="s">
        <v>20835</v>
      </c>
      <c r="Z1112" t="s">
        <v>27243</v>
      </c>
      <c r="AA1112">
        <v>0.80317831311227617</v>
      </c>
      <c r="AB1112" t="str">
        <f>HYPERLINK("Melting_Curves/meltCurve_O14686_MLL2.pdf", "Melting_Curves/meltCurve_O14686_MLL2.pdf")</f>
        <v>Melting_Curves/meltCurve_O14686_MLL2.pdf</v>
      </c>
    </row>
    <row r="1113" spans="1:28" x14ac:dyDescent="0.25">
      <c r="A1113" t="s">
        <v>1117</v>
      </c>
      <c r="B1113">
        <v>0.99930955844802105</v>
      </c>
      <c r="C1113">
        <v>0.86339669860663604</v>
      </c>
      <c r="D1113">
        <v>0.91614476615584395</v>
      </c>
      <c r="E1113">
        <v>0.71241261922265298</v>
      </c>
      <c r="F1113">
        <v>0.470675882635604</v>
      </c>
      <c r="G1113">
        <v>0.26023338408154101</v>
      </c>
      <c r="H1113">
        <v>0.177731867849172</v>
      </c>
      <c r="I1113">
        <v>0.15752674009346401</v>
      </c>
      <c r="J1113">
        <v>0.137380747824355</v>
      </c>
      <c r="K1113">
        <v>0.10945521077376701</v>
      </c>
      <c r="L1113">
        <v>817.58149656147305</v>
      </c>
      <c r="M1113">
        <v>15.739112924431399</v>
      </c>
      <c r="N1113">
        <v>52.703085032237198</v>
      </c>
      <c r="O1113">
        <v>51.128955953656401</v>
      </c>
      <c r="P1113">
        <v>-6.9175830542593006E-2</v>
      </c>
      <c r="Q1113">
        <v>0.101196596697989</v>
      </c>
      <c r="R1113">
        <v>0.98867526409835504</v>
      </c>
      <c r="S1113" t="s">
        <v>7730</v>
      </c>
      <c r="T1113" t="s">
        <v>13232</v>
      </c>
      <c r="U1113" t="s">
        <v>13232</v>
      </c>
      <c r="V1113" t="s">
        <v>13232</v>
      </c>
      <c r="W1113" t="s">
        <v>14311</v>
      </c>
      <c r="X1113">
        <v>1</v>
      </c>
      <c r="Y1113" t="s">
        <v>20836</v>
      </c>
      <c r="Z1113" t="s">
        <v>27244</v>
      </c>
      <c r="AA1113">
        <v>0.47777222441879158</v>
      </c>
      <c r="AB1113" t="str">
        <f>HYPERLINK("Melting_Curves/meltCurve_O14713_2_ITGB1BP1.pdf", "Melting_Curves/meltCurve_O14713_2_ITGB1BP1.pdf")</f>
        <v>Melting_Curves/meltCurve_O14713_2_ITGB1BP1.pdf</v>
      </c>
    </row>
    <row r="1114" spans="1:28" x14ac:dyDescent="0.25">
      <c r="A1114" t="s">
        <v>1118</v>
      </c>
      <c r="B1114">
        <v>0.99930955844802105</v>
      </c>
      <c r="C1114">
        <v>0.96738313258947295</v>
      </c>
      <c r="D1114">
        <v>0.76654726393206496</v>
      </c>
      <c r="E1114">
        <v>0.49813886345966701</v>
      </c>
      <c r="F1114">
        <v>0.307487778026242</v>
      </c>
      <c r="G1114">
        <v>0.19286544836719499</v>
      </c>
      <c r="H1114">
        <v>8.75533050442832E-2</v>
      </c>
      <c r="I1114">
        <v>7.7485379514694294E-2</v>
      </c>
      <c r="J1114">
        <v>6.2603657146628106E-2</v>
      </c>
      <c r="K1114">
        <v>4.6506177492938901E-2</v>
      </c>
      <c r="L1114">
        <v>774.96080566912099</v>
      </c>
      <c r="M1114">
        <v>15.5835599396771</v>
      </c>
      <c r="N1114">
        <v>50.047782486842202</v>
      </c>
      <c r="O1114">
        <v>48.932075073629299</v>
      </c>
      <c r="P1114">
        <v>-7.5867521699806303E-2</v>
      </c>
      <c r="Q1114">
        <v>4.7192713424264399E-2</v>
      </c>
      <c r="R1114">
        <v>0.99706381085288698</v>
      </c>
      <c r="S1114" t="s">
        <v>7731</v>
      </c>
      <c r="T1114" t="s">
        <v>13232</v>
      </c>
      <c r="U1114" t="s">
        <v>13232</v>
      </c>
      <c r="V1114" t="s">
        <v>13232</v>
      </c>
      <c r="W1114" t="s">
        <v>14312</v>
      </c>
      <c r="X1114">
        <v>15</v>
      </c>
      <c r="Y1114" t="s">
        <v>20837</v>
      </c>
      <c r="Z1114" t="s">
        <v>27245</v>
      </c>
      <c r="AA1114">
        <v>0.37758743881612289</v>
      </c>
      <c r="AB1114" t="str">
        <f>HYPERLINK("Melting_Curves/meltCurve_O14733_MAP2K7.pdf", "Melting_Curves/meltCurve_O14733_MAP2K7.pdf")</f>
        <v>Melting_Curves/meltCurve_O14733_MAP2K7.pdf</v>
      </c>
    </row>
    <row r="1115" spans="1:28" x14ac:dyDescent="0.25">
      <c r="A1115" t="s">
        <v>1119</v>
      </c>
      <c r="B1115">
        <v>0.99930955844802105</v>
      </c>
      <c r="C1115">
        <v>0.94336325237025598</v>
      </c>
      <c r="D1115">
        <v>0.96830060987509803</v>
      </c>
      <c r="E1115">
        <v>0.94071807430523102</v>
      </c>
      <c r="F1115">
        <v>0.85837298707448895</v>
      </c>
      <c r="G1115">
        <v>0.74577078472994396</v>
      </c>
      <c r="H1115">
        <v>0.97101318925929403</v>
      </c>
      <c r="I1115">
        <v>1.0856132740559701</v>
      </c>
      <c r="J1115">
        <v>1.25064808228404</v>
      </c>
      <c r="K1115">
        <v>0.96187255914067404</v>
      </c>
      <c r="L1115">
        <v>15000</v>
      </c>
      <c r="M1115">
        <v>235.79719038393901</v>
      </c>
      <c r="O1115">
        <v>63.609413314638601</v>
      </c>
      <c r="P1115">
        <v>9.8475399125940805E-2</v>
      </c>
      <c r="Q1115">
        <v>1.1062601698896499</v>
      </c>
      <c r="R1115">
        <v>0.14207145310775701</v>
      </c>
      <c r="S1115" t="s">
        <v>7732</v>
      </c>
      <c r="T1115" t="s">
        <v>13232</v>
      </c>
      <c r="U1115" t="s">
        <v>13232</v>
      </c>
      <c r="V1115" t="s">
        <v>13232</v>
      </c>
      <c r="W1115" t="s">
        <v>14313</v>
      </c>
      <c r="X1115">
        <v>11</v>
      </c>
      <c r="Y1115" t="s">
        <v>20838</v>
      </c>
      <c r="Z1115" t="s">
        <v>27246</v>
      </c>
      <c r="AA1115">
        <v>1.0226059496983839</v>
      </c>
      <c r="AB1115" t="str">
        <f>HYPERLINK("Melting_Curves/meltCurve_O14737_PDCD5.pdf", "Melting_Curves/meltCurve_O14737_PDCD5.pdf")</f>
        <v>Melting_Curves/meltCurve_O14737_PDCD5.pdf</v>
      </c>
    </row>
    <row r="1116" spans="1:28" x14ac:dyDescent="0.25">
      <c r="A1116" t="s">
        <v>1120</v>
      </c>
      <c r="B1116">
        <v>0.99930955844802105</v>
      </c>
      <c r="C1116">
        <v>0.66457772721800401</v>
      </c>
      <c r="D1116">
        <v>0.770980131388178</v>
      </c>
      <c r="E1116">
        <v>0.99923636789908699</v>
      </c>
      <c r="F1116">
        <v>0.98227665241514805</v>
      </c>
      <c r="G1116">
        <v>0.19305255371107799</v>
      </c>
      <c r="H1116">
        <v>9.4106315994240006E-2</v>
      </c>
      <c r="I1116">
        <v>6.5854838614951394E-2</v>
      </c>
      <c r="J1116">
        <v>5.54452735026425E-2</v>
      </c>
      <c r="K1116">
        <v>4.3400991745553799E-2</v>
      </c>
      <c r="L1116">
        <v>4304.4731530919298</v>
      </c>
      <c r="M1116">
        <v>77.347959376735105</v>
      </c>
      <c r="N1116">
        <v>55.7499863927411</v>
      </c>
      <c r="O1116">
        <v>55.613600387072502</v>
      </c>
      <c r="P1116">
        <v>-0.325339846825555</v>
      </c>
      <c r="Q1116">
        <v>6.4315733626692503E-2</v>
      </c>
      <c r="R1116">
        <v>0.90121330245268105</v>
      </c>
      <c r="S1116" t="s">
        <v>7733</v>
      </c>
      <c r="T1116" t="s">
        <v>13232</v>
      </c>
      <c r="U1116" t="s">
        <v>13232</v>
      </c>
      <c r="V1116" t="s">
        <v>13232</v>
      </c>
      <c r="W1116" t="s">
        <v>14314</v>
      </c>
      <c r="X1116">
        <v>22</v>
      </c>
      <c r="Y1116" t="s">
        <v>20839</v>
      </c>
      <c r="Z1116" t="s">
        <v>27247</v>
      </c>
      <c r="AA1116">
        <v>0.55341157922735063</v>
      </c>
      <c r="AB1116" t="str">
        <f>HYPERLINK("Melting_Curves/meltCurve_O14744_PRMT5.pdf", "Melting_Curves/meltCurve_O14744_PRMT5.pdf")</f>
        <v>Melting_Curves/meltCurve_O14744_PRMT5.pdf</v>
      </c>
    </row>
    <row r="1117" spans="1:28" x14ac:dyDescent="0.25">
      <c r="A1117" t="s">
        <v>1121</v>
      </c>
      <c r="B1117">
        <v>0.99930955844802105</v>
      </c>
      <c r="C1117">
        <v>0.990063120184701</v>
      </c>
      <c r="D1117">
        <v>0.95712753134246098</v>
      </c>
      <c r="E1117">
        <v>0.916753195513059</v>
      </c>
      <c r="F1117">
        <v>0.88779644556045401</v>
      </c>
      <c r="G1117">
        <v>0.72275049314565398</v>
      </c>
      <c r="H1117">
        <v>0.62108581862846901</v>
      </c>
      <c r="I1117">
        <v>0.61447956284257399</v>
      </c>
      <c r="J1117">
        <v>0.60561098162201199</v>
      </c>
      <c r="K1117">
        <v>0.49074436734441701</v>
      </c>
      <c r="L1117">
        <v>681.84203249106497</v>
      </c>
      <c r="M1117">
        <v>11.914962176699399</v>
      </c>
      <c r="O1117">
        <v>55.685156821613297</v>
      </c>
      <c r="P1117">
        <v>-2.7898188072591999E-2</v>
      </c>
      <c r="Q1117">
        <v>0.47859492772847201</v>
      </c>
      <c r="R1117">
        <v>0.97806260999153505</v>
      </c>
      <c r="S1117" t="s">
        <v>7734</v>
      </c>
      <c r="T1117" t="s">
        <v>13232</v>
      </c>
      <c r="U1117" t="s">
        <v>13232</v>
      </c>
      <c r="V1117" t="s">
        <v>13232</v>
      </c>
      <c r="W1117" t="s">
        <v>14315</v>
      </c>
      <c r="X1117">
        <v>18</v>
      </c>
      <c r="Y1117" t="s">
        <v>20840</v>
      </c>
      <c r="Z1117" t="s">
        <v>27248</v>
      </c>
      <c r="AA1117">
        <v>0.78628776243611276</v>
      </c>
      <c r="AB1117" t="str">
        <f>HYPERLINK("Melting_Curves/meltCurve_O14745_SLC9A3R1.pdf", "Melting_Curves/meltCurve_O14745_SLC9A3R1.pdf")</f>
        <v>Melting_Curves/meltCurve_O14745_SLC9A3R1.pdf</v>
      </c>
    </row>
    <row r="1118" spans="1:28" x14ac:dyDescent="0.25">
      <c r="A1118" t="s">
        <v>1122</v>
      </c>
      <c r="B1118">
        <v>0.99930955844802105</v>
      </c>
      <c r="C1118">
        <v>0.90785740856030495</v>
      </c>
      <c r="D1118">
        <v>0.80545883333585</v>
      </c>
      <c r="E1118">
        <v>0.69633039869928504</v>
      </c>
      <c r="F1118">
        <v>0.41122824328345098</v>
      </c>
      <c r="G1118">
        <v>0.24087422163198499</v>
      </c>
      <c r="H1118">
        <v>0.16686267482602499</v>
      </c>
      <c r="I1118">
        <v>0.164231900547082</v>
      </c>
      <c r="J1118">
        <v>0.163419240774825</v>
      </c>
      <c r="K1118">
        <v>0.122511339009169</v>
      </c>
      <c r="L1118">
        <v>738.53780255637105</v>
      </c>
      <c r="M1118">
        <v>14.4697045795082</v>
      </c>
      <c r="N1118">
        <v>51.916335312949997</v>
      </c>
      <c r="O1118">
        <v>50.095124462577601</v>
      </c>
      <c r="P1118">
        <v>-6.4396625190688506E-2</v>
      </c>
      <c r="Q1118">
        <v>0.108321320966241</v>
      </c>
      <c r="R1118">
        <v>0.98902237601750898</v>
      </c>
      <c r="S1118" t="s">
        <v>7735</v>
      </c>
      <c r="T1118" t="s">
        <v>13232</v>
      </c>
      <c r="U1118" t="s">
        <v>13232</v>
      </c>
      <c r="V1118" t="s">
        <v>13232</v>
      </c>
      <c r="W1118" t="s">
        <v>14316</v>
      </c>
      <c r="X1118">
        <v>7</v>
      </c>
      <c r="Y1118" t="s">
        <v>20841</v>
      </c>
      <c r="Z1118" t="s">
        <v>27249</v>
      </c>
      <c r="AA1118">
        <v>0.45828812172983752</v>
      </c>
      <c r="AB1118" t="str">
        <f>HYPERLINK("Melting_Curves/meltCurve_O14757_CHEK1.pdf", "Melting_Curves/meltCurve_O14757_CHEK1.pdf")</f>
        <v>Melting_Curves/meltCurve_O14757_CHEK1.pdf</v>
      </c>
    </row>
    <row r="1119" spans="1:28" x14ac:dyDescent="0.25">
      <c r="A1119" t="s">
        <v>1123</v>
      </c>
      <c r="B1119">
        <v>0.99930955844802105</v>
      </c>
      <c r="C1119">
        <v>1.00854112666386</v>
      </c>
      <c r="D1119">
        <v>0.93333473950575996</v>
      </c>
      <c r="E1119">
        <v>0.70291612399175896</v>
      </c>
      <c r="F1119">
        <v>0.37211438898188998</v>
      </c>
      <c r="G1119">
        <v>0.27810149764053399</v>
      </c>
      <c r="H1119">
        <v>0.182455254447144</v>
      </c>
      <c r="I1119">
        <v>0.17727064765268899</v>
      </c>
      <c r="J1119">
        <v>0.17450773151995699</v>
      </c>
      <c r="K1119">
        <v>0.12106014933532</v>
      </c>
      <c r="L1119">
        <v>1200.2340330438701</v>
      </c>
      <c r="M1119">
        <v>23.510679538422199</v>
      </c>
      <c r="N1119">
        <v>51.920328291159599</v>
      </c>
      <c r="O1119">
        <v>50.6855790122668</v>
      </c>
      <c r="P1119">
        <v>-9.7089929815536005E-2</v>
      </c>
      <c r="Q1119">
        <v>0.16276813177490099</v>
      </c>
      <c r="R1119">
        <v>0.99466984533594005</v>
      </c>
      <c r="S1119" t="s">
        <v>7736</v>
      </c>
      <c r="T1119" t="s">
        <v>13232</v>
      </c>
      <c r="U1119" t="s">
        <v>13232</v>
      </c>
      <c r="V1119" t="s">
        <v>13232</v>
      </c>
      <c r="W1119" t="s">
        <v>14317</v>
      </c>
      <c r="X1119">
        <v>3</v>
      </c>
      <c r="Y1119" t="s">
        <v>20842</v>
      </c>
      <c r="Z1119" t="s">
        <v>27250</v>
      </c>
      <c r="AA1119">
        <v>0.47969847913193248</v>
      </c>
      <c r="AB1119" t="str">
        <f>HYPERLINK("Melting_Curves/meltCurve_O14770_6_MEIS2.pdf", "Melting_Curves/meltCurve_O14770_6_MEIS2.pdf")</f>
        <v>Melting_Curves/meltCurve_O14770_6_MEIS2.pdf</v>
      </c>
    </row>
    <row r="1120" spans="1:28" x14ac:dyDescent="0.25">
      <c r="A1120" t="s">
        <v>1124</v>
      </c>
      <c r="B1120">
        <v>0.99930955844802105</v>
      </c>
      <c r="C1120">
        <v>1.15597491405046</v>
      </c>
      <c r="D1120">
        <v>1.0990186255907599</v>
      </c>
      <c r="E1120">
        <v>0.91414550174880604</v>
      </c>
      <c r="F1120">
        <v>0.41874516678985702</v>
      </c>
      <c r="G1120">
        <v>0.26419674047681602</v>
      </c>
      <c r="H1120">
        <v>0.22093281089634501</v>
      </c>
      <c r="I1120">
        <v>0.27323440735207999</v>
      </c>
      <c r="J1120">
        <v>0.29074956989467998</v>
      </c>
      <c r="K1120">
        <v>0.24611503845521299</v>
      </c>
      <c r="L1120">
        <v>2960.44127941738</v>
      </c>
      <c r="M1120">
        <v>57.149947001444701</v>
      </c>
      <c r="N1120">
        <v>52.468620883864901</v>
      </c>
      <c r="O1120">
        <v>51.7379840495379</v>
      </c>
      <c r="P1120">
        <v>-0.20482424831951701</v>
      </c>
      <c r="Q1120">
        <v>0.25828884346844999</v>
      </c>
      <c r="R1120">
        <v>0.97410176045038399</v>
      </c>
      <c r="S1120" t="s">
        <v>7737</v>
      </c>
      <c r="T1120" t="s">
        <v>13232</v>
      </c>
      <c r="U1120" t="s">
        <v>13232</v>
      </c>
      <c r="V1120" t="s">
        <v>13232</v>
      </c>
      <c r="W1120" t="s">
        <v>14318</v>
      </c>
      <c r="X1120">
        <v>17</v>
      </c>
      <c r="Y1120" t="s">
        <v>20843</v>
      </c>
      <c r="Z1120" t="s">
        <v>27251</v>
      </c>
      <c r="AA1120">
        <v>0.55135611860496636</v>
      </c>
      <c r="AB1120" t="str">
        <f>HYPERLINK("Melting_Curves/meltCurve_O14772_FPGT.pdf", "Melting_Curves/meltCurve_O14772_FPGT.pdf")</f>
        <v>Melting_Curves/meltCurve_O14772_FPGT.pdf</v>
      </c>
    </row>
    <row r="1121" spans="1:28" x14ac:dyDescent="0.25">
      <c r="A1121" t="s">
        <v>1125</v>
      </c>
      <c r="B1121">
        <v>0.99930955844802105</v>
      </c>
      <c r="C1121">
        <v>0.59202946663453604</v>
      </c>
      <c r="D1121">
        <v>0.36920133474371197</v>
      </c>
      <c r="E1121">
        <v>0.28565864590928702</v>
      </c>
      <c r="F1121">
        <v>0.17011991347529501</v>
      </c>
      <c r="G1121">
        <v>9.2768215195370707E-2</v>
      </c>
      <c r="H1121">
        <v>3.20380833466044E-2</v>
      </c>
      <c r="I1121">
        <v>2.4935800969780701E-2</v>
      </c>
      <c r="J1121">
        <v>1.94384321038189E-2</v>
      </c>
      <c r="K1121">
        <v>1.1748598684160901E-2</v>
      </c>
      <c r="L1121">
        <v>649.03481619459205</v>
      </c>
      <c r="M1121">
        <v>14.4587139069733</v>
      </c>
      <c r="N1121">
        <v>45.081474428186098</v>
      </c>
      <c r="O1121">
        <v>44.056355734049397</v>
      </c>
      <c r="P1121">
        <v>-7.9598117705103097E-2</v>
      </c>
      <c r="Q1121">
        <v>2.9956732707217101E-2</v>
      </c>
      <c r="R1121">
        <v>0.95743951184492804</v>
      </c>
      <c r="S1121" t="s">
        <v>7738</v>
      </c>
      <c r="T1121" t="s">
        <v>13232</v>
      </c>
      <c r="U1121" t="s">
        <v>13232</v>
      </c>
      <c r="V1121" t="s">
        <v>13232</v>
      </c>
      <c r="W1121" t="s">
        <v>14319</v>
      </c>
      <c r="X1121">
        <v>2</v>
      </c>
      <c r="Y1121" t="s">
        <v>20844</v>
      </c>
      <c r="Z1121" t="s">
        <v>27252</v>
      </c>
      <c r="AA1121">
        <v>0.2220791439087357</v>
      </c>
      <c r="AB1121" t="str">
        <f>HYPERLINK("Melting_Curves/meltCurve_O14773_2_TPP1.pdf", "Melting_Curves/meltCurve_O14773_2_TPP1.pdf")</f>
        <v>Melting_Curves/meltCurve_O14773_2_TPP1.pdf</v>
      </c>
    </row>
    <row r="1122" spans="1:28" x14ac:dyDescent="0.25">
      <c r="A1122" t="s">
        <v>1126</v>
      </c>
      <c r="B1122">
        <v>0.99930955844802105</v>
      </c>
      <c r="C1122">
        <v>1.0472518866181399</v>
      </c>
      <c r="D1122">
        <v>0.95298314346899804</v>
      </c>
      <c r="E1122">
        <v>0.572806021271271</v>
      </c>
      <c r="F1122">
        <v>0.45509031408152301</v>
      </c>
      <c r="G1122">
        <v>0.38249905288663699</v>
      </c>
      <c r="H1122">
        <v>0.37142752339671897</v>
      </c>
      <c r="I1122">
        <v>0.392777792395961</v>
      </c>
      <c r="J1122">
        <v>0.38256564407489502</v>
      </c>
      <c r="K1122">
        <v>0.31574876834495003</v>
      </c>
      <c r="L1122">
        <v>1674.1101429964799</v>
      </c>
      <c r="M1122">
        <v>34.116978378710698</v>
      </c>
      <c r="N1122">
        <v>51.116843499293203</v>
      </c>
      <c r="O1122">
        <v>48.9020385480584</v>
      </c>
      <c r="P1122">
        <v>-0.109449545225558</v>
      </c>
      <c r="Q1122">
        <v>0.37247843719953</v>
      </c>
      <c r="R1122">
        <v>0.98944413862311098</v>
      </c>
      <c r="S1122" t="s">
        <v>7739</v>
      </c>
      <c r="T1122" t="s">
        <v>13232</v>
      </c>
      <c r="U1122" t="s">
        <v>13232</v>
      </c>
      <c r="V1122" t="s">
        <v>13232</v>
      </c>
      <c r="W1122" t="s">
        <v>14320</v>
      </c>
      <c r="X1122">
        <v>48</v>
      </c>
      <c r="Y1122" t="s">
        <v>20845</v>
      </c>
      <c r="Z1122" t="s">
        <v>27253</v>
      </c>
      <c r="AA1122">
        <v>0.565135332273772</v>
      </c>
      <c r="AB1122" t="str">
        <f>HYPERLINK("Melting_Curves/meltCurve_O14776_2_TCERG1.pdf", "Melting_Curves/meltCurve_O14776_2_TCERG1.pdf")</f>
        <v>Melting_Curves/meltCurve_O14776_2_TCERG1.pdf</v>
      </c>
    </row>
    <row r="1123" spans="1:28" x14ac:dyDescent="0.25">
      <c r="A1123" t="s">
        <v>1127</v>
      </c>
      <c r="B1123">
        <v>0.99930955844802105</v>
      </c>
      <c r="C1123">
        <v>0.99617945573123001</v>
      </c>
      <c r="D1123">
        <v>0.60784041961332103</v>
      </c>
      <c r="E1123">
        <v>0.33894048967078999</v>
      </c>
      <c r="F1123">
        <v>0.20774353665607101</v>
      </c>
      <c r="G1123">
        <v>0.14385778484825801</v>
      </c>
      <c r="H1123">
        <v>9.5581147109771697E-2</v>
      </c>
      <c r="I1123">
        <v>8.5812322428329701E-2</v>
      </c>
      <c r="J1123">
        <v>8.0035845188495894E-2</v>
      </c>
      <c r="K1123">
        <v>6.5523326651170305E-2</v>
      </c>
      <c r="L1123">
        <v>969.30594971332903</v>
      </c>
      <c r="M1123">
        <v>20.470745906270299</v>
      </c>
      <c r="N1123">
        <v>47.8127506552553</v>
      </c>
      <c r="O1123">
        <v>46.905868606778697</v>
      </c>
      <c r="P1123">
        <v>-9.9318233221094801E-2</v>
      </c>
      <c r="Q1123">
        <v>8.9731325171076196E-2</v>
      </c>
      <c r="R1123">
        <v>0.98677108342458397</v>
      </c>
      <c r="S1123" t="s">
        <v>7740</v>
      </c>
      <c r="T1123" t="s">
        <v>13232</v>
      </c>
      <c r="U1123" t="s">
        <v>13232</v>
      </c>
      <c r="V1123" t="s">
        <v>13232</v>
      </c>
      <c r="W1123" t="s">
        <v>14321</v>
      </c>
      <c r="X1123">
        <v>12</v>
      </c>
      <c r="Y1123" t="s">
        <v>20846</v>
      </c>
      <c r="Z1123" t="s">
        <v>27254</v>
      </c>
      <c r="AA1123">
        <v>0.32527781405880019</v>
      </c>
      <c r="AB1123" t="str">
        <f>HYPERLINK("Melting_Curves/meltCurve_O14777_NDC80.pdf", "Melting_Curves/meltCurve_O14777_NDC80.pdf")</f>
        <v>Melting_Curves/meltCurve_O14777_NDC80.pdf</v>
      </c>
    </row>
    <row r="1124" spans="1:28" x14ac:dyDescent="0.25">
      <c r="A1124" t="s">
        <v>1128</v>
      </c>
      <c r="B1124">
        <v>0.99930955844802105</v>
      </c>
      <c r="C1124">
        <v>0.93632919562194505</v>
      </c>
      <c r="D1124">
        <v>0.90542610223963904</v>
      </c>
      <c r="E1124">
        <v>0.58385569449438601</v>
      </c>
      <c r="F1124">
        <v>0.20304865596518001</v>
      </c>
      <c r="G1124">
        <v>0.108194482400248</v>
      </c>
      <c r="H1124">
        <v>5.5029808808019401E-2</v>
      </c>
      <c r="I1124">
        <v>2.7921722585387401E-2</v>
      </c>
      <c r="J1124">
        <v>3.2001091158829403E-2</v>
      </c>
      <c r="K1124">
        <v>2.4604772914079E-2</v>
      </c>
      <c r="L1124">
        <v>1284.3842285620899</v>
      </c>
      <c r="M1124">
        <v>25.521606971028699</v>
      </c>
      <c r="N1124">
        <v>50.458532772844798</v>
      </c>
      <c r="O1124">
        <v>50.019445088042097</v>
      </c>
      <c r="P1124">
        <v>-0.123405640167076</v>
      </c>
      <c r="Q1124">
        <v>3.2568014228268598E-2</v>
      </c>
      <c r="R1124">
        <v>0.99603457682188301</v>
      </c>
      <c r="S1124" t="s">
        <v>7741</v>
      </c>
      <c r="T1124" t="s">
        <v>13232</v>
      </c>
      <c r="U1124" t="s">
        <v>13232</v>
      </c>
      <c r="V1124" t="s">
        <v>13232</v>
      </c>
      <c r="W1124" t="s">
        <v>14322</v>
      </c>
      <c r="X1124">
        <v>22</v>
      </c>
      <c r="Y1124" t="s">
        <v>20847</v>
      </c>
      <c r="Z1124" t="s">
        <v>27255</v>
      </c>
      <c r="AA1124">
        <v>0.37386295850245232</v>
      </c>
      <c r="AB1124" t="str">
        <f>HYPERLINK("Melting_Curves/meltCurve_O14787_2_TNPO2.pdf", "Melting_Curves/meltCurve_O14787_2_TNPO2.pdf")</f>
        <v>Melting_Curves/meltCurve_O14787_2_TNPO2.pdf</v>
      </c>
    </row>
    <row r="1125" spans="1:28" x14ac:dyDescent="0.25">
      <c r="A1125" t="s">
        <v>1129</v>
      </c>
      <c r="B1125">
        <v>0.99930955844802105</v>
      </c>
      <c r="C1125">
        <v>0.99603293102535595</v>
      </c>
      <c r="D1125">
        <v>0.87223528456817401</v>
      </c>
      <c r="E1125">
        <v>0.71698936703821303</v>
      </c>
      <c r="F1125">
        <v>0.55828796640788603</v>
      </c>
      <c r="G1125">
        <v>0.40298193841378299</v>
      </c>
      <c r="H1125">
        <v>0.36469694857034002</v>
      </c>
      <c r="I1125">
        <v>0.37273690798187098</v>
      </c>
      <c r="J1125">
        <v>0.35605142371842602</v>
      </c>
      <c r="K1125">
        <v>0.32054552368929501</v>
      </c>
      <c r="L1125">
        <v>852.830763127713</v>
      </c>
      <c r="M1125">
        <v>16.812620230273598</v>
      </c>
      <c r="N1125">
        <v>54.248631207725097</v>
      </c>
      <c r="O1125">
        <v>50.024291858577797</v>
      </c>
      <c r="P1125">
        <v>-5.6113525045798002E-2</v>
      </c>
      <c r="Q1125">
        <v>0.33220209299437198</v>
      </c>
      <c r="R1125">
        <v>0.99573698760251395</v>
      </c>
      <c r="S1125" t="s">
        <v>7742</v>
      </c>
      <c r="T1125" t="s">
        <v>13232</v>
      </c>
      <c r="U1125" t="s">
        <v>13232</v>
      </c>
      <c r="V1125" t="s">
        <v>13232</v>
      </c>
      <c r="W1125" t="s">
        <v>14323</v>
      </c>
      <c r="X1125">
        <v>13</v>
      </c>
      <c r="Y1125" t="s">
        <v>20848</v>
      </c>
      <c r="Z1125" t="s">
        <v>27256</v>
      </c>
      <c r="AA1125">
        <v>0.58372230614173715</v>
      </c>
      <c r="AB1125" t="str">
        <f>HYPERLINK("Melting_Curves/meltCurve_O14795_UNC13B.pdf", "Melting_Curves/meltCurve_O14795_UNC13B.pdf")</f>
        <v>Melting_Curves/meltCurve_O14795_UNC13B.pdf</v>
      </c>
    </row>
    <row r="1126" spans="1:28" x14ac:dyDescent="0.25">
      <c r="A1126" t="s">
        <v>1130</v>
      </c>
      <c r="B1126">
        <v>0.99930955844802105</v>
      </c>
      <c r="C1126">
        <v>0.49121284385381297</v>
      </c>
      <c r="D1126">
        <v>0.48290591916278403</v>
      </c>
      <c r="E1126">
        <v>0.50075526392667602</v>
      </c>
      <c r="F1126">
        <v>0.29508920170810099</v>
      </c>
      <c r="G1126">
        <v>0.14603203870366399</v>
      </c>
      <c r="H1126">
        <v>8.2999339835450006E-2</v>
      </c>
      <c r="I1126">
        <v>6.9967259604509599E-2</v>
      </c>
      <c r="J1126">
        <v>6.0342884598669502E-2</v>
      </c>
      <c r="K1126">
        <v>5.1175902477055703E-2</v>
      </c>
      <c r="L1126">
        <v>407.76563102702102</v>
      </c>
      <c r="M1126">
        <v>8.7127530465867302</v>
      </c>
      <c r="N1126">
        <v>46.801009753991003</v>
      </c>
      <c r="O1126">
        <v>44.531722142262097</v>
      </c>
      <c r="P1126">
        <v>-4.8953320883030199E-2</v>
      </c>
      <c r="Q1126">
        <v>0</v>
      </c>
      <c r="R1126">
        <v>0.88354995433416095</v>
      </c>
      <c r="S1126" t="s">
        <v>7743</v>
      </c>
      <c r="T1126" t="s">
        <v>13232</v>
      </c>
      <c r="U1126" t="s">
        <v>13232</v>
      </c>
      <c r="V1126" t="s">
        <v>13232</v>
      </c>
      <c r="W1126" t="s">
        <v>14324</v>
      </c>
      <c r="X1126">
        <v>25</v>
      </c>
      <c r="Y1126" t="s">
        <v>20849</v>
      </c>
      <c r="Z1126" t="s">
        <v>27257</v>
      </c>
      <c r="AA1126">
        <v>0.29877221593348169</v>
      </c>
      <c r="AB1126" t="str">
        <f>HYPERLINK("Melting_Curves/meltCurve_O14802_POLR3A.pdf", "Melting_Curves/meltCurve_O14802_POLR3A.pdf")</f>
        <v>Melting_Curves/meltCurve_O14802_POLR3A.pdf</v>
      </c>
    </row>
    <row r="1127" spans="1:28" x14ac:dyDescent="0.25">
      <c r="A1127" t="s">
        <v>1131</v>
      </c>
      <c r="B1127">
        <v>0.99930955844802105</v>
      </c>
      <c r="C1127">
        <v>0.69594680727608405</v>
      </c>
      <c r="D1127">
        <v>0.72278096734154496</v>
      </c>
      <c r="E1127">
        <v>0.91972940642477796</v>
      </c>
      <c r="F1127">
        <v>1.0264450347961001</v>
      </c>
      <c r="G1127">
        <v>0.98880964185697495</v>
      </c>
      <c r="H1127">
        <v>0.29172656828119897</v>
      </c>
      <c r="I1127">
        <v>0.27706639566450703</v>
      </c>
      <c r="J1127">
        <v>0.27965428822216698</v>
      </c>
      <c r="K1127">
        <v>0.20453361651348001</v>
      </c>
      <c r="L1127">
        <v>6128.4476645122904</v>
      </c>
      <c r="M1127">
        <v>103.374949591214</v>
      </c>
      <c r="N1127">
        <v>59.692074683447601</v>
      </c>
      <c r="O1127">
        <v>59.2615058476974</v>
      </c>
      <c r="P1127">
        <v>-0.32554510837915901</v>
      </c>
      <c r="Q1127">
        <v>0.25350222747710899</v>
      </c>
      <c r="R1127">
        <v>0.83026354901098698</v>
      </c>
      <c r="S1127" t="s">
        <v>7744</v>
      </c>
      <c r="T1127" t="s">
        <v>13232</v>
      </c>
      <c r="U1127" t="s">
        <v>13232</v>
      </c>
      <c r="V1127" t="s">
        <v>13232</v>
      </c>
      <c r="W1127" t="s">
        <v>14325</v>
      </c>
      <c r="X1127">
        <v>17</v>
      </c>
      <c r="Y1127" t="s">
        <v>20850</v>
      </c>
      <c r="Z1127" t="s">
        <v>27258</v>
      </c>
      <c r="AA1127">
        <v>0.73379781584937598</v>
      </c>
      <c r="AB1127" t="str">
        <f>HYPERLINK("Melting_Curves/meltCurve_O14818_PSMA7.pdf", "Melting_Curves/meltCurve_O14818_PSMA7.pdf")</f>
        <v>Melting_Curves/meltCurve_O14818_PSMA7.pdf</v>
      </c>
    </row>
    <row r="1128" spans="1:28" x14ac:dyDescent="0.25">
      <c r="A1128" t="s">
        <v>1132</v>
      </c>
      <c r="B1128">
        <v>0.99930955844802105</v>
      </c>
      <c r="C1128">
        <v>1.2369879167180799</v>
      </c>
      <c r="D1128">
        <v>1.4892377943503201</v>
      </c>
      <c r="E1128">
        <v>1.21957724756361</v>
      </c>
      <c r="F1128">
        <v>0.87713511420004997</v>
      </c>
      <c r="G1128">
        <v>0.60542833880531899</v>
      </c>
      <c r="H1128">
        <v>0.262525279781118</v>
      </c>
      <c r="I1128">
        <v>0.16324436279849699</v>
      </c>
      <c r="J1128">
        <v>0.115357744454138</v>
      </c>
      <c r="K1128">
        <v>0.139812487005224</v>
      </c>
      <c r="L1128">
        <v>1767.1158111955799</v>
      </c>
      <c r="M1128">
        <v>30.804174465682401</v>
      </c>
      <c r="N1128">
        <v>57.917871122970801</v>
      </c>
      <c r="O1128">
        <v>57.125977491855103</v>
      </c>
      <c r="P1128">
        <v>-0.117666603751302</v>
      </c>
      <c r="Q1128">
        <v>0.12715980703839799</v>
      </c>
      <c r="R1128">
        <v>0.85579435882256005</v>
      </c>
      <c r="S1128" t="s">
        <v>7745</v>
      </c>
      <c r="T1128" t="s">
        <v>13232</v>
      </c>
      <c r="U1128" t="s">
        <v>13232</v>
      </c>
      <c r="V1128" t="s">
        <v>13232</v>
      </c>
      <c r="W1128" t="s">
        <v>14326</v>
      </c>
      <c r="X1128">
        <v>3</v>
      </c>
      <c r="Y1128" t="s">
        <v>20851</v>
      </c>
      <c r="Z1128" t="s">
        <v>27259</v>
      </c>
      <c r="AA1128">
        <v>0.63795705929735358</v>
      </c>
      <c r="AB1128" t="str">
        <f>HYPERLINK("Melting_Curves/meltCurve_O14828_SCAMP3.pdf", "Melting_Curves/meltCurve_O14828_SCAMP3.pdf")</f>
        <v>Melting_Curves/meltCurve_O14828_SCAMP3.pdf</v>
      </c>
    </row>
    <row r="1129" spans="1:28" x14ac:dyDescent="0.25">
      <c r="A1129" t="s">
        <v>1133</v>
      </c>
      <c r="B1129">
        <v>0.99930955844802105</v>
      </c>
      <c r="C1129">
        <v>0.85467535676782203</v>
      </c>
      <c r="D1129">
        <v>0.87765590508889202</v>
      </c>
      <c r="E1129">
        <v>0.76700717367037496</v>
      </c>
      <c r="F1129">
        <v>0.54266129134690699</v>
      </c>
      <c r="G1129">
        <v>0.19085982218053099</v>
      </c>
      <c r="H1129">
        <v>0.112516128458559</v>
      </c>
      <c r="I1129">
        <v>0.109944586681392</v>
      </c>
      <c r="J1129">
        <v>8.7511027753073498E-2</v>
      </c>
      <c r="K1129">
        <v>7.0624553469423604E-2</v>
      </c>
      <c r="L1129">
        <v>912.42659244610002</v>
      </c>
      <c r="M1129">
        <v>17.303221148121299</v>
      </c>
      <c r="N1129">
        <v>53.042884618488998</v>
      </c>
      <c r="O1129">
        <v>52.042405278470497</v>
      </c>
      <c r="P1129">
        <v>-7.9112588403930498E-2</v>
      </c>
      <c r="Q1129">
        <v>4.8276159428567597E-2</v>
      </c>
      <c r="R1129">
        <v>0.98000137541903498</v>
      </c>
      <c r="S1129" t="s">
        <v>7746</v>
      </c>
      <c r="T1129" t="s">
        <v>13232</v>
      </c>
      <c r="U1129" t="s">
        <v>13232</v>
      </c>
      <c r="V1129" t="s">
        <v>13232</v>
      </c>
      <c r="W1129" t="s">
        <v>14327</v>
      </c>
      <c r="X1129">
        <v>45</v>
      </c>
      <c r="Y1129" t="s">
        <v>20852</v>
      </c>
      <c r="Z1129" t="s">
        <v>27260</v>
      </c>
      <c r="AA1129">
        <v>0.46886244721757198</v>
      </c>
      <c r="AB1129" t="str">
        <f>HYPERLINK("Melting_Curves/meltCurve_O14841_OPLAH.pdf", "Melting_Curves/meltCurve_O14841_OPLAH.pdf")</f>
        <v>Melting_Curves/meltCurve_O14841_OPLAH.pdf</v>
      </c>
    </row>
    <row r="1130" spans="1:28" x14ac:dyDescent="0.25">
      <c r="A1130" t="s">
        <v>1134</v>
      </c>
      <c r="B1130">
        <v>0.99930955844802105</v>
      </c>
      <c r="C1130">
        <v>1.04042342020479</v>
      </c>
      <c r="D1130">
        <v>1.0236124591078699</v>
      </c>
      <c r="E1130">
        <v>1.01135206389105</v>
      </c>
      <c r="F1130">
        <v>0.87153470816823098</v>
      </c>
      <c r="G1130">
        <v>0.77819519904256995</v>
      </c>
      <c r="H1130">
        <v>0.74988675840088304</v>
      </c>
      <c r="I1130">
        <v>0.75325343200136596</v>
      </c>
      <c r="J1130">
        <v>0.70685594189171597</v>
      </c>
      <c r="K1130">
        <v>0.50204939872569898</v>
      </c>
      <c r="L1130">
        <v>466.58701973867898</v>
      </c>
      <c r="M1130">
        <v>6.41751242579583</v>
      </c>
      <c r="O1130">
        <v>66.608978033858406</v>
      </c>
      <c r="P1130">
        <v>-2.4147777988320799E-2</v>
      </c>
      <c r="Q1130">
        <v>0</v>
      </c>
      <c r="R1130">
        <v>0.89867779751240995</v>
      </c>
      <c r="S1130" t="s">
        <v>7747</v>
      </c>
      <c r="T1130" t="s">
        <v>13232</v>
      </c>
      <c r="U1130" t="s">
        <v>13232</v>
      </c>
      <c r="V1130" t="s">
        <v>13232</v>
      </c>
      <c r="W1130" t="s">
        <v>14328</v>
      </c>
      <c r="X1130">
        <v>19</v>
      </c>
      <c r="Y1130" t="s">
        <v>20853</v>
      </c>
      <c r="Z1130" t="s">
        <v>27261</v>
      </c>
      <c r="AA1130">
        <v>0.84695185421440666</v>
      </c>
      <c r="AB1130" t="str">
        <f>HYPERLINK("Melting_Curves/meltCurve_O14867_BACH1.pdf", "Melting_Curves/meltCurve_O14867_BACH1.pdf")</f>
        <v>Melting_Curves/meltCurve_O14867_BACH1.pdf</v>
      </c>
    </row>
    <row r="1131" spans="1:28" x14ac:dyDescent="0.25">
      <c r="A1131" t="s">
        <v>1135</v>
      </c>
      <c r="B1131">
        <v>0.99930955844802105</v>
      </c>
      <c r="C1131">
        <v>1.07073613822562</v>
      </c>
      <c r="D1131">
        <v>1.0565952696276599</v>
      </c>
      <c r="E1131">
        <v>0.674224693548238</v>
      </c>
      <c r="F1131">
        <v>0.296148707563688</v>
      </c>
      <c r="G1131">
        <v>0.19752928005677201</v>
      </c>
      <c r="H1131">
        <v>0.11093083981825499</v>
      </c>
      <c r="I1131">
        <v>0.10238311176754999</v>
      </c>
      <c r="J1131">
        <v>8.0611279064785393E-2</v>
      </c>
      <c r="K1131">
        <v>7.84251085755861E-2</v>
      </c>
      <c r="L1131">
        <v>1712.88858504774</v>
      </c>
      <c r="M1131">
        <v>33.623170626198501</v>
      </c>
      <c r="N1131">
        <v>51.310708634501502</v>
      </c>
      <c r="O1131">
        <v>50.764506066898399</v>
      </c>
      <c r="P1131">
        <v>-0.147886545618333</v>
      </c>
      <c r="Q1131">
        <v>0.106883051948264</v>
      </c>
      <c r="R1131">
        <v>0.98950080472981405</v>
      </c>
      <c r="S1131" t="s">
        <v>7748</v>
      </c>
      <c r="T1131" t="s">
        <v>13232</v>
      </c>
      <c r="U1131" t="s">
        <v>13232</v>
      </c>
      <c r="V1131" t="s">
        <v>13232</v>
      </c>
      <c r="W1131" t="s">
        <v>14329</v>
      </c>
      <c r="X1131">
        <v>2</v>
      </c>
      <c r="Y1131" t="s">
        <v>20854</v>
      </c>
      <c r="Z1131" t="s">
        <v>27262</v>
      </c>
      <c r="AA1131">
        <v>0.43714486219854581</v>
      </c>
      <c r="AB1131" t="str">
        <f>HYPERLINK("Melting_Curves/meltCurve_O14907_TAX1BP3.pdf", "Melting_Curves/meltCurve_O14907_TAX1BP3.pdf")</f>
        <v>Melting_Curves/meltCurve_O14907_TAX1BP3.pdf</v>
      </c>
    </row>
    <row r="1132" spans="1:28" x14ac:dyDescent="0.25">
      <c r="A1132" t="s">
        <v>1136</v>
      </c>
      <c r="B1132">
        <v>0.99930955844802105</v>
      </c>
      <c r="C1132">
        <v>1.0034280506236799</v>
      </c>
      <c r="D1132">
        <v>0.96766750572246896</v>
      </c>
      <c r="E1132">
        <v>0.807234023957906</v>
      </c>
      <c r="F1132">
        <v>0.54801116608418698</v>
      </c>
      <c r="G1132">
        <v>0.44935137193340502</v>
      </c>
      <c r="H1132">
        <v>0.406796952514487</v>
      </c>
      <c r="I1132">
        <v>0.40699833441877997</v>
      </c>
      <c r="J1132">
        <v>0.38188596758912102</v>
      </c>
      <c r="K1132">
        <v>0.30324254517318799</v>
      </c>
      <c r="L1132">
        <v>1273.10496509327</v>
      </c>
      <c r="M1132">
        <v>24.759257802131899</v>
      </c>
      <c r="N1132">
        <v>54.417248811815398</v>
      </c>
      <c r="O1132">
        <v>51.087448155298098</v>
      </c>
      <c r="P1132">
        <v>-7.6068066449152399E-2</v>
      </c>
      <c r="Q1132">
        <v>0.372183364676204</v>
      </c>
      <c r="R1132">
        <v>0.98897188922076096</v>
      </c>
      <c r="S1132" t="s">
        <v>7749</v>
      </c>
      <c r="T1132" t="s">
        <v>13232</v>
      </c>
      <c r="U1132" t="s">
        <v>13232</v>
      </c>
      <c r="V1132" t="s">
        <v>13232</v>
      </c>
      <c r="W1132" t="s">
        <v>14330</v>
      </c>
      <c r="X1132">
        <v>11</v>
      </c>
      <c r="Y1132" t="s">
        <v>20855</v>
      </c>
      <c r="Z1132" t="s">
        <v>27263</v>
      </c>
      <c r="AA1132">
        <v>0.61696445671953393</v>
      </c>
      <c r="AB1132" t="str">
        <f>HYPERLINK("Melting_Curves/meltCurve_O14908_GIPC1.pdf", "Melting_Curves/meltCurve_O14908_GIPC1.pdf")</f>
        <v>Melting_Curves/meltCurve_O14908_GIPC1.pdf</v>
      </c>
    </row>
    <row r="1133" spans="1:28" x14ac:dyDescent="0.25">
      <c r="A1133" t="s">
        <v>1137</v>
      </c>
      <c r="B1133">
        <v>0.99930955844802105</v>
      </c>
      <c r="C1133">
        <v>0.43996132391773302</v>
      </c>
      <c r="D1133">
        <v>0.22902988243894801</v>
      </c>
      <c r="E1133">
        <v>0.19383503294983301</v>
      </c>
      <c r="F1133">
        <v>0.13722182770067701</v>
      </c>
      <c r="G1133">
        <v>9.1342794687578194E-2</v>
      </c>
      <c r="H1133">
        <v>5.9082036390765202E-2</v>
      </c>
      <c r="I1133">
        <v>4.9711491502703799E-2</v>
      </c>
      <c r="J1133">
        <v>4.6770306800105001E-2</v>
      </c>
      <c r="K1133">
        <v>3.64894880906367E-2</v>
      </c>
      <c r="L1133">
        <v>1723.6775416968101</v>
      </c>
      <c r="M1133">
        <v>40.5130582984306</v>
      </c>
      <c r="N1133">
        <v>42.775263719028899</v>
      </c>
      <c r="O1133">
        <v>42.442952653001797</v>
      </c>
      <c r="P1133">
        <v>-0.215364034417107</v>
      </c>
      <c r="Q1133">
        <v>9.7509026548873307E-2</v>
      </c>
      <c r="R1133">
        <v>0.95761071376250095</v>
      </c>
      <c r="S1133" t="s">
        <v>7750</v>
      </c>
      <c r="T1133" t="s">
        <v>13232</v>
      </c>
      <c r="U1133" t="s">
        <v>13232</v>
      </c>
      <c r="V1133" t="s">
        <v>13232</v>
      </c>
      <c r="W1133" t="s">
        <v>14331</v>
      </c>
      <c r="X1133">
        <v>19</v>
      </c>
      <c r="Y1133" t="s">
        <v>20856</v>
      </c>
      <c r="Z1133" t="s">
        <v>27264</v>
      </c>
      <c r="AA1133">
        <v>0.17864611146553691</v>
      </c>
      <c r="AB1133" t="str">
        <f>HYPERLINK("Melting_Curves/meltCurve_O14920_IKBKB.pdf", "Melting_Curves/meltCurve_O14920_IKBKB.pdf")</f>
        <v>Melting_Curves/meltCurve_O14920_IKBKB.pdf</v>
      </c>
    </row>
    <row r="1134" spans="1:28" x14ac:dyDescent="0.25">
      <c r="A1134" t="s">
        <v>1138</v>
      </c>
      <c r="B1134">
        <v>0.99930955844802105</v>
      </c>
      <c r="C1134">
        <v>0.84901257876387504</v>
      </c>
      <c r="D1134">
        <v>0.76093641849346605</v>
      </c>
      <c r="E1134">
        <v>0.75130388921680102</v>
      </c>
      <c r="F1134">
        <v>0.59356844622928895</v>
      </c>
      <c r="G1134">
        <v>0.42981740752189901</v>
      </c>
      <c r="H1134">
        <v>0.41033050014092498</v>
      </c>
      <c r="I1134">
        <v>0.40799425522481397</v>
      </c>
      <c r="J1134">
        <v>0.36554800765547302</v>
      </c>
      <c r="K1134">
        <v>0.32092941775616102</v>
      </c>
      <c r="L1134">
        <v>450.469746416308</v>
      </c>
      <c r="M1134">
        <v>8.7624040355873891</v>
      </c>
      <c r="N1134">
        <v>56.374873933848903</v>
      </c>
      <c r="O1134">
        <v>48.942632101148597</v>
      </c>
      <c r="P1134">
        <v>-3.2748898223679997E-2</v>
      </c>
      <c r="Q1134">
        <v>0.26890825599342</v>
      </c>
      <c r="R1134">
        <v>0.96721900953891204</v>
      </c>
      <c r="S1134" t="s">
        <v>7751</v>
      </c>
      <c r="T1134" t="s">
        <v>13232</v>
      </c>
      <c r="U1134" t="s">
        <v>13232</v>
      </c>
      <c r="V1134" t="s">
        <v>13232</v>
      </c>
      <c r="W1134" t="s">
        <v>14332</v>
      </c>
      <c r="X1134">
        <v>1</v>
      </c>
      <c r="Y1134" t="s">
        <v>20857</v>
      </c>
      <c r="Z1134" t="s">
        <v>27265</v>
      </c>
      <c r="AA1134">
        <v>0.58089766303068791</v>
      </c>
      <c r="AB1134" t="str">
        <f>HYPERLINK("Melting_Curves/meltCurve_O14924_2_RGS12.pdf", "Melting_Curves/meltCurve_O14924_2_RGS12.pdf")</f>
        <v>Melting_Curves/meltCurve_O14924_2_RGS12.pdf</v>
      </c>
    </row>
    <row r="1135" spans="1:28" x14ac:dyDescent="0.25">
      <c r="A1135" t="s">
        <v>1139</v>
      </c>
      <c r="B1135">
        <v>0.99930955844802105</v>
      </c>
      <c r="C1135">
        <v>0.84974393427251005</v>
      </c>
      <c r="D1135">
        <v>0.72164637402123999</v>
      </c>
      <c r="E1135">
        <v>0.60061332555894797</v>
      </c>
      <c r="F1135">
        <v>0.207593343674744</v>
      </c>
      <c r="G1135">
        <v>0.13401434984954</v>
      </c>
      <c r="H1135">
        <v>7.7899841329924793E-2</v>
      </c>
      <c r="I1135">
        <v>6.4310316017951299E-2</v>
      </c>
      <c r="J1135">
        <v>5.8758948028836501E-2</v>
      </c>
      <c r="K1135">
        <v>4.2968275024656701E-2</v>
      </c>
      <c r="L1135">
        <v>708.54743075680005</v>
      </c>
      <c r="M1135">
        <v>14.293831505312699</v>
      </c>
      <c r="N1135">
        <v>49.706157685842399</v>
      </c>
      <c r="O1135">
        <v>48.630202931669601</v>
      </c>
      <c r="P1135">
        <v>-7.2081854046623095E-2</v>
      </c>
      <c r="Q1135">
        <v>1.91775766744928E-2</v>
      </c>
      <c r="R1135">
        <v>0.97742950129344897</v>
      </c>
      <c r="S1135" t="s">
        <v>7752</v>
      </c>
      <c r="T1135" t="s">
        <v>13232</v>
      </c>
      <c r="U1135" t="s">
        <v>13232</v>
      </c>
      <c r="V1135" t="s">
        <v>13232</v>
      </c>
      <c r="W1135" t="s">
        <v>14333</v>
      </c>
      <c r="X1135">
        <v>18</v>
      </c>
      <c r="Y1135" t="s">
        <v>20858</v>
      </c>
      <c r="Z1135" t="s">
        <v>27266</v>
      </c>
      <c r="AA1135">
        <v>0.35793884346704719</v>
      </c>
      <c r="AB1135" t="str">
        <f>HYPERLINK("Melting_Curves/meltCurve_O14929_HAT1.pdf", "Melting_Curves/meltCurve_O14929_HAT1.pdf")</f>
        <v>Melting_Curves/meltCurve_O14929_HAT1.pdf</v>
      </c>
    </row>
    <row r="1136" spans="1:28" x14ac:dyDescent="0.25">
      <c r="A1136" t="s">
        <v>1140</v>
      </c>
      <c r="B1136">
        <v>0.99930955844802105</v>
      </c>
      <c r="C1136">
        <v>1.1736275809662899</v>
      </c>
      <c r="D1136">
        <v>1.1695613491565</v>
      </c>
      <c r="E1136">
        <v>0.88122533332381803</v>
      </c>
      <c r="F1136">
        <v>0.37201820751171</v>
      </c>
      <c r="G1136">
        <v>0.184878817096683</v>
      </c>
      <c r="H1136">
        <v>0.11184140722401199</v>
      </c>
      <c r="I1136">
        <v>0.10793998274002101</v>
      </c>
      <c r="J1136">
        <v>8.7990121344054997E-2</v>
      </c>
      <c r="K1136">
        <v>6.1674875852236799E-2</v>
      </c>
      <c r="L1136">
        <v>2360.0082415472598</v>
      </c>
      <c r="M1136">
        <v>45.3414500512934</v>
      </c>
      <c r="N1136">
        <v>52.3242922801752</v>
      </c>
      <c r="O1136">
        <v>51.948762719420699</v>
      </c>
      <c r="P1136">
        <v>-0.19509950954201899</v>
      </c>
      <c r="Q1136">
        <v>0.105881148875168</v>
      </c>
      <c r="R1136">
        <v>0.96825654683867801</v>
      </c>
      <c r="S1136" t="s">
        <v>7753</v>
      </c>
      <c r="T1136" t="s">
        <v>13232</v>
      </c>
      <c r="U1136" t="s">
        <v>13232</v>
      </c>
      <c r="V1136" t="s">
        <v>13232</v>
      </c>
      <c r="W1136" t="s">
        <v>14334</v>
      </c>
      <c r="X1136">
        <v>10</v>
      </c>
      <c r="Y1136" t="s">
        <v>20859</v>
      </c>
      <c r="Z1136" t="s">
        <v>27267</v>
      </c>
      <c r="AA1136">
        <v>0.46750835726968121</v>
      </c>
      <c r="AB1136" t="str">
        <f>HYPERLINK("Melting_Curves/meltCurve_O14933_UBE2L6.pdf", "Melting_Curves/meltCurve_O14933_UBE2L6.pdf")</f>
        <v>Melting_Curves/meltCurve_O14933_UBE2L6.pdf</v>
      </c>
    </row>
    <row r="1137" spans="1:28" x14ac:dyDescent="0.25">
      <c r="A1137" t="s">
        <v>1141</v>
      </c>
      <c r="B1137">
        <v>0.99930955844802105</v>
      </c>
      <c r="C1137">
        <v>1.21163432462514</v>
      </c>
      <c r="D1137">
        <v>1.1583582767440299</v>
      </c>
      <c r="E1137">
        <v>1.0410947713173999</v>
      </c>
      <c r="F1137">
        <v>0.76798627351627102</v>
      </c>
      <c r="G1137">
        <v>0.46548681300741301</v>
      </c>
      <c r="H1137">
        <v>0.246198598597381</v>
      </c>
      <c r="I1137">
        <v>0.218884353290692</v>
      </c>
      <c r="J1137">
        <v>0.19298417804468401</v>
      </c>
      <c r="K1137">
        <v>0.15787056437168401</v>
      </c>
      <c r="L1137">
        <v>1503.01709117887</v>
      </c>
      <c r="M1137">
        <v>27.0975495533703</v>
      </c>
      <c r="N1137">
        <v>56.402815259447401</v>
      </c>
      <c r="O1137">
        <v>55.167457862799303</v>
      </c>
      <c r="P1137">
        <v>-0.100562804814152</v>
      </c>
      <c r="Q1137">
        <v>0.181071318700221</v>
      </c>
      <c r="R1137">
        <v>0.95195968692096899</v>
      </c>
      <c r="S1137" t="s">
        <v>7754</v>
      </c>
      <c r="T1137" t="s">
        <v>13232</v>
      </c>
      <c r="U1137" t="s">
        <v>13232</v>
      </c>
      <c r="V1137" t="s">
        <v>13232</v>
      </c>
      <c r="W1137" t="s">
        <v>14335</v>
      </c>
      <c r="X1137">
        <v>25</v>
      </c>
      <c r="Y1137" t="s">
        <v>20860</v>
      </c>
      <c r="Z1137" t="s">
        <v>27268</v>
      </c>
      <c r="AA1137">
        <v>0.60984399593574112</v>
      </c>
      <c r="AB1137" t="str">
        <f>HYPERLINK("Melting_Curves/meltCurve_O14964_HGS.pdf", "Melting_Curves/meltCurve_O14964_HGS.pdf")</f>
        <v>Melting_Curves/meltCurve_O14964_HGS.pdf</v>
      </c>
    </row>
    <row r="1138" spans="1:28" x14ac:dyDescent="0.25">
      <c r="A1138" t="s">
        <v>1142</v>
      </c>
      <c r="B1138">
        <v>0.99930955844802105</v>
      </c>
      <c r="C1138">
        <v>0.96560193633317903</v>
      </c>
      <c r="D1138">
        <v>0.85186163710682195</v>
      </c>
      <c r="E1138">
        <v>0.59644423188575302</v>
      </c>
      <c r="F1138">
        <v>0.35862915746644602</v>
      </c>
      <c r="G1138">
        <v>0.29942918887015502</v>
      </c>
      <c r="H1138">
        <v>0.18142719464262799</v>
      </c>
      <c r="I1138">
        <v>0.14863537136320201</v>
      </c>
      <c r="J1138">
        <v>0.15274843230603299</v>
      </c>
      <c r="K1138">
        <v>9.9810129824806304E-2</v>
      </c>
      <c r="L1138">
        <v>808.41350483659903</v>
      </c>
      <c r="M1138">
        <v>16.027902166697899</v>
      </c>
      <c r="N1138">
        <v>51.357850958605297</v>
      </c>
      <c r="O1138">
        <v>49.672326164132002</v>
      </c>
      <c r="P1138">
        <v>-7.0607633062249903E-2</v>
      </c>
      <c r="Q1138">
        <v>0.124783233205674</v>
      </c>
      <c r="R1138">
        <v>0.994231941987892</v>
      </c>
      <c r="S1138" t="s">
        <v>7755</v>
      </c>
      <c r="T1138" t="s">
        <v>13232</v>
      </c>
      <c r="U1138" t="s">
        <v>13232</v>
      </c>
      <c r="V1138" t="s">
        <v>13232</v>
      </c>
      <c r="W1138" t="s">
        <v>14336</v>
      </c>
      <c r="X1138">
        <v>3</v>
      </c>
      <c r="Y1138" t="s">
        <v>20861</v>
      </c>
      <c r="Z1138" t="s">
        <v>27269</v>
      </c>
      <c r="AA1138">
        <v>0.44762704495567229</v>
      </c>
      <c r="AB1138" t="str">
        <f>HYPERLINK("Melting_Curves/meltCurve_O14965_AURKA.pdf", "Melting_Curves/meltCurve_O14965_AURKA.pdf")</f>
        <v>Melting_Curves/meltCurve_O14965_AURKA.pdf</v>
      </c>
    </row>
    <row r="1139" spans="1:28" x14ac:dyDescent="0.25">
      <c r="A1139" t="s">
        <v>1143</v>
      </c>
      <c r="B1139">
        <v>0.99930955844802105</v>
      </c>
      <c r="C1139">
        <v>1.0498256397009</v>
      </c>
      <c r="D1139">
        <v>0.98753200811337605</v>
      </c>
      <c r="E1139">
        <v>0.89397728035152901</v>
      </c>
      <c r="F1139">
        <v>0.74150554921404299</v>
      </c>
      <c r="G1139">
        <v>0.637588523028913</v>
      </c>
      <c r="H1139">
        <v>0.663433671528038</v>
      </c>
      <c r="I1139">
        <v>0.74542532713822596</v>
      </c>
      <c r="J1139">
        <v>0.76839853547975501</v>
      </c>
      <c r="K1139">
        <v>0.60909858671324602</v>
      </c>
      <c r="L1139">
        <v>2140.5197174145101</v>
      </c>
      <c r="M1139">
        <v>42.105067351695901</v>
      </c>
      <c r="O1139">
        <v>50.723281532784597</v>
      </c>
      <c r="P1139">
        <v>-6.5283654257122306E-2</v>
      </c>
      <c r="Q1139">
        <v>0.685415805753958</v>
      </c>
      <c r="R1139">
        <v>0.90577760089180803</v>
      </c>
      <c r="S1139" t="s">
        <v>7756</v>
      </c>
      <c r="T1139" t="s">
        <v>13232</v>
      </c>
      <c r="U1139" t="s">
        <v>13232</v>
      </c>
      <c r="V1139" t="s">
        <v>13232</v>
      </c>
      <c r="W1139" t="s">
        <v>14337</v>
      </c>
      <c r="X1139">
        <v>58</v>
      </c>
      <c r="Y1139" t="s">
        <v>20862</v>
      </c>
      <c r="Z1139" t="s">
        <v>27270</v>
      </c>
      <c r="AA1139">
        <v>0.80005712176297683</v>
      </c>
      <c r="AB1139" t="str">
        <f>HYPERLINK("Melting_Curves/meltCurve_O14974_PPP1R12A.pdf", "Melting_Curves/meltCurve_O14974_PPP1R12A.pdf")</f>
        <v>Melting_Curves/meltCurve_O14974_PPP1R12A.pdf</v>
      </c>
    </row>
    <row r="1140" spans="1:28" x14ac:dyDescent="0.25">
      <c r="A1140" t="s">
        <v>1144</v>
      </c>
      <c r="B1140">
        <v>0.99930955844802105</v>
      </c>
      <c r="C1140">
        <v>1.3595415079073501</v>
      </c>
      <c r="D1140">
        <v>1.0865018352693701</v>
      </c>
      <c r="E1140">
        <v>1.4956185842119301</v>
      </c>
      <c r="F1140">
        <v>1.40951025489306</v>
      </c>
      <c r="G1140">
        <v>2.45479370755102</v>
      </c>
      <c r="H1140">
        <v>4.3459929094772498</v>
      </c>
      <c r="I1140">
        <v>6.6243227675405398</v>
      </c>
      <c r="J1140">
        <v>9.5331413907215001</v>
      </c>
      <c r="K1140">
        <v>6.1317047249956396</v>
      </c>
      <c r="L1140">
        <v>1763.86137011088</v>
      </c>
      <c r="M1140">
        <v>37.515420216297201</v>
      </c>
      <c r="O1140">
        <v>46.883975422474002</v>
      </c>
      <c r="P1140">
        <v>0.100022243904242</v>
      </c>
      <c r="Q1140">
        <v>1.5</v>
      </c>
      <c r="R1140">
        <v>-0.51883768822279697</v>
      </c>
      <c r="S1140" t="s">
        <v>7757</v>
      </c>
      <c r="T1140" t="s">
        <v>13232</v>
      </c>
      <c r="U1140" t="s">
        <v>13232</v>
      </c>
      <c r="V1140" t="s">
        <v>13232</v>
      </c>
      <c r="W1140" t="s">
        <v>14338</v>
      </c>
      <c r="X1140">
        <v>56</v>
      </c>
      <c r="Y1140" t="s">
        <v>20862</v>
      </c>
      <c r="Z1140" t="s">
        <v>27271</v>
      </c>
      <c r="AA1140">
        <v>1.3811805473363299</v>
      </c>
      <c r="AB1140" t="str">
        <f>HYPERLINK("Melting_Curves/meltCurve_O14974_4_PPP1R12A.pdf", "Melting_Curves/meltCurve_O14974_4_PPP1R12A.pdf")</f>
        <v>Melting_Curves/meltCurve_O14974_4_PPP1R12A.pdf</v>
      </c>
    </row>
    <row r="1141" spans="1:28" x14ac:dyDescent="0.25">
      <c r="A1141" t="s">
        <v>1145</v>
      </c>
      <c r="B1141">
        <v>0.99930955844802105</v>
      </c>
      <c r="C1141">
        <v>1.09183876301021</v>
      </c>
      <c r="D1141">
        <v>0.98601167077785401</v>
      </c>
      <c r="E1141">
        <v>0.79495737860224702</v>
      </c>
      <c r="F1141">
        <v>0.61596181360785396</v>
      </c>
      <c r="G1141">
        <v>0.39570022845470798</v>
      </c>
      <c r="H1141">
        <v>0.18678375602286601</v>
      </c>
      <c r="I1141">
        <v>0.15018587194781299</v>
      </c>
      <c r="J1141">
        <v>0.13318821708055001</v>
      </c>
      <c r="K1141">
        <v>0.10522175353909401</v>
      </c>
      <c r="L1141">
        <v>922.83279044692199</v>
      </c>
      <c r="M1141">
        <v>17.044224151226899</v>
      </c>
      <c r="N1141">
        <v>54.788258888939801</v>
      </c>
      <c r="O1141">
        <v>53.414593923570401</v>
      </c>
      <c r="P1141">
        <v>-7.2527743963781102E-2</v>
      </c>
      <c r="Q1141">
        <v>9.0881930561699006E-2</v>
      </c>
      <c r="R1141">
        <v>0.99041443953403896</v>
      </c>
      <c r="S1141" t="s">
        <v>7758</v>
      </c>
      <c r="T1141" t="s">
        <v>13232</v>
      </c>
      <c r="U1141" t="s">
        <v>13232</v>
      </c>
      <c r="V1141" t="s">
        <v>13232</v>
      </c>
      <c r="W1141" t="s">
        <v>14339</v>
      </c>
      <c r="X1141">
        <v>33</v>
      </c>
      <c r="Y1141" t="s">
        <v>20863</v>
      </c>
      <c r="Z1141" t="s">
        <v>27272</v>
      </c>
      <c r="AA1141">
        <v>0.53514593123374821</v>
      </c>
      <c r="AB1141" t="str">
        <f>HYPERLINK("Melting_Curves/meltCurve_O14976_GAK.pdf", "Melting_Curves/meltCurve_O14976_GAK.pdf")</f>
        <v>Melting_Curves/meltCurve_O14976_GAK.pdf</v>
      </c>
    </row>
    <row r="1142" spans="1:28" x14ac:dyDescent="0.25">
      <c r="A1142" t="s">
        <v>1146</v>
      </c>
      <c r="B1142">
        <v>0.99930955844802105</v>
      </c>
      <c r="C1142">
        <v>0.95362605898041997</v>
      </c>
      <c r="D1142">
        <v>1.0059053348082401</v>
      </c>
      <c r="E1142">
        <v>1.0139731715579501</v>
      </c>
      <c r="F1142">
        <v>0.84215973373064601</v>
      </c>
      <c r="G1142">
        <v>0.69607275364988297</v>
      </c>
      <c r="H1142">
        <v>0.58444510529838101</v>
      </c>
      <c r="I1142">
        <v>0.62203949181846996</v>
      </c>
      <c r="J1142">
        <v>0.59777442069110998</v>
      </c>
      <c r="K1142">
        <v>0.499545065404847</v>
      </c>
      <c r="L1142">
        <v>1357.46953533541</v>
      </c>
      <c r="M1142">
        <v>24.739246646295499</v>
      </c>
      <c r="O1142">
        <v>54.516335314643001</v>
      </c>
      <c r="P1142">
        <v>-4.9569820775361401E-2</v>
      </c>
      <c r="Q1142">
        <v>0.56307043104074705</v>
      </c>
      <c r="R1142">
        <v>0.964506119616656</v>
      </c>
      <c r="S1142" t="s">
        <v>7759</v>
      </c>
      <c r="T1142" t="s">
        <v>13232</v>
      </c>
      <c r="U1142" t="s">
        <v>13232</v>
      </c>
      <c r="V1142" t="s">
        <v>13232</v>
      </c>
      <c r="W1142" t="s">
        <v>14340</v>
      </c>
      <c r="X1142">
        <v>8</v>
      </c>
      <c r="Y1142" t="s">
        <v>20864</v>
      </c>
      <c r="Z1142" t="s">
        <v>27273</v>
      </c>
      <c r="AA1142">
        <v>0.78377691203880751</v>
      </c>
      <c r="AB1142" t="str">
        <f>HYPERLINK("Melting_Curves/meltCurve_O14979_3_HNRPDL.pdf", "Melting_Curves/meltCurve_O14979_3_HNRPDL.pdf")</f>
        <v>Melting_Curves/meltCurve_O14979_3_HNRPDL.pdf</v>
      </c>
    </row>
    <row r="1143" spans="1:28" x14ac:dyDescent="0.25">
      <c r="A1143" t="s">
        <v>1147</v>
      </c>
      <c r="B1143">
        <v>0.99930955844802105</v>
      </c>
      <c r="C1143">
        <v>1.0095761622684101</v>
      </c>
      <c r="D1143">
        <v>0.90757379887716805</v>
      </c>
      <c r="E1143">
        <v>0.74920579548438204</v>
      </c>
      <c r="F1143">
        <v>0.18174816401114699</v>
      </c>
      <c r="G1143">
        <v>0.12875045167656099</v>
      </c>
      <c r="H1143">
        <v>7.4580634648989896E-2</v>
      </c>
      <c r="I1143">
        <v>6.4774518709703702E-2</v>
      </c>
      <c r="J1143">
        <v>5.7149093872982899E-2</v>
      </c>
      <c r="K1143">
        <v>4.2971516059968601E-2</v>
      </c>
      <c r="L1143">
        <v>2515.5501238399402</v>
      </c>
      <c r="M1143">
        <v>49.353748434670599</v>
      </c>
      <c r="N1143">
        <v>51.128228312458702</v>
      </c>
      <c r="O1143">
        <v>50.886321312390002</v>
      </c>
      <c r="P1143">
        <v>-0.22527765177685199</v>
      </c>
      <c r="Q1143">
        <v>7.0908307168557505E-2</v>
      </c>
      <c r="R1143">
        <v>0.99301045228360396</v>
      </c>
      <c r="S1143" t="s">
        <v>7760</v>
      </c>
      <c r="T1143" t="s">
        <v>13232</v>
      </c>
      <c r="U1143" t="s">
        <v>13232</v>
      </c>
      <c r="V1143" t="s">
        <v>13232</v>
      </c>
      <c r="W1143" t="s">
        <v>14341</v>
      </c>
      <c r="X1143">
        <v>46</v>
      </c>
      <c r="Y1143" t="s">
        <v>20865</v>
      </c>
      <c r="Z1143" t="s">
        <v>27274</v>
      </c>
      <c r="AA1143">
        <v>0.4127838107958462</v>
      </c>
      <c r="AB1143" t="str">
        <f>HYPERLINK("Melting_Curves/meltCurve_O14980_XPO1.pdf", "Melting_Curves/meltCurve_O14980_XPO1.pdf")</f>
        <v>Melting_Curves/meltCurve_O14980_XPO1.pdf</v>
      </c>
    </row>
    <row r="1144" spans="1:28" x14ac:dyDescent="0.25">
      <c r="A1144" t="s">
        <v>1148</v>
      </c>
      <c r="B1144">
        <v>0.99930955844802105</v>
      </c>
      <c r="C1144">
        <v>0.91270318800176398</v>
      </c>
      <c r="D1144">
        <v>0.83730419899381503</v>
      </c>
      <c r="E1144">
        <v>0.55978196265553704</v>
      </c>
      <c r="F1144">
        <v>0.23261506979123001</v>
      </c>
      <c r="G1144">
        <v>0.15939888512061201</v>
      </c>
      <c r="H1144">
        <v>9.8288579417528693E-2</v>
      </c>
      <c r="I1144">
        <v>8.3849435694720295E-2</v>
      </c>
      <c r="J1144">
        <v>7.5947847888565803E-2</v>
      </c>
      <c r="K1144">
        <v>5.5960495140925499E-2</v>
      </c>
      <c r="L1144">
        <v>956.65477911117603</v>
      </c>
      <c r="M1144">
        <v>19.204910955040202</v>
      </c>
      <c r="N1144">
        <v>50.174059093775703</v>
      </c>
      <c r="O1144">
        <v>49.282358533512003</v>
      </c>
      <c r="P1144">
        <v>-9.1139293868026702E-2</v>
      </c>
      <c r="Q1144">
        <v>6.4533371349046104E-2</v>
      </c>
      <c r="R1144">
        <v>0.99404366711961001</v>
      </c>
      <c r="S1144" t="s">
        <v>7761</v>
      </c>
      <c r="T1144" t="s">
        <v>13232</v>
      </c>
      <c r="U1144" t="s">
        <v>13232</v>
      </c>
      <c r="V1144" t="s">
        <v>13232</v>
      </c>
      <c r="W1144" t="s">
        <v>14342</v>
      </c>
      <c r="X1144">
        <v>34</v>
      </c>
      <c r="Y1144" t="s">
        <v>20866</v>
      </c>
      <c r="Z1144" t="s">
        <v>27275</v>
      </c>
      <c r="AA1144">
        <v>0.38463557466176529</v>
      </c>
      <c r="AB1144" t="str">
        <f>HYPERLINK("Melting_Curves/meltCurve_O14981_BTAF1.pdf", "Melting_Curves/meltCurve_O14981_BTAF1.pdf")</f>
        <v>Melting_Curves/meltCurve_O14981_BTAF1.pdf</v>
      </c>
    </row>
    <row r="1145" spans="1:28" x14ac:dyDescent="0.25">
      <c r="A1145" t="s">
        <v>1149</v>
      </c>
      <c r="B1145">
        <v>0.99930955844802105</v>
      </c>
      <c r="C1145">
        <v>0.49988140252216401</v>
      </c>
      <c r="D1145">
        <v>0.26052347279350802</v>
      </c>
      <c r="E1145">
        <v>0.17599758462335099</v>
      </c>
      <c r="F1145">
        <v>0.100991415409196</v>
      </c>
      <c r="G1145">
        <v>6.1351458953455298E-2</v>
      </c>
      <c r="H1145">
        <v>3.2373583146737703E-2</v>
      </c>
      <c r="I1145">
        <v>2.5040963381078401E-2</v>
      </c>
      <c r="J1145">
        <v>2.6621034540297801E-2</v>
      </c>
      <c r="K1145">
        <v>2.39969979453287E-2</v>
      </c>
      <c r="L1145">
        <v>1103.3006617735</v>
      </c>
      <c r="M1145">
        <v>25.5223612620665</v>
      </c>
      <c r="N1145">
        <v>43.441029440073997</v>
      </c>
      <c r="O1145">
        <v>42.966014923670997</v>
      </c>
      <c r="P1145">
        <v>-0.13980008666053101</v>
      </c>
      <c r="Q1145">
        <v>5.86171688534389E-2</v>
      </c>
      <c r="R1145">
        <v>0.96445317927487495</v>
      </c>
      <c r="S1145" t="s">
        <v>7762</v>
      </c>
      <c r="T1145" t="s">
        <v>13232</v>
      </c>
      <c r="U1145" t="s">
        <v>13232</v>
      </c>
      <c r="V1145" t="s">
        <v>13232</v>
      </c>
      <c r="W1145" t="s">
        <v>14343</v>
      </c>
      <c r="X1145">
        <v>2</v>
      </c>
      <c r="Y1145" t="s">
        <v>20867</v>
      </c>
      <c r="Z1145" t="s">
        <v>27276</v>
      </c>
      <c r="AA1145">
        <v>0.17201913992547899</v>
      </c>
      <c r="AB1145" t="str">
        <f>HYPERLINK("Melting_Curves/meltCurve_O15013_7_ARHGEF10.pdf", "Melting_Curves/meltCurve_O15013_7_ARHGEF10.pdf")</f>
        <v>Melting_Curves/meltCurve_O15013_7_ARHGEF10.pdf</v>
      </c>
    </row>
    <row r="1146" spans="1:28" x14ac:dyDescent="0.25">
      <c r="A1146" t="s">
        <v>1150</v>
      </c>
      <c r="B1146">
        <v>0.99930955844802105</v>
      </c>
      <c r="C1146">
        <v>1.0704127305828299</v>
      </c>
      <c r="D1146">
        <v>1.07048828914678</v>
      </c>
      <c r="E1146">
        <v>1.03829476072348</v>
      </c>
      <c r="F1146">
        <v>0.90542129472599098</v>
      </c>
      <c r="G1146">
        <v>0.79109591140725599</v>
      </c>
      <c r="H1146">
        <v>0.77872292387239594</v>
      </c>
      <c r="I1146">
        <v>0.89141497112280899</v>
      </c>
      <c r="J1146">
        <v>0.88879538834991201</v>
      </c>
      <c r="K1146">
        <v>0.70886858445515999</v>
      </c>
      <c r="L1146">
        <v>13249.4723811159</v>
      </c>
      <c r="M1146">
        <v>250</v>
      </c>
      <c r="O1146">
        <v>52.9944980297524</v>
      </c>
      <c r="P1146">
        <v>-0.22198111914299801</v>
      </c>
      <c r="Q1146">
        <v>0.81177955258995205</v>
      </c>
      <c r="R1146">
        <v>0.75888051385663602</v>
      </c>
      <c r="S1146" t="s">
        <v>7763</v>
      </c>
      <c r="T1146" t="s">
        <v>13232</v>
      </c>
      <c r="U1146" t="s">
        <v>13232</v>
      </c>
      <c r="V1146" t="s">
        <v>13232</v>
      </c>
      <c r="W1146" t="s">
        <v>14344</v>
      </c>
      <c r="X1146">
        <v>47</v>
      </c>
      <c r="Y1146" t="s">
        <v>20868</v>
      </c>
      <c r="Z1146" t="s">
        <v>27277</v>
      </c>
      <c r="AA1146">
        <v>0.89334601178516837</v>
      </c>
      <c r="AB1146" t="str">
        <f>HYPERLINK("Melting_Curves/meltCurve_O15014_ZNF609.pdf", "Melting_Curves/meltCurve_O15014_ZNF609.pdf")</f>
        <v>Melting_Curves/meltCurve_O15014_ZNF609.pdf</v>
      </c>
    </row>
    <row r="1147" spans="1:28" x14ac:dyDescent="0.25">
      <c r="A1147" t="s">
        <v>1151</v>
      </c>
      <c r="B1147">
        <v>0.99930955844802105</v>
      </c>
      <c r="C1147">
        <v>1.0567611673917201</v>
      </c>
      <c r="D1147">
        <v>1.05134741512779</v>
      </c>
      <c r="E1147">
        <v>0.99449569172025098</v>
      </c>
      <c r="F1147">
        <v>0.90830427535650005</v>
      </c>
      <c r="G1147">
        <v>0.75874709733349899</v>
      </c>
      <c r="H1147">
        <v>0.66237895078154596</v>
      </c>
      <c r="I1147">
        <v>0.70932310762875606</v>
      </c>
      <c r="J1147">
        <v>0.75114172622658004</v>
      </c>
      <c r="K1147">
        <v>0.600256252827152</v>
      </c>
      <c r="L1147">
        <v>1726.69522653782</v>
      </c>
      <c r="M1147">
        <v>31.536601996586199</v>
      </c>
      <c r="O1147">
        <v>54.533359103910897</v>
      </c>
      <c r="P1147">
        <v>-4.6549775524422299E-2</v>
      </c>
      <c r="Q1147">
        <v>0.67802465596601302</v>
      </c>
      <c r="R1147">
        <v>0.92824320455363596</v>
      </c>
      <c r="S1147" t="s">
        <v>7764</v>
      </c>
      <c r="T1147" t="s">
        <v>13232</v>
      </c>
      <c r="U1147" t="s">
        <v>13232</v>
      </c>
      <c r="V1147" t="s">
        <v>13232</v>
      </c>
      <c r="W1147" t="s">
        <v>14345</v>
      </c>
      <c r="X1147">
        <v>6</v>
      </c>
      <c r="Y1147" t="s">
        <v>20869</v>
      </c>
      <c r="Z1147" t="s">
        <v>27278</v>
      </c>
      <c r="AA1147">
        <v>0.83828897135543412</v>
      </c>
      <c r="AB1147" t="str">
        <f>HYPERLINK("Melting_Curves/meltCurve_O15015_ZNF646.pdf", "Melting_Curves/meltCurve_O15015_ZNF646.pdf")</f>
        <v>Melting_Curves/meltCurve_O15015_ZNF646.pdf</v>
      </c>
    </row>
    <row r="1148" spans="1:28" x14ac:dyDescent="0.25">
      <c r="A1148" t="s">
        <v>1152</v>
      </c>
      <c r="B1148">
        <v>0.99930955844802105</v>
      </c>
      <c r="C1148">
        <v>0.75471892462337098</v>
      </c>
      <c r="D1148">
        <v>0.59588024740228795</v>
      </c>
      <c r="E1148">
        <v>0.45467380939263402</v>
      </c>
      <c r="F1148">
        <v>0.285538197479139</v>
      </c>
      <c r="G1148">
        <v>0.19596766409748401</v>
      </c>
      <c r="H1148">
        <v>0.175831481669425</v>
      </c>
      <c r="I1148">
        <v>0.16116756724983</v>
      </c>
      <c r="J1148">
        <v>0.161052089933585</v>
      </c>
      <c r="K1148">
        <v>0.124841587766149</v>
      </c>
      <c r="L1148">
        <v>601.78506841184196</v>
      </c>
      <c r="M1148">
        <v>12.8028662526307</v>
      </c>
      <c r="N1148">
        <v>48.124453498852901</v>
      </c>
      <c r="O1148">
        <v>45.901471968960998</v>
      </c>
      <c r="P1148">
        <v>-6.0754297506511699E-2</v>
      </c>
      <c r="Q1148">
        <v>0.12888624012179201</v>
      </c>
      <c r="R1148">
        <v>0.983812519504628</v>
      </c>
      <c r="S1148" t="s">
        <v>7765</v>
      </c>
      <c r="T1148" t="s">
        <v>13232</v>
      </c>
      <c r="U1148" t="s">
        <v>13232</v>
      </c>
      <c r="V1148" t="s">
        <v>13232</v>
      </c>
      <c r="W1148" t="s">
        <v>14346</v>
      </c>
      <c r="X1148">
        <v>20</v>
      </c>
      <c r="Y1148" t="s">
        <v>20870</v>
      </c>
      <c r="Z1148" t="s">
        <v>27279</v>
      </c>
      <c r="AA1148">
        <v>0.36465663424273931</v>
      </c>
      <c r="AB1148" t="str">
        <f>HYPERLINK("Melting_Curves/meltCurve_O15020_SPTBN2.pdf", "Melting_Curves/meltCurve_O15020_SPTBN2.pdf")</f>
        <v>Melting_Curves/meltCurve_O15020_SPTBN2.pdf</v>
      </c>
    </row>
    <row r="1149" spans="1:28" x14ac:dyDescent="0.25">
      <c r="A1149" t="s">
        <v>1153</v>
      </c>
      <c r="B1149">
        <v>0.99930955844802105</v>
      </c>
      <c r="C1149">
        <v>2.1786961944506298</v>
      </c>
      <c r="D1149">
        <v>1.44114972169695</v>
      </c>
      <c r="E1149">
        <v>1.0088851131354699</v>
      </c>
      <c r="F1149">
        <v>1.17418364765561</v>
      </c>
      <c r="G1149">
        <v>0.96143881036989798</v>
      </c>
      <c r="H1149">
        <v>2.03522097552126</v>
      </c>
      <c r="I1149">
        <v>5.5001636446123303</v>
      </c>
      <c r="J1149">
        <v>2.4349451264706801</v>
      </c>
      <c r="K1149">
        <v>1.4890878254878199</v>
      </c>
      <c r="L1149">
        <v>10232.1721277779</v>
      </c>
      <c r="M1149">
        <v>250</v>
      </c>
      <c r="O1149">
        <v>40.9260477071048</v>
      </c>
      <c r="P1149">
        <v>0.76357198233256796</v>
      </c>
      <c r="Q1149">
        <v>1.5</v>
      </c>
      <c r="R1149">
        <v>-9.1613444542663999E-2</v>
      </c>
      <c r="S1149" t="s">
        <v>7766</v>
      </c>
      <c r="T1149" t="s">
        <v>13232</v>
      </c>
      <c r="U1149" t="s">
        <v>13232</v>
      </c>
      <c r="V1149" t="s">
        <v>13232</v>
      </c>
      <c r="W1149" t="s">
        <v>14347</v>
      </c>
      <c r="X1149">
        <v>2</v>
      </c>
      <c r="Y1149" t="s">
        <v>20870</v>
      </c>
      <c r="Z1149" t="s">
        <v>27280</v>
      </c>
      <c r="AA1149">
        <v>1.484478159622056</v>
      </c>
      <c r="AB1149" t="str">
        <f>HYPERLINK("Melting_Curves/meltCurve_O15020_2_SPTBN2.pdf", "Melting_Curves/meltCurve_O15020_2_SPTBN2.pdf")</f>
        <v>Melting_Curves/meltCurve_O15020_2_SPTBN2.pdf</v>
      </c>
    </row>
    <row r="1150" spans="1:28" x14ac:dyDescent="0.25">
      <c r="A1150" t="s">
        <v>1154</v>
      </c>
      <c r="B1150">
        <v>0.99930955844802105</v>
      </c>
      <c r="C1150">
        <v>1.08906997057222</v>
      </c>
      <c r="D1150">
        <v>0.99232664766331602</v>
      </c>
      <c r="E1150">
        <v>0.73173604700149497</v>
      </c>
      <c r="F1150">
        <v>0.42530844141928098</v>
      </c>
      <c r="G1150">
        <v>0.35086020646021698</v>
      </c>
      <c r="H1150">
        <v>0.32212692527590497</v>
      </c>
      <c r="I1150">
        <v>0.32238626390820302</v>
      </c>
      <c r="J1150">
        <v>0.322519603090963</v>
      </c>
      <c r="K1150">
        <v>0.25101884124051699</v>
      </c>
      <c r="L1150">
        <v>1808.55079553618</v>
      </c>
      <c r="M1150">
        <v>35.704157494845099</v>
      </c>
      <c r="N1150">
        <v>52.066002383226198</v>
      </c>
      <c r="O1150">
        <v>50.495684603259399</v>
      </c>
      <c r="P1150">
        <v>-0.121942408715182</v>
      </c>
      <c r="Q1150">
        <v>0.31015944690923902</v>
      </c>
      <c r="R1150">
        <v>0.98721858660877204</v>
      </c>
      <c r="S1150" t="s">
        <v>7767</v>
      </c>
      <c r="T1150" t="s">
        <v>13232</v>
      </c>
      <c r="U1150" t="s">
        <v>13232</v>
      </c>
      <c r="V1150" t="s">
        <v>13232</v>
      </c>
      <c r="W1150" t="s">
        <v>14348</v>
      </c>
      <c r="X1150">
        <v>13</v>
      </c>
      <c r="Y1150" t="s">
        <v>20871</v>
      </c>
      <c r="Z1150" t="s">
        <v>27281</v>
      </c>
      <c r="AA1150">
        <v>0.55817721856570068</v>
      </c>
      <c r="AB1150" t="str">
        <f>HYPERLINK("Melting_Curves/meltCurve_O15037_KHNYN.pdf", "Melting_Curves/meltCurve_O15037_KHNYN.pdf")</f>
        <v>Melting_Curves/meltCurve_O15037_KHNYN.pdf</v>
      </c>
    </row>
    <row r="1151" spans="1:28" x14ac:dyDescent="0.25">
      <c r="A1151" t="s">
        <v>1155</v>
      </c>
      <c r="B1151">
        <v>0.99930955844802105</v>
      </c>
      <c r="C1151">
        <v>0.888065290935665</v>
      </c>
      <c r="D1151">
        <v>0.67619845343771101</v>
      </c>
      <c r="E1151">
        <v>0.60454138850369199</v>
      </c>
      <c r="F1151">
        <v>0.50964278678074804</v>
      </c>
      <c r="G1151">
        <v>0.41397123224002502</v>
      </c>
      <c r="H1151">
        <v>0.37569989399040699</v>
      </c>
      <c r="I1151">
        <v>0.39912936825657302</v>
      </c>
      <c r="J1151">
        <v>0.36881821611328403</v>
      </c>
      <c r="K1151">
        <v>0.31471063214688599</v>
      </c>
      <c r="L1151">
        <v>591.51023121534604</v>
      </c>
      <c r="M1151">
        <v>12.4020910611275</v>
      </c>
      <c r="N1151">
        <v>52.584153229858501</v>
      </c>
      <c r="O1151">
        <v>46.505275724586198</v>
      </c>
      <c r="P1151">
        <v>-4.3865294414782097E-2</v>
      </c>
      <c r="Q1151">
        <v>0.34219643644247599</v>
      </c>
      <c r="R1151">
        <v>0.97623593124427899</v>
      </c>
      <c r="S1151" t="s">
        <v>7768</v>
      </c>
      <c r="T1151" t="s">
        <v>13232</v>
      </c>
      <c r="U1151" t="s">
        <v>13232</v>
      </c>
      <c r="V1151" t="s">
        <v>13232</v>
      </c>
      <c r="W1151" t="s">
        <v>14349</v>
      </c>
      <c r="X1151">
        <v>19</v>
      </c>
      <c r="Y1151" t="s">
        <v>20872</v>
      </c>
      <c r="Z1151" t="s">
        <v>27282</v>
      </c>
      <c r="AA1151">
        <v>0.53566705640133294</v>
      </c>
      <c r="AB1151" t="str">
        <f>HYPERLINK("Melting_Curves/meltCurve_O15047_SETD1A.pdf", "Melting_Curves/meltCurve_O15047_SETD1A.pdf")</f>
        <v>Melting_Curves/meltCurve_O15047_SETD1A.pdf</v>
      </c>
    </row>
    <row r="1152" spans="1:28" x14ac:dyDescent="0.25">
      <c r="A1152" t="s">
        <v>1156</v>
      </c>
      <c r="B1152">
        <v>0.99930955844802105</v>
      </c>
      <c r="C1152">
        <v>0.99883143971828803</v>
      </c>
      <c r="D1152">
        <v>1.04731978596178</v>
      </c>
      <c r="E1152">
        <v>0.89895238508755404</v>
      </c>
      <c r="F1152">
        <v>0.715417213307741</v>
      </c>
      <c r="G1152">
        <v>0.62076710530544499</v>
      </c>
      <c r="H1152">
        <v>0.59252865464547999</v>
      </c>
      <c r="I1152">
        <v>0.58106464022472304</v>
      </c>
      <c r="J1152">
        <v>0.51963614580775597</v>
      </c>
      <c r="K1152">
        <v>0.54140101130948104</v>
      </c>
      <c r="L1152">
        <v>1482.2137803267001</v>
      </c>
      <c r="M1152">
        <v>28.4282744575553</v>
      </c>
      <c r="O1152">
        <v>51.882770409896899</v>
      </c>
      <c r="P1152">
        <v>-6.0299257141252997E-2</v>
      </c>
      <c r="Q1152">
        <v>0.559809078207265</v>
      </c>
      <c r="R1152">
        <v>0.98223747795665395</v>
      </c>
      <c r="S1152" t="s">
        <v>7769</v>
      </c>
      <c r="T1152" t="s">
        <v>13232</v>
      </c>
      <c r="U1152" t="s">
        <v>13232</v>
      </c>
      <c r="V1152" t="s">
        <v>13232</v>
      </c>
      <c r="W1152" t="s">
        <v>14350</v>
      </c>
      <c r="X1152">
        <v>2</v>
      </c>
      <c r="Y1152" t="s">
        <v>20873</v>
      </c>
      <c r="Z1152" t="s">
        <v>27283</v>
      </c>
      <c r="AA1152">
        <v>0.74105517783746333</v>
      </c>
      <c r="AB1152" t="str">
        <f>HYPERLINK("Melting_Curves/meltCurve_O15050_TRANK1.pdf", "Melting_Curves/meltCurve_O15050_TRANK1.pdf")</f>
        <v>Melting_Curves/meltCurve_O15050_TRANK1.pdf</v>
      </c>
    </row>
    <row r="1153" spans="1:28" x14ac:dyDescent="0.25">
      <c r="A1153" t="s">
        <v>1157</v>
      </c>
      <c r="B1153">
        <v>0.99930955844802105</v>
      </c>
      <c r="C1153">
        <v>1.0777735455673301</v>
      </c>
      <c r="D1153">
        <v>1.0758156522390101</v>
      </c>
      <c r="E1153">
        <v>0.96083561480223001</v>
      </c>
      <c r="F1153">
        <v>0.87852357161365102</v>
      </c>
      <c r="G1153">
        <v>0.80389896098827296</v>
      </c>
      <c r="H1153">
        <v>0.74185331790826203</v>
      </c>
      <c r="I1153">
        <v>0.79931400987847101</v>
      </c>
      <c r="J1153">
        <v>0.791200848835242</v>
      </c>
      <c r="K1153">
        <v>0.57009414929332203</v>
      </c>
      <c r="L1153">
        <v>658.91342362568798</v>
      </c>
      <c r="M1153">
        <v>11.221704010241201</v>
      </c>
      <c r="O1153">
        <v>56.9457148561293</v>
      </c>
      <c r="P1153">
        <v>-1.8651508971627401E-2</v>
      </c>
      <c r="Q1153">
        <v>0.62152207950398297</v>
      </c>
      <c r="R1153">
        <v>0.81125342887669105</v>
      </c>
      <c r="S1153" t="s">
        <v>7770</v>
      </c>
      <c r="T1153" t="s">
        <v>13232</v>
      </c>
      <c r="U1153" t="s">
        <v>13232</v>
      </c>
      <c r="V1153" t="s">
        <v>13232</v>
      </c>
      <c r="W1153" t="s">
        <v>14351</v>
      </c>
      <c r="X1153">
        <v>8</v>
      </c>
      <c r="Y1153" t="s">
        <v>20874</v>
      </c>
      <c r="Z1153" t="s">
        <v>27284</v>
      </c>
      <c r="AA1153">
        <v>0.86073267089877548</v>
      </c>
      <c r="AB1153" t="str">
        <f>HYPERLINK("Melting_Curves/meltCurve_O15054_KDM6B.pdf", "Melting_Curves/meltCurve_O15054_KDM6B.pdf")</f>
        <v>Melting_Curves/meltCurve_O15054_KDM6B.pdf</v>
      </c>
    </row>
    <row r="1154" spans="1:28" x14ac:dyDescent="0.25">
      <c r="A1154" t="s">
        <v>1158</v>
      </c>
      <c r="B1154">
        <v>0.99930955844802105</v>
      </c>
      <c r="C1154">
        <v>0.93904838930838297</v>
      </c>
      <c r="D1154">
        <v>0.87666593531613801</v>
      </c>
      <c r="E1154">
        <v>0.56272319236246104</v>
      </c>
      <c r="F1154">
        <v>0.35420410633031901</v>
      </c>
      <c r="G1154">
        <v>0.30419676033323201</v>
      </c>
      <c r="H1154">
        <v>0.239252425150773</v>
      </c>
      <c r="I1154">
        <v>0.25035786670695698</v>
      </c>
      <c r="J1154">
        <v>0.24019615551187601</v>
      </c>
      <c r="K1154">
        <v>0.182329152946515</v>
      </c>
      <c r="L1154">
        <v>1017.5700657290801</v>
      </c>
      <c r="M1154">
        <v>20.6131799888853</v>
      </c>
      <c r="N1154">
        <v>50.840287919990899</v>
      </c>
      <c r="O1154">
        <v>48.907465353471302</v>
      </c>
      <c r="P1154">
        <v>-8.1653636153361894E-2</v>
      </c>
      <c r="Q1154">
        <v>0.22508666236932801</v>
      </c>
      <c r="R1154">
        <v>0.99455667104564804</v>
      </c>
      <c r="S1154" t="s">
        <v>7771</v>
      </c>
      <c r="T1154" t="s">
        <v>13232</v>
      </c>
      <c r="U1154" t="s">
        <v>13232</v>
      </c>
      <c r="V1154" t="s">
        <v>13232</v>
      </c>
      <c r="W1154" t="s">
        <v>14352</v>
      </c>
      <c r="X1154">
        <v>23</v>
      </c>
      <c r="Y1154" t="s">
        <v>20875</v>
      </c>
      <c r="Z1154" t="s">
        <v>27285</v>
      </c>
      <c r="AA1154">
        <v>0.47717598777433851</v>
      </c>
      <c r="AB1154" t="str">
        <f>HYPERLINK("Melting_Curves/meltCurve_O15056_SYNJ2.pdf", "Melting_Curves/meltCurve_O15056_SYNJ2.pdf")</f>
        <v>Melting_Curves/meltCurve_O15056_SYNJ2.pdf</v>
      </c>
    </row>
    <row r="1155" spans="1:28" x14ac:dyDescent="0.25">
      <c r="A1155" t="s">
        <v>1159</v>
      </c>
      <c r="B1155">
        <v>0.99930955844802105</v>
      </c>
      <c r="C1155">
        <v>1.05114048994095</v>
      </c>
      <c r="D1155">
        <v>0.956035839089455</v>
      </c>
      <c r="E1155">
        <v>0.91768001417206702</v>
      </c>
      <c r="F1155">
        <v>0.780445889502274</v>
      </c>
      <c r="G1155">
        <v>0.55398740575761096</v>
      </c>
      <c r="H1155">
        <v>0.50887940053974701</v>
      </c>
      <c r="I1155">
        <v>0.487676665738214</v>
      </c>
      <c r="J1155">
        <v>0.45776774099542</v>
      </c>
      <c r="K1155">
        <v>0.36252998537009601</v>
      </c>
      <c r="L1155">
        <v>1008.64048162744</v>
      </c>
      <c r="M1155">
        <v>18.562100471423101</v>
      </c>
      <c r="N1155">
        <v>60.117020221725902</v>
      </c>
      <c r="O1155">
        <v>53.719810226436998</v>
      </c>
      <c r="P1155">
        <v>-5.0447794080050103E-2</v>
      </c>
      <c r="Q1155">
        <v>0.41602999370604998</v>
      </c>
      <c r="R1155">
        <v>0.98069875390732797</v>
      </c>
      <c r="S1155" t="s">
        <v>7772</v>
      </c>
      <c r="T1155" t="s">
        <v>13232</v>
      </c>
      <c r="U1155" t="s">
        <v>13232</v>
      </c>
      <c r="V1155" t="s">
        <v>13232</v>
      </c>
      <c r="W1155" t="s">
        <v>14353</v>
      </c>
      <c r="X1155">
        <v>5</v>
      </c>
      <c r="Y1155" t="s">
        <v>20876</v>
      </c>
      <c r="Z1155" t="s">
        <v>27286</v>
      </c>
      <c r="AA1155">
        <v>0.70398634278579175</v>
      </c>
      <c r="AB1155" t="str">
        <f>HYPERLINK("Melting_Curves/meltCurve_O15060_ZBTB39.pdf", "Melting_Curves/meltCurve_O15060_ZBTB39.pdf")</f>
        <v>Melting_Curves/meltCurve_O15060_ZBTB39.pdf</v>
      </c>
    </row>
    <row r="1156" spans="1:28" x14ac:dyDescent="0.25">
      <c r="A1156" t="s">
        <v>1160</v>
      </c>
      <c r="B1156">
        <v>0.99930955844802105</v>
      </c>
      <c r="C1156">
        <v>0.96360020013660996</v>
      </c>
      <c r="D1156">
        <v>0.81040831654501899</v>
      </c>
      <c r="E1156">
        <v>0.60142112569635098</v>
      </c>
      <c r="F1156">
        <v>0.43779043587918298</v>
      </c>
      <c r="G1156">
        <v>0.33618264889895499</v>
      </c>
      <c r="H1156">
        <v>0.27831236713044299</v>
      </c>
      <c r="I1156">
        <v>0.30583987957382403</v>
      </c>
      <c r="J1156">
        <v>0.283635499334565</v>
      </c>
      <c r="K1156">
        <v>0.23375769353952799</v>
      </c>
      <c r="L1156">
        <v>812.278762557351</v>
      </c>
      <c r="M1156">
        <v>16.4476885851875</v>
      </c>
      <c r="N1156">
        <v>51.690421928654601</v>
      </c>
      <c r="O1156">
        <v>48.672872543545999</v>
      </c>
      <c r="P1156">
        <v>-6.2531938350308694E-2</v>
      </c>
      <c r="Q1156">
        <v>0.259860778160724</v>
      </c>
      <c r="R1156">
        <v>0.99583465516509195</v>
      </c>
      <c r="S1156" t="s">
        <v>7773</v>
      </c>
      <c r="T1156" t="s">
        <v>13232</v>
      </c>
      <c r="U1156" t="s">
        <v>13232</v>
      </c>
      <c r="V1156" t="s">
        <v>13232</v>
      </c>
      <c r="W1156" t="s">
        <v>14354</v>
      </c>
      <c r="X1156">
        <v>9</v>
      </c>
      <c r="Y1156" t="s">
        <v>20877</v>
      </c>
      <c r="Z1156" t="s">
        <v>27287</v>
      </c>
      <c r="AA1156">
        <v>0.50657432773904998</v>
      </c>
      <c r="AB1156" t="str">
        <f>HYPERLINK("Melting_Curves/meltCurve_O15063_KIAA0355.pdf", "Melting_Curves/meltCurve_O15063_KIAA0355.pdf")</f>
        <v>Melting_Curves/meltCurve_O15063_KIAA0355.pdf</v>
      </c>
    </row>
    <row r="1157" spans="1:28" x14ac:dyDescent="0.25">
      <c r="A1157" t="s">
        <v>1161</v>
      </c>
      <c r="B1157">
        <v>0.99930955844802105</v>
      </c>
      <c r="C1157">
        <v>0.83861060202697502</v>
      </c>
      <c r="D1157">
        <v>0.42456748560428698</v>
      </c>
      <c r="E1157">
        <v>0.30663074879554097</v>
      </c>
      <c r="F1157">
        <v>0.21210712033867901</v>
      </c>
      <c r="G1157">
        <v>0.165057121784282</v>
      </c>
      <c r="H1157">
        <v>0.10306329398981701</v>
      </c>
      <c r="I1157">
        <v>9.4397789974919405E-2</v>
      </c>
      <c r="J1157">
        <v>9.7804372523683597E-2</v>
      </c>
      <c r="K1157">
        <v>7.3413428043732298E-2</v>
      </c>
      <c r="L1157">
        <v>896.71663417470404</v>
      </c>
      <c r="M1157">
        <v>19.6974731510882</v>
      </c>
      <c r="N1157">
        <v>46.1284797229589</v>
      </c>
      <c r="O1157">
        <v>45.063023029488498</v>
      </c>
      <c r="P1157">
        <v>-9.6858628273431904E-2</v>
      </c>
      <c r="Q1157">
        <v>0.113674813045734</v>
      </c>
      <c r="R1157">
        <v>0.97708946779951</v>
      </c>
      <c r="S1157" t="s">
        <v>7774</v>
      </c>
      <c r="T1157" t="s">
        <v>13232</v>
      </c>
      <c r="U1157" t="s">
        <v>13232</v>
      </c>
      <c r="V1157" t="s">
        <v>13232</v>
      </c>
      <c r="W1157" t="s">
        <v>14355</v>
      </c>
      <c r="X1157">
        <v>8</v>
      </c>
      <c r="Y1157" t="s">
        <v>20878</v>
      </c>
      <c r="Z1157" t="s">
        <v>27288</v>
      </c>
      <c r="AA1157">
        <v>0.29163197837414589</v>
      </c>
      <c r="AB1157" t="str">
        <f>HYPERLINK("Melting_Curves/meltCurve_O15066_KIF3B.pdf", "Melting_Curves/meltCurve_O15066_KIF3B.pdf")</f>
        <v>Melting_Curves/meltCurve_O15066_KIF3B.pdf</v>
      </c>
    </row>
    <row r="1158" spans="1:28" x14ac:dyDescent="0.25">
      <c r="A1158" t="s">
        <v>1162</v>
      </c>
      <c r="B1158">
        <v>0.99930955844802105</v>
      </c>
      <c r="C1158">
        <v>0.97259118742964801</v>
      </c>
      <c r="D1158">
        <v>0.92347101888266603</v>
      </c>
      <c r="E1158">
        <v>0.43130544922998598</v>
      </c>
      <c r="F1158">
        <v>0.18630188980444301</v>
      </c>
      <c r="G1158">
        <v>0.135338070708973</v>
      </c>
      <c r="H1158">
        <v>8.8284008851534798E-2</v>
      </c>
      <c r="I1158">
        <v>7.7817943268945894E-2</v>
      </c>
      <c r="J1158">
        <v>7.0388941693469903E-2</v>
      </c>
      <c r="K1158">
        <v>5.4167558246295398E-2</v>
      </c>
      <c r="L1158">
        <v>1494.6450840781999</v>
      </c>
      <c r="M1158">
        <v>30.325999390294001</v>
      </c>
      <c r="N1158">
        <v>49.576647305951397</v>
      </c>
      <c r="O1158">
        <v>49.073128606038203</v>
      </c>
      <c r="P1158">
        <v>-0.14191065496578001</v>
      </c>
      <c r="Q1158">
        <v>8.1454409934650293E-2</v>
      </c>
      <c r="R1158">
        <v>0.997848823172653</v>
      </c>
      <c r="S1158" t="s">
        <v>7775</v>
      </c>
      <c r="T1158" t="s">
        <v>13232</v>
      </c>
      <c r="U1158" t="s">
        <v>13232</v>
      </c>
      <c r="V1158" t="s">
        <v>13232</v>
      </c>
      <c r="W1158" t="s">
        <v>14356</v>
      </c>
      <c r="X1158">
        <v>53</v>
      </c>
      <c r="Y1158" t="s">
        <v>20879</v>
      </c>
      <c r="Z1158" t="s">
        <v>27289</v>
      </c>
      <c r="AA1158">
        <v>0.37126817561000619</v>
      </c>
      <c r="AB1158" t="str">
        <f>HYPERLINK("Melting_Curves/meltCurve_O15067_PFAS.pdf", "Melting_Curves/meltCurve_O15067_PFAS.pdf")</f>
        <v>Melting_Curves/meltCurve_O15067_PFAS.pdf</v>
      </c>
    </row>
    <row r="1159" spans="1:28" x14ac:dyDescent="0.25">
      <c r="A1159" t="s">
        <v>1163</v>
      </c>
      <c r="B1159">
        <v>0.99930955844802105</v>
      </c>
      <c r="C1159">
        <v>0.92464759556985598</v>
      </c>
      <c r="D1159">
        <v>0.97390046143556597</v>
      </c>
      <c r="E1159">
        <v>0.93811733871731995</v>
      </c>
      <c r="F1159">
        <v>0.88226536830365299</v>
      </c>
      <c r="G1159">
        <v>0.49842311249883298</v>
      </c>
      <c r="H1159">
        <v>9.1559133773860796E-2</v>
      </c>
      <c r="I1159">
        <v>3.4777276151439197E-2</v>
      </c>
      <c r="J1159">
        <v>2.6557658479532498E-2</v>
      </c>
      <c r="K1159">
        <v>1.5000014794778801E-2</v>
      </c>
      <c r="L1159">
        <v>1660.9790861813699</v>
      </c>
      <c r="M1159">
        <v>29.228120022275402</v>
      </c>
      <c r="N1159">
        <v>56.836356080278101</v>
      </c>
      <c r="O1159">
        <v>56.564091934967102</v>
      </c>
      <c r="P1159">
        <v>-0.12890994121027899</v>
      </c>
      <c r="Q1159">
        <v>2.1087910443879799E-3</v>
      </c>
      <c r="R1159">
        <v>0.99460616802271595</v>
      </c>
      <c r="S1159" t="s">
        <v>7776</v>
      </c>
      <c r="T1159" t="s">
        <v>13232</v>
      </c>
      <c r="U1159" t="s">
        <v>13232</v>
      </c>
      <c r="V1159" t="s">
        <v>13232</v>
      </c>
      <c r="W1159" t="s">
        <v>14357</v>
      </c>
      <c r="X1159">
        <v>5</v>
      </c>
      <c r="Y1159" t="s">
        <v>20880</v>
      </c>
      <c r="Z1159" t="s">
        <v>27290</v>
      </c>
      <c r="AA1159">
        <v>0.56882596311854816</v>
      </c>
      <c r="AB1159" t="str">
        <f>HYPERLINK("Melting_Curves/meltCurve_O15078_CEP290.pdf", "Melting_Curves/meltCurve_O15078_CEP290.pdf")</f>
        <v>Melting_Curves/meltCurve_O15078_CEP290.pdf</v>
      </c>
    </row>
    <row r="1160" spans="1:28" x14ac:dyDescent="0.25">
      <c r="A1160" t="s">
        <v>1164</v>
      </c>
      <c r="B1160">
        <v>0.99930955844802105</v>
      </c>
      <c r="C1160">
        <v>0.64644194927673604</v>
      </c>
      <c r="D1160">
        <v>0.634551020039542</v>
      </c>
      <c r="E1160">
        <v>0.68360854015435102</v>
      </c>
      <c r="F1160">
        <v>0.29587656926282502</v>
      </c>
      <c r="G1160">
        <v>0.12473727672036899</v>
      </c>
      <c r="H1160">
        <v>6.2908636447285393E-2</v>
      </c>
      <c r="I1160">
        <v>4.8811720863689699E-2</v>
      </c>
      <c r="J1160">
        <v>3.7673064542948401E-2</v>
      </c>
      <c r="K1160">
        <v>3.1396808006627898E-2</v>
      </c>
      <c r="L1160">
        <v>517.48784043051103</v>
      </c>
      <c r="M1160">
        <v>10.506742218991601</v>
      </c>
      <c r="N1160">
        <v>49.252935560050197</v>
      </c>
      <c r="O1160">
        <v>47.5690657758052</v>
      </c>
      <c r="P1160">
        <v>-5.5240579019951302E-2</v>
      </c>
      <c r="Q1160">
        <v>0</v>
      </c>
      <c r="R1160">
        <v>0.91126990788905105</v>
      </c>
      <c r="S1160" t="s">
        <v>7777</v>
      </c>
      <c r="T1160" t="s">
        <v>13232</v>
      </c>
      <c r="U1160" t="s">
        <v>13232</v>
      </c>
      <c r="V1160" t="s">
        <v>13232</v>
      </c>
      <c r="W1160" t="s">
        <v>14358</v>
      </c>
      <c r="X1160">
        <v>14</v>
      </c>
      <c r="Y1160" t="s">
        <v>20881</v>
      </c>
      <c r="Z1160" t="s">
        <v>27291</v>
      </c>
      <c r="AA1160">
        <v>0.35303981491008363</v>
      </c>
      <c r="AB1160" t="str">
        <f>HYPERLINK("Melting_Curves/meltCurve_O15084_ANKRD28.pdf", "Melting_Curves/meltCurve_O15084_ANKRD28.pdf")</f>
        <v>Melting_Curves/meltCurve_O15084_ANKRD28.pdf</v>
      </c>
    </row>
    <row r="1161" spans="1:28" x14ac:dyDescent="0.25">
      <c r="A1161" t="s">
        <v>1165</v>
      </c>
      <c r="B1161">
        <v>0.99930955844802105</v>
      </c>
      <c r="C1161">
        <v>0.99631732876920698</v>
      </c>
      <c r="D1161">
        <v>0.88994936989626305</v>
      </c>
      <c r="E1161">
        <v>0.65907981270085003</v>
      </c>
      <c r="F1161">
        <v>0.45386081093583402</v>
      </c>
      <c r="G1161">
        <v>0.31426724033916797</v>
      </c>
      <c r="H1161">
        <v>0.25136390325150498</v>
      </c>
      <c r="I1161">
        <v>0.23605846076511</v>
      </c>
      <c r="J1161">
        <v>0.24491349650696501</v>
      </c>
      <c r="K1161">
        <v>0.189891928573343</v>
      </c>
      <c r="L1161">
        <v>931.88067802038699</v>
      </c>
      <c r="M1161">
        <v>18.3761960413967</v>
      </c>
      <c r="N1161">
        <v>52.312943373534203</v>
      </c>
      <c r="O1161">
        <v>50.122195424085596</v>
      </c>
      <c r="P1161">
        <v>-7.1940956618519E-2</v>
      </c>
      <c r="Q1161">
        <v>0.215142305304279</v>
      </c>
      <c r="R1161">
        <v>0.99793680672138096</v>
      </c>
      <c r="S1161" t="s">
        <v>7778</v>
      </c>
      <c r="T1161" t="s">
        <v>13232</v>
      </c>
      <c r="U1161" t="s">
        <v>13232</v>
      </c>
      <c r="V1161" t="s">
        <v>13232</v>
      </c>
      <c r="W1161" t="s">
        <v>14359</v>
      </c>
      <c r="X1161">
        <v>20</v>
      </c>
      <c r="Y1161" t="s">
        <v>20882</v>
      </c>
      <c r="Z1161" t="s">
        <v>27292</v>
      </c>
      <c r="AA1161">
        <v>0.50814423862828451</v>
      </c>
      <c r="AB1161" t="str">
        <f>HYPERLINK("Melting_Curves/meltCurve_O15085_2_ARHGEF11.pdf", "Melting_Curves/meltCurve_O15085_2_ARHGEF11.pdf")</f>
        <v>Melting_Curves/meltCurve_O15085_2_ARHGEF11.pdf</v>
      </c>
    </row>
    <row r="1162" spans="1:28" x14ac:dyDescent="0.25">
      <c r="A1162" t="s">
        <v>1166</v>
      </c>
      <c r="B1162">
        <v>0.99930955844802105</v>
      </c>
      <c r="C1162">
        <v>0.396494282156931</v>
      </c>
      <c r="D1162">
        <v>0.250693425685657</v>
      </c>
      <c r="E1162">
        <v>0.22618106071300201</v>
      </c>
      <c r="F1162">
        <v>0.16321552129929501</v>
      </c>
      <c r="G1162">
        <v>0.10679133671886699</v>
      </c>
      <c r="H1162">
        <v>7.0527573154030701E-2</v>
      </c>
      <c r="I1162">
        <v>6.3279874238101899E-2</v>
      </c>
      <c r="J1162">
        <v>5.2015152913324501E-2</v>
      </c>
      <c r="K1162">
        <v>4.1806972078868701E-2</v>
      </c>
      <c r="L1162">
        <v>2204.0008996971901</v>
      </c>
      <c r="M1162">
        <v>52.067724701303902</v>
      </c>
      <c r="N1162">
        <v>42.551038063091397</v>
      </c>
      <c r="O1162">
        <v>42.2672011749302</v>
      </c>
      <c r="P1162">
        <v>-0.27140497044040401</v>
      </c>
      <c r="Q1162">
        <v>0.11872314378116899</v>
      </c>
      <c r="R1162">
        <v>0.94045713160125699</v>
      </c>
      <c r="S1162" t="s">
        <v>7779</v>
      </c>
      <c r="T1162" t="s">
        <v>13232</v>
      </c>
      <c r="U1162" t="s">
        <v>13232</v>
      </c>
      <c r="V1162" t="s">
        <v>13232</v>
      </c>
      <c r="W1162" t="s">
        <v>14360</v>
      </c>
      <c r="X1162">
        <v>8</v>
      </c>
      <c r="Y1162" t="s">
        <v>20883</v>
      </c>
      <c r="Z1162" t="s">
        <v>27293</v>
      </c>
      <c r="AA1162">
        <v>0.1896401014790503</v>
      </c>
      <c r="AB1162" t="str">
        <f>HYPERLINK("Melting_Curves/meltCurve_O15111_CHUK.pdf", "Melting_Curves/meltCurve_O15111_CHUK.pdf")</f>
        <v>Melting_Curves/meltCurve_O15111_CHUK.pdf</v>
      </c>
    </row>
    <row r="1163" spans="1:28" x14ac:dyDescent="0.25">
      <c r="A1163" t="s">
        <v>1167</v>
      </c>
      <c r="B1163">
        <v>0.99930955844802105</v>
      </c>
      <c r="C1163">
        <v>0.99858637297036901</v>
      </c>
      <c r="D1163">
        <v>0.99456491119817603</v>
      </c>
      <c r="E1163">
        <v>0.94653109480678599</v>
      </c>
      <c r="F1163">
        <v>0.87473813091257502</v>
      </c>
      <c r="G1163">
        <v>0.69990141980820897</v>
      </c>
      <c r="H1163">
        <v>0.62490996761682505</v>
      </c>
      <c r="I1163">
        <v>0.56429468355679102</v>
      </c>
      <c r="J1163">
        <v>0.46178156015935201</v>
      </c>
      <c r="K1163">
        <v>0.25838750308409802</v>
      </c>
      <c r="L1163">
        <v>579.31883091807504</v>
      </c>
      <c r="M1163">
        <v>8.9957378739155001</v>
      </c>
      <c r="N1163">
        <v>64.399250459149997</v>
      </c>
      <c r="O1163">
        <v>61.455670952247999</v>
      </c>
      <c r="P1163">
        <v>-3.6621040782156E-2</v>
      </c>
      <c r="Q1163">
        <v>0</v>
      </c>
      <c r="R1163">
        <v>0.97659204995599203</v>
      </c>
      <c r="S1163" t="s">
        <v>7780</v>
      </c>
      <c r="T1163" t="s">
        <v>13232</v>
      </c>
      <c r="U1163" t="s">
        <v>13232</v>
      </c>
      <c r="V1163" t="s">
        <v>13232</v>
      </c>
      <c r="W1163" t="s">
        <v>14361</v>
      </c>
      <c r="X1163">
        <v>6</v>
      </c>
      <c r="Y1163" t="s">
        <v>20884</v>
      </c>
      <c r="Z1163" t="s">
        <v>27294</v>
      </c>
      <c r="AA1163">
        <v>0.75722708901589209</v>
      </c>
      <c r="AB1163" t="str">
        <f>HYPERLINK("Melting_Curves/meltCurve_O15116_LSM1.pdf", "Melting_Curves/meltCurve_O15116_LSM1.pdf")</f>
        <v>Melting_Curves/meltCurve_O15116_LSM1.pdf</v>
      </c>
    </row>
    <row r="1164" spans="1:28" x14ac:dyDescent="0.25">
      <c r="A1164" t="s">
        <v>1168</v>
      </c>
      <c r="B1164">
        <v>0.99930955844802105</v>
      </c>
      <c r="C1164">
        <v>1.4857441850602899</v>
      </c>
      <c r="D1164">
        <v>1.43331148410598</v>
      </c>
      <c r="E1164">
        <v>1.42366388460418</v>
      </c>
      <c r="F1164">
        <v>1.36584613526031</v>
      </c>
      <c r="G1164">
        <v>1.5523854583963199</v>
      </c>
      <c r="H1164">
        <v>1.7181435151703199</v>
      </c>
      <c r="I1164">
        <v>2.05524060214813</v>
      </c>
      <c r="J1164">
        <v>2.4324995636903499</v>
      </c>
      <c r="K1164">
        <v>1.65538930498189</v>
      </c>
      <c r="L1164">
        <v>10573.6266725563</v>
      </c>
      <c r="M1164">
        <v>250</v>
      </c>
      <c r="O1164">
        <v>42.291799512393602</v>
      </c>
      <c r="P1164">
        <v>0.73891392530309696</v>
      </c>
      <c r="Q1164">
        <v>1.5</v>
      </c>
      <c r="R1164">
        <v>8.9001434587067801E-2</v>
      </c>
      <c r="S1164" t="s">
        <v>7781</v>
      </c>
      <c r="T1164" t="s">
        <v>13232</v>
      </c>
      <c r="U1164" t="s">
        <v>13232</v>
      </c>
      <c r="V1164" t="s">
        <v>13232</v>
      </c>
      <c r="W1164" t="s">
        <v>14362</v>
      </c>
      <c r="X1164">
        <v>2</v>
      </c>
      <c r="Y1164" t="s">
        <v>20885</v>
      </c>
      <c r="Z1164" t="s">
        <v>27295</v>
      </c>
      <c r="AA1164">
        <v>1.461721107248575</v>
      </c>
      <c r="AB1164" t="str">
        <f>HYPERLINK("Melting_Curves/meltCurve_O15117_FYB.pdf", "Melting_Curves/meltCurve_O15117_FYB.pdf")</f>
        <v>Melting_Curves/meltCurve_O15117_FYB.pdf</v>
      </c>
    </row>
    <row r="1165" spans="1:28" x14ac:dyDescent="0.25">
      <c r="A1165" t="s">
        <v>1169</v>
      </c>
      <c r="B1165">
        <v>0.99930955844802105</v>
      </c>
      <c r="C1165">
        <v>0.90079842592633796</v>
      </c>
      <c r="D1165">
        <v>0.95579826928367395</v>
      </c>
      <c r="E1165">
        <v>0.88500023723717602</v>
      </c>
      <c r="F1165">
        <v>0.79117766573114701</v>
      </c>
      <c r="G1165">
        <v>0.56397051118096497</v>
      </c>
      <c r="H1165">
        <v>0.48448799808430798</v>
      </c>
      <c r="I1165">
        <v>0.47279101624877901</v>
      </c>
      <c r="J1165">
        <v>0.40681693597256302</v>
      </c>
      <c r="K1165">
        <v>0.331780854107872</v>
      </c>
      <c r="L1165">
        <v>657.207915435568</v>
      </c>
      <c r="M1165">
        <v>11.736151824908401</v>
      </c>
      <c r="N1165">
        <v>60.751482453240101</v>
      </c>
      <c r="O1165">
        <v>54.4469128699848</v>
      </c>
      <c r="P1165">
        <v>-3.7711245222848001E-2</v>
      </c>
      <c r="Q1165">
        <v>0.30037661802607801</v>
      </c>
      <c r="R1165">
        <v>0.97660580810719499</v>
      </c>
      <c r="S1165" t="s">
        <v>7782</v>
      </c>
      <c r="T1165" t="s">
        <v>13232</v>
      </c>
      <c r="U1165" t="s">
        <v>13232</v>
      </c>
      <c r="V1165" t="s">
        <v>13232</v>
      </c>
      <c r="W1165" t="s">
        <v>14363</v>
      </c>
      <c r="X1165">
        <v>2</v>
      </c>
      <c r="Y1165" t="s">
        <v>20886</v>
      </c>
      <c r="Z1165" t="s">
        <v>27296</v>
      </c>
      <c r="AA1165">
        <v>0.68785730529555267</v>
      </c>
      <c r="AB1165" t="str">
        <f>HYPERLINK("Melting_Curves/meltCurve_O15118_NPC1.pdf", "Melting_Curves/meltCurve_O15118_NPC1.pdf")</f>
        <v>Melting_Curves/meltCurve_O15118_NPC1.pdf</v>
      </c>
    </row>
    <row r="1166" spans="1:28" x14ac:dyDescent="0.25">
      <c r="A1166" t="s">
        <v>1170</v>
      </c>
      <c r="B1166">
        <v>0.99930955844802105</v>
      </c>
      <c r="C1166">
        <v>0.89568956123504895</v>
      </c>
      <c r="D1166">
        <v>0.79978266950360899</v>
      </c>
      <c r="E1166">
        <v>0.48580703950945697</v>
      </c>
      <c r="F1166">
        <v>0.19287481841908899</v>
      </c>
      <c r="G1166">
        <v>0.128377013342515</v>
      </c>
      <c r="H1166">
        <v>7.9762734906320396E-2</v>
      </c>
      <c r="I1166">
        <v>9.4420026156465706E-2</v>
      </c>
      <c r="J1166">
        <v>6.65675649860442E-2</v>
      </c>
      <c r="K1166">
        <v>6.25900635969589E-2</v>
      </c>
      <c r="L1166">
        <v>945.17178774841898</v>
      </c>
      <c r="M1166">
        <v>19.265010823201401</v>
      </c>
      <c r="N1166">
        <v>49.402883287352502</v>
      </c>
      <c r="O1166">
        <v>48.542117539425099</v>
      </c>
      <c r="P1166">
        <v>-9.3039343076819506E-2</v>
      </c>
      <c r="Q1166">
        <v>6.2309137577844502E-2</v>
      </c>
      <c r="R1166">
        <v>0.99459051095213202</v>
      </c>
      <c r="S1166" t="s">
        <v>7783</v>
      </c>
      <c r="T1166" t="s">
        <v>13232</v>
      </c>
      <c r="U1166" t="s">
        <v>13232</v>
      </c>
      <c r="V1166" t="s">
        <v>13232</v>
      </c>
      <c r="W1166" t="s">
        <v>14364</v>
      </c>
      <c r="X1166">
        <v>7</v>
      </c>
      <c r="Y1166" t="s">
        <v>20887</v>
      </c>
      <c r="Z1166" t="s">
        <v>27297</v>
      </c>
      <c r="AA1166">
        <v>0.35970096303322729</v>
      </c>
      <c r="AB1166" t="str">
        <f>HYPERLINK("Melting_Curves/meltCurve_O15131_KPNA5.pdf", "Melting_Curves/meltCurve_O15131_KPNA5.pdf")</f>
        <v>Melting_Curves/meltCurve_O15131_KPNA5.pdf</v>
      </c>
    </row>
    <row r="1167" spans="1:28" x14ac:dyDescent="0.25">
      <c r="A1167" t="s">
        <v>1171</v>
      </c>
      <c r="B1167">
        <v>0.99930955844802105</v>
      </c>
      <c r="C1167">
        <v>0.80104925947633299</v>
      </c>
      <c r="D1167">
        <v>0.84264404467306497</v>
      </c>
      <c r="E1167">
        <v>0.831046752099728</v>
      </c>
      <c r="F1167">
        <v>0.75678563652015096</v>
      </c>
      <c r="G1167">
        <v>0.56840495858881102</v>
      </c>
      <c r="H1167">
        <v>0.192965266021767</v>
      </c>
      <c r="I1167">
        <v>0.12713600710068501</v>
      </c>
      <c r="J1167">
        <v>0.110661969385647</v>
      </c>
      <c r="K1167">
        <v>8.9892843387976804E-2</v>
      </c>
      <c r="L1167">
        <v>753.99717743721101</v>
      </c>
      <c r="M1167">
        <v>13.3260355603752</v>
      </c>
      <c r="N1167">
        <v>56.580754020228603</v>
      </c>
      <c r="O1167">
        <v>55.352148398401503</v>
      </c>
      <c r="P1167">
        <v>-6.0197167024018797E-2</v>
      </c>
      <c r="Q1167">
        <v>0</v>
      </c>
      <c r="R1167">
        <v>0.94269328381253004</v>
      </c>
      <c r="S1167" t="s">
        <v>7784</v>
      </c>
      <c r="T1167" t="s">
        <v>13232</v>
      </c>
      <c r="U1167" t="s">
        <v>13232</v>
      </c>
      <c r="V1167" t="s">
        <v>13232</v>
      </c>
      <c r="W1167" t="s">
        <v>14365</v>
      </c>
      <c r="X1167">
        <v>23</v>
      </c>
      <c r="Y1167" t="s">
        <v>20888</v>
      </c>
      <c r="Z1167" t="s">
        <v>27298</v>
      </c>
      <c r="AA1167">
        <v>0.57051700394301763</v>
      </c>
      <c r="AB1167" t="str">
        <f>HYPERLINK("Melting_Curves/meltCurve_O15143_ARPC1B.pdf", "Melting_Curves/meltCurve_O15143_ARPC1B.pdf")</f>
        <v>Melting_Curves/meltCurve_O15143_ARPC1B.pdf</v>
      </c>
    </row>
    <row r="1168" spans="1:28" x14ac:dyDescent="0.25">
      <c r="A1168" t="s">
        <v>1172</v>
      </c>
      <c r="B1168">
        <v>0.99930955844802105</v>
      </c>
      <c r="C1168">
        <v>0.91226416200048699</v>
      </c>
      <c r="D1168">
        <v>0.95061017407259596</v>
      </c>
      <c r="E1168">
        <v>1.01382710631743</v>
      </c>
      <c r="F1168">
        <v>0.98246648462141095</v>
      </c>
      <c r="G1168">
        <v>0.69563420150165201</v>
      </c>
      <c r="H1168">
        <v>0.226239064601159</v>
      </c>
      <c r="I1168">
        <v>0.11547042670683701</v>
      </c>
      <c r="J1168">
        <v>8.9946694163192606E-2</v>
      </c>
      <c r="K1168">
        <v>6.8448355721512893E-2</v>
      </c>
      <c r="L1168">
        <v>2063.4243967888301</v>
      </c>
      <c r="M1168">
        <v>35.474127020678402</v>
      </c>
      <c r="N1168">
        <v>58.438676366596603</v>
      </c>
      <c r="O1168">
        <v>57.9831081536189</v>
      </c>
      <c r="P1168">
        <v>-0.141324774183374</v>
      </c>
      <c r="Q1168">
        <v>7.6011405762307305E-2</v>
      </c>
      <c r="R1168">
        <v>0.99342360466579904</v>
      </c>
      <c r="S1168" t="s">
        <v>7785</v>
      </c>
      <c r="T1168" t="s">
        <v>13232</v>
      </c>
      <c r="U1168" t="s">
        <v>13232</v>
      </c>
      <c r="V1168" t="s">
        <v>13232</v>
      </c>
      <c r="W1168" t="s">
        <v>14366</v>
      </c>
      <c r="X1168">
        <v>27</v>
      </c>
      <c r="Y1168" t="s">
        <v>20889</v>
      </c>
      <c r="Z1168" t="s">
        <v>27299</v>
      </c>
      <c r="AA1168">
        <v>0.64008969834529872</v>
      </c>
      <c r="AB1168" t="str">
        <f>HYPERLINK("Melting_Curves/meltCurve_O15144_ARPC2.pdf", "Melting_Curves/meltCurve_O15144_ARPC2.pdf")</f>
        <v>Melting_Curves/meltCurve_O15144_ARPC2.pdf</v>
      </c>
    </row>
    <row r="1169" spans="1:28" x14ac:dyDescent="0.25">
      <c r="A1169" t="s">
        <v>1173</v>
      </c>
      <c r="B1169">
        <v>0.99930955844802105</v>
      </c>
      <c r="C1169">
        <v>1.05783882640389</v>
      </c>
      <c r="D1169">
        <v>1.09052899192229</v>
      </c>
      <c r="E1169">
        <v>1.0614310309552699</v>
      </c>
      <c r="F1169">
        <v>1.04414522206427</v>
      </c>
      <c r="G1169">
        <v>0.68283023408078303</v>
      </c>
      <c r="H1169">
        <v>0.23376278341416401</v>
      </c>
      <c r="I1169">
        <v>0.14604870187380001</v>
      </c>
      <c r="J1169">
        <v>0.120666872468865</v>
      </c>
      <c r="K1169">
        <v>9.1234448588163694E-2</v>
      </c>
      <c r="L1169">
        <v>2321.1599308233699</v>
      </c>
      <c r="M1169">
        <v>40.0635671891351</v>
      </c>
      <c r="N1169">
        <v>58.314933499846603</v>
      </c>
      <c r="O1169">
        <v>57.793144633845699</v>
      </c>
      <c r="P1169">
        <v>-0.15348729085285701</v>
      </c>
      <c r="Q1169">
        <v>0.11435802287246299</v>
      </c>
      <c r="R1169">
        <v>0.98856497927614295</v>
      </c>
      <c r="S1169" t="s">
        <v>7786</v>
      </c>
      <c r="T1169" t="s">
        <v>13232</v>
      </c>
      <c r="U1169" t="s">
        <v>13232</v>
      </c>
      <c r="V1169" t="s">
        <v>13232</v>
      </c>
      <c r="W1169" t="s">
        <v>14367</v>
      </c>
      <c r="X1169">
        <v>9</v>
      </c>
      <c r="Y1169" t="s">
        <v>20890</v>
      </c>
      <c r="Z1169" t="s">
        <v>27300</v>
      </c>
      <c r="AA1169">
        <v>0.64735096576082884</v>
      </c>
      <c r="AB1169" t="str">
        <f>HYPERLINK("Melting_Curves/meltCurve_O15145_ARPC3.pdf", "Melting_Curves/meltCurve_O15145_ARPC3.pdf")</f>
        <v>Melting_Curves/meltCurve_O15145_ARPC3.pdf</v>
      </c>
    </row>
    <row r="1170" spans="1:28" x14ac:dyDescent="0.25">
      <c r="A1170" t="s">
        <v>1174</v>
      </c>
      <c r="B1170">
        <v>0.99930955844802105</v>
      </c>
      <c r="C1170">
        <v>1.05975808858692</v>
      </c>
      <c r="D1170">
        <v>0.90744384983945903</v>
      </c>
      <c r="E1170">
        <v>0.81468368370865196</v>
      </c>
      <c r="F1170">
        <v>0.77192651752236197</v>
      </c>
      <c r="G1170">
        <v>0.711207914718745</v>
      </c>
      <c r="H1170">
        <v>0.63089384351772604</v>
      </c>
      <c r="I1170">
        <v>0.62239985456547298</v>
      </c>
      <c r="J1170">
        <v>0.56551832095148402</v>
      </c>
      <c r="K1170">
        <v>0.36161603447267499</v>
      </c>
      <c r="L1170">
        <v>364.36915962268398</v>
      </c>
      <c r="M1170">
        <v>5.4334411482453202</v>
      </c>
      <c r="N1170">
        <v>67.060476691157703</v>
      </c>
      <c r="O1170">
        <v>59.607751776116999</v>
      </c>
      <c r="P1170">
        <v>-2.2893064791112801E-2</v>
      </c>
      <c r="Q1170">
        <v>0</v>
      </c>
      <c r="R1170">
        <v>0.92608851132118997</v>
      </c>
      <c r="S1170" t="s">
        <v>7787</v>
      </c>
      <c r="T1170" t="s">
        <v>13232</v>
      </c>
      <c r="U1170" t="s">
        <v>13232</v>
      </c>
      <c r="V1170" t="s">
        <v>13232</v>
      </c>
      <c r="W1170" t="s">
        <v>14368</v>
      </c>
      <c r="X1170">
        <v>4</v>
      </c>
      <c r="Y1170" t="s">
        <v>20891</v>
      </c>
      <c r="Z1170" t="s">
        <v>27301</v>
      </c>
      <c r="AA1170">
        <v>0.74643854094948414</v>
      </c>
      <c r="AB1170" t="str">
        <f>HYPERLINK("Melting_Curves/meltCurve_O15151_5_MDM4.pdf", "Melting_Curves/meltCurve_O15151_5_MDM4.pdf")</f>
        <v>Melting_Curves/meltCurve_O15151_5_MDM4.pdf</v>
      </c>
    </row>
    <row r="1171" spans="1:28" x14ac:dyDescent="0.25">
      <c r="A1171" t="s">
        <v>1175</v>
      </c>
      <c r="B1171">
        <v>0.99930955844802105</v>
      </c>
      <c r="C1171">
        <v>1.1269971030661201</v>
      </c>
      <c r="D1171">
        <v>1.02842957508324</v>
      </c>
      <c r="E1171">
        <v>0.94013225783541798</v>
      </c>
      <c r="F1171">
        <v>0.88206368610464003</v>
      </c>
      <c r="G1171">
        <v>0.64585478497493598</v>
      </c>
      <c r="H1171">
        <v>0.54741165597771801</v>
      </c>
      <c r="I1171">
        <v>0.47792944164013601</v>
      </c>
      <c r="J1171">
        <v>0.46812803685600202</v>
      </c>
      <c r="K1171">
        <v>0.34871546786107699</v>
      </c>
      <c r="L1171">
        <v>982.93936597715401</v>
      </c>
      <c r="M1171">
        <v>17.285539206304701</v>
      </c>
      <c r="N1171">
        <v>62.060196750196504</v>
      </c>
      <c r="O1171">
        <v>56.120125932137903</v>
      </c>
      <c r="P1171">
        <v>-4.7561828975317202E-2</v>
      </c>
      <c r="Q1171">
        <v>0.38236893551648898</v>
      </c>
      <c r="R1171">
        <v>0.96309604652161096</v>
      </c>
      <c r="S1171" t="s">
        <v>7788</v>
      </c>
      <c r="T1171" t="s">
        <v>13232</v>
      </c>
      <c r="U1171" t="s">
        <v>13232</v>
      </c>
      <c r="V1171" t="s">
        <v>13232</v>
      </c>
      <c r="W1171" t="s">
        <v>14369</v>
      </c>
      <c r="X1171">
        <v>8</v>
      </c>
      <c r="Y1171" t="s">
        <v>20892</v>
      </c>
      <c r="Z1171" t="s">
        <v>27302</v>
      </c>
      <c r="AA1171">
        <v>0.73849099623920822</v>
      </c>
      <c r="AB1171" t="str">
        <f>HYPERLINK("Melting_Curves/meltCurve_O15156_ZBTB7B.pdf", "Melting_Curves/meltCurve_O15156_ZBTB7B.pdf")</f>
        <v>Melting_Curves/meltCurve_O15156_ZBTB7B.pdf</v>
      </c>
    </row>
    <row r="1172" spans="1:28" x14ac:dyDescent="0.25">
      <c r="A1172" t="s">
        <v>1176</v>
      </c>
      <c r="B1172">
        <v>0.99930955844802105</v>
      </c>
      <c r="C1172">
        <v>0.75162943213783595</v>
      </c>
      <c r="D1172">
        <v>0.53025413465009896</v>
      </c>
      <c r="E1172">
        <v>0.344075416867485</v>
      </c>
      <c r="F1172">
        <v>0.21911295593594601</v>
      </c>
      <c r="G1172">
        <v>0.14726122993416199</v>
      </c>
      <c r="H1172">
        <v>9.3540589879603994E-2</v>
      </c>
      <c r="I1172">
        <v>7.8497163361579997E-2</v>
      </c>
      <c r="J1172">
        <v>6.4949283859372903E-2</v>
      </c>
      <c r="K1172">
        <v>5.3245127534863802E-2</v>
      </c>
      <c r="L1172">
        <v>648.76791558299897</v>
      </c>
      <c r="M1172">
        <v>13.940182439128799</v>
      </c>
      <c r="N1172">
        <v>46.978590650202399</v>
      </c>
      <c r="O1172">
        <v>45.613078510996097</v>
      </c>
      <c r="P1172">
        <v>-7.1746444516450195E-2</v>
      </c>
      <c r="Q1172">
        <v>6.10923753670519E-2</v>
      </c>
      <c r="R1172">
        <v>0.98852336239930805</v>
      </c>
      <c r="S1172" t="s">
        <v>7789</v>
      </c>
      <c r="T1172" t="s">
        <v>13232</v>
      </c>
      <c r="U1172" t="s">
        <v>13232</v>
      </c>
      <c r="V1172" t="s">
        <v>13232</v>
      </c>
      <c r="W1172" t="s">
        <v>14370</v>
      </c>
      <c r="X1172">
        <v>9</v>
      </c>
      <c r="Y1172" t="s">
        <v>20893</v>
      </c>
      <c r="Z1172" t="s">
        <v>27303</v>
      </c>
      <c r="AA1172">
        <v>0.29632511601865302</v>
      </c>
      <c r="AB1172" t="str">
        <f>HYPERLINK("Melting_Curves/meltCurve_O15160_2_POLR1C.pdf", "Melting_Curves/meltCurve_O15160_2_POLR1C.pdf")</f>
        <v>Melting_Curves/meltCurve_O15160_2_POLR1C.pdf</v>
      </c>
    </row>
    <row r="1173" spans="1:28" x14ac:dyDescent="0.25">
      <c r="A1173" t="s">
        <v>1177</v>
      </c>
      <c r="B1173">
        <v>0.99930955844802105</v>
      </c>
      <c r="C1173">
        <v>0.93147056952838503</v>
      </c>
      <c r="D1173">
        <v>0.85127384826081798</v>
      </c>
      <c r="E1173">
        <v>0.83015497544476902</v>
      </c>
      <c r="F1173">
        <v>0.526025412633496</v>
      </c>
      <c r="G1173">
        <v>0.36587302282489598</v>
      </c>
      <c r="H1173">
        <v>0.27468587944668699</v>
      </c>
      <c r="I1173">
        <v>0.25432228954199698</v>
      </c>
      <c r="J1173">
        <v>0.233949853921843</v>
      </c>
      <c r="K1173">
        <v>0.200377793674646</v>
      </c>
      <c r="L1173">
        <v>793.09521094418005</v>
      </c>
      <c r="M1173">
        <v>15.106168216349101</v>
      </c>
      <c r="N1173">
        <v>54.231423619720303</v>
      </c>
      <c r="O1173">
        <v>51.607142529569003</v>
      </c>
      <c r="P1173">
        <v>-5.9193183546422702E-2</v>
      </c>
      <c r="Q1173">
        <v>0.19119373298835901</v>
      </c>
      <c r="R1173">
        <v>0.98297344750762095</v>
      </c>
      <c r="S1173" t="s">
        <v>7790</v>
      </c>
      <c r="T1173" t="s">
        <v>13232</v>
      </c>
      <c r="U1173" t="s">
        <v>13232</v>
      </c>
      <c r="V1173" t="s">
        <v>13232</v>
      </c>
      <c r="W1173" t="s">
        <v>14371</v>
      </c>
      <c r="X1173">
        <v>18</v>
      </c>
      <c r="Y1173" t="s">
        <v>20894</v>
      </c>
      <c r="Z1173" t="s">
        <v>27304</v>
      </c>
      <c r="AA1173">
        <v>0.54580719665791511</v>
      </c>
      <c r="AB1173" t="str">
        <f>HYPERLINK("Melting_Curves/meltCurve_O15164_TRIM24.pdf", "Melting_Curves/meltCurve_O15164_TRIM24.pdf")</f>
        <v>Melting_Curves/meltCurve_O15164_TRIM24.pdf</v>
      </c>
    </row>
    <row r="1174" spans="1:28" x14ac:dyDescent="0.25">
      <c r="A1174" t="s">
        <v>1178</v>
      </c>
      <c r="B1174">
        <v>0.99930955844802105</v>
      </c>
      <c r="C1174">
        <v>0.99310377311746501</v>
      </c>
      <c r="D1174">
        <v>0.93274456409395201</v>
      </c>
      <c r="E1174">
        <v>0.84433929547771902</v>
      </c>
      <c r="F1174">
        <v>0.78005566961482298</v>
      </c>
      <c r="G1174">
        <v>0.69200624525500098</v>
      </c>
      <c r="H1174">
        <v>0.65450918828557203</v>
      </c>
      <c r="I1174">
        <v>0.73586291512852298</v>
      </c>
      <c r="J1174">
        <v>0.67874018978406803</v>
      </c>
      <c r="K1174">
        <v>0.58410308648272402</v>
      </c>
      <c r="L1174">
        <v>732.93720159540806</v>
      </c>
      <c r="M1174">
        <v>14.3725698276399</v>
      </c>
      <c r="O1174">
        <v>50.038816868066903</v>
      </c>
      <c r="P1174">
        <v>-2.5602669478122699E-2</v>
      </c>
      <c r="Q1174">
        <v>0.64349470444684498</v>
      </c>
      <c r="R1174">
        <v>0.94091053899741595</v>
      </c>
      <c r="S1174" t="s">
        <v>7791</v>
      </c>
      <c r="T1174" t="s">
        <v>13232</v>
      </c>
      <c r="U1174" t="s">
        <v>13232</v>
      </c>
      <c r="V1174" t="s">
        <v>13232</v>
      </c>
      <c r="W1174" t="s">
        <v>14372</v>
      </c>
      <c r="X1174">
        <v>8</v>
      </c>
      <c r="Y1174" t="s">
        <v>20895</v>
      </c>
      <c r="Z1174" t="s">
        <v>27305</v>
      </c>
      <c r="AA1174">
        <v>0.78299450911360302</v>
      </c>
      <c r="AB1174" t="str">
        <f>HYPERLINK("Melting_Curves/meltCurve_O15169_2_AXIN1.pdf", "Melting_Curves/meltCurve_O15169_2_AXIN1.pdf")</f>
        <v>Melting_Curves/meltCurve_O15169_2_AXIN1.pdf</v>
      </c>
    </row>
    <row r="1175" spans="1:28" x14ac:dyDescent="0.25">
      <c r="A1175" t="s">
        <v>1179</v>
      </c>
      <c r="B1175">
        <v>0.99930955844802105</v>
      </c>
      <c r="C1175">
        <v>0.91102763939217402</v>
      </c>
      <c r="D1175">
        <v>0.82200159218850299</v>
      </c>
      <c r="E1175">
        <v>0.83361247969899799</v>
      </c>
      <c r="F1175">
        <v>0.48725614138296802</v>
      </c>
      <c r="G1175">
        <v>0.27609327992753901</v>
      </c>
      <c r="H1175">
        <v>0.20998967412130401</v>
      </c>
      <c r="I1175">
        <v>0.20423719533857401</v>
      </c>
      <c r="J1175">
        <v>0.19831306009027</v>
      </c>
      <c r="K1175">
        <v>0.15439299579063301</v>
      </c>
      <c r="L1175">
        <v>905.05492033914402</v>
      </c>
      <c r="M1175">
        <v>17.3499618629582</v>
      </c>
      <c r="N1175">
        <v>53.2987801340755</v>
      </c>
      <c r="O1175">
        <v>51.486472444864098</v>
      </c>
      <c r="P1175">
        <v>-7.1246085273027601E-2</v>
      </c>
      <c r="Q1175">
        <v>0.154349768386258</v>
      </c>
      <c r="R1175">
        <v>0.97196936084991004</v>
      </c>
      <c r="S1175" t="s">
        <v>7792</v>
      </c>
      <c r="T1175" t="s">
        <v>13232</v>
      </c>
      <c r="U1175" t="s">
        <v>13232</v>
      </c>
      <c r="V1175" t="s">
        <v>13232</v>
      </c>
      <c r="W1175" t="s">
        <v>14373</v>
      </c>
      <c r="X1175">
        <v>4</v>
      </c>
      <c r="Y1175" t="s">
        <v>20896</v>
      </c>
      <c r="Z1175" t="s">
        <v>27306</v>
      </c>
      <c r="AA1175">
        <v>0.51218171773281096</v>
      </c>
      <c r="AB1175" t="str">
        <f>HYPERLINK("Melting_Curves/meltCurve_O15173_PGRMC2.pdf", "Melting_Curves/meltCurve_O15173_PGRMC2.pdf")</f>
        <v>Melting_Curves/meltCurve_O15173_PGRMC2.pdf</v>
      </c>
    </row>
    <row r="1176" spans="1:28" x14ac:dyDescent="0.25">
      <c r="A1176" t="s">
        <v>1180</v>
      </c>
      <c r="B1176">
        <v>0.99930955844802105</v>
      </c>
      <c r="C1176">
        <v>0.95766383808079902</v>
      </c>
      <c r="D1176">
        <v>0.90735950777785301</v>
      </c>
      <c r="E1176">
        <v>0.80158377004094905</v>
      </c>
      <c r="F1176">
        <v>0.64446657430250798</v>
      </c>
      <c r="G1176">
        <v>0.52861181613435104</v>
      </c>
      <c r="H1176">
        <v>0.44909687814546301</v>
      </c>
      <c r="I1176">
        <v>0.45956061033386097</v>
      </c>
      <c r="J1176">
        <v>0.40681367284182901</v>
      </c>
      <c r="K1176">
        <v>0.33059936995053002</v>
      </c>
      <c r="L1176">
        <v>635.01230958797396</v>
      </c>
      <c r="M1176">
        <v>12.000284697909599</v>
      </c>
      <c r="N1176">
        <v>58.506932287392502</v>
      </c>
      <c r="O1176">
        <v>51.511216276422402</v>
      </c>
      <c r="P1176">
        <v>-3.8381304727586198E-2</v>
      </c>
      <c r="Q1176">
        <v>0.34115187911769601</v>
      </c>
      <c r="R1176">
        <v>0.99022991656261306</v>
      </c>
      <c r="S1176" t="s">
        <v>7793</v>
      </c>
      <c r="T1176" t="s">
        <v>13232</v>
      </c>
      <c r="U1176" t="s">
        <v>13232</v>
      </c>
      <c r="V1176" t="s">
        <v>13232</v>
      </c>
      <c r="W1176" t="s">
        <v>14374</v>
      </c>
      <c r="X1176">
        <v>9</v>
      </c>
      <c r="Y1176" t="s">
        <v>20897</v>
      </c>
      <c r="Z1176" t="s">
        <v>27307</v>
      </c>
      <c r="AA1176">
        <v>0.64369718467573012</v>
      </c>
      <c r="AB1176" t="str">
        <f>HYPERLINK("Melting_Curves/meltCurve_O15211_RGL2.pdf", "Melting_Curves/meltCurve_O15211_RGL2.pdf")</f>
        <v>Melting_Curves/meltCurve_O15211_RGL2.pdf</v>
      </c>
    </row>
    <row r="1177" spans="1:28" x14ac:dyDescent="0.25">
      <c r="A1177" t="s">
        <v>1181</v>
      </c>
      <c r="B1177">
        <v>0.99930955844802105</v>
      </c>
      <c r="C1177">
        <v>0.81090676852426802</v>
      </c>
      <c r="D1177">
        <v>0.80328622055949594</v>
      </c>
      <c r="E1177">
        <v>0.70809592747373196</v>
      </c>
      <c r="F1177">
        <v>0.62515441987387799</v>
      </c>
      <c r="G1177">
        <v>0.57882125424639796</v>
      </c>
      <c r="H1177">
        <v>0.43697555030580698</v>
      </c>
      <c r="I1177">
        <v>0.43282042173345098</v>
      </c>
      <c r="J1177">
        <v>0.37335976467501902</v>
      </c>
      <c r="K1177">
        <v>0.31539770415055302</v>
      </c>
      <c r="L1177">
        <v>315.37186997602203</v>
      </c>
      <c r="M1177">
        <v>5.5460600730355196</v>
      </c>
      <c r="N1177">
        <v>59.090690292070001</v>
      </c>
      <c r="O1177">
        <v>50.755585888716197</v>
      </c>
      <c r="P1177">
        <v>-2.4847471967283902E-2</v>
      </c>
      <c r="Q1177">
        <v>9.4293414711079798E-2</v>
      </c>
      <c r="R1177">
        <v>0.97124095454367998</v>
      </c>
      <c r="S1177" t="s">
        <v>7794</v>
      </c>
      <c r="T1177" t="s">
        <v>13232</v>
      </c>
      <c r="U1177" t="s">
        <v>13232</v>
      </c>
      <c r="V1177" t="s">
        <v>13232</v>
      </c>
      <c r="W1177" t="s">
        <v>14375</v>
      </c>
      <c r="X1177">
        <v>11</v>
      </c>
      <c r="Y1177" t="s">
        <v>20898</v>
      </c>
      <c r="Z1177" t="s">
        <v>27308</v>
      </c>
      <c r="AA1177">
        <v>0.60550307388253422</v>
      </c>
      <c r="AB1177" t="str">
        <f>HYPERLINK("Melting_Curves/meltCurve_O15212_PFDN6.pdf", "Melting_Curves/meltCurve_O15212_PFDN6.pdf")</f>
        <v>Melting_Curves/meltCurve_O15212_PFDN6.pdf</v>
      </c>
    </row>
    <row r="1178" spans="1:28" x14ac:dyDescent="0.25">
      <c r="A1178" t="s">
        <v>1182</v>
      </c>
      <c r="B1178">
        <v>0.99930955844802105</v>
      </c>
      <c r="C1178">
        <v>0.935166384372352</v>
      </c>
      <c r="D1178">
        <v>0.94073313733419195</v>
      </c>
      <c r="E1178">
        <v>0.820602119086001</v>
      </c>
      <c r="F1178">
        <v>0.47887502208416</v>
      </c>
      <c r="G1178">
        <v>0.23381286697530601</v>
      </c>
      <c r="H1178">
        <v>0.12217759020473901</v>
      </c>
      <c r="I1178">
        <v>9.5520985162497699E-2</v>
      </c>
      <c r="J1178">
        <v>6.21539605646775E-2</v>
      </c>
      <c r="K1178">
        <v>5.6309990835231097E-2</v>
      </c>
      <c r="L1178">
        <v>1132.86000990243</v>
      </c>
      <c r="M1178">
        <v>21.463566219529</v>
      </c>
      <c r="N1178">
        <v>53.113347724134996</v>
      </c>
      <c r="O1178">
        <v>52.328859492023099</v>
      </c>
      <c r="P1178">
        <v>-9.60934867152404E-2</v>
      </c>
      <c r="Q1178">
        <v>6.2907313440527302E-2</v>
      </c>
      <c r="R1178">
        <v>0.99535206929068498</v>
      </c>
      <c r="S1178" t="s">
        <v>7795</v>
      </c>
      <c r="T1178" t="s">
        <v>13232</v>
      </c>
      <c r="U1178" t="s">
        <v>13232</v>
      </c>
      <c r="V1178" t="s">
        <v>13232</v>
      </c>
      <c r="W1178" t="s">
        <v>14376</v>
      </c>
      <c r="X1178">
        <v>9</v>
      </c>
      <c r="Y1178" t="s">
        <v>20899</v>
      </c>
      <c r="Z1178" t="s">
        <v>27309</v>
      </c>
      <c r="AA1178">
        <v>0.47353252132384099</v>
      </c>
      <c r="AB1178" t="str">
        <f>HYPERLINK("Melting_Curves/meltCurve_O15213_WDR46.pdf", "Melting_Curves/meltCurve_O15213_WDR46.pdf")</f>
        <v>Melting_Curves/meltCurve_O15213_WDR46.pdf</v>
      </c>
    </row>
    <row r="1179" spans="1:28" x14ac:dyDescent="0.25">
      <c r="A1179" t="s">
        <v>1183</v>
      </c>
      <c r="B1179">
        <v>0.99930955844802105</v>
      </c>
      <c r="C1179">
        <v>1.1297467045209499</v>
      </c>
      <c r="D1179">
        <v>1.1142512938201701</v>
      </c>
      <c r="E1179">
        <v>1.0246083976295499</v>
      </c>
      <c r="F1179">
        <v>0.92120960746534397</v>
      </c>
      <c r="G1179">
        <v>0.82932202066259697</v>
      </c>
      <c r="H1179">
        <v>0.86046623288888302</v>
      </c>
      <c r="I1179">
        <v>0.93950197119438905</v>
      </c>
      <c r="J1179">
        <v>0.942550687445597</v>
      </c>
      <c r="K1179">
        <v>0.76080096210450998</v>
      </c>
      <c r="L1179">
        <v>13230.640742044499</v>
      </c>
      <c r="M1179">
        <v>250</v>
      </c>
      <c r="O1179">
        <v>52.919196513208703</v>
      </c>
      <c r="P1179">
        <v>-0.15763617978993</v>
      </c>
      <c r="Q1179">
        <v>0.86652837128132498</v>
      </c>
      <c r="R1179">
        <v>0.57192724811639195</v>
      </c>
      <c r="S1179" t="s">
        <v>7796</v>
      </c>
      <c r="T1179" t="s">
        <v>13232</v>
      </c>
      <c r="U1179" t="s">
        <v>13232</v>
      </c>
      <c r="V1179" t="s">
        <v>13232</v>
      </c>
      <c r="W1179" t="s">
        <v>14377</v>
      </c>
      <c r="X1179">
        <v>11</v>
      </c>
      <c r="Y1179" t="s">
        <v>20900</v>
      </c>
      <c r="Z1179" t="s">
        <v>27310</v>
      </c>
      <c r="AA1179">
        <v>0.92403395211528738</v>
      </c>
      <c r="AB1179" t="str">
        <f>HYPERLINK("Melting_Curves/meltCurve_O15226_NKRF.pdf", "Melting_Curves/meltCurve_O15226_NKRF.pdf")</f>
        <v>Melting_Curves/meltCurve_O15226_NKRF.pdf</v>
      </c>
    </row>
    <row r="1180" spans="1:28" x14ac:dyDescent="0.25">
      <c r="A1180" t="s">
        <v>1184</v>
      </c>
      <c r="B1180">
        <v>0.99930955844802105</v>
      </c>
      <c r="C1180">
        <v>1.02040430964389</v>
      </c>
      <c r="D1180">
        <v>0.74291243676638996</v>
      </c>
      <c r="E1180">
        <v>0.75061971021386298</v>
      </c>
      <c r="F1180">
        <v>0.65052337366919</v>
      </c>
      <c r="G1180">
        <v>0.36474765836352802</v>
      </c>
      <c r="H1180">
        <v>0.27500140389748701</v>
      </c>
      <c r="I1180">
        <v>0.27587276639128799</v>
      </c>
      <c r="J1180">
        <v>0.28199097771265302</v>
      </c>
      <c r="K1180">
        <v>0.211415328888412</v>
      </c>
      <c r="L1180">
        <v>612.73242598444199</v>
      </c>
      <c r="M1180">
        <v>11.608105899421</v>
      </c>
      <c r="N1180">
        <v>54.801734638960902</v>
      </c>
      <c r="O1180">
        <v>51.291313578048701</v>
      </c>
      <c r="P1180">
        <v>-4.6756551726966002E-2</v>
      </c>
      <c r="Q1180">
        <v>0.17383670680703101</v>
      </c>
      <c r="R1180">
        <v>0.95891641658235105</v>
      </c>
      <c r="S1180" t="s">
        <v>7797</v>
      </c>
      <c r="T1180" t="s">
        <v>13232</v>
      </c>
      <c r="U1180" t="s">
        <v>13232</v>
      </c>
      <c r="V1180" t="s">
        <v>13232</v>
      </c>
      <c r="W1180" t="s">
        <v>14378</v>
      </c>
      <c r="X1180">
        <v>2</v>
      </c>
      <c r="Y1180" t="s">
        <v>20901</v>
      </c>
      <c r="Z1180" t="s">
        <v>27311</v>
      </c>
      <c r="AA1180">
        <v>0.55074804412844358</v>
      </c>
      <c r="AB1180" t="str">
        <f>HYPERLINK("Melting_Curves/meltCurve_O15231_4_ZNF185.pdf", "Melting_Curves/meltCurve_O15231_4_ZNF185.pdf")</f>
        <v>Melting_Curves/meltCurve_O15231_4_ZNF185.pdf</v>
      </c>
    </row>
    <row r="1181" spans="1:28" x14ac:dyDescent="0.25">
      <c r="A1181" t="s">
        <v>1185</v>
      </c>
      <c r="B1181">
        <v>0.99930955844802105</v>
      </c>
      <c r="C1181">
        <v>1.2083977808697399</v>
      </c>
      <c r="D1181">
        <v>1.1457790359754001</v>
      </c>
      <c r="E1181">
        <v>1.1254628984716499</v>
      </c>
      <c r="F1181">
        <v>1.0643911606830501</v>
      </c>
      <c r="G1181">
        <v>1.12782368974196</v>
      </c>
      <c r="H1181">
        <v>1.2173602779177399</v>
      </c>
      <c r="I1181">
        <v>1.4502439573600401</v>
      </c>
      <c r="J1181">
        <v>1.58007149714955</v>
      </c>
      <c r="K1181">
        <v>1.20288359501452</v>
      </c>
      <c r="L1181">
        <v>352.38005955274798</v>
      </c>
      <c r="M1181">
        <v>6.0545946254352598</v>
      </c>
      <c r="O1181">
        <v>52.806792048537297</v>
      </c>
      <c r="P1181">
        <v>1.4376887417497E-2</v>
      </c>
      <c r="Q1181">
        <v>1.5</v>
      </c>
      <c r="R1181">
        <v>0.43051479210624699</v>
      </c>
      <c r="S1181" t="s">
        <v>7798</v>
      </c>
      <c r="T1181" t="s">
        <v>13232</v>
      </c>
      <c r="U1181" t="s">
        <v>13232</v>
      </c>
      <c r="V1181" t="s">
        <v>13232</v>
      </c>
      <c r="W1181" t="s">
        <v>14379</v>
      </c>
      <c r="X1181">
        <v>10</v>
      </c>
      <c r="Y1181" t="s">
        <v>20902</v>
      </c>
      <c r="Z1181" t="s">
        <v>27312</v>
      </c>
      <c r="AA1181">
        <v>1.2019350861353051</v>
      </c>
      <c r="AB1181" t="str">
        <f>HYPERLINK("Melting_Curves/meltCurve_O15234_CASC3.pdf", "Melting_Curves/meltCurve_O15234_CASC3.pdf")</f>
        <v>Melting_Curves/meltCurve_O15234_CASC3.pdf</v>
      </c>
    </row>
    <row r="1182" spans="1:28" x14ac:dyDescent="0.25">
      <c r="A1182" t="s">
        <v>1186</v>
      </c>
      <c r="B1182">
        <v>0.99930955844802105</v>
      </c>
      <c r="C1182">
        <v>1.3670356880491199</v>
      </c>
      <c r="D1182">
        <v>1.3264313068110101</v>
      </c>
      <c r="E1182">
        <v>1.30953267327901</v>
      </c>
      <c r="F1182">
        <v>1.2769026277514099</v>
      </c>
      <c r="G1182">
        <v>1.2942665250823</v>
      </c>
      <c r="H1182">
        <v>1.3828084036738499</v>
      </c>
      <c r="I1182">
        <v>1.5235247578008499</v>
      </c>
      <c r="J1182">
        <v>1.5494715939959101</v>
      </c>
      <c r="K1182">
        <v>1.2367703842582001</v>
      </c>
      <c r="L1182">
        <v>10318.545007986</v>
      </c>
      <c r="M1182">
        <v>250</v>
      </c>
      <c r="O1182">
        <v>41.271538739913701</v>
      </c>
      <c r="P1182">
        <v>0.549674473602627</v>
      </c>
      <c r="Q1182">
        <v>1.36297458104138</v>
      </c>
      <c r="R1182">
        <v>0.56079837267227095</v>
      </c>
      <c r="S1182" t="s">
        <v>7799</v>
      </c>
      <c r="T1182" t="s">
        <v>13232</v>
      </c>
      <c r="U1182" t="s">
        <v>13232</v>
      </c>
      <c r="V1182" t="s">
        <v>13232</v>
      </c>
      <c r="W1182" t="s">
        <v>14380</v>
      </c>
      <c r="X1182">
        <v>11</v>
      </c>
      <c r="Y1182" t="s">
        <v>20903</v>
      </c>
      <c r="Z1182" t="s">
        <v>27313</v>
      </c>
      <c r="AA1182">
        <v>1.347531142443557</v>
      </c>
      <c r="AB1182" t="str">
        <f>HYPERLINK("Melting_Curves/meltCurve_O15240_VGF.pdf", "Melting_Curves/meltCurve_O15240_VGF.pdf")</f>
        <v>Melting_Curves/meltCurve_O15240_VGF.pdf</v>
      </c>
    </row>
    <row r="1183" spans="1:28" x14ac:dyDescent="0.25">
      <c r="A1183" t="s">
        <v>1187</v>
      </c>
      <c r="B1183">
        <v>0.99930955844802105</v>
      </c>
      <c r="C1183">
        <v>1.1646249511301801</v>
      </c>
      <c r="D1183">
        <v>0.796060219689249</v>
      </c>
      <c r="E1183">
        <v>0.55577451114179599</v>
      </c>
      <c r="F1183">
        <v>0.19487251739161399</v>
      </c>
      <c r="G1183">
        <v>0.13130857450296701</v>
      </c>
      <c r="H1183">
        <v>7.2013149184284905E-2</v>
      </c>
      <c r="I1183">
        <v>6.0348640524445302E-2</v>
      </c>
      <c r="J1183">
        <v>5.22680821709667E-2</v>
      </c>
      <c r="K1183">
        <v>3.7627210233740403E-2</v>
      </c>
      <c r="L1183">
        <v>1183.6285399195399</v>
      </c>
      <c r="M1183">
        <v>23.739779618949399</v>
      </c>
      <c r="N1183">
        <v>50.0958795386438</v>
      </c>
      <c r="O1183">
        <v>49.508706268508597</v>
      </c>
      <c r="P1183">
        <v>-0.11350020125987</v>
      </c>
      <c r="Q1183">
        <v>5.3208524632295397E-2</v>
      </c>
      <c r="R1183">
        <v>0.97228523095828001</v>
      </c>
      <c r="S1183" t="s">
        <v>7800</v>
      </c>
      <c r="T1183" t="s">
        <v>13232</v>
      </c>
      <c r="U1183" t="s">
        <v>13232</v>
      </c>
      <c r="V1183" t="s">
        <v>13232</v>
      </c>
      <c r="W1183" t="s">
        <v>14381</v>
      </c>
      <c r="X1183">
        <v>20</v>
      </c>
      <c r="Y1183" t="s">
        <v>20904</v>
      </c>
      <c r="Z1183" t="s">
        <v>27314</v>
      </c>
      <c r="AA1183">
        <v>0.37371619176507581</v>
      </c>
      <c r="AB1183" t="str">
        <f>HYPERLINK("Melting_Curves/meltCurve_O15247_CLIC2.pdf", "Melting_Curves/meltCurve_O15247_CLIC2.pdf")</f>
        <v>Melting_Curves/meltCurve_O15247_CLIC2.pdf</v>
      </c>
    </row>
    <row r="1184" spans="1:28" x14ac:dyDescent="0.25">
      <c r="A1184" t="s">
        <v>1188</v>
      </c>
      <c r="B1184">
        <v>0.99930955844802105</v>
      </c>
      <c r="C1184">
        <v>0.76915504761431197</v>
      </c>
      <c r="D1184">
        <v>0.53327627707481395</v>
      </c>
      <c r="E1184">
        <v>0.77906291818775197</v>
      </c>
      <c r="F1184">
        <v>0.39100175274134102</v>
      </c>
      <c r="G1184">
        <v>0.184166984151968</v>
      </c>
      <c r="H1184">
        <v>0.10862116403654</v>
      </c>
      <c r="I1184">
        <v>8.6667533847864797E-2</v>
      </c>
      <c r="J1184">
        <v>6.6868958754624397E-2</v>
      </c>
      <c r="K1184">
        <v>5.90470765928943E-2</v>
      </c>
      <c r="L1184">
        <v>487.04145739923501</v>
      </c>
      <c r="M1184">
        <v>9.6533596582427403</v>
      </c>
      <c r="N1184">
        <v>50.453076287489502</v>
      </c>
      <c r="O1184">
        <v>48.430586349161203</v>
      </c>
      <c r="P1184">
        <v>-4.9858635695301301E-2</v>
      </c>
      <c r="Q1184">
        <v>0</v>
      </c>
      <c r="R1184">
        <v>0.89295099578033699</v>
      </c>
      <c r="S1184" t="s">
        <v>7801</v>
      </c>
      <c r="T1184" t="s">
        <v>13232</v>
      </c>
      <c r="U1184" t="s">
        <v>13232</v>
      </c>
      <c r="V1184" t="s">
        <v>13232</v>
      </c>
      <c r="W1184" t="s">
        <v>14382</v>
      </c>
      <c r="X1184">
        <v>2</v>
      </c>
      <c r="Y1184" t="s">
        <v>20905</v>
      </c>
      <c r="Z1184" t="s">
        <v>27315</v>
      </c>
      <c r="AA1184">
        <v>0.39402454706338491</v>
      </c>
      <c r="AB1184" t="str">
        <f>HYPERLINK("Melting_Curves/meltCurve_O15260_2_SURF4.pdf", "Melting_Curves/meltCurve_O15260_2_SURF4.pdf")</f>
        <v>Melting_Curves/meltCurve_O15260_2_SURF4.pdf</v>
      </c>
    </row>
    <row r="1185" spans="1:28" x14ac:dyDescent="0.25">
      <c r="A1185" t="s">
        <v>1189</v>
      </c>
      <c r="B1185">
        <v>0.99930955844802105</v>
      </c>
      <c r="C1185">
        <v>1.03352923709079</v>
      </c>
      <c r="D1185">
        <v>0.93847541853041505</v>
      </c>
      <c r="E1185">
        <v>0.92759666978084798</v>
      </c>
      <c r="F1185">
        <v>0.73590222351124202</v>
      </c>
      <c r="G1185">
        <v>0.61071639118250298</v>
      </c>
      <c r="H1185">
        <v>0.54184094906152702</v>
      </c>
      <c r="I1185">
        <v>0.56191439385119302</v>
      </c>
      <c r="J1185">
        <v>0.551139930168982</v>
      </c>
      <c r="K1185">
        <v>0.47168410039685099</v>
      </c>
      <c r="L1185">
        <v>1149.6040379159299</v>
      </c>
      <c r="M1185">
        <v>21.711283087299201</v>
      </c>
      <c r="O1185">
        <v>52.506555998523702</v>
      </c>
      <c r="P1185">
        <v>-4.9588980295311502E-2</v>
      </c>
      <c r="Q1185">
        <v>0.52030747967612001</v>
      </c>
      <c r="R1185">
        <v>0.97866844832185096</v>
      </c>
      <c r="S1185" t="s">
        <v>7802</v>
      </c>
      <c r="T1185" t="s">
        <v>13232</v>
      </c>
      <c r="U1185" t="s">
        <v>13232</v>
      </c>
      <c r="V1185" t="s">
        <v>13232</v>
      </c>
      <c r="W1185" t="s">
        <v>14383</v>
      </c>
      <c r="X1185">
        <v>5</v>
      </c>
      <c r="Y1185" t="s">
        <v>20906</v>
      </c>
      <c r="Z1185" t="s">
        <v>27316</v>
      </c>
      <c r="AA1185">
        <v>0.73308679077503514</v>
      </c>
      <c r="AB1185" t="str">
        <f>HYPERLINK("Melting_Curves/meltCurve_O15265_ATXN7.pdf", "Melting_Curves/meltCurve_O15265_ATXN7.pdf")</f>
        <v>Melting_Curves/meltCurve_O15265_ATXN7.pdf</v>
      </c>
    </row>
    <row r="1186" spans="1:28" x14ac:dyDescent="0.25">
      <c r="A1186" t="s">
        <v>1190</v>
      </c>
      <c r="B1186">
        <v>0.99930955844802105</v>
      </c>
      <c r="C1186">
        <v>0.875370726782841</v>
      </c>
      <c r="D1186">
        <v>0.79635853132494505</v>
      </c>
      <c r="E1186">
        <v>0.39762371334593299</v>
      </c>
      <c r="F1186">
        <v>0.22515493031061101</v>
      </c>
      <c r="G1186">
        <v>0.13422568960116399</v>
      </c>
      <c r="H1186">
        <v>8.8984638493634999E-2</v>
      </c>
      <c r="I1186">
        <v>7.4971928477627098E-2</v>
      </c>
      <c r="J1186">
        <v>6.3236380191984701E-2</v>
      </c>
      <c r="K1186">
        <v>4.71832816706809E-2</v>
      </c>
      <c r="L1186">
        <v>894.70560744422301</v>
      </c>
      <c r="M1186">
        <v>18.387886384966102</v>
      </c>
      <c r="N1186">
        <v>48.992661693662598</v>
      </c>
      <c r="O1186">
        <v>48.092802960169799</v>
      </c>
      <c r="P1186">
        <v>-8.9937746976399405E-2</v>
      </c>
      <c r="Q1186">
        <v>5.9127904262052999E-2</v>
      </c>
      <c r="R1186">
        <v>0.99589118438009405</v>
      </c>
      <c r="S1186" t="s">
        <v>7803</v>
      </c>
      <c r="T1186" t="s">
        <v>13232</v>
      </c>
      <c r="U1186" t="s">
        <v>13232</v>
      </c>
      <c r="V1186" t="s">
        <v>13232</v>
      </c>
      <c r="W1186" t="s">
        <v>14384</v>
      </c>
      <c r="X1186">
        <v>20</v>
      </c>
      <c r="Y1186" t="s">
        <v>20907</v>
      </c>
      <c r="Z1186" t="s">
        <v>27317</v>
      </c>
      <c r="AA1186">
        <v>0.34635836360803529</v>
      </c>
      <c r="AB1186" t="str">
        <f>HYPERLINK("Melting_Curves/meltCurve_O15294_OGT.pdf", "Melting_Curves/meltCurve_O15294_OGT.pdf")</f>
        <v>Melting_Curves/meltCurve_O15294_OGT.pdf</v>
      </c>
    </row>
    <row r="1187" spans="1:28" x14ac:dyDescent="0.25">
      <c r="A1187" t="s">
        <v>1191</v>
      </c>
      <c r="B1187">
        <v>0.99930955844802105</v>
      </c>
      <c r="C1187">
        <v>1.14066491532625</v>
      </c>
      <c r="D1187">
        <v>1.1276937335713599</v>
      </c>
      <c r="E1187">
        <v>0.89930454557588302</v>
      </c>
      <c r="F1187">
        <v>0.52567974408148599</v>
      </c>
      <c r="G1187">
        <v>0.24754558327533599</v>
      </c>
      <c r="H1187">
        <v>0.11999695366456301</v>
      </c>
      <c r="I1187">
        <v>0.107772719460346</v>
      </c>
      <c r="J1187">
        <v>9.2880729885480698E-2</v>
      </c>
      <c r="K1187">
        <v>7.3624483187682693E-2</v>
      </c>
      <c r="L1187">
        <v>1623.8682279928901</v>
      </c>
      <c r="M1187">
        <v>30.601116178168699</v>
      </c>
      <c r="N1187">
        <v>53.458549349454003</v>
      </c>
      <c r="O1187">
        <v>52.840581493901396</v>
      </c>
      <c r="P1187">
        <v>-0.13020126457867401</v>
      </c>
      <c r="Q1187">
        <v>0.100703506333021</v>
      </c>
      <c r="R1187">
        <v>0.97740602565583701</v>
      </c>
      <c r="S1187" t="s">
        <v>7804</v>
      </c>
      <c r="T1187" t="s">
        <v>13232</v>
      </c>
      <c r="U1187" t="s">
        <v>13232</v>
      </c>
      <c r="V1187" t="s">
        <v>13232</v>
      </c>
      <c r="W1187" t="s">
        <v>14385</v>
      </c>
      <c r="X1187">
        <v>13</v>
      </c>
      <c r="Y1187" t="s">
        <v>20908</v>
      </c>
      <c r="Z1187" t="s">
        <v>27318</v>
      </c>
      <c r="AA1187">
        <v>0.4979813381400619</v>
      </c>
      <c r="AB1187" t="str">
        <f>HYPERLINK("Melting_Curves/meltCurve_O15305_PMM2.pdf", "Melting_Curves/meltCurve_O15305_PMM2.pdf")</f>
        <v>Melting_Curves/meltCurve_O15305_PMM2.pdf</v>
      </c>
    </row>
    <row r="1188" spans="1:28" x14ac:dyDescent="0.25">
      <c r="A1188" t="s">
        <v>1192</v>
      </c>
      <c r="B1188">
        <v>0.99930955844802105</v>
      </c>
      <c r="C1188">
        <v>0.79126083622844301</v>
      </c>
      <c r="D1188">
        <v>0.69025822748482102</v>
      </c>
      <c r="E1188">
        <v>0.50433856364292595</v>
      </c>
      <c r="F1188">
        <v>0.29113998221110798</v>
      </c>
      <c r="G1188">
        <v>0.20039390831117801</v>
      </c>
      <c r="H1188">
        <v>0.13207517062323601</v>
      </c>
      <c r="I1188">
        <v>0.100649123005303</v>
      </c>
      <c r="J1188">
        <v>6.6970618259538303E-2</v>
      </c>
      <c r="K1188">
        <v>5.2686726344767398E-2</v>
      </c>
      <c r="L1188">
        <v>558.44068615611798</v>
      </c>
      <c r="M1188">
        <v>11.360019297588099</v>
      </c>
      <c r="N1188">
        <v>49.401993932642299</v>
      </c>
      <c r="O1188">
        <v>47.709035685704201</v>
      </c>
      <c r="P1188">
        <v>-5.7923670811679699E-2</v>
      </c>
      <c r="Q1188">
        <v>2.7234320128568801E-2</v>
      </c>
      <c r="R1188">
        <v>0.99053892371562502</v>
      </c>
      <c r="S1188" t="s">
        <v>7805</v>
      </c>
      <c r="T1188" t="s">
        <v>13232</v>
      </c>
      <c r="U1188" t="s">
        <v>13232</v>
      </c>
      <c r="V1188" t="s">
        <v>13232</v>
      </c>
      <c r="W1188" t="s">
        <v>14386</v>
      </c>
      <c r="X1188">
        <v>2</v>
      </c>
      <c r="Y1188" t="s">
        <v>20909</v>
      </c>
      <c r="Z1188" t="s">
        <v>27319</v>
      </c>
      <c r="AA1188">
        <v>0.36290188511919658</v>
      </c>
      <c r="AB1188" t="str">
        <f>HYPERLINK("Melting_Curves/meltCurve_O15315_5_RAD51B.pdf", "Melting_Curves/meltCurve_O15315_5_RAD51B.pdf")</f>
        <v>Melting_Curves/meltCurve_O15315_5_RAD51B.pdf</v>
      </c>
    </row>
    <row r="1189" spans="1:28" x14ac:dyDescent="0.25">
      <c r="A1189" t="s">
        <v>1193</v>
      </c>
      <c r="B1189">
        <v>0.99930955844802105</v>
      </c>
      <c r="C1189">
        <v>0.92143090136396699</v>
      </c>
      <c r="D1189">
        <v>0.75727750453613996</v>
      </c>
      <c r="E1189">
        <v>0.45984039011322703</v>
      </c>
      <c r="F1189">
        <v>0.17997721297465299</v>
      </c>
      <c r="G1189">
        <v>0.13790047850314699</v>
      </c>
      <c r="H1189">
        <v>8.9827233151958799E-2</v>
      </c>
      <c r="I1189">
        <v>8.0138559455269001E-2</v>
      </c>
      <c r="J1189">
        <v>8.1055061963362401E-2</v>
      </c>
      <c r="K1189">
        <v>5.7691898633510902E-2</v>
      </c>
      <c r="L1189">
        <v>925.51144993164598</v>
      </c>
      <c r="M1189">
        <v>19.002756408639399</v>
      </c>
      <c r="N1189">
        <v>49.071032709728499</v>
      </c>
      <c r="O1189">
        <v>48.174312942788902</v>
      </c>
      <c r="P1189">
        <v>-9.2086338818352001E-2</v>
      </c>
      <c r="Q1189">
        <v>6.6236597363161995E-2</v>
      </c>
      <c r="R1189">
        <v>0.99598316581745905</v>
      </c>
      <c r="S1189" t="s">
        <v>7806</v>
      </c>
      <c r="T1189" t="s">
        <v>13232</v>
      </c>
      <c r="U1189" t="s">
        <v>13232</v>
      </c>
      <c r="V1189" t="s">
        <v>13232</v>
      </c>
      <c r="W1189" t="s">
        <v>14387</v>
      </c>
      <c r="X1189">
        <v>17</v>
      </c>
      <c r="Y1189" t="s">
        <v>20910</v>
      </c>
      <c r="Z1189" t="s">
        <v>27320</v>
      </c>
      <c r="AA1189">
        <v>0.35172685090406802</v>
      </c>
      <c r="AB1189" t="str">
        <f>HYPERLINK("Melting_Curves/meltCurve_O15344_MID1.pdf", "Melting_Curves/meltCurve_O15344_MID1.pdf")</f>
        <v>Melting_Curves/meltCurve_O15344_MID1.pdf</v>
      </c>
    </row>
    <row r="1190" spans="1:28" x14ac:dyDescent="0.25">
      <c r="A1190" t="s">
        <v>1194</v>
      </c>
      <c r="B1190">
        <v>0.99930955844802105</v>
      </c>
      <c r="C1190">
        <v>1.00947173339227</v>
      </c>
      <c r="D1190">
        <v>0.75440570734219803</v>
      </c>
      <c r="E1190">
        <v>0.56054819382131704</v>
      </c>
      <c r="F1190">
        <v>0.420819199722339</v>
      </c>
      <c r="G1190">
        <v>0.35004271927361502</v>
      </c>
      <c r="H1190">
        <v>0.31897204701769899</v>
      </c>
      <c r="I1190">
        <v>0.34522569839852502</v>
      </c>
      <c r="J1190">
        <v>0.39031527983811698</v>
      </c>
      <c r="K1190">
        <v>0.33400565698158202</v>
      </c>
      <c r="L1190">
        <v>1010.18878136992</v>
      </c>
      <c r="M1190">
        <v>21.115345886592799</v>
      </c>
      <c r="N1190">
        <v>50.630955743542899</v>
      </c>
      <c r="O1190">
        <v>47.418552013078099</v>
      </c>
      <c r="P1190">
        <v>-7.3055072960393805E-2</v>
      </c>
      <c r="Q1190">
        <v>0.34378062166568402</v>
      </c>
      <c r="R1190">
        <v>0.98448557417719795</v>
      </c>
      <c r="S1190" t="s">
        <v>7807</v>
      </c>
      <c r="T1190" t="s">
        <v>13232</v>
      </c>
      <c r="U1190" t="s">
        <v>13232</v>
      </c>
      <c r="V1190" t="s">
        <v>13232</v>
      </c>
      <c r="W1190" t="s">
        <v>14388</v>
      </c>
      <c r="X1190">
        <v>25</v>
      </c>
      <c r="Y1190" t="s">
        <v>20911</v>
      </c>
      <c r="Z1190" t="s">
        <v>27321</v>
      </c>
      <c r="AA1190">
        <v>0.52363693467706662</v>
      </c>
      <c r="AB1190" t="str">
        <f>HYPERLINK("Melting_Curves/meltCurve_O15355_PPM1G.pdf", "Melting_Curves/meltCurve_O15355_PPM1G.pdf")</f>
        <v>Melting_Curves/meltCurve_O15355_PPM1G.pdf</v>
      </c>
    </row>
    <row r="1191" spans="1:28" x14ac:dyDescent="0.25">
      <c r="A1191" t="s">
        <v>1195</v>
      </c>
      <c r="B1191">
        <v>0.99930955844802105</v>
      </c>
      <c r="C1191">
        <v>0.97745625391378299</v>
      </c>
      <c r="D1191">
        <v>0.95990342781919602</v>
      </c>
      <c r="E1191">
        <v>0.66105520483413704</v>
      </c>
      <c r="F1191">
        <v>0.31533343914672601</v>
      </c>
      <c r="G1191">
        <v>0.259293464987505</v>
      </c>
      <c r="H1191">
        <v>0.19919522443392201</v>
      </c>
      <c r="I1191">
        <v>0.204578218987613</v>
      </c>
      <c r="J1191">
        <v>0.18875032007260001</v>
      </c>
      <c r="K1191">
        <v>0.152759758372461</v>
      </c>
      <c r="L1191">
        <v>1604.6942989132101</v>
      </c>
      <c r="M1191">
        <v>31.814518681217901</v>
      </c>
      <c r="N1191">
        <v>51.224554968495802</v>
      </c>
      <c r="O1191">
        <v>50.241027702750102</v>
      </c>
      <c r="P1191">
        <v>-0.127752122964747</v>
      </c>
      <c r="Q1191">
        <v>0.19302694315631</v>
      </c>
      <c r="R1191">
        <v>0.99601532317504304</v>
      </c>
      <c r="S1191" t="s">
        <v>7808</v>
      </c>
      <c r="T1191" t="s">
        <v>13232</v>
      </c>
      <c r="U1191" t="s">
        <v>13232</v>
      </c>
      <c r="V1191" t="s">
        <v>13232</v>
      </c>
      <c r="W1191" t="s">
        <v>14389</v>
      </c>
      <c r="X1191">
        <v>45</v>
      </c>
      <c r="Y1191" t="s">
        <v>20912</v>
      </c>
      <c r="Z1191" t="s">
        <v>27322</v>
      </c>
      <c r="AA1191">
        <v>0.47829417445292571</v>
      </c>
      <c r="AB1191" t="str">
        <f>HYPERLINK("Melting_Curves/meltCurve_O15357_INPPL1.pdf", "Melting_Curves/meltCurve_O15357_INPPL1.pdf")</f>
        <v>Melting_Curves/meltCurve_O15357_INPPL1.pdf</v>
      </c>
    </row>
    <row r="1192" spans="1:28" x14ac:dyDescent="0.25">
      <c r="A1192" t="s">
        <v>1196</v>
      </c>
      <c r="B1192">
        <v>0.99930955844802105</v>
      </c>
      <c r="C1192">
        <v>0.79053735441238804</v>
      </c>
      <c r="D1192">
        <v>0.91288498089691805</v>
      </c>
      <c r="E1192">
        <v>0.794989143188081</v>
      </c>
      <c r="F1192">
        <v>0.481976913103493</v>
      </c>
      <c r="G1192">
        <v>0.29224246138716797</v>
      </c>
      <c r="H1192">
        <v>0.133245987942503</v>
      </c>
      <c r="I1192">
        <v>8.2453782225221595E-2</v>
      </c>
      <c r="J1192">
        <v>5.8529679647534402E-2</v>
      </c>
      <c r="K1192">
        <v>4.69594697845351E-2</v>
      </c>
      <c r="L1192">
        <v>741.75651732011897</v>
      </c>
      <c r="M1192">
        <v>13.908166986030601</v>
      </c>
      <c r="N1192">
        <v>53.332445925556001</v>
      </c>
      <c r="O1192">
        <v>52.2661655291719</v>
      </c>
      <c r="P1192">
        <v>-6.6534703924267705E-2</v>
      </c>
      <c r="Q1192">
        <v>0</v>
      </c>
      <c r="R1192">
        <v>0.97017938093830403</v>
      </c>
      <c r="S1192" t="s">
        <v>7809</v>
      </c>
      <c r="T1192" t="s">
        <v>13232</v>
      </c>
      <c r="U1192" t="s">
        <v>13232</v>
      </c>
      <c r="V1192" t="s">
        <v>13232</v>
      </c>
      <c r="W1192" t="s">
        <v>14390</v>
      </c>
      <c r="X1192">
        <v>10</v>
      </c>
      <c r="Y1192" t="s">
        <v>20913</v>
      </c>
      <c r="Z1192" t="s">
        <v>27323</v>
      </c>
      <c r="AA1192">
        <v>0.46780277707518469</v>
      </c>
      <c r="AB1192" t="str">
        <f>HYPERLINK("Melting_Curves/meltCurve_O15372_EIF3H.pdf", "Melting_Curves/meltCurve_O15372_EIF3H.pdf")</f>
        <v>Melting_Curves/meltCurve_O15372_EIF3H.pdf</v>
      </c>
    </row>
    <row r="1193" spans="1:28" x14ac:dyDescent="0.25">
      <c r="A1193" t="s">
        <v>1197</v>
      </c>
      <c r="B1193">
        <v>0.99930955844802105</v>
      </c>
      <c r="C1193">
        <v>0.83030356976091002</v>
      </c>
      <c r="D1193">
        <v>0.85746014599528098</v>
      </c>
      <c r="E1193">
        <v>0.88960504547637598</v>
      </c>
      <c r="F1193">
        <v>0.85526100386624804</v>
      </c>
      <c r="G1193">
        <v>0.49446840821325599</v>
      </c>
      <c r="H1193">
        <v>0.16643444543716601</v>
      </c>
      <c r="I1193">
        <v>0.124793472615086</v>
      </c>
      <c r="J1193">
        <v>0.107220524454362</v>
      </c>
      <c r="K1193">
        <v>8.6910474338539295E-2</v>
      </c>
      <c r="L1193">
        <v>1272.5375627098699</v>
      </c>
      <c r="M1193">
        <v>22.560425496482999</v>
      </c>
      <c r="N1193">
        <v>56.757523767659002</v>
      </c>
      <c r="O1193">
        <v>55.968176358854201</v>
      </c>
      <c r="P1193">
        <v>-9.4200261498983098E-2</v>
      </c>
      <c r="Q1193">
        <v>6.5246364602660797E-2</v>
      </c>
      <c r="R1193">
        <v>0.958751363631557</v>
      </c>
      <c r="S1193" t="s">
        <v>7810</v>
      </c>
      <c r="T1193" t="s">
        <v>13232</v>
      </c>
      <c r="U1193" t="s">
        <v>13232</v>
      </c>
      <c r="V1193" t="s">
        <v>13232</v>
      </c>
      <c r="W1193" t="s">
        <v>14391</v>
      </c>
      <c r="X1193">
        <v>12</v>
      </c>
      <c r="Y1193" t="s">
        <v>20914</v>
      </c>
      <c r="Z1193" t="s">
        <v>27324</v>
      </c>
      <c r="AA1193">
        <v>0.58642570138685657</v>
      </c>
      <c r="AB1193" t="str">
        <f>HYPERLINK("Melting_Curves/meltCurve_O15379_HDAC3.pdf", "Melting_Curves/meltCurve_O15379_HDAC3.pdf")</f>
        <v>Melting_Curves/meltCurve_O15379_HDAC3.pdf</v>
      </c>
    </row>
    <row r="1194" spans="1:28" x14ac:dyDescent="0.25">
      <c r="A1194" t="s">
        <v>1198</v>
      </c>
      <c r="B1194">
        <v>0.99930955844802105</v>
      </c>
      <c r="C1194">
        <v>0.99015117374697204</v>
      </c>
      <c r="D1194">
        <v>0.994557801698154</v>
      </c>
      <c r="E1194">
        <v>0.91534456977015799</v>
      </c>
      <c r="F1194">
        <v>0.76724458625311098</v>
      </c>
      <c r="G1194">
        <v>0.60378234257997598</v>
      </c>
      <c r="H1194">
        <v>0.54146862865370704</v>
      </c>
      <c r="I1194">
        <v>0.58101137042338102</v>
      </c>
      <c r="J1194">
        <v>0.55020136071110204</v>
      </c>
      <c r="K1194">
        <v>0.42978957996341799</v>
      </c>
      <c r="L1194">
        <v>1109.8329662124199</v>
      </c>
      <c r="M1194">
        <v>20.767498978674599</v>
      </c>
      <c r="O1194">
        <v>52.952747119380298</v>
      </c>
      <c r="P1194">
        <v>-4.8269954576108401E-2</v>
      </c>
      <c r="Q1194">
        <v>0.50770094897612705</v>
      </c>
      <c r="R1194">
        <v>0.97358627317192403</v>
      </c>
      <c r="S1194" t="s">
        <v>7811</v>
      </c>
      <c r="T1194" t="s">
        <v>13232</v>
      </c>
      <c r="U1194" t="s">
        <v>13232</v>
      </c>
      <c r="V1194" t="s">
        <v>13232</v>
      </c>
      <c r="W1194" t="s">
        <v>14392</v>
      </c>
      <c r="X1194">
        <v>15</v>
      </c>
      <c r="Y1194" t="s">
        <v>20915</v>
      </c>
      <c r="Z1194" t="s">
        <v>27325</v>
      </c>
      <c r="AA1194">
        <v>0.73459209135699488</v>
      </c>
      <c r="AB1194" t="str">
        <f>HYPERLINK("Melting_Curves/meltCurve_O15381_NVL.pdf", "Melting_Curves/meltCurve_O15381_NVL.pdf")</f>
        <v>Melting_Curves/meltCurve_O15381_NVL.pdf</v>
      </c>
    </row>
    <row r="1195" spans="1:28" x14ac:dyDescent="0.25">
      <c r="A1195" t="s">
        <v>1199</v>
      </c>
      <c r="B1195">
        <v>0.99930955844802105</v>
      </c>
      <c r="C1195">
        <v>0.98342349402246998</v>
      </c>
      <c r="D1195">
        <v>0.94906642791602103</v>
      </c>
      <c r="E1195">
        <v>0.88264736228908003</v>
      </c>
      <c r="F1195">
        <v>0.76499726894461295</v>
      </c>
      <c r="G1195">
        <v>0.52944248096227298</v>
      </c>
      <c r="H1195">
        <v>0.32634452858331903</v>
      </c>
      <c r="I1195">
        <v>0.23687075394944601</v>
      </c>
      <c r="J1195">
        <v>0.21968483185638099</v>
      </c>
      <c r="K1195">
        <v>0.14147778312362899</v>
      </c>
      <c r="L1195">
        <v>814.84570686212999</v>
      </c>
      <c r="M1195">
        <v>14.3981794656634</v>
      </c>
      <c r="N1195">
        <v>57.515771955299101</v>
      </c>
      <c r="O1195">
        <v>55.5355462125965</v>
      </c>
      <c r="P1195">
        <v>-5.8141932550258298E-2</v>
      </c>
      <c r="Q1195">
        <v>0.10306398048165299</v>
      </c>
      <c r="R1195">
        <v>0.99829632776478106</v>
      </c>
      <c r="S1195" t="s">
        <v>7812</v>
      </c>
      <c r="T1195" t="s">
        <v>13232</v>
      </c>
      <c r="U1195" t="s">
        <v>13232</v>
      </c>
      <c r="V1195" t="s">
        <v>13232</v>
      </c>
      <c r="W1195" t="s">
        <v>14393</v>
      </c>
      <c r="X1195">
        <v>13</v>
      </c>
      <c r="Y1195" t="s">
        <v>20916</v>
      </c>
      <c r="Z1195" t="s">
        <v>27326</v>
      </c>
      <c r="AA1195">
        <v>0.61451618054956536</v>
      </c>
      <c r="AB1195" t="str">
        <f>HYPERLINK("Melting_Curves/meltCurve_O15382_BCAT2.pdf", "Melting_Curves/meltCurve_O15382_BCAT2.pdf")</f>
        <v>Melting_Curves/meltCurve_O15382_BCAT2.pdf</v>
      </c>
    </row>
    <row r="1196" spans="1:28" x14ac:dyDescent="0.25">
      <c r="A1196" t="s">
        <v>1200</v>
      </c>
      <c r="B1196">
        <v>0.99930955844802105</v>
      </c>
      <c r="C1196">
        <v>0.94031034712371497</v>
      </c>
      <c r="D1196">
        <v>0.84758751596154502</v>
      </c>
      <c r="E1196">
        <v>0.83266197445102597</v>
      </c>
      <c r="F1196">
        <v>0.58393590180519805</v>
      </c>
      <c r="G1196">
        <v>0.39189839238714902</v>
      </c>
      <c r="H1196">
        <v>0.33362900045876598</v>
      </c>
      <c r="I1196">
        <v>0.24337420112833</v>
      </c>
      <c r="J1196">
        <v>0.240071213215406</v>
      </c>
      <c r="K1196">
        <v>0.17042796873850799</v>
      </c>
      <c r="L1196">
        <v>650.65142602749404</v>
      </c>
      <c r="M1196">
        <v>12.103688585133</v>
      </c>
      <c r="N1196">
        <v>55.285349826933199</v>
      </c>
      <c r="O1196">
        <v>52.352174746854502</v>
      </c>
      <c r="P1196">
        <v>-4.95900286463015E-2</v>
      </c>
      <c r="Q1196">
        <v>0.14223152416024801</v>
      </c>
      <c r="R1196">
        <v>0.98540500987224</v>
      </c>
      <c r="S1196" t="s">
        <v>7813</v>
      </c>
      <c r="T1196" t="s">
        <v>13232</v>
      </c>
      <c r="U1196" t="s">
        <v>13232</v>
      </c>
      <c r="V1196" t="s">
        <v>13232</v>
      </c>
      <c r="W1196" t="s">
        <v>14394</v>
      </c>
      <c r="X1196">
        <v>4</v>
      </c>
      <c r="Y1196" t="s">
        <v>20917</v>
      </c>
      <c r="Z1196" t="s">
        <v>27327</v>
      </c>
      <c r="AA1196">
        <v>0.5582839961936481</v>
      </c>
      <c r="AB1196" t="str">
        <f>HYPERLINK("Melting_Curves/meltCurve_O15392_5_BIRC5.pdf", "Melting_Curves/meltCurve_O15392_5_BIRC5.pdf")</f>
        <v>Melting_Curves/meltCurve_O15392_5_BIRC5.pdf</v>
      </c>
    </row>
    <row r="1197" spans="1:28" x14ac:dyDescent="0.25">
      <c r="A1197" t="s">
        <v>1201</v>
      </c>
      <c r="B1197">
        <v>0.99930955844802105</v>
      </c>
      <c r="C1197">
        <v>0.94962150308395599</v>
      </c>
      <c r="D1197">
        <v>0.83140189669149001</v>
      </c>
      <c r="E1197">
        <v>0.71259094374182597</v>
      </c>
      <c r="F1197">
        <v>0.45208237762454001</v>
      </c>
      <c r="G1197">
        <v>0.185223216260607</v>
      </c>
      <c r="H1197">
        <v>9.69313786217363E-2</v>
      </c>
      <c r="I1197">
        <v>8.2690969793384902E-2</v>
      </c>
      <c r="J1197">
        <v>6.6523972157932001E-2</v>
      </c>
      <c r="K1197">
        <v>5.4296476991839801E-2</v>
      </c>
      <c r="L1197">
        <v>829.24271017621095</v>
      </c>
      <c r="M1197">
        <v>15.938785517229499</v>
      </c>
      <c r="N1197">
        <v>52.213747590657903</v>
      </c>
      <c r="O1197">
        <v>51.228412380481799</v>
      </c>
      <c r="P1197">
        <v>-7.5630742908867593E-2</v>
      </c>
      <c r="Q1197">
        <v>2.7746647575766E-2</v>
      </c>
      <c r="R1197">
        <v>0.99403457742821999</v>
      </c>
      <c r="S1197" t="s">
        <v>7814</v>
      </c>
      <c r="T1197" t="s">
        <v>13232</v>
      </c>
      <c r="U1197" t="s">
        <v>13232</v>
      </c>
      <c r="V1197" t="s">
        <v>13232</v>
      </c>
      <c r="W1197" t="s">
        <v>14395</v>
      </c>
      <c r="X1197">
        <v>24</v>
      </c>
      <c r="Y1197" t="s">
        <v>20918</v>
      </c>
      <c r="Z1197" t="s">
        <v>27328</v>
      </c>
      <c r="AA1197">
        <v>0.43727232542875571</v>
      </c>
      <c r="AB1197" t="str">
        <f>HYPERLINK("Melting_Curves/meltCurve_O15397_IPO8.pdf", "Melting_Curves/meltCurve_O15397_IPO8.pdf")</f>
        <v>Melting_Curves/meltCurve_O15397_IPO8.pdf</v>
      </c>
    </row>
    <row r="1198" spans="1:28" x14ac:dyDescent="0.25">
      <c r="A1198" t="s">
        <v>1202</v>
      </c>
      <c r="B1198">
        <v>0.99930955844802105</v>
      </c>
      <c r="C1198">
        <v>1.0921731336445499</v>
      </c>
      <c r="D1198">
        <v>1.09315360867302</v>
      </c>
      <c r="E1198">
        <v>1.0818117419303299</v>
      </c>
      <c r="F1198">
        <v>0.99255927905907504</v>
      </c>
      <c r="G1198">
        <v>0.86533276977297402</v>
      </c>
      <c r="H1198">
        <v>0.87174140615239404</v>
      </c>
      <c r="I1198">
        <v>0.88558185704033199</v>
      </c>
      <c r="J1198">
        <v>0.83394128614700302</v>
      </c>
      <c r="K1198">
        <v>0.70146895637842499</v>
      </c>
      <c r="L1198">
        <v>624.72578307254696</v>
      </c>
      <c r="M1198">
        <v>7.96350008755216</v>
      </c>
      <c r="Q1198">
        <v>0</v>
      </c>
      <c r="R1198">
        <v>0.75127581976616697</v>
      </c>
      <c r="S1198" t="s">
        <v>7815</v>
      </c>
      <c r="T1198" t="s">
        <v>13232</v>
      </c>
      <c r="U1198" t="s">
        <v>13232</v>
      </c>
      <c r="V1198" t="s">
        <v>13232</v>
      </c>
      <c r="W1198" t="s">
        <v>14396</v>
      </c>
      <c r="X1198">
        <v>9</v>
      </c>
      <c r="Y1198" t="s">
        <v>20919</v>
      </c>
      <c r="Z1198" t="s">
        <v>27329</v>
      </c>
      <c r="AA1198">
        <v>0.93087988001878486</v>
      </c>
      <c r="AB1198" t="str">
        <f>HYPERLINK("Melting_Curves/meltCurve_O15400_2_STX7.pdf", "Melting_Curves/meltCurve_O15400_2_STX7.pdf")</f>
        <v>Melting_Curves/meltCurve_O15400_2_STX7.pdf</v>
      </c>
    </row>
    <row r="1199" spans="1:28" x14ac:dyDescent="0.25">
      <c r="A1199" t="s">
        <v>1203</v>
      </c>
      <c r="B1199">
        <v>0.99930955844802105</v>
      </c>
      <c r="C1199">
        <v>1.0625998822726801</v>
      </c>
      <c r="D1199">
        <v>1.0833866285128599</v>
      </c>
      <c r="E1199">
        <v>1.1098875008061799</v>
      </c>
      <c r="F1199">
        <v>1.0895198943376201</v>
      </c>
      <c r="G1199">
        <v>0.90714640723096396</v>
      </c>
      <c r="H1199">
        <v>0.89685910120033396</v>
      </c>
      <c r="I1199">
        <v>0.98209874728049096</v>
      </c>
      <c r="J1199">
        <v>0.995433079170012</v>
      </c>
      <c r="K1199">
        <v>0.81291222244435302</v>
      </c>
      <c r="L1199">
        <v>5907.7783154911403</v>
      </c>
      <c r="M1199">
        <v>82.927707607447303</v>
      </c>
      <c r="Q1199">
        <v>0</v>
      </c>
      <c r="R1199">
        <v>0.406778199978858</v>
      </c>
      <c r="S1199" t="s">
        <v>7816</v>
      </c>
      <c r="T1199" t="s">
        <v>13232</v>
      </c>
      <c r="U1199" t="s">
        <v>13232</v>
      </c>
      <c r="V1199" t="s">
        <v>13232</v>
      </c>
      <c r="W1199" t="s">
        <v>13664</v>
      </c>
      <c r="X1199">
        <v>13</v>
      </c>
      <c r="Y1199" t="s">
        <v>20920</v>
      </c>
      <c r="Z1199" t="s">
        <v>27330</v>
      </c>
      <c r="AA1199">
        <v>0.99441170481898122</v>
      </c>
      <c r="AB1199" t="str">
        <f>HYPERLINK("Melting_Curves/meltCurve_O15446_CD3EAP.pdf", "Melting_Curves/meltCurve_O15446_CD3EAP.pdf")</f>
        <v>Melting_Curves/meltCurve_O15446_CD3EAP.pdf</v>
      </c>
    </row>
    <row r="1200" spans="1:28" x14ac:dyDescent="0.25">
      <c r="A1200" t="s">
        <v>1204</v>
      </c>
      <c r="B1200">
        <v>0.99930955844802105</v>
      </c>
      <c r="C1200">
        <v>0.85389282405703604</v>
      </c>
      <c r="D1200">
        <v>0.58256510782349402</v>
      </c>
      <c r="E1200">
        <v>0.39621856564536001</v>
      </c>
      <c r="F1200">
        <v>0.281537465218063</v>
      </c>
      <c r="G1200">
        <v>0.22318244134680401</v>
      </c>
      <c r="H1200">
        <v>0.195210258509699</v>
      </c>
      <c r="I1200">
        <v>0.21635607559751599</v>
      </c>
      <c r="J1200">
        <v>0.211396445324358</v>
      </c>
      <c r="K1200">
        <v>0.175570719292099</v>
      </c>
      <c r="L1200">
        <v>832.84874648659604</v>
      </c>
      <c r="M1200">
        <v>17.996601708974602</v>
      </c>
      <c r="N1200">
        <v>47.618790450075203</v>
      </c>
      <c r="O1200">
        <v>45.718054043030499</v>
      </c>
      <c r="P1200">
        <v>-7.8855076736245602E-2</v>
      </c>
      <c r="Q1200">
        <v>0.19875480687355801</v>
      </c>
      <c r="R1200">
        <v>0.992971868844853</v>
      </c>
      <c r="S1200" t="s">
        <v>7817</v>
      </c>
      <c r="T1200" t="s">
        <v>13232</v>
      </c>
      <c r="U1200" t="s">
        <v>13232</v>
      </c>
      <c r="V1200" t="s">
        <v>13232</v>
      </c>
      <c r="W1200" t="s">
        <v>14397</v>
      </c>
      <c r="X1200">
        <v>5</v>
      </c>
      <c r="Y1200" t="s">
        <v>20921</v>
      </c>
      <c r="Z1200" t="s">
        <v>27331</v>
      </c>
      <c r="AA1200">
        <v>0.38185535108913138</v>
      </c>
      <c r="AB1200" t="str">
        <f>HYPERLINK("Melting_Curves/meltCurve_O15479_MAGEB2.pdf", "Melting_Curves/meltCurve_O15479_MAGEB2.pdf")</f>
        <v>Melting_Curves/meltCurve_O15479_MAGEB2.pdf</v>
      </c>
    </row>
    <row r="1201" spans="1:28" x14ac:dyDescent="0.25">
      <c r="A1201" t="s">
        <v>1205</v>
      </c>
      <c r="B1201">
        <v>0.99930955844802105</v>
      </c>
      <c r="C1201">
        <v>1.26437305439837</v>
      </c>
      <c r="D1201">
        <v>1.29274424004949</v>
      </c>
      <c r="E1201">
        <v>1.03357579785222</v>
      </c>
      <c r="F1201">
        <v>0.83570390200377997</v>
      </c>
      <c r="G1201">
        <v>0.84317543332414502</v>
      </c>
      <c r="H1201">
        <v>0.89409411266503402</v>
      </c>
      <c r="I1201">
        <v>1.0365610847290501</v>
      </c>
      <c r="J1201">
        <v>1.1089242212180099</v>
      </c>
      <c r="K1201">
        <v>0.78583872501664498</v>
      </c>
      <c r="L1201">
        <v>5691.8355125232902</v>
      </c>
      <c r="M1201">
        <v>111.020898080384</v>
      </c>
      <c r="O1201">
        <v>51.251516218484198</v>
      </c>
      <c r="P1201">
        <v>-4.4776890532077299E-2</v>
      </c>
      <c r="Q1201">
        <v>0.91731706407415303</v>
      </c>
      <c r="R1201">
        <v>0.14178798849326499</v>
      </c>
      <c r="S1201" t="s">
        <v>7818</v>
      </c>
      <c r="T1201" t="s">
        <v>13232</v>
      </c>
      <c r="U1201" t="s">
        <v>13232</v>
      </c>
      <c r="V1201" t="s">
        <v>13232</v>
      </c>
      <c r="W1201" t="s">
        <v>14398</v>
      </c>
      <c r="X1201">
        <v>4</v>
      </c>
      <c r="Y1201" t="s">
        <v>20922</v>
      </c>
      <c r="Z1201" t="s">
        <v>27332</v>
      </c>
      <c r="AA1201">
        <v>0.94841093187193004</v>
      </c>
      <c r="AB1201" t="str">
        <f>HYPERLINK("Melting_Curves/meltCurve_O15488_4_GYG2.pdf", "Melting_Curves/meltCurve_O15488_4_GYG2.pdf")</f>
        <v>Melting_Curves/meltCurve_O15488_4_GYG2.pdf</v>
      </c>
    </row>
    <row r="1202" spans="1:28" x14ac:dyDescent="0.25">
      <c r="A1202" t="s">
        <v>1206</v>
      </c>
      <c r="B1202">
        <v>0.99930955844802105</v>
      </c>
      <c r="C1202">
        <v>1.15553884182096</v>
      </c>
      <c r="D1202">
        <v>1.1710849057100301</v>
      </c>
      <c r="E1202">
        <v>1.07669032518629</v>
      </c>
      <c r="F1202">
        <v>0.97113522141636399</v>
      </c>
      <c r="G1202">
        <v>0.74207606739046905</v>
      </c>
      <c r="H1202">
        <v>0.41144630451769598</v>
      </c>
      <c r="I1202">
        <v>0.162627445744806</v>
      </c>
      <c r="J1202">
        <v>0.105436134031879</v>
      </c>
      <c r="K1202">
        <v>7.9448039011126306E-2</v>
      </c>
      <c r="L1202">
        <v>1529.0966937656101</v>
      </c>
      <c r="M1202">
        <v>25.697221644555398</v>
      </c>
      <c r="N1202">
        <v>59.767507990179404</v>
      </c>
      <c r="O1202">
        <v>59.147501249102099</v>
      </c>
      <c r="P1202">
        <v>-0.102807093304716</v>
      </c>
      <c r="Q1202">
        <v>5.34835773068199E-2</v>
      </c>
      <c r="R1202">
        <v>0.96587699333876598</v>
      </c>
      <c r="S1202" t="s">
        <v>7819</v>
      </c>
      <c r="T1202" t="s">
        <v>13232</v>
      </c>
      <c r="U1202" t="s">
        <v>13232</v>
      </c>
      <c r="V1202" t="s">
        <v>13232</v>
      </c>
      <c r="W1202" t="s">
        <v>14399</v>
      </c>
      <c r="X1202">
        <v>13</v>
      </c>
      <c r="Y1202" t="s">
        <v>20923</v>
      </c>
      <c r="Z1202" t="s">
        <v>27333</v>
      </c>
      <c r="AA1202">
        <v>0.67606459522093376</v>
      </c>
      <c r="AB1202" t="str">
        <f>HYPERLINK("Melting_Curves/meltCurve_O15498_YKT6.pdf", "Melting_Curves/meltCurve_O15498_YKT6.pdf")</f>
        <v>Melting_Curves/meltCurve_O15498_YKT6.pdf</v>
      </c>
    </row>
    <row r="1203" spans="1:28" x14ac:dyDescent="0.25">
      <c r="A1203" t="s">
        <v>1207</v>
      </c>
      <c r="B1203">
        <v>0.99930955844802105</v>
      </c>
      <c r="C1203">
        <v>1.10855899617997</v>
      </c>
      <c r="D1203">
        <v>1.0205741894899001</v>
      </c>
      <c r="E1203">
        <v>0.98800698355248595</v>
      </c>
      <c r="F1203">
        <v>1.04532306266819</v>
      </c>
      <c r="G1203">
        <v>0.80444756384224603</v>
      </c>
      <c r="H1203">
        <v>0.67941216991526199</v>
      </c>
      <c r="I1203">
        <v>0.75533260774083899</v>
      </c>
      <c r="J1203">
        <v>0.76277466306222397</v>
      </c>
      <c r="K1203">
        <v>0.57662379705344302</v>
      </c>
      <c r="L1203">
        <v>14217.6756617746</v>
      </c>
      <c r="M1203">
        <v>250</v>
      </c>
      <c r="O1203">
        <v>56.867047998941999</v>
      </c>
      <c r="P1203">
        <v>-0.33682084123877198</v>
      </c>
      <c r="Q1203">
        <v>0.69353580642381496</v>
      </c>
      <c r="R1203">
        <v>0.87373364071076498</v>
      </c>
      <c r="S1203" t="s">
        <v>7820</v>
      </c>
      <c r="T1203" t="s">
        <v>13232</v>
      </c>
      <c r="U1203" t="s">
        <v>13232</v>
      </c>
      <c r="V1203" t="s">
        <v>13232</v>
      </c>
      <c r="W1203" t="s">
        <v>14400</v>
      </c>
      <c r="X1203">
        <v>2</v>
      </c>
      <c r="Y1203" t="s">
        <v>20924</v>
      </c>
      <c r="Z1203" t="s">
        <v>27334</v>
      </c>
      <c r="AA1203">
        <v>0.86590860314982998</v>
      </c>
      <c r="AB1203" t="str">
        <f>HYPERLINK("Melting_Curves/meltCurve_O15504_NUPL2.pdf", "Melting_Curves/meltCurve_O15504_NUPL2.pdf")</f>
        <v>Melting_Curves/meltCurve_O15504_NUPL2.pdf</v>
      </c>
    </row>
    <row r="1204" spans="1:28" x14ac:dyDescent="0.25">
      <c r="A1204" t="s">
        <v>1208</v>
      </c>
      <c r="B1204">
        <v>0.99930955844802105</v>
      </c>
      <c r="C1204">
        <v>0.91986298392675703</v>
      </c>
      <c r="D1204">
        <v>0.958630195507578</v>
      </c>
      <c r="E1204">
        <v>0.96088826240412895</v>
      </c>
      <c r="F1204">
        <v>0.89310647357857997</v>
      </c>
      <c r="G1204">
        <v>0.61583901985200695</v>
      </c>
      <c r="H1204">
        <v>0.25632121870063601</v>
      </c>
      <c r="I1204">
        <v>0.158006120678158</v>
      </c>
      <c r="J1204">
        <v>0.119724341778284</v>
      </c>
      <c r="K1204">
        <v>9.0040754960386202E-2</v>
      </c>
      <c r="L1204">
        <v>1383.1224278659599</v>
      </c>
      <c r="M1204">
        <v>23.9950342390038</v>
      </c>
      <c r="N1204">
        <v>58.0584059617821</v>
      </c>
      <c r="O1204">
        <v>57.246145774228502</v>
      </c>
      <c r="P1204">
        <v>-9.6507070999550096E-2</v>
      </c>
      <c r="Q1204">
        <v>7.9047706634162496E-2</v>
      </c>
      <c r="R1204">
        <v>0.99375215430917796</v>
      </c>
      <c r="S1204" t="s">
        <v>7821</v>
      </c>
      <c r="T1204" t="s">
        <v>13232</v>
      </c>
      <c r="U1204" t="s">
        <v>13232</v>
      </c>
      <c r="V1204" t="s">
        <v>13232</v>
      </c>
      <c r="W1204" t="s">
        <v>14401</v>
      </c>
      <c r="X1204">
        <v>7</v>
      </c>
      <c r="Y1204" t="s">
        <v>20925</v>
      </c>
      <c r="Z1204" t="s">
        <v>27335</v>
      </c>
      <c r="AA1204">
        <v>0.62924783750401048</v>
      </c>
      <c r="AB1204" t="str">
        <f>HYPERLINK("Melting_Curves/meltCurve_O15511_ARPC5.pdf", "Melting_Curves/meltCurve_O15511_ARPC5.pdf")</f>
        <v>Melting_Curves/meltCurve_O15511_ARPC5.pdf</v>
      </c>
    </row>
    <row r="1205" spans="1:28" x14ac:dyDescent="0.25">
      <c r="A1205" t="s">
        <v>1209</v>
      </c>
      <c r="B1205">
        <v>0.99930955844802105</v>
      </c>
      <c r="C1205">
        <v>0.94978591042323601</v>
      </c>
      <c r="D1205">
        <v>1.0022775613798101</v>
      </c>
      <c r="E1205">
        <v>1.0980107228613001</v>
      </c>
      <c r="F1205">
        <v>1.0139452374862701</v>
      </c>
      <c r="G1205">
        <v>0.82969178323634396</v>
      </c>
      <c r="H1205">
        <v>0.68564720067601703</v>
      </c>
      <c r="I1205">
        <v>0.41991908885642298</v>
      </c>
      <c r="J1205">
        <v>0.15782892330954901</v>
      </c>
      <c r="K1205">
        <v>0.12859415431405999</v>
      </c>
      <c r="L1205">
        <v>1338.2950766633401</v>
      </c>
      <c r="M1205">
        <v>21.303391462388799</v>
      </c>
      <c r="N1205">
        <v>62.820761930423203</v>
      </c>
      <c r="O1205">
        <v>62.275049365557003</v>
      </c>
      <c r="P1205">
        <v>-8.5523526674227898E-2</v>
      </c>
      <c r="Q1205">
        <v>0</v>
      </c>
      <c r="R1205">
        <v>0.98060451446039898</v>
      </c>
      <c r="S1205" t="s">
        <v>7822</v>
      </c>
      <c r="T1205" t="s">
        <v>13232</v>
      </c>
      <c r="U1205" t="s">
        <v>13232</v>
      </c>
      <c r="V1205" t="s">
        <v>13232</v>
      </c>
      <c r="W1205" t="s">
        <v>14402</v>
      </c>
      <c r="X1205">
        <v>13</v>
      </c>
      <c r="Y1205" t="s">
        <v>20926</v>
      </c>
      <c r="Z1205" t="s">
        <v>27336</v>
      </c>
      <c r="AA1205">
        <v>0.76167490235220237</v>
      </c>
      <c r="AB1205" t="str">
        <f>HYPERLINK("Melting_Curves/meltCurve_O15514_POLR2D.pdf", "Melting_Curves/meltCurve_O15514_POLR2D.pdf")</f>
        <v>Melting_Curves/meltCurve_O15514_POLR2D.pdf</v>
      </c>
    </row>
    <row r="1206" spans="1:28" x14ac:dyDescent="0.25">
      <c r="A1206" t="s">
        <v>1210</v>
      </c>
      <c r="B1206">
        <v>0.99930955844802105</v>
      </c>
      <c r="C1206">
        <v>0.71299243139442903</v>
      </c>
      <c r="D1206">
        <v>0.74925222260088298</v>
      </c>
      <c r="E1206">
        <v>0.48956594049330698</v>
      </c>
      <c r="F1206">
        <v>0.26854079660107899</v>
      </c>
      <c r="G1206">
        <v>0.123606540572406</v>
      </c>
      <c r="H1206">
        <v>7.4601217188027993E-2</v>
      </c>
      <c r="I1206">
        <v>6.4131755381879402E-2</v>
      </c>
      <c r="J1206">
        <v>5.5933292248496302E-2</v>
      </c>
      <c r="K1206">
        <v>4.6894577685165799E-2</v>
      </c>
      <c r="L1206">
        <v>582.01278645248306</v>
      </c>
      <c r="M1206">
        <v>11.8598641925136</v>
      </c>
      <c r="N1206">
        <v>49.077753424920402</v>
      </c>
      <c r="O1206">
        <v>47.741309767866298</v>
      </c>
      <c r="P1206">
        <v>-6.2093634274282702E-2</v>
      </c>
      <c r="Q1206">
        <v>4.3248460636711701E-4</v>
      </c>
      <c r="R1206">
        <v>0.97306843674819898</v>
      </c>
      <c r="S1206" t="s">
        <v>7823</v>
      </c>
      <c r="T1206" t="s">
        <v>13232</v>
      </c>
      <c r="U1206" t="s">
        <v>13232</v>
      </c>
      <c r="V1206" t="s">
        <v>13232</v>
      </c>
      <c r="W1206" t="s">
        <v>14403</v>
      </c>
      <c r="X1206">
        <v>1</v>
      </c>
      <c r="Y1206" t="s">
        <v>20927</v>
      </c>
      <c r="Z1206" t="s">
        <v>27337</v>
      </c>
      <c r="AA1206">
        <v>0.34005078588452242</v>
      </c>
      <c r="AB1206" t="str">
        <f>HYPERLINK("Melting_Curves/meltCurve_O15524_SOCS1.pdf", "Melting_Curves/meltCurve_O15524_SOCS1.pdf")</f>
        <v>Melting_Curves/meltCurve_O15524_SOCS1.pdf</v>
      </c>
    </row>
    <row r="1207" spans="1:28" x14ac:dyDescent="0.25">
      <c r="A1207" t="s">
        <v>1211</v>
      </c>
      <c r="B1207">
        <v>0.99930955844802105</v>
      </c>
      <c r="C1207">
        <v>1.06148657755158</v>
      </c>
      <c r="D1207">
        <v>1.0334054949754801</v>
      </c>
      <c r="E1207">
        <v>0.92291221482361296</v>
      </c>
      <c r="F1207">
        <v>0.65381911044363705</v>
      </c>
      <c r="G1207">
        <v>0.46370422705201603</v>
      </c>
      <c r="H1207">
        <v>0.37412492488254001</v>
      </c>
      <c r="I1207">
        <v>0.36955348023415302</v>
      </c>
      <c r="J1207">
        <v>0.353105695911618</v>
      </c>
      <c r="K1207">
        <v>0.31910427291486398</v>
      </c>
      <c r="L1207">
        <v>1496.5723192052101</v>
      </c>
      <c r="M1207">
        <v>28.206110669868899</v>
      </c>
      <c r="N1207">
        <v>55.455864122417402</v>
      </c>
      <c r="O1207">
        <v>52.793908244394501</v>
      </c>
      <c r="P1207">
        <v>-8.6513003282032694E-2</v>
      </c>
      <c r="Q1207">
        <v>0.352293517630903</v>
      </c>
      <c r="R1207">
        <v>0.98989542298484301</v>
      </c>
      <c r="S1207" t="s">
        <v>7824</v>
      </c>
      <c r="T1207" t="s">
        <v>13232</v>
      </c>
      <c r="U1207" t="s">
        <v>13232</v>
      </c>
      <c r="V1207" t="s">
        <v>13232</v>
      </c>
      <c r="W1207" t="s">
        <v>14404</v>
      </c>
      <c r="X1207">
        <v>12</v>
      </c>
      <c r="Y1207" t="s">
        <v>20928</v>
      </c>
      <c r="Z1207" t="s">
        <v>27338</v>
      </c>
      <c r="AA1207">
        <v>0.63896802810056197</v>
      </c>
      <c r="AB1207" t="str">
        <f>HYPERLINK("Melting_Curves/meltCurve_O15541_RNF113A.pdf", "Melting_Curves/meltCurve_O15541_RNF113A.pdf")</f>
        <v>Melting_Curves/meltCurve_O15541_RNF113A.pdf</v>
      </c>
    </row>
    <row r="1208" spans="1:28" x14ac:dyDescent="0.25">
      <c r="A1208" t="s">
        <v>1212</v>
      </c>
      <c r="B1208">
        <v>0.99930955844802105</v>
      </c>
      <c r="C1208">
        <v>1.37996455686285</v>
      </c>
      <c r="D1208">
        <v>1.3468295438701501</v>
      </c>
      <c r="E1208">
        <v>1.1338423706560601</v>
      </c>
      <c r="F1208">
        <v>0.86262764274758696</v>
      </c>
      <c r="G1208">
        <v>0.71455475924291201</v>
      </c>
      <c r="H1208">
        <v>0.65095296710164496</v>
      </c>
      <c r="I1208">
        <v>0.62668105264313401</v>
      </c>
      <c r="J1208">
        <v>0.64070692254857298</v>
      </c>
      <c r="K1208">
        <v>0.50912273828309196</v>
      </c>
      <c r="L1208">
        <v>1816.68640480353</v>
      </c>
      <c r="M1208">
        <v>32.949728357135498</v>
      </c>
      <c r="O1208">
        <v>54.933198883354201</v>
      </c>
      <c r="P1208">
        <v>-5.9720981195591799E-2</v>
      </c>
      <c r="Q1208">
        <v>0.60173877214098304</v>
      </c>
      <c r="R1208">
        <v>0.65963184079414094</v>
      </c>
      <c r="S1208" t="s">
        <v>7825</v>
      </c>
      <c r="T1208" t="s">
        <v>13232</v>
      </c>
      <c r="U1208" t="s">
        <v>13232</v>
      </c>
      <c r="V1208" t="s">
        <v>13232</v>
      </c>
      <c r="W1208" t="s">
        <v>14405</v>
      </c>
      <c r="X1208">
        <v>15</v>
      </c>
      <c r="Y1208" t="s">
        <v>20929</v>
      </c>
      <c r="Z1208" t="s">
        <v>27339</v>
      </c>
      <c r="AA1208">
        <v>0.80487428830078145</v>
      </c>
      <c r="AB1208" t="str">
        <f>HYPERLINK("Melting_Curves/meltCurve_O15550_KDM6A.pdf", "Melting_Curves/meltCurve_O15550_KDM6A.pdf")</f>
        <v>Melting_Curves/meltCurve_O15550_KDM6A.pdf</v>
      </c>
    </row>
    <row r="1209" spans="1:28" x14ac:dyDescent="0.25">
      <c r="A1209" t="s">
        <v>1213</v>
      </c>
      <c r="B1209">
        <v>0.99930955844802105</v>
      </c>
      <c r="C1209">
        <v>0.956652415593781</v>
      </c>
      <c r="D1209">
        <v>0.96382795200442595</v>
      </c>
      <c r="E1209">
        <v>0.884222420536526</v>
      </c>
      <c r="F1209">
        <v>0.66742759219289305</v>
      </c>
      <c r="G1209">
        <v>0.32888322530936698</v>
      </c>
      <c r="H1209">
        <v>0.14976577943988401</v>
      </c>
      <c r="I1209">
        <v>0.13000836873272401</v>
      </c>
      <c r="J1209">
        <v>0.116523166484018</v>
      </c>
      <c r="K1209">
        <v>8.92736637703683E-2</v>
      </c>
      <c r="L1209">
        <v>1195.8150647385801</v>
      </c>
      <c r="M1209">
        <v>22.0233195748411</v>
      </c>
      <c r="N1209">
        <v>54.795490810705097</v>
      </c>
      <c r="O1209">
        <v>53.855926689258403</v>
      </c>
      <c r="P1209">
        <v>-9.2965532521299701E-2</v>
      </c>
      <c r="Q1209">
        <v>9.0666573581779694E-2</v>
      </c>
      <c r="R1209">
        <v>0.99822945532362795</v>
      </c>
      <c r="S1209" t="s">
        <v>7826</v>
      </c>
      <c r="T1209" t="s">
        <v>13232</v>
      </c>
      <c r="U1209" t="s">
        <v>13232</v>
      </c>
      <c r="V1209" t="s">
        <v>13232</v>
      </c>
      <c r="W1209" t="s">
        <v>14406</v>
      </c>
      <c r="X1209">
        <v>46</v>
      </c>
      <c r="Y1209" t="s">
        <v>20930</v>
      </c>
      <c r="Z1209" t="s">
        <v>27340</v>
      </c>
      <c r="AA1209">
        <v>0.53455082842713197</v>
      </c>
      <c r="AB1209" t="str">
        <f>HYPERLINK("Melting_Curves/meltCurve_O43143_DHX15.pdf", "Melting_Curves/meltCurve_O43143_DHX15.pdf")</f>
        <v>Melting_Curves/meltCurve_O43143_DHX15.pdf</v>
      </c>
    </row>
    <row r="1210" spans="1:28" x14ac:dyDescent="0.25">
      <c r="A1210" t="s">
        <v>1214</v>
      </c>
      <c r="B1210">
        <v>0.99930955844802105</v>
      </c>
      <c r="C1210">
        <v>0.98292375534855303</v>
      </c>
      <c r="D1210">
        <v>0.99427845565935502</v>
      </c>
      <c r="E1210">
        <v>0.96105976035493601</v>
      </c>
      <c r="F1210">
        <v>0.80877180625331502</v>
      </c>
      <c r="G1210">
        <v>0.41880920026447599</v>
      </c>
      <c r="H1210">
        <v>0.18952941050845301</v>
      </c>
      <c r="I1210">
        <v>0.17079420341716001</v>
      </c>
      <c r="J1210">
        <v>0.15605009196365099</v>
      </c>
      <c r="K1210">
        <v>0.124400361361821</v>
      </c>
      <c r="L1210">
        <v>1521.2046117259399</v>
      </c>
      <c r="M1210">
        <v>27.429493176549901</v>
      </c>
      <c r="N1210">
        <v>56.110102434806997</v>
      </c>
      <c r="O1210">
        <v>55.166461912243903</v>
      </c>
      <c r="P1210">
        <v>-0.107355110522945</v>
      </c>
      <c r="Q1210">
        <v>0.136353488575474</v>
      </c>
      <c r="R1210">
        <v>0.99929938033958299</v>
      </c>
      <c r="S1210" t="s">
        <v>7827</v>
      </c>
      <c r="T1210" t="s">
        <v>13232</v>
      </c>
      <c r="U1210" t="s">
        <v>13232</v>
      </c>
      <c r="V1210" t="s">
        <v>13232</v>
      </c>
      <c r="W1210" t="s">
        <v>14407</v>
      </c>
      <c r="X1210">
        <v>28</v>
      </c>
      <c r="Y1210" t="s">
        <v>20931</v>
      </c>
      <c r="Z1210" t="s">
        <v>27341</v>
      </c>
      <c r="AA1210">
        <v>0.58815449528940655</v>
      </c>
      <c r="AB1210" t="str">
        <f>HYPERLINK("Melting_Curves/meltCurve_O43148_RNMT.pdf", "Melting_Curves/meltCurve_O43148_RNMT.pdf")</f>
        <v>Melting_Curves/meltCurve_O43148_RNMT.pdf</v>
      </c>
    </row>
    <row r="1211" spans="1:28" x14ac:dyDescent="0.25">
      <c r="A1211" t="s">
        <v>1215</v>
      </c>
      <c r="B1211">
        <v>0.99930955844802105</v>
      </c>
      <c r="C1211">
        <v>0.88136100970165698</v>
      </c>
      <c r="D1211">
        <v>0.94402811469853498</v>
      </c>
      <c r="E1211">
        <v>0.94110307651327896</v>
      </c>
      <c r="F1211">
        <v>0.65818977743848806</v>
      </c>
      <c r="G1211">
        <v>0.56301679330927401</v>
      </c>
      <c r="H1211">
        <v>0.51064861857770205</v>
      </c>
      <c r="I1211">
        <v>0.54119422576068099</v>
      </c>
      <c r="J1211">
        <v>0.525645431093683</v>
      </c>
      <c r="K1211">
        <v>0.43216451808523099</v>
      </c>
      <c r="L1211">
        <v>2171.2158738662101</v>
      </c>
      <c r="M1211">
        <v>41.688830327983503</v>
      </c>
      <c r="O1211">
        <v>51.962068429097698</v>
      </c>
      <c r="P1211">
        <v>-9.8242150161404002E-2</v>
      </c>
      <c r="Q1211">
        <v>0.51019434372436001</v>
      </c>
      <c r="R1211">
        <v>0.93821192048707402</v>
      </c>
      <c r="S1211" t="s">
        <v>7828</v>
      </c>
      <c r="T1211" t="s">
        <v>13232</v>
      </c>
      <c r="U1211" t="s">
        <v>13232</v>
      </c>
      <c r="V1211" t="s">
        <v>13232</v>
      </c>
      <c r="W1211" t="s">
        <v>14408</v>
      </c>
      <c r="X1211">
        <v>5</v>
      </c>
      <c r="Y1211" t="s">
        <v>20932</v>
      </c>
      <c r="Z1211" t="s">
        <v>27342</v>
      </c>
      <c r="AA1211">
        <v>0.70906865982725453</v>
      </c>
      <c r="AB1211" t="str">
        <f>HYPERLINK("Melting_Curves/meltCurve_O43149_ZZEF1.pdf", "Melting_Curves/meltCurve_O43149_ZZEF1.pdf")</f>
        <v>Melting_Curves/meltCurve_O43149_ZZEF1.pdf</v>
      </c>
    </row>
    <row r="1212" spans="1:28" x14ac:dyDescent="0.25">
      <c r="A1212" t="s">
        <v>1216</v>
      </c>
      <c r="B1212">
        <v>0.99930955844802105</v>
      </c>
      <c r="C1212">
        <v>0.51888488619384499</v>
      </c>
      <c r="D1212">
        <v>0.42737220754102401</v>
      </c>
      <c r="E1212">
        <v>0.309431202176214</v>
      </c>
      <c r="F1212">
        <v>0.22515462606853501</v>
      </c>
      <c r="G1212">
        <v>0.15346385010415201</v>
      </c>
      <c r="H1212">
        <v>9.3032487285242702E-2</v>
      </c>
      <c r="I1212">
        <v>8.4017393082497102E-2</v>
      </c>
      <c r="J1212">
        <v>8.0217677333982801E-2</v>
      </c>
      <c r="K1212">
        <v>6.0078038843169798E-2</v>
      </c>
      <c r="L1212">
        <v>608.22014390068</v>
      </c>
      <c r="M1212">
        <v>13.6669147310871</v>
      </c>
      <c r="N1212">
        <v>45.128361013826101</v>
      </c>
      <c r="O1212">
        <v>43.582746266153897</v>
      </c>
      <c r="P1212">
        <v>-7.1644773108007306E-2</v>
      </c>
      <c r="Q1212">
        <v>8.6254048075685902E-2</v>
      </c>
      <c r="R1212">
        <v>0.93157685408717406</v>
      </c>
      <c r="S1212" t="s">
        <v>7829</v>
      </c>
      <c r="T1212" t="s">
        <v>13232</v>
      </c>
      <c r="U1212" t="s">
        <v>13232</v>
      </c>
      <c r="V1212" t="s">
        <v>13232</v>
      </c>
      <c r="W1212" t="s">
        <v>14409</v>
      </c>
      <c r="X1212">
        <v>9</v>
      </c>
      <c r="Y1212" t="s">
        <v>20933</v>
      </c>
      <c r="Z1212" t="s">
        <v>27343</v>
      </c>
      <c r="AA1212">
        <v>0.26093041259655969</v>
      </c>
      <c r="AB1212" t="str">
        <f>HYPERLINK("Melting_Curves/meltCurve_O43156_TTI1.pdf", "Melting_Curves/meltCurve_O43156_TTI1.pdf")</f>
        <v>Melting_Curves/meltCurve_O43156_TTI1.pdf</v>
      </c>
    </row>
    <row r="1213" spans="1:28" x14ac:dyDescent="0.25">
      <c r="A1213" t="s">
        <v>1217</v>
      </c>
      <c r="B1213">
        <v>0.99930955844802105</v>
      </c>
      <c r="C1213">
        <v>0.94657731207782903</v>
      </c>
      <c r="D1213">
        <v>0.88670880860315204</v>
      </c>
      <c r="E1213">
        <v>0.95930731646044098</v>
      </c>
      <c r="F1213">
        <v>0.91615363781779002</v>
      </c>
      <c r="G1213">
        <v>0.78249772389648597</v>
      </c>
      <c r="H1213">
        <v>0.77785493961807395</v>
      </c>
      <c r="I1213">
        <v>0.79054198549525101</v>
      </c>
      <c r="J1213">
        <v>0.82103433806669801</v>
      </c>
      <c r="K1213">
        <v>0.62642914567477204</v>
      </c>
      <c r="L1213">
        <v>262.36921068805702</v>
      </c>
      <c r="M1213">
        <v>2.9166625889564601</v>
      </c>
      <c r="O1213">
        <v>65.404802266763696</v>
      </c>
      <c r="P1213">
        <v>-1.1521805501510499E-2</v>
      </c>
      <c r="Q1213">
        <v>0</v>
      </c>
      <c r="R1213">
        <v>0.77872283003620002</v>
      </c>
      <c r="S1213" t="s">
        <v>7830</v>
      </c>
      <c r="T1213" t="s">
        <v>13232</v>
      </c>
      <c r="U1213" t="s">
        <v>13232</v>
      </c>
      <c r="V1213" t="s">
        <v>13232</v>
      </c>
      <c r="W1213" t="s">
        <v>14410</v>
      </c>
      <c r="X1213">
        <v>6</v>
      </c>
      <c r="Y1213" t="s">
        <v>20934</v>
      </c>
      <c r="Z1213" t="s">
        <v>27344</v>
      </c>
      <c r="AA1213">
        <v>0.85466002462547153</v>
      </c>
      <c r="AB1213" t="str">
        <f>HYPERLINK("Melting_Curves/meltCurve_O43164_2_PJA2.pdf", "Melting_Curves/meltCurve_O43164_2_PJA2.pdf")</f>
        <v>Melting_Curves/meltCurve_O43164_2_PJA2.pdf</v>
      </c>
    </row>
    <row r="1214" spans="1:28" x14ac:dyDescent="0.25">
      <c r="A1214" t="s">
        <v>1218</v>
      </c>
      <c r="B1214">
        <v>0.99930955844802105</v>
      </c>
      <c r="C1214">
        <v>1.0483147058329401</v>
      </c>
      <c r="D1214">
        <v>1.0101997608350499</v>
      </c>
      <c r="E1214">
        <v>0.96061246915050102</v>
      </c>
      <c r="F1214">
        <v>0.83667838357187396</v>
      </c>
      <c r="G1214">
        <v>0.75332419254850103</v>
      </c>
      <c r="H1214">
        <v>0.68646700852660603</v>
      </c>
      <c r="I1214">
        <v>0.66720844887848496</v>
      </c>
      <c r="J1214">
        <v>0.59231507188907095</v>
      </c>
      <c r="K1214">
        <v>0.50576221056200399</v>
      </c>
      <c r="L1214">
        <v>636.96669447605495</v>
      </c>
      <c r="M1214">
        <v>10.7950063660114</v>
      </c>
      <c r="O1214">
        <v>57.0890283714769</v>
      </c>
      <c r="P1214">
        <v>-2.5551725136553499E-2</v>
      </c>
      <c r="Q1214">
        <v>0.45967822654120699</v>
      </c>
      <c r="R1214">
        <v>0.96597608206284302</v>
      </c>
      <c r="S1214" t="s">
        <v>7831</v>
      </c>
      <c r="T1214" t="s">
        <v>13232</v>
      </c>
      <c r="U1214" t="s">
        <v>13232</v>
      </c>
      <c r="V1214" t="s">
        <v>13232</v>
      </c>
      <c r="W1214" t="s">
        <v>14411</v>
      </c>
      <c r="X1214">
        <v>3</v>
      </c>
      <c r="Y1214" t="s">
        <v>20935</v>
      </c>
      <c r="Z1214" t="s">
        <v>27345</v>
      </c>
      <c r="AA1214">
        <v>0.80496165364210093</v>
      </c>
      <c r="AB1214" t="str">
        <f>HYPERLINK("Melting_Curves/meltCurve_O43167_ZBTB24.pdf", "Melting_Curves/meltCurve_O43167_ZBTB24.pdf")</f>
        <v>Melting_Curves/meltCurve_O43167_ZBTB24.pdf</v>
      </c>
    </row>
    <row r="1215" spans="1:28" x14ac:dyDescent="0.25">
      <c r="A1215" t="s">
        <v>1219</v>
      </c>
      <c r="B1215">
        <v>0.99930955844802105</v>
      </c>
      <c r="C1215">
        <v>0.75914999951946205</v>
      </c>
      <c r="D1215">
        <v>0.79935329265288202</v>
      </c>
      <c r="E1215">
        <v>0.74500788169566101</v>
      </c>
      <c r="F1215">
        <v>0.496639387713386</v>
      </c>
      <c r="G1215">
        <v>0.20897706016765599</v>
      </c>
      <c r="H1215">
        <v>0.10666064853094399</v>
      </c>
      <c r="I1215">
        <v>8.6692468978667794E-2</v>
      </c>
      <c r="J1215">
        <v>7.4695594965561996E-2</v>
      </c>
      <c r="K1215">
        <v>5.3024690079598202E-2</v>
      </c>
      <c r="L1215">
        <v>629.27853835333894</v>
      </c>
      <c r="M1215">
        <v>12.029631135424101</v>
      </c>
      <c r="N1215">
        <v>52.3107306835904</v>
      </c>
      <c r="O1215">
        <v>50.928049582801101</v>
      </c>
      <c r="P1215">
        <v>-5.90661905489996E-2</v>
      </c>
      <c r="Q1215">
        <v>0</v>
      </c>
      <c r="R1215">
        <v>0.95712352947324097</v>
      </c>
      <c r="S1215" t="s">
        <v>7832</v>
      </c>
      <c r="T1215" t="s">
        <v>13232</v>
      </c>
      <c r="U1215" t="s">
        <v>13232</v>
      </c>
      <c r="V1215" t="s">
        <v>13232</v>
      </c>
      <c r="W1215" t="s">
        <v>14412</v>
      </c>
      <c r="X1215">
        <v>18</v>
      </c>
      <c r="Y1215" t="s">
        <v>20936</v>
      </c>
      <c r="Z1215" t="s">
        <v>27346</v>
      </c>
      <c r="AA1215">
        <v>0.44022451680943409</v>
      </c>
      <c r="AB1215" t="str">
        <f>HYPERLINK("Melting_Curves/meltCurve_O43172_2_PRPF4.pdf", "Melting_Curves/meltCurve_O43172_2_PRPF4.pdf")</f>
        <v>Melting_Curves/meltCurve_O43172_2_PRPF4.pdf</v>
      </c>
    </row>
    <row r="1216" spans="1:28" x14ac:dyDescent="0.25">
      <c r="A1216" t="s">
        <v>1220</v>
      </c>
      <c r="B1216">
        <v>0.99930955844802105</v>
      </c>
      <c r="C1216">
        <v>0.94923245903168496</v>
      </c>
      <c r="D1216">
        <v>0.974919663629915</v>
      </c>
      <c r="E1216">
        <v>0.90357957443998604</v>
      </c>
      <c r="F1216">
        <v>0.85096419758552699</v>
      </c>
      <c r="G1216">
        <v>0.52352901540534402</v>
      </c>
      <c r="H1216">
        <v>0.121172544057412</v>
      </c>
      <c r="I1216">
        <v>6.5969671239682504E-2</v>
      </c>
      <c r="J1216">
        <v>4.8488519851558498E-2</v>
      </c>
      <c r="K1216">
        <v>3.8897384788316697E-2</v>
      </c>
      <c r="L1216">
        <v>1396.0897632543199</v>
      </c>
      <c r="M1216">
        <v>24.566995819399999</v>
      </c>
      <c r="N1216">
        <v>56.886584314634398</v>
      </c>
      <c r="O1216">
        <v>56.455334628865401</v>
      </c>
      <c r="P1216">
        <v>-0.10742891629604701</v>
      </c>
      <c r="Q1216">
        <v>1.2521017376472401E-2</v>
      </c>
      <c r="R1216">
        <v>0.99351877863740101</v>
      </c>
      <c r="S1216" t="s">
        <v>7833</v>
      </c>
      <c r="T1216" t="s">
        <v>13232</v>
      </c>
      <c r="U1216" t="s">
        <v>13232</v>
      </c>
      <c r="V1216" t="s">
        <v>13232</v>
      </c>
      <c r="W1216" t="s">
        <v>14413</v>
      </c>
      <c r="X1216">
        <v>34</v>
      </c>
      <c r="Y1216" t="s">
        <v>20937</v>
      </c>
      <c r="Z1216" t="s">
        <v>27347</v>
      </c>
      <c r="AA1216">
        <v>0.57560570813330791</v>
      </c>
      <c r="AB1216" t="str">
        <f>HYPERLINK("Melting_Curves/meltCurve_O43175_PHGDH.pdf", "Melting_Curves/meltCurve_O43175_PHGDH.pdf")</f>
        <v>Melting_Curves/meltCurve_O43175_PHGDH.pdf</v>
      </c>
    </row>
    <row r="1217" spans="1:28" x14ac:dyDescent="0.25">
      <c r="A1217" t="s">
        <v>1221</v>
      </c>
      <c r="B1217">
        <v>0.99930955844802105</v>
      </c>
      <c r="C1217">
        <v>0.88421988984778999</v>
      </c>
      <c r="D1217">
        <v>0.67646868279279904</v>
      </c>
      <c r="E1217">
        <v>0.53626738818339503</v>
      </c>
      <c r="F1217">
        <v>0.422233502164022</v>
      </c>
      <c r="G1217">
        <v>0.35035927851374599</v>
      </c>
      <c r="H1217">
        <v>0.32006129692944701</v>
      </c>
      <c r="I1217">
        <v>0.34574462371521197</v>
      </c>
      <c r="J1217">
        <v>0.334881517581885</v>
      </c>
      <c r="K1217">
        <v>0.27332637692742201</v>
      </c>
      <c r="L1217">
        <v>718.40088173855702</v>
      </c>
      <c r="M1217">
        <v>15.2498395806999</v>
      </c>
      <c r="N1217">
        <v>50.280283393400801</v>
      </c>
      <c r="O1217">
        <v>46.3209740677406</v>
      </c>
      <c r="P1217">
        <v>-5.6885029720815702E-2</v>
      </c>
      <c r="Q1217">
        <v>0.30891864393762702</v>
      </c>
      <c r="R1217">
        <v>0.98826824049430295</v>
      </c>
      <c r="S1217" t="s">
        <v>7834</v>
      </c>
      <c r="T1217" t="s">
        <v>13232</v>
      </c>
      <c r="U1217" t="s">
        <v>13232</v>
      </c>
      <c r="V1217" t="s">
        <v>13232</v>
      </c>
      <c r="W1217" t="s">
        <v>14414</v>
      </c>
      <c r="X1217">
        <v>20</v>
      </c>
      <c r="Y1217" t="s">
        <v>20938</v>
      </c>
      <c r="Z1217" t="s">
        <v>27348</v>
      </c>
      <c r="AA1217">
        <v>0.49070432844525641</v>
      </c>
      <c r="AB1217" t="str">
        <f>HYPERLINK("Melting_Curves/meltCurve_O43182_4_ARHGAP6.pdf", "Melting_Curves/meltCurve_O43182_4_ARHGAP6.pdf")</f>
        <v>Melting_Curves/meltCurve_O43182_4_ARHGAP6.pdf</v>
      </c>
    </row>
    <row r="1218" spans="1:28" x14ac:dyDescent="0.25">
      <c r="A1218" t="s">
        <v>1222</v>
      </c>
      <c r="B1218">
        <v>0.99930955844802105</v>
      </c>
      <c r="C1218">
        <v>1.12087453871795</v>
      </c>
      <c r="D1218">
        <v>1.0921404109031501</v>
      </c>
      <c r="E1218">
        <v>0.94870411739891503</v>
      </c>
      <c r="F1218">
        <v>0.76584854995315599</v>
      </c>
      <c r="G1218">
        <v>0.69153418405779998</v>
      </c>
      <c r="H1218">
        <v>0.64358667807425496</v>
      </c>
      <c r="I1218">
        <v>0.76904905843732396</v>
      </c>
      <c r="J1218">
        <v>0.74358107889373504</v>
      </c>
      <c r="K1218">
        <v>0.62823299889594397</v>
      </c>
      <c r="L1218">
        <v>2606.30454155706</v>
      </c>
      <c r="M1218">
        <v>50.419972930764601</v>
      </c>
      <c r="O1218">
        <v>51.610784775650103</v>
      </c>
      <c r="P1218">
        <v>-7.4504614978772907E-2</v>
      </c>
      <c r="Q1218">
        <v>0.69494323447816997</v>
      </c>
      <c r="R1218">
        <v>0.87462296504196801</v>
      </c>
      <c r="S1218" t="s">
        <v>7835</v>
      </c>
      <c r="T1218" t="s">
        <v>13232</v>
      </c>
      <c r="U1218" t="s">
        <v>13232</v>
      </c>
      <c r="V1218" t="s">
        <v>13232</v>
      </c>
      <c r="W1218" t="s">
        <v>14415</v>
      </c>
      <c r="X1218">
        <v>8</v>
      </c>
      <c r="Y1218" t="s">
        <v>20939</v>
      </c>
      <c r="Z1218" t="s">
        <v>27349</v>
      </c>
      <c r="AA1218">
        <v>0.81451701415053468</v>
      </c>
      <c r="AB1218" t="str">
        <f>HYPERLINK("Melting_Curves/meltCurve_O43237_DYNC1LI2.pdf", "Melting_Curves/meltCurve_O43237_DYNC1LI2.pdf")</f>
        <v>Melting_Curves/meltCurve_O43237_DYNC1LI2.pdf</v>
      </c>
    </row>
    <row r="1219" spans="1:28" x14ac:dyDescent="0.25">
      <c r="A1219" t="s">
        <v>1223</v>
      </c>
      <c r="B1219">
        <v>0.99930955844802105</v>
      </c>
      <c r="C1219">
        <v>0.61976596735115097</v>
      </c>
      <c r="D1219">
        <v>0.63298539544669297</v>
      </c>
      <c r="E1219">
        <v>0.65841876749246597</v>
      </c>
      <c r="F1219">
        <v>0.26069152832592302</v>
      </c>
      <c r="G1219">
        <v>0.165792296975946</v>
      </c>
      <c r="H1219">
        <v>8.82563386842556E-2</v>
      </c>
      <c r="I1219">
        <v>7.2352302504008606E-2</v>
      </c>
      <c r="J1219">
        <v>6.1252618852738798E-2</v>
      </c>
      <c r="K1219">
        <v>4.9179633761044297E-2</v>
      </c>
      <c r="L1219">
        <v>476.17364074654603</v>
      </c>
      <c r="M1219">
        <v>9.7179947801590192</v>
      </c>
      <c r="N1219">
        <v>48.999166196897903</v>
      </c>
      <c r="O1219">
        <v>47.059330689528103</v>
      </c>
      <c r="P1219">
        <v>-5.1654291508317601E-2</v>
      </c>
      <c r="Q1219">
        <v>0</v>
      </c>
      <c r="R1219">
        <v>0.90958906479611501</v>
      </c>
      <c r="S1219" t="s">
        <v>7836</v>
      </c>
      <c r="T1219" t="s">
        <v>13232</v>
      </c>
      <c r="U1219" t="s">
        <v>13232</v>
      </c>
      <c r="V1219" t="s">
        <v>13232</v>
      </c>
      <c r="W1219" t="s">
        <v>14416</v>
      </c>
      <c r="X1219">
        <v>37</v>
      </c>
      <c r="Y1219" t="s">
        <v>20940</v>
      </c>
      <c r="Z1219" t="s">
        <v>27350</v>
      </c>
      <c r="AA1219">
        <v>0.35100069551627489</v>
      </c>
      <c r="AB1219" t="str">
        <f>HYPERLINK("Melting_Curves/meltCurve_O43242_PSMD3.pdf", "Melting_Curves/meltCurve_O43242_PSMD3.pdf")</f>
        <v>Melting_Curves/meltCurve_O43242_PSMD3.pdf</v>
      </c>
    </row>
    <row r="1220" spans="1:28" x14ac:dyDescent="0.25">
      <c r="A1220" t="s">
        <v>1224</v>
      </c>
      <c r="B1220">
        <v>0.99930955844802105</v>
      </c>
      <c r="C1220">
        <v>1.00180335318678</v>
      </c>
      <c r="D1220">
        <v>0.99099292576460796</v>
      </c>
      <c r="E1220">
        <v>0.94543211158045304</v>
      </c>
      <c r="F1220">
        <v>0.82016622757729896</v>
      </c>
      <c r="G1220">
        <v>0.67060809913971997</v>
      </c>
      <c r="H1220">
        <v>0.57047346035177504</v>
      </c>
      <c r="I1220">
        <v>0.55045662782356897</v>
      </c>
      <c r="J1220">
        <v>0.55003642643223105</v>
      </c>
      <c r="K1220">
        <v>0.43279360657863403</v>
      </c>
      <c r="L1220">
        <v>892.80725292918305</v>
      </c>
      <c r="M1220">
        <v>16.072784573425299</v>
      </c>
      <c r="N1220">
        <v>67.549131080254696</v>
      </c>
      <c r="O1220">
        <v>54.709229951560701</v>
      </c>
      <c r="P1220">
        <v>-3.8838494767637198E-2</v>
      </c>
      <c r="Q1220">
        <v>0.471240236622329</v>
      </c>
      <c r="R1220">
        <v>0.98462621686562402</v>
      </c>
      <c r="S1220" t="s">
        <v>7837</v>
      </c>
      <c r="T1220" t="s">
        <v>13232</v>
      </c>
      <c r="U1220" t="s">
        <v>13232</v>
      </c>
      <c r="V1220" t="s">
        <v>13232</v>
      </c>
      <c r="W1220" t="s">
        <v>14417</v>
      </c>
      <c r="X1220">
        <v>7</v>
      </c>
      <c r="Y1220" t="s">
        <v>20941</v>
      </c>
      <c r="Z1220" t="s">
        <v>27351</v>
      </c>
      <c r="AA1220">
        <v>0.75438664074702255</v>
      </c>
      <c r="AB1220" t="str">
        <f>HYPERLINK("Melting_Curves/meltCurve_O43251_6_RBFOX2.pdf", "Melting_Curves/meltCurve_O43251_6_RBFOX2.pdf")</f>
        <v>Melting_Curves/meltCurve_O43251_6_RBFOX2.pdf</v>
      </c>
    </row>
    <row r="1221" spans="1:28" x14ac:dyDescent="0.25">
      <c r="A1221" t="s">
        <v>1225</v>
      </c>
      <c r="B1221">
        <v>0.99930955844802105</v>
      </c>
      <c r="C1221">
        <v>0.96601427379249905</v>
      </c>
      <c r="D1221">
        <v>0.96444354387919395</v>
      </c>
      <c r="E1221">
        <v>0.910732651669792</v>
      </c>
      <c r="F1221">
        <v>0.53331544569048706</v>
      </c>
      <c r="G1221">
        <v>0.199211414415329</v>
      </c>
      <c r="H1221">
        <v>0.124258052232151</v>
      </c>
      <c r="I1221">
        <v>0.104802501772792</v>
      </c>
      <c r="J1221">
        <v>8.9321745271906797E-2</v>
      </c>
      <c r="K1221">
        <v>6.9953344974071296E-2</v>
      </c>
      <c r="L1221">
        <v>1691.74316110837</v>
      </c>
      <c r="M1221">
        <v>31.905642137919202</v>
      </c>
      <c r="N1221">
        <v>53.374067293114898</v>
      </c>
      <c r="O1221">
        <v>52.816327918665301</v>
      </c>
      <c r="P1221">
        <v>-0.13673976545738201</v>
      </c>
      <c r="Q1221">
        <v>9.4573252142752404E-2</v>
      </c>
      <c r="R1221">
        <v>0.99741140176091103</v>
      </c>
      <c r="S1221" t="s">
        <v>7838</v>
      </c>
      <c r="T1221" t="s">
        <v>13232</v>
      </c>
      <c r="U1221" t="s">
        <v>13232</v>
      </c>
      <c r="V1221" t="s">
        <v>13232</v>
      </c>
      <c r="W1221" t="s">
        <v>14418</v>
      </c>
      <c r="X1221">
        <v>34</v>
      </c>
      <c r="Y1221" t="s">
        <v>20942</v>
      </c>
      <c r="Z1221" t="s">
        <v>27352</v>
      </c>
      <c r="AA1221">
        <v>0.49283214623250721</v>
      </c>
      <c r="AB1221" t="str">
        <f>HYPERLINK("Melting_Curves/meltCurve_O43252_PAPSS1.pdf", "Melting_Curves/meltCurve_O43252_PAPSS1.pdf")</f>
        <v>Melting_Curves/meltCurve_O43252_PAPSS1.pdf</v>
      </c>
    </row>
    <row r="1222" spans="1:28" x14ac:dyDescent="0.25">
      <c r="A1222" t="s">
        <v>1226</v>
      </c>
      <c r="B1222">
        <v>0.99930955844802105</v>
      </c>
      <c r="C1222">
        <v>0.62996296967462695</v>
      </c>
      <c r="D1222">
        <v>0.64067460181400104</v>
      </c>
      <c r="E1222">
        <v>0.494017584305109</v>
      </c>
      <c r="F1222">
        <v>0.20568167050655101</v>
      </c>
      <c r="G1222">
        <v>0.14085395785635199</v>
      </c>
      <c r="H1222">
        <v>8.8640200926081006E-2</v>
      </c>
      <c r="I1222">
        <v>7.3057415101435805E-2</v>
      </c>
      <c r="J1222">
        <v>5.7050377492180199E-2</v>
      </c>
      <c r="K1222">
        <v>4.8420205751353598E-2</v>
      </c>
      <c r="L1222">
        <v>501.97811397961601</v>
      </c>
      <c r="M1222">
        <v>10.4584962965054</v>
      </c>
      <c r="N1222">
        <v>47.999001907014303</v>
      </c>
      <c r="O1222">
        <v>46.341910327782998</v>
      </c>
      <c r="P1222">
        <v>-5.6432079553649997E-2</v>
      </c>
      <c r="Q1222">
        <v>2.0063222658691699E-4</v>
      </c>
      <c r="R1222">
        <v>0.95089089466078802</v>
      </c>
      <c r="S1222" t="s">
        <v>7839</v>
      </c>
      <c r="T1222" t="s">
        <v>13232</v>
      </c>
      <c r="U1222" t="s">
        <v>13232</v>
      </c>
      <c r="V1222" t="s">
        <v>13232</v>
      </c>
      <c r="W1222" t="s">
        <v>14419</v>
      </c>
      <c r="X1222">
        <v>10</v>
      </c>
      <c r="Y1222" t="s">
        <v>20943</v>
      </c>
      <c r="Z1222" t="s">
        <v>27353</v>
      </c>
      <c r="AA1222">
        <v>0.31606857775762409</v>
      </c>
      <c r="AB1222" t="str">
        <f>HYPERLINK("Melting_Curves/meltCurve_O43264_ZW10.pdf", "Melting_Curves/meltCurve_O43264_ZW10.pdf")</f>
        <v>Melting_Curves/meltCurve_O43264_ZW10.pdf</v>
      </c>
    </row>
    <row r="1223" spans="1:28" x14ac:dyDescent="0.25">
      <c r="A1223" t="s">
        <v>1227</v>
      </c>
      <c r="B1223">
        <v>0.99930955844802105</v>
      </c>
      <c r="C1223">
        <v>1.0027858769917799</v>
      </c>
      <c r="D1223">
        <v>1.0242670649324499</v>
      </c>
      <c r="E1223">
        <v>0.96710602673231105</v>
      </c>
      <c r="F1223">
        <v>0.852531944260007</v>
      </c>
      <c r="G1223">
        <v>0.76462905169092299</v>
      </c>
      <c r="H1223">
        <v>0.73041765543475301</v>
      </c>
      <c r="I1223">
        <v>0.80561542131131303</v>
      </c>
      <c r="J1223">
        <v>0.80330215351622603</v>
      </c>
      <c r="K1223">
        <v>0.64655522776932695</v>
      </c>
      <c r="L1223">
        <v>1965.9494393184</v>
      </c>
      <c r="M1223">
        <v>37.4078486687349</v>
      </c>
      <c r="O1223">
        <v>52.404950238649597</v>
      </c>
      <c r="P1223">
        <v>-4.5154246907127098E-2</v>
      </c>
      <c r="Q1223">
        <v>0.74697292209792998</v>
      </c>
      <c r="R1223">
        <v>0.886745039782174</v>
      </c>
      <c r="S1223" t="s">
        <v>7840</v>
      </c>
      <c r="T1223" t="s">
        <v>13232</v>
      </c>
      <c r="U1223" t="s">
        <v>13232</v>
      </c>
      <c r="V1223" t="s">
        <v>13232</v>
      </c>
      <c r="W1223" t="s">
        <v>14420</v>
      </c>
      <c r="X1223">
        <v>43</v>
      </c>
      <c r="Y1223" t="s">
        <v>20944</v>
      </c>
      <c r="Z1223" t="s">
        <v>27354</v>
      </c>
      <c r="AA1223">
        <v>0.85391088474623145</v>
      </c>
      <c r="AB1223" t="str">
        <f>HYPERLINK("Melting_Curves/meltCurve_O43290_SART1.pdf", "Melting_Curves/meltCurve_O43290_SART1.pdf")</f>
        <v>Melting_Curves/meltCurve_O43290_SART1.pdf</v>
      </c>
    </row>
    <row r="1224" spans="1:28" x14ac:dyDescent="0.25">
      <c r="A1224" t="s">
        <v>1228</v>
      </c>
      <c r="B1224">
        <v>0.99930955844802105</v>
      </c>
      <c r="C1224">
        <v>0.76729485272895903</v>
      </c>
      <c r="D1224">
        <v>0.71004331830702305</v>
      </c>
      <c r="E1224">
        <v>0.58270599495491604</v>
      </c>
      <c r="F1224">
        <v>0.466698442390097</v>
      </c>
      <c r="G1224">
        <v>0.333487845636049</v>
      </c>
      <c r="H1224">
        <v>0.158144729364354</v>
      </c>
      <c r="I1224">
        <v>0.118193679440636</v>
      </c>
      <c r="J1224">
        <v>0.113201939687499</v>
      </c>
      <c r="K1224">
        <v>6.9452597669477104E-2</v>
      </c>
      <c r="L1224">
        <v>453.71657376942301</v>
      </c>
      <c r="M1224">
        <v>8.83392751989037</v>
      </c>
      <c r="N1224">
        <v>51.360677153696699</v>
      </c>
      <c r="O1224">
        <v>48.932964099873097</v>
      </c>
      <c r="P1224">
        <v>-4.5167976101285E-2</v>
      </c>
      <c r="Q1224">
        <v>0</v>
      </c>
      <c r="R1224">
        <v>0.97963503532643803</v>
      </c>
      <c r="S1224" t="s">
        <v>7841</v>
      </c>
      <c r="T1224" t="s">
        <v>13232</v>
      </c>
      <c r="U1224" t="s">
        <v>13232</v>
      </c>
      <c r="V1224" t="s">
        <v>13232</v>
      </c>
      <c r="W1224" t="s">
        <v>14421</v>
      </c>
      <c r="X1224">
        <v>4</v>
      </c>
      <c r="Y1224" t="s">
        <v>20945</v>
      </c>
      <c r="Z1224" t="s">
        <v>27355</v>
      </c>
      <c r="AA1224">
        <v>0.42497311660751319</v>
      </c>
      <c r="AB1224" t="str">
        <f>HYPERLINK("Melting_Curves/meltCurve_O43293_DAPK3.pdf", "Melting_Curves/meltCurve_O43293_DAPK3.pdf")</f>
        <v>Melting_Curves/meltCurve_O43293_DAPK3.pdf</v>
      </c>
    </row>
    <row r="1225" spans="1:28" x14ac:dyDescent="0.25">
      <c r="A1225" t="s">
        <v>1229</v>
      </c>
      <c r="B1225">
        <v>0.99930955844802105</v>
      </c>
      <c r="C1225">
        <v>1.01916085386341</v>
      </c>
      <c r="D1225">
        <v>0.94595421825335302</v>
      </c>
      <c r="E1225">
        <v>0.90781354400361403</v>
      </c>
      <c r="F1225">
        <v>0.82107662361921296</v>
      </c>
      <c r="G1225">
        <v>0.62556316529183498</v>
      </c>
      <c r="H1225">
        <v>0.52449343350876199</v>
      </c>
      <c r="I1225">
        <v>0.46119392522899999</v>
      </c>
      <c r="J1225">
        <v>0.38091126585546398</v>
      </c>
      <c r="K1225">
        <v>0.26866598243110301</v>
      </c>
      <c r="L1225">
        <v>593.53203541306698</v>
      </c>
      <c r="M1225">
        <v>9.9356122574449905</v>
      </c>
      <c r="N1225">
        <v>61.735555536697099</v>
      </c>
      <c r="O1225">
        <v>57.468984089886398</v>
      </c>
      <c r="P1225">
        <v>-3.7298416179518103E-2</v>
      </c>
      <c r="Q1225">
        <v>0.13747278284619599</v>
      </c>
      <c r="R1225">
        <v>0.99080276097890596</v>
      </c>
      <c r="S1225" t="s">
        <v>7842</v>
      </c>
      <c r="T1225" t="s">
        <v>13232</v>
      </c>
      <c r="U1225" t="s">
        <v>13232</v>
      </c>
      <c r="V1225" t="s">
        <v>13232</v>
      </c>
      <c r="W1225" t="s">
        <v>14422</v>
      </c>
      <c r="X1225">
        <v>5</v>
      </c>
      <c r="Y1225" t="s">
        <v>20946</v>
      </c>
      <c r="Z1225" t="s">
        <v>27356</v>
      </c>
      <c r="AA1225">
        <v>0.70301566741507193</v>
      </c>
      <c r="AB1225" t="str">
        <f>HYPERLINK("Melting_Curves/meltCurve_O43298_ZBTB43.pdf", "Melting_Curves/meltCurve_O43298_ZBTB43.pdf")</f>
        <v>Melting_Curves/meltCurve_O43298_ZBTB43.pdf</v>
      </c>
    </row>
    <row r="1226" spans="1:28" x14ac:dyDescent="0.25">
      <c r="A1226" t="s">
        <v>1230</v>
      </c>
      <c r="B1226">
        <v>0.99930955844802105</v>
      </c>
      <c r="C1226">
        <v>0.94666065664307497</v>
      </c>
      <c r="D1226">
        <v>0.86993746622537804</v>
      </c>
      <c r="E1226">
        <v>0.84033340761420505</v>
      </c>
      <c r="F1226">
        <v>0.36169071070419601</v>
      </c>
      <c r="G1226">
        <v>0.26838096521941901</v>
      </c>
      <c r="H1226">
        <v>0.15932008472091799</v>
      </c>
      <c r="I1226">
        <v>0.12810230327399499</v>
      </c>
      <c r="J1226">
        <v>0.11281399945243099</v>
      </c>
      <c r="K1226">
        <v>9.4835138030332694E-2</v>
      </c>
      <c r="L1226">
        <v>1400.01233143183</v>
      </c>
      <c r="M1226">
        <v>27.0095696442506</v>
      </c>
      <c r="N1226">
        <v>52.401372680445199</v>
      </c>
      <c r="O1226">
        <v>51.552296845387097</v>
      </c>
      <c r="P1226">
        <v>-0.114374907085809</v>
      </c>
      <c r="Q1226">
        <v>0.12679379977034699</v>
      </c>
      <c r="R1226">
        <v>0.97645070127803901</v>
      </c>
      <c r="S1226" t="s">
        <v>7843</v>
      </c>
      <c r="T1226" t="s">
        <v>13232</v>
      </c>
      <c r="U1226" t="s">
        <v>13232</v>
      </c>
      <c r="V1226" t="s">
        <v>13232</v>
      </c>
      <c r="W1226" t="s">
        <v>14423</v>
      </c>
      <c r="X1226">
        <v>5</v>
      </c>
      <c r="Y1226" t="s">
        <v>20947</v>
      </c>
      <c r="Z1226" t="s">
        <v>27357</v>
      </c>
      <c r="AA1226">
        <v>0.47808912532581832</v>
      </c>
      <c r="AB1226" t="str">
        <f>HYPERLINK("Melting_Curves/meltCurve_O43299_AP5Z1.pdf", "Melting_Curves/meltCurve_O43299_AP5Z1.pdf")</f>
        <v>Melting_Curves/meltCurve_O43299_AP5Z1.pdf</v>
      </c>
    </row>
    <row r="1227" spans="1:28" x14ac:dyDescent="0.25">
      <c r="A1227" t="s">
        <v>1231</v>
      </c>
      <c r="B1227">
        <v>0.99930955844802105</v>
      </c>
      <c r="C1227">
        <v>0.99216355214650698</v>
      </c>
      <c r="D1227">
        <v>0.96049906541021401</v>
      </c>
      <c r="E1227">
        <v>0.88206799649270196</v>
      </c>
      <c r="F1227">
        <v>0.79776558140924003</v>
      </c>
      <c r="G1227">
        <v>0.64997199431552</v>
      </c>
      <c r="H1227">
        <v>0.56733058253352098</v>
      </c>
      <c r="I1227">
        <v>0.56847940784121898</v>
      </c>
      <c r="J1227">
        <v>0.519950825543263</v>
      </c>
      <c r="K1227">
        <v>0.42919634174939197</v>
      </c>
      <c r="L1227">
        <v>646.86930430621499</v>
      </c>
      <c r="M1227">
        <v>11.6098380829515</v>
      </c>
      <c r="N1227">
        <v>66.346616100982104</v>
      </c>
      <c r="O1227">
        <v>54.141252721653998</v>
      </c>
      <c r="P1227">
        <v>-3.0985760356867401E-2</v>
      </c>
      <c r="Q1227">
        <v>0.422163034337183</v>
      </c>
      <c r="R1227">
        <v>0.98795360141705102</v>
      </c>
      <c r="S1227" t="s">
        <v>7844</v>
      </c>
      <c r="T1227" t="s">
        <v>13232</v>
      </c>
      <c r="U1227" t="s">
        <v>13232</v>
      </c>
      <c r="V1227" t="s">
        <v>13232</v>
      </c>
      <c r="W1227" t="s">
        <v>14424</v>
      </c>
      <c r="X1227">
        <v>9</v>
      </c>
      <c r="Y1227" t="s">
        <v>20948</v>
      </c>
      <c r="Z1227" t="s">
        <v>27358</v>
      </c>
      <c r="AA1227">
        <v>0.73738920766175242</v>
      </c>
      <c r="AB1227" t="str">
        <f>HYPERLINK("Melting_Curves/meltCurve_O43303_2_CCP110.pdf", "Melting_Curves/meltCurve_O43303_2_CCP110.pdf")</f>
        <v>Melting_Curves/meltCurve_O43303_2_CCP110.pdf</v>
      </c>
    </row>
    <row r="1228" spans="1:28" x14ac:dyDescent="0.25">
      <c r="A1228" t="s">
        <v>1232</v>
      </c>
      <c r="B1228">
        <v>0.99930955844802105</v>
      </c>
      <c r="C1228">
        <v>0.948148811172981</v>
      </c>
      <c r="D1228">
        <v>0.782920981896565</v>
      </c>
      <c r="E1228">
        <v>0.61943649146322999</v>
      </c>
      <c r="F1228">
        <v>0.42996108953475698</v>
      </c>
      <c r="G1228">
        <v>0.281412428966404</v>
      </c>
      <c r="H1228">
        <v>0.24135028192803601</v>
      </c>
      <c r="I1228">
        <v>0.191513446186029</v>
      </c>
      <c r="J1228">
        <v>0.17395021271292099</v>
      </c>
      <c r="K1228">
        <v>0.15305090904455801</v>
      </c>
      <c r="L1228">
        <v>681.04660460861805</v>
      </c>
      <c r="M1228">
        <v>13.502104818218299</v>
      </c>
      <c r="N1228">
        <v>51.747567880432598</v>
      </c>
      <c r="O1228">
        <v>49.372182496467801</v>
      </c>
      <c r="P1228">
        <v>-5.84966192886507E-2</v>
      </c>
      <c r="Q1228">
        <v>0.14452905152363599</v>
      </c>
      <c r="R1228">
        <v>0.99648697858171198</v>
      </c>
      <c r="S1228" t="s">
        <v>7845</v>
      </c>
      <c r="T1228" t="s">
        <v>13232</v>
      </c>
      <c r="U1228" t="s">
        <v>13232</v>
      </c>
      <c r="V1228" t="s">
        <v>13232</v>
      </c>
      <c r="W1228" t="s">
        <v>14425</v>
      </c>
      <c r="X1228">
        <v>8</v>
      </c>
      <c r="Y1228" t="s">
        <v>20949</v>
      </c>
      <c r="Z1228" t="s">
        <v>27359</v>
      </c>
      <c r="AA1228">
        <v>0.46622222803898639</v>
      </c>
      <c r="AB1228" t="str">
        <f>HYPERLINK("Melting_Curves/meltCurve_O43310_CTIF.pdf", "Melting_Curves/meltCurve_O43310_CTIF.pdf")</f>
        <v>Melting_Curves/meltCurve_O43310_CTIF.pdf</v>
      </c>
    </row>
    <row r="1229" spans="1:28" x14ac:dyDescent="0.25">
      <c r="A1229" t="s">
        <v>1233</v>
      </c>
      <c r="B1229">
        <v>0.99930955844802105</v>
      </c>
      <c r="C1229">
        <v>0.95427812864683703</v>
      </c>
      <c r="D1229">
        <v>0.81225405546448404</v>
      </c>
      <c r="E1229">
        <v>0.465836805865465</v>
      </c>
      <c r="F1229">
        <v>0.21985141047888701</v>
      </c>
      <c r="G1229">
        <v>0.158531533954163</v>
      </c>
      <c r="H1229">
        <v>0.10259251540436801</v>
      </c>
      <c r="I1229">
        <v>9.7862928868871296E-2</v>
      </c>
      <c r="J1229">
        <v>8.83606607158572E-2</v>
      </c>
      <c r="K1229">
        <v>6.7070642345183201E-2</v>
      </c>
      <c r="L1229">
        <v>1018.30865210481</v>
      </c>
      <c r="M1229">
        <v>20.7582345777891</v>
      </c>
      <c r="N1229">
        <v>49.497027468705099</v>
      </c>
      <c r="O1229">
        <v>48.6072033857481</v>
      </c>
      <c r="P1229">
        <v>-9.7747145504179594E-2</v>
      </c>
      <c r="Q1229">
        <v>8.4492242977202606E-2</v>
      </c>
      <c r="R1229">
        <v>0.99850757578407501</v>
      </c>
      <c r="S1229" t="s">
        <v>7846</v>
      </c>
      <c r="T1229" t="s">
        <v>13232</v>
      </c>
      <c r="U1229" t="s">
        <v>13232</v>
      </c>
      <c r="V1229" t="s">
        <v>13232</v>
      </c>
      <c r="W1229" t="s">
        <v>14426</v>
      </c>
      <c r="X1229">
        <v>41</v>
      </c>
      <c r="Y1229" t="s">
        <v>20485</v>
      </c>
      <c r="Z1229" t="s">
        <v>27360</v>
      </c>
      <c r="AA1229">
        <v>0.37272650378387362</v>
      </c>
      <c r="AB1229" t="str">
        <f>HYPERLINK("Melting_Curves/meltCurve_O43314_2_PPIP5K2.pdf", "Melting_Curves/meltCurve_O43314_2_PPIP5K2.pdf")</f>
        <v>Melting_Curves/meltCurve_O43314_2_PPIP5K2.pdf</v>
      </c>
    </row>
    <row r="1230" spans="1:28" x14ac:dyDescent="0.25">
      <c r="A1230" t="s">
        <v>1234</v>
      </c>
      <c r="B1230">
        <v>0.99930955844802105</v>
      </c>
      <c r="C1230">
        <v>1.12089795030123</v>
      </c>
      <c r="D1230">
        <v>1.0891904955174601</v>
      </c>
      <c r="E1230">
        <v>0.91985932354633404</v>
      </c>
      <c r="F1230">
        <v>0.643627586230888</v>
      </c>
      <c r="G1230">
        <v>0.39704323775976502</v>
      </c>
      <c r="H1230">
        <v>0.31623634302172998</v>
      </c>
      <c r="I1230">
        <v>0.32812056374491699</v>
      </c>
      <c r="J1230">
        <v>0.29935759360075598</v>
      </c>
      <c r="K1230">
        <v>0.253191387226191</v>
      </c>
      <c r="L1230">
        <v>1654.9963854346499</v>
      </c>
      <c r="M1230">
        <v>31.163063786871898</v>
      </c>
      <c r="N1230">
        <v>54.704155069399697</v>
      </c>
      <c r="O1230">
        <v>52.890350440807197</v>
      </c>
      <c r="P1230">
        <v>-0.10331190483383799</v>
      </c>
      <c r="Q1230">
        <v>0.29863448048369501</v>
      </c>
      <c r="R1230">
        <v>0.97649614898359605</v>
      </c>
      <c r="S1230" t="s">
        <v>7847</v>
      </c>
      <c r="T1230" t="s">
        <v>13232</v>
      </c>
      <c r="U1230" t="s">
        <v>13232</v>
      </c>
      <c r="V1230" t="s">
        <v>13232</v>
      </c>
      <c r="W1230" t="s">
        <v>14427</v>
      </c>
      <c r="X1230">
        <v>18</v>
      </c>
      <c r="Y1230" t="s">
        <v>20950</v>
      </c>
      <c r="Z1230" t="s">
        <v>27361</v>
      </c>
      <c r="AA1230">
        <v>0.60930335099627431</v>
      </c>
      <c r="AB1230" t="str">
        <f>HYPERLINK("Melting_Curves/meltCurve_O43318_MAP3K7.pdf", "Melting_Curves/meltCurve_O43318_MAP3K7.pdf")</f>
        <v>Melting_Curves/meltCurve_O43318_MAP3K7.pdf</v>
      </c>
    </row>
    <row r="1231" spans="1:28" x14ac:dyDescent="0.25">
      <c r="A1231" t="s">
        <v>1235</v>
      </c>
      <c r="B1231">
        <v>0.99930955844802105</v>
      </c>
      <c r="C1231">
        <v>0.76701435345534796</v>
      </c>
      <c r="D1231">
        <v>0.60452788530430002</v>
      </c>
      <c r="E1231">
        <v>0.42622027083397601</v>
      </c>
      <c r="F1231">
        <v>0.26008058006630502</v>
      </c>
      <c r="G1231">
        <v>0.14527527016265701</v>
      </c>
      <c r="H1231">
        <v>8.0619059429079598E-2</v>
      </c>
      <c r="I1231">
        <v>6.5163057942246097E-2</v>
      </c>
      <c r="J1231">
        <v>5.9305018795589901E-2</v>
      </c>
      <c r="K1231">
        <v>4.5794755981837999E-2</v>
      </c>
      <c r="L1231">
        <v>578.26046377226101</v>
      </c>
      <c r="M1231">
        <v>12.0620538840605</v>
      </c>
      <c r="N1231">
        <v>48.130904977627999</v>
      </c>
      <c r="O1231">
        <v>46.679826333757703</v>
      </c>
      <c r="P1231">
        <v>-6.3109509521113896E-2</v>
      </c>
      <c r="Q1231">
        <v>2.3302329922187798E-2</v>
      </c>
      <c r="R1231">
        <v>0.989982017531293</v>
      </c>
      <c r="S1231" t="s">
        <v>7848</v>
      </c>
      <c r="T1231" t="s">
        <v>13232</v>
      </c>
      <c r="U1231" t="s">
        <v>13232</v>
      </c>
      <c r="V1231" t="s">
        <v>13232</v>
      </c>
      <c r="W1231" t="s">
        <v>14428</v>
      </c>
      <c r="X1231">
        <v>7</v>
      </c>
      <c r="Y1231" t="s">
        <v>20951</v>
      </c>
      <c r="Z1231" t="s">
        <v>27362</v>
      </c>
      <c r="AA1231">
        <v>0.31983930627788842</v>
      </c>
      <c r="AB1231" t="str">
        <f>HYPERLINK("Melting_Curves/meltCurve_O43324_EEF1E1.pdf", "Melting_Curves/meltCurve_O43324_EEF1E1.pdf")</f>
        <v>Melting_Curves/meltCurve_O43324_EEF1E1.pdf</v>
      </c>
    </row>
    <row r="1232" spans="1:28" x14ac:dyDescent="0.25">
      <c r="A1232" t="s">
        <v>1236</v>
      </c>
      <c r="B1232">
        <v>0.99930955844802105</v>
      </c>
      <c r="C1232">
        <v>1.5405879953109001</v>
      </c>
      <c r="D1232">
        <v>1.3212717691262801</v>
      </c>
      <c r="E1232">
        <v>0.96332172139303296</v>
      </c>
      <c r="F1232">
        <v>0.93499662277059203</v>
      </c>
      <c r="G1232">
        <v>0.56858130047976396</v>
      </c>
      <c r="H1232">
        <v>0.44094581511755598</v>
      </c>
      <c r="I1232">
        <v>0.50793144950594904</v>
      </c>
      <c r="J1232">
        <v>0.56389622968670405</v>
      </c>
      <c r="K1232">
        <v>0.37691313461036202</v>
      </c>
      <c r="L1232">
        <v>2618.0534184189501</v>
      </c>
      <c r="M1232">
        <v>47.454626901528897</v>
      </c>
      <c r="N1232">
        <v>58.709267957868697</v>
      </c>
      <c r="O1232">
        <v>55.071908182858401</v>
      </c>
      <c r="P1232">
        <v>-0.113872367388044</v>
      </c>
      <c r="Q1232">
        <v>0.47139721858703398</v>
      </c>
      <c r="R1232">
        <v>0.70297479750835901</v>
      </c>
      <c r="S1232" t="s">
        <v>7849</v>
      </c>
      <c r="T1232" t="s">
        <v>13232</v>
      </c>
      <c r="U1232" t="s">
        <v>13232</v>
      </c>
      <c r="V1232" t="s">
        <v>13232</v>
      </c>
      <c r="W1232" t="s">
        <v>14429</v>
      </c>
      <c r="X1232">
        <v>5</v>
      </c>
      <c r="Y1232" t="s">
        <v>20952</v>
      </c>
      <c r="Z1232" t="s">
        <v>27363</v>
      </c>
      <c r="AA1232">
        <v>0.74011468343188136</v>
      </c>
      <c r="AB1232" t="str">
        <f>HYPERLINK("Melting_Curves/meltCurve_O43325_LYRM1.pdf", "Melting_Curves/meltCurve_O43325_LYRM1.pdf")</f>
        <v>Melting_Curves/meltCurve_O43325_LYRM1.pdf</v>
      </c>
    </row>
    <row r="1233" spans="1:28" x14ac:dyDescent="0.25">
      <c r="A1233" t="s">
        <v>1237</v>
      </c>
      <c r="B1233">
        <v>0.99930955844802105</v>
      </c>
      <c r="C1233">
        <v>1.03479921865039</v>
      </c>
      <c r="D1233">
        <v>1.0546580450585601</v>
      </c>
      <c r="E1233">
        <v>1.00195080713422</v>
      </c>
      <c r="F1233">
        <v>0.90910785156353402</v>
      </c>
      <c r="G1233">
        <v>0.79853713273402405</v>
      </c>
      <c r="H1233">
        <v>0.704462613867754</v>
      </c>
      <c r="I1233">
        <v>0.71623469426367803</v>
      </c>
      <c r="J1233">
        <v>0.62468566851910201</v>
      </c>
      <c r="K1233">
        <v>0.45908124101423198</v>
      </c>
      <c r="L1233">
        <v>568.06639974352697</v>
      </c>
      <c r="M1233">
        <v>8.3752318834500894</v>
      </c>
      <c r="N1233">
        <v>69.941646347560607</v>
      </c>
      <c r="O1233">
        <v>64.290664762709795</v>
      </c>
      <c r="P1233">
        <v>-2.89525266082814E-2</v>
      </c>
      <c r="Q1233">
        <v>0.111854655580884</v>
      </c>
      <c r="R1233">
        <v>0.94559441951156997</v>
      </c>
      <c r="S1233" t="s">
        <v>7850</v>
      </c>
      <c r="T1233" t="s">
        <v>13232</v>
      </c>
      <c r="U1233" t="s">
        <v>13232</v>
      </c>
      <c r="V1233" t="s">
        <v>13232</v>
      </c>
      <c r="W1233" t="s">
        <v>14430</v>
      </c>
      <c r="X1233">
        <v>15</v>
      </c>
      <c r="Y1233" t="s">
        <v>20953</v>
      </c>
      <c r="Z1233" t="s">
        <v>27364</v>
      </c>
      <c r="AA1233">
        <v>0.8342531065339166</v>
      </c>
      <c r="AB1233" t="str">
        <f>HYPERLINK("Melting_Curves/meltCurve_O43353_RIPK2.pdf", "Melting_Curves/meltCurve_O43353_RIPK2.pdf")</f>
        <v>Melting_Curves/meltCurve_O43353_RIPK2.pdf</v>
      </c>
    </row>
    <row r="1234" spans="1:28" x14ac:dyDescent="0.25">
      <c r="A1234" t="s">
        <v>1238</v>
      </c>
      <c r="B1234">
        <v>0.99930955844802105</v>
      </c>
      <c r="C1234">
        <v>0.93697091547125999</v>
      </c>
      <c r="D1234">
        <v>0.86340580476324003</v>
      </c>
      <c r="E1234">
        <v>0.82249857290389194</v>
      </c>
      <c r="F1234">
        <v>0.68252198192344404</v>
      </c>
      <c r="G1234">
        <v>0.46073889381011401</v>
      </c>
      <c r="H1234">
        <v>0.35102212285342199</v>
      </c>
      <c r="I1234">
        <v>0.343977248235186</v>
      </c>
      <c r="J1234">
        <v>0.34115806930304499</v>
      </c>
      <c r="K1234">
        <v>0.26032403580019098</v>
      </c>
      <c r="L1234">
        <v>652.05750830031104</v>
      </c>
      <c r="M1234">
        <v>12.1117081293515</v>
      </c>
      <c r="N1234">
        <v>56.811867533969803</v>
      </c>
      <c r="O1234">
        <v>52.432352389784299</v>
      </c>
      <c r="P1234">
        <v>-4.4198417582617902E-2</v>
      </c>
      <c r="Q1234">
        <v>0.23482694951695199</v>
      </c>
      <c r="R1234">
        <v>0.98597907566450305</v>
      </c>
      <c r="S1234" t="s">
        <v>7851</v>
      </c>
      <c r="T1234" t="s">
        <v>13232</v>
      </c>
      <c r="U1234" t="s">
        <v>13232</v>
      </c>
      <c r="V1234" t="s">
        <v>13232</v>
      </c>
      <c r="W1234" t="s">
        <v>14431</v>
      </c>
      <c r="X1234">
        <v>14</v>
      </c>
      <c r="Y1234" t="s">
        <v>20954</v>
      </c>
      <c r="Z1234" t="s">
        <v>27365</v>
      </c>
      <c r="AA1234">
        <v>0.60786135725449908</v>
      </c>
      <c r="AB1234" t="str">
        <f>HYPERLINK("Melting_Curves/meltCurve_O43379_WDR62.pdf", "Melting_Curves/meltCurve_O43379_WDR62.pdf")</f>
        <v>Melting_Curves/meltCurve_O43379_WDR62.pdf</v>
      </c>
    </row>
    <row r="1235" spans="1:28" x14ac:dyDescent="0.25">
      <c r="A1235" t="s">
        <v>1239</v>
      </c>
      <c r="B1235">
        <v>0.99930955844802105</v>
      </c>
      <c r="C1235">
        <v>0.82120846680685999</v>
      </c>
      <c r="D1235">
        <v>0.89853131268305497</v>
      </c>
      <c r="E1235">
        <v>0.70712665755582105</v>
      </c>
      <c r="F1235">
        <v>0.27242015134238001</v>
      </c>
      <c r="G1235">
        <v>0.175776628786318</v>
      </c>
      <c r="H1235">
        <v>0.10358010260070701</v>
      </c>
      <c r="I1235">
        <v>9.9311874113142906E-2</v>
      </c>
      <c r="J1235">
        <v>9.0610080614774699E-2</v>
      </c>
      <c r="K1235">
        <v>5.8903297023319999E-2</v>
      </c>
      <c r="L1235">
        <v>1205.5113443325699</v>
      </c>
      <c r="M1235">
        <v>23.671611088555199</v>
      </c>
      <c r="N1235">
        <v>51.3049633030409</v>
      </c>
      <c r="O1235">
        <v>50.567174839285101</v>
      </c>
      <c r="P1235">
        <v>-0.10765586060836101</v>
      </c>
      <c r="Q1235">
        <v>8.0119486522283401E-2</v>
      </c>
      <c r="R1235">
        <v>0.96983573213523599</v>
      </c>
      <c r="S1235" t="s">
        <v>7852</v>
      </c>
      <c r="T1235" t="s">
        <v>13232</v>
      </c>
      <c r="U1235" t="s">
        <v>13232</v>
      </c>
      <c r="V1235" t="s">
        <v>13232</v>
      </c>
      <c r="W1235" t="s">
        <v>14432</v>
      </c>
      <c r="X1235">
        <v>21</v>
      </c>
      <c r="Y1235" t="s">
        <v>20955</v>
      </c>
      <c r="Z1235" t="s">
        <v>27366</v>
      </c>
      <c r="AA1235">
        <v>0.42439669065094671</v>
      </c>
      <c r="AB1235" t="str">
        <f>HYPERLINK("Melting_Curves/meltCurve_O43390_HNRNPR.pdf", "Melting_Curves/meltCurve_O43390_HNRNPR.pdf")</f>
        <v>Melting_Curves/meltCurve_O43390_HNRNPR.pdf</v>
      </c>
    </row>
    <row r="1236" spans="1:28" x14ac:dyDescent="0.25">
      <c r="A1236" t="s">
        <v>1240</v>
      </c>
      <c r="B1236">
        <v>0.99930955844802105</v>
      </c>
      <c r="C1236">
        <v>0.90462479372174998</v>
      </c>
      <c r="D1236">
        <v>0.94177813588853299</v>
      </c>
      <c r="E1236">
        <v>0.83171305458282097</v>
      </c>
      <c r="F1236">
        <v>0.630906674394905</v>
      </c>
      <c r="G1236">
        <v>0.48941174716152502</v>
      </c>
      <c r="H1236">
        <v>0.395288258278572</v>
      </c>
      <c r="I1236">
        <v>0.39416680740714599</v>
      </c>
      <c r="J1236">
        <v>0.35854420584079999</v>
      </c>
      <c r="K1236">
        <v>0.284810062301175</v>
      </c>
      <c r="L1236">
        <v>723.56491176687405</v>
      </c>
      <c r="M1236">
        <v>13.592419453676399</v>
      </c>
      <c r="N1236">
        <v>56.9864398357875</v>
      </c>
      <c r="O1236">
        <v>52.120389609432301</v>
      </c>
      <c r="P1236">
        <v>-4.5921776567620198E-2</v>
      </c>
      <c r="Q1236">
        <v>0.29575290107253599</v>
      </c>
      <c r="R1236">
        <v>0.98435555377734196</v>
      </c>
      <c r="S1236" t="s">
        <v>7853</v>
      </c>
      <c r="T1236" t="s">
        <v>13232</v>
      </c>
      <c r="U1236" t="s">
        <v>13232</v>
      </c>
      <c r="V1236" t="s">
        <v>13232</v>
      </c>
      <c r="W1236" t="s">
        <v>14433</v>
      </c>
      <c r="X1236">
        <v>26</v>
      </c>
      <c r="Y1236" t="s">
        <v>20956</v>
      </c>
      <c r="Z1236" t="s">
        <v>27367</v>
      </c>
      <c r="AA1236">
        <v>0.62344131616710874</v>
      </c>
      <c r="AB1236" t="str">
        <f>HYPERLINK("Melting_Curves/meltCurve_O43395_PRPF3.pdf", "Melting_Curves/meltCurve_O43395_PRPF3.pdf")</f>
        <v>Melting_Curves/meltCurve_O43395_PRPF3.pdf</v>
      </c>
    </row>
    <row r="1237" spans="1:28" x14ac:dyDescent="0.25">
      <c r="A1237" t="s">
        <v>1241</v>
      </c>
      <c r="B1237">
        <v>0.99930955844802105</v>
      </c>
      <c r="C1237">
        <v>0.93638489985489304</v>
      </c>
      <c r="D1237">
        <v>0.94180153680331502</v>
      </c>
      <c r="E1237">
        <v>0.71353511610916298</v>
      </c>
      <c r="F1237">
        <v>0.31428395458027503</v>
      </c>
      <c r="G1237">
        <v>0.19905305634576201</v>
      </c>
      <c r="H1237">
        <v>0.107391805514286</v>
      </c>
      <c r="I1237">
        <v>8.3757797173459797E-2</v>
      </c>
      <c r="J1237">
        <v>7.1113347589803505E-2</v>
      </c>
      <c r="K1237">
        <v>5.4365349364840297E-2</v>
      </c>
      <c r="L1237">
        <v>1284.97783337756</v>
      </c>
      <c r="M1237">
        <v>25.0602035691428</v>
      </c>
      <c r="N1237">
        <v>51.628656021917301</v>
      </c>
      <c r="O1237">
        <v>50.9524702206092</v>
      </c>
      <c r="P1237">
        <v>-0.113278647014715</v>
      </c>
      <c r="Q1237">
        <v>7.8738528471417699E-2</v>
      </c>
      <c r="R1237">
        <v>0.99320182230739196</v>
      </c>
      <c r="S1237" t="s">
        <v>7854</v>
      </c>
      <c r="T1237" t="s">
        <v>13232</v>
      </c>
      <c r="U1237" t="s">
        <v>13232</v>
      </c>
      <c r="V1237" t="s">
        <v>13232</v>
      </c>
      <c r="W1237" t="s">
        <v>14434</v>
      </c>
      <c r="X1237">
        <v>15</v>
      </c>
      <c r="Y1237" t="s">
        <v>20957</v>
      </c>
      <c r="Z1237" t="s">
        <v>27368</v>
      </c>
      <c r="AA1237">
        <v>0.43330713468870968</v>
      </c>
      <c r="AB1237" t="str">
        <f>HYPERLINK("Melting_Curves/meltCurve_O43396_TXNL1.pdf", "Melting_Curves/meltCurve_O43396_TXNL1.pdf")</f>
        <v>Melting_Curves/meltCurve_O43396_TXNL1.pdf</v>
      </c>
    </row>
    <row r="1238" spans="1:28" x14ac:dyDescent="0.25">
      <c r="A1238" t="s">
        <v>1242</v>
      </c>
      <c r="B1238">
        <v>0.99930955844802105</v>
      </c>
      <c r="C1238">
        <v>1.09018298506082</v>
      </c>
      <c r="D1238">
        <v>1.1216052482305601</v>
      </c>
      <c r="E1238">
        <v>1.03772043212552</v>
      </c>
      <c r="F1238">
        <v>0.93932478842479095</v>
      </c>
      <c r="G1238">
        <v>0.87537990497638696</v>
      </c>
      <c r="H1238">
        <v>0.93273795092827005</v>
      </c>
      <c r="I1238">
        <v>1.0120345173336101</v>
      </c>
      <c r="J1238">
        <v>1.12825092962419</v>
      </c>
      <c r="K1238">
        <v>0.86691352491617202</v>
      </c>
      <c r="L1238">
        <v>14997.6209560931</v>
      </c>
      <c r="M1238">
        <v>212.37810325537899</v>
      </c>
      <c r="Q1238">
        <v>3.4923006915846901E-4</v>
      </c>
      <c r="R1238">
        <v>0.21494648715939399</v>
      </c>
      <c r="S1238" t="s">
        <v>7855</v>
      </c>
      <c r="T1238" t="s">
        <v>13232</v>
      </c>
      <c r="U1238" t="s">
        <v>13232</v>
      </c>
      <c r="V1238" t="s">
        <v>13232</v>
      </c>
      <c r="W1238" t="s">
        <v>14435</v>
      </c>
      <c r="X1238">
        <v>18</v>
      </c>
      <c r="Y1238" t="s">
        <v>20958</v>
      </c>
      <c r="Z1238" t="s">
        <v>27369</v>
      </c>
      <c r="AA1238">
        <v>0.99845956564405391</v>
      </c>
      <c r="AB1238" t="str">
        <f>HYPERLINK("Melting_Curves/meltCurve_O43399_TPD52L2.pdf", "Melting_Curves/meltCurve_O43399_TPD52L2.pdf")</f>
        <v>Melting_Curves/meltCurve_O43399_TPD52L2.pdf</v>
      </c>
    </row>
    <row r="1239" spans="1:28" x14ac:dyDescent="0.25">
      <c r="A1239" t="s">
        <v>1243</v>
      </c>
      <c r="B1239">
        <v>0.99930955844802105</v>
      </c>
      <c r="C1239">
        <v>0.87010487092077704</v>
      </c>
      <c r="D1239">
        <v>0.58073845342117802</v>
      </c>
      <c r="E1239">
        <v>0.36499093461683801</v>
      </c>
      <c r="F1239">
        <v>0.242188143100802</v>
      </c>
      <c r="G1239">
        <v>0.18903546785653699</v>
      </c>
      <c r="H1239">
        <v>0.133076096786369</v>
      </c>
      <c r="I1239">
        <v>0.114253289658501</v>
      </c>
      <c r="J1239">
        <v>0.10592769494389701</v>
      </c>
      <c r="K1239">
        <v>7.13195945116364E-2</v>
      </c>
      <c r="L1239">
        <v>754.51880451406203</v>
      </c>
      <c r="M1239">
        <v>16.044498194439299</v>
      </c>
      <c r="N1239">
        <v>47.719955313954998</v>
      </c>
      <c r="O1239">
        <v>46.314309202031403</v>
      </c>
      <c r="P1239">
        <v>-7.7608648508557906E-2</v>
      </c>
      <c r="Q1239">
        <v>0.103964279953018</v>
      </c>
      <c r="R1239">
        <v>0.99143892989558702</v>
      </c>
      <c r="S1239" t="s">
        <v>7856</v>
      </c>
      <c r="T1239" t="s">
        <v>13232</v>
      </c>
      <c r="U1239" t="s">
        <v>13232</v>
      </c>
      <c r="V1239" t="s">
        <v>13232</v>
      </c>
      <c r="W1239" t="s">
        <v>14436</v>
      </c>
      <c r="X1239">
        <v>6</v>
      </c>
      <c r="Y1239" t="s">
        <v>20959</v>
      </c>
      <c r="Z1239" t="s">
        <v>27370</v>
      </c>
      <c r="AA1239">
        <v>0.33496014041710309</v>
      </c>
      <c r="AB1239" t="str">
        <f>HYPERLINK("Melting_Curves/meltCurve_O43402_EMC8.pdf", "Melting_Curves/meltCurve_O43402_EMC8.pdf")</f>
        <v>Melting_Curves/meltCurve_O43402_EMC8.pdf</v>
      </c>
    </row>
    <row r="1240" spans="1:28" x14ac:dyDescent="0.25">
      <c r="A1240" t="s">
        <v>1244</v>
      </c>
      <c r="B1240">
        <v>0.99930955844802105</v>
      </c>
      <c r="C1240">
        <v>1.0986809904880199</v>
      </c>
      <c r="D1240">
        <v>1.1315834979094499</v>
      </c>
      <c r="E1240">
        <v>0.88020138460028696</v>
      </c>
      <c r="F1240">
        <v>0.30886856941513702</v>
      </c>
      <c r="G1240">
        <v>0.182130123572493</v>
      </c>
      <c r="H1240">
        <v>8.2510725950972696E-2</v>
      </c>
      <c r="I1240">
        <v>6.2929196789770894E-2</v>
      </c>
      <c r="J1240">
        <v>5.2135190888354901E-2</v>
      </c>
      <c r="K1240">
        <v>3.9149371876197103E-2</v>
      </c>
      <c r="L1240">
        <v>2561.0405517929998</v>
      </c>
      <c r="M1240">
        <v>49.370027092070302</v>
      </c>
      <c r="N1240">
        <v>52.058255227790397</v>
      </c>
      <c r="O1240">
        <v>51.7894961520403</v>
      </c>
      <c r="P1240">
        <v>-0.219254477437821</v>
      </c>
      <c r="Q1240">
        <v>8.0002936190712207E-2</v>
      </c>
      <c r="R1240">
        <v>0.98124168079895602</v>
      </c>
      <c r="S1240" t="s">
        <v>7857</v>
      </c>
      <c r="T1240" t="s">
        <v>13232</v>
      </c>
      <c r="U1240" t="s">
        <v>13232</v>
      </c>
      <c r="V1240" t="s">
        <v>13232</v>
      </c>
      <c r="W1240" t="s">
        <v>14437</v>
      </c>
      <c r="X1240">
        <v>8</v>
      </c>
      <c r="Y1240" t="s">
        <v>20960</v>
      </c>
      <c r="Z1240" t="s">
        <v>27371</v>
      </c>
      <c r="AA1240">
        <v>0.44630940541035952</v>
      </c>
      <c r="AB1240" t="str">
        <f>HYPERLINK("Melting_Curves/meltCurve_O43414_3_ERI3.pdf", "Melting_Curves/meltCurve_O43414_3_ERI3.pdf")</f>
        <v>Melting_Curves/meltCurve_O43414_3_ERI3.pdf</v>
      </c>
    </row>
    <row r="1241" spans="1:28" x14ac:dyDescent="0.25">
      <c r="A1241" t="s">
        <v>1245</v>
      </c>
      <c r="B1241">
        <v>0.99930955844802105</v>
      </c>
      <c r="C1241">
        <v>0.87971784920046903</v>
      </c>
      <c r="D1241">
        <v>0.76358689448956096</v>
      </c>
      <c r="E1241">
        <v>0.49165463759358502</v>
      </c>
      <c r="F1241">
        <v>0.33172036730117999</v>
      </c>
      <c r="G1241">
        <v>0.236091950362461</v>
      </c>
      <c r="H1241">
        <v>0.170785909598795</v>
      </c>
      <c r="I1241">
        <v>0.15822836323678199</v>
      </c>
      <c r="J1241">
        <v>0.15767655406634201</v>
      </c>
      <c r="K1241">
        <v>0.12236478488163501</v>
      </c>
      <c r="L1241">
        <v>724.75668107322599</v>
      </c>
      <c r="M1241">
        <v>14.825170245830201</v>
      </c>
      <c r="N1241">
        <v>49.900093638734297</v>
      </c>
      <c r="O1241">
        <v>48.023281989308202</v>
      </c>
      <c r="P1241">
        <v>-6.7153675716461095E-2</v>
      </c>
      <c r="Q1241">
        <v>0.12996680456118001</v>
      </c>
      <c r="R1241">
        <v>0.99778851846467398</v>
      </c>
      <c r="S1241" t="s">
        <v>7858</v>
      </c>
      <c r="T1241" t="s">
        <v>13232</v>
      </c>
      <c r="U1241" t="s">
        <v>13232</v>
      </c>
      <c r="V1241" t="s">
        <v>13232</v>
      </c>
      <c r="W1241" t="s">
        <v>14438</v>
      </c>
      <c r="X1241">
        <v>13</v>
      </c>
      <c r="Y1241" t="s">
        <v>20961</v>
      </c>
      <c r="Z1241" t="s">
        <v>27372</v>
      </c>
      <c r="AA1241">
        <v>0.40974411992943932</v>
      </c>
      <c r="AB1241" t="str">
        <f>HYPERLINK("Melting_Curves/meltCurve_O43422_PRKRIR.pdf", "Melting_Curves/meltCurve_O43422_PRKRIR.pdf")</f>
        <v>Melting_Curves/meltCurve_O43422_PRKRIR.pdf</v>
      </c>
    </row>
    <row r="1242" spans="1:28" x14ac:dyDescent="0.25">
      <c r="A1242" t="s">
        <v>1246</v>
      </c>
      <c r="B1242">
        <v>0.99930955844802105</v>
      </c>
      <c r="C1242">
        <v>0.70108362370941102</v>
      </c>
      <c r="D1242">
        <v>0.59258977433336402</v>
      </c>
      <c r="E1242">
        <v>0.39290967280821698</v>
      </c>
      <c r="F1242">
        <v>0.13148321686980899</v>
      </c>
      <c r="G1242">
        <v>8.8005829548787301E-2</v>
      </c>
      <c r="H1242">
        <v>3.1568357814451699E-2</v>
      </c>
      <c r="I1242">
        <v>3.0822925945124199E-2</v>
      </c>
      <c r="J1242">
        <v>1.8467093743383699E-2</v>
      </c>
      <c r="K1242">
        <v>1.5701589994663E-2</v>
      </c>
      <c r="L1242">
        <v>627.05808354678697</v>
      </c>
      <c r="M1242">
        <v>13.2927256341508</v>
      </c>
      <c r="N1242">
        <v>47.1730294572587</v>
      </c>
      <c r="O1242">
        <v>46.143754924531798</v>
      </c>
      <c r="P1242">
        <v>-7.2029676730662795E-2</v>
      </c>
      <c r="Q1242">
        <v>0</v>
      </c>
      <c r="R1242">
        <v>0.97888670073413198</v>
      </c>
      <c r="S1242" t="s">
        <v>7859</v>
      </c>
      <c r="T1242" t="s">
        <v>13232</v>
      </c>
      <c r="U1242" t="s">
        <v>13232</v>
      </c>
      <c r="V1242" t="s">
        <v>13232</v>
      </c>
      <c r="W1242" t="s">
        <v>14439</v>
      </c>
      <c r="X1242">
        <v>3</v>
      </c>
      <c r="Y1242" t="s">
        <v>20962</v>
      </c>
      <c r="Z1242" t="s">
        <v>27373</v>
      </c>
      <c r="AA1242">
        <v>0.27330129787844509</v>
      </c>
      <c r="AB1242" t="str">
        <f>HYPERLINK("Melting_Curves/meltCurve_O43427_2_FIBP.pdf", "Melting_Curves/meltCurve_O43427_2_FIBP.pdf")</f>
        <v>Melting_Curves/meltCurve_O43427_2_FIBP.pdf</v>
      </c>
    </row>
    <row r="1243" spans="1:28" x14ac:dyDescent="0.25">
      <c r="A1243" t="s">
        <v>1247</v>
      </c>
      <c r="B1243">
        <v>0.99930955844802105</v>
      </c>
      <c r="C1243">
        <v>1.11927540395299</v>
      </c>
      <c r="D1243">
        <v>0.76817036602925903</v>
      </c>
      <c r="E1243">
        <v>0.55410620237036301</v>
      </c>
      <c r="F1243">
        <v>0.41093506988218098</v>
      </c>
      <c r="G1243">
        <v>0.32647655171194201</v>
      </c>
      <c r="H1243">
        <v>0.28970830768163902</v>
      </c>
      <c r="I1243">
        <v>0.28716848162055503</v>
      </c>
      <c r="J1243">
        <v>0.286585375840615</v>
      </c>
      <c r="K1243">
        <v>0.22827369679345899</v>
      </c>
      <c r="L1243">
        <v>1018.24985502116</v>
      </c>
      <c r="M1243">
        <v>20.860006014899401</v>
      </c>
      <c r="N1243">
        <v>50.754488880852598</v>
      </c>
      <c r="O1243">
        <v>48.371537792148999</v>
      </c>
      <c r="P1243">
        <v>-7.8183923040985301E-2</v>
      </c>
      <c r="Q1243">
        <v>0.27482813514804999</v>
      </c>
      <c r="R1243">
        <v>0.96459995383889297</v>
      </c>
      <c r="S1243" t="s">
        <v>7860</v>
      </c>
      <c r="T1243" t="s">
        <v>13232</v>
      </c>
      <c r="U1243" t="s">
        <v>13232</v>
      </c>
      <c r="V1243" t="s">
        <v>13232</v>
      </c>
      <c r="W1243" t="s">
        <v>13318</v>
      </c>
      <c r="X1243">
        <v>52</v>
      </c>
      <c r="Y1243" t="s">
        <v>19855</v>
      </c>
      <c r="Z1243" t="s">
        <v>27374</v>
      </c>
      <c r="AA1243">
        <v>0.49720566285813622</v>
      </c>
      <c r="AB1243" t="str">
        <f>HYPERLINK("Melting_Curves/meltCurve_O43432_EIF4G3.pdf", "Melting_Curves/meltCurve_O43432_EIF4G3.pdf")</f>
        <v>Melting_Curves/meltCurve_O43432_EIF4G3.pdf</v>
      </c>
    </row>
    <row r="1244" spans="1:28" x14ac:dyDescent="0.25">
      <c r="A1244" t="s">
        <v>1248</v>
      </c>
      <c r="B1244">
        <v>0.99930955844802105</v>
      </c>
      <c r="C1244">
        <v>1.0233236880441201</v>
      </c>
      <c r="D1244">
        <v>0.96977269087595297</v>
      </c>
      <c r="E1244">
        <v>0.81824287378603799</v>
      </c>
      <c r="F1244">
        <v>0.49056065799940501</v>
      </c>
      <c r="G1244">
        <v>0.36508689098413699</v>
      </c>
      <c r="H1244">
        <v>0.30179196152502102</v>
      </c>
      <c r="I1244">
        <v>0.27868222239213403</v>
      </c>
      <c r="J1244">
        <v>0.244647904533348</v>
      </c>
      <c r="K1244">
        <v>0.19776058881790601</v>
      </c>
      <c r="L1244">
        <v>1303.2215536500701</v>
      </c>
      <c r="M1244">
        <v>25.110936541108401</v>
      </c>
      <c r="N1244">
        <v>53.400536460251502</v>
      </c>
      <c r="O1244">
        <v>51.572769498851002</v>
      </c>
      <c r="P1244">
        <v>-9.0898167818295905E-2</v>
      </c>
      <c r="Q1244">
        <v>0.25326411845282498</v>
      </c>
      <c r="R1244">
        <v>0.99114769688655002</v>
      </c>
      <c r="S1244" t="s">
        <v>7861</v>
      </c>
      <c r="T1244" t="s">
        <v>13232</v>
      </c>
      <c r="U1244" t="s">
        <v>13232</v>
      </c>
      <c r="V1244" t="s">
        <v>13232</v>
      </c>
      <c r="W1244" t="s">
        <v>14440</v>
      </c>
      <c r="X1244">
        <v>5</v>
      </c>
      <c r="Y1244" t="s">
        <v>20963</v>
      </c>
      <c r="Z1244" t="s">
        <v>27375</v>
      </c>
      <c r="AA1244">
        <v>0.55618581648446075</v>
      </c>
      <c r="AB1244" t="str">
        <f>HYPERLINK("Melting_Curves/meltCurve_O43435_3_TBX1.pdf", "Melting_Curves/meltCurve_O43435_3_TBX1.pdf")</f>
        <v>Melting_Curves/meltCurve_O43435_3_TBX1.pdf</v>
      </c>
    </row>
    <row r="1245" spans="1:28" x14ac:dyDescent="0.25">
      <c r="A1245" t="s">
        <v>1249</v>
      </c>
      <c r="B1245">
        <v>0.99930955844802105</v>
      </c>
      <c r="C1245">
        <v>1.0548418378761</v>
      </c>
      <c r="D1245">
        <v>1.07242161178262</v>
      </c>
      <c r="E1245">
        <v>0.83208562736750002</v>
      </c>
      <c r="F1245">
        <v>0.28923742217709603</v>
      </c>
      <c r="G1245">
        <v>0.14690306655479199</v>
      </c>
      <c r="H1245">
        <v>8.1023432629808406E-2</v>
      </c>
      <c r="I1245">
        <v>6.6432381338377602E-2</v>
      </c>
      <c r="J1245">
        <v>5.9026861455242101E-2</v>
      </c>
      <c r="K1245">
        <v>4.2573311540991997E-2</v>
      </c>
      <c r="L1245">
        <v>2343.9583165992199</v>
      </c>
      <c r="M1245">
        <v>45.383166972213999</v>
      </c>
      <c r="N1245">
        <v>51.8345179978215</v>
      </c>
      <c r="O1245">
        <v>51.548206435513002</v>
      </c>
      <c r="P1245">
        <v>-0.20353532998363</v>
      </c>
      <c r="Q1245">
        <v>7.5263491448662401E-2</v>
      </c>
      <c r="R1245">
        <v>0.99284551469789395</v>
      </c>
      <c r="S1245" t="s">
        <v>7862</v>
      </c>
      <c r="T1245" t="s">
        <v>13232</v>
      </c>
      <c r="U1245" t="s">
        <v>13232</v>
      </c>
      <c r="V1245" t="s">
        <v>13232</v>
      </c>
      <c r="W1245" t="s">
        <v>14441</v>
      </c>
      <c r="X1245">
        <v>14</v>
      </c>
      <c r="Y1245" t="s">
        <v>20964</v>
      </c>
      <c r="Z1245" t="s">
        <v>27376</v>
      </c>
      <c r="AA1245">
        <v>0.43687349527046282</v>
      </c>
      <c r="AB1245" t="str">
        <f>HYPERLINK("Melting_Curves/meltCurve_O43447_PPIH.pdf", "Melting_Curves/meltCurve_O43447_PPIH.pdf")</f>
        <v>Melting_Curves/meltCurve_O43447_PPIH.pdf</v>
      </c>
    </row>
    <row r="1246" spans="1:28" x14ac:dyDescent="0.25">
      <c r="A1246" t="s">
        <v>1250</v>
      </c>
      <c r="B1246">
        <v>0.99930955844802105</v>
      </c>
      <c r="C1246">
        <v>0.90651406743698804</v>
      </c>
      <c r="D1246">
        <v>0.89780539213635602</v>
      </c>
      <c r="E1246">
        <v>0.89647608553249103</v>
      </c>
      <c r="F1246">
        <v>0.68522252843834597</v>
      </c>
      <c r="G1246">
        <v>0.51712483608469195</v>
      </c>
      <c r="H1246">
        <v>0.37870885226520901</v>
      </c>
      <c r="I1246">
        <v>0.307313579075289</v>
      </c>
      <c r="J1246">
        <v>0.24637956972074801</v>
      </c>
      <c r="K1246">
        <v>0.139921473442015</v>
      </c>
      <c r="L1246">
        <v>547.143484750374</v>
      </c>
      <c r="M1246">
        <v>9.4352478225234293</v>
      </c>
      <c r="N1246">
        <v>57.989307205407997</v>
      </c>
      <c r="O1246">
        <v>55.5634522749898</v>
      </c>
      <c r="P1246">
        <v>-4.2478354303021597E-2</v>
      </c>
      <c r="Q1246">
        <v>0</v>
      </c>
      <c r="R1246">
        <v>0.98583200538882498</v>
      </c>
      <c r="S1246" t="s">
        <v>7863</v>
      </c>
      <c r="T1246" t="s">
        <v>13232</v>
      </c>
      <c r="U1246" t="s">
        <v>13232</v>
      </c>
      <c r="V1246" t="s">
        <v>13232</v>
      </c>
      <c r="W1246" t="s">
        <v>14442</v>
      </c>
      <c r="X1246">
        <v>10</v>
      </c>
      <c r="Y1246" t="s">
        <v>20965</v>
      </c>
      <c r="Z1246" t="s">
        <v>27377</v>
      </c>
      <c r="AA1246">
        <v>0.60828653136423561</v>
      </c>
      <c r="AB1246" t="str">
        <f>HYPERLINK("Melting_Curves/meltCurve_O43464_HTRA2.pdf", "Melting_Curves/meltCurve_O43464_HTRA2.pdf")</f>
        <v>Melting_Curves/meltCurve_O43464_HTRA2.pdf</v>
      </c>
    </row>
    <row r="1247" spans="1:28" x14ac:dyDescent="0.25">
      <c r="A1247" t="s">
        <v>1251</v>
      </c>
      <c r="B1247">
        <v>0.99930955844802105</v>
      </c>
      <c r="C1247">
        <v>0.94907152596654198</v>
      </c>
      <c r="D1247">
        <v>0.96534083403536097</v>
      </c>
      <c r="E1247">
        <v>0.80321942029956594</v>
      </c>
      <c r="F1247">
        <v>0.476578405659417</v>
      </c>
      <c r="G1247">
        <v>0.20747411059925999</v>
      </c>
      <c r="H1247">
        <v>9.4573095572144994E-2</v>
      </c>
      <c r="I1247">
        <v>7.0297400239831095E-2</v>
      </c>
      <c r="J1247">
        <v>7.1922403440671301E-2</v>
      </c>
      <c r="K1247">
        <v>4.0788418326540898E-2</v>
      </c>
      <c r="L1247">
        <v>1208.2923741316299</v>
      </c>
      <c r="M1247">
        <v>22.937556718424499</v>
      </c>
      <c r="N1247">
        <v>52.941513824058497</v>
      </c>
      <c r="O1247">
        <v>52.282002408927902</v>
      </c>
      <c r="P1247">
        <v>-0.103755668804381</v>
      </c>
      <c r="Q1247">
        <v>5.4049366427737798E-2</v>
      </c>
      <c r="R1247">
        <v>0.99793589754371104</v>
      </c>
      <c r="S1247" t="s">
        <v>7864</v>
      </c>
      <c r="T1247" t="s">
        <v>13232</v>
      </c>
      <c r="U1247" t="s">
        <v>13232</v>
      </c>
      <c r="V1247" t="s">
        <v>13232</v>
      </c>
      <c r="W1247" t="s">
        <v>14443</v>
      </c>
      <c r="X1247">
        <v>3</v>
      </c>
      <c r="Y1247" t="s">
        <v>20966</v>
      </c>
      <c r="Z1247" t="s">
        <v>27378</v>
      </c>
      <c r="AA1247">
        <v>0.46399594272949141</v>
      </c>
      <c r="AB1247" t="str">
        <f>HYPERLINK("Melting_Curves/meltCurve_O43482_OIP5.pdf", "Melting_Curves/meltCurve_O43482_OIP5.pdf")</f>
        <v>Melting_Curves/meltCurve_O43482_OIP5.pdf</v>
      </c>
    </row>
    <row r="1248" spans="1:28" x14ac:dyDescent="0.25">
      <c r="A1248" t="s">
        <v>1252</v>
      </c>
      <c r="B1248">
        <v>0.99930955844802105</v>
      </c>
      <c r="C1248">
        <v>1.05440370764539</v>
      </c>
      <c r="D1248">
        <v>1.0025427960809401</v>
      </c>
      <c r="E1248">
        <v>0.88138845427890999</v>
      </c>
      <c r="F1248">
        <v>0.28791967591537698</v>
      </c>
      <c r="G1248">
        <v>0.13425185209000001</v>
      </c>
      <c r="H1248">
        <v>7.8919935861249402E-2</v>
      </c>
      <c r="I1248">
        <v>7.0080738474410403E-2</v>
      </c>
      <c r="J1248">
        <v>6.0856192550711501E-2</v>
      </c>
      <c r="K1248">
        <v>4.62296253936684E-2</v>
      </c>
      <c r="L1248">
        <v>2698.4524124977502</v>
      </c>
      <c r="M1248">
        <v>52.093358261708701</v>
      </c>
      <c r="N1248">
        <v>51.963944443122401</v>
      </c>
      <c r="O1248">
        <v>51.724162362749603</v>
      </c>
      <c r="P1248">
        <v>-0.23273867334454701</v>
      </c>
      <c r="Q1248">
        <v>7.5644060585742107E-2</v>
      </c>
      <c r="R1248">
        <v>0.99642717703556005</v>
      </c>
      <c r="S1248" t="s">
        <v>7865</v>
      </c>
      <c r="T1248" t="s">
        <v>13232</v>
      </c>
      <c r="U1248" t="s">
        <v>13232</v>
      </c>
      <c r="V1248" t="s">
        <v>13232</v>
      </c>
      <c r="W1248" t="s">
        <v>14444</v>
      </c>
      <c r="X1248">
        <v>17</v>
      </c>
      <c r="Y1248" t="s">
        <v>20967</v>
      </c>
      <c r="Z1248" t="s">
        <v>27379</v>
      </c>
      <c r="AA1248">
        <v>0.44117861507400102</v>
      </c>
      <c r="AB1248" t="str">
        <f>HYPERLINK("Melting_Curves/meltCurve_O43488_AKR7A2.pdf", "Melting_Curves/meltCurve_O43488_AKR7A2.pdf")</f>
        <v>Melting_Curves/meltCurve_O43488_AKR7A2.pdf</v>
      </c>
    </row>
    <row r="1249" spans="1:28" x14ac:dyDescent="0.25">
      <c r="A1249" t="s">
        <v>1253</v>
      </c>
      <c r="B1249">
        <v>0.99930955844802105</v>
      </c>
      <c r="C1249">
        <v>1.0365569293262999</v>
      </c>
      <c r="D1249">
        <v>1.04422641841042</v>
      </c>
      <c r="E1249">
        <v>0.98517734533810997</v>
      </c>
      <c r="F1249">
        <v>0.62428157899494197</v>
      </c>
      <c r="G1249">
        <v>0.53244127532915198</v>
      </c>
      <c r="H1249">
        <v>0.533613051040843</v>
      </c>
      <c r="I1249">
        <v>0.58257457936187995</v>
      </c>
      <c r="J1249">
        <v>0.62520884127373699</v>
      </c>
      <c r="K1249">
        <v>0.47106965989859101</v>
      </c>
      <c r="L1249">
        <v>4434.9960769239897</v>
      </c>
      <c r="M1249">
        <v>85.288671198226098</v>
      </c>
      <c r="O1249">
        <v>51.9712580788023</v>
      </c>
      <c r="P1249">
        <v>-0.18504926195516899</v>
      </c>
      <c r="Q1249">
        <v>0.54895571260381704</v>
      </c>
      <c r="R1249">
        <v>0.96746901802866203</v>
      </c>
      <c r="S1249" t="s">
        <v>7866</v>
      </c>
      <c r="T1249" t="s">
        <v>13232</v>
      </c>
      <c r="U1249" t="s">
        <v>13232</v>
      </c>
      <c r="V1249" t="s">
        <v>13232</v>
      </c>
      <c r="W1249" t="s">
        <v>13689</v>
      </c>
      <c r="X1249">
        <v>63</v>
      </c>
      <c r="Y1249" t="s">
        <v>20228</v>
      </c>
      <c r="Z1249" t="s">
        <v>27380</v>
      </c>
      <c r="AA1249">
        <v>0.72972507512268325</v>
      </c>
      <c r="AB1249" t="str">
        <f>HYPERLINK("Melting_Curves/meltCurve_O43491_EPB41L2.pdf", "Melting_Curves/meltCurve_O43491_EPB41L2.pdf")</f>
        <v>Melting_Curves/meltCurve_O43491_EPB41L2.pdf</v>
      </c>
    </row>
    <row r="1250" spans="1:28" x14ac:dyDescent="0.25">
      <c r="A1250" t="s">
        <v>1254</v>
      </c>
      <c r="B1250">
        <v>0.99930955844802105</v>
      </c>
      <c r="C1250">
        <v>1.0217351484705799</v>
      </c>
      <c r="D1250">
        <v>1.03056217685775</v>
      </c>
      <c r="E1250">
        <v>0.99555633915453801</v>
      </c>
      <c r="F1250">
        <v>0.90758450053030404</v>
      </c>
      <c r="G1250">
        <v>0.73047471228764804</v>
      </c>
      <c r="H1250">
        <v>0.63445041654261303</v>
      </c>
      <c r="I1250">
        <v>0.61834675616633605</v>
      </c>
      <c r="J1250">
        <v>0.57617315308917305</v>
      </c>
      <c r="K1250">
        <v>0.44612921227237701</v>
      </c>
      <c r="L1250">
        <v>905.90394866291399</v>
      </c>
      <c r="M1250">
        <v>15.6262199339993</v>
      </c>
      <c r="O1250">
        <v>57.048779418345198</v>
      </c>
      <c r="P1250">
        <v>-3.5951393432516701E-2</v>
      </c>
      <c r="Q1250">
        <v>0.47503449164577699</v>
      </c>
      <c r="R1250">
        <v>0.96964914787494505</v>
      </c>
      <c r="S1250" t="s">
        <v>7867</v>
      </c>
      <c r="T1250" t="s">
        <v>13232</v>
      </c>
      <c r="U1250" t="s">
        <v>13232</v>
      </c>
      <c r="V1250" t="s">
        <v>13232</v>
      </c>
      <c r="W1250" t="s">
        <v>14445</v>
      </c>
      <c r="X1250">
        <v>4</v>
      </c>
      <c r="Y1250" t="s">
        <v>20968</v>
      </c>
      <c r="Z1250" t="s">
        <v>27381</v>
      </c>
      <c r="AA1250">
        <v>0.79656166952283136</v>
      </c>
      <c r="AB1250" t="str">
        <f>HYPERLINK("Melting_Curves/meltCurve_O43504_LAMTOR5.pdf", "Melting_Curves/meltCurve_O43504_LAMTOR5.pdf")</f>
        <v>Melting_Curves/meltCurve_O43504_LAMTOR5.pdf</v>
      </c>
    </row>
    <row r="1251" spans="1:28" x14ac:dyDescent="0.25">
      <c r="A1251" t="s">
        <v>1255</v>
      </c>
      <c r="B1251">
        <v>0.99930955844802105</v>
      </c>
      <c r="C1251">
        <v>0.85059098400506505</v>
      </c>
      <c r="D1251">
        <v>0.91798929324688405</v>
      </c>
      <c r="E1251">
        <v>0.72270821617303205</v>
      </c>
      <c r="F1251">
        <v>0.55753511966665903</v>
      </c>
      <c r="G1251">
        <v>0.30332362801273</v>
      </c>
      <c r="H1251">
        <v>0.125705053230693</v>
      </c>
      <c r="I1251">
        <v>0.182579247862865</v>
      </c>
      <c r="J1251">
        <v>9.7962666360015299E-2</v>
      </c>
      <c r="K1251">
        <v>7.0856297480881597E-2</v>
      </c>
      <c r="L1251">
        <v>704.19696675021396</v>
      </c>
      <c r="M1251">
        <v>13.222935344436801</v>
      </c>
      <c r="N1251">
        <v>53.543819086238301</v>
      </c>
      <c r="O1251">
        <v>52.0818811791654</v>
      </c>
      <c r="P1251">
        <v>-6.1302633521567902E-2</v>
      </c>
      <c r="Q1251">
        <v>3.4335854571983897E-2</v>
      </c>
      <c r="R1251">
        <v>0.98309450336000603</v>
      </c>
      <c r="S1251" t="s">
        <v>7868</v>
      </c>
      <c r="T1251" t="s">
        <v>13232</v>
      </c>
      <c r="U1251" t="s">
        <v>13232</v>
      </c>
      <c r="V1251" t="s">
        <v>13232</v>
      </c>
      <c r="W1251" t="s">
        <v>14446</v>
      </c>
      <c r="X1251">
        <v>4</v>
      </c>
      <c r="Y1251" t="s">
        <v>20969</v>
      </c>
      <c r="Z1251" t="s">
        <v>27382</v>
      </c>
      <c r="AA1251">
        <v>0.48515544849377917</v>
      </c>
      <c r="AB1251" t="str">
        <f>HYPERLINK("Melting_Curves/meltCurve_O43513_MED7.pdf", "Melting_Curves/meltCurve_O43513_MED7.pdf")</f>
        <v>Melting_Curves/meltCurve_O43513_MED7.pdf</v>
      </c>
    </row>
    <row r="1252" spans="1:28" x14ac:dyDescent="0.25">
      <c r="A1252" t="s">
        <v>1256</v>
      </c>
      <c r="B1252">
        <v>0.99930955844802105</v>
      </c>
      <c r="C1252">
        <v>1.0643980712939001</v>
      </c>
      <c r="D1252">
        <v>1.06861607837587</v>
      </c>
      <c r="E1252">
        <v>1.0165410867636999</v>
      </c>
      <c r="F1252">
        <v>0.92206239505089804</v>
      </c>
      <c r="G1252">
        <v>0.85854055788124295</v>
      </c>
      <c r="H1252">
        <v>0.86265255001686503</v>
      </c>
      <c r="I1252">
        <v>0.92021149071729502</v>
      </c>
      <c r="J1252">
        <v>0.96790925434806996</v>
      </c>
      <c r="K1252">
        <v>0.75142538188418195</v>
      </c>
      <c r="L1252">
        <v>13226.3834732575</v>
      </c>
      <c r="M1252">
        <v>250</v>
      </c>
      <c r="O1252">
        <v>52.902153368499597</v>
      </c>
      <c r="P1252">
        <v>-0.15104792568216999</v>
      </c>
      <c r="Q1252">
        <v>0.87214784391870204</v>
      </c>
      <c r="R1252">
        <v>0.61018599393806605</v>
      </c>
      <c r="S1252" t="s">
        <v>7869</v>
      </c>
      <c r="T1252" t="s">
        <v>13232</v>
      </c>
      <c r="U1252" t="s">
        <v>13232</v>
      </c>
      <c r="V1252" t="s">
        <v>13232</v>
      </c>
      <c r="W1252" t="s">
        <v>14447</v>
      </c>
      <c r="X1252">
        <v>17</v>
      </c>
      <c r="Y1252" t="s">
        <v>20970</v>
      </c>
      <c r="Z1252" t="s">
        <v>27383</v>
      </c>
      <c r="AA1252">
        <v>0.92715972590551066</v>
      </c>
      <c r="AB1252" t="str">
        <f>HYPERLINK("Melting_Curves/meltCurve_O43516_WIPF1.pdf", "Melting_Curves/meltCurve_O43516_WIPF1.pdf")</f>
        <v>Melting_Curves/meltCurve_O43516_WIPF1.pdf</v>
      </c>
    </row>
    <row r="1253" spans="1:28" x14ac:dyDescent="0.25">
      <c r="A1253" t="s">
        <v>1257</v>
      </c>
      <c r="B1253">
        <v>0.99930955844802105</v>
      </c>
      <c r="C1253">
        <v>2.5407714085888098</v>
      </c>
      <c r="D1253">
        <v>2.5473720501755199</v>
      </c>
      <c r="E1253">
        <v>2.80394390053802</v>
      </c>
      <c r="F1253">
        <v>2.5586687677947402</v>
      </c>
      <c r="G1253">
        <v>2.5308692938097099</v>
      </c>
      <c r="H1253">
        <v>5.3655677517984799</v>
      </c>
      <c r="I1253">
        <v>5.4076691305169096</v>
      </c>
      <c r="J1253">
        <v>7.2114611833263398</v>
      </c>
      <c r="K1253">
        <v>4.7058740567173096</v>
      </c>
      <c r="S1253" t="s">
        <v>7870</v>
      </c>
      <c r="T1253" t="s">
        <v>13232</v>
      </c>
      <c r="U1253" t="s">
        <v>13233</v>
      </c>
      <c r="V1253" t="s">
        <v>13232</v>
      </c>
      <c r="W1253" t="s">
        <v>14448</v>
      </c>
      <c r="X1253">
        <v>3</v>
      </c>
      <c r="Y1253" t="s">
        <v>20971</v>
      </c>
      <c r="Z1253" t="s">
        <v>27384</v>
      </c>
      <c r="AB1253" t="str">
        <f>HYPERLINK("Melting_Curves/meltCurve_O43521_6_BCL2L11.pdf", "Melting_Curves/meltCurve_O43521_6_BCL2L11.pdf")</f>
        <v>Melting_Curves/meltCurve_O43521_6_BCL2L11.pdf</v>
      </c>
    </row>
    <row r="1254" spans="1:28" x14ac:dyDescent="0.25">
      <c r="A1254" t="s">
        <v>1258</v>
      </c>
      <c r="B1254">
        <v>0.99930955844802105</v>
      </c>
      <c r="C1254">
        <v>0.96203612817832496</v>
      </c>
      <c r="D1254">
        <v>0.98696931979868097</v>
      </c>
      <c r="E1254">
        <v>0.82202769045940005</v>
      </c>
      <c r="F1254">
        <v>0.41299438504866298</v>
      </c>
      <c r="G1254">
        <v>0.201616848012351</v>
      </c>
      <c r="H1254">
        <v>0.13812966003225599</v>
      </c>
      <c r="I1254">
        <v>0.11845245827911401</v>
      </c>
      <c r="J1254">
        <v>9.8142666277430096E-2</v>
      </c>
      <c r="K1254">
        <v>9.6686111386628207E-2</v>
      </c>
      <c r="L1254">
        <v>1641.10647788815</v>
      </c>
      <c r="M1254">
        <v>31.545466582491699</v>
      </c>
      <c r="N1254">
        <v>52.459662449838298</v>
      </c>
      <c r="O1254">
        <v>51.815781393414099</v>
      </c>
      <c r="P1254">
        <v>-0.134645324866042</v>
      </c>
      <c r="Q1254">
        <v>0.115344395028837</v>
      </c>
      <c r="R1254">
        <v>0.99735038894072803</v>
      </c>
      <c r="S1254" t="s">
        <v>7871</v>
      </c>
      <c r="T1254" t="s">
        <v>13232</v>
      </c>
      <c r="U1254" t="s">
        <v>13232</v>
      </c>
      <c r="V1254" t="s">
        <v>13232</v>
      </c>
      <c r="W1254" t="s">
        <v>14449</v>
      </c>
      <c r="X1254">
        <v>5</v>
      </c>
      <c r="Y1254" t="s">
        <v>20972</v>
      </c>
      <c r="Z1254" t="s">
        <v>27385</v>
      </c>
      <c r="AA1254">
        <v>0.47501773660551833</v>
      </c>
      <c r="AB1254" t="str">
        <f>HYPERLINK("Melting_Curves/meltCurve_O43542_XRCC3.pdf", "Melting_Curves/meltCurve_O43542_XRCC3.pdf")</f>
        <v>Melting_Curves/meltCurve_O43542_XRCC3.pdf</v>
      </c>
    </row>
    <row r="1255" spans="1:28" x14ac:dyDescent="0.25">
      <c r="A1255" t="s">
        <v>1259</v>
      </c>
      <c r="B1255">
        <v>0.99930955844802105</v>
      </c>
      <c r="C1255">
        <v>1.01219592385727</v>
      </c>
      <c r="D1255">
        <v>0.92762429257934198</v>
      </c>
      <c r="E1255">
        <v>0.78431918847160098</v>
      </c>
      <c r="F1255">
        <v>0.61371309606512603</v>
      </c>
      <c r="G1255">
        <v>0.494213727280919</v>
      </c>
      <c r="H1255">
        <v>0.34111718423267501</v>
      </c>
      <c r="I1255">
        <v>0.24892226041658</v>
      </c>
      <c r="J1255">
        <v>0.16703079067225399</v>
      </c>
      <c r="K1255">
        <v>0.104648167660449</v>
      </c>
      <c r="L1255">
        <v>572.95236106769005</v>
      </c>
      <c r="M1255">
        <v>10.1375201316703</v>
      </c>
      <c r="N1255">
        <v>56.518005672043401</v>
      </c>
      <c r="O1255">
        <v>54.451023345948897</v>
      </c>
      <c r="P1255">
        <v>-4.6565698956410703E-2</v>
      </c>
      <c r="Q1255">
        <v>0</v>
      </c>
      <c r="R1255">
        <v>0.99391354498601603</v>
      </c>
      <c r="S1255" t="s">
        <v>7872</v>
      </c>
      <c r="T1255" t="s">
        <v>13232</v>
      </c>
      <c r="U1255" t="s">
        <v>13232</v>
      </c>
      <c r="V1255" t="s">
        <v>13232</v>
      </c>
      <c r="W1255" t="s">
        <v>14450</v>
      </c>
      <c r="X1255">
        <v>7</v>
      </c>
      <c r="Y1255" t="s">
        <v>20973</v>
      </c>
      <c r="Z1255" t="s">
        <v>27386</v>
      </c>
      <c r="AA1255">
        <v>0.56910118495279194</v>
      </c>
      <c r="AB1255" t="str">
        <f>HYPERLINK("Melting_Curves/meltCurve_O43566_RGS14.pdf", "Melting_Curves/meltCurve_O43566_RGS14.pdf")</f>
        <v>Melting_Curves/meltCurve_O43566_RGS14.pdf</v>
      </c>
    </row>
    <row r="1256" spans="1:28" x14ac:dyDescent="0.25">
      <c r="A1256" t="s">
        <v>1260</v>
      </c>
      <c r="B1256">
        <v>0.99930955844802105</v>
      </c>
      <c r="C1256">
        <v>1.11094825200535</v>
      </c>
      <c r="D1256">
        <v>1.0739694576030301</v>
      </c>
      <c r="E1256">
        <v>1.1559737124459499</v>
      </c>
      <c r="F1256">
        <v>1.0685347143973001</v>
      </c>
      <c r="G1256">
        <v>0.94283281375068695</v>
      </c>
      <c r="H1256">
        <v>0.93557851009456905</v>
      </c>
      <c r="I1256">
        <v>0.91061303316387798</v>
      </c>
      <c r="J1256">
        <v>0.78083998418440603</v>
      </c>
      <c r="K1256">
        <v>0.50570102183401</v>
      </c>
      <c r="L1256">
        <v>1685.4725521702201</v>
      </c>
      <c r="M1256">
        <v>24.009730980928001</v>
      </c>
      <c r="O1256">
        <v>69.718014227228096</v>
      </c>
      <c r="P1256">
        <v>-8.6097220259149995E-2</v>
      </c>
      <c r="Q1256">
        <v>0</v>
      </c>
      <c r="R1256">
        <v>0.842031250204201</v>
      </c>
      <c r="S1256" t="s">
        <v>7873</v>
      </c>
      <c r="T1256" t="s">
        <v>13232</v>
      </c>
      <c r="U1256" t="s">
        <v>13232</v>
      </c>
      <c r="V1256" t="s">
        <v>13232</v>
      </c>
      <c r="W1256" t="s">
        <v>14451</v>
      </c>
      <c r="X1256">
        <v>9</v>
      </c>
      <c r="Y1256" t="s">
        <v>20974</v>
      </c>
      <c r="Z1256" t="s">
        <v>27387</v>
      </c>
      <c r="AA1256">
        <v>0.94161027049840307</v>
      </c>
      <c r="AB1256" t="str">
        <f>HYPERLINK("Melting_Curves/meltCurve_O43583_DENR.pdf", "Melting_Curves/meltCurve_O43583_DENR.pdf")</f>
        <v>Melting_Curves/meltCurve_O43583_DENR.pdf</v>
      </c>
    </row>
    <row r="1257" spans="1:28" x14ac:dyDescent="0.25">
      <c r="A1257" t="s">
        <v>1261</v>
      </c>
      <c r="B1257">
        <v>0.99930955844802105</v>
      </c>
      <c r="C1257">
        <v>1.01142446460797</v>
      </c>
      <c r="D1257">
        <v>1.0110577324115499</v>
      </c>
      <c r="E1257">
        <v>0.73877829276065998</v>
      </c>
      <c r="F1257">
        <v>0.19933693471646599</v>
      </c>
      <c r="G1257">
        <v>0.13433083909733801</v>
      </c>
      <c r="H1257">
        <v>7.3637947156469402E-2</v>
      </c>
      <c r="I1257">
        <v>5.9320721129308897E-2</v>
      </c>
      <c r="J1257">
        <v>4.9639732642085203E-2</v>
      </c>
      <c r="K1257">
        <v>3.6581240141811897E-2</v>
      </c>
      <c r="L1257">
        <v>2377.5682509006901</v>
      </c>
      <c r="M1257">
        <v>46.614777087473897</v>
      </c>
      <c r="N1257">
        <v>51.165487585887</v>
      </c>
      <c r="O1257">
        <v>50.9109791370946</v>
      </c>
      <c r="P1257">
        <v>-0.21330044822024299</v>
      </c>
      <c r="Q1257">
        <v>6.8164414528975495E-2</v>
      </c>
      <c r="R1257">
        <v>0.99698765745360196</v>
      </c>
      <c r="S1257" t="s">
        <v>7874</v>
      </c>
      <c r="T1257" t="s">
        <v>13232</v>
      </c>
      <c r="U1257" t="s">
        <v>13232</v>
      </c>
      <c r="V1257" t="s">
        <v>13232</v>
      </c>
      <c r="W1257" t="s">
        <v>14452</v>
      </c>
      <c r="X1257">
        <v>41</v>
      </c>
      <c r="Y1257" t="s">
        <v>20975</v>
      </c>
      <c r="Z1257" t="s">
        <v>27388</v>
      </c>
      <c r="AA1257">
        <v>0.41239438960464952</v>
      </c>
      <c r="AB1257" t="str">
        <f>HYPERLINK("Melting_Curves/meltCurve_O43592_XPOT.pdf", "Melting_Curves/meltCurve_O43592_XPOT.pdf")</f>
        <v>Melting_Curves/meltCurve_O43592_XPOT.pdf</v>
      </c>
    </row>
    <row r="1258" spans="1:28" x14ac:dyDescent="0.25">
      <c r="A1258" t="s">
        <v>1262</v>
      </c>
      <c r="B1258">
        <v>0.99930955844802105</v>
      </c>
      <c r="C1258">
        <v>0.890810168469237</v>
      </c>
      <c r="D1258">
        <v>1.17814628442541</v>
      </c>
      <c r="E1258">
        <v>0.85695188502104902</v>
      </c>
      <c r="F1258">
        <v>0.61322107156241801</v>
      </c>
      <c r="G1258">
        <v>0.84326690073511201</v>
      </c>
      <c r="H1258">
        <v>0.52362567041465402</v>
      </c>
      <c r="I1258">
        <v>0.31108714927841802</v>
      </c>
      <c r="J1258">
        <v>1.8587474884103901E-2</v>
      </c>
      <c r="K1258">
        <v>0</v>
      </c>
      <c r="L1258">
        <v>957.45971742054303</v>
      </c>
      <c r="M1258">
        <v>15.9336951406691</v>
      </c>
      <c r="N1258">
        <v>60.090249655219097</v>
      </c>
      <c r="O1258">
        <v>59.167639799785199</v>
      </c>
      <c r="P1258">
        <v>-6.7329731225063305E-2</v>
      </c>
      <c r="Q1258">
        <v>0</v>
      </c>
      <c r="R1258">
        <v>0.87002534016836797</v>
      </c>
      <c r="S1258" t="s">
        <v>7875</v>
      </c>
      <c r="T1258" t="s">
        <v>13232</v>
      </c>
      <c r="U1258" t="s">
        <v>13232</v>
      </c>
      <c r="V1258" t="s">
        <v>13232</v>
      </c>
      <c r="W1258" t="s">
        <v>14453</v>
      </c>
      <c r="X1258">
        <v>9</v>
      </c>
      <c r="Y1258" t="s">
        <v>20483</v>
      </c>
      <c r="Z1258" t="s">
        <v>27389</v>
      </c>
      <c r="AA1258">
        <v>0.67689027319892103</v>
      </c>
      <c r="AB1258" t="str">
        <f>HYPERLINK("Melting_Curves/meltCurve_O43598_DNPH1.pdf", "Melting_Curves/meltCurve_O43598_DNPH1.pdf")</f>
        <v>Melting_Curves/meltCurve_O43598_DNPH1.pdf</v>
      </c>
    </row>
    <row r="1259" spans="1:28" x14ac:dyDescent="0.25">
      <c r="A1259" t="s">
        <v>1263</v>
      </c>
      <c r="B1259">
        <v>0.99930955844802105</v>
      </c>
      <c r="C1259">
        <v>1.0416687031546801</v>
      </c>
      <c r="D1259">
        <v>1.0556934048903499</v>
      </c>
      <c r="E1259">
        <v>0.90165861604724895</v>
      </c>
      <c r="F1259">
        <v>0.60168039792316197</v>
      </c>
      <c r="G1259">
        <v>0.31821942364360001</v>
      </c>
      <c r="H1259">
        <v>0.22487977231487499</v>
      </c>
      <c r="I1259">
        <v>0.230126865141774</v>
      </c>
      <c r="J1259">
        <v>0.23488451174727401</v>
      </c>
      <c r="K1259">
        <v>0.171487114055838</v>
      </c>
      <c r="L1259">
        <v>1619.31267359353</v>
      </c>
      <c r="M1259">
        <v>30.512367913061698</v>
      </c>
      <c r="N1259">
        <v>54.055677964033897</v>
      </c>
      <c r="O1259">
        <v>52.844302932162002</v>
      </c>
      <c r="P1259">
        <v>-0.11356888938166899</v>
      </c>
      <c r="Q1259">
        <v>0.21324595096641999</v>
      </c>
      <c r="R1259">
        <v>0.99343285394931502</v>
      </c>
      <c r="S1259" t="s">
        <v>7876</v>
      </c>
      <c r="T1259" t="s">
        <v>13232</v>
      </c>
      <c r="U1259" t="s">
        <v>13232</v>
      </c>
      <c r="V1259" t="s">
        <v>13232</v>
      </c>
      <c r="W1259" t="s">
        <v>14454</v>
      </c>
      <c r="X1259">
        <v>23</v>
      </c>
      <c r="Y1259" t="s">
        <v>20976</v>
      </c>
      <c r="Z1259" t="s">
        <v>27390</v>
      </c>
      <c r="AA1259">
        <v>0.56096719657014871</v>
      </c>
      <c r="AB1259" t="str">
        <f>HYPERLINK("Melting_Curves/meltCurve_O43615_TIMM44.pdf", "Melting_Curves/meltCurve_O43615_TIMM44.pdf")</f>
        <v>Melting_Curves/meltCurve_O43615_TIMM44.pdf</v>
      </c>
    </row>
    <row r="1260" spans="1:28" x14ac:dyDescent="0.25">
      <c r="A1260" t="s">
        <v>1264</v>
      </c>
      <c r="B1260">
        <v>0.99930955844802105</v>
      </c>
      <c r="C1260">
        <v>0.93197242166479299</v>
      </c>
      <c r="D1260">
        <v>0.93748945985358501</v>
      </c>
      <c r="E1260">
        <v>0.90185118223753202</v>
      </c>
      <c r="F1260">
        <v>0.87871986118531098</v>
      </c>
      <c r="G1260">
        <v>0.75103176894526102</v>
      </c>
      <c r="H1260">
        <v>0.56340377749474502</v>
      </c>
      <c r="I1260">
        <v>0.33768390983060798</v>
      </c>
      <c r="J1260">
        <v>0.17628911306219</v>
      </c>
      <c r="K1260">
        <v>9.1282970303428496E-2</v>
      </c>
      <c r="L1260">
        <v>925.46006936148797</v>
      </c>
      <c r="M1260">
        <v>15.14163492946</v>
      </c>
      <c r="N1260">
        <v>61.120220753180902</v>
      </c>
      <c r="O1260">
        <v>60.083877913189198</v>
      </c>
      <c r="P1260">
        <v>-6.3008207568058999E-2</v>
      </c>
      <c r="Q1260">
        <v>0</v>
      </c>
      <c r="R1260">
        <v>0.98260748369762096</v>
      </c>
      <c r="S1260" t="s">
        <v>7877</v>
      </c>
      <c r="T1260" t="s">
        <v>13232</v>
      </c>
      <c r="U1260" t="s">
        <v>13232</v>
      </c>
      <c r="V1260" t="s">
        <v>13232</v>
      </c>
      <c r="W1260" t="s">
        <v>14455</v>
      </c>
      <c r="X1260">
        <v>9</v>
      </c>
      <c r="Y1260" t="s">
        <v>20977</v>
      </c>
      <c r="Z1260" t="s">
        <v>27391</v>
      </c>
      <c r="AA1260">
        <v>0.70610745393688146</v>
      </c>
      <c r="AB1260" t="str">
        <f>HYPERLINK("Melting_Curves/meltCurve_O43617_TRAPPC3.pdf", "Melting_Curves/meltCurve_O43617_TRAPPC3.pdf")</f>
        <v>Melting_Curves/meltCurve_O43617_TRAPPC3.pdf</v>
      </c>
    </row>
    <row r="1261" spans="1:28" x14ac:dyDescent="0.25">
      <c r="A1261" t="s">
        <v>1265</v>
      </c>
      <c r="B1261">
        <v>0.99930955844802105</v>
      </c>
      <c r="C1261">
        <v>1.07120346460521</v>
      </c>
      <c r="D1261">
        <v>1.06625229565641</v>
      </c>
      <c r="E1261">
        <v>1.0427630135036901</v>
      </c>
      <c r="F1261">
        <v>0.96446447631538101</v>
      </c>
      <c r="G1261">
        <v>0.82698357439644599</v>
      </c>
      <c r="H1261">
        <v>0.54101308844884999</v>
      </c>
      <c r="I1261">
        <v>0.28254578241395401</v>
      </c>
      <c r="J1261">
        <v>0.18201866385955001</v>
      </c>
      <c r="K1261">
        <v>0.11844351413533399</v>
      </c>
      <c r="L1261">
        <v>1412.9796552242401</v>
      </c>
      <c r="M1261">
        <v>23.2239088514428</v>
      </c>
      <c r="N1261">
        <v>61.280973999139498</v>
      </c>
      <c r="O1261">
        <v>60.395872449696903</v>
      </c>
      <c r="P1261">
        <v>-8.8760861373524597E-2</v>
      </c>
      <c r="Q1261">
        <v>7.6694086414458698E-2</v>
      </c>
      <c r="R1261">
        <v>0.99069300179742503</v>
      </c>
      <c r="S1261" t="s">
        <v>7878</v>
      </c>
      <c r="T1261" t="s">
        <v>13232</v>
      </c>
      <c r="U1261" t="s">
        <v>13232</v>
      </c>
      <c r="V1261" t="s">
        <v>13232</v>
      </c>
      <c r="W1261" t="s">
        <v>14456</v>
      </c>
      <c r="X1261">
        <v>10</v>
      </c>
      <c r="Y1261" t="s">
        <v>20752</v>
      </c>
      <c r="Z1261" t="s">
        <v>27392</v>
      </c>
      <c r="AA1261">
        <v>0.72427639092948803</v>
      </c>
      <c r="AB1261" t="str">
        <f>HYPERLINK("Melting_Curves/meltCurve_O43633_CHMP2A.pdf", "Melting_Curves/meltCurve_O43633_CHMP2A.pdf")</f>
        <v>Melting_Curves/meltCurve_O43633_CHMP2A.pdf</v>
      </c>
    </row>
    <row r="1262" spans="1:28" x14ac:dyDescent="0.25">
      <c r="A1262" t="s">
        <v>1266</v>
      </c>
      <c r="B1262">
        <v>0.99930955844802105</v>
      </c>
      <c r="C1262">
        <v>0</v>
      </c>
      <c r="D1262">
        <v>1.0210758546179699</v>
      </c>
      <c r="E1262">
        <v>0.99505561690744404</v>
      </c>
      <c r="F1262">
        <v>0.78678132048161897</v>
      </c>
      <c r="G1262">
        <v>0.66342576190258695</v>
      </c>
      <c r="H1262">
        <v>0.74496781352066799</v>
      </c>
      <c r="I1262">
        <v>0.81320625830694204</v>
      </c>
      <c r="J1262">
        <v>0.84302327793703102</v>
      </c>
      <c r="K1262">
        <v>0.56508700302836101</v>
      </c>
      <c r="L1262">
        <v>1.0000000000000001E-5</v>
      </c>
      <c r="M1262">
        <v>1.0000000000000001E-5</v>
      </c>
      <c r="Q1262">
        <v>0.48638900647475602</v>
      </c>
      <c r="R1262">
        <v>-1.10847508949519E-9</v>
      </c>
      <c r="S1262" t="s">
        <v>7879</v>
      </c>
      <c r="T1262" t="s">
        <v>13232</v>
      </c>
      <c r="U1262" t="s">
        <v>13232</v>
      </c>
      <c r="V1262" t="s">
        <v>13232</v>
      </c>
      <c r="W1262" t="s">
        <v>14457</v>
      </c>
      <c r="X1262">
        <v>5</v>
      </c>
      <c r="Y1262" t="s">
        <v>20978</v>
      </c>
      <c r="Z1262" t="s">
        <v>27393</v>
      </c>
      <c r="AA1262">
        <v>0.74319324316196267</v>
      </c>
      <c r="AB1262" t="str">
        <f>HYPERLINK("Melting_Curves/meltCurve_O43639_NCK2.pdf", "Melting_Curves/meltCurve_O43639_NCK2.pdf")</f>
        <v>Melting_Curves/meltCurve_O43639_NCK2.pdf</v>
      </c>
    </row>
    <row r="1263" spans="1:28" x14ac:dyDescent="0.25">
      <c r="A1263" t="s">
        <v>1267</v>
      </c>
      <c r="B1263">
        <v>0.99930955844802105</v>
      </c>
      <c r="C1263">
        <v>0.94839409425710697</v>
      </c>
      <c r="D1263">
        <v>0.95238713781429496</v>
      </c>
      <c r="E1263">
        <v>0.90040041465938003</v>
      </c>
      <c r="F1263">
        <v>0.69204561563358902</v>
      </c>
      <c r="G1263">
        <v>0.58543573815757799</v>
      </c>
      <c r="H1263">
        <v>0.49476849451274901</v>
      </c>
      <c r="I1263">
        <v>0.470567567538274</v>
      </c>
      <c r="J1263">
        <v>0.43217452194945799</v>
      </c>
      <c r="K1263">
        <v>0.31142753732893502</v>
      </c>
      <c r="L1263">
        <v>627.59057065863396</v>
      </c>
      <c r="M1263">
        <v>11.3103185193328</v>
      </c>
      <c r="N1263">
        <v>60.5929442135795</v>
      </c>
      <c r="O1263">
        <v>53.838585202778198</v>
      </c>
      <c r="P1263">
        <v>-3.6397788656277102E-2</v>
      </c>
      <c r="Q1263">
        <v>0.30717710989008801</v>
      </c>
      <c r="R1263">
        <v>0.97750212504317902</v>
      </c>
      <c r="S1263" t="s">
        <v>7880</v>
      </c>
      <c r="T1263" t="s">
        <v>13232</v>
      </c>
      <c r="U1263" t="s">
        <v>13232</v>
      </c>
      <c r="V1263" t="s">
        <v>13232</v>
      </c>
      <c r="W1263" t="s">
        <v>14458</v>
      </c>
      <c r="X1263">
        <v>20</v>
      </c>
      <c r="Y1263" t="s">
        <v>20979</v>
      </c>
      <c r="Z1263" t="s">
        <v>27394</v>
      </c>
      <c r="AA1263">
        <v>0.68057085496990066</v>
      </c>
      <c r="AB1263" t="str">
        <f>HYPERLINK("Melting_Curves/meltCurve_O43660_2_PLRG1.pdf", "Melting_Curves/meltCurve_O43660_2_PLRG1.pdf")</f>
        <v>Melting_Curves/meltCurve_O43660_2_PLRG1.pdf</v>
      </c>
    </row>
    <row r="1264" spans="1:28" x14ac:dyDescent="0.25">
      <c r="A1264" t="s">
        <v>1268</v>
      </c>
      <c r="B1264">
        <v>0.99930955844802105</v>
      </c>
      <c r="C1264">
        <v>1.0767165072715399</v>
      </c>
      <c r="D1264">
        <v>0.90792969908865495</v>
      </c>
      <c r="E1264">
        <v>0.526456245879526</v>
      </c>
      <c r="F1264">
        <v>0.36483233098220702</v>
      </c>
      <c r="G1264">
        <v>0.24382767961215801</v>
      </c>
      <c r="H1264">
        <v>0.15409858363544199</v>
      </c>
      <c r="I1264">
        <v>0.102312950607966</v>
      </c>
      <c r="J1264">
        <v>8.6181263034736097E-2</v>
      </c>
      <c r="K1264">
        <v>6.2296979702499797E-2</v>
      </c>
      <c r="L1264">
        <v>982.60059391964603</v>
      </c>
      <c r="M1264">
        <v>19.486468010411699</v>
      </c>
      <c r="N1264">
        <v>50.997683645641096</v>
      </c>
      <c r="O1264">
        <v>49.902732084776602</v>
      </c>
      <c r="P1264">
        <v>-8.8028716632021997E-2</v>
      </c>
      <c r="Q1264">
        <v>9.83045243578861E-2</v>
      </c>
      <c r="R1264">
        <v>0.98485712795601699</v>
      </c>
      <c r="S1264" t="s">
        <v>7881</v>
      </c>
      <c r="T1264" t="s">
        <v>13232</v>
      </c>
      <c r="U1264" t="s">
        <v>13232</v>
      </c>
      <c r="V1264" t="s">
        <v>13232</v>
      </c>
      <c r="W1264" t="s">
        <v>14459</v>
      </c>
      <c r="X1264">
        <v>19</v>
      </c>
      <c r="Y1264" t="s">
        <v>20520</v>
      </c>
      <c r="Z1264" t="s">
        <v>27395</v>
      </c>
      <c r="AA1264">
        <v>0.42481072722760987</v>
      </c>
      <c r="AB1264" t="str">
        <f>HYPERLINK("Melting_Curves/meltCurve_O43663_PRC1.pdf", "Melting_Curves/meltCurve_O43663_PRC1.pdf")</f>
        <v>Melting_Curves/meltCurve_O43663_PRC1.pdf</v>
      </c>
    </row>
    <row r="1265" spans="1:28" x14ac:dyDescent="0.25">
      <c r="A1265" t="s">
        <v>1269</v>
      </c>
      <c r="B1265">
        <v>0.99930955844802105</v>
      </c>
      <c r="C1265">
        <v>1.0256358348939401</v>
      </c>
      <c r="D1265">
        <v>1.06005337381696</v>
      </c>
      <c r="E1265">
        <v>0.97017992026048205</v>
      </c>
      <c r="F1265">
        <v>0.83151780800165198</v>
      </c>
      <c r="G1265">
        <v>0.68136724602214305</v>
      </c>
      <c r="H1265">
        <v>0.50283518843180597</v>
      </c>
      <c r="I1265">
        <v>0.40114006730280999</v>
      </c>
      <c r="J1265">
        <v>0.33496611745328397</v>
      </c>
      <c r="K1265">
        <v>0.24388507809693799</v>
      </c>
      <c r="L1265">
        <v>842.78134842214797</v>
      </c>
      <c r="M1265">
        <v>14.307915608942601</v>
      </c>
      <c r="N1265">
        <v>60.9869008012043</v>
      </c>
      <c r="O1265">
        <v>57.7883606387363</v>
      </c>
      <c r="P1265">
        <v>-4.9936766882088701E-2</v>
      </c>
      <c r="Q1265">
        <v>0.19333794549741101</v>
      </c>
      <c r="R1265">
        <v>0.98920062845496504</v>
      </c>
      <c r="S1265" t="s">
        <v>7882</v>
      </c>
      <c r="T1265" t="s">
        <v>13232</v>
      </c>
      <c r="U1265" t="s">
        <v>13232</v>
      </c>
      <c r="V1265" t="s">
        <v>13232</v>
      </c>
      <c r="W1265" t="s">
        <v>14460</v>
      </c>
      <c r="X1265">
        <v>10</v>
      </c>
      <c r="Y1265" t="s">
        <v>20980</v>
      </c>
      <c r="Z1265" t="s">
        <v>27396</v>
      </c>
      <c r="AA1265">
        <v>0.71012122973306524</v>
      </c>
      <c r="AB1265" t="str">
        <f>HYPERLINK("Melting_Curves/meltCurve_O43665_2_RGS10.pdf", "Melting_Curves/meltCurve_O43665_2_RGS10.pdf")</f>
        <v>Melting_Curves/meltCurve_O43665_2_RGS10.pdf</v>
      </c>
    </row>
    <row r="1266" spans="1:28" x14ac:dyDescent="0.25">
      <c r="A1266" t="s">
        <v>1270</v>
      </c>
      <c r="B1266">
        <v>0.99930955844802105</v>
      </c>
      <c r="C1266">
        <v>1.1321214216770901</v>
      </c>
      <c r="D1266">
        <v>1.08356711909982</v>
      </c>
      <c r="E1266">
        <v>1.0371011286568901</v>
      </c>
      <c r="F1266">
        <v>0.86380647241222797</v>
      </c>
      <c r="G1266">
        <v>0.52172313039765394</v>
      </c>
      <c r="H1266">
        <v>0.397972194404213</v>
      </c>
      <c r="I1266">
        <v>0.39461747447666701</v>
      </c>
      <c r="J1266">
        <v>0.38112172059632499</v>
      </c>
      <c r="K1266">
        <v>0.31892439500103997</v>
      </c>
      <c r="L1266">
        <v>1939.9542654966299</v>
      </c>
      <c r="M1266">
        <v>35.168450778413899</v>
      </c>
      <c r="N1266">
        <v>57.308033086438698</v>
      </c>
      <c r="O1266">
        <v>54.984320457821198</v>
      </c>
      <c r="P1266">
        <v>-0.101371177810545</v>
      </c>
      <c r="Q1266">
        <v>0.36604458131988199</v>
      </c>
      <c r="R1266">
        <v>0.970031590315246</v>
      </c>
      <c r="S1266" t="s">
        <v>7883</v>
      </c>
      <c r="T1266" t="s">
        <v>13232</v>
      </c>
      <c r="U1266" t="s">
        <v>13232</v>
      </c>
      <c r="V1266" t="s">
        <v>13232</v>
      </c>
      <c r="W1266" t="s">
        <v>14461</v>
      </c>
      <c r="X1266">
        <v>8</v>
      </c>
      <c r="Y1266" t="s">
        <v>20981</v>
      </c>
      <c r="Z1266" t="s">
        <v>27397</v>
      </c>
      <c r="AA1266">
        <v>0.68954376223521541</v>
      </c>
      <c r="AB1266" t="str">
        <f>HYPERLINK("Melting_Curves/meltCurve_O43670_2_ZNF207.pdf", "Melting_Curves/meltCurve_O43670_2_ZNF207.pdf")</f>
        <v>Melting_Curves/meltCurve_O43670_2_ZNF207.pdf</v>
      </c>
    </row>
    <row r="1267" spans="1:28" x14ac:dyDescent="0.25">
      <c r="A1267" t="s">
        <v>1271</v>
      </c>
      <c r="B1267">
        <v>0.99930955844802105</v>
      </c>
      <c r="C1267">
        <v>0.94338868530610998</v>
      </c>
      <c r="D1267">
        <v>0.95698520677073295</v>
      </c>
      <c r="E1267">
        <v>0.82801246156118402</v>
      </c>
      <c r="F1267">
        <v>0.72690493942745005</v>
      </c>
      <c r="G1267">
        <v>0.79466882360873003</v>
      </c>
      <c r="H1267">
        <v>0.66331452127904</v>
      </c>
      <c r="I1267">
        <v>0.35946825786244102</v>
      </c>
      <c r="J1267">
        <v>0.26684018607383603</v>
      </c>
      <c r="K1267">
        <v>0.24355329989789701</v>
      </c>
      <c r="L1267">
        <v>574.10836613353604</v>
      </c>
      <c r="M1267">
        <v>9.2710516003785894</v>
      </c>
      <c r="N1267">
        <v>61.924823703184302</v>
      </c>
      <c r="O1267">
        <v>59.248302064753297</v>
      </c>
      <c r="P1267">
        <v>-3.9144869206062499E-2</v>
      </c>
      <c r="Q1267">
        <v>0</v>
      </c>
      <c r="R1267">
        <v>0.92931234163792498</v>
      </c>
      <c r="S1267" t="s">
        <v>7884</v>
      </c>
      <c r="T1267" t="s">
        <v>13232</v>
      </c>
      <c r="U1267" t="s">
        <v>13232</v>
      </c>
      <c r="V1267" t="s">
        <v>13232</v>
      </c>
      <c r="W1267" t="s">
        <v>14462</v>
      </c>
      <c r="X1267">
        <v>2</v>
      </c>
      <c r="Y1267" t="s">
        <v>20982</v>
      </c>
      <c r="Z1267" t="s">
        <v>27398</v>
      </c>
      <c r="AA1267">
        <v>0.70552273875909421</v>
      </c>
      <c r="AB1267" t="str">
        <f>HYPERLINK("Melting_Curves/meltCurve_O43674_2_NDUFB5.pdf", "Melting_Curves/meltCurve_O43674_2_NDUFB5.pdf")</f>
        <v>Melting_Curves/meltCurve_O43674_2_NDUFB5.pdf</v>
      </c>
    </row>
    <row r="1268" spans="1:28" x14ac:dyDescent="0.25">
      <c r="A1268" t="s">
        <v>1272</v>
      </c>
      <c r="B1268">
        <v>0.99930955844802105</v>
      </c>
      <c r="C1268">
        <v>0.94554690162034905</v>
      </c>
      <c r="D1268">
        <v>0.91725318050612503</v>
      </c>
      <c r="E1268">
        <v>0.74888404658398899</v>
      </c>
      <c r="F1268">
        <v>0.44749532459313501</v>
      </c>
      <c r="G1268">
        <v>0.30371114880112199</v>
      </c>
      <c r="H1268">
        <v>0.192351327271189</v>
      </c>
      <c r="I1268">
        <v>0.172460197473112</v>
      </c>
      <c r="J1268">
        <v>0.14268043273647399</v>
      </c>
      <c r="K1268">
        <v>0.13911481641441401</v>
      </c>
      <c r="L1268">
        <v>939.43183310923098</v>
      </c>
      <c r="M1268">
        <v>18.094178609075801</v>
      </c>
      <c r="N1268">
        <v>52.852963872335003</v>
      </c>
      <c r="O1268">
        <v>51.297334619821399</v>
      </c>
      <c r="P1268">
        <v>-7.6120426472364805E-2</v>
      </c>
      <c r="Q1268">
        <v>0.13683080769265801</v>
      </c>
      <c r="R1268">
        <v>0.99566139186583802</v>
      </c>
      <c r="S1268" t="s">
        <v>7885</v>
      </c>
      <c r="T1268" t="s">
        <v>13232</v>
      </c>
      <c r="U1268" t="s">
        <v>13232</v>
      </c>
      <c r="V1268" t="s">
        <v>13232</v>
      </c>
      <c r="W1268" t="s">
        <v>14463</v>
      </c>
      <c r="X1268">
        <v>2</v>
      </c>
      <c r="Y1268" t="s">
        <v>20983</v>
      </c>
      <c r="Z1268" t="s">
        <v>27399</v>
      </c>
      <c r="AA1268">
        <v>0.49401976218155441</v>
      </c>
      <c r="AB1268" t="str">
        <f>HYPERLINK("Melting_Curves/meltCurve_O43678_NDUFA2.pdf", "Melting_Curves/meltCurve_O43678_NDUFA2.pdf")</f>
        <v>Melting_Curves/meltCurve_O43678_NDUFA2.pdf</v>
      </c>
    </row>
    <row r="1269" spans="1:28" x14ac:dyDescent="0.25">
      <c r="A1269" t="s">
        <v>1273</v>
      </c>
      <c r="B1269">
        <v>0.99930955844802105</v>
      </c>
      <c r="C1269">
        <v>1.0209238957803699</v>
      </c>
      <c r="D1269">
        <v>0.86923966042184897</v>
      </c>
      <c r="E1269">
        <v>0.55181958475092197</v>
      </c>
      <c r="F1269">
        <v>0.27868683197459199</v>
      </c>
      <c r="G1269">
        <v>0.144372275436115</v>
      </c>
      <c r="H1269">
        <v>5.54896387417207E-2</v>
      </c>
      <c r="I1269">
        <v>3.4166574510276201E-2</v>
      </c>
      <c r="J1269">
        <v>2.39524880559734E-2</v>
      </c>
      <c r="K1269">
        <v>1.8432490620945902E-2</v>
      </c>
      <c r="L1269">
        <v>1014.61644677701</v>
      </c>
      <c r="M1269">
        <v>20.1213773036772</v>
      </c>
      <c r="N1269">
        <v>50.552714638737001</v>
      </c>
      <c r="O1269">
        <v>49.934668682046301</v>
      </c>
      <c r="P1269">
        <v>-9.8241367451114794E-2</v>
      </c>
      <c r="Q1269">
        <v>2.4819390818889502E-2</v>
      </c>
      <c r="R1269">
        <v>0.99761060997778395</v>
      </c>
      <c r="S1269" t="s">
        <v>7886</v>
      </c>
      <c r="T1269" t="s">
        <v>13232</v>
      </c>
      <c r="U1269" t="s">
        <v>13232</v>
      </c>
      <c r="V1269" t="s">
        <v>13232</v>
      </c>
      <c r="W1269" t="s">
        <v>14464</v>
      </c>
      <c r="X1269">
        <v>9</v>
      </c>
      <c r="Y1269" t="s">
        <v>20984</v>
      </c>
      <c r="Z1269" t="s">
        <v>27400</v>
      </c>
      <c r="AA1269">
        <v>0.37708864577579948</v>
      </c>
      <c r="AB1269" t="str">
        <f>HYPERLINK("Melting_Curves/meltCurve_O43681_ASNA1.pdf", "Melting_Curves/meltCurve_O43681_ASNA1.pdf")</f>
        <v>Melting_Curves/meltCurve_O43681_ASNA1.pdf</v>
      </c>
    </row>
    <row r="1270" spans="1:28" x14ac:dyDescent="0.25">
      <c r="A1270" t="s">
        <v>1274</v>
      </c>
      <c r="B1270">
        <v>0.99930955844802105</v>
      </c>
      <c r="C1270">
        <v>0.88460646947617205</v>
      </c>
      <c r="D1270">
        <v>0.776859909459236</v>
      </c>
      <c r="E1270">
        <v>0.98265826843918402</v>
      </c>
      <c r="F1270">
        <v>1.1822288389179301</v>
      </c>
      <c r="G1270">
        <v>1.0692066686508901</v>
      </c>
      <c r="H1270">
        <v>0.60444980248128199</v>
      </c>
      <c r="I1270">
        <v>0.118885113277664</v>
      </c>
      <c r="J1270">
        <v>7.5039096774210404E-2</v>
      </c>
      <c r="K1270">
        <v>6.2598126771307397E-2</v>
      </c>
      <c r="L1270">
        <v>4612.4557094639404</v>
      </c>
      <c r="M1270">
        <v>75.306501533049001</v>
      </c>
      <c r="N1270">
        <v>61.377521070774499</v>
      </c>
      <c r="O1270">
        <v>61.205935981006803</v>
      </c>
      <c r="P1270">
        <v>-0.285175330122106</v>
      </c>
      <c r="Q1270">
        <v>7.2886157031006094E-2</v>
      </c>
      <c r="R1270">
        <v>0.940490590831909</v>
      </c>
      <c r="S1270" t="s">
        <v>7887</v>
      </c>
      <c r="T1270" t="s">
        <v>13232</v>
      </c>
      <c r="U1270" t="s">
        <v>13232</v>
      </c>
      <c r="V1270" t="s">
        <v>13232</v>
      </c>
      <c r="W1270" t="s">
        <v>14465</v>
      </c>
      <c r="X1270">
        <v>79</v>
      </c>
      <c r="Y1270" t="s">
        <v>20578</v>
      </c>
      <c r="Z1270" t="s">
        <v>27401</v>
      </c>
      <c r="AA1270">
        <v>0.73066207705704722</v>
      </c>
      <c r="AB1270" t="str">
        <f>HYPERLINK("Melting_Curves/meltCurve_O43707_ACTN4.pdf", "Melting_Curves/meltCurve_O43707_ACTN4.pdf")</f>
        <v>Melting_Curves/meltCurve_O43707_ACTN4.pdf</v>
      </c>
    </row>
    <row r="1271" spans="1:28" x14ac:dyDescent="0.25">
      <c r="A1271" t="s">
        <v>1275</v>
      </c>
      <c r="B1271">
        <v>0.99930955844802105</v>
      </c>
      <c r="C1271">
        <v>1.08606288557428</v>
      </c>
      <c r="D1271">
        <v>0.92185126881127799</v>
      </c>
      <c r="E1271">
        <v>0.677480938389035</v>
      </c>
      <c r="F1271">
        <v>0.39529387367257302</v>
      </c>
      <c r="G1271">
        <v>0.22849668056064501</v>
      </c>
      <c r="H1271">
        <v>0.16854130164763301</v>
      </c>
      <c r="I1271">
        <v>0.18097669250527601</v>
      </c>
      <c r="J1271">
        <v>0.17843777120689799</v>
      </c>
      <c r="K1271">
        <v>0.15065521836675899</v>
      </c>
      <c r="L1271">
        <v>1255.2915002141699</v>
      </c>
      <c r="M1271">
        <v>24.649216297493201</v>
      </c>
      <c r="N1271">
        <v>51.770247521421901</v>
      </c>
      <c r="O1271">
        <v>50.5945911850417</v>
      </c>
      <c r="P1271">
        <v>-0.101646050430641</v>
      </c>
      <c r="Q1271">
        <v>0.16546365801284399</v>
      </c>
      <c r="R1271">
        <v>0.992424530684898</v>
      </c>
      <c r="S1271" t="s">
        <v>7888</v>
      </c>
      <c r="T1271" t="s">
        <v>13232</v>
      </c>
      <c r="U1271" t="s">
        <v>13232</v>
      </c>
      <c r="V1271" t="s">
        <v>13232</v>
      </c>
      <c r="W1271" t="s">
        <v>14466</v>
      </c>
      <c r="X1271">
        <v>4</v>
      </c>
      <c r="Y1271" t="s">
        <v>20985</v>
      </c>
      <c r="Z1271" t="s">
        <v>27402</v>
      </c>
      <c r="AA1271">
        <v>0.4771536106360259</v>
      </c>
      <c r="AB1271" t="str">
        <f>HYPERLINK("Melting_Curves/meltCurve_O43709_WBSCR22.pdf", "Melting_Curves/meltCurve_O43709_WBSCR22.pdf")</f>
        <v>Melting_Curves/meltCurve_O43709_WBSCR22.pdf</v>
      </c>
    </row>
    <row r="1272" spans="1:28" x14ac:dyDescent="0.25">
      <c r="A1272" t="s">
        <v>1276</v>
      </c>
      <c r="B1272">
        <v>0.99930955844802105</v>
      </c>
      <c r="C1272">
        <v>0.96060341480748002</v>
      </c>
      <c r="D1272">
        <v>1.0216831523971499</v>
      </c>
      <c r="E1272">
        <v>0.91177122035906999</v>
      </c>
      <c r="F1272">
        <v>0.72144507858492701</v>
      </c>
      <c r="G1272">
        <v>0.70320085296450097</v>
      </c>
      <c r="H1272">
        <v>0.64579724514336201</v>
      </c>
      <c r="I1272">
        <v>0.70375339035658702</v>
      </c>
      <c r="J1272">
        <v>0.64684681531483101</v>
      </c>
      <c r="K1272">
        <v>0.53996943955340904</v>
      </c>
      <c r="L1272">
        <v>1843.99866670645</v>
      </c>
      <c r="M1272">
        <v>35.841317251781099</v>
      </c>
      <c r="O1272">
        <v>51.289589041965002</v>
      </c>
      <c r="P1272">
        <v>-6.2307387185967698E-2</v>
      </c>
      <c r="Q1272">
        <v>0.64334904327468301</v>
      </c>
      <c r="R1272">
        <v>0.92736826624396296</v>
      </c>
      <c r="S1272" t="s">
        <v>7889</v>
      </c>
      <c r="T1272" t="s">
        <v>13232</v>
      </c>
      <c r="U1272" t="s">
        <v>13232</v>
      </c>
      <c r="V1272" t="s">
        <v>13232</v>
      </c>
      <c r="W1272" t="s">
        <v>14467</v>
      </c>
      <c r="X1272">
        <v>9</v>
      </c>
      <c r="Y1272" t="s">
        <v>20986</v>
      </c>
      <c r="Z1272" t="s">
        <v>27403</v>
      </c>
      <c r="AA1272">
        <v>0.78103999363452803</v>
      </c>
      <c r="AB1272" t="str">
        <f>HYPERLINK("Melting_Curves/meltCurve_O43715_TRIAP1.pdf", "Melting_Curves/meltCurve_O43715_TRIAP1.pdf")</f>
        <v>Melting_Curves/meltCurve_O43715_TRIAP1.pdf</v>
      </c>
    </row>
    <row r="1273" spans="1:28" x14ac:dyDescent="0.25">
      <c r="A1273" t="s">
        <v>1277</v>
      </c>
      <c r="B1273">
        <v>0.99930955844802105</v>
      </c>
      <c r="C1273">
        <v>0.98531823415415098</v>
      </c>
      <c r="D1273">
        <v>0.94136007804728195</v>
      </c>
      <c r="E1273">
        <v>0.75625034615184505</v>
      </c>
      <c r="F1273">
        <v>0.57081955968571996</v>
      </c>
      <c r="G1273">
        <v>0.38965294177118498</v>
      </c>
      <c r="H1273">
        <v>0.31170560069931202</v>
      </c>
      <c r="I1273">
        <v>0.309536732893467</v>
      </c>
      <c r="J1273">
        <v>0.29299281392854698</v>
      </c>
      <c r="K1273">
        <v>0.25460147438782299</v>
      </c>
      <c r="L1273">
        <v>944.29627302085305</v>
      </c>
      <c r="M1273">
        <v>18.176987179016098</v>
      </c>
      <c r="N1273">
        <v>54.265768772714203</v>
      </c>
      <c r="O1273">
        <v>51.3335457546032</v>
      </c>
      <c r="P1273">
        <v>-6.46429925441519E-2</v>
      </c>
      <c r="Q1273">
        <v>0.26980240467942601</v>
      </c>
      <c r="R1273">
        <v>0.99892216673141698</v>
      </c>
      <c r="S1273" t="s">
        <v>7890</v>
      </c>
      <c r="T1273" t="s">
        <v>13232</v>
      </c>
      <c r="U1273" t="s">
        <v>13232</v>
      </c>
      <c r="V1273" t="s">
        <v>13232</v>
      </c>
      <c r="W1273" t="s">
        <v>14468</v>
      </c>
      <c r="X1273">
        <v>5</v>
      </c>
      <c r="Y1273" t="s">
        <v>20987</v>
      </c>
      <c r="Z1273" t="s">
        <v>27404</v>
      </c>
      <c r="AA1273">
        <v>0.57262393282041413</v>
      </c>
      <c r="AB1273" t="str">
        <f>HYPERLINK("Melting_Curves/meltCurve_O43716_GATC.pdf", "Melting_Curves/meltCurve_O43716_GATC.pdf")</f>
        <v>Melting_Curves/meltCurve_O43716_GATC.pdf</v>
      </c>
    </row>
    <row r="1274" spans="1:28" x14ac:dyDescent="0.25">
      <c r="A1274" t="s">
        <v>1278</v>
      </c>
      <c r="B1274">
        <v>0.99930955844802105</v>
      </c>
      <c r="C1274">
        <v>1.0252686388246699</v>
      </c>
      <c r="D1274">
        <v>0.97379673508771403</v>
      </c>
      <c r="E1274">
        <v>0.81559749580081498</v>
      </c>
      <c r="F1274">
        <v>0.56187689733764301</v>
      </c>
      <c r="G1274">
        <v>0.40155705365118699</v>
      </c>
      <c r="H1274">
        <v>0.29615920659853501</v>
      </c>
      <c r="I1274">
        <v>0.25990041245418</v>
      </c>
      <c r="J1274">
        <v>0.238115727393579</v>
      </c>
      <c r="K1274">
        <v>0.182558384294607</v>
      </c>
      <c r="L1274">
        <v>980.32502158851196</v>
      </c>
      <c r="M1274">
        <v>18.532500939324201</v>
      </c>
      <c r="N1274">
        <v>54.559093521157997</v>
      </c>
      <c r="O1274">
        <v>52.293240939744898</v>
      </c>
      <c r="P1274">
        <v>-6.9496478632064096E-2</v>
      </c>
      <c r="Q1274">
        <v>0.21564039820679301</v>
      </c>
      <c r="R1274">
        <v>0.99420893719084602</v>
      </c>
      <c r="S1274" t="s">
        <v>7891</v>
      </c>
      <c r="T1274" t="s">
        <v>13232</v>
      </c>
      <c r="U1274" t="s">
        <v>13232</v>
      </c>
      <c r="V1274" t="s">
        <v>13232</v>
      </c>
      <c r="W1274" t="s">
        <v>14469</v>
      </c>
      <c r="X1274">
        <v>44</v>
      </c>
      <c r="Y1274" t="s">
        <v>20988</v>
      </c>
      <c r="Z1274" t="s">
        <v>27405</v>
      </c>
      <c r="AA1274">
        <v>0.56512404260231242</v>
      </c>
      <c r="AB1274" t="str">
        <f>HYPERLINK("Melting_Curves/meltCurve_O43719_HTATSF1.pdf", "Melting_Curves/meltCurve_O43719_HTATSF1.pdf")</f>
        <v>Melting_Curves/meltCurve_O43719_HTATSF1.pdf</v>
      </c>
    </row>
    <row r="1275" spans="1:28" x14ac:dyDescent="0.25">
      <c r="A1275" t="s">
        <v>1279</v>
      </c>
      <c r="B1275">
        <v>0.99930955844802105</v>
      </c>
      <c r="C1275">
        <v>1.0721576867556999</v>
      </c>
      <c r="D1275">
        <v>1.07753831636567</v>
      </c>
      <c r="E1275">
        <v>0.96797987154773801</v>
      </c>
      <c r="F1275">
        <v>0.77984466946072994</v>
      </c>
      <c r="G1275">
        <v>0.66040630177743997</v>
      </c>
      <c r="H1275">
        <v>0.414306302936362</v>
      </c>
      <c r="I1275">
        <v>0.55336577942433096</v>
      </c>
      <c r="J1275">
        <v>0.49260941553040299</v>
      </c>
      <c r="K1275">
        <v>0.39097821956297002</v>
      </c>
      <c r="L1275">
        <v>1245.8761881350299</v>
      </c>
      <c r="M1275">
        <v>22.741375886293898</v>
      </c>
      <c r="N1275">
        <v>60.931924320183903</v>
      </c>
      <c r="O1275">
        <v>54.3662134426284</v>
      </c>
      <c r="P1275">
        <v>-5.7560547866852399E-2</v>
      </c>
      <c r="Q1275">
        <v>0.44958690946221802</v>
      </c>
      <c r="R1275">
        <v>0.945337388249199</v>
      </c>
      <c r="S1275" t="s">
        <v>7892</v>
      </c>
      <c r="T1275" t="s">
        <v>13232</v>
      </c>
      <c r="U1275" t="s">
        <v>13232</v>
      </c>
      <c r="V1275" t="s">
        <v>13232</v>
      </c>
      <c r="W1275" t="s">
        <v>14470</v>
      </c>
      <c r="X1275">
        <v>1</v>
      </c>
      <c r="Y1275" t="s">
        <v>20989</v>
      </c>
      <c r="Z1275" t="s">
        <v>27406</v>
      </c>
      <c r="AA1275">
        <v>0.72683870497877168</v>
      </c>
      <c r="AB1275" t="str">
        <f>HYPERLINK("Melting_Curves/meltCurve_O43734_5_TRAF3IP2.pdf", "Melting_Curves/meltCurve_O43734_5_TRAF3IP2.pdf")</f>
        <v>Melting_Curves/meltCurve_O43734_5_TRAF3IP2.pdf</v>
      </c>
    </row>
    <row r="1276" spans="1:28" x14ac:dyDescent="0.25">
      <c r="A1276" t="s">
        <v>1280</v>
      </c>
      <c r="B1276">
        <v>0.99930955844802105</v>
      </c>
      <c r="C1276">
        <v>1.0569486047315899</v>
      </c>
      <c r="D1276">
        <v>0.90997269800320202</v>
      </c>
      <c r="E1276">
        <v>0.66959407386024905</v>
      </c>
      <c r="F1276">
        <v>0.40596707836326401</v>
      </c>
      <c r="G1276">
        <v>0.242407961942052</v>
      </c>
      <c r="H1276">
        <v>0.16554007454814901</v>
      </c>
      <c r="I1276">
        <v>0.153778836307152</v>
      </c>
      <c r="J1276">
        <v>0.109579639066218</v>
      </c>
      <c r="K1276">
        <v>0.10841979253223701</v>
      </c>
      <c r="L1276">
        <v>1037.93592311622</v>
      </c>
      <c r="M1276">
        <v>20.252576823295399</v>
      </c>
      <c r="N1276">
        <v>51.964703421790702</v>
      </c>
      <c r="O1276">
        <v>50.757752253154699</v>
      </c>
      <c r="P1276">
        <v>-8.7621987808239293E-2</v>
      </c>
      <c r="Q1276">
        <v>0.12162137289162001</v>
      </c>
      <c r="R1276">
        <v>0.99473184117843205</v>
      </c>
      <c r="S1276" t="s">
        <v>7893</v>
      </c>
      <c r="T1276" t="s">
        <v>13232</v>
      </c>
      <c r="U1276" t="s">
        <v>13232</v>
      </c>
      <c r="V1276" t="s">
        <v>13232</v>
      </c>
      <c r="W1276" t="s">
        <v>14471</v>
      </c>
      <c r="X1276">
        <v>4</v>
      </c>
      <c r="Y1276" t="s">
        <v>20990</v>
      </c>
      <c r="Z1276" t="s">
        <v>27407</v>
      </c>
      <c r="AA1276">
        <v>0.46290588062151661</v>
      </c>
      <c r="AB1276" t="str">
        <f>HYPERLINK("Melting_Curves/meltCurve_O43739_2_CYTH3.pdf", "Melting_Curves/meltCurve_O43739_2_CYTH3.pdf")</f>
        <v>Melting_Curves/meltCurve_O43739_2_CYTH3.pdf</v>
      </c>
    </row>
    <row r="1277" spans="1:28" x14ac:dyDescent="0.25">
      <c r="A1277" t="s">
        <v>1281</v>
      </c>
      <c r="B1277">
        <v>0.99930955844802105</v>
      </c>
      <c r="C1277">
        <v>0.97941064392942501</v>
      </c>
      <c r="D1277">
        <v>0.981469464940803</v>
      </c>
      <c r="E1277">
        <v>0.92200941315780804</v>
      </c>
      <c r="F1277">
        <v>0.628405690111695</v>
      </c>
      <c r="G1277">
        <v>0.35938785920783201</v>
      </c>
      <c r="H1277">
        <v>0.128796457610524</v>
      </c>
      <c r="I1277">
        <v>8.0479207991246401E-2</v>
      </c>
      <c r="J1277">
        <v>5.8978771134010899E-2</v>
      </c>
      <c r="K1277">
        <v>4.6649369835416399E-2</v>
      </c>
      <c r="L1277">
        <v>1121.16391977835</v>
      </c>
      <c r="M1277">
        <v>20.490583921587302</v>
      </c>
      <c r="N1277">
        <v>54.914812202660002</v>
      </c>
      <c r="O1277">
        <v>54.202918007792</v>
      </c>
      <c r="P1277">
        <v>-9.1133662364430795E-2</v>
      </c>
      <c r="Q1277">
        <v>3.5739816126983001E-2</v>
      </c>
      <c r="R1277">
        <v>0.99687186722963295</v>
      </c>
      <c r="S1277" t="s">
        <v>7894</v>
      </c>
      <c r="T1277" t="s">
        <v>13232</v>
      </c>
      <c r="U1277" t="s">
        <v>13232</v>
      </c>
      <c r="V1277" t="s">
        <v>13232</v>
      </c>
      <c r="W1277" t="s">
        <v>14472</v>
      </c>
      <c r="X1277">
        <v>28</v>
      </c>
      <c r="Y1277" t="s">
        <v>20991</v>
      </c>
      <c r="Z1277" t="s">
        <v>27408</v>
      </c>
      <c r="AA1277">
        <v>0.52119579149129847</v>
      </c>
      <c r="AB1277" t="str">
        <f>HYPERLINK("Melting_Curves/meltCurve_O43747_AP1G1.pdf", "Melting_Curves/meltCurve_O43747_AP1G1.pdf")</f>
        <v>Melting_Curves/meltCurve_O43747_AP1G1.pdf</v>
      </c>
    </row>
    <row r="1278" spans="1:28" x14ac:dyDescent="0.25">
      <c r="A1278" t="s">
        <v>1282</v>
      </c>
      <c r="B1278">
        <v>0.99930955844802105</v>
      </c>
      <c r="C1278">
        <v>1.53358598096795</v>
      </c>
      <c r="D1278">
        <v>1.47656052702607</v>
      </c>
      <c r="E1278">
        <v>1.4210412065309701</v>
      </c>
      <c r="F1278">
        <v>1.3415356223496899</v>
      </c>
      <c r="G1278">
        <v>1.16263518982282</v>
      </c>
      <c r="H1278">
        <v>1.2361983506438601</v>
      </c>
      <c r="I1278">
        <v>1.30317591032003</v>
      </c>
      <c r="J1278">
        <v>1.30010454511472</v>
      </c>
      <c r="K1278">
        <v>1.02287201432013</v>
      </c>
      <c r="L1278">
        <v>10245.5383839276</v>
      </c>
      <c r="M1278">
        <v>250</v>
      </c>
      <c r="O1278">
        <v>40.979530983895103</v>
      </c>
      <c r="P1278">
        <v>0.47410316642767197</v>
      </c>
      <c r="Q1278">
        <v>1.31085640574731</v>
      </c>
      <c r="R1278">
        <v>0.30313939551084201</v>
      </c>
      <c r="S1278" t="s">
        <v>7895</v>
      </c>
      <c r="T1278" t="s">
        <v>13232</v>
      </c>
      <c r="U1278" t="s">
        <v>13232</v>
      </c>
      <c r="V1278" t="s">
        <v>13232</v>
      </c>
      <c r="W1278" t="s">
        <v>14473</v>
      </c>
      <c r="X1278">
        <v>5</v>
      </c>
      <c r="Y1278" t="s">
        <v>20992</v>
      </c>
      <c r="Z1278" t="s">
        <v>27409</v>
      </c>
      <c r="AA1278">
        <v>1.3006536290409461</v>
      </c>
      <c r="AB1278" t="str">
        <f>HYPERLINK("Melting_Curves/meltCurve_O43752_STX6.pdf", "Melting_Curves/meltCurve_O43752_STX6.pdf")</f>
        <v>Melting_Curves/meltCurve_O43752_STX6.pdf</v>
      </c>
    </row>
    <row r="1279" spans="1:28" x14ac:dyDescent="0.25">
      <c r="A1279" t="s">
        <v>1283</v>
      </c>
      <c r="B1279">
        <v>0.99930955844802105</v>
      </c>
      <c r="C1279">
        <v>1.0158629240261099</v>
      </c>
      <c r="D1279">
        <v>1.02601708171647</v>
      </c>
      <c r="E1279">
        <v>0.91091591229843805</v>
      </c>
      <c r="F1279">
        <v>0.56065617705725801</v>
      </c>
      <c r="G1279">
        <v>0.26535910050866801</v>
      </c>
      <c r="H1279">
        <v>0.151837913221951</v>
      </c>
      <c r="I1279">
        <v>0.13417050246791801</v>
      </c>
      <c r="J1279">
        <v>0.13747586337172299</v>
      </c>
      <c r="K1279">
        <v>0.103248945256776</v>
      </c>
      <c r="L1279">
        <v>1570.92122993109</v>
      </c>
      <c r="M1279">
        <v>29.5359550809799</v>
      </c>
      <c r="N1279">
        <v>53.730156216178798</v>
      </c>
      <c r="O1279">
        <v>52.944718055520603</v>
      </c>
      <c r="P1279">
        <v>-0.121459738874172</v>
      </c>
      <c r="Q1279">
        <v>0.12911473086811701</v>
      </c>
      <c r="R1279">
        <v>0.99709125203537996</v>
      </c>
      <c r="S1279" t="s">
        <v>7896</v>
      </c>
      <c r="T1279" t="s">
        <v>13232</v>
      </c>
      <c r="U1279" t="s">
        <v>13232</v>
      </c>
      <c r="V1279" t="s">
        <v>13232</v>
      </c>
      <c r="W1279" t="s">
        <v>14474</v>
      </c>
      <c r="X1279">
        <v>15</v>
      </c>
      <c r="Y1279" t="s">
        <v>20993</v>
      </c>
      <c r="Z1279" t="s">
        <v>27410</v>
      </c>
      <c r="AA1279">
        <v>0.51775653265794486</v>
      </c>
      <c r="AB1279" t="str">
        <f>HYPERLINK("Melting_Curves/meltCurve_O43765_SGTA.pdf", "Melting_Curves/meltCurve_O43765_SGTA.pdf")</f>
        <v>Melting_Curves/meltCurve_O43765_SGTA.pdf</v>
      </c>
    </row>
    <row r="1280" spans="1:28" x14ac:dyDescent="0.25">
      <c r="A1280" t="s">
        <v>1284</v>
      </c>
      <c r="B1280">
        <v>0.99930955844802105</v>
      </c>
      <c r="C1280">
        <v>0.95427007323838098</v>
      </c>
      <c r="D1280">
        <v>0.83062649566023905</v>
      </c>
      <c r="E1280">
        <v>0.66681513532775305</v>
      </c>
      <c r="F1280">
        <v>0.52051185795927002</v>
      </c>
      <c r="G1280">
        <v>0.42765071299009999</v>
      </c>
      <c r="H1280">
        <v>0.31086065981530098</v>
      </c>
      <c r="I1280">
        <v>0.278896049386752</v>
      </c>
      <c r="J1280">
        <v>0.20544119427987101</v>
      </c>
      <c r="K1280">
        <v>0.14671328217468299</v>
      </c>
      <c r="L1280">
        <v>525.90164410161003</v>
      </c>
      <c r="M1280">
        <v>9.9308676901540895</v>
      </c>
      <c r="N1280">
        <v>54.306838281589897</v>
      </c>
      <c r="O1280">
        <v>50.943168749365299</v>
      </c>
      <c r="P1280">
        <v>-4.3424201444937999E-2</v>
      </c>
      <c r="Q1280">
        <v>0.109418364035683</v>
      </c>
      <c r="R1280">
        <v>0.99244767936917799</v>
      </c>
      <c r="S1280" t="s">
        <v>7897</v>
      </c>
      <c r="T1280" t="s">
        <v>13232</v>
      </c>
      <c r="U1280" t="s">
        <v>13232</v>
      </c>
      <c r="V1280" t="s">
        <v>13232</v>
      </c>
      <c r="W1280" t="s">
        <v>14475</v>
      </c>
      <c r="X1280">
        <v>6</v>
      </c>
      <c r="Y1280" t="s">
        <v>20994</v>
      </c>
      <c r="Z1280" t="s">
        <v>27411</v>
      </c>
      <c r="AA1280">
        <v>0.52484807429266545</v>
      </c>
      <c r="AB1280" t="str">
        <f>HYPERLINK("Melting_Curves/meltCurve_O43766_LIAS.pdf", "Melting_Curves/meltCurve_O43766_LIAS.pdf")</f>
        <v>Melting_Curves/meltCurve_O43766_LIAS.pdf</v>
      </c>
    </row>
    <row r="1281" spans="1:28" x14ac:dyDescent="0.25">
      <c r="A1281" t="s">
        <v>1285</v>
      </c>
      <c r="B1281">
        <v>0.99930955844802105</v>
      </c>
      <c r="C1281">
        <v>1.0552674472733701</v>
      </c>
      <c r="D1281">
        <v>1.0653463363511499</v>
      </c>
      <c r="E1281">
        <v>1.1185939589062599</v>
      </c>
      <c r="F1281">
        <v>1.00859768603821</v>
      </c>
      <c r="G1281">
        <v>0.96460140230915703</v>
      </c>
      <c r="H1281">
        <v>0.98118193087271</v>
      </c>
      <c r="I1281">
        <v>1.1122199644556201</v>
      </c>
      <c r="J1281">
        <v>1.0809553538365</v>
      </c>
      <c r="K1281">
        <v>0.87828561928654203</v>
      </c>
      <c r="L1281">
        <v>10276.318960057801</v>
      </c>
      <c r="M1281">
        <v>250</v>
      </c>
      <c r="O1281">
        <v>41.1026521259774</v>
      </c>
      <c r="P1281">
        <v>4.4781026342423799E-2</v>
      </c>
      <c r="Q1281">
        <v>1.02944989830252</v>
      </c>
      <c r="R1281">
        <v>1.6326510193812701E-2</v>
      </c>
      <c r="S1281" t="s">
        <v>7898</v>
      </c>
      <c r="T1281" t="s">
        <v>13232</v>
      </c>
      <c r="U1281" t="s">
        <v>13232</v>
      </c>
      <c r="V1281" t="s">
        <v>13232</v>
      </c>
      <c r="W1281" t="s">
        <v>14476</v>
      </c>
      <c r="X1281">
        <v>14</v>
      </c>
      <c r="Y1281" t="s">
        <v>20995</v>
      </c>
      <c r="Z1281" t="s">
        <v>27412</v>
      </c>
      <c r="AA1281">
        <v>1.02836261355242</v>
      </c>
      <c r="AB1281" t="str">
        <f>HYPERLINK("Melting_Curves/meltCurve_O43768_2_ENSA.pdf", "Melting_Curves/meltCurve_O43768_2_ENSA.pdf")</f>
        <v>Melting_Curves/meltCurve_O43768_2_ENSA.pdf</v>
      </c>
    </row>
    <row r="1282" spans="1:28" x14ac:dyDescent="0.25">
      <c r="A1282" t="s">
        <v>1286</v>
      </c>
      <c r="B1282">
        <v>0.99930955844802105</v>
      </c>
      <c r="C1282">
        <v>0.87523030045372596</v>
      </c>
      <c r="D1282">
        <v>0.89534073485733101</v>
      </c>
      <c r="E1282">
        <v>0.74165020726953901</v>
      </c>
      <c r="F1282">
        <v>0.221765511535609</v>
      </c>
      <c r="G1282">
        <v>0.15366455900086301</v>
      </c>
      <c r="H1282">
        <v>8.8210252014396903E-2</v>
      </c>
      <c r="I1282">
        <v>6.9775092561211102E-2</v>
      </c>
      <c r="J1282">
        <v>6.2399843490215497E-2</v>
      </c>
      <c r="K1282">
        <v>4.7689906711510903E-2</v>
      </c>
      <c r="L1282">
        <v>2063.3953627779902</v>
      </c>
      <c r="M1282">
        <v>40.425572937481803</v>
      </c>
      <c r="N1282">
        <v>51.256843073570202</v>
      </c>
      <c r="O1282">
        <v>50.9174087407226</v>
      </c>
      <c r="P1282">
        <v>-0.18300745366080101</v>
      </c>
      <c r="Q1282">
        <v>7.7984935098698804E-2</v>
      </c>
      <c r="R1282">
        <v>0.97942597469605697</v>
      </c>
      <c r="S1282" t="s">
        <v>7899</v>
      </c>
      <c r="T1282" t="s">
        <v>13232</v>
      </c>
      <c r="U1282" t="s">
        <v>13232</v>
      </c>
      <c r="V1282" t="s">
        <v>13232</v>
      </c>
      <c r="W1282" t="s">
        <v>14184</v>
      </c>
      <c r="X1282">
        <v>35</v>
      </c>
      <c r="Y1282" t="s">
        <v>20714</v>
      </c>
      <c r="Z1282" t="s">
        <v>27413</v>
      </c>
      <c r="AA1282">
        <v>0.42052698348889828</v>
      </c>
      <c r="AB1282" t="str">
        <f>HYPERLINK("Melting_Curves/meltCurve_O43776_NARS.pdf", "Melting_Curves/meltCurve_O43776_NARS.pdf")</f>
        <v>Melting_Curves/meltCurve_O43776_NARS.pdf</v>
      </c>
    </row>
    <row r="1283" spans="1:28" x14ac:dyDescent="0.25">
      <c r="A1283" t="s">
        <v>1287</v>
      </c>
      <c r="B1283">
        <v>0.99930955844802105</v>
      </c>
      <c r="C1283">
        <v>0.92331833169503397</v>
      </c>
      <c r="D1283">
        <v>0.91682572116961503</v>
      </c>
      <c r="E1283">
        <v>0.65683885989241597</v>
      </c>
      <c r="F1283">
        <v>0.28724088202561698</v>
      </c>
      <c r="G1283">
        <v>0.22324319640816101</v>
      </c>
      <c r="H1283">
        <v>0.13434601319116499</v>
      </c>
      <c r="I1283">
        <v>0.144558122552604</v>
      </c>
      <c r="J1283">
        <v>0.124288873760452</v>
      </c>
      <c r="K1283">
        <v>9.7086896502012895E-2</v>
      </c>
      <c r="L1283">
        <v>1240.2808461207501</v>
      </c>
      <c r="M1283">
        <v>24.5310493746193</v>
      </c>
      <c r="N1283">
        <v>51.157048369020799</v>
      </c>
      <c r="O1283">
        <v>50.227237539942699</v>
      </c>
      <c r="P1283">
        <v>-0.10689515126719901</v>
      </c>
      <c r="Q1283">
        <v>0.124542902910873</v>
      </c>
      <c r="R1283">
        <v>0.99099961038107498</v>
      </c>
      <c r="S1283" t="s">
        <v>7900</v>
      </c>
      <c r="T1283" t="s">
        <v>13232</v>
      </c>
      <c r="U1283" t="s">
        <v>13232</v>
      </c>
      <c r="V1283" t="s">
        <v>13232</v>
      </c>
      <c r="W1283" t="s">
        <v>14477</v>
      </c>
      <c r="X1283">
        <v>1</v>
      </c>
      <c r="Y1283" t="s">
        <v>20996</v>
      </c>
      <c r="Z1283" t="s">
        <v>27414</v>
      </c>
      <c r="AA1283">
        <v>0.44086536518284331</v>
      </c>
      <c r="AB1283" t="str">
        <f>HYPERLINK("Melting_Curves/meltCurve_O43791_SPOP.pdf", "Melting_Curves/meltCurve_O43791_SPOP.pdf")</f>
        <v>Melting_Curves/meltCurve_O43791_SPOP.pdf</v>
      </c>
    </row>
    <row r="1284" spans="1:28" x14ac:dyDescent="0.25">
      <c r="A1284" t="s">
        <v>1288</v>
      </c>
      <c r="B1284">
        <v>0.99930955844802105</v>
      </c>
      <c r="C1284">
        <v>1.1917369097899499</v>
      </c>
      <c r="D1284">
        <v>1.24700632710916</v>
      </c>
      <c r="E1284">
        <v>1.1328242528963399</v>
      </c>
      <c r="F1284">
        <v>0.93334161245290503</v>
      </c>
      <c r="G1284">
        <v>0.78941973873887805</v>
      </c>
      <c r="H1284">
        <v>0.72262397895909503</v>
      </c>
      <c r="I1284">
        <v>0.663898763587352</v>
      </c>
      <c r="J1284">
        <v>0.62934157594967699</v>
      </c>
      <c r="K1284">
        <v>0.52776930687714796</v>
      </c>
      <c r="L1284">
        <v>1201.20327529209</v>
      </c>
      <c r="M1284">
        <v>20.535445649054498</v>
      </c>
      <c r="O1284">
        <v>57.947915098151199</v>
      </c>
      <c r="P1284">
        <v>-3.80971395924301E-2</v>
      </c>
      <c r="Q1284">
        <v>0.56999514764974302</v>
      </c>
      <c r="R1284">
        <v>0.778005886050113</v>
      </c>
      <c r="S1284" t="s">
        <v>7901</v>
      </c>
      <c r="T1284" t="s">
        <v>13232</v>
      </c>
      <c r="U1284" t="s">
        <v>13232</v>
      </c>
      <c r="V1284" t="s">
        <v>13232</v>
      </c>
      <c r="W1284" t="s">
        <v>14478</v>
      </c>
      <c r="X1284">
        <v>4</v>
      </c>
      <c r="Y1284" t="s">
        <v>20997</v>
      </c>
      <c r="Z1284" t="s">
        <v>27415</v>
      </c>
      <c r="AA1284">
        <v>0.83960383634822799</v>
      </c>
      <c r="AB1284" t="str">
        <f>HYPERLINK("Melting_Curves/meltCurve_O43805_SSNA1.pdf", "Melting_Curves/meltCurve_O43805_SSNA1.pdf")</f>
        <v>Melting_Curves/meltCurve_O43805_SSNA1.pdf</v>
      </c>
    </row>
    <row r="1285" spans="1:28" x14ac:dyDescent="0.25">
      <c r="A1285" t="s">
        <v>1289</v>
      </c>
      <c r="B1285">
        <v>0.99930955844802105</v>
      </c>
      <c r="C1285">
        <v>1.0105791467402701</v>
      </c>
      <c r="D1285">
        <v>1.01613179054138</v>
      </c>
      <c r="E1285">
        <v>1.0101848495247101</v>
      </c>
      <c r="F1285">
        <v>0.95484752317434995</v>
      </c>
      <c r="G1285">
        <v>0.37706613685710899</v>
      </c>
      <c r="H1285">
        <v>0.15527588323479799</v>
      </c>
      <c r="I1285">
        <v>0.10970505622578899</v>
      </c>
      <c r="J1285">
        <v>7.0761169909838106E-2</v>
      </c>
      <c r="K1285">
        <v>5.2585419985452603E-2</v>
      </c>
      <c r="L1285">
        <v>2554.8747577714598</v>
      </c>
      <c r="M1285">
        <v>45.5459831560526</v>
      </c>
      <c r="N1285">
        <v>56.336230344822802</v>
      </c>
      <c r="O1285">
        <v>55.986595852407099</v>
      </c>
      <c r="P1285">
        <v>-0.18532007669546899</v>
      </c>
      <c r="Q1285">
        <v>8.8795540716238602E-2</v>
      </c>
      <c r="R1285">
        <v>0.99744667597498304</v>
      </c>
      <c r="S1285" t="s">
        <v>7902</v>
      </c>
      <c r="T1285" t="s">
        <v>13232</v>
      </c>
      <c r="U1285" t="s">
        <v>13232</v>
      </c>
      <c r="V1285" t="s">
        <v>13232</v>
      </c>
      <c r="W1285" t="s">
        <v>14479</v>
      </c>
      <c r="X1285">
        <v>12</v>
      </c>
      <c r="Y1285" t="s">
        <v>20998</v>
      </c>
      <c r="Z1285" t="s">
        <v>27416</v>
      </c>
      <c r="AA1285">
        <v>0.58035167305081492</v>
      </c>
      <c r="AB1285" t="str">
        <f>HYPERLINK("Melting_Curves/meltCurve_O43809_NUDT21.pdf", "Melting_Curves/meltCurve_O43809_NUDT21.pdf")</f>
        <v>Melting_Curves/meltCurve_O43809_NUDT21.pdf</v>
      </c>
    </row>
    <row r="1286" spans="1:28" x14ac:dyDescent="0.25">
      <c r="A1286" t="s">
        <v>1290</v>
      </c>
      <c r="B1286">
        <v>0.99930955844802105</v>
      </c>
      <c r="C1286">
        <v>1.38290606657207</v>
      </c>
      <c r="D1286">
        <v>1.15305985800444</v>
      </c>
      <c r="E1286">
        <v>1.1253229878327899</v>
      </c>
      <c r="F1286">
        <v>0.98200827384322997</v>
      </c>
      <c r="G1286">
        <v>0.63078397777249096</v>
      </c>
      <c r="H1286">
        <v>0.211260200803191</v>
      </c>
      <c r="I1286">
        <v>0.133144825490255</v>
      </c>
      <c r="J1286">
        <v>0.107084907819003</v>
      </c>
      <c r="K1286">
        <v>8.7137380141464202E-2</v>
      </c>
      <c r="L1286">
        <v>2190.08035899169</v>
      </c>
      <c r="M1286">
        <v>38.023250355851303</v>
      </c>
      <c r="N1286">
        <v>57.9513406792653</v>
      </c>
      <c r="O1286">
        <v>57.439835689494103</v>
      </c>
      <c r="P1286">
        <v>-0.148389478856367</v>
      </c>
      <c r="Q1286">
        <v>0.10334397160849799</v>
      </c>
      <c r="R1286">
        <v>0.91892835061649203</v>
      </c>
      <c r="S1286" t="s">
        <v>7903</v>
      </c>
      <c r="T1286" t="s">
        <v>13232</v>
      </c>
      <c r="U1286" t="s">
        <v>13232</v>
      </c>
      <c r="V1286" t="s">
        <v>13232</v>
      </c>
      <c r="W1286" t="s">
        <v>14480</v>
      </c>
      <c r="X1286">
        <v>13</v>
      </c>
      <c r="Y1286" t="s">
        <v>20999</v>
      </c>
      <c r="Z1286" t="s">
        <v>27417</v>
      </c>
      <c r="AA1286">
        <v>0.63320660867862855</v>
      </c>
      <c r="AB1286" t="str">
        <f>HYPERLINK("Melting_Curves/meltCurve_O43813_LANCL1.pdf", "Melting_Curves/meltCurve_O43813_LANCL1.pdf")</f>
        <v>Melting_Curves/meltCurve_O43813_LANCL1.pdf</v>
      </c>
    </row>
    <row r="1287" spans="1:28" x14ac:dyDescent="0.25">
      <c r="A1287" t="s">
        <v>1291</v>
      </c>
      <c r="B1287">
        <v>0.99930955844802105</v>
      </c>
      <c r="C1287">
        <v>0.93782789648431597</v>
      </c>
      <c r="D1287">
        <v>0.92537354137053995</v>
      </c>
      <c r="E1287">
        <v>0.86983044358306705</v>
      </c>
      <c r="F1287">
        <v>0.67101256787308905</v>
      </c>
      <c r="G1287">
        <v>0.35514208749477899</v>
      </c>
      <c r="H1287">
        <v>0.25122958868019601</v>
      </c>
      <c r="I1287">
        <v>0.239864401531965</v>
      </c>
      <c r="J1287">
        <v>0.246198899401601</v>
      </c>
      <c r="K1287">
        <v>0.18526687335672201</v>
      </c>
      <c r="L1287">
        <v>1167.35973701487</v>
      </c>
      <c r="M1287">
        <v>21.770155666236001</v>
      </c>
      <c r="N1287">
        <v>54.957523983901197</v>
      </c>
      <c r="O1287">
        <v>53.175722236563999</v>
      </c>
      <c r="P1287">
        <v>-8.1328076696638898E-2</v>
      </c>
      <c r="Q1287">
        <v>0.20541156379554801</v>
      </c>
      <c r="R1287">
        <v>0.99155707283057104</v>
      </c>
      <c r="S1287" t="s">
        <v>7904</v>
      </c>
      <c r="T1287" t="s">
        <v>13232</v>
      </c>
      <c r="U1287" t="s">
        <v>13232</v>
      </c>
      <c r="V1287" t="s">
        <v>13232</v>
      </c>
      <c r="W1287" t="s">
        <v>14481</v>
      </c>
      <c r="X1287">
        <v>25</v>
      </c>
      <c r="Y1287" t="s">
        <v>21000</v>
      </c>
      <c r="Z1287" t="s">
        <v>27418</v>
      </c>
      <c r="AA1287">
        <v>0.5756149063762801</v>
      </c>
      <c r="AB1287" t="str">
        <f>HYPERLINK("Melting_Curves/meltCurve_O43815_STRN.pdf", "Melting_Curves/meltCurve_O43815_STRN.pdf")</f>
        <v>Melting_Curves/meltCurve_O43815_STRN.pdf</v>
      </c>
    </row>
    <row r="1288" spans="1:28" x14ac:dyDescent="0.25">
      <c r="A1288" t="s">
        <v>1292</v>
      </c>
      <c r="B1288">
        <v>0.99930955844802105</v>
      </c>
      <c r="C1288">
        <v>1.0309375588932701</v>
      </c>
      <c r="D1288">
        <v>1.0527535633602101</v>
      </c>
      <c r="E1288">
        <v>1.07183439946211</v>
      </c>
      <c r="F1288">
        <v>1.04950843356914</v>
      </c>
      <c r="G1288">
        <v>0.77200825376173599</v>
      </c>
      <c r="H1288">
        <v>0.40529697158919997</v>
      </c>
      <c r="I1288">
        <v>0.291873804165656</v>
      </c>
      <c r="J1288">
        <v>0.235369382453955</v>
      </c>
      <c r="K1288">
        <v>0.16851502352412401</v>
      </c>
      <c r="L1288">
        <v>1831.97831083757</v>
      </c>
      <c r="M1288">
        <v>31.083558883899499</v>
      </c>
      <c r="N1288">
        <v>59.924737334007702</v>
      </c>
      <c r="O1288">
        <v>58.694885376999203</v>
      </c>
      <c r="P1288">
        <v>-0.105860236006039</v>
      </c>
      <c r="Q1288">
        <v>0.20042372121904001</v>
      </c>
      <c r="R1288">
        <v>0.98677406598145601</v>
      </c>
      <c r="S1288" t="s">
        <v>7905</v>
      </c>
      <c r="T1288" t="s">
        <v>13232</v>
      </c>
      <c r="U1288" t="s">
        <v>13232</v>
      </c>
      <c r="V1288" t="s">
        <v>13232</v>
      </c>
      <c r="W1288" t="s">
        <v>14482</v>
      </c>
      <c r="X1288">
        <v>12</v>
      </c>
      <c r="Y1288" t="s">
        <v>21001</v>
      </c>
      <c r="Z1288" t="s">
        <v>27419</v>
      </c>
      <c r="AA1288">
        <v>0.71000854877545438</v>
      </c>
      <c r="AB1288" t="str">
        <f>HYPERLINK("Melting_Curves/meltCurve_O43818_RRP9.pdf", "Melting_Curves/meltCurve_O43818_RRP9.pdf")</f>
        <v>Melting_Curves/meltCurve_O43818_RRP9.pdf</v>
      </c>
    </row>
    <row r="1289" spans="1:28" x14ac:dyDescent="0.25">
      <c r="A1289" t="s">
        <v>1293</v>
      </c>
      <c r="B1289">
        <v>0.99930955844802105</v>
      </c>
      <c r="C1289">
        <v>0.888143727361275</v>
      </c>
      <c r="D1289">
        <v>0.58419851431696401</v>
      </c>
      <c r="E1289">
        <v>0.41350228525247901</v>
      </c>
      <c r="F1289">
        <v>0.31407412895561698</v>
      </c>
      <c r="G1289">
        <v>0.246554558281847</v>
      </c>
      <c r="H1289">
        <v>0.19457145098502199</v>
      </c>
      <c r="I1289">
        <v>0.187856843886922</v>
      </c>
      <c r="J1289">
        <v>0.18288802039334301</v>
      </c>
      <c r="K1289">
        <v>0.14306801060243601</v>
      </c>
      <c r="L1289">
        <v>754.72293086096897</v>
      </c>
      <c r="M1289">
        <v>16.106219984661902</v>
      </c>
      <c r="N1289">
        <v>48.168750588544</v>
      </c>
      <c r="O1289">
        <v>46.154590002166998</v>
      </c>
      <c r="P1289">
        <v>-7.1777653548782294E-2</v>
      </c>
      <c r="Q1289">
        <v>0.17730797093077799</v>
      </c>
      <c r="R1289">
        <v>0.98683679715154005</v>
      </c>
      <c r="S1289" t="s">
        <v>7906</v>
      </c>
      <c r="T1289" t="s">
        <v>13232</v>
      </c>
      <c r="U1289" t="s">
        <v>13232</v>
      </c>
      <c r="V1289" t="s">
        <v>13232</v>
      </c>
      <c r="W1289" t="s">
        <v>14483</v>
      </c>
      <c r="X1289">
        <v>7</v>
      </c>
      <c r="Y1289" t="s">
        <v>21002</v>
      </c>
      <c r="Z1289" t="s">
        <v>27420</v>
      </c>
      <c r="AA1289">
        <v>0.38483533938063658</v>
      </c>
      <c r="AB1289" t="str">
        <f>HYPERLINK("Melting_Curves/meltCurve_O43822_2_C21orf2.pdf", "Melting_Curves/meltCurve_O43822_2_C21orf2.pdf")</f>
        <v>Melting_Curves/meltCurve_O43822_2_C21orf2.pdf</v>
      </c>
    </row>
    <row r="1290" spans="1:28" x14ac:dyDescent="0.25">
      <c r="A1290" t="s">
        <v>1294</v>
      </c>
      <c r="B1290">
        <v>0.99930955844802105</v>
      </c>
      <c r="C1290">
        <v>0.82715922193392899</v>
      </c>
      <c r="D1290">
        <v>0.73847498452452298</v>
      </c>
      <c r="E1290">
        <v>0.564093018628535</v>
      </c>
      <c r="F1290">
        <v>0.40491976743990699</v>
      </c>
      <c r="G1290">
        <v>0.309003229625674</v>
      </c>
      <c r="H1290">
        <v>0.20022342729819001</v>
      </c>
      <c r="I1290">
        <v>0.19827571184404</v>
      </c>
      <c r="J1290">
        <v>0.17309462600728301</v>
      </c>
      <c r="K1290">
        <v>0.140274249218935</v>
      </c>
      <c r="L1290">
        <v>537.92152229044905</v>
      </c>
      <c r="M1290">
        <v>10.796050226297099</v>
      </c>
      <c r="N1290">
        <v>51.028108619177502</v>
      </c>
      <c r="O1290">
        <v>48.2076028134111</v>
      </c>
      <c r="P1290">
        <v>-4.9717862910289297E-2</v>
      </c>
      <c r="Q1290">
        <v>0.11230120357446501</v>
      </c>
      <c r="R1290">
        <v>0.99260240078763196</v>
      </c>
      <c r="S1290" t="s">
        <v>7907</v>
      </c>
      <c r="T1290" t="s">
        <v>13232</v>
      </c>
      <c r="U1290" t="s">
        <v>13232</v>
      </c>
      <c r="V1290" t="s">
        <v>13232</v>
      </c>
      <c r="W1290" t="s">
        <v>14484</v>
      </c>
      <c r="X1290">
        <v>10</v>
      </c>
      <c r="Y1290" t="s">
        <v>21003</v>
      </c>
      <c r="Z1290" t="s">
        <v>27421</v>
      </c>
      <c r="AA1290">
        <v>0.43952749331634922</v>
      </c>
      <c r="AB1290" t="str">
        <f>HYPERLINK("Melting_Curves/meltCurve_O43823_AKAP8.pdf", "Melting_Curves/meltCurve_O43823_AKAP8.pdf")</f>
        <v>Melting_Curves/meltCurve_O43823_AKAP8.pdf</v>
      </c>
    </row>
    <row r="1291" spans="1:28" x14ac:dyDescent="0.25">
      <c r="A1291" t="s">
        <v>1295</v>
      </c>
      <c r="B1291">
        <v>0.99930955844802105</v>
      </c>
      <c r="C1291">
        <v>0.98694072136879596</v>
      </c>
      <c r="D1291">
        <v>0.99204915433018603</v>
      </c>
      <c r="E1291">
        <v>0.91159667467980698</v>
      </c>
      <c r="F1291">
        <v>0.84883404966488496</v>
      </c>
      <c r="G1291">
        <v>0.57418683495031697</v>
      </c>
      <c r="H1291">
        <v>0.45262900447747301</v>
      </c>
      <c r="I1291">
        <v>0.39818407042111997</v>
      </c>
      <c r="J1291">
        <v>0.33380492557816999</v>
      </c>
      <c r="K1291">
        <v>0.27767474982224399</v>
      </c>
      <c r="L1291">
        <v>920.49935881941701</v>
      </c>
      <c r="M1291">
        <v>16.2835276427003</v>
      </c>
      <c r="N1291">
        <v>59.432052364338801</v>
      </c>
      <c r="O1291">
        <v>55.697549575729603</v>
      </c>
      <c r="P1291">
        <v>-5.3046940230223001E-2</v>
      </c>
      <c r="Q1291">
        <v>0.27426839304707801</v>
      </c>
      <c r="R1291">
        <v>0.99431622519652796</v>
      </c>
      <c r="S1291" t="s">
        <v>7908</v>
      </c>
      <c r="T1291" t="s">
        <v>13232</v>
      </c>
      <c r="U1291" t="s">
        <v>13232</v>
      </c>
      <c r="V1291" t="s">
        <v>13232</v>
      </c>
      <c r="W1291" t="s">
        <v>14485</v>
      </c>
      <c r="X1291">
        <v>11</v>
      </c>
      <c r="Y1291" t="s">
        <v>21004</v>
      </c>
      <c r="Z1291" t="s">
        <v>27422</v>
      </c>
      <c r="AA1291">
        <v>0.6855366224668884</v>
      </c>
      <c r="AB1291" t="str">
        <f>HYPERLINK("Melting_Curves/meltCurve_O43829_ZBTB14.pdf", "Melting_Curves/meltCurve_O43829_ZBTB14.pdf")</f>
        <v>Melting_Curves/meltCurve_O43829_ZBTB14.pdf</v>
      </c>
    </row>
    <row r="1292" spans="1:28" x14ac:dyDescent="0.25">
      <c r="A1292" t="s">
        <v>1296</v>
      </c>
      <c r="B1292">
        <v>0.99930955844802105</v>
      </c>
      <c r="C1292">
        <v>0.51389459577372898</v>
      </c>
      <c r="D1292">
        <v>0.27340480173745901</v>
      </c>
      <c r="E1292">
        <v>0.251529539549952</v>
      </c>
      <c r="F1292">
        <v>0.18589159865138499</v>
      </c>
      <c r="G1292">
        <v>0.11652801915706</v>
      </c>
      <c r="H1292">
        <v>7.53323162083262E-2</v>
      </c>
      <c r="I1292">
        <v>5.86301762796003E-2</v>
      </c>
      <c r="J1292">
        <v>5.3517096971257401E-2</v>
      </c>
      <c r="K1292">
        <v>4.1826211889621601E-2</v>
      </c>
      <c r="L1292">
        <v>1137.93865066389</v>
      </c>
      <c r="M1292">
        <v>26.397398553795199</v>
      </c>
      <c r="N1292">
        <v>43.504190710934402</v>
      </c>
      <c r="O1292">
        <v>42.8628760328045</v>
      </c>
      <c r="P1292">
        <v>-0.13751561807660401</v>
      </c>
      <c r="Q1292">
        <v>0.106843740713004</v>
      </c>
      <c r="R1292">
        <v>0.94260882636743304</v>
      </c>
      <c r="S1292" t="s">
        <v>7909</v>
      </c>
      <c r="T1292" t="s">
        <v>13232</v>
      </c>
      <c r="U1292" t="s">
        <v>13232</v>
      </c>
      <c r="V1292" t="s">
        <v>13232</v>
      </c>
      <c r="W1292" t="s">
        <v>14486</v>
      </c>
      <c r="X1292">
        <v>7</v>
      </c>
      <c r="Y1292" t="s">
        <v>21005</v>
      </c>
      <c r="Z1292" t="s">
        <v>27423</v>
      </c>
      <c r="AA1292">
        <v>0.21028549093315169</v>
      </c>
      <c r="AB1292" t="str">
        <f>HYPERLINK("Melting_Curves/meltCurve_O43837_IDH3B.pdf", "Melting_Curves/meltCurve_O43837_IDH3B.pdf")</f>
        <v>Melting_Curves/meltCurve_O43837_IDH3B.pdf</v>
      </c>
    </row>
    <row r="1293" spans="1:28" x14ac:dyDescent="0.25">
      <c r="A1293" t="s">
        <v>1297</v>
      </c>
      <c r="B1293">
        <v>0.99930955844802105</v>
      </c>
      <c r="C1293">
        <v>1.0033534305635401</v>
      </c>
      <c r="D1293">
        <v>0.68025738937188096</v>
      </c>
      <c r="E1293">
        <v>0.55565402008516895</v>
      </c>
      <c r="F1293">
        <v>0.28339693728938198</v>
      </c>
      <c r="G1293">
        <v>0.13892639314000199</v>
      </c>
      <c r="H1293">
        <v>7.9516712812028906E-2</v>
      </c>
      <c r="I1293">
        <v>6.3727143947793996E-2</v>
      </c>
      <c r="J1293">
        <v>5.5148728942760197E-2</v>
      </c>
      <c r="K1293">
        <v>4.1763184785742397E-2</v>
      </c>
      <c r="L1293">
        <v>756.45193807829196</v>
      </c>
      <c r="M1293">
        <v>15.2177262591506</v>
      </c>
      <c r="N1293">
        <v>49.9079052344646</v>
      </c>
      <c r="O1293">
        <v>48.873928145437297</v>
      </c>
      <c r="P1293">
        <v>-7.5554166148191798E-2</v>
      </c>
      <c r="Q1293">
        <v>2.9480154801465399E-2</v>
      </c>
      <c r="R1293">
        <v>0.98410535175287095</v>
      </c>
      <c r="S1293" t="s">
        <v>7910</v>
      </c>
      <c r="T1293" t="s">
        <v>13232</v>
      </c>
      <c r="U1293" t="s">
        <v>13232</v>
      </c>
      <c r="V1293" t="s">
        <v>13232</v>
      </c>
      <c r="W1293" t="s">
        <v>14487</v>
      </c>
      <c r="X1293">
        <v>38</v>
      </c>
      <c r="Y1293" t="s">
        <v>21006</v>
      </c>
      <c r="Z1293" t="s">
        <v>27424</v>
      </c>
      <c r="AA1293">
        <v>0.36632348747809251</v>
      </c>
      <c r="AB1293" t="str">
        <f>HYPERLINK("Melting_Curves/meltCurve_O43847_NRD1.pdf", "Melting_Curves/meltCurve_O43847_NRD1.pdf")</f>
        <v>Melting_Curves/meltCurve_O43847_NRD1.pdf</v>
      </c>
    </row>
    <row r="1294" spans="1:28" x14ac:dyDescent="0.25">
      <c r="A1294" t="s">
        <v>1298</v>
      </c>
      <c r="B1294">
        <v>0.99930955844802105</v>
      </c>
      <c r="C1294">
        <v>1.04397528625086</v>
      </c>
      <c r="D1294">
        <v>1.02338452758808</v>
      </c>
      <c r="E1294">
        <v>0.99139981824896295</v>
      </c>
      <c r="F1294">
        <v>0.82167099622534001</v>
      </c>
      <c r="G1294">
        <v>0.70454201221047097</v>
      </c>
      <c r="H1294">
        <v>0.74851358038021998</v>
      </c>
      <c r="I1294">
        <v>0.76834403122899098</v>
      </c>
      <c r="J1294">
        <v>0.81907888140580598</v>
      </c>
      <c r="K1294">
        <v>0.67824760333280698</v>
      </c>
      <c r="L1294">
        <v>4269.7137501130401</v>
      </c>
      <c r="M1294">
        <v>81.399977879778803</v>
      </c>
      <c r="O1294">
        <v>52.421870106775302</v>
      </c>
      <c r="P1294">
        <v>-9.9475059551733205E-2</v>
      </c>
      <c r="Q1294">
        <v>0.74375090541039302</v>
      </c>
      <c r="R1294">
        <v>0.91783292782026205</v>
      </c>
      <c r="S1294" t="s">
        <v>7911</v>
      </c>
      <c r="T1294" t="s">
        <v>13232</v>
      </c>
      <c r="U1294" t="s">
        <v>13232</v>
      </c>
      <c r="V1294" t="s">
        <v>13232</v>
      </c>
      <c r="W1294" t="s">
        <v>14488</v>
      </c>
      <c r="X1294">
        <v>21</v>
      </c>
      <c r="Y1294" t="s">
        <v>21007</v>
      </c>
      <c r="Z1294" t="s">
        <v>27425</v>
      </c>
      <c r="AA1294">
        <v>0.85034709926689089</v>
      </c>
      <c r="AB1294" t="str">
        <f>HYPERLINK("Melting_Curves/meltCurve_O43852_CALU.pdf", "Melting_Curves/meltCurve_O43852_CALU.pdf")</f>
        <v>Melting_Curves/meltCurve_O43852_CALU.pdf</v>
      </c>
    </row>
    <row r="1295" spans="1:28" x14ac:dyDescent="0.25">
      <c r="A1295" t="s">
        <v>1299</v>
      </c>
      <c r="B1295">
        <v>0.99930955844802105</v>
      </c>
      <c r="C1295">
        <v>1.0055742732786801</v>
      </c>
      <c r="D1295">
        <v>0.91774451851675698</v>
      </c>
      <c r="E1295">
        <v>0.713653020725732</v>
      </c>
      <c r="F1295">
        <v>0.27058699359740601</v>
      </c>
      <c r="G1295">
        <v>0.20224367468986401</v>
      </c>
      <c r="H1295">
        <v>0.122954034694508</v>
      </c>
      <c r="I1295">
        <v>9.2736853185250101E-2</v>
      </c>
      <c r="J1295">
        <v>6.0314315629992801E-2</v>
      </c>
      <c r="K1295">
        <v>4.2342305477922698E-2</v>
      </c>
      <c r="L1295">
        <v>1444.9094697297901</v>
      </c>
      <c r="M1295">
        <v>28.2995927883712</v>
      </c>
      <c r="N1295">
        <v>51.399787624932401</v>
      </c>
      <c r="O1295">
        <v>50.804697438048898</v>
      </c>
      <c r="P1295">
        <v>-0.12730170727765999</v>
      </c>
      <c r="Q1295">
        <v>8.5856588975131598E-2</v>
      </c>
      <c r="R1295">
        <v>0.99038428284546798</v>
      </c>
      <c r="S1295" t="s">
        <v>7912</v>
      </c>
      <c r="T1295" t="s">
        <v>13232</v>
      </c>
      <c r="U1295" t="s">
        <v>13232</v>
      </c>
      <c r="V1295" t="s">
        <v>13232</v>
      </c>
      <c r="W1295" t="s">
        <v>14489</v>
      </c>
      <c r="X1295">
        <v>21</v>
      </c>
      <c r="Y1295" t="s">
        <v>21008</v>
      </c>
      <c r="Z1295" t="s">
        <v>27426</v>
      </c>
      <c r="AA1295">
        <v>0.42926223979487882</v>
      </c>
      <c r="AB1295" t="str">
        <f>HYPERLINK("Melting_Curves/meltCurve_O43865_AHCYL1.pdf", "Melting_Curves/meltCurve_O43865_AHCYL1.pdf")</f>
        <v>Melting_Curves/meltCurve_O43865_AHCYL1.pdf</v>
      </c>
    </row>
    <row r="1296" spans="1:28" x14ac:dyDescent="0.25">
      <c r="A1296" t="s">
        <v>1300</v>
      </c>
      <c r="B1296">
        <v>0.99930955844802105</v>
      </c>
      <c r="C1296">
        <v>0.97160239876701304</v>
      </c>
      <c r="D1296">
        <v>0.89263371877062303</v>
      </c>
      <c r="E1296">
        <v>0.83291709775274303</v>
      </c>
      <c r="F1296">
        <v>0.76520210727197302</v>
      </c>
      <c r="G1296">
        <v>0.94041947727295905</v>
      </c>
      <c r="H1296">
        <v>0.80788067119896001</v>
      </c>
      <c r="I1296">
        <v>0.95732371533176597</v>
      </c>
      <c r="J1296">
        <v>1.10745403188743</v>
      </c>
      <c r="K1296">
        <v>0.717239327184507</v>
      </c>
      <c r="L1296">
        <v>2155.3226642484101</v>
      </c>
      <c r="M1296">
        <v>48.975317398902199</v>
      </c>
      <c r="O1296">
        <v>43.935160326845804</v>
      </c>
      <c r="P1296">
        <v>-3.4593537593606102E-2</v>
      </c>
      <c r="Q1296">
        <v>0.87586635820316405</v>
      </c>
      <c r="R1296">
        <v>0.15045639789453699</v>
      </c>
      <c r="S1296" t="s">
        <v>7913</v>
      </c>
      <c r="T1296" t="s">
        <v>13232</v>
      </c>
      <c r="U1296" t="s">
        <v>13232</v>
      </c>
      <c r="V1296" t="s">
        <v>13232</v>
      </c>
      <c r="W1296" t="s">
        <v>14490</v>
      </c>
      <c r="X1296">
        <v>4</v>
      </c>
      <c r="Y1296" t="s">
        <v>21009</v>
      </c>
      <c r="Z1296" t="s">
        <v>27427</v>
      </c>
      <c r="AA1296">
        <v>0.89272507690489167</v>
      </c>
      <c r="AB1296" t="str">
        <f>HYPERLINK("Melting_Curves/meltCurve_O43896_KIF1C.pdf", "Melting_Curves/meltCurve_O43896_KIF1C.pdf")</f>
        <v>Melting_Curves/meltCurve_O43896_KIF1C.pdf</v>
      </c>
    </row>
    <row r="1297" spans="1:28" x14ac:dyDescent="0.25">
      <c r="A1297" t="s">
        <v>1301</v>
      </c>
      <c r="B1297">
        <v>0.99930955844802105</v>
      </c>
      <c r="C1297">
        <v>0.520330921959544</v>
      </c>
      <c r="D1297">
        <v>0.43533997655705697</v>
      </c>
      <c r="E1297">
        <v>0.31755554277916498</v>
      </c>
      <c r="F1297">
        <v>0.24485683420571999</v>
      </c>
      <c r="G1297">
        <v>0.13393911281304899</v>
      </c>
      <c r="H1297">
        <v>7.4680564436075E-2</v>
      </c>
      <c r="I1297">
        <v>4.7301760925694297E-2</v>
      </c>
      <c r="J1297">
        <v>1.89299288707474E-2</v>
      </c>
      <c r="K1297">
        <v>3.9419068696374897E-2</v>
      </c>
      <c r="L1297">
        <v>520.35783485981403</v>
      </c>
      <c r="M1297">
        <v>11.494862109863</v>
      </c>
      <c r="N1297">
        <v>45.525014150356597</v>
      </c>
      <c r="O1297">
        <v>43.9636786091529</v>
      </c>
      <c r="P1297">
        <v>-6.3335639173344602E-2</v>
      </c>
      <c r="Q1297">
        <v>3.1332345363387103E-2</v>
      </c>
      <c r="R1297">
        <v>0.92927945046299298</v>
      </c>
      <c r="S1297" t="s">
        <v>7914</v>
      </c>
      <c r="T1297" t="s">
        <v>13232</v>
      </c>
      <c r="U1297" t="s">
        <v>13232</v>
      </c>
      <c r="V1297" t="s">
        <v>13232</v>
      </c>
      <c r="W1297" t="s">
        <v>14491</v>
      </c>
      <c r="X1297">
        <v>5</v>
      </c>
      <c r="Y1297" t="s">
        <v>21010</v>
      </c>
      <c r="Z1297" t="s">
        <v>27428</v>
      </c>
      <c r="AA1297">
        <v>0.25243652004202738</v>
      </c>
      <c r="AB1297" t="str">
        <f>HYPERLINK("Melting_Curves/meltCurve_O43913_ORC5.pdf", "Melting_Curves/meltCurve_O43913_ORC5.pdf")</f>
        <v>Melting_Curves/meltCurve_O43913_ORC5.pdf</v>
      </c>
    </row>
    <row r="1298" spans="1:28" x14ac:dyDescent="0.25">
      <c r="A1298" t="s">
        <v>1302</v>
      </c>
      <c r="B1298">
        <v>0.99930955844802105</v>
      </c>
      <c r="C1298">
        <v>0.868090641198624</v>
      </c>
      <c r="D1298">
        <v>0.83072976730645898</v>
      </c>
      <c r="E1298">
        <v>0.711032838787653</v>
      </c>
      <c r="F1298">
        <v>0.48821383627531101</v>
      </c>
      <c r="G1298">
        <v>0.24447854398661101</v>
      </c>
      <c r="H1298">
        <v>0.12982310740244901</v>
      </c>
      <c r="I1298">
        <v>0.10309006991399799</v>
      </c>
      <c r="J1298">
        <v>9.3973565597455302E-2</v>
      </c>
      <c r="K1298">
        <v>6.5375613166857E-2</v>
      </c>
      <c r="L1298">
        <v>659.70669389673697</v>
      </c>
      <c r="M1298">
        <v>12.5676539173457</v>
      </c>
      <c r="N1298">
        <v>52.590773969822401</v>
      </c>
      <c r="O1298">
        <v>51.216570098211001</v>
      </c>
      <c r="P1298">
        <v>-6.0645241457699499E-2</v>
      </c>
      <c r="Q1298">
        <v>1.1616473529534601E-2</v>
      </c>
      <c r="R1298">
        <v>0.98982623323923902</v>
      </c>
      <c r="S1298" t="s">
        <v>7915</v>
      </c>
      <c r="T1298" t="s">
        <v>13232</v>
      </c>
      <c r="U1298" t="s">
        <v>13232</v>
      </c>
      <c r="V1298" t="s">
        <v>13232</v>
      </c>
      <c r="W1298" t="s">
        <v>14492</v>
      </c>
      <c r="X1298">
        <v>4</v>
      </c>
      <c r="Y1298" t="s">
        <v>21011</v>
      </c>
      <c r="Z1298" t="s">
        <v>27429</v>
      </c>
      <c r="AA1298">
        <v>0.45080793097505389</v>
      </c>
      <c r="AB1298" t="str">
        <f>HYPERLINK("Melting_Curves/meltCurve_O43924_PDE6D.pdf", "Melting_Curves/meltCurve_O43924_PDE6D.pdf")</f>
        <v>Melting_Curves/meltCurve_O43924_PDE6D.pdf</v>
      </c>
    </row>
    <row r="1299" spans="1:28" x14ac:dyDescent="0.25">
      <c r="A1299" t="s">
        <v>1303</v>
      </c>
      <c r="B1299">
        <v>0.99930955844802105</v>
      </c>
      <c r="C1299">
        <v>0.859096618594134</v>
      </c>
      <c r="D1299">
        <v>0.44912741203838003</v>
      </c>
      <c r="E1299">
        <v>0.30488095571947099</v>
      </c>
      <c r="F1299">
        <v>0.194605571163534</v>
      </c>
      <c r="G1299">
        <v>0.13683134022846399</v>
      </c>
      <c r="H1299">
        <v>9.3328675398524602E-2</v>
      </c>
      <c r="I1299">
        <v>7.42088878156964E-2</v>
      </c>
      <c r="J1299">
        <v>6.4934926011643704E-2</v>
      </c>
      <c r="K1299">
        <v>4.6220983902313099E-2</v>
      </c>
      <c r="L1299">
        <v>846.89284595453296</v>
      </c>
      <c r="M1299">
        <v>18.416522590865501</v>
      </c>
      <c r="N1299">
        <v>46.443790168898403</v>
      </c>
      <c r="O1299">
        <v>45.453584323643497</v>
      </c>
      <c r="P1299">
        <v>-9.2881038656664097E-2</v>
      </c>
      <c r="Q1299">
        <v>8.3087329470864807E-2</v>
      </c>
      <c r="R1299">
        <v>0.98045498128959796</v>
      </c>
      <c r="S1299" t="s">
        <v>7916</v>
      </c>
      <c r="T1299" t="s">
        <v>13232</v>
      </c>
      <c r="U1299" t="s">
        <v>13232</v>
      </c>
      <c r="V1299" t="s">
        <v>13232</v>
      </c>
      <c r="W1299" t="s">
        <v>14493</v>
      </c>
      <c r="X1299">
        <v>8</v>
      </c>
      <c r="Y1299" t="s">
        <v>21012</v>
      </c>
      <c r="Z1299" t="s">
        <v>27430</v>
      </c>
      <c r="AA1299">
        <v>0.28314368273000728</v>
      </c>
      <c r="AB1299" t="str">
        <f>HYPERLINK("Melting_Curves/meltCurve_O43929_ORC4.pdf", "Melting_Curves/meltCurve_O43929_ORC4.pdf")</f>
        <v>Melting_Curves/meltCurve_O43929_ORC4.pdf</v>
      </c>
    </row>
    <row r="1300" spans="1:28" x14ac:dyDescent="0.25">
      <c r="A1300" t="s">
        <v>1304</v>
      </c>
      <c r="B1300">
        <v>0.99930955844802105</v>
      </c>
      <c r="C1300">
        <v>0.77148749223052404</v>
      </c>
      <c r="D1300">
        <v>0.44568422510976402</v>
      </c>
      <c r="E1300">
        <v>0.30579536687376002</v>
      </c>
      <c r="F1300">
        <v>0.24373518937770999</v>
      </c>
      <c r="G1300">
        <v>0.148354744322578</v>
      </c>
      <c r="H1300">
        <v>8.9797945201456605E-2</v>
      </c>
      <c r="I1300">
        <v>5.2673462245898299E-2</v>
      </c>
      <c r="J1300">
        <v>5.4607831915665601E-2</v>
      </c>
      <c r="K1300">
        <v>3.4872397683464597E-2</v>
      </c>
      <c r="L1300">
        <v>677.26558307453899</v>
      </c>
      <c r="M1300">
        <v>14.713529744229101</v>
      </c>
      <c r="N1300">
        <v>46.449994164031402</v>
      </c>
      <c r="O1300">
        <v>45.204942992718202</v>
      </c>
      <c r="P1300">
        <v>-7.6312845417502898E-2</v>
      </c>
      <c r="Q1300">
        <v>6.2266889110601999E-2</v>
      </c>
      <c r="R1300">
        <v>0.97608807625734895</v>
      </c>
      <c r="S1300" t="s">
        <v>7917</v>
      </c>
      <c r="T1300" t="s">
        <v>13232</v>
      </c>
      <c r="U1300" t="s">
        <v>13232</v>
      </c>
      <c r="V1300" t="s">
        <v>13232</v>
      </c>
      <c r="W1300" t="s">
        <v>14494</v>
      </c>
      <c r="X1300">
        <v>2</v>
      </c>
      <c r="Y1300" t="s">
        <v>21013</v>
      </c>
      <c r="Z1300" t="s">
        <v>27431</v>
      </c>
      <c r="AA1300">
        <v>0.27919921955768268</v>
      </c>
      <c r="AB1300" t="str">
        <f>HYPERLINK("Melting_Curves/meltCurve_O43930_PRKY.pdf", "Melting_Curves/meltCurve_O43930_PRKY.pdf")</f>
        <v>Melting_Curves/meltCurve_O43930_PRKY.pdf</v>
      </c>
    </row>
    <row r="1301" spans="1:28" x14ac:dyDescent="0.25">
      <c r="A1301" t="s">
        <v>1305</v>
      </c>
      <c r="B1301">
        <v>0.99930955844802105</v>
      </c>
      <c r="C1301">
        <v>1.5841518198375499</v>
      </c>
      <c r="D1301">
        <v>1.3063772355649199</v>
      </c>
      <c r="E1301">
        <v>1.39266565777399</v>
      </c>
      <c r="F1301">
        <v>2.0692331523923602</v>
      </c>
      <c r="G1301">
        <v>2.45704444392707</v>
      </c>
      <c r="H1301">
        <v>2.1716348623394901</v>
      </c>
      <c r="I1301">
        <v>1.7494535222740299</v>
      </c>
      <c r="J1301">
        <v>0.41293592707606802</v>
      </c>
      <c r="K1301">
        <v>0.136583884052115</v>
      </c>
      <c r="L1301">
        <v>15000</v>
      </c>
      <c r="M1301">
        <v>224.63254210134701</v>
      </c>
      <c r="N1301">
        <v>66.870602401023206</v>
      </c>
      <c r="O1301">
        <v>66.770418304575301</v>
      </c>
      <c r="P1301">
        <v>-0.726289154880432</v>
      </c>
      <c r="Q1301">
        <v>0.136462819757797</v>
      </c>
      <c r="R1301">
        <v>-0.14682104015904299</v>
      </c>
      <c r="S1301" t="s">
        <v>7918</v>
      </c>
      <c r="T1301" t="s">
        <v>13232</v>
      </c>
      <c r="U1301" t="s">
        <v>13232</v>
      </c>
      <c r="V1301" t="s">
        <v>13232</v>
      </c>
      <c r="W1301" t="s">
        <v>14495</v>
      </c>
      <c r="X1301">
        <v>3</v>
      </c>
      <c r="Y1301" t="s">
        <v>21014</v>
      </c>
      <c r="Z1301" t="s">
        <v>27432</v>
      </c>
      <c r="AA1301">
        <v>0.90731555921403539</v>
      </c>
      <c r="AB1301" t="str">
        <f>HYPERLINK("Melting_Curves/meltCurve_O43933_PEX1.pdf", "Melting_Curves/meltCurve_O43933_PEX1.pdf")</f>
        <v>Melting_Curves/meltCurve_O43933_PEX1.pdf</v>
      </c>
    </row>
    <row r="1302" spans="1:28" x14ac:dyDescent="0.25">
      <c r="A1302" t="s">
        <v>1306</v>
      </c>
      <c r="B1302">
        <v>0.99930955844802105</v>
      </c>
      <c r="C1302">
        <v>0.69809181947266197</v>
      </c>
      <c r="D1302">
        <v>0.80162196118845996</v>
      </c>
      <c r="E1302">
        <v>0.84133719385821104</v>
      </c>
      <c r="F1302">
        <v>0.40909013060647398</v>
      </c>
      <c r="G1302">
        <v>0.229696295334334</v>
      </c>
      <c r="H1302">
        <v>0.14047471411461601</v>
      </c>
      <c r="I1302">
        <v>0.13012859015115799</v>
      </c>
      <c r="J1302">
        <v>0.123263794622807</v>
      </c>
      <c r="K1302">
        <v>9.7815232120908799E-2</v>
      </c>
      <c r="L1302">
        <v>555.15969620906105</v>
      </c>
      <c r="M1302">
        <v>10.5895820189492</v>
      </c>
      <c r="N1302">
        <v>52.436756805191003</v>
      </c>
      <c r="O1302">
        <v>50.659136731008203</v>
      </c>
      <c r="P1302">
        <v>-5.2217791308778801E-2</v>
      </c>
      <c r="Q1302">
        <v>1.1780772156541499E-3</v>
      </c>
      <c r="R1302">
        <v>0.90450954421167196</v>
      </c>
      <c r="S1302" t="s">
        <v>7919</v>
      </c>
      <c r="T1302" t="s">
        <v>13232</v>
      </c>
      <c r="U1302" t="s">
        <v>13232</v>
      </c>
      <c r="V1302" t="s">
        <v>13232</v>
      </c>
      <c r="W1302" t="s">
        <v>14496</v>
      </c>
      <c r="X1302">
        <v>16</v>
      </c>
      <c r="Y1302" t="s">
        <v>21015</v>
      </c>
      <c r="Z1302" t="s">
        <v>27433</v>
      </c>
      <c r="AA1302">
        <v>0.44910502241134159</v>
      </c>
      <c r="AB1302" t="str">
        <f>HYPERLINK("Melting_Curves/meltCurve_O60216_RAD21.pdf", "Melting_Curves/meltCurve_O60216_RAD21.pdf")</f>
        <v>Melting_Curves/meltCurve_O60216_RAD21.pdf</v>
      </c>
    </row>
    <row r="1303" spans="1:28" x14ac:dyDescent="0.25">
      <c r="A1303" t="s">
        <v>1307</v>
      </c>
      <c r="B1303">
        <v>0.99930955844802105</v>
      </c>
      <c r="C1303">
        <v>0.99664244547970704</v>
      </c>
      <c r="D1303">
        <v>0.99102026882474503</v>
      </c>
      <c r="E1303">
        <v>0.93745915222765297</v>
      </c>
      <c r="F1303">
        <v>0.78842848603581095</v>
      </c>
      <c r="G1303">
        <v>0.62628295459113004</v>
      </c>
      <c r="H1303">
        <v>0.563974318975623</v>
      </c>
      <c r="I1303">
        <v>0.57966674033211596</v>
      </c>
      <c r="J1303">
        <v>0.55861716981373499</v>
      </c>
      <c r="K1303">
        <v>0.48783276054194202</v>
      </c>
      <c r="L1303">
        <v>1235.71257188653</v>
      </c>
      <c r="M1303">
        <v>23.0621503366688</v>
      </c>
      <c r="O1303">
        <v>53.183849782844703</v>
      </c>
      <c r="P1303">
        <v>-5.0359923888818402E-2</v>
      </c>
      <c r="Q1303">
        <v>0.53546655779463204</v>
      </c>
      <c r="R1303">
        <v>0.98960041439347401</v>
      </c>
      <c r="S1303" t="s">
        <v>7920</v>
      </c>
      <c r="T1303" t="s">
        <v>13232</v>
      </c>
      <c r="U1303" t="s">
        <v>13232</v>
      </c>
      <c r="V1303" t="s">
        <v>13232</v>
      </c>
      <c r="W1303" t="s">
        <v>14497</v>
      </c>
      <c r="X1303">
        <v>5</v>
      </c>
      <c r="Y1303" t="s">
        <v>21016</v>
      </c>
      <c r="Z1303" t="s">
        <v>27434</v>
      </c>
      <c r="AA1303">
        <v>0.75074335515775847</v>
      </c>
      <c r="AB1303" t="str">
        <f>HYPERLINK("Melting_Curves/meltCurve_O60220_TIMM8A.pdf", "Melting_Curves/meltCurve_O60220_TIMM8A.pdf")</f>
        <v>Melting_Curves/meltCurve_O60220_TIMM8A.pdf</v>
      </c>
    </row>
    <row r="1304" spans="1:28" x14ac:dyDescent="0.25">
      <c r="A1304" t="s">
        <v>1308</v>
      </c>
      <c r="B1304">
        <v>0.99930955844802105</v>
      </c>
      <c r="C1304">
        <v>1.1041106936182099</v>
      </c>
      <c r="D1304">
        <v>1.0238819448724099</v>
      </c>
      <c r="E1304">
        <v>0.84915039950675097</v>
      </c>
      <c r="F1304">
        <v>0.48164502069380399</v>
      </c>
      <c r="G1304">
        <v>0.317909066746625</v>
      </c>
      <c r="H1304">
        <v>0.24576425648809999</v>
      </c>
      <c r="I1304">
        <v>0.22277573100663101</v>
      </c>
      <c r="J1304">
        <v>0.22835563576009299</v>
      </c>
      <c r="K1304">
        <v>0.18266367322693799</v>
      </c>
      <c r="L1304">
        <v>1704.26404006915</v>
      </c>
      <c r="M1304">
        <v>32.745839575067201</v>
      </c>
      <c r="N1304">
        <v>53.0224813500108</v>
      </c>
      <c r="O1304">
        <v>51.852260731347002</v>
      </c>
      <c r="P1304">
        <v>-0.122111174383372</v>
      </c>
      <c r="Q1304">
        <v>0.226562956061648</v>
      </c>
      <c r="R1304">
        <v>0.98692683093455402</v>
      </c>
      <c r="S1304" t="s">
        <v>7921</v>
      </c>
      <c r="T1304" t="s">
        <v>13232</v>
      </c>
      <c r="U1304" t="s">
        <v>13232</v>
      </c>
      <c r="V1304" t="s">
        <v>13232</v>
      </c>
      <c r="W1304" t="s">
        <v>14498</v>
      </c>
      <c r="X1304">
        <v>32</v>
      </c>
      <c r="Y1304" t="s">
        <v>21017</v>
      </c>
      <c r="Z1304" t="s">
        <v>27435</v>
      </c>
      <c r="AA1304">
        <v>0.54125764724493419</v>
      </c>
      <c r="AB1304" t="str">
        <f>HYPERLINK("Melting_Curves/meltCurve_O60231_DHX16.pdf", "Melting_Curves/meltCurve_O60231_DHX16.pdf")</f>
        <v>Melting_Curves/meltCurve_O60231_DHX16.pdf</v>
      </c>
    </row>
    <row r="1305" spans="1:28" x14ac:dyDescent="0.25">
      <c r="A1305" t="s">
        <v>1309</v>
      </c>
      <c r="B1305">
        <v>0.99930955844802105</v>
      </c>
      <c r="C1305">
        <v>0.92942630741585297</v>
      </c>
      <c r="D1305">
        <v>1.0324233681413599</v>
      </c>
      <c r="E1305">
        <v>0.97109476080963797</v>
      </c>
      <c r="F1305">
        <v>0.78158869741940196</v>
      </c>
      <c r="G1305">
        <v>0.55140891077771803</v>
      </c>
      <c r="H1305">
        <v>0.29474161152380401</v>
      </c>
      <c r="I1305">
        <v>0.18660487945968299</v>
      </c>
      <c r="J1305">
        <v>0.11772124032322299</v>
      </c>
      <c r="K1305">
        <v>8.3453858998056699E-2</v>
      </c>
      <c r="L1305">
        <v>1006.2512466842001</v>
      </c>
      <c r="M1305">
        <v>17.567652178261898</v>
      </c>
      <c r="N1305">
        <v>57.629809401326703</v>
      </c>
      <c r="O1305">
        <v>56.551912594196303</v>
      </c>
      <c r="P1305">
        <v>-7.3723595981035797E-2</v>
      </c>
      <c r="Q1305">
        <v>5.0759023549816297E-2</v>
      </c>
      <c r="R1305">
        <v>0.993235694099739</v>
      </c>
      <c r="S1305" t="s">
        <v>7922</v>
      </c>
      <c r="T1305" t="s">
        <v>13232</v>
      </c>
      <c r="U1305" t="s">
        <v>13232</v>
      </c>
      <c r="V1305" t="s">
        <v>13232</v>
      </c>
      <c r="W1305" t="s">
        <v>14499</v>
      </c>
      <c r="X1305">
        <v>7</v>
      </c>
      <c r="Y1305" t="s">
        <v>21018</v>
      </c>
      <c r="Z1305" t="s">
        <v>27436</v>
      </c>
      <c r="AA1305">
        <v>0.61045885721084781</v>
      </c>
      <c r="AB1305" t="str">
        <f>HYPERLINK("Melting_Curves/meltCurve_O60234_GMFG.pdf", "Melting_Curves/meltCurve_O60234_GMFG.pdf")</f>
        <v>Melting_Curves/meltCurve_O60234_GMFG.pdf</v>
      </c>
    </row>
    <row r="1306" spans="1:28" x14ac:dyDescent="0.25">
      <c r="A1306" t="s">
        <v>1310</v>
      </c>
      <c r="B1306">
        <v>0.99930955844802105</v>
      </c>
      <c r="C1306">
        <v>1.2388329416822399</v>
      </c>
      <c r="D1306">
        <v>1.0993155018817899</v>
      </c>
      <c r="E1306">
        <v>1.2124440012845901</v>
      </c>
      <c r="F1306">
        <v>1.17534435522616</v>
      </c>
      <c r="G1306">
        <v>1.12777258451105</v>
      </c>
      <c r="H1306">
        <v>1.03270519390307</v>
      </c>
      <c r="I1306">
        <v>1.07046557326273</v>
      </c>
      <c r="J1306">
        <v>1.25630966896795</v>
      </c>
      <c r="K1306">
        <v>0.83769151402926401</v>
      </c>
      <c r="L1306">
        <v>10249.8743586566</v>
      </c>
      <c r="M1306">
        <v>250</v>
      </c>
      <c r="O1306">
        <v>40.996861259253997</v>
      </c>
      <c r="P1306">
        <v>0.17800806539028</v>
      </c>
      <c r="Q1306">
        <v>1.11676438693293</v>
      </c>
      <c r="R1306">
        <v>8.4516311853378795E-2</v>
      </c>
      <c r="S1306" t="s">
        <v>7923</v>
      </c>
      <c r="T1306" t="s">
        <v>13232</v>
      </c>
      <c r="U1306" t="s">
        <v>13232</v>
      </c>
      <c r="V1306" t="s">
        <v>13232</v>
      </c>
      <c r="W1306" t="s">
        <v>14500</v>
      </c>
      <c r="X1306">
        <v>1</v>
      </c>
      <c r="Y1306" t="s">
        <v>21019</v>
      </c>
      <c r="Z1306" t="s">
        <v>27437</v>
      </c>
      <c r="AA1306">
        <v>1.112864628805927</v>
      </c>
      <c r="AB1306" t="str">
        <f>HYPERLINK("Melting_Curves/meltCurve_O60239_2_SH3BP5.pdf", "Melting_Curves/meltCurve_O60239_2_SH3BP5.pdf")</f>
        <v>Melting_Curves/meltCurve_O60239_2_SH3BP5.pdf</v>
      </c>
    </row>
    <row r="1307" spans="1:28" x14ac:dyDescent="0.25">
      <c r="A1307" t="s">
        <v>1311</v>
      </c>
      <c r="B1307">
        <v>0.99930955844802105</v>
      </c>
      <c r="C1307">
        <v>0.39414012303424201</v>
      </c>
      <c r="D1307">
        <v>0.51401323474290095</v>
      </c>
      <c r="E1307">
        <v>0.55880905501685196</v>
      </c>
      <c r="F1307">
        <v>0.2623626751498</v>
      </c>
      <c r="G1307">
        <v>0.11130600055447799</v>
      </c>
      <c r="H1307">
        <v>1.51918846028924E-2</v>
      </c>
      <c r="I1307">
        <v>1.8981695188490699E-2</v>
      </c>
      <c r="J1307">
        <v>0</v>
      </c>
      <c r="K1307">
        <v>0</v>
      </c>
      <c r="L1307">
        <v>433.470544385344</v>
      </c>
      <c r="M1307">
        <v>9.3529119026231395</v>
      </c>
      <c r="N1307">
        <v>46.346054084314702</v>
      </c>
      <c r="O1307">
        <v>44.375345887727597</v>
      </c>
      <c r="P1307">
        <v>-5.2725107319652097E-2</v>
      </c>
      <c r="Q1307">
        <v>0</v>
      </c>
      <c r="R1307">
        <v>0.81662311226711104</v>
      </c>
      <c r="S1307" t="s">
        <v>7924</v>
      </c>
      <c r="T1307" t="s">
        <v>13232</v>
      </c>
      <c r="U1307" t="s">
        <v>13232</v>
      </c>
      <c r="V1307" t="s">
        <v>13232</v>
      </c>
      <c r="W1307" t="s">
        <v>14501</v>
      </c>
      <c r="X1307">
        <v>6</v>
      </c>
      <c r="Y1307" t="s">
        <v>21020</v>
      </c>
      <c r="Z1307" t="s">
        <v>27438</v>
      </c>
      <c r="AA1307">
        <v>0.27902960791595321</v>
      </c>
      <c r="AB1307" t="str">
        <f>HYPERLINK("Melting_Curves/meltCurve_O60244_MED14.pdf", "Melting_Curves/meltCurve_O60244_MED14.pdf")</f>
        <v>Melting_Curves/meltCurve_O60244_MED14.pdf</v>
      </c>
    </row>
    <row r="1308" spans="1:28" x14ac:dyDescent="0.25">
      <c r="A1308" t="s">
        <v>1312</v>
      </c>
      <c r="B1308">
        <v>0.99930955844802105</v>
      </c>
      <c r="C1308">
        <v>0.77370660832758198</v>
      </c>
      <c r="D1308">
        <v>0.76589162754128604</v>
      </c>
      <c r="E1308">
        <v>0.92723782155694401</v>
      </c>
      <c r="F1308">
        <v>1.1325279282874501</v>
      </c>
      <c r="G1308">
        <v>1.0364136540529001</v>
      </c>
      <c r="H1308">
        <v>0.48505046598334201</v>
      </c>
      <c r="I1308">
        <v>0.30607260327984198</v>
      </c>
      <c r="J1308">
        <v>0.20967440683927399</v>
      </c>
      <c r="K1308">
        <v>0.125340178109518</v>
      </c>
      <c r="L1308">
        <v>3288.19831606256</v>
      </c>
      <c r="M1308">
        <v>54.351006026611401</v>
      </c>
      <c r="N1308">
        <v>61.050432983525397</v>
      </c>
      <c r="O1308">
        <v>60.4175726461336</v>
      </c>
      <c r="P1308">
        <v>-0.18129434188660601</v>
      </c>
      <c r="Q1308">
        <v>0.19388006355156401</v>
      </c>
      <c r="R1308">
        <v>0.88185242608078795</v>
      </c>
      <c r="S1308" t="s">
        <v>7925</v>
      </c>
      <c r="T1308" t="s">
        <v>13232</v>
      </c>
      <c r="U1308" t="s">
        <v>13232</v>
      </c>
      <c r="V1308" t="s">
        <v>13232</v>
      </c>
      <c r="W1308" t="s">
        <v>14502</v>
      </c>
      <c r="X1308">
        <v>10</v>
      </c>
      <c r="Y1308" t="s">
        <v>21021</v>
      </c>
      <c r="Z1308" t="s">
        <v>27439</v>
      </c>
      <c r="AA1308">
        <v>0.74650297128001442</v>
      </c>
      <c r="AB1308" t="str">
        <f>HYPERLINK("Melting_Curves/meltCurve_O60256_PRPSAP2.pdf", "Melting_Curves/meltCurve_O60256_PRPSAP2.pdf")</f>
        <v>Melting_Curves/meltCurve_O60256_PRPSAP2.pdf</v>
      </c>
    </row>
    <row r="1309" spans="1:28" x14ac:dyDescent="0.25">
      <c r="A1309" t="s">
        <v>1313</v>
      </c>
      <c r="B1309">
        <v>0.99930955844802105</v>
      </c>
      <c r="C1309">
        <v>0.86958346933479302</v>
      </c>
      <c r="D1309">
        <v>0.64735384744270696</v>
      </c>
      <c r="E1309">
        <v>0.41484666717526097</v>
      </c>
      <c r="F1309">
        <v>0.25712233623407399</v>
      </c>
      <c r="G1309">
        <v>0.199726493547216</v>
      </c>
      <c r="H1309">
        <v>0.18046250292015301</v>
      </c>
      <c r="I1309">
        <v>0.188246072449859</v>
      </c>
      <c r="J1309">
        <v>0.19310508267943999</v>
      </c>
      <c r="K1309">
        <v>0.14810604085724499</v>
      </c>
      <c r="L1309">
        <v>825.047000432819</v>
      </c>
      <c r="M1309">
        <v>17.530845298701301</v>
      </c>
      <c r="N1309">
        <v>48.194423614477401</v>
      </c>
      <c r="O1309">
        <v>46.463019040522198</v>
      </c>
      <c r="P1309">
        <v>-7.8414367725958001E-2</v>
      </c>
      <c r="Q1309">
        <v>0.16874084181476201</v>
      </c>
      <c r="R1309">
        <v>0.99586880903279995</v>
      </c>
      <c r="S1309" t="s">
        <v>7926</v>
      </c>
      <c r="T1309" t="s">
        <v>13232</v>
      </c>
      <c r="U1309" t="s">
        <v>13232</v>
      </c>
      <c r="V1309" t="s">
        <v>13232</v>
      </c>
      <c r="W1309" t="s">
        <v>14503</v>
      </c>
      <c r="X1309">
        <v>39</v>
      </c>
      <c r="Y1309" t="s">
        <v>21022</v>
      </c>
      <c r="Z1309" t="s">
        <v>27440</v>
      </c>
      <c r="AA1309">
        <v>0.38062523312505397</v>
      </c>
      <c r="AB1309" t="str">
        <f>HYPERLINK("Melting_Curves/meltCurve_O60264_SMARCA5.pdf", "Melting_Curves/meltCurve_O60264_SMARCA5.pdf")</f>
        <v>Melting_Curves/meltCurve_O60264_SMARCA5.pdf</v>
      </c>
    </row>
    <row r="1310" spans="1:28" x14ac:dyDescent="0.25">
      <c r="A1310" t="s">
        <v>1314</v>
      </c>
      <c r="B1310">
        <v>0.99930955844802105</v>
      </c>
      <c r="C1310">
        <v>1.07023160918437</v>
      </c>
      <c r="D1310">
        <v>0.956955983562915</v>
      </c>
      <c r="E1310">
        <v>0.83258430855903898</v>
      </c>
      <c r="F1310">
        <v>0.70488226368180396</v>
      </c>
      <c r="G1310">
        <v>0.55378827437456002</v>
      </c>
      <c r="H1310">
        <v>0.41947002128410499</v>
      </c>
      <c r="I1310">
        <v>0.33467975182710902</v>
      </c>
      <c r="J1310">
        <v>0.228451013652892</v>
      </c>
      <c r="K1310">
        <v>0.145723263102296</v>
      </c>
      <c r="L1310">
        <v>586.69564530800096</v>
      </c>
      <c r="M1310">
        <v>10.0566740610201</v>
      </c>
      <c r="N1310">
        <v>58.533796480215202</v>
      </c>
      <c r="O1310">
        <v>56.173015559406799</v>
      </c>
      <c r="P1310">
        <v>-4.4041714515958903E-2</v>
      </c>
      <c r="Q1310">
        <v>1.6462595701541499E-2</v>
      </c>
      <c r="R1310">
        <v>0.98718081492205501</v>
      </c>
      <c r="S1310" t="s">
        <v>7927</v>
      </c>
      <c r="T1310" t="s">
        <v>13232</v>
      </c>
      <c r="U1310" t="s">
        <v>13232</v>
      </c>
      <c r="V1310" t="s">
        <v>13232</v>
      </c>
      <c r="W1310" t="s">
        <v>14504</v>
      </c>
      <c r="X1310">
        <v>46</v>
      </c>
      <c r="Y1310" t="s">
        <v>21023</v>
      </c>
      <c r="Z1310" t="s">
        <v>27441</v>
      </c>
      <c r="AA1310">
        <v>0.6254704578018716</v>
      </c>
      <c r="AB1310" t="str">
        <f>HYPERLINK("Melting_Curves/meltCurve_O60271_SPAG9.pdf", "Melting_Curves/meltCurve_O60271_SPAG9.pdf")</f>
        <v>Melting_Curves/meltCurve_O60271_SPAG9.pdf</v>
      </c>
    </row>
    <row r="1311" spans="1:28" x14ac:dyDescent="0.25">
      <c r="A1311" t="s">
        <v>1315</v>
      </c>
      <c r="B1311">
        <v>0.99930955844802105</v>
      </c>
      <c r="C1311">
        <v>0.93075332618630602</v>
      </c>
      <c r="D1311">
        <v>0.74901952805938399</v>
      </c>
      <c r="E1311">
        <v>0.66003675732655998</v>
      </c>
      <c r="F1311">
        <v>0.53606544764320896</v>
      </c>
      <c r="G1311">
        <v>0.44663086414944703</v>
      </c>
      <c r="H1311">
        <v>0.34311974456986899</v>
      </c>
      <c r="I1311">
        <v>0.38195064749593999</v>
      </c>
      <c r="J1311">
        <v>0.29245393800805802</v>
      </c>
      <c r="K1311">
        <v>0.25004225196206398</v>
      </c>
      <c r="L1311">
        <v>510.87088284443098</v>
      </c>
      <c r="M1311">
        <v>10.045879856645801</v>
      </c>
      <c r="N1311">
        <v>54.373205744364398</v>
      </c>
      <c r="O1311">
        <v>48.9619359838562</v>
      </c>
      <c r="P1311">
        <v>-3.9051560370825703E-2</v>
      </c>
      <c r="Q1311">
        <v>0.23904063787657701</v>
      </c>
      <c r="R1311">
        <v>0.98203533754877603</v>
      </c>
      <c r="S1311" t="s">
        <v>7928</v>
      </c>
      <c r="T1311" t="s">
        <v>13232</v>
      </c>
      <c r="U1311" t="s">
        <v>13232</v>
      </c>
      <c r="V1311" t="s">
        <v>13232</v>
      </c>
      <c r="W1311" t="s">
        <v>14505</v>
      </c>
      <c r="X1311">
        <v>46</v>
      </c>
      <c r="Y1311" t="s">
        <v>21023</v>
      </c>
      <c r="Z1311" t="s">
        <v>27442</v>
      </c>
      <c r="AA1311">
        <v>0.54621557979957136</v>
      </c>
      <c r="AB1311" t="str">
        <f>HYPERLINK("Melting_Curves/meltCurve_O60271_4_SPAG9.pdf", "Melting_Curves/meltCurve_O60271_4_SPAG9.pdf")</f>
        <v>Melting_Curves/meltCurve_O60271_4_SPAG9.pdf</v>
      </c>
    </row>
    <row r="1312" spans="1:28" x14ac:dyDescent="0.25">
      <c r="A1312" t="s">
        <v>1316</v>
      </c>
      <c r="B1312">
        <v>0.99930955844802105</v>
      </c>
      <c r="C1312">
        <v>0.90600779232231898</v>
      </c>
      <c r="D1312">
        <v>0.90559017932639296</v>
      </c>
      <c r="E1312">
        <v>0.74554125443850106</v>
      </c>
      <c r="F1312">
        <v>0.58392871439615801</v>
      </c>
      <c r="G1312">
        <v>0.50174219353335803</v>
      </c>
      <c r="H1312">
        <v>0.451021721488512</v>
      </c>
      <c r="I1312">
        <v>0.504961628676592</v>
      </c>
      <c r="J1312">
        <v>0.48222475299304601</v>
      </c>
      <c r="K1312">
        <v>0.39181028550028901</v>
      </c>
      <c r="L1312">
        <v>769.30766246059204</v>
      </c>
      <c r="M1312">
        <v>15.349279075404</v>
      </c>
      <c r="N1312">
        <v>57.858301539252103</v>
      </c>
      <c r="O1312">
        <v>49.292497895169497</v>
      </c>
      <c r="P1312">
        <v>-4.3924538589945598E-2</v>
      </c>
      <c r="Q1312">
        <v>0.435817001109714</v>
      </c>
      <c r="R1312">
        <v>0.97467646578139</v>
      </c>
      <c r="S1312" t="s">
        <v>7929</v>
      </c>
      <c r="T1312" t="s">
        <v>13232</v>
      </c>
      <c r="U1312" t="s">
        <v>13232</v>
      </c>
      <c r="V1312" t="s">
        <v>13232</v>
      </c>
      <c r="W1312" t="s">
        <v>14506</v>
      </c>
      <c r="X1312">
        <v>14</v>
      </c>
      <c r="Y1312" t="s">
        <v>21024</v>
      </c>
      <c r="Z1312" t="s">
        <v>27443</v>
      </c>
      <c r="AA1312">
        <v>0.63900465607567491</v>
      </c>
      <c r="AB1312" t="str">
        <f>HYPERLINK("Melting_Curves/meltCurve_O60292_SIPA1L3.pdf", "Melting_Curves/meltCurve_O60292_SIPA1L3.pdf")</f>
        <v>Melting_Curves/meltCurve_O60292_SIPA1L3.pdf</v>
      </c>
    </row>
    <row r="1313" spans="1:28" x14ac:dyDescent="0.25">
      <c r="A1313" t="s">
        <v>1317</v>
      </c>
      <c r="B1313">
        <v>0.99930955844802105</v>
      </c>
      <c r="C1313">
        <v>0.97177206743182398</v>
      </c>
      <c r="D1313">
        <v>0.99084636069580201</v>
      </c>
      <c r="E1313">
        <v>0.90739040912948399</v>
      </c>
      <c r="F1313">
        <v>0.65424423529129105</v>
      </c>
      <c r="G1313">
        <v>0.57437498345065996</v>
      </c>
      <c r="H1313">
        <v>0.54783818670942597</v>
      </c>
      <c r="I1313">
        <v>0.55890922488026595</v>
      </c>
      <c r="J1313">
        <v>0.565571076141969</v>
      </c>
      <c r="K1313">
        <v>0.44900541763468599</v>
      </c>
      <c r="L1313">
        <v>2015.2468712488601</v>
      </c>
      <c r="M1313">
        <v>38.996031847928201</v>
      </c>
      <c r="O1313">
        <v>51.542914133811102</v>
      </c>
      <c r="P1313">
        <v>-8.7891443534850094E-2</v>
      </c>
      <c r="Q1313">
        <v>0.53531982325670902</v>
      </c>
      <c r="R1313">
        <v>0.97500127863230301</v>
      </c>
      <c r="S1313" t="s">
        <v>7930</v>
      </c>
      <c r="T1313" t="s">
        <v>13232</v>
      </c>
      <c r="U1313" t="s">
        <v>13232</v>
      </c>
      <c r="V1313" t="s">
        <v>13232</v>
      </c>
      <c r="W1313" t="s">
        <v>14507</v>
      </c>
      <c r="X1313">
        <v>47</v>
      </c>
      <c r="Y1313" t="s">
        <v>21025</v>
      </c>
      <c r="Z1313" t="s">
        <v>27444</v>
      </c>
      <c r="AA1313">
        <v>0.71795470327788258</v>
      </c>
      <c r="AB1313" t="str">
        <f>HYPERLINK("Melting_Curves/meltCurve_O60293_2_ZFC3H1.pdf", "Melting_Curves/meltCurve_O60293_2_ZFC3H1.pdf")</f>
        <v>Melting_Curves/meltCurve_O60293_2_ZFC3H1.pdf</v>
      </c>
    </row>
    <row r="1314" spans="1:28" x14ac:dyDescent="0.25">
      <c r="A1314" t="s">
        <v>1318</v>
      </c>
      <c r="B1314">
        <v>0.99930955844802105</v>
      </c>
      <c r="C1314">
        <v>0.9914810800635</v>
      </c>
      <c r="D1314">
        <v>0.69558771593804403</v>
      </c>
      <c r="E1314">
        <v>0.34771708434457199</v>
      </c>
      <c r="F1314">
        <v>0.215179717614668</v>
      </c>
      <c r="G1314">
        <v>0.140241567349073</v>
      </c>
      <c r="H1314">
        <v>9.9878672109006694E-2</v>
      </c>
      <c r="I1314">
        <v>7.8738322096009505E-2</v>
      </c>
      <c r="J1314">
        <v>7.6278449323422995E-2</v>
      </c>
      <c r="K1314">
        <v>5.9523814130108599E-2</v>
      </c>
      <c r="L1314">
        <v>1001.71242896227</v>
      </c>
      <c r="M1314">
        <v>20.9059550696489</v>
      </c>
      <c r="N1314">
        <v>48.335393553300101</v>
      </c>
      <c r="O1314">
        <v>47.483221957325298</v>
      </c>
      <c r="P1314">
        <v>-0.100926458266026</v>
      </c>
      <c r="Q1314">
        <v>8.3097142876970995E-2</v>
      </c>
      <c r="R1314">
        <v>0.99420065494697196</v>
      </c>
      <c r="S1314" t="s">
        <v>7931</v>
      </c>
      <c r="T1314" t="s">
        <v>13232</v>
      </c>
      <c r="U1314" t="s">
        <v>13232</v>
      </c>
      <c r="V1314" t="s">
        <v>13232</v>
      </c>
      <c r="W1314" t="s">
        <v>14508</v>
      </c>
      <c r="X1314">
        <v>7</v>
      </c>
      <c r="Y1314" t="s">
        <v>21026</v>
      </c>
      <c r="Z1314" t="s">
        <v>27445</v>
      </c>
      <c r="AA1314">
        <v>0.3368895279987007</v>
      </c>
      <c r="AB1314" t="str">
        <f>HYPERLINK("Melting_Curves/meltCurve_O60294_LCMT2.pdf", "Melting_Curves/meltCurve_O60294_LCMT2.pdf")</f>
        <v>Melting_Curves/meltCurve_O60294_LCMT2.pdf</v>
      </c>
    </row>
    <row r="1315" spans="1:28" x14ac:dyDescent="0.25">
      <c r="A1315" t="s">
        <v>1319</v>
      </c>
      <c r="B1315">
        <v>0.99930955844802105</v>
      </c>
      <c r="C1315">
        <v>0.88862937210879001</v>
      </c>
      <c r="D1315">
        <v>0.82206186519189695</v>
      </c>
      <c r="E1315">
        <v>0.67006777838648901</v>
      </c>
      <c r="F1315">
        <v>0.57724541680646602</v>
      </c>
      <c r="G1315">
        <v>0.431641559217115</v>
      </c>
      <c r="H1315">
        <v>0.37063675685862002</v>
      </c>
      <c r="I1315">
        <v>0.48568245465689402</v>
      </c>
      <c r="J1315">
        <v>0.394379249279878</v>
      </c>
      <c r="K1315">
        <v>0.39144041758386</v>
      </c>
      <c r="L1315">
        <v>649.70063654217495</v>
      </c>
      <c r="M1315">
        <v>13.214419718736201</v>
      </c>
      <c r="N1315">
        <v>55.219685110769099</v>
      </c>
      <c r="O1315">
        <v>48.080970609285998</v>
      </c>
      <c r="P1315">
        <v>-4.2430873031235702E-2</v>
      </c>
      <c r="Q1315">
        <v>0.38255923618237198</v>
      </c>
      <c r="R1315">
        <v>0.97305367160119605</v>
      </c>
      <c r="S1315" t="s">
        <v>7932</v>
      </c>
      <c r="T1315" t="s">
        <v>13232</v>
      </c>
      <c r="U1315" t="s">
        <v>13232</v>
      </c>
      <c r="V1315" t="s">
        <v>13232</v>
      </c>
      <c r="W1315" t="s">
        <v>14509</v>
      </c>
      <c r="X1315">
        <v>1</v>
      </c>
      <c r="Y1315" t="s">
        <v>21027</v>
      </c>
      <c r="Z1315" t="s">
        <v>27446</v>
      </c>
      <c r="AA1315">
        <v>0.59026070663943908</v>
      </c>
      <c r="AB1315" t="str">
        <f>HYPERLINK("Melting_Curves/meltCurve_O60296_TRAK2.pdf", "Melting_Curves/meltCurve_O60296_TRAK2.pdf")</f>
        <v>Melting_Curves/meltCurve_O60296_TRAK2.pdf</v>
      </c>
    </row>
    <row r="1316" spans="1:28" x14ac:dyDescent="0.25">
      <c r="A1316" t="s">
        <v>1320</v>
      </c>
      <c r="B1316">
        <v>0.99930955844802105</v>
      </c>
      <c r="C1316">
        <v>0.440788608346253</v>
      </c>
      <c r="D1316">
        <v>0.34475083507524801</v>
      </c>
      <c r="E1316">
        <v>0.25243984442475598</v>
      </c>
      <c r="F1316">
        <v>0.166060162171142</v>
      </c>
      <c r="G1316">
        <v>0.10331878424782601</v>
      </c>
      <c r="H1316">
        <v>6.2921741854723101E-2</v>
      </c>
      <c r="I1316">
        <v>4.7124410916104802E-2</v>
      </c>
      <c r="J1316">
        <v>5.0818431196382401E-2</v>
      </c>
      <c r="K1316">
        <v>3.0703824136749401E-2</v>
      </c>
      <c r="L1316">
        <v>797.24232660939197</v>
      </c>
      <c r="M1316">
        <v>18.369692171468401</v>
      </c>
      <c r="N1316">
        <v>43.812375632914801</v>
      </c>
      <c r="O1316">
        <v>42.895362502107702</v>
      </c>
      <c r="P1316">
        <v>-9.85636394858809E-2</v>
      </c>
      <c r="Q1316">
        <v>7.9411840734602404E-2</v>
      </c>
      <c r="R1316">
        <v>0.91794209259413695</v>
      </c>
      <c r="S1316" t="s">
        <v>7933</v>
      </c>
      <c r="T1316" t="s">
        <v>13232</v>
      </c>
      <c r="U1316" t="s">
        <v>13232</v>
      </c>
      <c r="V1316" t="s">
        <v>13232</v>
      </c>
      <c r="W1316" t="s">
        <v>14510</v>
      </c>
      <c r="X1316">
        <v>11</v>
      </c>
      <c r="Y1316" t="s">
        <v>21028</v>
      </c>
      <c r="Z1316" t="s">
        <v>27447</v>
      </c>
      <c r="AA1316">
        <v>0.20775467157790689</v>
      </c>
      <c r="AB1316" t="str">
        <f>HYPERLINK("Melting_Curves/meltCurve_O60306_AQR.pdf", "Melting_Curves/meltCurve_O60306_AQR.pdf")</f>
        <v>Melting_Curves/meltCurve_O60306_AQR.pdf</v>
      </c>
    </row>
    <row r="1317" spans="1:28" x14ac:dyDescent="0.25">
      <c r="A1317" t="s">
        <v>1321</v>
      </c>
      <c r="B1317">
        <v>0.99930955844802105</v>
      </c>
      <c r="C1317">
        <v>0.89632102449731099</v>
      </c>
      <c r="D1317">
        <v>0.77129411354203303</v>
      </c>
      <c r="E1317">
        <v>0.51386561542588305</v>
      </c>
      <c r="F1317">
        <v>0.309863753977208</v>
      </c>
      <c r="G1317">
        <v>0.19167073876733201</v>
      </c>
      <c r="H1317">
        <v>0.11467363362741</v>
      </c>
      <c r="I1317">
        <v>0.101211800529057</v>
      </c>
      <c r="J1317">
        <v>0.11295150299856201</v>
      </c>
      <c r="K1317">
        <v>7.4227641749982504E-2</v>
      </c>
      <c r="L1317">
        <v>740.85156795749197</v>
      </c>
      <c r="M1317">
        <v>14.9778712829859</v>
      </c>
      <c r="N1317">
        <v>49.994715982897901</v>
      </c>
      <c r="O1317">
        <v>48.6064734673459</v>
      </c>
      <c r="P1317">
        <v>-7.1372340977036194E-2</v>
      </c>
      <c r="Q1317">
        <v>7.3618589982604593E-2</v>
      </c>
      <c r="R1317">
        <v>0.99821759586467596</v>
      </c>
      <c r="S1317" t="s">
        <v>7934</v>
      </c>
      <c r="T1317" t="s">
        <v>13232</v>
      </c>
      <c r="U1317" t="s">
        <v>13232</v>
      </c>
      <c r="V1317" t="s">
        <v>13232</v>
      </c>
      <c r="W1317" t="s">
        <v>14511</v>
      </c>
      <c r="X1317">
        <v>9</v>
      </c>
      <c r="Y1317" t="s">
        <v>21029</v>
      </c>
      <c r="Z1317" t="s">
        <v>27448</v>
      </c>
      <c r="AA1317">
        <v>0.38838159384624482</v>
      </c>
      <c r="AB1317" t="str">
        <f>HYPERLINK("Melting_Curves/meltCurve_O60313_OPA1.pdf", "Melting_Curves/meltCurve_O60313_OPA1.pdf")</f>
        <v>Melting_Curves/meltCurve_O60313_OPA1.pdf</v>
      </c>
    </row>
    <row r="1318" spans="1:28" x14ac:dyDescent="0.25">
      <c r="A1318" t="s">
        <v>1322</v>
      </c>
      <c r="B1318">
        <v>0.99930955844802105</v>
      </c>
      <c r="C1318">
        <v>1.0431010817685</v>
      </c>
      <c r="D1318">
        <v>1.02663664574165</v>
      </c>
      <c r="E1318">
        <v>0.96649386957426497</v>
      </c>
      <c r="F1318">
        <v>0.82443717478916401</v>
      </c>
      <c r="G1318">
        <v>0.66875638253429204</v>
      </c>
      <c r="H1318">
        <v>0.60855827659702699</v>
      </c>
      <c r="I1318">
        <v>0.63233527173198301</v>
      </c>
      <c r="J1318">
        <v>0.60999114000089705</v>
      </c>
      <c r="K1318">
        <v>0.49360882169996001</v>
      </c>
      <c r="L1318">
        <v>1300.91681143407</v>
      </c>
      <c r="M1318">
        <v>24.038707605176601</v>
      </c>
      <c r="O1318">
        <v>53.747244886356498</v>
      </c>
      <c r="P1318">
        <v>-4.7654643822979598E-2</v>
      </c>
      <c r="Q1318">
        <v>0.57380978402988003</v>
      </c>
      <c r="R1318">
        <v>0.96469793653549796</v>
      </c>
      <c r="S1318" t="s">
        <v>7935</v>
      </c>
      <c r="T1318" t="s">
        <v>13232</v>
      </c>
      <c r="U1318" t="s">
        <v>13232</v>
      </c>
      <c r="V1318" t="s">
        <v>13232</v>
      </c>
      <c r="W1318" t="s">
        <v>14512</v>
      </c>
      <c r="X1318">
        <v>16</v>
      </c>
      <c r="Y1318" t="s">
        <v>21030</v>
      </c>
      <c r="Z1318" t="s">
        <v>27449</v>
      </c>
      <c r="AA1318">
        <v>0.77860216233987478</v>
      </c>
      <c r="AB1318" t="str">
        <f>HYPERLINK("Melting_Curves/meltCurve_O60315_2_ZEB2.pdf", "Melting_Curves/meltCurve_O60315_2_ZEB2.pdf")</f>
        <v>Melting_Curves/meltCurve_O60315_2_ZEB2.pdf</v>
      </c>
    </row>
    <row r="1319" spans="1:28" x14ac:dyDescent="0.25">
      <c r="A1319" t="s">
        <v>1323</v>
      </c>
      <c r="B1319">
        <v>0.99930955844802105</v>
      </c>
      <c r="C1319">
        <v>0.97835651041596094</v>
      </c>
      <c r="D1319">
        <v>0.95946407573292203</v>
      </c>
      <c r="E1319">
        <v>0.85005714346533201</v>
      </c>
      <c r="F1319">
        <v>0.507442067536654</v>
      </c>
      <c r="G1319">
        <v>0.38335537707223899</v>
      </c>
      <c r="H1319">
        <v>0.32257865686896298</v>
      </c>
      <c r="I1319">
        <v>0.31070333178748799</v>
      </c>
      <c r="J1319">
        <v>0.30255022058955899</v>
      </c>
      <c r="K1319">
        <v>0.238312715031193</v>
      </c>
      <c r="L1319">
        <v>1536.44384915673</v>
      </c>
      <c r="M1319">
        <v>29.633453893352801</v>
      </c>
      <c r="N1319">
        <v>53.471172546703698</v>
      </c>
      <c r="O1319">
        <v>51.6138926914387</v>
      </c>
      <c r="P1319">
        <v>-0.1009637682374</v>
      </c>
      <c r="Q1319">
        <v>0.296592634369371</v>
      </c>
      <c r="R1319">
        <v>0.99101710939208798</v>
      </c>
      <c r="S1319" t="s">
        <v>7936</v>
      </c>
      <c r="T1319" t="s">
        <v>13232</v>
      </c>
      <c r="U1319" t="s">
        <v>13232</v>
      </c>
      <c r="V1319" t="s">
        <v>13232</v>
      </c>
      <c r="W1319" t="s">
        <v>14513</v>
      </c>
      <c r="X1319">
        <v>21</v>
      </c>
      <c r="Y1319" t="s">
        <v>21031</v>
      </c>
      <c r="Z1319" t="s">
        <v>27450</v>
      </c>
      <c r="AA1319">
        <v>0.57899275140043827</v>
      </c>
      <c r="AB1319" t="str">
        <f>HYPERLINK("Melting_Curves/meltCurve_O60318_MCM3AP.pdf", "Melting_Curves/meltCurve_O60318_MCM3AP.pdf")</f>
        <v>Melting_Curves/meltCurve_O60318_MCM3AP.pdf</v>
      </c>
    </row>
    <row r="1320" spans="1:28" x14ac:dyDescent="0.25">
      <c r="A1320" t="s">
        <v>1324</v>
      </c>
      <c r="B1320">
        <v>0.99930955844802105</v>
      </c>
      <c r="C1320">
        <v>0.97285566154548697</v>
      </c>
      <c r="D1320">
        <v>0.83937372842636004</v>
      </c>
      <c r="E1320">
        <v>0.50770768959436796</v>
      </c>
      <c r="F1320">
        <v>0.34502542445801498</v>
      </c>
      <c r="G1320">
        <v>0.2374252982748</v>
      </c>
      <c r="H1320">
        <v>0.20001423460106199</v>
      </c>
      <c r="I1320">
        <v>0.19646004353256899</v>
      </c>
      <c r="J1320">
        <v>0.19311771272841699</v>
      </c>
      <c r="K1320">
        <v>0.15453635517415801</v>
      </c>
      <c r="L1320">
        <v>994.75858946600295</v>
      </c>
      <c r="M1320">
        <v>20.2368386788207</v>
      </c>
      <c r="N1320">
        <v>50.274296352721301</v>
      </c>
      <c r="O1320">
        <v>48.683381704603804</v>
      </c>
      <c r="P1320">
        <v>-8.5087340528637201E-2</v>
      </c>
      <c r="Q1320">
        <v>0.18125338960041501</v>
      </c>
      <c r="R1320">
        <v>0.998523726079386</v>
      </c>
      <c r="S1320" t="s">
        <v>7937</v>
      </c>
      <c r="T1320" t="s">
        <v>13232</v>
      </c>
      <c r="U1320" t="s">
        <v>13232</v>
      </c>
      <c r="V1320" t="s">
        <v>13232</v>
      </c>
      <c r="W1320" t="s">
        <v>14514</v>
      </c>
      <c r="X1320">
        <v>9</v>
      </c>
      <c r="Y1320" t="s">
        <v>21032</v>
      </c>
      <c r="Z1320" t="s">
        <v>27451</v>
      </c>
      <c r="AA1320">
        <v>0.44231403171292583</v>
      </c>
      <c r="AB1320" t="str">
        <f>HYPERLINK("Melting_Curves/meltCurve_O60333_3_KIF1B.pdf", "Melting_Curves/meltCurve_O60333_3_KIF1B.pdf")</f>
        <v>Melting_Curves/meltCurve_O60333_3_KIF1B.pdf</v>
      </c>
    </row>
    <row r="1321" spans="1:28" x14ac:dyDescent="0.25">
      <c r="A1321" t="s">
        <v>1325</v>
      </c>
      <c r="B1321">
        <v>0.99930955844802105</v>
      </c>
      <c r="C1321">
        <v>0.92062726445771603</v>
      </c>
      <c r="D1321">
        <v>0.76520094701750296</v>
      </c>
      <c r="E1321">
        <v>0.62413746057429498</v>
      </c>
      <c r="F1321">
        <v>0.55435736321315898</v>
      </c>
      <c r="G1321">
        <v>0.326529712364244</v>
      </c>
      <c r="H1321">
        <v>0.32102230107854102</v>
      </c>
      <c r="I1321">
        <v>0.32059952889798299</v>
      </c>
      <c r="J1321">
        <v>0.32737453001621802</v>
      </c>
      <c r="K1321">
        <v>0.25066761279767102</v>
      </c>
      <c r="L1321">
        <v>614.62894125363005</v>
      </c>
      <c r="M1321">
        <v>12.333799139000099</v>
      </c>
      <c r="N1321">
        <v>52.952563033354899</v>
      </c>
      <c r="O1321">
        <v>48.577256767495498</v>
      </c>
      <c r="P1321">
        <v>-4.70939504168396E-2</v>
      </c>
      <c r="Q1321">
        <v>0.25823400889568698</v>
      </c>
      <c r="R1321">
        <v>0.98196803910166497</v>
      </c>
      <c r="S1321" t="s">
        <v>7938</v>
      </c>
      <c r="T1321" t="s">
        <v>13232</v>
      </c>
      <c r="U1321" t="s">
        <v>13232</v>
      </c>
      <c r="V1321" t="s">
        <v>13232</v>
      </c>
      <c r="W1321" t="s">
        <v>14515</v>
      </c>
      <c r="X1321">
        <v>1</v>
      </c>
      <c r="Y1321" t="s">
        <v>21033</v>
      </c>
      <c r="Z1321" t="s">
        <v>27452</v>
      </c>
      <c r="AA1321">
        <v>0.52617814332582591</v>
      </c>
      <c r="AB1321" t="str">
        <f>HYPERLINK("Melting_Curves/meltCurve_O60336_4_MAPKBP1.pdf", "Melting_Curves/meltCurve_O60336_4_MAPKBP1.pdf")</f>
        <v>Melting_Curves/meltCurve_O60336_4_MAPKBP1.pdf</v>
      </c>
    </row>
    <row r="1322" spans="1:28" x14ac:dyDescent="0.25">
      <c r="A1322" t="s">
        <v>1326</v>
      </c>
      <c r="B1322">
        <v>0.99930955844802105</v>
      </c>
      <c r="C1322">
        <v>0.86699989763360596</v>
      </c>
      <c r="D1322">
        <v>0.8033484192043</v>
      </c>
      <c r="E1322">
        <v>0.52512709535591195</v>
      </c>
      <c r="F1322">
        <v>0.29135268025046601</v>
      </c>
      <c r="G1322">
        <v>0.15791267394802999</v>
      </c>
      <c r="H1322">
        <v>8.9010377904699803E-2</v>
      </c>
      <c r="I1322">
        <v>7.2167048719888799E-2</v>
      </c>
      <c r="J1322">
        <v>5.83283949562758E-2</v>
      </c>
      <c r="K1322">
        <v>4.43839149340646E-2</v>
      </c>
      <c r="L1322">
        <v>746.66612819331704</v>
      </c>
      <c r="M1322">
        <v>14.980486990791</v>
      </c>
      <c r="N1322">
        <v>50.067862253278797</v>
      </c>
      <c r="O1322">
        <v>48.979705471123403</v>
      </c>
      <c r="P1322">
        <v>-7.3978186308722105E-2</v>
      </c>
      <c r="Q1322">
        <v>3.2591795680563002E-2</v>
      </c>
      <c r="R1322">
        <v>0.99622440491201103</v>
      </c>
      <c r="S1322" t="s">
        <v>7939</v>
      </c>
      <c r="T1322" t="s">
        <v>13232</v>
      </c>
      <c r="U1322" t="s">
        <v>13232</v>
      </c>
      <c r="V1322" t="s">
        <v>13232</v>
      </c>
      <c r="W1322" t="s">
        <v>14516</v>
      </c>
      <c r="X1322">
        <v>33</v>
      </c>
      <c r="Y1322" t="s">
        <v>21034</v>
      </c>
      <c r="Z1322" t="s">
        <v>27453</v>
      </c>
      <c r="AA1322">
        <v>0.37322635894269379</v>
      </c>
      <c r="AB1322" t="str">
        <f>HYPERLINK("Melting_Curves/meltCurve_O60341_KDM1A.pdf", "Melting_Curves/meltCurve_O60341_KDM1A.pdf")</f>
        <v>Melting_Curves/meltCurve_O60341_KDM1A.pdf</v>
      </c>
    </row>
    <row r="1323" spans="1:28" x14ac:dyDescent="0.25">
      <c r="A1323" t="s">
        <v>1327</v>
      </c>
      <c r="B1323">
        <v>0.99930955844802105</v>
      </c>
      <c r="C1323">
        <v>1.10146545541341</v>
      </c>
      <c r="D1323">
        <v>1.04982054325757</v>
      </c>
      <c r="E1323">
        <v>0.97725784947740202</v>
      </c>
      <c r="F1323">
        <v>0.75131995969547005</v>
      </c>
      <c r="G1323">
        <v>0.47554415591342603</v>
      </c>
      <c r="H1323">
        <v>0.226789900304635</v>
      </c>
      <c r="I1323">
        <v>0.136117141834389</v>
      </c>
      <c r="J1323">
        <v>0.104861011412914</v>
      </c>
      <c r="K1323">
        <v>8.1683364695296204E-2</v>
      </c>
      <c r="L1323">
        <v>1181.15662736887</v>
      </c>
      <c r="M1323">
        <v>21.042896110098098</v>
      </c>
      <c r="N1323">
        <v>56.5616828449688</v>
      </c>
      <c r="O1323">
        <v>55.631351374103701</v>
      </c>
      <c r="P1323">
        <v>-8.7564682344822203E-2</v>
      </c>
      <c r="Q1323">
        <v>7.4041554105201204E-2</v>
      </c>
      <c r="R1323">
        <v>0.98928802519923698</v>
      </c>
      <c r="S1323" t="s">
        <v>7940</v>
      </c>
      <c r="T1323" t="s">
        <v>13232</v>
      </c>
      <c r="U1323" t="s">
        <v>13232</v>
      </c>
      <c r="V1323" t="s">
        <v>13232</v>
      </c>
      <c r="W1323" t="s">
        <v>14517</v>
      </c>
      <c r="X1323">
        <v>45</v>
      </c>
      <c r="Y1323" t="s">
        <v>21035</v>
      </c>
      <c r="Z1323" t="s">
        <v>27454</v>
      </c>
      <c r="AA1323">
        <v>0.58298568969616027</v>
      </c>
      <c r="AB1323" t="str">
        <f>HYPERLINK("Melting_Curves/meltCurve_O60343_2_TBC1D4.pdf", "Melting_Curves/meltCurve_O60343_2_TBC1D4.pdf")</f>
        <v>Melting_Curves/meltCurve_O60343_2_TBC1D4.pdf</v>
      </c>
    </row>
    <row r="1324" spans="1:28" x14ac:dyDescent="0.25">
      <c r="A1324" t="s">
        <v>1328</v>
      </c>
      <c r="B1324">
        <v>0.99930955844802105</v>
      </c>
      <c r="C1324">
        <v>1.0090752272218999</v>
      </c>
      <c r="D1324">
        <v>0.947847440923277</v>
      </c>
      <c r="E1324">
        <v>0.68250873353714603</v>
      </c>
      <c r="F1324">
        <v>0.47366794470782703</v>
      </c>
      <c r="G1324">
        <v>0.43821619539947898</v>
      </c>
      <c r="H1324">
        <v>0.24662303599246499</v>
      </c>
      <c r="I1324">
        <v>0.264429829359344</v>
      </c>
      <c r="J1324">
        <v>0.273118664060432</v>
      </c>
      <c r="K1324">
        <v>0.179954078146216</v>
      </c>
      <c r="L1324">
        <v>871.67100586936897</v>
      </c>
      <c r="M1324">
        <v>16.953330768163301</v>
      </c>
      <c r="N1324">
        <v>53.322851613911801</v>
      </c>
      <c r="O1324">
        <v>50.716534415208997</v>
      </c>
      <c r="P1324">
        <v>-6.4576697798528301E-2</v>
      </c>
      <c r="Q1324">
        <v>0.227313911975632</v>
      </c>
      <c r="R1324">
        <v>0.98175852627823701</v>
      </c>
      <c r="S1324" t="s">
        <v>7941</v>
      </c>
      <c r="T1324" t="s">
        <v>13232</v>
      </c>
      <c r="U1324" t="s">
        <v>13232</v>
      </c>
      <c r="V1324" t="s">
        <v>13232</v>
      </c>
      <c r="W1324" t="s">
        <v>14518</v>
      </c>
      <c r="X1324">
        <v>4</v>
      </c>
      <c r="Y1324" t="s">
        <v>21036</v>
      </c>
      <c r="Z1324" t="s">
        <v>27455</v>
      </c>
      <c r="AA1324">
        <v>0.53572244727948215</v>
      </c>
      <c r="AB1324" t="str">
        <f>HYPERLINK("Melting_Curves/meltCurve_O60344_4_ECE2.pdf", "Melting_Curves/meltCurve_O60344_4_ECE2.pdf")</f>
        <v>Melting_Curves/meltCurve_O60344_4_ECE2.pdf</v>
      </c>
    </row>
    <row r="1325" spans="1:28" x14ac:dyDescent="0.25">
      <c r="A1325" t="s">
        <v>1329</v>
      </c>
      <c r="B1325">
        <v>0.99930955844802105</v>
      </c>
      <c r="C1325">
        <v>1.0589490787485001</v>
      </c>
      <c r="D1325">
        <v>1.01531925674255</v>
      </c>
      <c r="E1325">
        <v>0.92485639106078299</v>
      </c>
      <c r="F1325">
        <v>0.682601000123084</v>
      </c>
      <c r="G1325">
        <v>0.51483049842895501</v>
      </c>
      <c r="H1325">
        <v>0.42882837322345602</v>
      </c>
      <c r="I1325">
        <v>0.42195707027248203</v>
      </c>
      <c r="J1325">
        <v>0.40750863006994298</v>
      </c>
      <c r="K1325">
        <v>0.34236086177623398</v>
      </c>
      <c r="L1325">
        <v>1328.7978868042001</v>
      </c>
      <c r="M1325">
        <v>24.951785173211299</v>
      </c>
      <c r="N1325">
        <v>56.7540776075829</v>
      </c>
      <c r="O1325">
        <v>52.916099867360998</v>
      </c>
      <c r="P1325">
        <v>-7.1597516059397903E-2</v>
      </c>
      <c r="Q1325">
        <v>0.39265115376974802</v>
      </c>
      <c r="R1325">
        <v>0.986998264456315</v>
      </c>
      <c r="S1325" t="s">
        <v>7942</v>
      </c>
      <c r="T1325" t="s">
        <v>13232</v>
      </c>
      <c r="U1325" t="s">
        <v>13232</v>
      </c>
      <c r="V1325" t="s">
        <v>13232</v>
      </c>
      <c r="W1325" t="s">
        <v>14519</v>
      </c>
      <c r="X1325">
        <v>8</v>
      </c>
      <c r="Y1325" t="s">
        <v>21037</v>
      </c>
      <c r="Z1325" t="s">
        <v>27456</v>
      </c>
      <c r="AA1325">
        <v>0.66661202364956584</v>
      </c>
      <c r="AB1325" t="str">
        <f>HYPERLINK("Melting_Curves/meltCurve_O60346_PHLPP1.pdf", "Melting_Curves/meltCurve_O60346_PHLPP1.pdf")</f>
        <v>Melting_Curves/meltCurve_O60346_PHLPP1.pdf</v>
      </c>
    </row>
    <row r="1326" spans="1:28" x14ac:dyDescent="0.25">
      <c r="A1326" t="s">
        <v>1330</v>
      </c>
      <c r="B1326">
        <v>0.99930955844802105</v>
      </c>
      <c r="C1326">
        <v>0.94415297315184499</v>
      </c>
      <c r="D1326">
        <v>0.83489009714947005</v>
      </c>
      <c r="E1326">
        <v>0.894282842536678</v>
      </c>
      <c r="F1326">
        <v>0.73231629920894803</v>
      </c>
      <c r="G1326">
        <v>0.63073791199759099</v>
      </c>
      <c r="H1326">
        <v>0.59823602253583197</v>
      </c>
      <c r="I1326">
        <v>0.65025599293623404</v>
      </c>
      <c r="J1326">
        <v>0.66483432180582602</v>
      </c>
      <c r="K1326">
        <v>0.49839300653590601</v>
      </c>
      <c r="L1326">
        <v>491.01303901936302</v>
      </c>
      <c r="M1326">
        <v>9.4297792859973608</v>
      </c>
      <c r="O1326">
        <v>49.889860715439603</v>
      </c>
      <c r="P1326">
        <v>-2.20187310265107E-2</v>
      </c>
      <c r="Q1326">
        <v>0.53430788228934201</v>
      </c>
      <c r="R1326">
        <v>0.88406173144795697</v>
      </c>
      <c r="S1326" t="s">
        <v>7943</v>
      </c>
      <c r="T1326" t="s">
        <v>13232</v>
      </c>
      <c r="U1326" t="s">
        <v>13232</v>
      </c>
      <c r="V1326" t="s">
        <v>13232</v>
      </c>
      <c r="W1326" t="s">
        <v>14520</v>
      </c>
      <c r="X1326">
        <v>6</v>
      </c>
      <c r="Y1326" t="s">
        <v>21038</v>
      </c>
      <c r="Z1326" t="s">
        <v>27457</v>
      </c>
      <c r="AA1326">
        <v>0.74034392827458584</v>
      </c>
      <c r="AB1326" t="str">
        <f>HYPERLINK("Melting_Curves/meltCurve_O60347_TBC1D12.pdf", "Melting_Curves/meltCurve_O60347_TBC1D12.pdf")</f>
        <v>Melting_Curves/meltCurve_O60347_TBC1D12.pdf</v>
      </c>
    </row>
    <row r="1327" spans="1:28" x14ac:dyDescent="0.25">
      <c r="A1327" t="s">
        <v>1331</v>
      </c>
      <c r="B1327">
        <v>0.99930955844802105</v>
      </c>
      <c r="C1327">
        <v>0.97781254815390495</v>
      </c>
      <c r="D1327">
        <v>1.0151724142857299</v>
      </c>
      <c r="E1327">
        <v>0.93585378753196602</v>
      </c>
      <c r="F1327">
        <v>0.83921534205520099</v>
      </c>
      <c r="G1327">
        <v>0.81789228454531704</v>
      </c>
      <c r="H1327">
        <v>0.729584771733364</v>
      </c>
      <c r="I1327">
        <v>0.91387062784524298</v>
      </c>
      <c r="J1327">
        <v>0.94082782214233995</v>
      </c>
      <c r="K1327">
        <v>0.83696786089588304</v>
      </c>
      <c r="L1327">
        <v>12516.6316774565</v>
      </c>
      <c r="M1327">
        <v>250</v>
      </c>
      <c r="O1327">
        <v>50.063323201169702</v>
      </c>
      <c r="P1327">
        <v>-0.19176576709885201</v>
      </c>
      <c r="Q1327">
        <v>0.84639309622421399</v>
      </c>
      <c r="R1327">
        <v>0.62003844128468</v>
      </c>
      <c r="S1327" t="s">
        <v>7944</v>
      </c>
      <c r="T1327" t="s">
        <v>13232</v>
      </c>
      <c r="U1327" t="s">
        <v>13232</v>
      </c>
      <c r="V1327" t="s">
        <v>13232</v>
      </c>
      <c r="W1327" t="s">
        <v>14521</v>
      </c>
      <c r="X1327">
        <v>2</v>
      </c>
      <c r="Y1327" t="s">
        <v>21039</v>
      </c>
      <c r="Z1327" t="s">
        <v>27458</v>
      </c>
      <c r="AA1327">
        <v>0.89794952636702741</v>
      </c>
      <c r="AB1327" t="str">
        <f>HYPERLINK("Melting_Curves/meltCurve_O60353_2_FZD6.pdf", "Melting_Curves/meltCurve_O60353_2_FZD6.pdf")</f>
        <v>Melting_Curves/meltCurve_O60353_2_FZD6.pdf</v>
      </c>
    </row>
    <row r="1328" spans="1:28" x14ac:dyDescent="0.25">
      <c r="A1328" t="s">
        <v>1332</v>
      </c>
      <c r="B1328">
        <v>0.99930955844802105</v>
      </c>
      <c r="C1328">
        <v>1.26555770711719</v>
      </c>
      <c r="D1328">
        <v>1.18092867053998</v>
      </c>
      <c r="E1328">
        <v>1.4344690297791201</v>
      </c>
      <c r="F1328">
        <v>1.59402748056732</v>
      </c>
      <c r="G1328">
        <v>1.1751714099619299</v>
      </c>
      <c r="H1328">
        <v>0.93041706196820795</v>
      </c>
      <c r="I1328">
        <v>0.35164852735746699</v>
      </c>
      <c r="J1328">
        <v>7.9941341011292202E-2</v>
      </c>
      <c r="K1328">
        <v>4.70505037200383E-2</v>
      </c>
      <c r="L1328">
        <v>4336.0165060852096</v>
      </c>
      <c r="M1328">
        <v>68.520099215757995</v>
      </c>
      <c r="N1328">
        <v>63.382990108740699</v>
      </c>
      <c r="O1328">
        <v>63.227106308196397</v>
      </c>
      <c r="P1328">
        <v>-0.25677942218674299</v>
      </c>
      <c r="Q1328">
        <v>5.2224613787143E-2</v>
      </c>
      <c r="R1328">
        <v>0.75572657993666004</v>
      </c>
      <c r="S1328" t="s">
        <v>7945</v>
      </c>
      <c r="T1328" t="s">
        <v>13232</v>
      </c>
      <c r="U1328" t="s">
        <v>13232</v>
      </c>
      <c r="V1328" t="s">
        <v>13232</v>
      </c>
      <c r="W1328" t="s">
        <v>14522</v>
      </c>
      <c r="X1328">
        <v>10</v>
      </c>
      <c r="Y1328" t="s">
        <v>21040</v>
      </c>
      <c r="Z1328" t="s">
        <v>27459</v>
      </c>
      <c r="AA1328">
        <v>0.78908178786034877</v>
      </c>
      <c r="AB1328" t="str">
        <f>HYPERLINK("Melting_Curves/meltCurve_O60361_NME2P1.pdf", "Melting_Curves/meltCurve_O60361_NME2P1.pdf")</f>
        <v>Melting_Curves/meltCurve_O60361_NME2P1.pdf</v>
      </c>
    </row>
    <row r="1329" spans="1:28" x14ac:dyDescent="0.25">
      <c r="A1329" t="s">
        <v>1333</v>
      </c>
      <c r="B1329">
        <v>0.99930955844802105</v>
      </c>
      <c r="C1329">
        <v>1.0829817439643199</v>
      </c>
      <c r="D1329">
        <v>1.08438088537267</v>
      </c>
      <c r="E1329">
        <v>0.99934515974976601</v>
      </c>
      <c r="F1329">
        <v>0.87996477477112001</v>
      </c>
      <c r="G1329">
        <v>0.53947030810166297</v>
      </c>
      <c r="H1329">
        <v>0.20832460099710701</v>
      </c>
      <c r="I1329">
        <v>0.16033387123730999</v>
      </c>
      <c r="J1329">
        <v>0.117820252659513</v>
      </c>
      <c r="K1329">
        <v>9.0767908947511994E-2</v>
      </c>
      <c r="L1329">
        <v>1562.9955565412099</v>
      </c>
      <c r="M1329">
        <v>27.491812919177299</v>
      </c>
      <c r="N1329">
        <v>57.319319008606001</v>
      </c>
      <c r="O1329">
        <v>56.554865625431297</v>
      </c>
      <c r="P1329">
        <v>-0.10935341618225999</v>
      </c>
      <c r="Q1329">
        <v>0.10018146344044</v>
      </c>
      <c r="R1329">
        <v>0.99083945425785003</v>
      </c>
      <c r="S1329" t="s">
        <v>7946</v>
      </c>
      <c r="T1329" t="s">
        <v>13232</v>
      </c>
      <c r="U1329" t="s">
        <v>13232</v>
      </c>
      <c r="V1329" t="s">
        <v>13232</v>
      </c>
      <c r="W1329" t="s">
        <v>14523</v>
      </c>
      <c r="X1329">
        <v>9</v>
      </c>
      <c r="Y1329" t="s">
        <v>21041</v>
      </c>
      <c r="Z1329" t="s">
        <v>27460</v>
      </c>
      <c r="AA1329">
        <v>0.61264537237149475</v>
      </c>
      <c r="AB1329" t="str">
        <f>HYPERLINK("Melting_Curves/meltCurve_O60443_DFNA5.pdf", "Melting_Curves/meltCurve_O60443_DFNA5.pdf")</f>
        <v>Melting_Curves/meltCurve_O60443_DFNA5.pdf</v>
      </c>
    </row>
    <row r="1330" spans="1:28" x14ac:dyDescent="0.25">
      <c r="A1330" t="s">
        <v>1334</v>
      </c>
      <c r="B1330">
        <v>0.99930955844802105</v>
      </c>
      <c r="C1330">
        <v>0.98346794941410298</v>
      </c>
      <c r="D1330">
        <v>0.81427164153325404</v>
      </c>
      <c r="E1330">
        <v>0.51302744123894795</v>
      </c>
      <c r="F1330">
        <v>0.33191165384552701</v>
      </c>
      <c r="G1330">
        <v>0.24472939638699701</v>
      </c>
      <c r="H1330">
        <v>0.17567353139115699</v>
      </c>
      <c r="I1330">
        <v>0.15902129284864699</v>
      </c>
      <c r="J1330">
        <v>0.15160302043698901</v>
      </c>
      <c r="K1330">
        <v>0.119425912049516</v>
      </c>
      <c r="L1330">
        <v>899.73083900650397</v>
      </c>
      <c r="M1330">
        <v>18.221927150522902</v>
      </c>
      <c r="N1330">
        <v>50.315991659037998</v>
      </c>
      <c r="O1330">
        <v>48.793120117450002</v>
      </c>
      <c r="P1330">
        <v>-7.9901384195220901E-2</v>
      </c>
      <c r="Q1330">
        <v>0.14422782547625801</v>
      </c>
      <c r="R1330">
        <v>0.99701673623812004</v>
      </c>
      <c r="S1330" t="s">
        <v>7947</v>
      </c>
      <c r="T1330" t="s">
        <v>13232</v>
      </c>
      <c r="U1330" t="s">
        <v>13232</v>
      </c>
      <c r="V1330" t="s">
        <v>13232</v>
      </c>
      <c r="W1330" t="s">
        <v>14524</v>
      </c>
      <c r="X1330">
        <v>10</v>
      </c>
      <c r="Y1330" t="s">
        <v>21042</v>
      </c>
      <c r="Z1330" t="s">
        <v>27461</v>
      </c>
      <c r="AA1330">
        <v>0.42606914625133929</v>
      </c>
      <c r="AB1330" t="str">
        <f>HYPERLINK("Melting_Curves/meltCurve_O60447_EVI5.pdf", "Melting_Curves/meltCurve_O60447_EVI5.pdf")</f>
        <v>Melting_Curves/meltCurve_O60447_EVI5.pdf</v>
      </c>
    </row>
    <row r="1331" spans="1:28" x14ac:dyDescent="0.25">
      <c r="A1331" t="s">
        <v>1335</v>
      </c>
      <c r="B1331">
        <v>0.99930955844802105</v>
      </c>
      <c r="C1331">
        <v>0.96754269733821097</v>
      </c>
      <c r="D1331">
        <v>0.727733489515897</v>
      </c>
      <c r="E1331">
        <v>0.38208654819353799</v>
      </c>
      <c r="F1331">
        <v>0.23305628265665901</v>
      </c>
      <c r="G1331">
        <v>0.17672015725170001</v>
      </c>
      <c r="H1331">
        <v>0.14924028813727699</v>
      </c>
      <c r="I1331">
        <v>0.15448551255739801</v>
      </c>
      <c r="J1331">
        <v>0.15618202854994501</v>
      </c>
      <c r="K1331">
        <v>0.121017877510065</v>
      </c>
      <c r="L1331">
        <v>1066.97201425306</v>
      </c>
      <c r="M1331">
        <v>22.334268630801699</v>
      </c>
      <c r="N1331">
        <v>48.519248969499301</v>
      </c>
      <c r="O1331">
        <v>47.394822170162001</v>
      </c>
      <c r="P1331">
        <v>-0.100684057084711</v>
      </c>
      <c r="Q1331">
        <v>0.145384600004036</v>
      </c>
      <c r="R1331">
        <v>0.99801329343938605</v>
      </c>
      <c r="S1331" t="s">
        <v>7948</v>
      </c>
      <c r="T1331" t="s">
        <v>13232</v>
      </c>
      <c r="U1331" t="s">
        <v>13232</v>
      </c>
      <c r="V1331" t="s">
        <v>13232</v>
      </c>
      <c r="W1331" t="s">
        <v>14525</v>
      </c>
      <c r="X1331">
        <v>10</v>
      </c>
      <c r="Y1331" t="s">
        <v>21043</v>
      </c>
      <c r="Z1331" t="s">
        <v>27462</v>
      </c>
      <c r="AA1331">
        <v>0.37644239355047021</v>
      </c>
      <c r="AB1331" t="str">
        <f>HYPERLINK("Melting_Curves/meltCurve_O60493_SNX3.pdf", "Melting_Curves/meltCurve_O60493_SNX3.pdf")</f>
        <v>Melting_Curves/meltCurve_O60493_SNX3.pdf</v>
      </c>
    </row>
    <row r="1332" spans="1:28" x14ac:dyDescent="0.25">
      <c r="A1332" t="s">
        <v>1336</v>
      </c>
      <c r="B1332">
        <v>0.99930955844802105</v>
      </c>
      <c r="C1332">
        <v>1.04523964687972</v>
      </c>
      <c r="D1332">
        <v>0.97869587137724001</v>
      </c>
      <c r="E1332">
        <v>0.94307260371419899</v>
      </c>
      <c r="F1332">
        <v>0.81117934091922095</v>
      </c>
      <c r="G1332">
        <v>0.32486121389009198</v>
      </c>
      <c r="H1332">
        <v>0.17732950667886199</v>
      </c>
      <c r="I1332">
        <v>0.144265034871086</v>
      </c>
      <c r="J1332">
        <v>0.13665165561381201</v>
      </c>
      <c r="K1332">
        <v>0.106683285213561</v>
      </c>
      <c r="L1332">
        <v>1782.5950336712799</v>
      </c>
      <c r="M1332">
        <v>32.432939727062497</v>
      </c>
      <c r="N1332">
        <v>55.4678151692179</v>
      </c>
      <c r="O1332">
        <v>54.754798849968999</v>
      </c>
      <c r="P1332">
        <v>-0.12914180425015301</v>
      </c>
      <c r="Q1332">
        <v>0.12791134349565</v>
      </c>
      <c r="R1332">
        <v>0.99738624132359199</v>
      </c>
      <c r="S1332" t="s">
        <v>7949</v>
      </c>
      <c r="T1332" t="s">
        <v>13232</v>
      </c>
      <c r="U1332" t="s">
        <v>13232</v>
      </c>
      <c r="V1332" t="s">
        <v>13232</v>
      </c>
      <c r="W1332" t="s">
        <v>14526</v>
      </c>
      <c r="X1332">
        <v>21</v>
      </c>
      <c r="Y1332" t="s">
        <v>21044</v>
      </c>
      <c r="Z1332" t="s">
        <v>27463</v>
      </c>
      <c r="AA1332">
        <v>0.56784805349798773</v>
      </c>
      <c r="AB1332" t="str">
        <f>HYPERLINK("Melting_Curves/meltCurve_O60502_MGEA5.pdf", "Melting_Curves/meltCurve_O60502_MGEA5.pdf")</f>
        <v>Melting_Curves/meltCurve_O60502_MGEA5.pdf</v>
      </c>
    </row>
    <row r="1333" spans="1:28" x14ac:dyDescent="0.25">
      <c r="A1333" t="s">
        <v>1337</v>
      </c>
      <c r="B1333">
        <v>0.99930955844802105</v>
      </c>
      <c r="C1333">
        <v>0.85844174255988903</v>
      </c>
      <c r="D1333">
        <v>0.94117433768714398</v>
      </c>
      <c r="E1333">
        <v>0.94621906020703705</v>
      </c>
      <c r="F1333">
        <v>0.43846419641032403</v>
      </c>
      <c r="G1333">
        <v>0.221289203220048</v>
      </c>
      <c r="H1333">
        <v>0.12094214408107901</v>
      </c>
      <c r="I1333">
        <v>0.10397163436628901</v>
      </c>
      <c r="J1333">
        <v>9.4781790014230094E-2</v>
      </c>
      <c r="K1333">
        <v>7.7663968103063002E-2</v>
      </c>
      <c r="L1333">
        <v>2391.1456855608099</v>
      </c>
      <c r="M1333">
        <v>45.577956570454504</v>
      </c>
      <c r="N1333">
        <v>52.770037498263903</v>
      </c>
      <c r="O1333">
        <v>52.362070979913497</v>
      </c>
      <c r="P1333">
        <v>-0.19224800604930201</v>
      </c>
      <c r="Q1333">
        <v>0.116547378738248</v>
      </c>
      <c r="R1333">
        <v>0.97753734012218596</v>
      </c>
      <c r="S1333" t="s">
        <v>7950</v>
      </c>
      <c r="T1333" t="s">
        <v>13232</v>
      </c>
      <c r="U1333" t="s">
        <v>13232</v>
      </c>
      <c r="V1333" t="s">
        <v>13232</v>
      </c>
      <c r="W1333" t="s">
        <v>14527</v>
      </c>
      <c r="X1333">
        <v>23</v>
      </c>
      <c r="Y1333" t="s">
        <v>21045</v>
      </c>
      <c r="Z1333" t="s">
        <v>27464</v>
      </c>
      <c r="AA1333">
        <v>0.48601870505599071</v>
      </c>
      <c r="AB1333" t="str">
        <f>HYPERLINK("Melting_Curves/meltCurve_O60506_2_SYNCRIP.pdf", "Melting_Curves/meltCurve_O60506_2_SYNCRIP.pdf")</f>
        <v>Melting_Curves/meltCurve_O60506_2_SYNCRIP.pdf</v>
      </c>
    </row>
    <row r="1334" spans="1:28" x14ac:dyDescent="0.25">
      <c r="A1334" t="s">
        <v>1338</v>
      </c>
      <c r="B1334">
        <v>0.99930955844802105</v>
      </c>
      <c r="C1334">
        <v>0.90169804318283697</v>
      </c>
      <c r="D1334">
        <v>0.71009663591570304</v>
      </c>
      <c r="E1334">
        <v>0.78319302536662705</v>
      </c>
      <c r="F1334">
        <v>0.229486922781865</v>
      </c>
      <c r="G1334">
        <v>0.129460908420368</v>
      </c>
      <c r="H1334">
        <v>7.6011637111015606E-2</v>
      </c>
      <c r="I1334">
        <v>6.6175485164431905E-2</v>
      </c>
      <c r="J1334">
        <v>5.9029634292634803E-2</v>
      </c>
      <c r="K1334">
        <v>4.7934525995127202E-2</v>
      </c>
      <c r="L1334">
        <v>818.08028610446297</v>
      </c>
      <c r="M1334">
        <v>16.099646869906501</v>
      </c>
      <c r="N1334">
        <v>50.937180081024799</v>
      </c>
      <c r="O1334">
        <v>50.048988448492302</v>
      </c>
      <c r="P1334">
        <v>-7.8884397726766101E-2</v>
      </c>
      <c r="Q1334">
        <v>1.9163207778801102E-2</v>
      </c>
      <c r="R1334">
        <v>0.941575381260916</v>
      </c>
      <c r="S1334" t="s">
        <v>7951</v>
      </c>
      <c r="T1334" t="s">
        <v>13232</v>
      </c>
      <c r="U1334" t="s">
        <v>13232</v>
      </c>
      <c r="V1334" t="s">
        <v>13232</v>
      </c>
      <c r="W1334" t="s">
        <v>14528</v>
      </c>
      <c r="X1334">
        <v>19</v>
      </c>
      <c r="Y1334" t="s">
        <v>21046</v>
      </c>
      <c r="Z1334" t="s">
        <v>27465</v>
      </c>
      <c r="AA1334">
        <v>0.39290990662667857</v>
      </c>
      <c r="AB1334" t="str">
        <f>HYPERLINK("Melting_Curves/meltCurve_O60547_2_GMDS.pdf", "Melting_Curves/meltCurve_O60547_2_GMDS.pdf")</f>
        <v>Melting_Curves/meltCurve_O60547_2_GMDS.pdf</v>
      </c>
    </row>
    <row r="1335" spans="1:28" x14ac:dyDescent="0.25">
      <c r="A1335" t="s">
        <v>1339</v>
      </c>
      <c r="B1335">
        <v>0.99930955844802105</v>
      </c>
      <c r="C1335">
        <v>1.0212267324500099</v>
      </c>
      <c r="D1335">
        <v>0.84282642968306698</v>
      </c>
      <c r="E1335">
        <v>0.65930165546223396</v>
      </c>
      <c r="F1335">
        <v>0.6116331649251</v>
      </c>
      <c r="G1335">
        <v>0.51995408041269298</v>
      </c>
      <c r="H1335">
        <v>0.5090417189277</v>
      </c>
      <c r="I1335">
        <v>0.58577516558846598</v>
      </c>
      <c r="J1335">
        <v>0.54680463753917297</v>
      </c>
      <c r="K1335">
        <v>0.46144644797078899</v>
      </c>
      <c r="L1335">
        <v>1054.39092302001</v>
      </c>
      <c r="M1335">
        <v>21.961071745200599</v>
      </c>
      <c r="O1335">
        <v>47.619047254116801</v>
      </c>
      <c r="P1335">
        <v>-5.4793483402253297E-2</v>
      </c>
      <c r="Q1335">
        <v>0.52476744160361599</v>
      </c>
      <c r="R1335">
        <v>0.96443640319372104</v>
      </c>
      <c r="S1335" t="s">
        <v>7952</v>
      </c>
      <c r="T1335" t="s">
        <v>13232</v>
      </c>
      <c r="U1335" t="s">
        <v>13232</v>
      </c>
      <c r="V1335" t="s">
        <v>13232</v>
      </c>
      <c r="W1335" t="s">
        <v>14529</v>
      </c>
      <c r="X1335">
        <v>11</v>
      </c>
      <c r="Y1335" t="s">
        <v>21047</v>
      </c>
      <c r="Z1335" t="s">
        <v>27466</v>
      </c>
      <c r="AA1335">
        <v>0.65721767509400786</v>
      </c>
      <c r="AB1335" t="str">
        <f>HYPERLINK("Melting_Curves/meltCurve_O60551_NMT2.pdf", "Melting_Curves/meltCurve_O60551_NMT2.pdf")</f>
        <v>Melting_Curves/meltCurve_O60551_NMT2.pdf</v>
      </c>
    </row>
    <row r="1336" spans="1:28" x14ac:dyDescent="0.25">
      <c r="A1336" t="s">
        <v>1340</v>
      </c>
      <c r="B1336">
        <v>0.99930955844802105</v>
      </c>
      <c r="C1336">
        <v>0.99476241075459604</v>
      </c>
      <c r="D1336">
        <v>1.00362238876332</v>
      </c>
      <c r="E1336">
        <v>0.85118143811232205</v>
      </c>
      <c r="F1336">
        <v>0.73830570898748804</v>
      </c>
      <c r="G1336">
        <v>0.60331043390361805</v>
      </c>
      <c r="H1336">
        <v>0.52243911421141498</v>
      </c>
      <c r="I1336">
        <v>0.57961498515230503</v>
      </c>
      <c r="J1336">
        <v>0.55168460730174496</v>
      </c>
      <c r="K1336">
        <v>0.43012886718129001</v>
      </c>
      <c r="L1336">
        <v>964.28994818970602</v>
      </c>
      <c r="M1336">
        <v>18.289948253272499</v>
      </c>
      <c r="O1336">
        <v>52.104282905225297</v>
      </c>
      <c r="P1336">
        <v>-4.3690028451356798E-2</v>
      </c>
      <c r="Q1336">
        <v>0.50216782626386403</v>
      </c>
      <c r="R1336">
        <v>0.970621421553723</v>
      </c>
      <c r="S1336" t="s">
        <v>7953</v>
      </c>
      <c r="T1336" t="s">
        <v>13232</v>
      </c>
      <c r="U1336" t="s">
        <v>13232</v>
      </c>
      <c r="V1336" t="s">
        <v>13232</v>
      </c>
      <c r="W1336" t="s">
        <v>14530</v>
      </c>
      <c r="X1336">
        <v>15</v>
      </c>
      <c r="Y1336" t="s">
        <v>21048</v>
      </c>
      <c r="Z1336" t="s">
        <v>27467</v>
      </c>
      <c r="AA1336">
        <v>0.72126936113813334</v>
      </c>
      <c r="AB1336" t="str">
        <f>HYPERLINK("Melting_Curves/meltCurve_O60563_CCNT1.pdf", "Melting_Curves/meltCurve_O60563_CCNT1.pdf")</f>
        <v>Melting_Curves/meltCurve_O60563_CCNT1.pdf</v>
      </c>
    </row>
    <row r="1337" spans="1:28" x14ac:dyDescent="0.25">
      <c r="A1337" t="s">
        <v>1341</v>
      </c>
      <c r="B1337">
        <v>0.99930955844802105</v>
      </c>
      <c r="C1337">
        <v>1.07980989636083</v>
      </c>
      <c r="D1337">
        <v>1.0646854725417401</v>
      </c>
      <c r="E1337">
        <v>0.94794788689694998</v>
      </c>
      <c r="F1337">
        <v>0.712705778281295</v>
      </c>
      <c r="G1337">
        <v>0.52263979734367005</v>
      </c>
      <c r="H1337">
        <v>0.50071390747472599</v>
      </c>
      <c r="I1337">
        <v>0.54825612418604897</v>
      </c>
      <c r="J1337">
        <v>0.53374107305813001</v>
      </c>
      <c r="K1337">
        <v>0.42297410115254302</v>
      </c>
      <c r="L1337">
        <v>2221.3454521163098</v>
      </c>
      <c r="M1337">
        <v>42.218986745944697</v>
      </c>
      <c r="O1337">
        <v>52.497211331064896</v>
      </c>
      <c r="P1337">
        <v>-0.10022318893452099</v>
      </c>
      <c r="Q1337">
        <v>0.50151061851389001</v>
      </c>
      <c r="R1337">
        <v>0.96738006946589705</v>
      </c>
      <c r="S1337" t="s">
        <v>7954</v>
      </c>
      <c r="T1337" t="s">
        <v>13232</v>
      </c>
      <c r="U1337" t="s">
        <v>13232</v>
      </c>
      <c r="V1337" t="s">
        <v>13232</v>
      </c>
      <c r="W1337" t="s">
        <v>14531</v>
      </c>
      <c r="X1337">
        <v>23</v>
      </c>
      <c r="Y1337" t="s">
        <v>21049</v>
      </c>
      <c r="Z1337" t="s">
        <v>27468</v>
      </c>
      <c r="AA1337">
        <v>0.7127481269376067</v>
      </c>
      <c r="AB1337" t="str">
        <f>HYPERLINK("Melting_Curves/meltCurve_O60566_BUB1B.pdf", "Melting_Curves/meltCurve_O60566_BUB1B.pdf")</f>
        <v>Melting_Curves/meltCurve_O60566_BUB1B.pdf</v>
      </c>
    </row>
    <row r="1338" spans="1:28" x14ac:dyDescent="0.25">
      <c r="A1338" t="s">
        <v>1342</v>
      </c>
      <c r="B1338">
        <v>0.99930955844802105</v>
      </c>
      <c r="C1338">
        <v>0.85248357658582496</v>
      </c>
      <c r="D1338">
        <v>0.80625627558177704</v>
      </c>
      <c r="E1338">
        <v>0.69615495457430998</v>
      </c>
      <c r="F1338">
        <v>0.33533994705435699</v>
      </c>
      <c r="G1338">
        <v>0.174924841769483</v>
      </c>
      <c r="H1338">
        <v>0.110163433078241</v>
      </c>
      <c r="I1338">
        <v>9.1081312753347701E-2</v>
      </c>
      <c r="J1338">
        <v>8.0669898058780096E-2</v>
      </c>
      <c r="K1338">
        <v>6.5836799210528305E-2</v>
      </c>
      <c r="L1338">
        <v>747.24004628437001</v>
      </c>
      <c r="M1338">
        <v>14.6474158996021</v>
      </c>
      <c r="N1338">
        <v>51.284268166990302</v>
      </c>
      <c r="O1338">
        <v>50.092560455543101</v>
      </c>
      <c r="P1338">
        <v>-7.0405444091718894E-2</v>
      </c>
      <c r="Q1338">
        <v>3.6991186954729603E-2</v>
      </c>
      <c r="R1338">
        <v>0.97991459875234899</v>
      </c>
      <c r="S1338" t="s">
        <v>7955</v>
      </c>
      <c r="T1338" t="s">
        <v>13232</v>
      </c>
      <c r="U1338" t="s">
        <v>13232</v>
      </c>
      <c r="V1338" t="s">
        <v>13232</v>
      </c>
      <c r="W1338" t="s">
        <v>14532</v>
      </c>
      <c r="X1338">
        <v>10</v>
      </c>
      <c r="Y1338" t="s">
        <v>21050</v>
      </c>
      <c r="Z1338" t="s">
        <v>27469</v>
      </c>
      <c r="AA1338">
        <v>0.41370520856249199</v>
      </c>
      <c r="AB1338" t="str">
        <f>HYPERLINK("Melting_Curves/meltCurve_O60568_PLOD3.pdf", "Melting_Curves/meltCurve_O60568_PLOD3.pdf")</f>
        <v>Melting_Curves/meltCurve_O60568_PLOD3.pdf</v>
      </c>
    </row>
    <row r="1339" spans="1:28" x14ac:dyDescent="0.25">
      <c r="A1339" t="s">
        <v>1343</v>
      </c>
      <c r="B1339">
        <v>0.99930955844802105</v>
      </c>
      <c r="C1339">
        <v>1.1074270875840899</v>
      </c>
      <c r="D1339">
        <v>1.05165053154302</v>
      </c>
      <c r="E1339">
        <v>0.98119830964146104</v>
      </c>
      <c r="F1339">
        <v>0.87242701379749199</v>
      </c>
      <c r="G1339">
        <v>0.76818028448119202</v>
      </c>
      <c r="H1339">
        <v>0.61936571207993996</v>
      </c>
      <c r="I1339">
        <v>0.78353583181963204</v>
      </c>
      <c r="J1339">
        <v>0.76612868714913196</v>
      </c>
      <c r="K1339">
        <v>0.63712229443319701</v>
      </c>
      <c r="L1339">
        <v>1779.2084729062201</v>
      </c>
      <c r="M1339">
        <v>33.163826517922899</v>
      </c>
      <c r="O1339">
        <v>53.455130143611903</v>
      </c>
      <c r="P1339">
        <v>-4.5751463720795298E-2</v>
      </c>
      <c r="Q1339">
        <v>0.70502321719684902</v>
      </c>
      <c r="R1339">
        <v>0.85654582109587696</v>
      </c>
      <c r="S1339" t="s">
        <v>7956</v>
      </c>
      <c r="T1339" t="s">
        <v>13232</v>
      </c>
      <c r="U1339" t="s">
        <v>13232</v>
      </c>
      <c r="V1339" t="s">
        <v>13232</v>
      </c>
      <c r="W1339" t="s">
        <v>14533</v>
      </c>
      <c r="X1339">
        <v>10</v>
      </c>
      <c r="Y1339" t="s">
        <v>21051</v>
      </c>
      <c r="Z1339" t="s">
        <v>27470</v>
      </c>
      <c r="AA1339">
        <v>0.84081417827907079</v>
      </c>
      <c r="AB1339" t="str">
        <f>HYPERLINK("Melting_Curves/meltCurve_O60583_2_CCNT2.pdf", "Melting_Curves/meltCurve_O60583_2_CCNT2.pdf")</f>
        <v>Melting_Curves/meltCurve_O60583_2_CCNT2.pdf</v>
      </c>
    </row>
    <row r="1340" spans="1:28" x14ac:dyDescent="0.25">
      <c r="A1340" t="s">
        <v>1344</v>
      </c>
      <c r="B1340">
        <v>0.99930955844802105</v>
      </c>
      <c r="C1340">
        <v>0.86710044568840094</v>
      </c>
      <c r="D1340">
        <v>0.81964917711269503</v>
      </c>
      <c r="E1340">
        <v>0.70957287819415504</v>
      </c>
      <c r="F1340">
        <v>0.65574177924278498</v>
      </c>
      <c r="G1340">
        <v>0.25562039346606702</v>
      </c>
      <c r="H1340">
        <v>0.165970877092179</v>
      </c>
      <c r="I1340">
        <v>0.142575127273812</v>
      </c>
      <c r="J1340">
        <v>0.134805178071815</v>
      </c>
      <c r="K1340">
        <v>9.8529023766735599E-2</v>
      </c>
      <c r="L1340">
        <v>611.00102720498899</v>
      </c>
      <c r="M1340">
        <v>11.409552791864799</v>
      </c>
      <c r="N1340">
        <v>53.685106560166197</v>
      </c>
      <c r="O1340">
        <v>51.985805584026302</v>
      </c>
      <c r="P1340">
        <v>-5.4117572484342701E-2</v>
      </c>
      <c r="Q1340">
        <v>1.3976611927091299E-2</v>
      </c>
      <c r="R1340">
        <v>0.97001593331465197</v>
      </c>
      <c r="S1340" t="s">
        <v>7957</v>
      </c>
      <c r="T1340" t="s">
        <v>13232</v>
      </c>
      <c r="U1340" t="s">
        <v>13232</v>
      </c>
      <c r="V1340" t="s">
        <v>13232</v>
      </c>
      <c r="W1340" t="s">
        <v>14534</v>
      </c>
      <c r="X1340">
        <v>7</v>
      </c>
      <c r="Y1340" t="s">
        <v>21052</v>
      </c>
      <c r="Z1340" t="s">
        <v>27471</v>
      </c>
      <c r="AA1340">
        <v>0.48757351004901961</v>
      </c>
      <c r="AB1340" t="str">
        <f>HYPERLINK("Melting_Curves/meltCurve_O60613_SEP15.pdf", "Melting_Curves/meltCurve_O60613_SEP15.pdf")</f>
        <v>Melting_Curves/meltCurve_O60613_SEP15.pdf</v>
      </c>
    </row>
    <row r="1341" spans="1:28" x14ac:dyDescent="0.25">
      <c r="A1341" t="s">
        <v>1345</v>
      </c>
      <c r="B1341">
        <v>0.99930955844802105</v>
      </c>
      <c r="C1341">
        <v>0.72726719160171005</v>
      </c>
      <c r="D1341">
        <v>0.57357288819032604</v>
      </c>
      <c r="E1341">
        <v>0.30628977400906998</v>
      </c>
      <c r="F1341">
        <v>0.212850382112375</v>
      </c>
      <c r="G1341">
        <v>0.14908417352903899</v>
      </c>
      <c r="H1341">
        <v>9.5798653599486694E-2</v>
      </c>
      <c r="I1341">
        <v>8.6830875285876005E-2</v>
      </c>
      <c r="J1341">
        <v>7.5428561478998304E-2</v>
      </c>
      <c r="K1341">
        <v>6.07175613012449E-2</v>
      </c>
      <c r="L1341">
        <v>675.76396592855804</v>
      </c>
      <c r="M1341">
        <v>14.561301919295</v>
      </c>
      <c r="N1341">
        <v>46.895635284781797</v>
      </c>
      <c r="O1341">
        <v>45.5592814980564</v>
      </c>
      <c r="P1341">
        <v>-7.4300244234724505E-2</v>
      </c>
      <c r="Q1341">
        <v>7.0225543706667795E-2</v>
      </c>
      <c r="R1341">
        <v>0.98883703287714297</v>
      </c>
      <c r="S1341" t="s">
        <v>7958</v>
      </c>
      <c r="T1341" t="s">
        <v>13232</v>
      </c>
      <c r="U1341" t="s">
        <v>13232</v>
      </c>
      <c r="V1341" t="s">
        <v>13232</v>
      </c>
      <c r="W1341" t="s">
        <v>14535</v>
      </c>
      <c r="X1341">
        <v>22</v>
      </c>
      <c r="Y1341" t="s">
        <v>21053</v>
      </c>
      <c r="Z1341" t="s">
        <v>27472</v>
      </c>
      <c r="AA1341">
        <v>0.2968027046064497</v>
      </c>
      <c r="AB1341" t="str">
        <f>HYPERLINK("Melting_Curves/meltCurve_O60645_2_EXOC3.pdf", "Melting_Curves/meltCurve_O60645_2_EXOC3.pdf")</f>
        <v>Melting_Curves/meltCurve_O60645_2_EXOC3.pdf</v>
      </c>
    </row>
    <row r="1342" spans="1:28" x14ac:dyDescent="0.25">
      <c r="A1342" t="s">
        <v>1346</v>
      </c>
      <c r="B1342">
        <v>0.99930955844802105</v>
      </c>
      <c r="C1342">
        <v>1.0749564818053401</v>
      </c>
      <c r="D1342">
        <v>1.10377336628921</v>
      </c>
      <c r="E1342">
        <v>1.06229394816249</v>
      </c>
      <c r="F1342">
        <v>0.963547810497555</v>
      </c>
      <c r="G1342">
        <v>0.82103420880679401</v>
      </c>
      <c r="H1342">
        <v>0.57445332984249997</v>
      </c>
      <c r="I1342">
        <v>0.48448439659314801</v>
      </c>
      <c r="J1342">
        <v>0.44973617305396502</v>
      </c>
      <c r="K1342">
        <v>0.34898625541056799</v>
      </c>
      <c r="L1342">
        <v>1387.03161380185</v>
      </c>
      <c r="M1342">
        <v>23.374687781616501</v>
      </c>
      <c r="N1342">
        <v>63.002273740258403</v>
      </c>
      <c r="O1342">
        <v>58.9098353083752</v>
      </c>
      <c r="P1342">
        <v>-6.2340864873961899E-2</v>
      </c>
      <c r="Q1342">
        <v>0.371554964923969</v>
      </c>
      <c r="R1342">
        <v>0.96792814727188703</v>
      </c>
      <c r="S1342" t="s">
        <v>7959</v>
      </c>
      <c r="T1342" t="s">
        <v>13232</v>
      </c>
      <c r="U1342" t="s">
        <v>13232</v>
      </c>
      <c r="V1342" t="s">
        <v>13232</v>
      </c>
      <c r="W1342" t="s">
        <v>14536</v>
      </c>
      <c r="X1342">
        <v>22</v>
      </c>
      <c r="Y1342" t="s">
        <v>21054</v>
      </c>
      <c r="Z1342" t="s">
        <v>27473</v>
      </c>
      <c r="AA1342">
        <v>0.78203168476734342</v>
      </c>
      <c r="AB1342" t="str">
        <f>HYPERLINK("Melting_Curves/meltCurve_O60664_4_PLIN3.pdf", "Melting_Curves/meltCurve_O60664_4_PLIN3.pdf")</f>
        <v>Melting_Curves/meltCurve_O60664_4_PLIN3.pdf</v>
      </c>
    </row>
    <row r="1343" spans="1:28" x14ac:dyDescent="0.25">
      <c r="A1343" t="s">
        <v>1347</v>
      </c>
      <c r="B1343">
        <v>0.99930955844802105</v>
      </c>
      <c r="C1343">
        <v>1.1379914585464299</v>
      </c>
      <c r="D1343">
        <v>1.10181461705866</v>
      </c>
      <c r="E1343">
        <v>1.0244055386859801</v>
      </c>
      <c r="F1343">
        <v>0.91609567654624002</v>
      </c>
      <c r="G1343">
        <v>0.62289541054592101</v>
      </c>
      <c r="H1343">
        <v>0.35665633641091499</v>
      </c>
      <c r="I1343">
        <v>0.22093463379077399</v>
      </c>
      <c r="J1343">
        <v>0.16844592027994401</v>
      </c>
      <c r="K1343">
        <v>0.11011474233263401</v>
      </c>
      <c r="L1343">
        <v>1312.0838744528501</v>
      </c>
      <c r="M1343">
        <v>22.5970115051615</v>
      </c>
      <c r="N1343">
        <v>58.748648158927701</v>
      </c>
      <c r="O1343">
        <v>57.615504919989903</v>
      </c>
      <c r="P1343">
        <v>-8.6709188387968705E-2</v>
      </c>
      <c r="Q1343">
        <v>0.115689823104935</v>
      </c>
      <c r="R1343">
        <v>0.978266655746442</v>
      </c>
      <c r="S1343" t="s">
        <v>7960</v>
      </c>
      <c r="T1343" t="s">
        <v>13232</v>
      </c>
      <c r="U1343" t="s">
        <v>13232</v>
      </c>
      <c r="V1343" t="s">
        <v>13232</v>
      </c>
      <c r="W1343" t="s">
        <v>14537</v>
      </c>
      <c r="X1343">
        <v>4</v>
      </c>
      <c r="Y1343" t="s">
        <v>21055</v>
      </c>
      <c r="Z1343" t="s">
        <v>27474</v>
      </c>
      <c r="AA1343">
        <v>0.65691368933842198</v>
      </c>
      <c r="AB1343" t="str">
        <f>HYPERLINK("Melting_Curves/meltCurve_O60671_RAD1.pdf", "Melting_Curves/meltCurve_O60671_RAD1.pdf")</f>
        <v>Melting_Curves/meltCurve_O60671_RAD1.pdf</v>
      </c>
    </row>
    <row r="1344" spans="1:28" x14ac:dyDescent="0.25">
      <c r="A1344" t="s">
        <v>1348</v>
      </c>
      <c r="B1344">
        <v>0.99930955844802105</v>
      </c>
      <c r="C1344">
        <v>0.90682381228652298</v>
      </c>
      <c r="D1344">
        <v>0.94177939956780699</v>
      </c>
      <c r="E1344">
        <v>0.83603387178435595</v>
      </c>
      <c r="F1344">
        <v>0.32708188885804201</v>
      </c>
      <c r="G1344">
        <v>0.15753338052180699</v>
      </c>
      <c r="H1344">
        <v>8.3043982633087293E-2</v>
      </c>
      <c r="I1344">
        <v>4.9805661029528103E-2</v>
      </c>
      <c r="J1344">
        <v>3.8556885263095197E-2</v>
      </c>
      <c r="K1344">
        <v>2.5389540320423998E-2</v>
      </c>
      <c r="L1344">
        <v>1922.3303892691099</v>
      </c>
      <c r="M1344">
        <v>37.062126692352301</v>
      </c>
      <c r="N1344">
        <v>52.048200878530402</v>
      </c>
      <c r="O1344">
        <v>51.717492282830698</v>
      </c>
      <c r="P1344">
        <v>-0.168358343607768</v>
      </c>
      <c r="Q1344">
        <v>6.0275902747164899E-2</v>
      </c>
      <c r="R1344">
        <v>0.98856759678974504</v>
      </c>
      <c r="S1344" t="s">
        <v>7961</v>
      </c>
      <c r="T1344" t="s">
        <v>13232</v>
      </c>
      <c r="U1344" t="s">
        <v>13232</v>
      </c>
      <c r="V1344" t="s">
        <v>13232</v>
      </c>
      <c r="W1344" t="s">
        <v>14538</v>
      </c>
      <c r="X1344">
        <v>13</v>
      </c>
      <c r="Y1344" t="s">
        <v>21056</v>
      </c>
      <c r="Z1344" t="s">
        <v>27475</v>
      </c>
      <c r="AA1344">
        <v>0.43594993707402901</v>
      </c>
      <c r="AB1344" t="str">
        <f>HYPERLINK("Melting_Curves/meltCurve_O60678_PRMT3.pdf", "Melting_Curves/meltCurve_O60678_PRMT3.pdf")</f>
        <v>Melting_Curves/meltCurve_O60678_PRMT3.pdf</v>
      </c>
    </row>
    <row r="1345" spans="1:28" x14ac:dyDescent="0.25">
      <c r="A1345" t="s">
        <v>1349</v>
      </c>
      <c r="B1345">
        <v>0.99930955844802105</v>
      </c>
      <c r="C1345">
        <v>0.80503986365609803</v>
      </c>
      <c r="D1345">
        <v>0.82120985907800903</v>
      </c>
      <c r="E1345">
        <v>0.52864025474281395</v>
      </c>
      <c r="F1345">
        <v>0.225319395897288</v>
      </c>
      <c r="G1345">
        <v>0.16074556547765101</v>
      </c>
      <c r="H1345">
        <v>0.105884238253872</v>
      </c>
      <c r="I1345">
        <v>9.3316708494099301E-2</v>
      </c>
      <c r="J1345">
        <v>8.5229305738689698E-2</v>
      </c>
      <c r="K1345">
        <v>6.1444915056162702E-2</v>
      </c>
      <c r="L1345">
        <v>780.93353757757404</v>
      </c>
      <c r="M1345">
        <v>15.8270740235392</v>
      </c>
      <c r="N1345">
        <v>49.730875342506998</v>
      </c>
      <c r="O1345">
        <v>48.574074045920298</v>
      </c>
      <c r="P1345">
        <v>-7.6719168745128102E-2</v>
      </c>
      <c r="Q1345">
        <v>5.8257471225732702E-2</v>
      </c>
      <c r="R1345">
        <v>0.98040958955928403</v>
      </c>
      <c r="S1345" t="s">
        <v>7962</v>
      </c>
      <c r="T1345" t="s">
        <v>13232</v>
      </c>
      <c r="U1345" t="s">
        <v>13232</v>
      </c>
      <c r="V1345" t="s">
        <v>13232</v>
      </c>
      <c r="W1345" t="s">
        <v>14539</v>
      </c>
      <c r="X1345">
        <v>19</v>
      </c>
      <c r="Y1345" t="s">
        <v>21057</v>
      </c>
      <c r="Z1345" t="s">
        <v>27476</v>
      </c>
      <c r="AA1345">
        <v>0.37227548130404431</v>
      </c>
      <c r="AB1345" t="str">
        <f>HYPERLINK("Melting_Curves/meltCurve_O60701_UGDH.pdf", "Melting_Curves/meltCurve_O60701_UGDH.pdf")</f>
        <v>Melting_Curves/meltCurve_O60701_UGDH.pdf</v>
      </c>
    </row>
    <row r="1346" spans="1:28" x14ac:dyDescent="0.25">
      <c r="A1346" t="s">
        <v>1350</v>
      </c>
      <c r="B1346">
        <v>0.99930955844802105</v>
      </c>
      <c r="C1346">
        <v>0.82974991913155804</v>
      </c>
      <c r="D1346">
        <v>0.68337574911202803</v>
      </c>
      <c r="E1346">
        <v>0.64834682428247603</v>
      </c>
      <c r="F1346">
        <v>0.50914497501133704</v>
      </c>
      <c r="G1346">
        <v>0.42668325561639497</v>
      </c>
      <c r="H1346">
        <v>0.429697220301476</v>
      </c>
      <c r="I1346">
        <v>0.48448406828643498</v>
      </c>
      <c r="J1346">
        <v>0.54339123133126299</v>
      </c>
      <c r="K1346">
        <v>0.39717996548064</v>
      </c>
      <c r="L1346">
        <v>675.34881631039195</v>
      </c>
      <c r="M1346">
        <v>14.714826528207</v>
      </c>
      <c r="N1346">
        <v>54.436114064155497</v>
      </c>
      <c r="O1346">
        <v>45.073151149895601</v>
      </c>
      <c r="P1346">
        <v>-4.48695755088898E-2</v>
      </c>
      <c r="Q1346">
        <v>0.45029773871751</v>
      </c>
      <c r="R1346">
        <v>0.92513687558356394</v>
      </c>
      <c r="S1346" t="s">
        <v>7963</v>
      </c>
      <c r="T1346" t="s">
        <v>13232</v>
      </c>
      <c r="U1346" t="s">
        <v>13232</v>
      </c>
      <c r="V1346" t="s">
        <v>13232</v>
      </c>
      <c r="W1346" t="s">
        <v>14540</v>
      </c>
      <c r="X1346">
        <v>22</v>
      </c>
      <c r="Y1346" t="s">
        <v>21058</v>
      </c>
      <c r="Z1346" t="s">
        <v>27477</v>
      </c>
      <c r="AA1346">
        <v>0.57518968884605881</v>
      </c>
      <c r="AB1346" t="str">
        <f>HYPERLINK("Melting_Curves/meltCurve_O60716_5_CTNND1.pdf", "Melting_Curves/meltCurve_O60716_5_CTNND1.pdf")</f>
        <v>Melting_Curves/meltCurve_O60716_5_CTNND1.pdf</v>
      </c>
    </row>
    <row r="1347" spans="1:28" x14ac:dyDescent="0.25">
      <c r="A1347" t="s">
        <v>1351</v>
      </c>
      <c r="B1347">
        <v>0.99930955844802105</v>
      </c>
      <c r="C1347">
        <v>0.89925361327073605</v>
      </c>
      <c r="D1347">
        <v>0.79460530003193297</v>
      </c>
      <c r="E1347">
        <v>0.63982512889763998</v>
      </c>
      <c r="F1347">
        <v>0.48942239952078298</v>
      </c>
      <c r="G1347">
        <v>0.318830116676317</v>
      </c>
      <c r="H1347">
        <v>0.207351151951392</v>
      </c>
      <c r="I1347">
        <v>0.174711840334239</v>
      </c>
      <c r="J1347">
        <v>0.15107793365446001</v>
      </c>
      <c r="K1347">
        <v>0.104929702362713</v>
      </c>
      <c r="L1347">
        <v>554.58671555297997</v>
      </c>
      <c r="M1347">
        <v>10.658156438838899</v>
      </c>
      <c r="N1347">
        <v>52.627450514175301</v>
      </c>
      <c r="O1347">
        <v>50.302524653327097</v>
      </c>
      <c r="P1347">
        <v>-4.9990114641562E-2</v>
      </c>
      <c r="Q1347">
        <v>5.6620582201948898E-2</v>
      </c>
      <c r="R1347">
        <v>0.99757977420954203</v>
      </c>
      <c r="S1347" t="s">
        <v>7964</v>
      </c>
      <c r="T1347" t="s">
        <v>13232</v>
      </c>
      <c r="U1347" t="s">
        <v>13232</v>
      </c>
      <c r="V1347" t="s">
        <v>13232</v>
      </c>
      <c r="W1347" t="s">
        <v>14541</v>
      </c>
      <c r="X1347">
        <v>11</v>
      </c>
      <c r="Y1347" t="s">
        <v>21059</v>
      </c>
      <c r="Z1347" t="s">
        <v>27478</v>
      </c>
      <c r="AA1347">
        <v>0.46829926780334258</v>
      </c>
      <c r="AB1347" t="str">
        <f>HYPERLINK("Melting_Curves/meltCurve_O60732_MAGEC1.pdf", "Melting_Curves/meltCurve_O60732_MAGEC1.pdf")</f>
        <v>Melting_Curves/meltCurve_O60732_MAGEC1.pdf</v>
      </c>
    </row>
    <row r="1348" spans="1:28" x14ac:dyDescent="0.25">
      <c r="A1348" t="s">
        <v>1352</v>
      </c>
      <c r="B1348">
        <v>0.99930955844802105</v>
      </c>
      <c r="C1348">
        <v>0.749364909038988</v>
      </c>
      <c r="D1348">
        <v>0.69261211859810801</v>
      </c>
      <c r="E1348">
        <v>0.44597742319586298</v>
      </c>
      <c r="F1348">
        <v>0.24366822826562801</v>
      </c>
      <c r="G1348">
        <v>0.16682236180347801</v>
      </c>
      <c r="H1348">
        <v>0.11164805972610201</v>
      </c>
      <c r="I1348">
        <v>0.107092127987445</v>
      </c>
      <c r="J1348">
        <v>9.6858768480811097E-2</v>
      </c>
      <c r="K1348">
        <v>7.9461931092785001E-2</v>
      </c>
      <c r="L1348">
        <v>619.381311406245</v>
      </c>
      <c r="M1348">
        <v>12.8976257035169</v>
      </c>
      <c r="N1348">
        <v>48.530328315901102</v>
      </c>
      <c r="O1348">
        <v>46.912407460909101</v>
      </c>
      <c r="P1348">
        <v>-6.44084785767607E-2</v>
      </c>
      <c r="Q1348">
        <v>6.3081854387933095E-2</v>
      </c>
      <c r="R1348">
        <v>0.98512219602500495</v>
      </c>
      <c r="S1348" t="s">
        <v>7965</v>
      </c>
      <c r="T1348" t="s">
        <v>13232</v>
      </c>
      <c r="U1348" t="s">
        <v>13232</v>
      </c>
      <c r="V1348" t="s">
        <v>13232</v>
      </c>
      <c r="W1348" t="s">
        <v>14542</v>
      </c>
      <c r="X1348">
        <v>22</v>
      </c>
      <c r="Y1348" t="s">
        <v>21060</v>
      </c>
      <c r="Z1348" t="s">
        <v>27479</v>
      </c>
      <c r="AA1348">
        <v>0.3457862895192676</v>
      </c>
      <c r="AB1348" t="str">
        <f>HYPERLINK("Melting_Curves/meltCurve_O60749_SNX2.pdf", "Melting_Curves/meltCurve_O60749_SNX2.pdf")</f>
        <v>Melting_Curves/meltCurve_O60749_SNX2.pdf</v>
      </c>
    </row>
    <row r="1349" spans="1:28" x14ac:dyDescent="0.25">
      <c r="A1349" t="s">
        <v>1353</v>
      </c>
      <c r="B1349">
        <v>0.99930955844802105</v>
      </c>
      <c r="C1349">
        <v>0.78501642804530003</v>
      </c>
      <c r="D1349">
        <v>0.64309487977732205</v>
      </c>
      <c r="E1349">
        <v>0.68401907876899104</v>
      </c>
      <c r="F1349">
        <v>0.37697762803245599</v>
      </c>
      <c r="G1349">
        <v>0.17054172054324199</v>
      </c>
      <c r="H1349">
        <v>9.4495911621268594E-2</v>
      </c>
      <c r="I1349">
        <v>7.5871330679921301E-2</v>
      </c>
      <c r="J1349">
        <v>6.6751672793303601E-2</v>
      </c>
      <c r="K1349">
        <v>4.4936447868558202E-2</v>
      </c>
      <c r="L1349">
        <v>539.65658512690095</v>
      </c>
      <c r="M1349">
        <v>10.6989081124376</v>
      </c>
      <c r="N1349">
        <v>50.4403420772339</v>
      </c>
      <c r="O1349">
        <v>48.773950288957998</v>
      </c>
      <c r="P1349">
        <v>-5.4859841305820202E-2</v>
      </c>
      <c r="Q1349">
        <v>0</v>
      </c>
      <c r="R1349">
        <v>0.95609860475443598</v>
      </c>
      <c r="S1349" t="s">
        <v>7966</v>
      </c>
      <c r="T1349" t="s">
        <v>13232</v>
      </c>
      <c r="U1349" t="s">
        <v>13232</v>
      </c>
      <c r="V1349" t="s">
        <v>13232</v>
      </c>
      <c r="W1349" t="s">
        <v>14543</v>
      </c>
      <c r="X1349">
        <v>2</v>
      </c>
      <c r="Y1349" t="s">
        <v>21061</v>
      </c>
      <c r="Z1349" t="s">
        <v>27480</v>
      </c>
      <c r="AA1349">
        <v>0.3878246471885996</v>
      </c>
      <c r="AB1349" t="str">
        <f>HYPERLINK("Melting_Curves/meltCurve_O60762_DPM1.pdf", "Melting_Curves/meltCurve_O60762_DPM1.pdf")</f>
        <v>Melting_Curves/meltCurve_O60762_DPM1.pdf</v>
      </c>
    </row>
    <row r="1350" spans="1:28" x14ac:dyDescent="0.25">
      <c r="A1350" t="s">
        <v>1354</v>
      </c>
      <c r="B1350">
        <v>0.99930955844802105</v>
      </c>
      <c r="C1350">
        <v>1.0940213470914499</v>
      </c>
      <c r="D1350">
        <v>0.957875414670605</v>
      </c>
      <c r="E1350">
        <v>0.97644342500997405</v>
      </c>
      <c r="F1350">
        <v>0.36828049116343298</v>
      </c>
      <c r="G1350">
        <v>0.15511376037538999</v>
      </c>
      <c r="H1350">
        <v>8.6571188617837205E-2</v>
      </c>
      <c r="I1350">
        <v>6.87594558326039E-2</v>
      </c>
      <c r="J1350">
        <v>5.98814273287522E-2</v>
      </c>
      <c r="K1350">
        <v>4.84364185794414E-2</v>
      </c>
      <c r="L1350">
        <v>3598.26879319</v>
      </c>
      <c r="M1350">
        <v>68.671909137309598</v>
      </c>
      <c r="N1350">
        <v>52.536223483694698</v>
      </c>
      <c r="O1350">
        <v>52.353591217379503</v>
      </c>
      <c r="P1350">
        <v>-0.300815550112634</v>
      </c>
      <c r="Q1350">
        <v>8.2665933084253407E-2</v>
      </c>
      <c r="R1350">
        <v>0.99099466707186101</v>
      </c>
      <c r="S1350" t="s">
        <v>7967</v>
      </c>
      <c r="T1350" t="s">
        <v>13232</v>
      </c>
      <c r="U1350" t="s">
        <v>13232</v>
      </c>
      <c r="V1350" t="s">
        <v>13232</v>
      </c>
      <c r="W1350" t="s">
        <v>14544</v>
      </c>
      <c r="X1350">
        <v>40</v>
      </c>
      <c r="Y1350" t="s">
        <v>21062</v>
      </c>
      <c r="Z1350" t="s">
        <v>27481</v>
      </c>
      <c r="AA1350">
        <v>0.46288971442143728</v>
      </c>
      <c r="AB1350" t="str">
        <f>HYPERLINK("Melting_Curves/meltCurve_O60763_USO1.pdf", "Melting_Curves/meltCurve_O60763_USO1.pdf")</f>
        <v>Melting_Curves/meltCurve_O60763_USO1.pdf</v>
      </c>
    </row>
    <row r="1351" spans="1:28" x14ac:dyDescent="0.25">
      <c r="A1351" t="s">
        <v>1355</v>
      </c>
      <c r="B1351">
        <v>0.99930955844802105</v>
      </c>
      <c r="C1351">
        <v>0.62175469534820504</v>
      </c>
      <c r="D1351">
        <v>0.62345818754888505</v>
      </c>
      <c r="E1351">
        <v>0.45710550093044899</v>
      </c>
      <c r="F1351">
        <v>0.16234507870444201</v>
      </c>
      <c r="G1351">
        <v>0.109367423173301</v>
      </c>
      <c r="H1351">
        <v>6.8094760759560405E-2</v>
      </c>
      <c r="I1351">
        <v>6.1359957731518401E-2</v>
      </c>
      <c r="J1351">
        <v>5.7091096750468598E-2</v>
      </c>
      <c r="K1351">
        <v>4.2332759761226003E-2</v>
      </c>
      <c r="L1351">
        <v>537.78020698681701</v>
      </c>
      <c r="M1351">
        <v>11.3479391624596</v>
      </c>
      <c r="N1351">
        <v>47.439995283724798</v>
      </c>
      <c r="O1351">
        <v>45.990037817477102</v>
      </c>
      <c r="P1351">
        <v>-6.1339527241877502E-2</v>
      </c>
      <c r="Q1351">
        <v>5.9294332517980004E-3</v>
      </c>
      <c r="R1351">
        <v>0.95016090193902203</v>
      </c>
      <c r="S1351" t="s">
        <v>7968</v>
      </c>
      <c r="T1351" t="s">
        <v>13232</v>
      </c>
      <c r="U1351" t="s">
        <v>13232</v>
      </c>
      <c r="V1351" t="s">
        <v>13232</v>
      </c>
      <c r="W1351" t="s">
        <v>14545</v>
      </c>
      <c r="X1351">
        <v>18</v>
      </c>
      <c r="Y1351" t="s">
        <v>21063</v>
      </c>
      <c r="Z1351" t="s">
        <v>27482</v>
      </c>
      <c r="AA1351">
        <v>0.29559966389703729</v>
      </c>
      <c r="AB1351" t="str">
        <f>HYPERLINK("Melting_Curves/meltCurve_O60826_CCDC22.pdf", "Melting_Curves/meltCurve_O60826_CCDC22.pdf")</f>
        <v>Melting_Curves/meltCurve_O60826_CCDC22.pdf</v>
      </c>
    </row>
    <row r="1352" spans="1:28" x14ac:dyDescent="0.25">
      <c r="A1352" t="s">
        <v>1356</v>
      </c>
      <c r="B1352">
        <v>0.99930955844802105</v>
      </c>
      <c r="C1352">
        <v>1.10206118327924</v>
      </c>
      <c r="D1352">
        <v>1.08486174410408</v>
      </c>
      <c r="E1352">
        <v>1.0388206374281499</v>
      </c>
      <c r="F1352">
        <v>0.94498977292194997</v>
      </c>
      <c r="G1352">
        <v>0.85949495126595299</v>
      </c>
      <c r="H1352">
        <v>0.88912200849224599</v>
      </c>
      <c r="I1352">
        <v>0.97811245622839005</v>
      </c>
      <c r="J1352">
        <v>0.98132800370947004</v>
      </c>
      <c r="K1352">
        <v>0.80385227237913703</v>
      </c>
      <c r="L1352">
        <v>13236.459655239099</v>
      </c>
      <c r="M1352">
        <v>250</v>
      </c>
      <c r="O1352">
        <v>52.942450731540603</v>
      </c>
      <c r="P1352">
        <v>-0.11524077700322501</v>
      </c>
      <c r="Q1352">
        <v>0.90238193411463996</v>
      </c>
      <c r="R1352">
        <v>0.48645136335403</v>
      </c>
      <c r="S1352" t="s">
        <v>7969</v>
      </c>
      <c r="T1352" t="s">
        <v>13232</v>
      </c>
      <c r="U1352" t="s">
        <v>13232</v>
      </c>
      <c r="V1352" t="s">
        <v>13232</v>
      </c>
      <c r="W1352" t="s">
        <v>14546</v>
      </c>
      <c r="X1352">
        <v>12</v>
      </c>
      <c r="Y1352" t="s">
        <v>21064</v>
      </c>
      <c r="Z1352" t="s">
        <v>27483</v>
      </c>
      <c r="AA1352">
        <v>0.9445159289477465</v>
      </c>
      <c r="AB1352" t="str">
        <f>HYPERLINK("Melting_Curves/meltCurve_O60828_2_PQBP1.pdf", "Melting_Curves/meltCurve_O60828_2_PQBP1.pdf")</f>
        <v>Melting_Curves/meltCurve_O60828_2_PQBP1.pdf</v>
      </c>
    </row>
    <row r="1353" spans="1:28" x14ac:dyDescent="0.25">
      <c r="A1353" t="s">
        <v>1357</v>
      </c>
      <c r="B1353">
        <v>0.99930955844802105</v>
      </c>
      <c r="C1353">
        <v>1.28655910175642</v>
      </c>
      <c r="D1353">
        <v>1.1700314827130101</v>
      </c>
      <c r="E1353">
        <v>1.1709051950148901</v>
      </c>
      <c r="F1353">
        <v>0.95667941288674496</v>
      </c>
      <c r="G1353">
        <v>0.98462904893606296</v>
      </c>
      <c r="H1353">
        <v>1.0168712531077799</v>
      </c>
      <c r="I1353">
        <v>1.21878589055075</v>
      </c>
      <c r="J1353">
        <v>1.3030339520393299</v>
      </c>
      <c r="K1353">
        <v>1.05684621203802</v>
      </c>
      <c r="L1353">
        <v>10245.668308082701</v>
      </c>
      <c r="M1353">
        <v>250</v>
      </c>
      <c r="O1353">
        <v>40.980050640812898</v>
      </c>
      <c r="P1353">
        <v>0.1973079079817</v>
      </c>
      <c r="Q1353">
        <v>1.12937100873556</v>
      </c>
      <c r="R1353">
        <v>0.101382570057299</v>
      </c>
      <c r="S1353" t="s">
        <v>7970</v>
      </c>
      <c r="T1353" t="s">
        <v>13232</v>
      </c>
      <c r="U1353" t="s">
        <v>13232</v>
      </c>
      <c r="V1353" t="s">
        <v>13232</v>
      </c>
      <c r="W1353" t="s">
        <v>14547</v>
      </c>
      <c r="X1353">
        <v>2</v>
      </c>
      <c r="Y1353" t="s">
        <v>21065</v>
      </c>
      <c r="Z1353" t="s">
        <v>27484</v>
      </c>
      <c r="AA1353">
        <v>1.125122620291156</v>
      </c>
      <c r="AB1353" t="str">
        <f>HYPERLINK("Melting_Curves/meltCurve_O60829_PAGE4.pdf", "Melting_Curves/meltCurve_O60829_PAGE4.pdf")</f>
        <v>Melting_Curves/meltCurve_O60829_PAGE4.pdf</v>
      </c>
    </row>
    <row r="1354" spans="1:28" x14ac:dyDescent="0.25">
      <c r="A1354" t="s">
        <v>1358</v>
      </c>
      <c r="B1354">
        <v>0.99930955844802105</v>
      </c>
      <c r="C1354">
        <v>0.97662398368451597</v>
      </c>
      <c r="D1354">
        <v>0.99951042010575897</v>
      </c>
      <c r="E1354">
        <v>1.10722888578873</v>
      </c>
      <c r="F1354">
        <v>1.1520059043688</v>
      </c>
      <c r="G1354">
        <v>1.01176284443613</v>
      </c>
      <c r="H1354">
        <v>0.673429592994917</v>
      </c>
      <c r="I1354">
        <v>0.61007823361116598</v>
      </c>
      <c r="J1354">
        <v>0.55543916904341695</v>
      </c>
      <c r="K1354">
        <v>0.42144611291171502</v>
      </c>
      <c r="L1354">
        <v>2528.2543700309102</v>
      </c>
      <c r="M1354">
        <v>41.768822841066303</v>
      </c>
      <c r="O1354">
        <v>60.391450223519101</v>
      </c>
      <c r="P1354">
        <v>-8.6152483942959004E-2</v>
      </c>
      <c r="Q1354">
        <v>0.50174661177350899</v>
      </c>
      <c r="R1354">
        <v>0.91431689466038701</v>
      </c>
      <c r="S1354" t="s">
        <v>7971</v>
      </c>
      <c r="T1354" t="s">
        <v>13232</v>
      </c>
      <c r="U1354" t="s">
        <v>13232</v>
      </c>
      <c r="V1354" t="s">
        <v>13232</v>
      </c>
      <c r="W1354" t="s">
        <v>14548</v>
      </c>
      <c r="X1354">
        <v>23</v>
      </c>
      <c r="Y1354" t="s">
        <v>21066</v>
      </c>
      <c r="Z1354" t="s">
        <v>27485</v>
      </c>
      <c r="AA1354">
        <v>0.84450428322827475</v>
      </c>
      <c r="AB1354" t="str">
        <f>HYPERLINK("Melting_Curves/meltCurve_O60832_DKC1.pdf", "Melting_Curves/meltCurve_O60832_DKC1.pdf")</f>
        <v>Melting_Curves/meltCurve_O60832_DKC1.pdf</v>
      </c>
    </row>
    <row r="1355" spans="1:28" x14ac:dyDescent="0.25">
      <c r="A1355" t="s">
        <v>1359</v>
      </c>
      <c r="B1355">
        <v>0.99930955844802105</v>
      </c>
      <c r="C1355">
        <v>1.0887466270122801</v>
      </c>
      <c r="D1355">
        <v>1.0513768312263101</v>
      </c>
      <c r="E1355">
        <v>0.95806342289564095</v>
      </c>
      <c r="F1355">
        <v>0.53992004097870505</v>
      </c>
      <c r="G1355">
        <v>0.39810510785817099</v>
      </c>
      <c r="H1355">
        <v>0.34971794030651798</v>
      </c>
      <c r="I1355">
        <v>0.35407760752022699</v>
      </c>
      <c r="J1355">
        <v>0.36085921386726</v>
      </c>
      <c r="K1355">
        <v>0.28005580883133502</v>
      </c>
      <c r="L1355">
        <v>2991.9709393654198</v>
      </c>
      <c r="M1355">
        <v>57.294447407906901</v>
      </c>
      <c r="N1355">
        <v>53.322821447862601</v>
      </c>
      <c r="O1355">
        <v>52.157441656452001</v>
      </c>
      <c r="P1355">
        <v>-0.17933890503474301</v>
      </c>
      <c r="Q1355">
        <v>0.34696246649643703</v>
      </c>
      <c r="R1355">
        <v>0.98329852268012496</v>
      </c>
      <c r="S1355" t="s">
        <v>7972</v>
      </c>
      <c r="T1355" t="s">
        <v>13232</v>
      </c>
      <c r="U1355" t="s">
        <v>13232</v>
      </c>
      <c r="V1355" t="s">
        <v>13232</v>
      </c>
      <c r="W1355" t="s">
        <v>14549</v>
      </c>
      <c r="X1355">
        <v>67</v>
      </c>
      <c r="Y1355" t="s">
        <v>21067</v>
      </c>
      <c r="Z1355" t="s">
        <v>27486</v>
      </c>
      <c r="AA1355">
        <v>0.61413134226138233</v>
      </c>
      <c r="AB1355" t="str">
        <f>HYPERLINK("Melting_Curves/meltCurve_O60841_EIF5B.pdf", "Melting_Curves/meltCurve_O60841_EIF5B.pdf")</f>
        <v>Melting_Curves/meltCurve_O60841_EIF5B.pdf</v>
      </c>
    </row>
    <row r="1356" spans="1:28" x14ac:dyDescent="0.25">
      <c r="A1356" t="s">
        <v>1360</v>
      </c>
      <c r="B1356">
        <v>0.99930955844802105</v>
      </c>
      <c r="C1356">
        <v>1.06605093073454</v>
      </c>
      <c r="D1356">
        <v>1.0509574954793199</v>
      </c>
      <c r="E1356">
        <v>0.99692722930061195</v>
      </c>
      <c r="F1356">
        <v>0.863131118779073</v>
      </c>
      <c r="G1356">
        <v>0.83727631099889899</v>
      </c>
      <c r="H1356">
        <v>0.80048271081692302</v>
      </c>
      <c r="I1356">
        <v>0.88645681097232298</v>
      </c>
      <c r="J1356">
        <v>0.90943021566516202</v>
      </c>
      <c r="K1356">
        <v>0.71499348197664603</v>
      </c>
      <c r="L1356">
        <v>4723.8130298866199</v>
      </c>
      <c r="M1356">
        <v>90.536565516148599</v>
      </c>
      <c r="O1356">
        <v>52.150307616330103</v>
      </c>
      <c r="P1356">
        <v>-7.3911129929340999E-2</v>
      </c>
      <c r="Q1356">
        <v>0.82970470242109895</v>
      </c>
      <c r="R1356">
        <v>0.740084588526846</v>
      </c>
      <c r="S1356" t="s">
        <v>7973</v>
      </c>
      <c r="T1356" t="s">
        <v>13232</v>
      </c>
      <c r="U1356" t="s">
        <v>13232</v>
      </c>
      <c r="V1356" t="s">
        <v>13232</v>
      </c>
      <c r="W1356" t="s">
        <v>14550</v>
      </c>
      <c r="X1356">
        <v>9</v>
      </c>
      <c r="Y1356" t="s">
        <v>21068</v>
      </c>
      <c r="Z1356" t="s">
        <v>27487</v>
      </c>
      <c r="AA1356">
        <v>0.89893953030671669</v>
      </c>
      <c r="AB1356" t="str">
        <f>HYPERLINK("Melting_Curves/meltCurve_O60869_EDF1.pdf", "Melting_Curves/meltCurve_O60869_EDF1.pdf")</f>
        <v>Melting_Curves/meltCurve_O60869_EDF1.pdf</v>
      </c>
    </row>
    <row r="1357" spans="1:28" x14ac:dyDescent="0.25">
      <c r="A1357" t="s">
        <v>1361</v>
      </c>
      <c r="B1357">
        <v>0.99930955844802105</v>
      </c>
      <c r="C1357">
        <v>0.95160836814762095</v>
      </c>
      <c r="D1357">
        <v>0.90621616840296004</v>
      </c>
      <c r="E1357">
        <v>0.6107912611038</v>
      </c>
      <c r="F1357">
        <v>0.27623565920272303</v>
      </c>
      <c r="G1357">
        <v>0.19072717441953699</v>
      </c>
      <c r="H1357">
        <v>0.134784996873798</v>
      </c>
      <c r="I1357">
        <v>0.12661326253289101</v>
      </c>
      <c r="J1357">
        <v>0.106314054693927</v>
      </c>
      <c r="K1357">
        <v>8.2636820036896999E-2</v>
      </c>
      <c r="L1357">
        <v>1196.0129961596999</v>
      </c>
      <c r="M1357">
        <v>23.775647882271301</v>
      </c>
      <c r="N1357">
        <v>50.831064116727703</v>
      </c>
      <c r="O1357">
        <v>49.9523024845465</v>
      </c>
      <c r="P1357">
        <v>-0.105996996948566</v>
      </c>
      <c r="Q1357">
        <v>0.10922182132996</v>
      </c>
      <c r="R1357">
        <v>0.99613180674996005</v>
      </c>
      <c r="S1357" t="s">
        <v>7974</v>
      </c>
      <c r="T1357" t="s">
        <v>13232</v>
      </c>
      <c r="U1357" t="s">
        <v>13232</v>
      </c>
      <c r="V1357" t="s">
        <v>13232</v>
      </c>
      <c r="W1357" t="s">
        <v>14551</v>
      </c>
      <c r="X1357">
        <v>15</v>
      </c>
      <c r="Y1357" t="s">
        <v>21069</v>
      </c>
      <c r="Z1357" t="s">
        <v>27488</v>
      </c>
      <c r="AA1357">
        <v>0.42400495769798058</v>
      </c>
      <c r="AB1357" t="str">
        <f>HYPERLINK("Melting_Curves/meltCurve_O60870_KIN.pdf", "Melting_Curves/meltCurve_O60870_KIN.pdf")</f>
        <v>Melting_Curves/meltCurve_O60870_KIN.pdf</v>
      </c>
    </row>
    <row r="1358" spans="1:28" x14ac:dyDescent="0.25">
      <c r="A1358" t="s">
        <v>1362</v>
      </c>
      <c r="B1358">
        <v>0.99930955844802105</v>
      </c>
      <c r="C1358">
        <v>0.758359280238869</v>
      </c>
      <c r="D1358">
        <v>0.808375192813517</v>
      </c>
      <c r="E1358">
        <v>0.78897155917769501</v>
      </c>
      <c r="F1358">
        <v>0.60918644098074204</v>
      </c>
      <c r="G1358">
        <v>0.325523934574244</v>
      </c>
      <c r="H1358">
        <v>0.12617017859761201</v>
      </c>
      <c r="I1358">
        <v>0.103816704721539</v>
      </c>
      <c r="J1358">
        <v>9.7404577466859404E-2</v>
      </c>
      <c r="K1358">
        <v>7.23540226058033E-2</v>
      </c>
      <c r="L1358">
        <v>627.43276287248796</v>
      </c>
      <c r="M1358">
        <v>11.6697777205361</v>
      </c>
      <c r="N1358">
        <v>53.765613371415597</v>
      </c>
      <c r="O1358">
        <v>52.259600911027398</v>
      </c>
      <c r="P1358">
        <v>-5.5840991919159998E-2</v>
      </c>
      <c r="Q1358">
        <v>0</v>
      </c>
      <c r="R1358">
        <v>0.94860634453426296</v>
      </c>
      <c r="S1358" t="s">
        <v>7975</v>
      </c>
      <c r="T1358" t="s">
        <v>13232</v>
      </c>
      <c r="U1358" t="s">
        <v>13232</v>
      </c>
      <c r="V1358" t="s">
        <v>13232</v>
      </c>
      <c r="W1358" t="s">
        <v>14552</v>
      </c>
      <c r="X1358">
        <v>16</v>
      </c>
      <c r="Y1358" t="s">
        <v>21070</v>
      </c>
      <c r="Z1358" t="s">
        <v>27489</v>
      </c>
      <c r="AA1358">
        <v>0.4862669607207154</v>
      </c>
      <c r="AB1358" t="str">
        <f>HYPERLINK("Melting_Curves/meltCurve_O60884_DNAJA2.pdf", "Melting_Curves/meltCurve_O60884_DNAJA2.pdf")</f>
        <v>Melting_Curves/meltCurve_O60884_DNAJA2.pdf</v>
      </c>
    </row>
    <row r="1359" spans="1:28" x14ac:dyDescent="0.25">
      <c r="A1359" t="s">
        <v>1363</v>
      </c>
      <c r="B1359">
        <v>0.99930955844802105</v>
      </c>
      <c r="C1359">
        <v>1.0860223118924099</v>
      </c>
      <c r="D1359">
        <v>1.05013256516307</v>
      </c>
      <c r="E1359">
        <v>0.92145147179799902</v>
      </c>
      <c r="F1359">
        <v>0.72294431504948997</v>
      </c>
      <c r="G1359">
        <v>0.58239364125137605</v>
      </c>
      <c r="H1359">
        <v>0.55465093503636897</v>
      </c>
      <c r="I1359">
        <v>0.57232964244336304</v>
      </c>
      <c r="J1359">
        <v>0.58411721665888605</v>
      </c>
      <c r="K1359">
        <v>0.463595456446039</v>
      </c>
      <c r="L1359">
        <v>1783.5652656100301</v>
      </c>
      <c r="M1359">
        <v>34.059035576674802</v>
      </c>
      <c r="O1359">
        <v>52.187333306505501</v>
      </c>
      <c r="P1359">
        <v>-7.4321898347804602E-2</v>
      </c>
      <c r="Q1359">
        <v>0.54447959163492299</v>
      </c>
      <c r="R1359">
        <v>0.96140510148493596</v>
      </c>
      <c r="S1359" t="s">
        <v>7976</v>
      </c>
      <c r="T1359" t="s">
        <v>13232</v>
      </c>
      <c r="U1359" t="s">
        <v>13232</v>
      </c>
      <c r="V1359" t="s">
        <v>13232</v>
      </c>
      <c r="W1359" t="s">
        <v>14553</v>
      </c>
      <c r="X1359">
        <v>34</v>
      </c>
      <c r="Y1359" t="s">
        <v>21071</v>
      </c>
      <c r="Z1359" t="s">
        <v>27490</v>
      </c>
      <c r="AA1359">
        <v>0.73453287825977154</v>
      </c>
      <c r="AB1359" t="str">
        <f>HYPERLINK("Melting_Curves/meltCurve_O60885_BRD4.pdf", "Melting_Curves/meltCurve_O60885_BRD4.pdf")</f>
        <v>Melting_Curves/meltCurve_O60885_BRD4.pdf</v>
      </c>
    </row>
    <row r="1360" spans="1:28" x14ac:dyDescent="0.25">
      <c r="A1360" t="s">
        <v>1364</v>
      </c>
      <c r="B1360">
        <v>0.99930955844802105</v>
      </c>
      <c r="C1360">
        <v>0.97330795467321196</v>
      </c>
      <c r="D1360">
        <v>0.96944748839002304</v>
      </c>
      <c r="E1360">
        <v>0.89000868760623797</v>
      </c>
      <c r="F1360">
        <v>0.74632024821457899</v>
      </c>
      <c r="G1360">
        <v>0.62458409329094999</v>
      </c>
      <c r="H1360">
        <v>0.57934481852691699</v>
      </c>
      <c r="I1360">
        <v>0.50429178384308104</v>
      </c>
      <c r="J1360">
        <v>0.43439685274047202</v>
      </c>
      <c r="K1360">
        <v>0.23204204736537601</v>
      </c>
      <c r="L1360">
        <v>466.22366820593999</v>
      </c>
      <c r="M1360">
        <v>7.4468364683437196</v>
      </c>
      <c r="N1360">
        <v>62.606942767756699</v>
      </c>
      <c r="O1360">
        <v>58.568435916348903</v>
      </c>
      <c r="P1360">
        <v>-3.1833817585854601E-2</v>
      </c>
      <c r="Q1360">
        <v>0</v>
      </c>
      <c r="R1360">
        <v>0.96936308515028002</v>
      </c>
      <c r="S1360" t="s">
        <v>7977</v>
      </c>
      <c r="T1360" t="s">
        <v>13232</v>
      </c>
      <c r="U1360" t="s">
        <v>13232</v>
      </c>
      <c r="V1360" t="s">
        <v>13232</v>
      </c>
      <c r="W1360" t="s">
        <v>14554</v>
      </c>
      <c r="X1360">
        <v>6</v>
      </c>
      <c r="Y1360" t="s">
        <v>21072</v>
      </c>
      <c r="Z1360" t="s">
        <v>27491</v>
      </c>
      <c r="AA1360">
        <v>0.70346218428433194</v>
      </c>
      <c r="AB1360" t="str">
        <f>HYPERLINK("Melting_Curves/meltCurve_O60888_3_CUTA.pdf", "Melting_Curves/meltCurve_O60888_3_CUTA.pdf")</f>
        <v>Melting_Curves/meltCurve_O60888_3_CUTA.pdf</v>
      </c>
    </row>
    <row r="1361" spans="1:28" x14ac:dyDescent="0.25">
      <c r="A1361" t="s">
        <v>1365</v>
      </c>
      <c r="B1361">
        <v>0.99930955844802105</v>
      </c>
      <c r="C1361">
        <v>0.89778376048428798</v>
      </c>
      <c r="D1361">
        <v>0.86739169280737605</v>
      </c>
      <c r="E1361">
        <v>0.777175242638111</v>
      </c>
      <c r="F1361">
        <v>0.60571259177640902</v>
      </c>
      <c r="G1361">
        <v>0.38111909046717202</v>
      </c>
      <c r="H1361">
        <v>0.19702349763945801</v>
      </c>
      <c r="I1361">
        <v>0.14129416346789</v>
      </c>
      <c r="J1361">
        <v>0.106536900105531</v>
      </c>
      <c r="K1361">
        <v>8.5206773249162995E-2</v>
      </c>
      <c r="L1361">
        <v>639.65697022504901</v>
      </c>
      <c r="M1361">
        <v>11.7130166548093</v>
      </c>
      <c r="N1361">
        <v>54.610779491611297</v>
      </c>
      <c r="O1361">
        <v>53.091850869289601</v>
      </c>
      <c r="P1361">
        <v>-5.5169096344339599E-2</v>
      </c>
      <c r="Q1361">
        <v>0</v>
      </c>
      <c r="R1361">
        <v>0.99358657452406796</v>
      </c>
      <c r="S1361" t="s">
        <v>7978</v>
      </c>
      <c r="T1361" t="s">
        <v>13232</v>
      </c>
      <c r="U1361" t="s">
        <v>13232</v>
      </c>
      <c r="V1361" t="s">
        <v>13232</v>
      </c>
      <c r="W1361" t="s">
        <v>14555</v>
      </c>
      <c r="X1361">
        <v>13</v>
      </c>
      <c r="Y1361" t="s">
        <v>21073</v>
      </c>
      <c r="Z1361" t="s">
        <v>27492</v>
      </c>
      <c r="AA1361">
        <v>0.51201823002776825</v>
      </c>
      <c r="AB1361" t="str">
        <f>HYPERLINK("Melting_Curves/meltCurve_O60907_2_TBL1X.pdf", "Melting_Curves/meltCurve_O60907_2_TBL1X.pdf")</f>
        <v>Melting_Curves/meltCurve_O60907_2_TBL1X.pdf</v>
      </c>
    </row>
    <row r="1362" spans="1:28" x14ac:dyDescent="0.25">
      <c r="A1362" t="s">
        <v>1366</v>
      </c>
      <c r="B1362">
        <v>0.99930955844802105</v>
      </c>
      <c r="C1362">
        <v>1.0870614885026499</v>
      </c>
      <c r="D1362">
        <v>1.03571039301894</v>
      </c>
      <c r="E1362">
        <v>0.91618918027188301</v>
      </c>
      <c r="F1362">
        <v>0.78067367147090905</v>
      </c>
      <c r="G1362">
        <v>0.48358003301825098</v>
      </c>
      <c r="H1362">
        <v>0.205656675827394</v>
      </c>
      <c r="I1362">
        <v>0.113906853241209</v>
      </c>
      <c r="J1362">
        <v>8.7358520163046405E-2</v>
      </c>
      <c r="K1362">
        <v>6.2308382948320702E-2</v>
      </c>
      <c r="L1362">
        <v>1129.29765718063</v>
      </c>
      <c r="M1362">
        <v>20.029763803197199</v>
      </c>
      <c r="N1362">
        <v>56.625473884282798</v>
      </c>
      <c r="O1362">
        <v>55.828007941894903</v>
      </c>
      <c r="P1362">
        <v>-8.5981271169051396E-2</v>
      </c>
      <c r="Q1362">
        <v>4.1424993796159E-2</v>
      </c>
      <c r="R1362">
        <v>0.99356549437630504</v>
      </c>
      <c r="S1362" t="s">
        <v>7979</v>
      </c>
      <c r="T1362" t="s">
        <v>13232</v>
      </c>
      <c r="U1362" t="s">
        <v>13232</v>
      </c>
      <c r="V1362" t="s">
        <v>13232</v>
      </c>
      <c r="W1362" t="s">
        <v>14556</v>
      </c>
      <c r="X1362">
        <v>5</v>
      </c>
      <c r="Y1362" t="s">
        <v>21074</v>
      </c>
      <c r="Z1362" t="s">
        <v>27493</v>
      </c>
      <c r="AA1362">
        <v>0.57695516783372403</v>
      </c>
      <c r="AB1362" t="str">
        <f>HYPERLINK("Melting_Curves/meltCurve_O60921_HUS1.pdf", "Melting_Curves/meltCurve_O60921_HUS1.pdf")</f>
        <v>Melting_Curves/meltCurve_O60921_HUS1.pdf</v>
      </c>
    </row>
    <row r="1363" spans="1:28" x14ac:dyDescent="0.25">
      <c r="A1363" t="s">
        <v>1367</v>
      </c>
      <c r="B1363">
        <v>0.99930955844802105</v>
      </c>
      <c r="C1363">
        <v>0.97843206174186603</v>
      </c>
      <c r="D1363">
        <v>0.87154944227729303</v>
      </c>
      <c r="E1363">
        <v>0.78768129888008698</v>
      </c>
      <c r="F1363">
        <v>0.78600139476413999</v>
      </c>
      <c r="G1363">
        <v>0.67070894881941101</v>
      </c>
      <c r="H1363">
        <v>0.57902320208837299</v>
      </c>
      <c r="I1363">
        <v>0.67247112710865398</v>
      </c>
      <c r="J1363">
        <v>0.80320567711787905</v>
      </c>
      <c r="K1363">
        <v>0.53450856698349103</v>
      </c>
      <c r="L1363">
        <v>662.54650056479704</v>
      </c>
      <c r="M1363">
        <v>13.4483679179299</v>
      </c>
      <c r="O1363">
        <v>48.214872259655202</v>
      </c>
      <c r="P1363">
        <v>-2.5388863798513801E-2</v>
      </c>
      <c r="Q1363">
        <v>0.63596137291355703</v>
      </c>
      <c r="R1363">
        <v>0.78201666342338005</v>
      </c>
      <c r="S1363" t="s">
        <v>7980</v>
      </c>
      <c r="T1363" t="s">
        <v>13232</v>
      </c>
      <c r="U1363" t="s">
        <v>13232</v>
      </c>
      <c r="V1363" t="s">
        <v>13232</v>
      </c>
      <c r="W1363" t="s">
        <v>14557</v>
      </c>
      <c r="X1363">
        <v>10</v>
      </c>
      <c r="Y1363" t="s">
        <v>21075</v>
      </c>
      <c r="Z1363" t="s">
        <v>27494</v>
      </c>
      <c r="AA1363">
        <v>0.75923932202563671</v>
      </c>
      <c r="AB1363" t="str">
        <f>HYPERLINK("Melting_Curves/meltCurve_O60925_PFDN1.pdf", "Melting_Curves/meltCurve_O60925_PFDN1.pdf")</f>
        <v>Melting_Curves/meltCurve_O60925_PFDN1.pdf</v>
      </c>
    </row>
    <row r="1364" spans="1:28" x14ac:dyDescent="0.25">
      <c r="A1364" t="s">
        <v>1368</v>
      </c>
      <c r="B1364">
        <v>0.99930955844802105</v>
      </c>
      <c r="C1364">
        <v>1.1282083201167801</v>
      </c>
      <c r="D1364">
        <v>1.0822574285963</v>
      </c>
      <c r="E1364">
        <v>1.06714906497331</v>
      </c>
      <c r="F1364">
        <v>0.99428208690553899</v>
      </c>
      <c r="G1364">
        <v>0.91971701038071496</v>
      </c>
      <c r="H1364">
        <v>0.89198315535612804</v>
      </c>
      <c r="I1364">
        <v>0.92765005969650105</v>
      </c>
      <c r="J1364">
        <v>0.929200811290262</v>
      </c>
      <c r="K1364">
        <v>0.72383796526972699</v>
      </c>
      <c r="L1364">
        <v>862.873589255365</v>
      </c>
      <c r="M1364">
        <v>11.139679966267</v>
      </c>
      <c r="Q1364">
        <v>0</v>
      </c>
      <c r="R1364">
        <v>0.63717950359005204</v>
      </c>
      <c r="S1364" t="s">
        <v>7981</v>
      </c>
      <c r="T1364" t="s">
        <v>13232</v>
      </c>
      <c r="U1364" t="s">
        <v>13232</v>
      </c>
      <c r="V1364" t="s">
        <v>13232</v>
      </c>
      <c r="W1364" t="s">
        <v>14558</v>
      </c>
      <c r="X1364">
        <v>6</v>
      </c>
      <c r="Y1364" t="s">
        <v>21076</v>
      </c>
      <c r="Z1364" t="s">
        <v>27495</v>
      </c>
      <c r="AA1364">
        <v>0.95665806402959486</v>
      </c>
      <c r="AB1364" t="str">
        <f>HYPERLINK("Melting_Curves/meltCurve_O60927_PPP1R11.pdf", "Melting_Curves/meltCurve_O60927_PPP1R11.pdf")</f>
        <v>Melting_Curves/meltCurve_O60927_PPP1R11.pdf</v>
      </c>
    </row>
    <row r="1365" spans="1:28" x14ac:dyDescent="0.25">
      <c r="A1365" t="s">
        <v>1369</v>
      </c>
      <c r="B1365">
        <v>0.99930955844802105</v>
      </c>
      <c r="C1365">
        <v>0.92614043316701</v>
      </c>
      <c r="D1365">
        <v>0.84212281271087197</v>
      </c>
      <c r="E1365">
        <v>0.69778800857619805</v>
      </c>
      <c r="F1365">
        <v>0.55457998606470604</v>
      </c>
      <c r="G1365">
        <v>0.45893382857062098</v>
      </c>
      <c r="H1365">
        <v>0.43296180595058997</v>
      </c>
      <c r="I1365">
        <v>0.444355129797949</v>
      </c>
      <c r="J1365">
        <v>0.452831843846557</v>
      </c>
      <c r="K1365">
        <v>0.38294644799014299</v>
      </c>
      <c r="L1365">
        <v>731.72550733224796</v>
      </c>
      <c r="M1365">
        <v>14.827266531400699</v>
      </c>
      <c r="N1365">
        <v>55.654681916895598</v>
      </c>
      <c r="O1365">
        <v>48.478409359805902</v>
      </c>
      <c r="P1365">
        <v>-4.5364175733813301E-2</v>
      </c>
      <c r="Q1365">
        <v>0.40678191289173998</v>
      </c>
      <c r="R1365">
        <v>0.99126641254854497</v>
      </c>
      <c r="S1365" t="s">
        <v>7982</v>
      </c>
      <c r="T1365" t="s">
        <v>13232</v>
      </c>
      <c r="U1365" t="s">
        <v>13232</v>
      </c>
      <c r="V1365" t="s">
        <v>13232</v>
      </c>
      <c r="W1365" t="s">
        <v>14559</v>
      </c>
      <c r="X1365">
        <v>35</v>
      </c>
      <c r="Y1365" t="s">
        <v>21077</v>
      </c>
      <c r="Z1365" t="s">
        <v>27496</v>
      </c>
      <c r="AA1365">
        <v>0.60643650606939425</v>
      </c>
      <c r="AB1365" t="str">
        <f>HYPERLINK("Melting_Curves/meltCurve_O60934_NBN.pdf", "Melting_Curves/meltCurve_O60934_NBN.pdf")</f>
        <v>Melting_Curves/meltCurve_O60934_NBN.pdf</v>
      </c>
    </row>
    <row r="1366" spans="1:28" x14ac:dyDescent="0.25">
      <c r="A1366" t="s">
        <v>1370</v>
      </c>
      <c r="B1366">
        <v>0.99930955844802105</v>
      </c>
      <c r="C1366">
        <v>0.97621017354942097</v>
      </c>
      <c r="D1366">
        <v>0.71682375837858303</v>
      </c>
      <c r="E1366">
        <v>0.366845788035076</v>
      </c>
      <c r="F1366">
        <v>0.16753017194777001</v>
      </c>
      <c r="G1366">
        <v>0.123808850273236</v>
      </c>
      <c r="H1366">
        <v>7.8277959520099902E-2</v>
      </c>
      <c r="I1366">
        <v>7.2265475133114002E-2</v>
      </c>
      <c r="J1366">
        <v>6.6920747347401402E-2</v>
      </c>
      <c r="K1366">
        <v>4.7428781094757302E-2</v>
      </c>
      <c r="L1366">
        <v>1026.7713939090399</v>
      </c>
      <c r="M1366">
        <v>21.3499766832044</v>
      </c>
      <c r="N1366">
        <v>48.415574190472299</v>
      </c>
      <c r="O1366">
        <v>47.676431385116999</v>
      </c>
      <c r="P1366">
        <v>-0.10451952283568799</v>
      </c>
      <c r="Q1366">
        <v>6.6417228484443605E-2</v>
      </c>
      <c r="R1366">
        <v>0.99705061394217098</v>
      </c>
      <c r="S1366" t="s">
        <v>7983</v>
      </c>
      <c r="T1366" t="s">
        <v>13232</v>
      </c>
      <c r="U1366" t="s">
        <v>13232</v>
      </c>
      <c r="V1366" t="s">
        <v>13232</v>
      </c>
      <c r="W1366" t="s">
        <v>14560</v>
      </c>
      <c r="X1366">
        <v>18</v>
      </c>
      <c r="Y1366" t="s">
        <v>21078</v>
      </c>
      <c r="Z1366" t="s">
        <v>27497</v>
      </c>
      <c r="AA1366">
        <v>0.32978009407156073</v>
      </c>
      <c r="AB1366" t="str">
        <f>HYPERLINK("Melting_Curves/meltCurve_O60942_RNGTT.pdf", "Melting_Curves/meltCurve_O60942_RNGTT.pdf")</f>
        <v>Melting_Curves/meltCurve_O60942_RNGTT.pdf</v>
      </c>
    </row>
    <row r="1367" spans="1:28" x14ac:dyDescent="0.25">
      <c r="A1367" t="s">
        <v>1371</v>
      </c>
      <c r="B1367">
        <v>0.99930955844802105</v>
      </c>
      <c r="C1367">
        <v>1.31775052021266</v>
      </c>
      <c r="D1367">
        <v>1.1155290187111799</v>
      </c>
      <c r="E1367">
        <v>0.978474770163826</v>
      </c>
      <c r="F1367">
        <v>0.99891829834727697</v>
      </c>
      <c r="G1367">
        <v>0.82733562506403702</v>
      </c>
      <c r="H1367">
        <v>0.76152539476441705</v>
      </c>
      <c r="I1367">
        <v>0.92156686186282899</v>
      </c>
      <c r="J1367">
        <v>0.89905019705714395</v>
      </c>
      <c r="K1367">
        <v>0.65164340947858801</v>
      </c>
      <c r="L1367">
        <v>14123.872572561</v>
      </c>
      <c r="M1367">
        <v>250</v>
      </c>
      <c r="O1367">
        <v>56.4918750607075</v>
      </c>
      <c r="P1367">
        <v>-0.211925977955355</v>
      </c>
      <c r="Q1367">
        <v>0.80844646668737397</v>
      </c>
      <c r="R1367">
        <v>0.47756861540940798</v>
      </c>
      <c r="S1367" t="s">
        <v>7984</v>
      </c>
      <c r="T1367" t="s">
        <v>13232</v>
      </c>
      <c r="U1367" t="s">
        <v>13232</v>
      </c>
      <c r="V1367" t="s">
        <v>13232</v>
      </c>
      <c r="W1367" t="s">
        <v>14561</v>
      </c>
      <c r="X1367">
        <v>8</v>
      </c>
      <c r="Y1367" t="s">
        <v>21079</v>
      </c>
      <c r="Z1367" t="s">
        <v>27498</v>
      </c>
      <c r="AA1367">
        <v>0.91379110726638157</v>
      </c>
      <c r="AB1367" t="str">
        <f>HYPERLINK("Melting_Curves/meltCurve_O75030_12_MITF.pdf", "Melting_Curves/meltCurve_O75030_12_MITF.pdf")</f>
        <v>Melting_Curves/meltCurve_O75030_12_MITF.pdf</v>
      </c>
    </row>
    <row r="1368" spans="1:28" x14ac:dyDescent="0.25">
      <c r="A1368" t="s">
        <v>1372</v>
      </c>
      <c r="B1368">
        <v>0.99930955844802105</v>
      </c>
      <c r="C1368">
        <v>0.97860271415466205</v>
      </c>
      <c r="D1368">
        <v>0.92571776097932001</v>
      </c>
      <c r="E1368">
        <v>0.85090938898116497</v>
      </c>
      <c r="F1368">
        <v>0.64555518350158103</v>
      </c>
      <c r="G1368">
        <v>0.47609188648432499</v>
      </c>
      <c r="H1368">
        <v>0.43287640097541602</v>
      </c>
      <c r="I1368">
        <v>0.43192017425452001</v>
      </c>
      <c r="J1368">
        <v>0.39658024522079999</v>
      </c>
      <c r="K1368">
        <v>0.33696667605469899</v>
      </c>
      <c r="L1368">
        <v>940.367413732459</v>
      </c>
      <c r="M1368">
        <v>17.908591929139401</v>
      </c>
      <c r="N1368">
        <v>56.834542844827098</v>
      </c>
      <c r="O1368">
        <v>51.867689682766603</v>
      </c>
      <c r="P1368">
        <v>-5.4207386645445298E-2</v>
      </c>
      <c r="Q1368">
        <v>0.372039925254666</v>
      </c>
      <c r="R1368">
        <v>0.99070972223968001</v>
      </c>
      <c r="S1368" t="s">
        <v>7985</v>
      </c>
      <c r="T1368" t="s">
        <v>13232</v>
      </c>
      <c r="U1368" t="s">
        <v>13232</v>
      </c>
      <c r="V1368" t="s">
        <v>13232</v>
      </c>
      <c r="W1368" t="s">
        <v>14562</v>
      </c>
      <c r="X1368">
        <v>11</v>
      </c>
      <c r="Y1368" t="s">
        <v>21080</v>
      </c>
      <c r="Z1368" t="s">
        <v>27499</v>
      </c>
      <c r="AA1368">
        <v>0.644342893636626</v>
      </c>
      <c r="AB1368" t="str">
        <f>HYPERLINK("Melting_Curves/meltCurve_O75037_3_KIF21B.pdf", "Melting_Curves/meltCurve_O75037_3_KIF21B.pdf")</f>
        <v>Melting_Curves/meltCurve_O75037_3_KIF21B.pdf</v>
      </c>
    </row>
    <row r="1369" spans="1:28" x14ac:dyDescent="0.25">
      <c r="A1369" t="s">
        <v>1373</v>
      </c>
      <c r="B1369">
        <v>0.99930955844802105</v>
      </c>
      <c r="C1369">
        <v>0.96980660073608604</v>
      </c>
      <c r="D1369">
        <v>0.74760002823171701</v>
      </c>
      <c r="E1369">
        <v>0.652412635359372</v>
      </c>
      <c r="F1369">
        <v>0.51001505020269899</v>
      </c>
      <c r="G1369">
        <v>0.25885770256761398</v>
      </c>
      <c r="H1369">
        <v>0.21678831627884301</v>
      </c>
      <c r="I1369">
        <v>0.20264808696581299</v>
      </c>
      <c r="J1369">
        <v>0.19347301379614401</v>
      </c>
      <c r="K1369">
        <v>0.15531632507370699</v>
      </c>
      <c r="L1369">
        <v>646.92807875139204</v>
      </c>
      <c r="M1369">
        <v>12.673381565237399</v>
      </c>
      <c r="N1369">
        <v>52.3041574298787</v>
      </c>
      <c r="O1369">
        <v>49.8252968909079</v>
      </c>
      <c r="P1369">
        <v>-5.5246442177167003E-2</v>
      </c>
      <c r="Q1369">
        <v>0.13136555764864399</v>
      </c>
      <c r="R1369">
        <v>0.98472851231299896</v>
      </c>
      <c r="S1369" t="s">
        <v>7986</v>
      </c>
      <c r="T1369" t="s">
        <v>13232</v>
      </c>
      <c r="U1369" t="s">
        <v>13232</v>
      </c>
      <c r="V1369" t="s">
        <v>13232</v>
      </c>
      <c r="W1369" t="s">
        <v>14563</v>
      </c>
      <c r="X1369">
        <v>28</v>
      </c>
      <c r="Y1369" t="s">
        <v>21081</v>
      </c>
      <c r="Z1369" t="s">
        <v>27500</v>
      </c>
      <c r="AA1369">
        <v>0.47729845474832377</v>
      </c>
      <c r="AB1369" t="str">
        <f>HYPERLINK("Melting_Curves/meltCurve_O75044_SRGAP2.pdf", "Melting_Curves/meltCurve_O75044_SRGAP2.pdf")</f>
        <v>Melting_Curves/meltCurve_O75044_SRGAP2.pdf</v>
      </c>
    </row>
    <row r="1370" spans="1:28" x14ac:dyDescent="0.25">
      <c r="A1370" t="s">
        <v>1374</v>
      </c>
      <c r="B1370">
        <v>0.99930955844802105</v>
      </c>
      <c r="C1370">
        <v>1.11498180300447</v>
      </c>
      <c r="D1370">
        <v>1.0491352427236</v>
      </c>
      <c r="E1370">
        <v>0.96322238441963604</v>
      </c>
      <c r="F1370">
        <v>0.82414212551193</v>
      </c>
      <c r="G1370">
        <v>0.51765549648891596</v>
      </c>
      <c r="H1370">
        <v>0.25667071374837302</v>
      </c>
      <c r="I1370">
        <v>0.21158739117841999</v>
      </c>
      <c r="J1370">
        <v>0.17659489630910899</v>
      </c>
      <c r="K1370">
        <v>0.13118900361598501</v>
      </c>
      <c r="L1370">
        <v>1296.6219314172099</v>
      </c>
      <c r="M1370">
        <v>23.0262860813495</v>
      </c>
      <c r="N1370">
        <v>57.146918814436503</v>
      </c>
      <c r="O1370">
        <v>55.890978969037498</v>
      </c>
      <c r="P1370">
        <v>-8.8264377307790298E-2</v>
      </c>
      <c r="Q1370">
        <v>0.14305089705440099</v>
      </c>
      <c r="R1370">
        <v>0.98811772567703604</v>
      </c>
      <c r="S1370" t="s">
        <v>7987</v>
      </c>
      <c r="T1370" t="s">
        <v>13232</v>
      </c>
      <c r="U1370" t="s">
        <v>13232</v>
      </c>
      <c r="V1370" t="s">
        <v>13232</v>
      </c>
      <c r="W1370" t="s">
        <v>14564</v>
      </c>
      <c r="X1370">
        <v>17</v>
      </c>
      <c r="Y1370" t="s">
        <v>21082</v>
      </c>
      <c r="Z1370" t="s">
        <v>27501</v>
      </c>
      <c r="AA1370">
        <v>0.61787599550259509</v>
      </c>
      <c r="AB1370" t="str">
        <f>HYPERLINK("Melting_Curves/meltCurve_O75061_4_DNAJC6.pdf", "Melting_Curves/meltCurve_O75061_4_DNAJC6.pdf")</f>
        <v>Melting_Curves/meltCurve_O75061_4_DNAJC6.pdf</v>
      </c>
    </row>
    <row r="1371" spans="1:28" x14ac:dyDescent="0.25">
      <c r="A1371" t="s">
        <v>1375</v>
      </c>
      <c r="B1371">
        <v>0.99930955844802105</v>
      </c>
      <c r="C1371">
        <v>0.963575682191955</v>
      </c>
      <c r="D1371">
        <v>0.902373279507658</v>
      </c>
      <c r="E1371">
        <v>0.77966038852090103</v>
      </c>
      <c r="F1371">
        <v>0.51561561127859201</v>
      </c>
      <c r="G1371">
        <v>0.388220260614346</v>
      </c>
      <c r="H1371">
        <v>0.28862066551759402</v>
      </c>
      <c r="I1371">
        <v>0.30902143636148799</v>
      </c>
      <c r="J1371">
        <v>0.288393696714971</v>
      </c>
      <c r="K1371">
        <v>0.22212492733728201</v>
      </c>
      <c r="L1371">
        <v>905.85183996861599</v>
      </c>
      <c r="M1371">
        <v>17.498055883591299</v>
      </c>
      <c r="N1371">
        <v>53.9385441852003</v>
      </c>
      <c r="O1371">
        <v>51.1067663318643</v>
      </c>
      <c r="P1371">
        <v>-6.3971064844817793E-2</v>
      </c>
      <c r="Q1371">
        <v>0.25267721968880003</v>
      </c>
      <c r="R1371">
        <v>0.99202630091328903</v>
      </c>
      <c r="S1371" t="s">
        <v>7988</v>
      </c>
      <c r="T1371" t="s">
        <v>13232</v>
      </c>
      <c r="U1371" t="s">
        <v>13232</v>
      </c>
      <c r="V1371" t="s">
        <v>13232</v>
      </c>
      <c r="W1371" t="s">
        <v>14565</v>
      </c>
      <c r="X1371">
        <v>2</v>
      </c>
      <c r="Y1371" t="s">
        <v>21083</v>
      </c>
      <c r="Z1371" t="s">
        <v>27502</v>
      </c>
      <c r="AA1371">
        <v>0.55894007773286492</v>
      </c>
      <c r="AB1371" t="str">
        <f>HYPERLINK("Melting_Curves/meltCurve_O75063_FAM20B.pdf", "Melting_Curves/meltCurve_O75063_FAM20B.pdf")</f>
        <v>Melting_Curves/meltCurve_O75063_FAM20B.pdf</v>
      </c>
    </row>
    <row r="1372" spans="1:28" x14ac:dyDescent="0.25">
      <c r="A1372" t="s">
        <v>1376</v>
      </c>
      <c r="B1372">
        <v>0.99930955844802105</v>
      </c>
      <c r="C1372">
        <v>0.87582937899528501</v>
      </c>
      <c r="D1372">
        <v>0.84790102268567502</v>
      </c>
      <c r="E1372">
        <v>0.75899354619388504</v>
      </c>
      <c r="F1372">
        <v>0.405805677234228</v>
      </c>
      <c r="G1372">
        <v>0.22264532667596901</v>
      </c>
      <c r="H1372">
        <v>0.166016617890313</v>
      </c>
      <c r="I1372">
        <v>0.14779746127941101</v>
      </c>
      <c r="J1372">
        <v>0.15006998365809901</v>
      </c>
      <c r="K1372">
        <v>0.138737477911306</v>
      </c>
      <c r="L1372">
        <v>915.60816946169905</v>
      </c>
      <c r="M1372">
        <v>17.804396791154002</v>
      </c>
      <c r="N1372">
        <v>52.229965429291298</v>
      </c>
      <c r="O1372">
        <v>50.790368176703801</v>
      </c>
      <c r="P1372">
        <v>-7.7136211111512795E-2</v>
      </c>
      <c r="Q1372">
        <v>0.11986352372053399</v>
      </c>
      <c r="R1372">
        <v>0.97908944489954597</v>
      </c>
      <c r="S1372" t="s">
        <v>7989</v>
      </c>
      <c r="T1372" t="s">
        <v>13232</v>
      </c>
      <c r="U1372" t="s">
        <v>13232</v>
      </c>
      <c r="V1372" t="s">
        <v>13232</v>
      </c>
      <c r="W1372" t="s">
        <v>14566</v>
      </c>
      <c r="X1372">
        <v>8</v>
      </c>
      <c r="Y1372" t="s">
        <v>21084</v>
      </c>
      <c r="Z1372" t="s">
        <v>27503</v>
      </c>
      <c r="AA1372">
        <v>0.47011812684512821</v>
      </c>
      <c r="AB1372" t="str">
        <f>HYPERLINK("Melting_Curves/meltCurve_O75064_DENND4B.pdf", "Melting_Curves/meltCurve_O75064_DENND4B.pdf")</f>
        <v>Melting_Curves/meltCurve_O75064_DENND4B.pdf</v>
      </c>
    </row>
    <row r="1373" spans="1:28" x14ac:dyDescent="0.25">
      <c r="A1373" t="s">
        <v>1377</v>
      </c>
      <c r="B1373">
        <v>0.99930955844802105</v>
      </c>
      <c r="C1373">
        <v>0.81476988277371498</v>
      </c>
      <c r="D1373">
        <v>0.81385219509218099</v>
      </c>
      <c r="E1373">
        <v>0.68988812234126395</v>
      </c>
      <c r="F1373">
        <v>0.25144884306198101</v>
      </c>
      <c r="G1373">
        <v>0.117125142249315</v>
      </c>
      <c r="H1373">
        <v>6.6367786025263206E-2</v>
      </c>
      <c r="I1373">
        <v>4.9069869394347897E-2</v>
      </c>
      <c r="J1373">
        <v>4.5175055078957901E-2</v>
      </c>
      <c r="K1373">
        <v>3.2224324801385297E-2</v>
      </c>
      <c r="L1373">
        <v>828.97354408432705</v>
      </c>
      <c r="M1373">
        <v>16.350289249362699</v>
      </c>
      <c r="N1373">
        <v>50.755244819274999</v>
      </c>
      <c r="O1373">
        <v>49.960620098936701</v>
      </c>
      <c r="P1373">
        <v>-8.1111058630629604E-2</v>
      </c>
      <c r="Q1373">
        <v>8.6861936560050992E-3</v>
      </c>
      <c r="R1373">
        <v>0.96743928550702796</v>
      </c>
      <c r="S1373" t="s">
        <v>7990</v>
      </c>
      <c r="T1373" t="s">
        <v>13232</v>
      </c>
      <c r="U1373" t="s">
        <v>13232</v>
      </c>
      <c r="V1373" t="s">
        <v>13232</v>
      </c>
      <c r="W1373" t="s">
        <v>14567</v>
      </c>
      <c r="X1373">
        <v>28</v>
      </c>
      <c r="Y1373" t="s">
        <v>21085</v>
      </c>
      <c r="Z1373" t="s">
        <v>27504</v>
      </c>
      <c r="AA1373">
        <v>0.38220660524405581</v>
      </c>
      <c r="AB1373" t="str">
        <f>HYPERLINK("Melting_Curves/meltCurve_O75083_WDR1.pdf", "Melting_Curves/meltCurve_O75083_WDR1.pdf")</f>
        <v>Melting_Curves/meltCurve_O75083_WDR1.pdf</v>
      </c>
    </row>
    <row r="1374" spans="1:28" x14ac:dyDescent="0.25">
      <c r="A1374" t="s">
        <v>1378</v>
      </c>
      <c r="B1374">
        <v>0.99930955844802105</v>
      </c>
      <c r="C1374">
        <v>1.4370805541766001</v>
      </c>
      <c r="D1374">
        <v>1.2865540375654401</v>
      </c>
      <c r="E1374">
        <v>1.18800350471189</v>
      </c>
      <c r="F1374">
        <v>1.1667730444623401</v>
      </c>
      <c r="G1374">
        <v>1.16743029285169</v>
      </c>
      <c r="H1374">
        <v>1.84705690260869</v>
      </c>
      <c r="I1374">
        <v>2.2556839514361999</v>
      </c>
      <c r="J1374">
        <v>2.6618217696932098</v>
      </c>
      <c r="K1374">
        <v>1.89952659066013</v>
      </c>
      <c r="L1374">
        <v>588.82808566159497</v>
      </c>
      <c r="M1374">
        <v>13.303108273288</v>
      </c>
      <c r="O1374">
        <v>43.298132372598303</v>
      </c>
      <c r="P1374">
        <v>3.8411751284649701E-2</v>
      </c>
      <c r="Q1374">
        <v>1.5</v>
      </c>
      <c r="R1374">
        <v>7.5773853893747897E-2</v>
      </c>
      <c r="S1374" t="s">
        <v>7991</v>
      </c>
      <c r="T1374" t="s">
        <v>13232</v>
      </c>
      <c r="U1374" t="s">
        <v>13232</v>
      </c>
      <c r="V1374" t="s">
        <v>13232</v>
      </c>
      <c r="W1374" t="s">
        <v>14568</v>
      </c>
      <c r="X1374">
        <v>2</v>
      </c>
      <c r="Y1374" t="s">
        <v>21086</v>
      </c>
      <c r="Z1374" t="s">
        <v>27505</v>
      </c>
      <c r="AA1374">
        <v>1.4067012517114761</v>
      </c>
      <c r="AB1374" t="str">
        <f>HYPERLINK("Melting_Curves/meltCurve_O75110_2_ATP9A.pdf", "Melting_Curves/meltCurve_O75110_2_ATP9A.pdf")</f>
        <v>Melting_Curves/meltCurve_O75110_2_ATP9A.pdf</v>
      </c>
    </row>
    <row r="1375" spans="1:28" x14ac:dyDescent="0.25">
      <c r="A1375" t="s">
        <v>1379</v>
      </c>
      <c r="B1375">
        <v>0.99930955844802105</v>
      </c>
      <c r="C1375">
        <v>1.0463464012506001</v>
      </c>
      <c r="D1375">
        <v>1.02470972481431</v>
      </c>
      <c r="E1375">
        <v>0.91684705243270403</v>
      </c>
      <c r="F1375">
        <v>0.61363923014199195</v>
      </c>
      <c r="G1375">
        <v>0.46853415919123498</v>
      </c>
      <c r="H1375">
        <v>0.428329303114455</v>
      </c>
      <c r="I1375">
        <v>0.45741571822616001</v>
      </c>
      <c r="J1375">
        <v>0.44476360254540898</v>
      </c>
      <c r="K1375">
        <v>0.365601477450618</v>
      </c>
      <c r="L1375">
        <v>2128.5600786388</v>
      </c>
      <c r="M1375">
        <v>40.851677519531201</v>
      </c>
      <c r="N1375">
        <v>54.7087344848727</v>
      </c>
      <c r="O1375">
        <v>51.980205297975502</v>
      </c>
      <c r="P1375">
        <v>-0.112292028349764</v>
      </c>
      <c r="Q1375">
        <v>0.42847375770138502</v>
      </c>
      <c r="R1375">
        <v>0.98826128277133696</v>
      </c>
      <c r="S1375" t="s">
        <v>7992</v>
      </c>
      <c r="T1375" t="s">
        <v>13232</v>
      </c>
      <c r="U1375" t="s">
        <v>13232</v>
      </c>
      <c r="V1375" t="s">
        <v>13232</v>
      </c>
      <c r="W1375" t="s">
        <v>14569</v>
      </c>
      <c r="X1375">
        <v>28</v>
      </c>
      <c r="Y1375" t="s">
        <v>21087</v>
      </c>
      <c r="Z1375" t="s">
        <v>27506</v>
      </c>
      <c r="AA1375">
        <v>0.66104888303575038</v>
      </c>
      <c r="AB1375" t="str">
        <f>HYPERLINK("Melting_Curves/meltCurve_O75113_N4BP1.pdf", "Melting_Curves/meltCurve_O75113_N4BP1.pdf")</f>
        <v>Melting_Curves/meltCurve_O75113_N4BP1.pdf</v>
      </c>
    </row>
    <row r="1376" spans="1:28" x14ac:dyDescent="0.25">
      <c r="A1376" t="s">
        <v>1380</v>
      </c>
      <c r="B1376">
        <v>0.99930955844802105</v>
      </c>
      <c r="C1376">
        <v>0.93706079483097504</v>
      </c>
      <c r="D1376">
        <v>0.98510863621006595</v>
      </c>
      <c r="E1376">
        <v>0.56971945057625195</v>
      </c>
      <c r="F1376">
        <v>0.21138736737521599</v>
      </c>
      <c r="G1376">
        <v>0.14043675563024099</v>
      </c>
      <c r="H1376">
        <v>7.8716011605145894E-2</v>
      </c>
      <c r="I1376">
        <v>6.6377391757960799E-2</v>
      </c>
      <c r="J1376">
        <v>5.6586141745358698E-2</v>
      </c>
      <c r="K1376">
        <v>4.5466302097006001E-2</v>
      </c>
      <c r="L1376">
        <v>1627.2723823183901</v>
      </c>
      <c r="M1376">
        <v>32.376202474695397</v>
      </c>
      <c r="N1376">
        <v>50.5007696999999</v>
      </c>
      <c r="O1376">
        <v>50.070767388871602</v>
      </c>
      <c r="P1376">
        <v>-0.150152913592983</v>
      </c>
      <c r="Q1376">
        <v>7.1140191334394698E-2</v>
      </c>
      <c r="R1376">
        <v>0.99503969238947299</v>
      </c>
      <c r="S1376" t="s">
        <v>7993</v>
      </c>
      <c r="T1376" t="s">
        <v>13232</v>
      </c>
      <c r="U1376" t="s">
        <v>13232</v>
      </c>
      <c r="V1376" t="s">
        <v>13232</v>
      </c>
      <c r="W1376" t="s">
        <v>14570</v>
      </c>
      <c r="X1376">
        <v>71</v>
      </c>
      <c r="Y1376" t="s">
        <v>21088</v>
      </c>
      <c r="Z1376" t="s">
        <v>27507</v>
      </c>
      <c r="AA1376">
        <v>0.3937993870673378</v>
      </c>
      <c r="AB1376" t="str">
        <f>HYPERLINK("Melting_Curves/meltCurve_O75116_ROCK2.pdf", "Melting_Curves/meltCurve_O75116_ROCK2.pdf")</f>
        <v>Melting_Curves/meltCurve_O75116_ROCK2.pdf</v>
      </c>
    </row>
    <row r="1377" spans="1:28" x14ac:dyDescent="0.25">
      <c r="A1377" t="s">
        <v>1381</v>
      </c>
      <c r="B1377">
        <v>0.99930955844802105</v>
      </c>
      <c r="C1377">
        <v>1.13023592519954</v>
      </c>
      <c r="D1377">
        <v>1.14525943743088</v>
      </c>
      <c r="E1377">
        <v>0.97339472117386705</v>
      </c>
      <c r="F1377">
        <v>0.38856670541997002</v>
      </c>
      <c r="G1377">
        <v>0.17656916897550401</v>
      </c>
      <c r="H1377">
        <v>0.104427127601396</v>
      </c>
      <c r="I1377">
        <v>8.5705622601378303E-2</v>
      </c>
      <c r="J1377">
        <v>7.6791867338064396E-2</v>
      </c>
      <c r="K1377">
        <v>5.7696748112349802E-2</v>
      </c>
      <c r="L1377">
        <v>3435.05406496052</v>
      </c>
      <c r="M1377">
        <v>65.541187113527599</v>
      </c>
      <c r="N1377">
        <v>52.587324376422998</v>
      </c>
      <c r="O1377">
        <v>52.361889526906701</v>
      </c>
      <c r="P1377">
        <v>-0.28199634478797397</v>
      </c>
      <c r="Q1377">
        <v>9.8834929515824496E-2</v>
      </c>
      <c r="R1377">
        <v>0.97817642684348705</v>
      </c>
      <c r="S1377" t="s">
        <v>7994</v>
      </c>
      <c r="T1377" t="s">
        <v>13232</v>
      </c>
      <c r="U1377" t="s">
        <v>13232</v>
      </c>
      <c r="V1377" t="s">
        <v>13232</v>
      </c>
      <c r="W1377" t="s">
        <v>14571</v>
      </c>
      <c r="X1377">
        <v>19</v>
      </c>
      <c r="Y1377" t="s">
        <v>21089</v>
      </c>
      <c r="Z1377" t="s">
        <v>27508</v>
      </c>
      <c r="AA1377">
        <v>0.47284505852042791</v>
      </c>
      <c r="AB1377" t="str">
        <f>HYPERLINK("Melting_Curves/meltCurve_O75131_CPNE3.pdf", "Melting_Curves/meltCurve_O75131_CPNE3.pdf")</f>
        <v>Melting_Curves/meltCurve_O75131_CPNE3.pdf</v>
      </c>
    </row>
    <row r="1378" spans="1:28" x14ac:dyDescent="0.25">
      <c r="A1378" t="s">
        <v>1382</v>
      </c>
      <c r="B1378">
        <v>0.99930955844802105</v>
      </c>
      <c r="C1378">
        <v>1.0613687385353801</v>
      </c>
      <c r="D1378">
        <v>1.00110033653584</v>
      </c>
      <c r="E1378">
        <v>1.05520422929271</v>
      </c>
      <c r="F1378">
        <v>1.0001519637603999</v>
      </c>
      <c r="G1378">
        <v>0.63056834170166098</v>
      </c>
      <c r="H1378">
        <v>0.59987001260541895</v>
      </c>
      <c r="I1378">
        <v>0.72883082659841003</v>
      </c>
      <c r="J1378">
        <v>0.71623068932118295</v>
      </c>
      <c r="K1378">
        <v>0.42855848610373798</v>
      </c>
      <c r="S1378" t="s">
        <v>7995</v>
      </c>
      <c r="T1378" t="s">
        <v>13232</v>
      </c>
      <c r="U1378" t="s">
        <v>13233</v>
      </c>
      <c r="V1378" t="s">
        <v>13232</v>
      </c>
      <c r="W1378" t="s">
        <v>14572</v>
      </c>
      <c r="X1378">
        <v>3</v>
      </c>
      <c r="Y1378" t="s">
        <v>21090</v>
      </c>
      <c r="Z1378" t="s">
        <v>27509</v>
      </c>
      <c r="AB1378" t="str">
        <f>HYPERLINK("Melting_Curves/meltCurve_O75132_ZBED4.pdf", "Melting_Curves/meltCurve_O75132_ZBED4.pdf")</f>
        <v>Melting_Curves/meltCurve_O75132_ZBED4.pdf</v>
      </c>
    </row>
    <row r="1379" spans="1:28" x14ac:dyDescent="0.25">
      <c r="A1379" t="s">
        <v>1383</v>
      </c>
      <c r="B1379">
        <v>0.99930955844802105</v>
      </c>
      <c r="C1379">
        <v>1.0174210227673099</v>
      </c>
      <c r="D1379">
        <v>0.96930360401500204</v>
      </c>
      <c r="E1379">
        <v>0.92480919199870204</v>
      </c>
      <c r="F1379">
        <v>0.84882646530251604</v>
      </c>
      <c r="G1379">
        <v>0.696149375168719</v>
      </c>
      <c r="H1379">
        <v>0.60457702084952203</v>
      </c>
      <c r="I1379">
        <v>0.58534131701563397</v>
      </c>
      <c r="J1379">
        <v>0.48141221091359299</v>
      </c>
      <c r="K1379">
        <v>0.29918368354077002</v>
      </c>
      <c r="L1379">
        <v>508.81676804342197</v>
      </c>
      <c r="M1379">
        <v>7.8466953925215197</v>
      </c>
      <c r="N1379">
        <v>64.844719298062898</v>
      </c>
      <c r="O1379">
        <v>61.037923688239601</v>
      </c>
      <c r="P1379">
        <v>-3.2177675672226402E-2</v>
      </c>
      <c r="Q1379">
        <v>0</v>
      </c>
      <c r="R1379">
        <v>0.97542633816936297</v>
      </c>
      <c r="S1379" t="s">
        <v>7996</v>
      </c>
      <c r="T1379" t="s">
        <v>13232</v>
      </c>
      <c r="U1379" t="s">
        <v>13232</v>
      </c>
      <c r="V1379" t="s">
        <v>13232</v>
      </c>
      <c r="W1379" t="s">
        <v>14573</v>
      </c>
      <c r="X1379">
        <v>17</v>
      </c>
      <c r="Y1379" t="s">
        <v>21091</v>
      </c>
      <c r="Z1379" t="s">
        <v>27510</v>
      </c>
      <c r="AA1379">
        <v>0.75287658647504652</v>
      </c>
      <c r="AB1379" t="str">
        <f>HYPERLINK("Melting_Curves/meltCurve_O75143_2_ATG13.pdf", "Melting_Curves/meltCurve_O75143_2_ATG13.pdf")</f>
        <v>Melting_Curves/meltCurve_O75143_2_ATG13.pdf</v>
      </c>
    </row>
    <row r="1380" spans="1:28" x14ac:dyDescent="0.25">
      <c r="A1380" t="s">
        <v>1384</v>
      </c>
      <c r="B1380">
        <v>0.99930955844802105</v>
      </c>
      <c r="C1380">
        <v>0.84615242048453598</v>
      </c>
      <c r="D1380">
        <v>0.76102716691457395</v>
      </c>
      <c r="E1380">
        <v>0.67352171894784996</v>
      </c>
      <c r="F1380">
        <v>0.57197596447168697</v>
      </c>
      <c r="G1380">
        <v>0.392209500832228</v>
      </c>
      <c r="H1380">
        <v>0.26745957052664199</v>
      </c>
      <c r="I1380">
        <v>0.24776178757415501</v>
      </c>
      <c r="J1380">
        <v>0.20583146612466799</v>
      </c>
      <c r="K1380">
        <v>0.19800408385722601</v>
      </c>
      <c r="L1380">
        <v>445.65209670513502</v>
      </c>
      <c r="M1380">
        <v>8.4100417761623607</v>
      </c>
      <c r="N1380">
        <v>53.981172307479198</v>
      </c>
      <c r="O1380">
        <v>50.248628632667703</v>
      </c>
      <c r="P1380">
        <v>-3.8886331540286402E-2</v>
      </c>
      <c r="Q1380">
        <v>7.1512860549505397E-2</v>
      </c>
      <c r="R1380">
        <v>0.98738159300692196</v>
      </c>
      <c r="S1380" t="s">
        <v>7997</v>
      </c>
      <c r="T1380" t="s">
        <v>13232</v>
      </c>
      <c r="U1380" t="s">
        <v>13232</v>
      </c>
      <c r="V1380" t="s">
        <v>13232</v>
      </c>
      <c r="W1380" t="s">
        <v>14574</v>
      </c>
      <c r="X1380">
        <v>2</v>
      </c>
      <c r="Y1380" t="s">
        <v>21092</v>
      </c>
      <c r="Z1380" t="s">
        <v>27511</v>
      </c>
      <c r="AA1380">
        <v>0.51013686193649421</v>
      </c>
      <c r="AB1380" t="str">
        <f>HYPERLINK("Melting_Curves/meltCurve_O75144_ICOSLG.pdf", "Melting_Curves/meltCurve_O75144_ICOSLG.pdf")</f>
        <v>Melting_Curves/meltCurve_O75144_ICOSLG.pdf</v>
      </c>
    </row>
    <row r="1381" spans="1:28" x14ac:dyDescent="0.25">
      <c r="A1381" t="s">
        <v>1385</v>
      </c>
      <c r="B1381">
        <v>0.99930955844802105</v>
      </c>
      <c r="C1381">
        <v>1.0049503309295</v>
      </c>
      <c r="D1381">
        <v>0.98748920759729497</v>
      </c>
      <c r="E1381">
        <v>0.87316806220162102</v>
      </c>
      <c r="F1381">
        <v>0.70879363087839498</v>
      </c>
      <c r="G1381">
        <v>0.53409424344957201</v>
      </c>
      <c r="H1381">
        <v>0.46020346844200699</v>
      </c>
      <c r="I1381">
        <v>0.41968391889448597</v>
      </c>
      <c r="J1381">
        <v>0.41324691123230001</v>
      </c>
      <c r="K1381">
        <v>0.30042875607011399</v>
      </c>
      <c r="L1381">
        <v>867.07005892301902</v>
      </c>
      <c r="M1381">
        <v>16.0234834072916</v>
      </c>
      <c r="N1381">
        <v>58.426402509279498</v>
      </c>
      <c r="O1381">
        <v>53.290680609257201</v>
      </c>
      <c r="P1381">
        <v>-4.9102253936428197E-2</v>
      </c>
      <c r="Q1381">
        <v>0.34683652153821698</v>
      </c>
      <c r="R1381">
        <v>0.98867565825315795</v>
      </c>
      <c r="S1381" t="s">
        <v>7998</v>
      </c>
      <c r="T1381" t="s">
        <v>13232</v>
      </c>
      <c r="U1381" t="s">
        <v>13232</v>
      </c>
      <c r="V1381" t="s">
        <v>13232</v>
      </c>
      <c r="W1381" t="s">
        <v>14575</v>
      </c>
      <c r="X1381">
        <v>17</v>
      </c>
      <c r="Y1381" t="s">
        <v>21093</v>
      </c>
      <c r="Z1381" t="s">
        <v>27512</v>
      </c>
      <c r="AA1381">
        <v>0.66634442043166098</v>
      </c>
      <c r="AB1381" t="str">
        <f>HYPERLINK("Melting_Curves/meltCurve_O75145_2_PPFIA3.pdf", "Melting_Curves/meltCurve_O75145_2_PPFIA3.pdf")</f>
        <v>Melting_Curves/meltCurve_O75145_2_PPFIA3.pdf</v>
      </c>
    </row>
    <row r="1382" spans="1:28" x14ac:dyDescent="0.25">
      <c r="A1382" t="s">
        <v>1386</v>
      </c>
      <c r="B1382">
        <v>0.99930955844802105</v>
      </c>
      <c r="C1382">
        <v>0.97877894122914899</v>
      </c>
      <c r="D1382">
        <v>0.91084491548249003</v>
      </c>
      <c r="E1382">
        <v>0.816870419458402</v>
      </c>
      <c r="F1382">
        <v>0.34125927801599298</v>
      </c>
      <c r="G1382">
        <v>0.17183651493625199</v>
      </c>
      <c r="H1382">
        <v>9.7044611109281795E-2</v>
      </c>
      <c r="I1382">
        <v>8.9569884108184006E-2</v>
      </c>
      <c r="J1382">
        <v>7.6351969249318405E-2</v>
      </c>
      <c r="K1382">
        <v>5.7388147530764502E-2</v>
      </c>
      <c r="L1382">
        <v>1777.9052533581601</v>
      </c>
      <c r="M1382">
        <v>34.353392430140602</v>
      </c>
      <c r="N1382">
        <v>52.041554353802198</v>
      </c>
      <c r="O1382">
        <v>51.578993760667998</v>
      </c>
      <c r="P1382">
        <v>-0.15208857161893799</v>
      </c>
      <c r="Q1382">
        <v>8.6606169835132502E-2</v>
      </c>
      <c r="R1382">
        <v>0.99288561916590301</v>
      </c>
      <c r="S1382" t="s">
        <v>7999</v>
      </c>
      <c r="T1382" t="s">
        <v>13232</v>
      </c>
      <c r="U1382" t="s">
        <v>13232</v>
      </c>
      <c r="V1382" t="s">
        <v>13232</v>
      </c>
      <c r="W1382" t="s">
        <v>14576</v>
      </c>
      <c r="X1382">
        <v>32</v>
      </c>
      <c r="Y1382" t="s">
        <v>21094</v>
      </c>
      <c r="Z1382" t="s">
        <v>27513</v>
      </c>
      <c r="AA1382">
        <v>0.44889062231831972</v>
      </c>
      <c r="AB1382" t="str">
        <f>HYPERLINK("Melting_Curves/meltCurve_O75146_HIP1R.pdf", "Melting_Curves/meltCurve_O75146_HIP1R.pdf")</f>
        <v>Melting_Curves/meltCurve_O75146_HIP1R.pdf</v>
      </c>
    </row>
    <row r="1383" spans="1:28" x14ac:dyDescent="0.25">
      <c r="A1383" t="s">
        <v>1387</v>
      </c>
      <c r="B1383">
        <v>0.99930955844802105</v>
      </c>
      <c r="C1383">
        <v>0.82773951812087698</v>
      </c>
      <c r="D1383">
        <v>0.51724340118637402</v>
      </c>
      <c r="E1383">
        <v>0.35803189214798697</v>
      </c>
      <c r="F1383">
        <v>0.21322003393736799</v>
      </c>
      <c r="G1383">
        <v>0.15952359331480101</v>
      </c>
      <c r="H1383">
        <v>9.3583259930080903E-2</v>
      </c>
      <c r="I1383">
        <v>8.8589827604173499E-2</v>
      </c>
      <c r="J1383">
        <v>8.3517214969052594E-2</v>
      </c>
      <c r="K1383">
        <v>6.2177849705333202E-2</v>
      </c>
      <c r="L1383">
        <v>718.77626999653103</v>
      </c>
      <c r="M1383">
        <v>15.4195645472807</v>
      </c>
      <c r="N1383">
        <v>47.143928170586697</v>
      </c>
      <c r="O1383">
        <v>45.851666637221903</v>
      </c>
      <c r="P1383">
        <v>-7.7397060945379306E-2</v>
      </c>
      <c r="Q1383">
        <v>7.9491272033949206E-2</v>
      </c>
      <c r="R1383">
        <v>0.98763432043970301</v>
      </c>
      <c r="S1383" t="s">
        <v>8000</v>
      </c>
      <c r="T1383" t="s">
        <v>13232</v>
      </c>
      <c r="U1383" t="s">
        <v>13232</v>
      </c>
      <c r="V1383" t="s">
        <v>13232</v>
      </c>
      <c r="W1383" t="s">
        <v>14577</v>
      </c>
      <c r="X1383">
        <v>14</v>
      </c>
      <c r="Y1383" t="s">
        <v>21095</v>
      </c>
      <c r="Z1383" t="s">
        <v>27514</v>
      </c>
      <c r="AA1383">
        <v>0.30666545850285443</v>
      </c>
      <c r="AB1383" t="str">
        <f>HYPERLINK("Melting_Curves/meltCurve_O75147_2_OBSL1.pdf", "Melting_Curves/meltCurve_O75147_2_OBSL1.pdf")</f>
        <v>Melting_Curves/meltCurve_O75147_2_OBSL1.pdf</v>
      </c>
    </row>
    <row r="1384" spans="1:28" x14ac:dyDescent="0.25">
      <c r="A1384" t="s">
        <v>1388</v>
      </c>
      <c r="B1384">
        <v>0.99930955844802105</v>
      </c>
      <c r="C1384">
        <v>0.980461165440214</v>
      </c>
      <c r="D1384">
        <v>0.68888136329482397</v>
      </c>
      <c r="E1384">
        <v>0.369453096908822</v>
      </c>
      <c r="F1384">
        <v>0.24752506161822199</v>
      </c>
      <c r="G1384">
        <v>0.165512756093532</v>
      </c>
      <c r="H1384">
        <v>0.109636536158566</v>
      </c>
      <c r="I1384">
        <v>0.10049007815790401</v>
      </c>
      <c r="J1384">
        <v>8.8103594556157294E-2</v>
      </c>
      <c r="K1384">
        <v>7.0449308453856496E-2</v>
      </c>
      <c r="L1384">
        <v>924.91411347324402</v>
      </c>
      <c r="M1384">
        <v>19.2744507475755</v>
      </c>
      <c r="N1384">
        <v>48.516971378097402</v>
      </c>
      <c r="O1384">
        <v>47.478947142438201</v>
      </c>
      <c r="P1384">
        <v>-9.1851038970450105E-2</v>
      </c>
      <c r="Q1384">
        <v>9.5003761918490803E-2</v>
      </c>
      <c r="R1384">
        <v>0.99327297804937498</v>
      </c>
      <c r="S1384" t="s">
        <v>8001</v>
      </c>
      <c r="T1384" t="s">
        <v>13232</v>
      </c>
      <c r="U1384" t="s">
        <v>13232</v>
      </c>
      <c r="V1384" t="s">
        <v>13232</v>
      </c>
      <c r="W1384" t="s">
        <v>14578</v>
      </c>
      <c r="X1384">
        <v>34</v>
      </c>
      <c r="Y1384" t="s">
        <v>21096</v>
      </c>
      <c r="Z1384" t="s">
        <v>27515</v>
      </c>
      <c r="AA1384">
        <v>0.34984182097472311</v>
      </c>
      <c r="AB1384" t="str">
        <f>HYPERLINK("Melting_Curves/meltCurve_O75150_RNF40.pdf", "Melting_Curves/meltCurve_O75150_RNF40.pdf")</f>
        <v>Melting_Curves/meltCurve_O75150_RNF40.pdf</v>
      </c>
    </row>
    <row r="1385" spans="1:28" x14ac:dyDescent="0.25">
      <c r="A1385" t="s">
        <v>1389</v>
      </c>
      <c r="B1385">
        <v>0.99930955844802105</v>
      </c>
      <c r="C1385">
        <v>0.91322409270349003</v>
      </c>
      <c r="D1385">
        <v>0.82469408432958502</v>
      </c>
      <c r="E1385">
        <v>0.70780627476480196</v>
      </c>
      <c r="F1385">
        <v>0.64478796543933303</v>
      </c>
      <c r="G1385">
        <v>0.59423845252646501</v>
      </c>
      <c r="H1385">
        <v>0.60974377068389396</v>
      </c>
      <c r="I1385">
        <v>0.74512175167050199</v>
      </c>
      <c r="J1385">
        <v>0.68234603811446104</v>
      </c>
      <c r="K1385">
        <v>0.54204098420225</v>
      </c>
      <c r="L1385">
        <v>916.15010507983197</v>
      </c>
      <c r="M1385">
        <v>19.895400379546899</v>
      </c>
      <c r="O1385">
        <v>45.590687286186999</v>
      </c>
      <c r="P1385">
        <v>-4.0137618271701397E-2</v>
      </c>
      <c r="Q1385">
        <v>0.63210777007674501</v>
      </c>
      <c r="R1385">
        <v>0.86163214959318701</v>
      </c>
      <c r="S1385" t="s">
        <v>8002</v>
      </c>
      <c r="T1385" t="s">
        <v>13232</v>
      </c>
      <c r="U1385" t="s">
        <v>13232</v>
      </c>
      <c r="V1385" t="s">
        <v>13232</v>
      </c>
      <c r="W1385" t="s">
        <v>14579</v>
      </c>
      <c r="X1385">
        <v>7</v>
      </c>
      <c r="Y1385" t="s">
        <v>21097</v>
      </c>
      <c r="Z1385" t="s">
        <v>27516</v>
      </c>
      <c r="AA1385">
        <v>0.71201537311826968</v>
      </c>
      <c r="AB1385" t="str">
        <f>HYPERLINK("Melting_Curves/meltCurve_O75151_PHF2.pdf", "Melting_Curves/meltCurve_O75151_PHF2.pdf")</f>
        <v>Melting_Curves/meltCurve_O75151_PHF2.pdf</v>
      </c>
    </row>
    <row r="1386" spans="1:28" x14ac:dyDescent="0.25">
      <c r="A1386" t="s">
        <v>1390</v>
      </c>
      <c r="B1386">
        <v>0.99930955844802105</v>
      </c>
      <c r="C1386">
        <v>1.12853128962212</v>
      </c>
      <c r="D1386">
        <v>1.1011067324818999</v>
      </c>
      <c r="E1386">
        <v>1.07913301515476</v>
      </c>
      <c r="F1386">
        <v>0.95632382220229495</v>
      </c>
      <c r="G1386">
        <v>0.83111469544084504</v>
      </c>
      <c r="H1386">
        <v>0.91531164460825498</v>
      </c>
      <c r="I1386">
        <v>1.0165851091050799</v>
      </c>
      <c r="J1386">
        <v>1.0677870274592101</v>
      </c>
      <c r="K1386">
        <v>0.84984862897692004</v>
      </c>
      <c r="L1386">
        <v>13209.1170133245</v>
      </c>
      <c r="M1386">
        <v>250</v>
      </c>
      <c r="O1386">
        <v>52.833088753762802</v>
      </c>
      <c r="P1386">
        <v>-7.5557060648511795E-2</v>
      </c>
      <c r="Q1386">
        <v>0.93612939609169799</v>
      </c>
      <c r="R1386">
        <v>0.225160644520283</v>
      </c>
      <c r="S1386" t="s">
        <v>8003</v>
      </c>
      <c r="T1386" t="s">
        <v>13232</v>
      </c>
      <c r="U1386" t="s">
        <v>13232</v>
      </c>
      <c r="V1386" t="s">
        <v>13232</v>
      </c>
      <c r="W1386" t="s">
        <v>14580</v>
      </c>
      <c r="X1386">
        <v>30</v>
      </c>
      <c r="Y1386" t="s">
        <v>21098</v>
      </c>
      <c r="Z1386" t="s">
        <v>27517</v>
      </c>
      <c r="AA1386">
        <v>0.96346441751975209</v>
      </c>
      <c r="AB1386" t="str">
        <f>HYPERLINK("Melting_Curves/meltCurve_O75152_ZC3H11A.pdf", "Melting_Curves/meltCurve_O75152_ZC3H11A.pdf")</f>
        <v>Melting_Curves/meltCurve_O75152_ZC3H11A.pdf</v>
      </c>
    </row>
    <row r="1387" spans="1:28" x14ac:dyDescent="0.25">
      <c r="A1387" t="s">
        <v>1391</v>
      </c>
      <c r="B1387">
        <v>0.99930955844802105</v>
      </c>
      <c r="C1387">
        <v>1.31532521775294</v>
      </c>
      <c r="D1387">
        <v>1.2423456875013501</v>
      </c>
      <c r="E1387">
        <v>1.11723585720233</v>
      </c>
      <c r="F1387">
        <v>1.1184129474122499</v>
      </c>
      <c r="G1387">
        <v>1.01256661765408</v>
      </c>
      <c r="H1387">
        <v>1.1728768598802499</v>
      </c>
      <c r="I1387">
        <v>1.3491464739099901</v>
      </c>
      <c r="J1387">
        <v>1.3645600243410401</v>
      </c>
      <c r="K1387">
        <v>1.0799599696758</v>
      </c>
      <c r="L1387">
        <v>10253.1977827336</v>
      </c>
      <c r="M1387">
        <v>250</v>
      </c>
      <c r="O1387">
        <v>41.010166595184998</v>
      </c>
      <c r="P1387">
        <v>0.30013376152392002</v>
      </c>
      <c r="Q1387">
        <v>1.1969365686920199</v>
      </c>
      <c r="R1387">
        <v>0.21528509670370399</v>
      </c>
      <c r="S1387" t="s">
        <v>8004</v>
      </c>
      <c r="T1387" t="s">
        <v>13232</v>
      </c>
      <c r="U1387" t="s">
        <v>13232</v>
      </c>
      <c r="V1387" t="s">
        <v>13232</v>
      </c>
      <c r="W1387" t="s">
        <v>14581</v>
      </c>
      <c r="X1387">
        <v>4</v>
      </c>
      <c r="Y1387" t="s">
        <v>21099</v>
      </c>
      <c r="Z1387" t="s">
        <v>27518</v>
      </c>
      <c r="AA1387">
        <v>1.1902720635863231</v>
      </c>
      <c r="AB1387" t="str">
        <f>HYPERLINK("Melting_Curves/meltCurve_O75154_RAB11FIP3.pdf", "Melting_Curves/meltCurve_O75154_RAB11FIP3.pdf")</f>
        <v>Melting_Curves/meltCurve_O75154_RAB11FIP3.pdf</v>
      </c>
    </row>
    <row r="1388" spans="1:28" x14ac:dyDescent="0.25">
      <c r="A1388" t="s">
        <v>1392</v>
      </c>
      <c r="B1388">
        <v>0.99930955844802105</v>
      </c>
      <c r="C1388">
        <v>0.97735055793651204</v>
      </c>
      <c r="D1388">
        <v>0.96130047882311198</v>
      </c>
      <c r="E1388">
        <v>0.82795256081878399</v>
      </c>
      <c r="F1388">
        <v>0.29088224142239699</v>
      </c>
      <c r="G1388">
        <v>0.15734602222305599</v>
      </c>
      <c r="H1388">
        <v>9.1474425373216706E-2</v>
      </c>
      <c r="I1388">
        <v>9.2391186299112804E-2</v>
      </c>
      <c r="J1388">
        <v>7.8090587574999606E-2</v>
      </c>
      <c r="K1388">
        <v>6.3267267250260606E-2</v>
      </c>
      <c r="L1388">
        <v>2302.4082564212799</v>
      </c>
      <c r="M1388">
        <v>44.6502214895267</v>
      </c>
      <c r="N1388">
        <v>51.802282518196897</v>
      </c>
      <c r="O1388">
        <v>51.462323561682901</v>
      </c>
      <c r="P1388">
        <v>-0.196881796071843</v>
      </c>
      <c r="Q1388">
        <v>9.2324220095983095E-2</v>
      </c>
      <c r="R1388">
        <v>0.99654523772641601</v>
      </c>
      <c r="S1388" t="s">
        <v>8005</v>
      </c>
      <c r="T1388" t="s">
        <v>13232</v>
      </c>
      <c r="U1388" t="s">
        <v>13232</v>
      </c>
      <c r="V1388" t="s">
        <v>13232</v>
      </c>
      <c r="W1388" t="s">
        <v>14582</v>
      </c>
      <c r="X1388">
        <v>20</v>
      </c>
      <c r="Y1388" t="s">
        <v>21100</v>
      </c>
      <c r="Z1388" t="s">
        <v>27519</v>
      </c>
      <c r="AA1388">
        <v>0.44483868767362822</v>
      </c>
      <c r="AB1388" t="str">
        <f>HYPERLINK("Melting_Curves/meltCurve_O75155_CAND2.pdf", "Melting_Curves/meltCurve_O75155_CAND2.pdf")</f>
        <v>Melting_Curves/meltCurve_O75155_CAND2.pdf</v>
      </c>
    </row>
    <row r="1389" spans="1:28" x14ac:dyDescent="0.25">
      <c r="A1389" t="s">
        <v>1393</v>
      </c>
      <c r="B1389">
        <v>0.99930955844802105</v>
      </c>
      <c r="C1389">
        <v>1.11392504817394</v>
      </c>
      <c r="D1389">
        <v>0.99789300971220296</v>
      </c>
      <c r="E1389">
        <v>0.94889836428912799</v>
      </c>
      <c r="F1389">
        <v>0.85785917436929204</v>
      </c>
      <c r="G1389">
        <v>0.67864507247017103</v>
      </c>
      <c r="H1389">
        <v>0.72582620579936297</v>
      </c>
      <c r="I1389">
        <v>0.86256622526708804</v>
      </c>
      <c r="J1389">
        <v>0.82190144018061895</v>
      </c>
      <c r="K1389">
        <v>0.67819033956088304</v>
      </c>
      <c r="L1389">
        <v>2314.1520752290298</v>
      </c>
      <c r="M1389">
        <v>44.302464825500898</v>
      </c>
      <c r="O1389">
        <v>52.1292076727783</v>
      </c>
      <c r="P1389">
        <v>-5.2169570204704002E-2</v>
      </c>
      <c r="Q1389">
        <v>0.754455747086343</v>
      </c>
      <c r="R1389">
        <v>0.77828233516257095</v>
      </c>
      <c r="S1389" t="s">
        <v>8006</v>
      </c>
      <c r="T1389" t="s">
        <v>13232</v>
      </c>
      <c r="U1389" t="s">
        <v>13232</v>
      </c>
      <c r="V1389" t="s">
        <v>13232</v>
      </c>
      <c r="W1389" t="s">
        <v>14583</v>
      </c>
      <c r="X1389">
        <v>11</v>
      </c>
      <c r="Y1389" t="s">
        <v>21101</v>
      </c>
      <c r="Z1389" t="s">
        <v>27520</v>
      </c>
      <c r="AA1389">
        <v>0.85532077080829194</v>
      </c>
      <c r="AB1389" t="str">
        <f>HYPERLINK("Melting_Curves/meltCurve_O75157_2_TSC22D2.pdf", "Melting_Curves/meltCurve_O75157_2_TSC22D2.pdf")</f>
        <v>Melting_Curves/meltCurve_O75157_2_TSC22D2.pdf</v>
      </c>
    </row>
    <row r="1390" spans="1:28" x14ac:dyDescent="0.25">
      <c r="A1390" t="s">
        <v>1394</v>
      </c>
      <c r="B1390">
        <v>0.99930955844802105</v>
      </c>
      <c r="C1390">
        <v>1.06300135158376</v>
      </c>
      <c r="D1390">
        <v>0.95318520786201699</v>
      </c>
      <c r="E1390">
        <v>0.71127552708456199</v>
      </c>
      <c r="F1390">
        <v>0.44144522364955902</v>
      </c>
      <c r="G1390">
        <v>0.25962126310392097</v>
      </c>
      <c r="H1390">
        <v>0.12458622587911</v>
      </c>
      <c r="I1390">
        <v>9.9944586915793901E-2</v>
      </c>
      <c r="J1390">
        <v>7.7563104279513698E-2</v>
      </c>
      <c r="K1390">
        <v>6.9731274506278196E-2</v>
      </c>
      <c r="L1390">
        <v>1020.17392556802</v>
      </c>
      <c r="M1390">
        <v>19.570672200995599</v>
      </c>
      <c r="N1390">
        <v>52.562358057256098</v>
      </c>
      <c r="O1390">
        <v>51.592580738419102</v>
      </c>
      <c r="P1390">
        <v>-8.7750784816351901E-2</v>
      </c>
      <c r="Q1390">
        <v>7.4711620021480601E-2</v>
      </c>
      <c r="R1390">
        <v>0.99453736505157198</v>
      </c>
      <c r="S1390" t="s">
        <v>8007</v>
      </c>
      <c r="T1390" t="s">
        <v>13232</v>
      </c>
      <c r="U1390" t="s">
        <v>13232</v>
      </c>
      <c r="V1390" t="s">
        <v>13232</v>
      </c>
      <c r="W1390" t="s">
        <v>14584</v>
      </c>
      <c r="X1390">
        <v>7</v>
      </c>
      <c r="Y1390" t="s">
        <v>21102</v>
      </c>
      <c r="Z1390" t="s">
        <v>27521</v>
      </c>
      <c r="AA1390">
        <v>0.46206496844363659</v>
      </c>
      <c r="AB1390" t="str">
        <f>HYPERLINK("Melting_Curves/meltCurve_O75164_KDM4A.pdf", "Melting_Curves/meltCurve_O75164_KDM4A.pdf")</f>
        <v>Melting_Curves/meltCurve_O75164_KDM4A.pdf</v>
      </c>
    </row>
    <row r="1391" spans="1:28" x14ac:dyDescent="0.25">
      <c r="A1391" t="s">
        <v>1395</v>
      </c>
      <c r="B1391">
        <v>0.99930955844802105</v>
      </c>
      <c r="C1391">
        <v>0.99193618156434504</v>
      </c>
      <c r="D1391">
        <v>0.91730889980104902</v>
      </c>
      <c r="E1391">
        <v>0.90501160446804596</v>
      </c>
      <c r="F1391">
        <v>0.82110053535932204</v>
      </c>
      <c r="G1391">
        <v>0.64746624213317805</v>
      </c>
      <c r="H1391">
        <v>0.59705420422451505</v>
      </c>
      <c r="I1391">
        <v>0.58725234836182205</v>
      </c>
      <c r="J1391">
        <v>0.61995276365473895</v>
      </c>
      <c r="K1391">
        <v>0.46181271814561198</v>
      </c>
      <c r="L1391">
        <v>669.29494098483303</v>
      </c>
      <c r="M1391">
        <v>12.208773397888701</v>
      </c>
      <c r="O1391">
        <v>53.412232542038502</v>
      </c>
      <c r="P1391">
        <v>-2.89111184574622E-2</v>
      </c>
      <c r="Q1391">
        <v>0.49418032174036702</v>
      </c>
      <c r="R1391">
        <v>0.955782192189783</v>
      </c>
      <c r="S1391" t="s">
        <v>8008</v>
      </c>
      <c r="T1391" t="s">
        <v>13232</v>
      </c>
      <c r="U1391" t="s">
        <v>13232</v>
      </c>
      <c r="V1391" t="s">
        <v>13232</v>
      </c>
      <c r="W1391" t="s">
        <v>14585</v>
      </c>
      <c r="X1391">
        <v>6</v>
      </c>
      <c r="Y1391" t="s">
        <v>21103</v>
      </c>
      <c r="Z1391" t="s">
        <v>27522</v>
      </c>
      <c r="AA1391">
        <v>0.75603078949707969</v>
      </c>
      <c r="AB1391" t="str">
        <f>HYPERLINK("Melting_Curves/meltCurve_O75167_5_PHACTR2.pdf", "Melting_Curves/meltCurve_O75167_5_PHACTR2.pdf")</f>
        <v>Melting_Curves/meltCurve_O75167_5_PHACTR2.pdf</v>
      </c>
    </row>
    <row r="1392" spans="1:28" x14ac:dyDescent="0.25">
      <c r="A1392" t="s">
        <v>1396</v>
      </c>
      <c r="B1392">
        <v>0.99930955844802105</v>
      </c>
      <c r="C1392">
        <v>1.04562996700087</v>
      </c>
      <c r="D1392">
        <v>1.06447698155129</v>
      </c>
      <c r="E1392">
        <v>1.0095904283369399</v>
      </c>
      <c r="F1392">
        <v>0.906061502434647</v>
      </c>
      <c r="G1392">
        <v>0.76170538567253998</v>
      </c>
      <c r="H1392">
        <v>0.73978640295309395</v>
      </c>
      <c r="I1392">
        <v>0.81402735129148796</v>
      </c>
      <c r="J1392">
        <v>0.78813220742844503</v>
      </c>
      <c r="K1392">
        <v>0.66261695658958197</v>
      </c>
      <c r="L1392">
        <v>13275.7866772447</v>
      </c>
      <c r="M1392">
        <v>250</v>
      </c>
      <c r="O1392">
        <v>53.099749434917101</v>
      </c>
      <c r="P1392">
        <v>-0.29042786092064399</v>
      </c>
      <c r="Q1392">
        <v>0.75325365851821502</v>
      </c>
      <c r="R1392">
        <v>0.89452559226727402</v>
      </c>
      <c r="S1392" t="s">
        <v>8009</v>
      </c>
      <c r="T1392" t="s">
        <v>13232</v>
      </c>
      <c r="U1392" t="s">
        <v>13232</v>
      </c>
      <c r="V1392" t="s">
        <v>13232</v>
      </c>
      <c r="W1392" t="s">
        <v>14586</v>
      </c>
      <c r="X1392">
        <v>19</v>
      </c>
      <c r="Y1392" t="s">
        <v>21104</v>
      </c>
      <c r="Z1392" t="s">
        <v>27523</v>
      </c>
      <c r="AA1392">
        <v>0.86104843783652696</v>
      </c>
      <c r="AB1392" t="str">
        <f>HYPERLINK("Melting_Curves/meltCurve_O75170_2_PPP6R2.pdf", "Melting_Curves/meltCurve_O75170_2_PPP6R2.pdf")</f>
        <v>Melting_Curves/meltCurve_O75170_2_PPP6R2.pdf</v>
      </c>
    </row>
    <row r="1393" spans="1:28" x14ac:dyDescent="0.25">
      <c r="A1393" t="s">
        <v>1397</v>
      </c>
      <c r="B1393">
        <v>0.99930955844802105</v>
      </c>
      <c r="C1393">
        <v>0.982653762983978</v>
      </c>
      <c r="D1393">
        <v>0.92121539585506196</v>
      </c>
      <c r="E1393">
        <v>0.93747933628129998</v>
      </c>
      <c r="F1393">
        <v>0.84551496051629305</v>
      </c>
      <c r="G1393">
        <v>0.66630061594569701</v>
      </c>
      <c r="H1393">
        <v>0.59410452241602196</v>
      </c>
      <c r="I1393">
        <v>0.59221706466243096</v>
      </c>
      <c r="J1393">
        <v>0.57306411875470797</v>
      </c>
      <c r="K1393">
        <v>0.454536454105747</v>
      </c>
      <c r="L1393">
        <v>679.95402221999905</v>
      </c>
      <c r="M1393">
        <v>12.0852562511197</v>
      </c>
      <c r="O1393">
        <v>54.789044928364099</v>
      </c>
      <c r="P1393">
        <v>-2.99421391338166E-2</v>
      </c>
      <c r="Q1393">
        <v>0.457151262774734</v>
      </c>
      <c r="R1393">
        <v>0.96883519608876201</v>
      </c>
      <c r="S1393" t="s">
        <v>8010</v>
      </c>
      <c r="T1393" t="s">
        <v>13232</v>
      </c>
      <c r="U1393" t="s">
        <v>13232</v>
      </c>
      <c r="V1393" t="s">
        <v>13232</v>
      </c>
      <c r="W1393" t="s">
        <v>14587</v>
      </c>
      <c r="X1393">
        <v>19</v>
      </c>
      <c r="Y1393" t="s">
        <v>21105</v>
      </c>
      <c r="Z1393" t="s">
        <v>27524</v>
      </c>
      <c r="AA1393">
        <v>0.76199458415417831</v>
      </c>
      <c r="AB1393" t="str">
        <f>HYPERLINK("Melting_Curves/meltCurve_O75175_CNOT3.pdf", "Melting_Curves/meltCurve_O75175_CNOT3.pdf")</f>
        <v>Melting_Curves/meltCurve_O75175_CNOT3.pdf</v>
      </c>
    </row>
    <row r="1394" spans="1:28" x14ac:dyDescent="0.25">
      <c r="A1394" t="s">
        <v>1398</v>
      </c>
      <c r="B1394">
        <v>0.99930955844802105</v>
      </c>
      <c r="C1394">
        <v>1.13346692713749</v>
      </c>
      <c r="D1394">
        <v>0.91184890794997298</v>
      </c>
      <c r="E1394">
        <v>1.1534351520471</v>
      </c>
      <c r="F1394">
        <v>1.2392786961022799</v>
      </c>
      <c r="G1394">
        <v>1.3232602871936701</v>
      </c>
      <c r="H1394">
        <v>1.8622227236162501</v>
      </c>
      <c r="I1394">
        <v>1.98384656056407</v>
      </c>
      <c r="J1394">
        <v>2.1695437984428501</v>
      </c>
      <c r="K1394">
        <v>1.60634417352686</v>
      </c>
      <c r="L1394">
        <v>1648.8556161603101</v>
      </c>
      <c r="M1394">
        <v>31.239382192017199</v>
      </c>
      <c r="O1394">
        <v>52.566440211238898</v>
      </c>
      <c r="P1394">
        <v>7.4285882872619904E-2</v>
      </c>
      <c r="Q1394">
        <v>1.5</v>
      </c>
      <c r="R1394">
        <v>0.49118495005688501</v>
      </c>
      <c r="S1394" t="s">
        <v>8011</v>
      </c>
      <c r="T1394" t="s">
        <v>13232</v>
      </c>
      <c r="U1394" t="s">
        <v>13232</v>
      </c>
      <c r="V1394" t="s">
        <v>13232</v>
      </c>
      <c r="W1394" t="s">
        <v>14588</v>
      </c>
      <c r="X1394">
        <v>3</v>
      </c>
      <c r="Y1394" t="s">
        <v>21106</v>
      </c>
      <c r="Z1394" t="s">
        <v>27525</v>
      </c>
      <c r="AA1394">
        <v>1.283993462587895</v>
      </c>
      <c r="AB1394" t="str">
        <f>HYPERLINK("Melting_Curves/meltCurve_O75177_SS18L1.pdf", "Melting_Curves/meltCurve_O75177_SS18L1.pdf")</f>
        <v>Melting_Curves/meltCurve_O75177_SS18L1.pdf</v>
      </c>
    </row>
    <row r="1395" spans="1:28" x14ac:dyDescent="0.25">
      <c r="A1395" t="s">
        <v>1399</v>
      </c>
      <c r="B1395">
        <v>0.99930955844802105</v>
      </c>
      <c r="C1395">
        <v>0.84050354034411701</v>
      </c>
      <c r="D1395">
        <v>0.64135691020957597</v>
      </c>
      <c r="E1395">
        <v>0.50155217033694299</v>
      </c>
      <c r="F1395">
        <v>0.32346506449478002</v>
      </c>
      <c r="G1395">
        <v>0.212785210995314</v>
      </c>
      <c r="H1395">
        <v>0.138847470538183</v>
      </c>
      <c r="I1395">
        <v>0.12122245218244</v>
      </c>
      <c r="J1395">
        <v>0.104762329317149</v>
      </c>
      <c r="K1395">
        <v>9.2748290173548506E-2</v>
      </c>
      <c r="L1395">
        <v>581.28358788540299</v>
      </c>
      <c r="M1395">
        <v>11.9297012611091</v>
      </c>
      <c r="N1395">
        <v>49.347229814024999</v>
      </c>
      <c r="O1395">
        <v>47.417132367381598</v>
      </c>
      <c r="P1395">
        <v>-5.8524890136540102E-2</v>
      </c>
      <c r="Q1395">
        <v>6.9750973007047301E-2</v>
      </c>
      <c r="R1395">
        <v>0.99176418056591098</v>
      </c>
      <c r="S1395" t="s">
        <v>8012</v>
      </c>
      <c r="T1395" t="s">
        <v>13232</v>
      </c>
      <c r="U1395" t="s">
        <v>13232</v>
      </c>
      <c r="V1395" t="s">
        <v>13232</v>
      </c>
      <c r="W1395" t="s">
        <v>14589</v>
      </c>
      <c r="X1395">
        <v>6</v>
      </c>
      <c r="Y1395" t="s">
        <v>21107</v>
      </c>
      <c r="Z1395" t="s">
        <v>27526</v>
      </c>
      <c r="AA1395">
        <v>0.37542449290644597</v>
      </c>
      <c r="AB1395" t="str">
        <f>HYPERLINK("Melting_Curves/meltCurve_O75182_2_SIN3B.pdf", "Melting_Curves/meltCurve_O75182_2_SIN3B.pdf")</f>
        <v>Melting_Curves/meltCurve_O75182_2_SIN3B.pdf</v>
      </c>
    </row>
    <row r="1396" spans="1:28" x14ac:dyDescent="0.25">
      <c r="A1396" t="s">
        <v>1400</v>
      </c>
      <c r="B1396">
        <v>0.99930955844802105</v>
      </c>
      <c r="C1396">
        <v>0.99260526766177304</v>
      </c>
      <c r="D1396">
        <v>1.0542674067681299</v>
      </c>
      <c r="E1396">
        <v>0.95114957263783395</v>
      </c>
      <c r="F1396">
        <v>0.88114017997256999</v>
      </c>
      <c r="G1396">
        <v>0.79044832865796799</v>
      </c>
      <c r="H1396">
        <v>0.65677433604451596</v>
      </c>
      <c r="I1396">
        <v>0.58534970562173405</v>
      </c>
      <c r="J1396">
        <v>0.586485979315022</v>
      </c>
      <c r="K1396">
        <v>0.49143762398201701</v>
      </c>
      <c r="L1396">
        <v>815.19721736201404</v>
      </c>
      <c r="M1396">
        <v>13.9286437091969</v>
      </c>
      <c r="O1396">
        <v>57.359873035020698</v>
      </c>
      <c r="P1396">
        <v>-3.2207789200891297E-2</v>
      </c>
      <c r="Q1396">
        <v>0.469528995816482</v>
      </c>
      <c r="R1396">
        <v>0.98117950461879</v>
      </c>
      <c r="S1396" t="s">
        <v>8013</v>
      </c>
      <c r="T1396" t="s">
        <v>13232</v>
      </c>
      <c r="U1396" t="s">
        <v>13232</v>
      </c>
      <c r="V1396" t="s">
        <v>13232</v>
      </c>
      <c r="W1396" t="s">
        <v>14590</v>
      </c>
      <c r="X1396">
        <v>4</v>
      </c>
      <c r="Y1396" t="s">
        <v>21108</v>
      </c>
      <c r="Z1396" t="s">
        <v>27527</v>
      </c>
      <c r="AA1396">
        <v>0.80333698775624396</v>
      </c>
      <c r="AB1396" t="str">
        <f>HYPERLINK("Melting_Curves/meltCurve_O75190_DNAJB6.pdf", "Melting_Curves/meltCurve_O75190_DNAJB6.pdf")</f>
        <v>Melting_Curves/meltCurve_O75190_DNAJB6.pdf</v>
      </c>
    </row>
    <row r="1397" spans="1:28" x14ac:dyDescent="0.25">
      <c r="A1397" t="s">
        <v>1401</v>
      </c>
      <c r="B1397">
        <v>0.99930955844802105</v>
      </c>
      <c r="C1397">
        <v>1.04666441933237</v>
      </c>
      <c r="D1397">
        <v>0.75139579292426795</v>
      </c>
      <c r="E1397">
        <v>0.29624567716144601</v>
      </c>
      <c r="F1397">
        <v>0.17827349339075199</v>
      </c>
      <c r="G1397">
        <v>0.129170275492549</v>
      </c>
      <c r="H1397">
        <v>8.1191338946712696E-2</v>
      </c>
      <c r="I1397">
        <v>7.4389673514173499E-2</v>
      </c>
      <c r="J1397">
        <v>6.6931837259435301E-2</v>
      </c>
      <c r="K1397">
        <v>5.5065170111332003E-2</v>
      </c>
      <c r="L1397">
        <v>1302.8458953350801</v>
      </c>
      <c r="M1397">
        <v>27.200798539565099</v>
      </c>
      <c r="N1397">
        <v>48.217465528117103</v>
      </c>
      <c r="O1397">
        <v>47.640701690820897</v>
      </c>
      <c r="P1397">
        <v>-0.130948612885947</v>
      </c>
      <c r="Q1397">
        <v>8.2611624749900997E-2</v>
      </c>
      <c r="R1397">
        <v>0.99242331378388404</v>
      </c>
      <c r="S1397" t="s">
        <v>8014</v>
      </c>
      <c r="T1397" t="s">
        <v>13232</v>
      </c>
      <c r="U1397" t="s">
        <v>13232</v>
      </c>
      <c r="V1397" t="s">
        <v>13232</v>
      </c>
      <c r="W1397" t="s">
        <v>14591</v>
      </c>
      <c r="X1397">
        <v>13</v>
      </c>
      <c r="Y1397" t="s">
        <v>21109</v>
      </c>
      <c r="Z1397" t="s">
        <v>27528</v>
      </c>
      <c r="AA1397">
        <v>0.33088937781602012</v>
      </c>
      <c r="AB1397" t="str">
        <f>HYPERLINK("Melting_Curves/meltCurve_O75191_XYLB.pdf", "Melting_Curves/meltCurve_O75191_XYLB.pdf")</f>
        <v>Melting_Curves/meltCurve_O75191_XYLB.pdf</v>
      </c>
    </row>
    <row r="1398" spans="1:28" x14ac:dyDescent="0.25">
      <c r="A1398" t="s">
        <v>1402</v>
      </c>
      <c r="B1398">
        <v>0.99930955844802105</v>
      </c>
      <c r="C1398">
        <v>1.0778333258822701</v>
      </c>
      <c r="D1398">
        <v>1.1089129886887901</v>
      </c>
      <c r="E1398">
        <v>1.0426841344001001</v>
      </c>
      <c r="F1398">
        <v>0.972874345631208</v>
      </c>
      <c r="G1398">
        <v>0.65602649746505703</v>
      </c>
      <c r="H1398">
        <v>0.142388744836454</v>
      </c>
      <c r="I1398">
        <v>0.101162926931049</v>
      </c>
      <c r="J1398">
        <v>7.8274142159017901E-2</v>
      </c>
      <c r="K1398">
        <v>5.9830795827775902E-2</v>
      </c>
      <c r="L1398">
        <v>2571.6313883142602</v>
      </c>
      <c r="M1398">
        <v>44.596722880299303</v>
      </c>
      <c r="N1398">
        <v>57.870999469769501</v>
      </c>
      <c r="O1398">
        <v>57.5485471605881</v>
      </c>
      <c r="P1398">
        <v>-0.17946124536889199</v>
      </c>
      <c r="Q1398">
        <v>7.3679014382781099E-2</v>
      </c>
      <c r="R1398">
        <v>0.989793204182287</v>
      </c>
      <c r="S1398" t="s">
        <v>8015</v>
      </c>
      <c r="T1398" t="s">
        <v>13232</v>
      </c>
      <c r="U1398" t="s">
        <v>13232</v>
      </c>
      <c r="V1398" t="s">
        <v>13232</v>
      </c>
      <c r="W1398" t="s">
        <v>14592</v>
      </c>
      <c r="X1398">
        <v>17</v>
      </c>
      <c r="Y1398" t="s">
        <v>21110</v>
      </c>
      <c r="Z1398" t="s">
        <v>27529</v>
      </c>
      <c r="AA1398">
        <v>0.62204288726603063</v>
      </c>
      <c r="AB1398" t="str">
        <f>HYPERLINK("Melting_Curves/meltCurve_O75223_GGCT.pdf", "Melting_Curves/meltCurve_O75223_GGCT.pdf")</f>
        <v>Melting_Curves/meltCurve_O75223_GGCT.pdf</v>
      </c>
    </row>
    <row r="1399" spans="1:28" x14ac:dyDescent="0.25">
      <c r="A1399" t="s">
        <v>1403</v>
      </c>
      <c r="B1399">
        <v>0.99930955844802105</v>
      </c>
      <c r="C1399">
        <v>0.69289126751736396</v>
      </c>
      <c r="D1399">
        <v>0.80411267294877098</v>
      </c>
      <c r="E1399">
        <v>0.83116336800131596</v>
      </c>
      <c r="F1399">
        <v>0.69792130768323402</v>
      </c>
      <c r="G1399">
        <v>0.238008742332871</v>
      </c>
      <c r="H1399">
        <v>3.75766748979234E-2</v>
      </c>
      <c r="I1399">
        <v>1.9813541781153798E-2</v>
      </c>
      <c r="J1399">
        <v>1.32805793270545E-2</v>
      </c>
      <c r="K1399">
        <v>1.0342683785899099E-2</v>
      </c>
      <c r="L1399">
        <v>1142.92615105956</v>
      </c>
      <c r="M1399">
        <v>21.0717281787683</v>
      </c>
      <c r="N1399">
        <v>54.239791928324799</v>
      </c>
      <c r="O1399">
        <v>53.758383346563697</v>
      </c>
      <c r="P1399">
        <v>-9.7995361424516605E-2</v>
      </c>
      <c r="Q1399">
        <v>0</v>
      </c>
      <c r="R1399">
        <v>0.91024663750396395</v>
      </c>
      <c r="S1399" t="s">
        <v>8016</v>
      </c>
      <c r="T1399" t="s">
        <v>13232</v>
      </c>
      <c r="U1399" t="s">
        <v>13232</v>
      </c>
      <c r="V1399" t="s">
        <v>13232</v>
      </c>
      <c r="W1399" t="s">
        <v>14593</v>
      </c>
      <c r="X1399">
        <v>2</v>
      </c>
      <c r="Y1399" t="s">
        <v>21111</v>
      </c>
      <c r="Z1399" t="s">
        <v>27530</v>
      </c>
      <c r="AA1399">
        <v>0.48710231965283118</v>
      </c>
      <c r="AB1399" t="str">
        <f>HYPERLINK("Melting_Curves/meltCurve_O75306_2_NDUFS2.pdf", "Melting_Curves/meltCurve_O75306_2_NDUFS2.pdf")</f>
        <v>Melting_Curves/meltCurve_O75306_2_NDUFS2.pdf</v>
      </c>
    </row>
    <row r="1400" spans="1:28" x14ac:dyDescent="0.25">
      <c r="A1400" t="s">
        <v>1404</v>
      </c>
      <c r="B1400">
        <v>0.99930955844802105</v>
      </c>
      <c r="C1400">
        <v>1.0709464731577301</v>
      </c>
      <c r="D1400">
        <v>1.04385953863258</v>
      </c>
      <c r="E1400">
        <v>0.95480362948955599</v>
      </c>
      <c r="F1400">
        <v>0.53384754245229404</v>
      </c>
      <c r="G1400">
        <v>0.30941029471709902</v>
      </c>
      <c r="H1400">
        <v>0.16548686403832499</v>
      </c>
      <c r="I1400">
        <v>0.140570255967508</v>
      </c>
      <c r="J1400">
        <v>0.12951556941110701</v>
      </c>
      <c r="K1400">
        <v>0.10510014433704599</v>
      </c>
      <c r="L1400">
        <v>1601.6930553673301</v>
      </c>
      <c r="M1400">
        <v>30.108126955007599</v>
      </c>
      <c r="N1400">
        <v>53.779666740239598</v>
      </c>
      <c r="O1400">
        <v>52.965002122679103</v>
      </c>
      <c r="P1400">
        <v>-0.12236519995949401</v>
      </c>
      <c r="Q1400">
        <v>0.13896584473430701</v>
      </c>
      <c r="R1400">
        <v>0.98674178440931903</v>
      </c>
      <c r="S1400" t="s">
        <v>8017</v>
      </c>
      <c r="T1400" t="s">
        <v>13232</v>
      </c>
      <c r="U1400" t="s">
        <v>13232</v>
      </c>
      <c r="V1400" t="s">
        <v>13232</v>
      </c>
      <c r="W1400" t="s">
        <v>14594</v>
      </c>
      <c r="X1400">
        <v>23</v>
      </c>
      <c r="Y1400" t="s">
        <v>21112</v>
      </c>
      <c r="Z1400" t="s">
        <v>27531</v>
      </c>
      <c r="AA1400">
        <v>0.52332419740200065</v>
      </c>
      <c r="AB1400" t="str">
        <f>HYPERLINK("Melting_Curves/meltCurve_O75312_ZNF259.pdf", "Melting_Curves/meltCurve_O75312_ZNF259.pdf")</f>
        <v>Melting_Curves/meltCurve_O75312_ZNF259.pdf</v>
      </c>
    </row>
    <row r="1401" spans="1:28" x14ac:dyDescent="0.25">
      <c r="A1401" t="s">
        <v>1405</v>
      </c>
      <c r="B1401">
        <v>0.99930955844802105</v>
      </c>
      <c r="C1401">
        <v>0.85483638618146496</v>
      </c>
      <c r="D1401">
        <v>0.85302462571447402</v>
      </c>
      <c r="E1401">
        <v>0.52922912307228898</v>
      </c>
      <c r="F1401">
        <v>0.32288833675235301</v>
      </c>
      <c r="G1401">
        <v>0.23863145903229599</v>
      </c>
      <c r="H1401">
        <v>0.134766749904355</v>
      </c>
      <c r="I1401">
        <v>0.11086909600377701</v>
      </c>
      <c r="J1401">
        <v>0.10482830151974699</v>
      </c>
      <c r="K1401">
        <v>5.9831186504980198E-2</v>
      </c>
      <c r="L1401">
        <v>726.76902530331404</v>
      </c>
      <c r="M1401">
        <v>14.523609023637301</v>
      </c>
      <c r="N1401">
        <v>50.565693599765602</v>
      </c>
      <c r="O1401">
        <v>49.120550113366903</v>
      </c>
      <c r="P1401">
        <v>-6.8751267651566098E-2</v>
      </c>
      <c r="Q1401">
        <v>7.0007410300386499E-2</v>
      </c>
      <c r="R1401">
        <v>0.99018457744550903</v>
      </c>
      <c r="S1401" t="s">
        <v>8018</v>
      </c>
      <c r="T1401" t="s">
        <v>13232</v>
      </c>
      <c r="U1401" t="s">
        <v>13232</v>
      </c>
      <c r="V1401" t="s">
        <v>13232</v>
      </c>
      <c r="W1401" t="s">
        <v>14595</v>
      </c>
      <c r="X1401">
        <v>3</v>
      </c>
      <c r="Y1401" t="s">
        <v>21113</v>
      </c>
      <c r="Z1401" t="s">
        <v>27532</v>
      </c>
      <c r="AA1401">
        <v>0.4046984058844148</v>
      </c>
      <c r="AB1401" t="str">
        <f>HYPERLINK("Melting_Curves/meltCurve_O75319_DUSP11.pdf", "Melting_Curves/meltCurve_O75319_DUSP11.pdf")</f>
        <v>Melting_Curves/meltCurve_O75319_DUSP11.pdf</v>
      </c>
    </row>
    <row r="1402" spans="1:28" x14ac:dyDescent="0.25">
      <c r="A1402" t="s">
        <v>1406</v>
      </c>
      <c r="B1402">
        <v>0.99930955844802105</v>
      </c>
      <c r="C1402">
        <v>0.90207320913097</v>
      </c>
      <c r="D1402">
        <v>0.93835955373594904</v>
      </c>
      <c r="E1402">
        <v>0.859689148276089</v>
      </c>
      <c r="F1402">
        <v>0.78851079023977</v>
      </c>
      <c r="G1402">
        <v>0.202096916032627</v>
      </c>
      <c r="H1402">
        <v>9.85604293811808E-2</v>
      </c>
      <c r="I1402">
        <v>6.6772353338307694E-2</v>
      </c>
      <c r="J1402">
        <v>5.0523898629520697E-2</v>
      </c>
      <c r="K1402">
        <v>3.6595757240900001E-2</v>
      </c>
      <c r="L1402">
        <v>1820.2979701490699</v>
      </c>
      <c r="M1402">
        <v>33.347836823750299</v>
      </c>
      <c r="N1402">
        <v>54.754075583754499</v>
      </c>
      <c r="O1402">
        <v>54.390002084496103</v>
      </c>
      <c r="P1402">
        <v>-0.14579030040211799</v>
      </c>
      <c r="Q1402">
        <v>4.8873391087775699E-2</v>
      </c>
      <c r="R1402">
        <v>0.984107143349223</v>
      </c>
      <c r="S1402" t="s">
        <v>8019</v>
      </c>
      <c r="T1402" t="s">
        <v>13232</v>
      </c>
      <c r="U1402" t="s">
        <v>13232</v>
      </c>
      <c r="V1402" t="s">
        <v>13232</v>
      </c>
      <c r="W1402" t="s">
        <v>14596</v>
      </c>
      <c r="X1402">
        <v>10</v>
      </c>
      <c r="Y1402" t="s">
        <v>21114</v>
      </c>
      <c r="Z1402" t="s">
        <v>27533</v>
      </c>
      <c r="AA1402">
        <v>0.51641064968045602</v>
      </c>
      <c r="AB1402" t="str">
        <f>HYPERLINK("Melting_Curves/meltCurve_O75323_GBAS.pdf", "Melting_Curves/meltCurve_O75323_GBAS.pdf")</f>
        <v>Melting_Curves/meltCurve_O75323_GBAS.pdf</v>
      </c>
    </row>
    <row r="1403" spans="1:28" x14ac:dyDescent="0.25">
      <c r="A1403" t="s">
        <v>1407</v>
      </c>
      <c r="B1403">
        <v>0.99930955844802105</v>
      </c>
      <c r="C1403">
        <v>1.07787086794658</v>
      </c>
      <c r="D1403">
        <v>0.99745779046442995</v>
      </c>
      <c r="E1403">
        <v>0.82166215191576197</v>
      </c>
      <c r="F1403">
        <v>0.58726504005082802</v>
      </c>
      <c r="G1403">
        <v>0.44267921021539902</v>
      </c>
      <c r="H1403">
        <v>0.33233575393650799</v>
      </c>
      <c r="I1403">
        <v>0.32219164219622898</v>
      </c>
      <c r="J1403">
        <v>0.29910850293015501</v>
      </c>
      <c r="K1403">
        <v>0.26041661617837403</v>
      </c>
      <c r="L1403">
        <v>1106.1539962944801</v>
      </c>
      <c r="M1403">
        <v>21.0344298195213</v>
      </c>
      <c r="N1403">
        <v>54.865509346957097</v>
      </c>
      <c r="O1403">
        <v>52.119412897940698</v>
      </c>
      <c r="P1403">
        <v>-7.1516402866865503E-2</v>
      </c>
      <c r="Q1403">
        <v>0.29120163584205599</v>
      </c>
      <c r="R1403">
        <v>0.98815497657492402</v>
      </c>
      <c r="S1403" t="s">
        <v>8020</v>
      </c>
      <c r="T1403" t="s">
        <v>13232</v>
      </c>
      <c r="U1403" t="s">
        <v>13232</v>
      </c>
      <c r="V1403" t="s">
        <v>13232</v>
      </c>
      <c r="W1403" t="s">
        <v>14597</v>
      </c>
      <c r="X1403">
        <v>29</v>
      </c>
      <c r="Y1403" t="s">
        <v>21115</v>
      </c>
      <c r="Z1403" t="s">
        <v>27534</v>
      </c>
      <c r="AA1403">
        <v>0.59755472629439055</v>
      </c>
      <c r="AB1403" t="str">
        <f>HYPERLINK("Melting_Curves/meltCurve_O75330_2_HMMR.pdf", "Melting_Curves/meltCurve_O75330_2_HMMR.pdf")</f>
        <v>Melting_Curves/meltCurve_O75330_2_HMMR.pdf</v>
      </c>
    </row>
    <row r="1404" spans="1:28" x14ac:dyDescent="0.25">
      <c r="A1404" t="s">
        <v>1408</v>
      </c>
      <c r="B1404">
        <v>0.99930955844802105</v>
      </c>
      <c r="C1404">
        <v>1.0055108842592499</v>
      </c>
      <c r="D1404">
        <v>1.0004038247710401</v>
      </c>
      <c r="E1404">
        <v>0.92937086265973501</v>
      </c>
      <c r="F1404">
        <v>0.750004384832196</v>
      </c>
      <c r="G1404">
        <v>0.356918976279262</v>
      </c>
      <c r="H1404">
        <v>0.13436927876313501</v>
      </c>
      <c r="I1404">
        <v>8.8232155236956294E-2</v>
      </c>
      <c r="J1404">
        <v>6.3905179188821506E-2</v>
      </c>
      <c r="K1404">
        <v>4.5381815872336001E-2</v>
      </c>
      <c r="L1404">
        <v>1330.2980930097201</v>
      </c>
      <c r="M1404">
        <v>24.0666047366926</v>
      </c>
      <c r="N1404">
        <v>55.502170027821499</v>
      </c>
      <c r="O1404">
        <v>54.898279605418999</v>
      </c>
      <c r="P1404">
        <v>-0.10447175759555501</v>
      </c>
      <c r="Q1404">
        <v>4.6773611268495302E-2</v>
      </c>
      <c r="R1404">
        <v>0.999869675835523</v>
      </c>
      <c r="S1404" t="s">
        <v>8021</v>
      </c>
      <c r="T1404" t="s">
        <v>13232</v>
      </c>
      <c r="U1404" t="s">
        <v>13232</v>
      </c>
      <c r="V1404" t="s">
        <v>13232</v>
      </c>
      <c r="W1404" t="s">
        <v>14598</v>
      </c>
      <c r="X1404">
        <v>13</v>
      </c>
      <c r="Y1404" t="s">
        <v>21116</v>
      </c>
      <c r="Z1404" t="s">
        <v>27535</v>
      </c>
      <c r="AA1404">
        <v>0.54154619267385262</v>
      </c>
      <c r="AB1404" t="str">
        <f>HYPERLINK("Melting_Curves/meltCurve_O75340_PDCD6.pdf", "Melting_Curves/meltCurve_O75340_PDCD6.pdf")</f>
        <v>Melting_Curves/meltCurve_O75340_PDCD6.pdf</v>
      </c>
    </row>
    <row r="1405" spans="1:28" x14ac:dyDescent="0.25">
      <c r="A1405" t="s">
        <v>1409</v>
      </c>
      <c r="B1405">
        <v>0.99930955844802105</v>
      </c>
      <c r="C1405">
        <v>1.1259373788826601</v>
      </c>
      <c r="D1405">
        <v>1.1628951504241301</v>
      </c>
      <c r="E1405">
        <v>1.1645065515670701</v>
      </c>
      <c r="F1405">
        <v>1.0776269442770501</v>
      </c>
      <c r="G1405">
        <v>1.08267477425008</v>
      </c>
      <c r="H1405">
        <v>1.1801107233980499</v>
      </c>
      <c r="I1405">
        <v>1.2684374915450101</v>
      </c>
      <c r="J1405">
        <v>1.3244728906427301</v>
      </c>
      <c r="K1405">
        <v>1.0404415425945699</v>
      </c>
      <c r="L1405">
        <v>10672.1138779305</v>
      </c>
      <c r="M1405">
        <v>250</v>
      </c>
      <c r="O1405">
        <v>42.6857280939061</v>
      </c>
      <c r="P1405">
        <v>0.238144236646955</v>
      </c>
      <c r="Q1405">
        <v>1.1626457453443899</v>
      </c>
      <c r="R1405">
        <v>0.26613352034029603</v>
      </c>
      <c r="S1405" t="s">
        <v>8022</v>
      </c>
      <c r="T1405" t="s">
        <v>13232</v>
      </c>
      <c r="U1405" t="s">
        <v>13232</v>
      </c>
      <c r="V1405" t="s">
        <v>13232</v>
      </c>
      <c r="W1405" t="s">
        <v>14599</v>
      </c>
      <c r="X1405">
        <v>18</v>
      </c>
      <c r="Y1405" t="s">
        <v>21117</v>
      </c>
      <c r="Z1405" t="s">
        <v>27536</v>
      </c>
      <c r="AA1405">
        <v>1.148058031927903</v>
      </c>
      <c r="AB1405" t="str">
        <f>HYPERLINK("Melting_Curves/meltCurve_O75347_TBCA.pdf", "Melting_Curves/meltCurve_O75347_TBCA.pdf")</f>
        <v>Melting_Curves/meltCurve_O75347_TBCA.pdf</v>
      </c>
    </row>
    <row r="1406" spans="1:28" x14ac:dyDescent="0.25">
      <c r="A1406" t="s">
        <v>1410</v>
      </c>
      <c r="B1406">
        <v>0.99930955844802105</v>
      </c>
      <c r="C1406">
        <v>0.92534075116507597</v>
      </c>
      <c r="D1406">
        <v>0.870538287070584</v>
      </c>
      <c r="E1406">
        <v>0.773277286168917</v>
      </c>
      <c r="F1406">
        <v>0.69026373755206205</v>
      </c>
      <c r="G1406">
        <v>0.34831751766031299</v>
      </c>
      <c r="H1406">
        <v>0.26941956105070702</v>
      </c>
      <c r="I1406">
        <v>0.25938819419180398</v>
      </c>
      <c r="J1406">
        <v>0.26101253324261497</v>
      </c>
      <c r="K1406">
        <v>0.215495758366817</v>
      </c>
      <c r="L1406">
        <v>765.08889963570903</v>
      </c>
      <c r="M1406">
        <v>14.363232368360899</v>
      </c>
      <c r="N1406">
        <v>55.058213327541502</v>
      </c>
      <c r="O1406">
        <v>52.266563206591499</v>
      </c>
      <c r="P1406">
        <v>-5.5886581388054198E-2</v>
      </c>
      <c r="Q1406">
        <v>0.186631592339494</v>
      </c>
      <c r="R1406">
        <v>0.979505919081604</v>
      </c>
      <c r="S1406" t="s">
        <v>8023</v>
      </c>
      <c r="T1406" t="s">
        <v>13232</v>
      </c>
      <c r="U1406" t="s">
        <v>13232</v>
      </c>
      <c r="V1406" t="s">
        <v>13232</v>
      </c>
      <c r="W1406" t="s">
        <v>14600</v>
      </c>
      <c r="X1406">
        <v>6</v>
      </c>
      <c r="Y1406" t="s">
        <v>21118</v>
      </c>
      <c r="Z1406" t="s">
        <v>27537</v>
      </c>
      <c r="AA1406">
        <v>0.56465957533200684</v>
      </c>
      <c r="AB1406" t="str">
        <f>HYPERLINK("Melting_Curves/meltCurve_O75348_ATP6V1G1.pdf", "Melting_Curves/meltCurve_O75348_ATP6V1G1.pdf")</f>
        <v>Melting_Curves/meltCurve_O75348_ATP6V1G1.pdf</v>
      </c>
    </row>
    <row r="1407" spans="1:28" x14ac:dyDescent="0.25">
      <c r="A1407" t="s">
        <v>1411</v>
      </c>
      <c r="B1407">
        <v>0.99930955844802105</v>
      </c>
      <c r="C1407">
        <v>0.89959101847748102</v>
      </c>
      <c r="D1407">
        <v>0.58802835837053102</v>
      </c>
      <c r="E1407">
        <v>0.26322406538670501</v>
      </c>
      <c r="F1407">
        <v>0.161406202557</v>
      </c>
      <c r="G1407">
        <v>0.118714373843941</v>
      </c>
      <c r="H1407">
        <v>7.4688391022837003E-2</v>
      </c>
      <c r="I1407">
        <v>6.8744515714090598E-2</v>
      </c>
      <c r="J1407">
        <v>6.0886787915059401E-2</v>
      </c>
      <c r="K1407">
        <v>4.6094565371328097E-2</v>
      </c>
      <c r="L1407">
        <v>972.96056231767602</v>
      </c>
      <c r="M1407">
        <v>20.813871099723301</v>
      </c>
      <c r="N1407">
        <v>47.083897855262997</v>
      </c>
      <c r="O1407">
        <v>46.320687389278802</v>
      </c>
      <c r="P1407">
        <v>-0.10454052989290299</v>
      </c>
      <c r="Q1407">
        <v>6.9417776497385397E-2</v>
      </c>
      <c r="R1407">
        <v>0.99690995926458204</v>
      </c>
      <c r="S1407" t="s">
        <v>8024</v>
      </c>
      <c r="T1407" t="s">
        <v>13232</v>
      </c>
      <c r="U1407" t="s">
        <v>13232</v>
      </c>
      <c r="V1407" t="s">
        <v>13232</v>
      </c>
      <c r="W1407" t="s">
        <v>14601</v>
      </c>
      <c r="X1407">
        <v>13</v>
      </c>
      <c r="Y1407" t="s">
        <v>21119</v>
      </c>
      <c r="Z1407" t="s">
        <v>27538</v>
      </c>
      <c r="AA1407">
        <v>0.29126691683283928</v>
      </c>
      <c r="AB1407" t="str">
        <f>HYPERLINK("Melting_Curves/meltCurve_O75351_VPS4B.pdf", "Melting_Curves/meltCurve_O75351_VPS4B.pdf")</f>
        <v>Melting_Curves/meltCurve_O75351_VPS4B.pdf</v>
      </c>
    </row>
    <row r="1408" spans="1:28" x14ac:dyDescent="0.25">
      <c r="A1408" t="s">
        <v>1412</v>
      </c>
      <c r="B1408">
        <v>0.99930955844802105</v>
      </c>
      <c r="C1408">
        <v>0.97892340443701897</v>
      </c>
      <c r="D1408">
        <v>0.88118881586080899</v>
      </c>
      <c r="E1408">
        <v>0.74067599363201397</v>
      </c>
      <c r="F1408">
        <v>0.28971103627275702</v>
      </c>
      <c r="G1408">
        <v>0.213414193054249</v>
      </c>
      <c r="H1408">
        <v>9.2794290368309898E-2</v>
      </c>
      <c r="I1408">
        <v>8.5608432571902496E-2</v>
      </c>
      <c r="J1408">
        <v>9.1379491057144699E-2</v>
      </c>
      <c r="K1408">
        <v>4.3619689716163403E-2</v>
      </c>
      <c r="L1408">
        <v>1257.56101831663</v>
      </c>
      <c r="M1408">
        <v>24.5359503200816</v>
      </c>
      <c r="N1408">
        <v>51.610319136207501</v>
      </c>
      <c r="O1408">
        <v>50.916987633182998</v>
      </c>
      <c r="P1408">
        <v>-0.111081232328034</v>
      </c>
      <c r="Q1408">
        <v>7.7950562932397202E-2</v>
      </c>
      <c r="R1408">
        <v>0.98697283123842205</v>
      </c>
      <c r="S1408" t="s">
        <v>8025</v>
      </c>
      <c r="T1408" t="s">
        <v>13232</v>
      </c>
      <c r="U1408" t="s">
        <v>13232</v>
      </c>
      <c r="V1408" t="s">
        <v>13232</v>
      </c>
      <c r="W1408" t="s">
        <v>14602</v>
      </c>
      <c r="X1408">
        <v>3</v>
      </c>
      <c r="Y1408" t="s">
        <v>21120</v>
      </c>
      <c r="Z1408" t="s">
        <v>27539</v>
      </c>
      <c r="AA1408">
        <v>0.43250044960267481</v>
      </c>
      <c r="AB1408" t="str">
        <f>HYPERLINK("Melting_Curves/meltCurve_O75356_ENTPD5.pdf", "Melting_Curves/meltCurve_O75356_ENTPD5.pdf")</f>
        <v>Melting_Curves/meltCurve_O75356_ENTPD5.pdf</v>
      </c>
    </row>
    <row r="1409" spans="1:28" x14ac:dyDescent="0.25">
      <c r="A1409" t="s">
        <v>1413</v>
      </c>
      <c r="B1409">
        <v>0.99930955844802105</v>
      </c>
      <c r="C1409">
        <v>1.0156132385455501</v>
      </c>
      <c r="D1409">
        <v>1.0279091101064</v>
      </c>
      <c r="E1409">
        <v>0.90039430636531903</v>
      </c>
      <c r="F1409">
        <v>0.78584570088416705</v>
      </c>
      <c r="G1409">
        <v>0.61481747453940105</v>
      </c>
      <c r="H1409">
        <v>0.50285594030076197</v>
      </c>
      <c r="I1409">
        <v>0.54143916108770196</v>
      </c>
      <c r="J1409">
        <v>0.48742026655249998</v>
      </c>
      <c r="K1409">
        <v>0.39540696767767503</v>
      </c>
      <c r="L1409">
        <v>974.73735936900596</v>
      </c>
      <c r="M1409">
        <v>17.884295551313301</v>
      </c>
      <c r="N1409">
        <v>62.231404183898199</v>
      </c>
      <c r="O1409">
        <v>53.834688768347803</v>
      </c>
      <c r="P1409">
        <v>-4.6033041690309098E-2</v>
      </c>
      <c r="Q1409">
        <v>0.44575976250638599</v>
      </c>
      <c r="R1409">
        <v>0.98042337737268703</v>
      </c>
      <c r="S1409" t="s">
        <v>8026</v>
      </c>
      <c r="T1409" t="s">
        <v>13232</v>
      </c>
      <c r="U1409" t="s">
        <v>13232</v>
      </c>
      <c r="V1409" t="s">
        <v>13232</v>
      </c>
      <c r="W1409" t="s">
        <v>14603</v>
      </c>
      <c r="X1409">
        <v>6</v>
      </c>
      <c r="Y1409" t="s">
        <v>21121</v>
      </c>
      <c r="Z1409" t="s">
        <v>27540</v>
      </c>
      <c r="AA1409">
        <v>0.72250006073160522</v>
      </c>
      <c r="AB1409" t="str">
        <f>HYPERLINK("Melting_Curves/meltCurve_O75362_ZNF217.pdf", "Melting_Curves/meltCurve_O75362_ZNF217.pdf")</f>
        <v>Melting_Curves/meltCurve_O75362_ZNF217.pdf</v>
      </c>
    </row>
    <row r="1410" spans="1:28" x14ac:dyDescent="0.25">
      <c r="A1410" t="s">
        <v>1414</v>
      </c>
      <c r="B1410">
        <v>0.99930955844802105</v>
      </c>
      <c r="C1410">
        <v>1.2953279243596401</v>
      </c>
      <c r="D1410">
        <v>1.3391889797800001</v>
      </c>
      <c r="E1410">
        <v>1.2093680974355301</v>
      </c>
      <c r="F1410">
        <v>1.0670239181807799</v>
      </c>
      <c r="G1410">
        <v>0.55853098010895297</v>
      </c>
      <c r="H1410">
        <v>0.188441962481709</v>
      </c>
      <c r="I1410">
        <v>0.11399993259800099</v>
      </c>
      <c r="J1410">
        <v>7.6216319206425104E-2</v>
      </c>
      <c r="K1410">
        <v>6.6730275770008798E-2</v>
      </c>
      <c r="L1410">
        <v>2963.0478771576099</v>
      </c>
      <c r="M1410">
        <v>51.8845143129764</v>
      </c>
      <c r="N1410">
        <v>57.357133914788399</v>
      </c>
      <c r="O1410">
        <v>57.023869558480499</v>
      </c>
      <c r="P1410">
        <v>-0.204562759613513</v>
      </c>
      <c r="Q1410">
        <v>0.100698724028746</v>
      </c>
      <c r="R1410">
        <v>0.90289361073328001</v>
      </c>
      <c r="S1410" t="s">
        <v>8027</v>
      </c>
      <c r="T1410" t="s">
        <v>13232</v>
      </c>
      <c r="U1410" t="s">
        <v>13232</v>
      </c>
      <c r="V1410" t="s">
        <v>13232</v>
      </c>
      <c r="W1410" t="s">
        <v>14604</v>
      </c>
      <c r="X1410">
        <v>8</v>
      </c>
      <c r="Y1410" t="s">
        <v>21122</v>
      </c>
      <c r="Z1410" t="s">
        <v>27541</v>
      </c>
      <c r="AA1410">
        <v>0.61565518580338485</v>
      </c>
      <c r="AB1410" t="str">
        <f>HYPERLINK("Melting_Curves/meltCurve_O75367_2_H2AFY.pdf", "Melting_Curves/meltCurve_O75367_2_H2AFY.pdf")</f>
        <v>Melting_Curves/meltCurve_O75367_2_H2AFY.pdf</v>
      </c>
    </row>
    <row r="1411" spans="1:28" x14ac:dyDescent="0.25">
      <c r="A1411" t="s">
        <v>1415</v>
      </c>
      <c r="B1411">
        <v>0.99930955844802105</v>
      </c>
      <c r="C1411">
        <v>1.12428408878988</v>
      </c>
      <c r="D1411">
        <v>1.17893686351041</v>
      </c>
      <c r="E1411">
        <v>1.1515151654759801</v>
      </c>
      <c r="F1411">
        <v>0.96554239680615905</v>
      </c>
      <c r="G1411">
        <v>0.81351685189030498</v>
      </c>
      <c r="H1411">
        <v>0.73374787914879602</v>
      </c>
      <c r="I1411">
        <v>0.71317795869079903</v>
      </c>
      <c r="J1411">
        <v>0.71646683020551005</v>
      </c>
      <c r="K1411">
        <v>0.59894405163884201</v>
      </c>
      <c r="L1411">
        <v>1857.9308241260401</v>
      </c>
      <c r="M1411">
        <v>32.694415231627701</v>
      </c>
      <c r="O1411">
        <v>56.615828348074302</v>
      </c>
      <c r="P1411">
        <v>-4.6586028506175201E-2</v>
      </c>
      <c r="Q1411">
        <v>0.67731561405688101</v>
      </c>
      <c r="R1411">
        <v>0.79751603269009297</v>
      </c>
      <c r="S1411" t="s">
        <v>8028</v>
      </c>
      <c r="T1411" t="s">
        <v>13232</v>
      </c>
      <c r="U1411" t="s">
        <v>13232</v>
      </c>
      <c r="V1411" t="s">
        <v>13232</v>
      </c>
      <c r="W1411" t="s">
        <v>14605</v>
      </c>
      <c r="X1411">
        <v>15</v>
      </c>
      <c r="Y1411" t="s">
        <v>21123</v>
      </c>
      <c r="Z1411" t="s">
        <v>27542</v>
      </c>
      <c r="AA1411">
        <v>0.86015188341260473</v>
      </c>
      <c r="AB1411" t="str">
        <f>HYPERLINK("Melting_Curves/meltCurve_O75368_SH3BGRL.pdf", "Melting_Curves/meltCurve_O75368_SH3BGRL.pdf")</f>
        <v>Melting_Curves/meltCurve_O75368_SH3BGRL.pdf</v>
      </c>
    </row>
    <row r="1412" spans="1:28" x14ac:dyDescent="0.25">
      <c r="A1412" t="s">
        <v>1416</v>
      </c>
      <c r="B1412">
        <v>0.99930955844802105</v>
      </c>
      <c r="C1412">
        <v>1.0439474235332</v>
      </c>
      <c r="D1412">
        <v>1.0269738745221</v>
      </c>
      <c r="E1412">
        <v>1.03367986472373</v>
      </c>
      <c r="F1412">
        <v>0.75624604439095</v>
      </c>
      <c r="G1412">
        <v>0.26654265837324997</v>
      </c>
      <c r="H1412">
        <v>0.13978101446771801</v>
      </c>
      <c r="I1412">
        <v>0.103894207353982</v>
      </c>
      <c r="J1412">
        <v>8.9826703605651995E-2</v>
      </c>
      <c r="K1412">
        <v>6.8416042394565293E-2</v>
      </c>
      <c r="L1412">
        <v>1964.45498453768</v>
      </c>
      <c r="M1412">
        <v>35.9538432068532</v>
      </c>
      <c r="N1412">
        <v>54.957006855819898</v>
      </c>
      <c r="O1412">
        <v>54.470045974130002</v>
      </c>
      <c r="P1412">
        <v>-0.14948629490854201</v>
      </c>
      <c r="Q1412">
        <v>9.4116388082274405E-2</v>
      </c>
      <c r="R1412">
        <v>0.99528180996997095</v>
      </c>
      <c r="S1412" t="s">
        <v>8029</v>
      </c>
      <c r="T1412" t="s">
        <v>13232</v>
      </c>
      <c r="U1412" t="s">
        <v>13232</v>
      </c>
      <c r="V1412" t="s">
        <v>13232</v>
      </c>
      <c r="W1412" t="s">
        <v>14606</v>
      </c>
      <c r="X1412">
        <v>155</v>
      </c>
      <c r="Y1412" t="s">
        <v>21124</v>
      </c>
      <c r="Z1412" t="s">
        <v>27543</v>
      </c>
      <c r="AA1412">
        <v>0.54034918206232352</v>
      </c>
      <c r="AB1412" t="str">
        <f>HYPERLINK("Melting_Curves/meltCurve_O75369_8_FLNB.pdf", "Melting_Curves/meltCurve_O75369_8_FLNB.pdf")</f>
        <v>Melting_Curves/meltCurve_O75369_8_FLNB.pdf</v>
      </c>
    </row>
    <row r="1413" spans="1:28" x14ac:dyDescent="0.25">
      <c r="A1413" t="s">
        <v>1417</v>
      </c>
      <c r="B1413">
        <v>0.99930955844802105</v>
      </c>
      <c r="C1413">
        <v>1.0493820816086401</v>
      </c>
      <c r="D1413">
        <v>1.0610762670493601</v>
      </c>
      <c r="E1413">
        <v>1.0269380808783499</v>
      </c>
      <c r="F1413">
        <v>0.98720208628636796</v>
      </c>
      <c r="G1413">
        <v>0.78971940338417002</v>
      </c>
      <c r="H1413">
        <v>0.65581066622283402</v>
      </c>
      <c r="I1413">
        <v>0.69216292401207602</v>
      </c>
      <c r="J1413">
        <v>0.68058453300110799</v>
      </c>
      <c r="K1413">
        <v>0.56203076324355705</v>
      </c>
      <c r="L1413">
        <v>2486.2146183933601</v>
      </c>
      <c r="M1413">
        <v>43.951989232244102</v>
      </c>
      <c r="O1413">
        <v>56.449874584765901</v>
      </c>
      <c r="P1413">
        <v>-6.9458584010044094E-2</v>
      </c>
      <c r="Q1413">
        <v>0.64316311076846</v>
      </c>
      <c r="R1413">
        <v>0.948746194549694</v>
      </c>
      <c r="S1413" t="s">
        <v>8030</v>
      </c>
      <c r="T1413" t="s">
        <v>13232</v>
      </c>
      <c r="U1413" t="s">
        <v>13232</v>
      </c>
      <c r="V1413" t="s">
        <v>13232</v>
      </c>
      <c r="W1413" t="s">
        <v>13349</v>
      </c>
      <c r="X1413">
        <v>62</v>
      </c>
      <c r="Y1413" t="s">
        <v>19886</v>
      </c>
      <c r="Z1413" t="s">
        <v>27544</v>
      </c>
      <c r="AA1413">
        <v>0.84136436718546315</v>
      </c>
      <c r="AB1413" t="str">
        <f>HYPERLINK("Melting_Curves/meltCurve_O75376_NCOR1.pdf", "Melting_Curves/meltCurve_O75376_NCOR1.pdf")</f>
        <v>Melting_Curves/meltCurve_O75376_NCOR1.pdf</v>
      </c>
    </row>
    <row r="1414" spans="1:28" x14ac:dyDescent="0.25">
      <c r="A1414" t="s">
        <v>1418</v>
      </c>
      <c r="B1414">
        <v>0.99930955844802105</v>
      </c>
      <c r="C1414">
        <v>0.89221718563783203</v>
      </c>
      <c r="D1414">
        <v>0.926611686464057</v>
      </c>
      <c r="E1414">
        <v>0.868526403098419</v>
      </c>
      <c r="F1414">
        <v>0.72184367145808803</v>
      </c>
      <c r="G1414">
        <v>0.67580796496781204</v>
      </c>
      <c r="H1414">
        <v>0.63784061140819504</v>
      </c>
      <c r="I1414">
        <v>0.71798356943267605</v>
      </c>
      <c r="J1414">
        <v>0.69989809683763904</v>
      </c>
      <c r="K1414">
        <v>0.57753552686694298</v>
      </c>
      <c r="L1414">
        <v>585.007387949541</v>
      </c>
      <c r="M1414">
        <v>11.645633393069</v>
      </c>
      <c r="O1414">
        <v>48.8213982206073</v>
      </c>
      <c r="P1414">
        <v>-2.2261330012765E-2</v>
      </c>
      <c r="Q1414">
        <v>0.62680089653276005</v>
      </c>
      <c r="R1414">
        <v>0.87985651174649404</v>
      </c>
      <c r="S1414" t="s">
        <v>8031</v>
      </c>
      <c r="T1414" t="s">
        <v>13232</v>
      </c>
      <c r="U1414" t="s">
        <v>13232</v>
      </c>
      <c r="V1414" t="s">
        <v>13232</v>
      </c>
      <c r="W1414" t="s">
        <v>14607</v>
      </c>
      <c r="X1414">
        <v>5</v>
      </c>
      <c r="Y1414" t="s">
        <v>21125</v>
      </c>
      <c r="Z1414" t="s">
        <v>27545</v>
      </c>
      <c r="AA1414">
        <v>0.76744665751744257</v>
      </c>
      <c r="AB1414" t="str">
        <f>HYPERLINK("Melting_Curves/meltCurve_O75380_NDUFS6.pdf", "Melting_Curves/meltCurve_O75380_NDUFS6.pdf")</f>
        <v>Melting_Curves/meltCurve_O75380_NDUFS6.pdf</v>
      </c>
    </row>
    <row r="1415" spans="1:28" x14ac:dyDescent="0.25">
      <c r="A1415" t="s">
        <v>1419</v>
      </c>
      <c r="B1415">
        <v>0.99930955844802105</v>
      </c>
      <c r="C1415">
        <v>1.0647112654362301</v>
      </c>
      <c r="D1415">
        <v>0.97773437573519395</v>
      </c>
      <c r="E1415">
        <v>0.869559705059329</v>
      </c>
      <c r="F1415">
        <v>0.81906952679491196</v>
      </c>
      <c r="G1415">
        <v>0.74782997811921703</v>
      </c>
      <c r="H1415">
        <v>0.71030838709850197</v>
      </c>
      <c r="I1415">
        <v>0.73901041441167603</v>
      </c>
      <c r="J1415">
        <v>0.78210582509286497</v>
      </c>
      <c r="K1415">
        <v>0.62059541116468497</v>
      </c>
      <c r="L1415">
        <v>1024.68805668958</v>
      </c>
      <c r="M1415">
        <v>19.989337344706801</v>
      </c>
      <c r="O1415">
        <v>50.756966161081898</v>
      </c>
      <c r="P1415">
        <v>-2.86544153525457E-2</v>
      </c>
      <c r="Q1415">
        <v>0.70897208068726902</v>
      </c>
      <c r="R1415">
        <v>0.89434787345884403</v>
      </c>
      <c r="S1415" t="s">
        <v>8032</v>
      </c>
      <c r="T1415" t="s">
        <v>13232</v>
      </c>
      <c r="U1415" t="s">
        <v>13232</v>
      </c>
      <c r="V1415" t="s">
        <v>13232</v>
      </c>
      <c r="W1415" t="s">
        <v>14608</v>
      </c>
      <c r="X1415">
        <v>4</v>
      </c>
      <c r="Y1415" t="s">
        <v>21126</v>
      </c>
      <c r="Z1415" t="s">
        <v>27546</v>
      </c>
      <c r="AA1415">
        <v>0.82226259255574019</v>
      </c>
      <c r="AB1415" t="str">
        <f>HYPERLINK("Melting_Curves/meltCurve_O75385_ULK1.pdf", "Melting_Curves/meltCurve_O75385_ULK1.pdf")</f>
        <v>Melting_Curves/meltCurve_O75385_ULK1.pdf</v>
      </c>
    </row>
    <row r="1416" spans="1:28" x14ac:dyDescent="0.25">
      <c r="A1416" t="s">
        <v>1420</v>
      </c>
      <c r="B1416">
        <v>0.99930955844802105</v>
      </c>
      <c r="C1416">
        <v>1.15953763937344</v>
      </c>
      <c r="D1416">
        <v>1.1238954078913901</v>
      </c>
      <c r="E1416">
        <v>1.08436048099034</v>
      </c>
      <c r="F1416">
        <v>0.815965068213241</v>
      </c>
      <c r="G1416">
        <v>0.42115616307290599</v>
      </c>
      <c r="H1416">
        <v>0.161748975844688</v>
      </c>
      <c r="I1416">
        <v>9.6685061481834006E-2</v>
      </c>
      <c r="J1416">
        <v>7.8444238227382099E-2</v>
      </c>
      <c r="K1416">
        <v>6.3958430933158505E-2</v>
      </c>
      <c r="L1416">
        <v>1674.14027025682</v>
      </c>
      <c r="M1416">
        <v>29.9024937468429</v>
      </c>
      <c r="N1416">
        <v>56.288147391393601</v>
      </c>
      <c r="O1416">
        <v>55.738025855747999</v>
      </c>
      <c r="P1416">
        <v>-0.124196473290861</v>
      </c>
      <c r="Q1416">
        <v>7.4000660507306207E-2</v>
      </c>
      <c r="R1416">
        <v>0.97331800356743003</v>
      </c>
      <c r="S1416" t="s">
        <v>8033</v>
      </c>
      <c r="T1416" t="s">
        <v>13232</v>
      </c>
      <c r="U1416" t="s">
        <v>13232</v>
      </c>
      <c r="V1416" t="s">
        <v>13232</v>
      </c>
      <c r="W1416" t="s">
        <v>14609</v>
      </c>
      <c r="X1416">
        <v>5</v>
      </c>
      <c r="Y1416" t="s">
        <v>21127</v>
      </c>
      <c r="Z1416" t="s">
        <v>27547</v>
      </c>
      <c r="AA1416">
        <v>0.57366644549038026</v>
      </c>
      <c r="AB1416" t="str">
        <f>HYPERLINK("Melting_Curves/meltCurve_O75396_SEC22B.pdf", "Melting_Curves/meltCurve_O75396_SEC22B.pdf")</f>
        <v>Melting_Curves/meltCurve_O75396_SEC22B.pdf</v>
      </c>
    </row>
    <row r="1417" spans="1:28" x14ac:dyDescent="0.25">
      <c r="A1417" t="s">
        <v>1421</v>
      </c>
      <c r="B1417">
        <v>0.99930955844802105</v>
      </c>
      <c r="C1417">
        <v>0.98282569854725998</v>
      </c>
      <c r="D1417">
        <v>0.96454409422195797</v>
      </c>
      <c r="E1417">
        <v>0.86600099282782395</v>
      </c>
      <c r="F1417">
        <v>0.721923541265725</v>
      </c>
      <c r="G1417">
        <v>0.60744089376793098</v>
      </c>
      <c r="H1417">
        <v>0.56218229745001802</v>
      </c>
      <c r="I1417">
        <v>0.57841937837921298</v>
      </c>
      <c r="J1417">
        <v>0.57518618707523395</v>
      </c>
      <c r="K1417">
        <v>0.47449198508212198</v>
      </c>
      <c r="L1417">
        <v>961.27997338497596</v>
      </c>
      <c r="M1417">
        <v>18.4213542776968</v>
      </c>
      <c r="O1417">
        <v>51.579633171133104</v>
      </c>
      <c r="P1417">
        <v>-4.18710010006908E-2</v>
      </c>
      <c r="Q1417">
        <v>0.53106735229273805</v>
      </c>
      <c r="R1417">
        <v>0.98250190039998597</v>
      </c>
      <c r="S1417" t="s">
        <v>8034</v>
      </c>
      <c r="T1417" t="s">
        <v>13232</v>
      </c>
      <c r="U1417" t="s">
        <v>13232</v>
      </c>
      <c r="V1417" t="s">
        <v>13232</v>
      </c>
      <c r="W1417" t="s">
        <v>14610</v>
      </c>
      <c r="X1417">
        <v>4</v>
      </c>
      <c r="Y1417" t="s">
        <v>21128</v>
      </c>
      <c r="Z1417" t="s">
        <v>27548</v>
      </c>
      <c r="AA1417">
        <v>0.72898304063863339</v>
      </c>
      <c r="AB1417" t="str">
        <f>HYPERLINK("Melting_Curves/meltCurve_O75398_4_DEAF1.pdf", "Melting_Curves/meltCurve_O75398_4_DEAF1.pdf")</f>
        <v>Melting_Curves/meltCurve_O75398_4_DEAF1.pdf</v>
      </c>
    </row>
    <row r="1418" spans="1:28" x14ac:dyDescent="0.25">
      <c r="A1418" t="s">
        <v>1422</v>
      </c>
      <c r="B1418">
        <v>0.99930955844802105</v>
      </c>
      <c r="C1418">
        <v>0.94117670701389</v>
      </c>
      <c r="D1418">
        <v>0.87705533148438897</v>
      </c>
      <c r="E1418">
        <v>0.66986599311483297</v>
      </c>
      <c r="F1418">
        <v>0.444573486950809</v>
      </c>
      <c r="G1418">
        <v>0.380077307358899</v>
      </c>
      <c r="H1418">
        <v>0.34179615806632502</v>
      </c>
      <c r="I1418">
        <v>0.363749596719464</v>
      </c>
      <c r="J1418">
        <v>0.35254229674125198</v>
      </c>
      <c r="K1418">
        <v>0.27979270359189701</v>
      </c>
      <c r="L1418">
        <v>955.20837419111001</v>
      </c>
      <c r="M1418">
        <v>19.225669967452401</v>
      </c>
      <c r="N1418">
        <v>52.524243488724302</v>
      </c>
      <c r="O1418">
        <v>49.155833316924003</v>
      </c>
      <c r="P1418">
        <v>-6.6178883341489705E-2</v>
      </c>
      <c r="Q1418">
        <v>0.32320589605237199</v>
      </c>
      <c r="R1418">
        <v>0.99062112800772995</v>
      </c>
      <c r="S1418" t="s">
        <v>8035</v>
      </c>
      <c r="T1418" t="s">
        <v>13232</v>
      </c>
      <c r="U1418" t="s">
        <v>13232</v>
      </c>
      <c r="V1418" t="s">
        <v>13232</v>
      </c>
      <c r="W1418" t="s">
        <v>14611</v>
      </c>
      <c r="X1418">
        <v>23</v>
      </c>
      <c r="Y1418" t="s">
        <v>21129</v>
      </c>
      <c r="Z1418" t="s">
        <v>27549</v>
      </c>
      <c r="AA1418">
        <v>0.55187289057667654</v>
      </c>
      <c r="AB1418" t="str">
        <f>HYPERLINK("Melting_Curves/meltCurve_O75400_3_PRPF40A.pdf", "Melting_Curves/meltCurve_O75400_3_PRPF40A.pdf")</f>
        <v>Melting_Curves/meltCurve_O75400_3_PRPF40A.pdf</v>
      </c>
    </row>
    <row r="1419" spans="1:28" x14ac:dyDescent="0.25">
      <c r="A1419" t="s">
        <v>1423</v>
      </c>
      <c r="B1419">
        <v>0.99930955844802105</v>
      </c>
      <c r="C1419">
        <v>1.0737883114840301</v>
      </c>
      <c r="D1419">
        <v>1.0274744808229099</v>
      </c>
      <c r="E1419">
        <v>0.98629790472162904</v>
      </c>
      <c r="F1419">
        <v>0.86303311911510505</v>
      </c>
      <c r="G1419">
        <v>0.71407684993716702</v>
      </c>
      <c r="H1419">
        <v>0.65882117346813496</v>
      </c>
      <c r="I1419">
        <v>0.69457487158549502</v>
      </c>
      <c r="J1419">
        <v>0.67314362436962305</v>
      </c>
      <c r="K1419">
        <v>0.54944264443280699</v>
      </c>
      <c r="L1419">
        <v>1447.19592031154</v>
      </c>
      <c r="M1419">
        <v>26.654349839626299</v>
      </c>
      <c r="O1419">
        <v>53.992049678385499</v>
      </c>
      <c r="P1419">
        <v>-4.4945083157989001E-2</v>
      </c>
      <c r="Q1419">
        <v>0.63583387265761504</v>
      </c>
      <c r="R1419">
        <v>0.94132357201393102</v>
      </c>
      <c r="S1419" t="s">
        <v>8036</v>
      </c>
      <c r="T1419" t="s">
        <v>13232</v>
      </c>
      <c r="U1419" t="s">
        <v>13232</v>
      </c>
      <c r="V1419" t="s">
        <v>13232</v>
      </c>
      <c r="W1419" t="s">
        <v>14612</v>
      </c>
      <c r="X1419">
        <v>32</v>
      </c>
      <c r="Y1419" t="s">
        <v>21130</v>
      </c>
      <c r="Z1419" t="s">
        <v>27550</v>
      </c>
      <c r="AA1419">
        <v>0.81235754256783066</v>
      </c>
      <c r="AB1419" t="str">
        <f>HYPERLINK("Melting_Curves/meltCurve_O75410_7_TACC1.pdf", "Melting_Curves/meltCurve_O75410_7_TACC1.pdf")</f>
        <v>Melting_Curves/meltCurve_O75410_7_TACC1.pdf</v>
      </c>
    </row>
    <row r="1420" spans="1:28" x14ac:dyDescent="0.25">
      <c r="A1420" t="s">
        <v>1424</v>
      </c>
      <c r="B1420">
        <v>0.99930955844802105</v>
      </c>
      <c r="C1420">
        <v>0.98715811402217801</v>
      </c>
      <c r="D1420">
        <v>0.58320290459574997</v>
      </c>
      <c r="E1420">
        <v>0.31058970381786999</v>
      </c>
      <c r="F1420">
        <v>0.18385252051325601</v>
      </c>
      <c r="G1420">
        <v>0.15377331358510499</v>
      </c>
      <c r="H1420">
        <v>9.9596811544188493E-2</v>
      </c>
      <c r="I1420">
        <v>9.1949978931893994E-2</v>
      </c>
      <c r="J1420">
        <v>7.7541068664483903E-2</v>
      </c>
      <c r="K1420">
        <v>6.3605904692662196E-2</v>
      </c>
      <c r="L1420">
        <v>1038.9541814111001</v>
      </c>
      <c r="M1420">
        <v>22.1329611154089</v>
      </c>
      <c r="N1420">
        <v>47.402457347022597</v>
      </c>
      <c r="O1420">
        <v>46.563308089551498</v>
      </c>
      <c r="P1420">
        <v>-0.107329184495669</v>
      </c>
      <c r="Q1420">
        <v>9.6823063667818093E-2</v>
      </c>
      <c r="R1420">
        <v>0.98654871833507696</v>
      </c>
      <c r="S1420" t="s">
        <v>8037</v>
      </c>
      <c r="T1420" t="s">
        <v>13232</v>
      </c>
      <c r="U1420" t="s">
        <v>13232</v>
      </c>
      <c r="V1420" t="s">
        <v>13232</v>
      </c>
      <c r="W1420" t="s">
        <v>14613</v>
      </c>
      <c r="X1420">
        <v>12</v>
      </c>
      <c r="Y1420" t="s">
        <v>21131</v>
      </c>
      <c r="Z1420" t="s">
        <v>27551</v>
      </c>
      <c r="AA1420">
        <v>0.31638394556350441</v>
      </c>
      <c r="AB1420" t="str">
        <f>HYPERLINK("Melting_Curves/meltCurve_O75419_2_CDC45.pdf", "Melting_Curves/meltCurve_O75419_2_CDC45.pdf")</f>
        <v>Melting_Curves/meltCurve_O75419_2_CDC45.pdf</v>
      </c>
    </row>
    <row r="1421" spans="1:28" x14ac:dyDescent="0.25">
      <c r="A1421" t="s">
        <v>1425</v>
      </c>
      <c r="B1421">
        <v>0.99930955844802105</v>
      </c>
      <c r="C1421">
        <v>1.0903349316872299</v>
      </c>
      <c r="D1421">
        <v>1.02316603100153</v>
      </c>
      <c r="E1421">
        <v>0.94394471429457905</v>
      </c>
      <c r="F1421">
        <v>0.80984865922519</v>
      </c>
      <c r="G1421">
        <v>0.71699120614108802</v>
      </c>
      <c r="H1421">
        <v>0.662704036748197</v>
      </c>
      <c r="I1421">
        <v>0.65257757376338499</v>
      </c>
      <c r="J1421">
        <v>0.63250637592097703</v>
      </c>
      <c r="K1421">
        <v>0.50823536014293302</v>
      </c>
      <c r="L1421">
        <v>884.39503445235698</v>
      </c>
      <c r="M1421">
        <v>16.097875765361302</v>
      </c>
      <c r="O1421">
        <v>54.111796828104502</v>
      </c>
      <c r="P1421">
        <v>-3.1811869434103898E-2</v>
      </c>
      <c r="Q1421">
        <v>0.572299937641923</v>
      </c>
      <c r="R1421">
        <v>0.93857379229273596</v>
      </c>
      <c r="S1421" t="s">
        <v>8038</v>
      </c>
      <c r="T1421" t="s">
        <v>13232</v>
      </c>
      <c r="U1421" t="s">
        <v>13232</v>
      </c>
      <c r="V1421" t="s">
        <v>13232</v>
      </c>
      <c r="W1421" t="s">
        <v>14614</v>
      </c>
      <c r="X1421">
        <v>20</v>
      </c>
      <c r="Y1421" t="s">
        <v>21132</v>
      </c>
      <c r="Z1421" t="s">
        <v>27552</v>
      </c>
      <c r="AA1421">
        <v>0.79292163536297577</v>
      </c>
      <c r="AB1421" t="str">
        <f>HYPERLINK("Melting_Curves/meltCurve_O75420_GIGYF1.pdf", "Melting_Curves/meltCurve_O75420_GIGYF1.pdf")</f>
        <v>Melting_Curves/meltCurve_O75420_GIGYF1.pdf</v>
      </c>
    </row>
    <row r="1422" spans="1:28" x14ac:dyDescent="0.25">
      <c r="A1422" t="s">
        <v>1426</v>
      </c>
      <c r="B1422">
        <v>0.99930955844802105</v>
      </c>
      <c r="C1422">
        <v>0.83133495374826305</v>
      </c>
      <c r="D1422">
        <v>0.76537984620517896</v>
      </c>
      <c r="E1422">
        <v>0.61042933609725503</v>
      </c>
      <c r="F1422">
        <v>0.41696853366971098</v>
      </c>
      <c r="G1422">
        <v>0.304730727302646</v>
      </c>
      <c r="H1422">
        <v>0.21139414314083299</v>
      </c>
      <c r="I1422">
        <v>0.20196968418917399</v>
      </c>
      <c r="J1422">
        <v>0.17587529499002599</v>
      </c>
      <c r="K1422">
        <v>0.12867142344292701</v>
      </c>
      <c r="L1422">
        <v>537.84374236936503</v>
      </c>
      <c r="M1422">
        <v>10.644851047428499</v>
      </c>
      <c r="N1422">
        <v>51.602039538657301</v>
      </c>
      <c r="O1422">
        <v>48.840892266829698</v>
      </c>
      <c r="P1422">
        <v>-4.9083797751694698E-2</v>
      </c>
      <c r="Q1422">
        <v>9.9516134590108399E-2</v>
      </c>
      <c r="R1422">
        <v>0.99118947361552601</v>
      </c>
      <c r="S1422" t="s">
        <v>8039</v>
      </c>
      <c r="T1422" t="s">
        <v>13232</v>
      </c>
      <c r="U1422" t="s">
        <v>13232</v>
      </c>
      <c r="V1422" t="s">
        <v>13232</v>
      </c>
      <c r="W1422" t="s">
        <v>14615</v>
      </c>
      <c r="X1422">
        <v>11</v>
      </c>
      <c r="Y1422" t="s">
        <v>20594</v>
      </c>
      <c r="Z1422" t="s">
        <v>27553</v>
      </c>
      <c r="AA1422">
        <v>0.45134274526646551</v>
      </c>
      <c r="AB1422" t="str">
        <f>HYPERLINK("Melting_Curves/meltCurve_O75427_LRCH4.pdf", "Melting_Curves/meltCurve_O75427_LRCH4.pdf")</f>
        <v>Melting_Curves/meltCurve_O75427_LRCH4.pdf</v>
      </c>
    </row>
    <row r="1423" spans="1:28" x14ac:dyDescent="0.25">
      <c r="A1423" t="s">
        <v>1427</v>
      </c>
      <c r="B1423">
        <v>0.99930955844802105</v>
      </c>
      <c r="C1423">
        <v>1.0327214245107801</v>
      </c>
      <c r="D1423">
        <v>1.0272194239746</v>
      </c>
      <c r="E1423">
        <v>1.00827359867749</v>
      </c>
      <c r="F1423">
        <v>0.78908070229553495</v>
      </c>
      <c r="G1423">
        <v>0.47001424327650398</v>
      </c>
      <c r="H1423">
        <v>0.15396606368069701</v>
      </c>
      <c r="I1423">
        <v>9.8949439087433602E-2</v>
      </c>
      <c r="J1423">
        <v>0.10271909809484001</v>
      </c>
      <c r="K1423">
        <v>7.8823605596624796E-2</v>
      </c>
      <c r="L1423">
        <v>1431.4768671284901</v>
      </c>
      <c r="M1423">
        <v>25.515908560099302</v>
      </c>
      <c r="N1423">
        <v>56.439475085477703</v>
      </c>
      <c r="O1423">
        <v>55.760165774819001</v>
      </c>
      <c r="P1423">
        <v>-0.10629365560460501</v>
      </c>
      <c r="Q1423">
        <v>7.0873332102935699E-2</v>
      </c>
      <c r="R1423">
        <v>0.995553306295898</v>
      </c>
      <c r="S1423" t="s">
        <v>8040</v>
      </c>
      <c r="T1423" t="s">
        <v>13232</v>
      </c>
      <c r="U1423" t="s">
        <v>13232</v>
      </c>
      <c r="V1423" t="s">
        <v>13232</v>
      </c>
      <c r="W1423" t="s">
        <v>14616</v>
      </c>
      <c r="X1423">
        <v>21</v>
      </c>
      <c r="Y1423" t="s">
        <v>21133</v>
      </c>
      <c r="Z1423" t="s">
        <v>27554</v>
      </c>
      <c r="AA1423">
        <v>0.57777963677675959</v>
      </c>
      <c r="AB1423" t="str">
        <f>HYPERLINK("Melting_Curves/meltCurve_O75436_VPS26A.pdf", "Melting_Curves/meltCurve_O75436_VPS26A.pdf")</f>
        <v>Melting_Curves/meltCurve_O75436_VPS26A.pdf</v>
      </c>
    </row>
    <row r="1424" spans="1:28" x14ac:dyDescent="0.25">
      <c r="A1424" t="s">
        <v>1428</v>
      </c>
      <c r="B1424">
        <v>0.99930955844802105</v>
      </c>
      <c r="C1424">
        <v>0.63521248786116802</v>
      </c>
      <c r="D1424">
        <v>0.39939736537457898</v>
      </c>
      <c r="E1424">
        <v>0.27187577052418799</v>
      </c>
      <c r="F1424">
        <v>0.169428558429046</v>
      </c>
      <c r="G1424">
        <v>0.116355584710472</v>
      </c>
      <c r="H1424">
        <v>6.7729636902778098E-2</v>
      </c>
      <c r="I1424">
        <v>6.2092133030295503E-2</v>
      </c>
      <c r="J1424">
        <v>5.0009634394264098E-2</v>
      </c>
      <c r="K1424">
        <v>3.8896395515733102E-2</v>
      </c>
      <c r="L1424">
        <v>722.97817894589298</v>
      </c>
      <c r="M1424">
        <v>16.123313216819501</v>
      </c>
      <c r="N1424">
        <v>45.233751697858203</v>
      </c>
      <c r="O1424">
        <v>44.167799547648698</v>
      </c>
      <c r="P1424">
        <v>-8.5300727846193095E-2</v>
      </c>
      <c r="Q1424">
        <v>6.5388925809949594E-2</v>
      </c>
      <c r="R1424">
        <v>0.97231811330014895</v>
      </c>
      <c r="S1424" t="s">
        <v>8041</v>
      </c>
      <c r="T1424" t="s">
        <v>13232</v>
      </c>
      <c r="U1424" t="s">
        <v>13232</v>
      </c>
      <c r="V1424" t="s">
        <v>13232</v>
      </c>
      <c r="W1424" t="s">
        <v>14617</v>
      </c>
      <c r="X1424">
        <v>14</v>
      </c>
      <c r="Y1424" t="s">
        <v>21134</v>
      </c>
      <c r="Z1424" t="s">
        <v>27555</v>
      </c>
      <c r="AA1424">
        <v>0.2423880452828818</v>
      </c>
      <c r="AB1424" t="str">
        <f>HYPERLINK("Melting_Curves/meltCurve_O75439_PMPCB.pdf", "Melting_Curves/meltCurve_O75439_PMPCB.pdf")</f>
        <v>Melting_Curves/meltCurve_O75439_PMPCB.pdf</v>
      </c>
    </row>
    <row r="1425" spans="1:28" x14ac:dyDescent="0.25">
      <c r="A1425" t="s">
        <v>1429</v>
      </c>
      <c r="B1425">
        <v>0.99930955844802105</v>
      </c>
      <c r="C1425">
        <v>0.99760774346995595</v>
      </c>
      <c r="D1425">
        <v>0.97713957803118501</v>
      </c>
      <c r="E1425">
        <v>0.72348359715022204</v>
      </c>
      <c r="F1425">
        <v>0.41288985639929598</v>
      </c>
      <c r="G1425">
        <v>0.27545789522644998</v>
      </c>
      <c r="H1425">
        <v>0.18533728631874699</v>
      </c>
      <c r="I1425">
        <v>0.162374077848535</v>
      </c>
      <c r="J1425">
        <v>0.158675302070477</v>
      </c>
      <c r="K1425">
        <v>0.112440874361229</v>
      </c>
      <c r="L1425">
        <v>1200.2064287303999</v>
      </c>
      <c r="M1425">
        <v>23.300245083034898</v>
      </c>
      <c r="N1425">
        <v>52.319286702554201</v>
      </c>
      <c r="O1425">
        <v>51.135545932622001</v>
      </c>
      <c r="P1425">
        <v>-9.6688161749021798E-2</v>
      </c>
      <c r="Q1425">
        <v>0.151234096947787</v>
      </c>
      <c r="R1425">
        <v>0.99603945976783803</v>
      </c>
      <c r="S1425" t="s">
        <v>8042</v>
      </c>
      <c r="T1425" t="s">
        <v>13232</v>
      </c>
      <c r="U1425" t="s">
        <v>13232</v>
      </c>
      <c r="V1425" t="s">
        <v>13232</v>
      </c>
      <c r="W1425" t="s">
        <v>14618</v>
      </c>
      <c r="X1425">
        <v>4</v>
      </c>
      <c r="Y1425" t="s">
        <v>21135</v>
      </c>
      <c r="Z1425" t="s">
        <v>27556</v>
      </c>
      <c r="AA1425">
        <v>0.48572389341994621</v>
      </c>
      <c r="AB1425" t="str">
        <f>HYPERLINK("Melting_Curves/meltCurve_O75446_SAP30.pdf", "Melting_Curves/meltCurve_O75446_SAP30.pdf")</f>
        <v>Melting_Curves/meltCurve_O75446_SAP30.pdf</v>
      </c>
    </row>
    <row r="1426" spans="1:28" x14ac:dyDescent="0.25">
      <c r="A1426" t="s">
        <v>1430</v>
      </c>
      <c r="B1426">
        <v>0.99930955844802105</v>
      </c>
      <c r="C1426">
        <v>0.95895480776061703</v>
      </c>
      <c r="D1426">
        <v>0.82183651305518002</v>
      </c>
      <c r="E1426">
        <v>0.564189696230876</v>
      </c>
      <c r="F1426">
        <v>0.45581971053866399</v>
      </c>
      <c r="G1426">
        <v>0.26191984413307201</v>
      </c>
      <c r="H1426">
        <v>0.12940290532503901</v>
      </c>
      <c r="I1426">
        <v>0.101077413630664</v>
      </c>
      <c r="J1426">
        <v>8.5921092464050802E-2</v>
      </c>
      <c r="K1426">
        <v>6.3582493366730899E-2</v>
      </c>
      <c r="L1426">
        <v>662.399112343924</v>
      </c>
      <c r="M1426">
        <v>12.8817507930257</v>
      </c>
      <c r="N1426">
        <v>51.704372878406701</v>
      </c>
      <c r="O1426">
        <v>50.229590310798898</v>
      </c>
      <c r="P1426">
        <v>-6.1944310316169399E-2</v>
      </c>
      <c r="Q1426">
        <v>3.4023277037329602E-2</v>
      </c>
      <c r="R1426">
        <v>0.996432180314342</v>
      </c>
      <c r="S1426" t="s">
        <v>8043</v>
      </c>
      <c r="T1426" t="s">
        <v>13232</v>
      </c>
      <c r="U1426" t="s">
        <v>13232</v>
      </c>
      <c r="V1426" t="s">
        <v>13232</v>
      </c>
      <c r="W1426" t="s">
        <v>14619</v>
      </c>
      <c r="X1426">
        <v>13</v>
      </c>
      <c r="Y1426" t="s">
        <v>21136</v>
      </c>
      <c r="Z1426" t="s">
        <v>27557</v>
      </c>
      <c r="AA1426">
        <v>0.42956273572966991</v>
      </c>
      <c r="AB1426" t="str">
        <f>HYPERLINK("Melting_Curves/meltCurve_O75449_KATNA1.pdf", "Melting_Curves/meltCurve_O75449_KATNA1.pdf")</f>
        <v>Melting_Curves/meltCurve_O75449_KATNA1.pdf</v>
      </c>
    </row>
    <row r="1427" spans="1:28" x14ac:dyDescent="0.25">
      <c r="A1427" t="s">
        <v>1431</v>
      </c>
      <c r="B1427">
        <v>0.99930955844802105</v>
      </c>
      <c r="C1427">
        <v>1.1518340403588501</v>
      </c>
      <c r="D1427">
        <v>1.1054031046387101</v>
      </c>
      <c r="E1427">
        <v>0.98201645095614098</v>
      </c>
      <c r="F1427">
        <v>0.75556291125568797</v>
      </c>
      <c r="G1427">
        <v>0.60686541491285495</v>
      </c>
      <c r="H1427">
        <v>0.56133259022236004</v>
      </c>
      <c r="I1427">
        <v>0.54874408943197095</v>
      </c>
      <c r="J1427">
        <v>0.53213028542391905</v>
      </c>
      <c r="K1427">
        <v>0.42025246614443901</v>
      </c>
      <c r="L1427">
        <v>1604.0363582212301</v>
      </c>
      <c r="M1427">
        <v>29.990659864453701</v>
      </c>
      <c r="O1427">
        <v>53.248398501896602</v>
      </c>
      <c r="P1427">
        <v>-6.8384117639453096E-2</v>
      </c>
      <c r="Q1427">
        <v>0.51433912107533997</v>
      </c>
      <c r="R1427">
        <v>0.92413828186092395</v>
      </c>
      <c r="S1427" t="s">
        <v>8044</v>
      </c>
      <c r="T1427" t="s">
        <v>13232</v>
      </c>
      <c r="U1427" t="s">
        <v>13232</v>
      </c>
      <c r="V1427" t="s">
        <v>13232</v>
      </c>
      <c r="W1427" t="s">
        <v>14620</v>
      </c>
      <c r="X1427">
        <v>34</v>
      </c>
      <c r="Y1427" t="s">
        <v>21137</v>
      </c>
      <c r="Z1427" t="s">
        <v>27558</v>
      </c>
      <c r="AA1427">
        <v>0.73580814047084175</v>
      </c>
      <c r="AB1427" t="str">
        <f>HYPERLINK("Melting_Curves/meltCurve_O75475_PSIP1.pdf", "Melting_Curves/meltCurve_O75475_PSIP1.pdf")</f>
        <v>Melting_Curves/meltCurve_O75475_PSIP1.pdf</v>
      </c>
    </row>
    <row r="1428" spans="1:28" x14ac:dyDescent="0.25">
      <c r="A1428" t="s">
        <v>1432</v>
      </c>
      <c r="B1428">
        <v>0.99930955844802105</v>
      </c>
      <c r="C1428">
        <v>0.74913922993867899</v>
      </c>
      <c r="D1428">
        <v>0.63712860431308505</v>
      </c>
      <c r="E1428">
        <v>0.57193462200364797</v>
      </c>
      <c r="F1428">
        <v>0.40768379890260698</v>
      </c>
      <c r="G1428">
        <v>0.26902812085915101</v>
      </c>
      <c r="H1428">
        <v>0.117773044364442</v>
      </c>
      <c r="I1428">
        <v>0.10158842984496599</v>
      </c>
      <c r="J1428">
        <v>9.5181253047194506E-2</v>
      </c>
      <c r="K1428">
        <v>6.6127552356508496E-2</v>
      </c>
      <c r="L1428">
        <v>455.91562286513602</v>
      </c>
      <c r="M1428">
        <v>9.0845953779086503</v>
      </c>
      <c r="N1428">
        <v>50.1855770916832</v>
      </c>
      <c r="O1428">
        <v>47.933061980051598</v>
      </c>
      <c r="P1428">
        <v>-4.7414889045309203E-2</v>
      </c>
      <c r="Q1428">
        <v>0</v>
      </c>
      <c r="R1428">
        <v>0.97403134249429901</v>
      </c>
      <c r="S1428" t="s">
        <v>8045</v>
      </c>
      <c r="T1428" t="s">
        <v>13232</v>
      </c>
      <c r="U1428" t="s">
        <v>13232</v>
      </c>
      <c r="V1428" t="s">
        <v>13232</v>
      </c>
      <c r="W1428" t="s">
        <v>14621</v>
      </c>
      <c r="X1428">
        <v>3</v>
      </c>
      <c r="Y1428" t="s">
        <v>21138</v>
      </c>
      <c r="Z1428" t="s">
        <v>27559</v>
      </c>
      <c r="AA1428">
        <v>0.38991908468582032</v>
      </c>
      <c r="AB1428" t="str">
        <f>HYPERLINK("Melting_Curves/meltCurve_O75489_NDUFS3.pdf", "Melting_Curves/meltCurve_O75489_NDUFS3.pdf")</f>
        <v>Melting_Curves/meltCurve_O75489_NDUFS3.pdf</v>
      </c>
    </row>
    <row r="1429" spans="1:28" x14ac:dyDescent="0.25">
      <c r="A1429" t="s">
        <v>1433</v>
      </c>
      <c r="B1429">
        <v>0.99930955844802105</v>
      </c>
      <c r="C1429">
        <v>0.985947851779576</v>
      </c>
      <c r="D1429">
        <v>0.96657514373065601</v>
      </c>
      <c r="E1429">
        <v>0.87704412948019195</v>
      </c>
      <c r="F1429">
        <v>0.60237464482035197</v>
      </c>
      <c r="G1429">
        <v>0.27573264613532</v>
      </c>
      <c r="H1429">
        <v>0.14907544033478601</v>
      </c>
      <c r="I1429">
        <v>0.14157307184728901</v>
      </c>
      <c r="J1429">
        <v>0.118253345989699</v>
      </c>
      <c r="K1429">
        <v>8.1678113930685706E-2</v>
      </c>
      <c r="L1429">
        <v>1282.8202460309601</v>
      </c>
      <c r="M1429">
        <v>23.943726575817699</v>
      </c>
      <c r="N1429">
        <v>54.101105835715302</v>
      </c>
      <c r="O1429">
        <v>53.206945707227497</v>
      </c>
      <c r="P1429">
        <v>-0.100848565434097</v>
      </c>
      <c r="Q1429">
        <v>0.103605118193995</v>
      </c>
      <c r="R1429">
        <v>0.99881067158744896</v>
      </c>
      <c r="S1429" t="s">
        <v>8046</v>
      </c>
      <c r="T1429" t="s">
        <v>13232</v>
      </c>
      <c r="U1429" t="s">
        <v>13232</v>
      </c>
      <c r="V1429" t="s">
        <v>13232</v>
      </c>
      <c r="W1429" t="s">
        <v>14622</v>
      </c>
      <c r="X1429">
        <v>3</v>
      </c>
      <c r="Y1429" t="s">
        <v>21139</v>
      </c>
      <c r="Z1429" t="s">
        <v>27560</v>
      </c>
      <c r="AA1429">
        <v>0.51823052382291368</v>
      </c>
      <c r="AB1429" t="str">
        <f>HYPERLINK("Melting_Curves/meltCurve_O75503_CLN5.pdf", "Melting_Curves/meltCurve_O75503_CLN5.pdf")</f>
        <v>Melting_Curves/meltCurve_O75503_CLN5.pdf</v>
      </c>
    </row>
    <row r="1430" spans="1:28" x14ac:dyDescent="0.25">
      <c r="A1430" t="s">
        <v>1434</v>
      </c>
      <c r="B1430">
        <v>0.99930955844802105</v>
      </c>
      <c r="C1430">
        <v>1.11943263070715</v>
      </c>
      <c r="D1430">
        <v>1.12245520944613</v>
      </c>
      <c r="E1430">
        <v>1.07960846632097</v>
      </c>
      <c r="F1430">
        <v>0.987304197216056</v>
      </c>
      <c r="G1430">
        <v>0.86326786270793998</v>
      </c>
      <c r="H1430">
        <v>0.81479924628887701</v>
      </c>
      <c r="I1430">
        <v>0.72197405974625595</v>
      </c>
      <c r="J1430">
        <v>0.64553616991546203</v>
      </c>
      <c r="K1430">
        <v>0.52728628783649201</v>
      </c>
      <c r="L1430">
        <v>898.39468341143504</v>
      </c>
      <c r="M1430">
        <v>13.881610723968199</v>
      </c>
      <c r="O1430">
        <v>63.419601513024901</v>
      </c>
      <c r="P1430">
        <v>-3.3664090262596001E-2</v>
      </c>
      <c r="Q1430">
        <v>0.384892142698958</v>
      </c>
      <c r="R1430">
        <v>0.89182906742177803</v>
      </c>
      <c r="S1430" t="s">
        <v>8047</v>
      </c>
      <c r="T1430" t="s">
        <v>13232</v>
      </c>
      <c r="U1430" t="s">
        <v>13232</v>
      </c>
      <c r="V1430" t="s">
        <v>13232</v>
      </c>
      <c r="W1430" t="s">
        <v>14623</v>
      </c>
      <c r="X1430">
        <v>4</v>
      </c>
      <c r="Y1430" t="s">
        <v>21140</v>
      </c>
      <c r="Z1430" t="s">
        <v>27561</v>
      </c>
      <c r="AA1430">
        <v>0.87492923026588154</v>
      </c>
      <c r="AB1430" t="str">
        <f>HYPERLINK("Melting_Curves/meltCurve_O75506_HSBP1.pdf", "Melting_Curves/meltCurve_O75506_HSBP1.pdf")</f>
        <v>Melting_Curves/meltCurve_O75506_HSBP1.pdf</v>
      </c>
    </row>
    <row r="1431" spans="1:28" x14ac:dyDescent="0.25">
      <c r="A1431" t="s">
        <v>1435</v>
      </c>
      <c r="B1431">
        <v>0.99930955844802105</v>
      </c>
      <c r="C1431">
        <v>0.90804656065091305</v>
      </c>
      <c r="D1431">
        <v>0.79729788826363701</v>
      </c>
      <c r="E1431">
        <v>0.55729459936157799</v>
      </c>
      <c r="F1431">
        <v>0.309656063209169</v>
      </c>
      <c r="G1431">
        <v>0.153273259906095</v>
      </c>
      <c r="H1431">
        <v>9.8868447778043697E-2</v>
      </c>
      <c r="I1431">
        <v>8.4674901287445106E-2</v>
      </c>
      <c r="J1431">
        <v>7.0945077508968696E-2</v>
      </c>
      <c r="K1431">
        <v>5.7092898184565699E-2</v>
      </c>
      <c r="L1431">
        <v>784.17452468375302</v>
      </c>
      <c r="M1431">
        <v>15.6732499196397</v>
      </c>
      <c r="N1431">
        <v>50.345662549933699</v>
      </c>
      <c r="O1431">
        <v>49.239425779801898</v>
      </c>
      <c r="P1431">
        <v>-7.58891613949398E-2</v>
      </c>
      <c r="Q1431">
        <v>4.6421113730197298E-2</v>
      </c>
      <c r="R1431">
        <v>0.99786023882390196</v>
      </c>
      <c r="S1431" t="s">
        <v>8048</v>
      </c>
      <c r="T1431" t="s">
        <v>13232</v>
      </c>
      <c r="U1431" t="s">
        <v>13232</v>
      </c>
      <c r="V1431" t="s">
        <v>13232</v>
      </c>
      <c r="W1431" t="s">
        <v>14624</v>
      </c>
      <c r="X1431">
        <v>9</v>
      </c>
      <c r="Y1431" t="s">
        <v>21141</v>
      </c>
      <c r="Z1431" t="s">
        <v>27562</v>
      </c>
      <c r="AA1431">
        <v>0.38632208567671272</v>
      </c>
      <c r="AB1431" t="str">
        <f>HYPERLINK("Melting_Curves/meltCurve_O75521_2_ECI2.pdf", "Melting_Curves/meltCurve_O75521_2_ECI2.pdf")</f>
        <v>Melting_Curves/meltCurve_O75521_2_ECI2.pdf</v>
      </c>
    </row>
    <row r="1432" spans="1:28" x14ac:dyDescent="0.25">
      <c r="A1432" t="s">
        <v>1436</v>
      </c>
      <c r="B1432">
        <v>0.99930955844802105</v>
      </c>
      <c r="C1432">
        <v>1.0679488881707999</v>
      </c>
      <c r="D1432">
        <v>0.98823371399121596</v>
      </c>
      <c r="E1432">
        <v>0.91379573705051498</v>
      </c>
      <c r="F1432">
        <v>0.79143964637453701</v>
      </c>
      <c r="G1432">
        <v>0.57517692500592299</v>
      </c>
      <c r="H1432">
        <v>0.49908623811066999</v>
      </c>
      <c r="I1432">
        <v>0.44403447311951399</v>
      </c>
      <c r="J1432">
        <v>0.42003724997720798</v>
      </c>
      <c r="K1432">
        <v>0.33999773035686098</v>
      </c>
      <c r="L1432">
        <v>937.203558254271</v>
      </c>
      <c r="M1432">
        <v>16.971748214465201</v>
      </c>
      <c r="N1432">
        <v>59.928259506122203</v>
      </c>
      <c r="O1432">
        <v>54.471814165304302</v>
      </c>
      <c r="P1432">
        <v>-4.9218864925730403E-2</v>
      </c>
      <c r="Q1432">
        <v>0.36815593910613997</v>
      </c>
      <c r="R1432">
        <v>0.98600113945591905</v>
      </c>
      <c r="S1432" t="s">
        <v>8049</v>
      </c>
      <c r="T1432" t="s">
        <v>13232</v>
      </c>
      <c r="U1432" t="s">
        <v>13232</v>
      </c>
      <c r="V1432" t="s">
        <v>13232</v>
      </c>
      <c r="W1432" t="s">
        <v>14625</v>
      </c>
      <c r="X1432">
        <v>13</v>
      </c>
      <c r="Y1432" t="s">
        <v>21142</v>
      </c>
      <c r="Z1432" t="s">
        <v>27563</v>
      </c>
      <c r="AA1432">
        <v>0.69917571142896695</v>
      </c>
      <c r="AB1432" t="str">
        <f>HYPERLINK("Melting_Curves/meltCurve_O75528_TADA3.pdf", "Melting_Curves/meltCurve_O75528_TADA3.pdf")</f>
        <v>Melting_Curves/meltCurve_O75528_TADA3.pdf</v>
      </c>
    </row>
    <row r="1433" spans="1:28" x14ac:dyDescent="0.25">
      <c r="A1433" t="s">
        <v>1437</v>
      </c>
      <c r="B1433">
        <v>0.99930955844802105</v>
      </c>
      <c r="C1433">
        <v>0.78199403281414803</v>
      </c>
      <c r="D1433">
        <v>0.70994124910622203</v>
      </c>
      <c r="E1433">
        <v>0.609071606662273</v>
      </c>
      <c r="F1433">
        <v>0.41274951476579003</v>
      </c>
      <c r="G1433">
        <v>0.20411958952723899</v>
      </c>
      <c r="H1433">
        <v>0.131897689166146</v>
      </c>
      <c r="I1433">
        <v>9.3059313252120607E-2</v>
      </c>
      <c r="J1433">
        <v>7.5421873219993399E-2</v>
      </c>
      <c r="K1433">
        <v>5.9916270004764502E-2</v>
      </c>
      <c r="L1433">
        <v>519.85491607723395</v>
      </c>
      <c r="M1433">
        <v>10.2510241426523</v>
      </c>
      <c r="N1433">
        <v>50.712485776790601</v>
      </c>
      <c r="O1433">
        <v>48.896279115056601</v>
      </c>
      <c r="P1433">
        <v>-5.2435272119368902E-2</v>
      </c>
      <c r="Q1433">
        <v>0</v>
      </c>
      <c r="R1433">
        <v>0.98180759697337805</v>
      </c>
      <c r="S1433" t="s">
        <v>8050</v>
      </c>
      <c r="T1433" t="s">
        <v>13232</v>
      </c>
      <c r="U1433" t="s">
        <v>13232</v>
      </c>
      <c r="V1433" t="s">
        <v>13232</v>
      </c>
      <c r="W1433" t="s">
        <v>14626</v>
      </c>
      <c r="X1433">
        <v>5</v>
      </c>
      <c r="Y1433" t="s">
        <v>21143</v>
      </c>
      <c r="Z1433" t="s">
        <v>27564</v>
      </c>
      <c r="AA1433">
        <v>0.39836863244306198</v>
      </c>
      <c r="AB1433" t="str">
        <f>HYPERLINK("Melting_Curves/meltCurve_O75529_TAF5L.pdf", "Melting_Curves/meltCurve_O75529_TAF5L.pdf")</f>
        <v>Melting_Curves/meltCurve_O75529_TAF5L.pdf</v>
      </c>
    </row>
    <row r="1434" spans="1:28" x14ac:dyDescent="0.25">
      <c r="A1434" t="s">
        <v>1438</v>
      </c>
      <c r="B1434">
        <v>0.99930955844802105</v>
      </c>
      <c r="C1434">
        <v>0.85253610496579302</v>
      </c>
      <c r="D1434">
        <v>0.85953684547147002</v>
      </c>
      <c r="E1434">
        <v>0.68173934292804605</v>
      </c>
      <c r="F1434">
        <v>0.33424613203077003</v>
      </c>
      <c r="G1434">
        <v>0.26869573475921998</v>
      </c>
      <c r="H1434">
        <v>0.227374229252126</v>
      </c>
      <c r="I1434">
        <v>0.23146202647123901</v>
      </c>
      <c r="J1434">
        <v>0.22690006977380101</v>
      </c>
      <c r="K1434">
        <v>0.18950057406500301</v>
      </c>
      <c r="L1434">
        <v>897.16670659210195</v>
      </c>
      <c r="M1434">
        <v>17.936261548505701</v>
      </c>
      <c r="N1434">
        <v>51.453223142982303</v>
      </c>
      <c r="O1434">
        <v>49.410376337389003</v>
      </c>
      <c r="P1434">
        <v>-7.2909106777604704E-2</v>
      </c>
      <c r="Q1434">
        <v>0.19664721709906199</v>
      </c>
      <c r="R1434">
        <v>0.97258585444502099</v>
      </c>
      <c r="S1434" t="s">
        <v>8051</v>
      </c>
      <c r="T1434" t="s">
        <v>13232</v>
      </c>
      <c r="U1434" t="s">
        <v>13232</v>
      </c>
      <c r="V1434" t="s">
        <v>13232</v>
      </c>
      <c r="W1434" t="s">
        <v>14627</v>
      </c>
      <c r="X1434">
        <v>13</v>
      </c>
      <c r="Y1434" t="s">
        <v>21144</v>
      </c>
      <c r="Z1434" t="s">
        <v>27565</v>
      </c>
      <c r="AA1434">
        <v>0.47874835885742351</v>
      </c>
      <c r="AB1434" t="str">
        <f>HYPERLINK("Melting_Curves/meltCurve_O75530_3_EED.pdf", "Melting_Curves/meltCurve_O75530_3_EED.pdf")</f>
        <v>Melting_Curves/meltCurve_O75530_3_EED.pdf</v>
      </c>
    </row>
    <row r="1435" spans="1:28" x14ac:dyDescent="0.25">
      <c r="A1435" t="s">
        <v>1439</v>
      </c>
      <c r="B1435">
        <v>0.99930955844802105</v>
      </c>
      <c r="C1435">
        <v>0.88424614706323001</v>
      </c>
      <c r="D1435">
        <v>0.95285443339925202</v>
      </c>
      <c r="E1435">
        <v>0.64176224380008995</v>
      </c>
      <c r="F1435">
        <v>0.324358600669304</v>
      </c>
      <c r="G1435">
        <v>0.15375364795961499</v>
      </c>
      <c r="H1435">
        <v>8.6906232059345806E-2</v>
      </c>
      <c r="I1435">
        <v>8.3801269471374701E-2</v>
      </c>
      <c r="J1435">
        <v>8.4955723742537306E-2</v>
      </c>
      <c r="K1435">
        <v>7.9305436594599904E-2</v>
      </c>
      <c r="L1435">
        <v>1209.22605544373</v>
      </c>
      <c r="M1435">
        <v>23.7599384060217</v>
      </c>
      <c r="N1435">
        <v>51.255969968696803</v>
      </c>
      <c r="O1435">
        <v>50.537072536154199</v>
      </c>
      <c r="P1435">
        <v>-0.108449024082623</v>
      </c>
      <c r="Q1435">
        <v>7.7336509718527194E-2</v>
      </c>
      <c r="R1435">
        <v>0.99167465261794796</v>
      </c>
      <c r="S1435" t="s">
        <v>8052</v>
      </c>
      <c r="T1435" t="s">
        <v>13232</v>
      </c>
      <c r="U1435" t="s">
        <v>13232</v>
      </c>
      <c r="V1435" t="s">
        <v>13232</v>
      </c>
      <c r="W1435" t="s">
        <v>14628</v>
      </c>
      <c r="X1435">
        <v>8</v>
      </c>
      <c r="Y1435" t="s">
        <v>21145</v>
      </c>
      <c r="Z1435" t="s">
        <v>27566</v>
      </c>
      <c r="AA1435">
        <v>0.42157127565950803</v>
      </c>
      <c r="AB1435" t="str">
        <f>HYPERLINK("Melting_Curves/meltCurve_O75531_BANF1.pdf", "Melting_Curves/meltCurve_O75531_BANF1.pdf")</f>
        <v>Melting_Curves/meltCurve_O75531_BANF1.pdf</v>
      </c>
    </row>
    <row r="1436" spans="1:28" x14ac:dyDescent="0.25">
      <c r="A1436" t="s">
        <v>1440</v>
      </c>
      <c r="B1436">
        <v>0.99930955844802105</v>
      </c>
      <c r="C1436">
        <v>0.74748001981326595</v>
      </c>
      <c r="D1436">
        <v>0.783986076609264</v>
      </c>
      <c r="E1436">
        <v>0.78324056820431198</v>
      </c>
      <c r="F1436">
        <v>0.49041880673392602</v>
      </c>
      <c r="G1436">
        <v>0.38634463679203901</v>
      </c>
      <c r="H1436">
        <v>0.352069937636524</v>
      </c>
      <c r="I1436">
        <v>0.393166035721914</v>
      </c>
      <c r="J1436">
        <v>0.40979000533704601</v>
      </c>
      <c r="K1436">
        <v>0.314897485222499</v>
      </c>
      <c r="L1436">
        <v>475.67576511565898</v>
      </c>
      <c r="M1436">
        <v>9.5519287722572699</v>
      </c>
      <c r="N1436">
        <v>54.783808507971798</v>
      </c>
      <c r="O1436">
        <v>47.762902709286699</v>
      </c>
      <c r="P1436">
        <v>-3.5500844294635299E-2</v>
      </c>
      <c r="Q1436">
        <v>0.29034580541832</v>
      </c>
      <c r="R1436">
        <v>0.89278866903485499</v>
      </c>
      <c r="S1436" t="s">
        <v>8053</v>
      </c>
      <c r="T1436" t="s">
        <v>13232</v>
      </c>
      <c r="U1436" t="s">
        <v>13232</v>
      </c>
      <c r="V1436" t="s">
        <v>13232</v>
      </c>
      <c r="W1436" t="s">
        <v>14629</v>
      </c>
      <c r="X1436">
        <v>67</v>
      </c>
      <c r="Y1436" t="s">
        <v>21146</v>
      </c>
      <c r="Z1436" t="s">
        <v>27567</v>
      </c>
      <c r="AA1436">
        <v>0.55684528017122148</v>
      </c>
      <c r="AB1436" t="str">
        <f>HYPERLINK("Melting_Curves/meltCurve_O75533_SF3B1.pdf", "Melting_Curves/meltCurve_O75533_SF3B1.pdf")</f>
        <v>Melting_Curves/meltCurve_O75533_SF3B1.pdf</v>
      </c>
    </row>
    <row r="1437" spans="1:28" x14ac:dyDescent="0.25">
      <c r="A1437" t="s">
        <v>1441</v>
      </c>
      <c r="B1437">
        <v>0.99930955844802105</v>
      </c>
      <c r="C1437">
        <v>1.01864048137868</v>
      </c>
      <c r="D1437">
        <v>0.71058688440477702</v>
      </c>
      <c r="E1437">
        <v>0.415143744239651</v>
      </c>
      <c r="F1437">
        <v>0.28026847238050201</v>
      </c>
      <c r="G1437">
        <v>0.21469282214549401</v>
      </c>
      <c r="H1437">
        <v>0.15371947884606499</v>
      </c>
      <c r="I1437">
        <v>0.133986769229958</v>
      </c>
      <c r="J1437">
        <v>0.116783804390797</v>
      </c>
      <c r="K1437">
        <v>9.6182571837808498E-2</v>
      </c>
      <c r="L1437">
        <v>932.56733423048104</v>
      </c>
      <c r="M1437">
        <v>19.320810864135399</v>
      </c>
      <c r="N1437">
        <v>49.026996454897301</v>
      </c>
      <c r="O1437">
        <v>47.759349608584301</v>
      </c>
      <c r="P1437">
        <v>-8.8059396374808599E-2</v>
      </c>
      <c r="Q1437">
        <v>0.129332082957615</v>
      </c>
      <c r="R1437">
        <v>0.98790095838074399</v>
      </c>
      <c r="S1437" t="s">
        <v>8054</v>
      </c>
      <c r="T1437" t="s">
        <v>13232</v>
      </c>
      <c r="U1437" t="s">
        <v>13232</v>
      </c>
      <c r="V1437" t="s">
        <v>13232</v>
      </c>
      <c r="W1437" t="s">
        <v>14630</v>
      </c>
      <c r="X1437">
        <v>30</v>
      </c>
      <c r="Y1437" t="s">
        <v>21147</v>
      </c>
      <c r="Z1437" t="s">
        <v>27568</v>
      </c>
      <c r="AA1437">
        <v>0.38250820075167052</v>
      </c>
      <c r="AB1437" t="str">
        <f>HYPERLINK("Melting_Curves/meltCurve_O75534_2_CSDE1.pdf", "Melting_Curves/meltCurve_O75534_2_CSDE1.pdf")</f>
        <v>Melting_Curves/meltCurve_O75534_2_CSDE1.pdf</v>
      </c>
    </row>
    <row r="1438" spans="1:28" x14ac:dyDescent="0.25">
      <c r="A1438" t="s">
        <v>1442</v>
      </c>
      <c r="B1438">
        <v>0.99930955844802105</v>
      </c>
      <c r="C1438">
        <v>1.03768866360388</v>
      </c>
      <c r="D1438">
        <v>1.0114605412691799</v>
      </c>
      <c r="E1438">
        <v>0.96937750620822605</v>
      </c>
      <c r="F1438">
        <v>0.781347978667847</v>
      </c>
      <c r="G1438">
        <v>0.64124812961563804</v>
      </c>
      <c r="H1438">
        <v>0.67162690001043202</v>
      </c>
      <c r="I1438">
        <v>0.69100610884126701</v>
      </c>
      <c r="J1438">
        <v>0.75291797424732798</v>
      </c>
      <c r="K1438">
        <v>0.608379149130724</v>
      </c>
      <c r="L1438">
        <v>2885.9444699037399</v>
      </c>
      <c r="M1438">
        <v>55.201521375931698</v>
      </c>
      <c r="O1438">
        <v>52.211684991412199</v>
      </c>
      <c r="P1438">
        <v>-8.6483969927559204E-2</v>
      </c>
      <c r="Q1438">
        <v>0.67280096174080595</v>
      </c>
      <c r="R1438">
        <v>0.94715639842152299</v>
      </c>
      <c r="S1438" t="s">
        <v>8055</v>
      </c>
      <c r="T1438" t="s">
        <v>13232</v>
      </c>
      <c r="U1438" t="s">
        <v>13232</v>
      </c>
      <c r="V1438" t="s">
        <v>13232</v>
      </c>
      <c r="W1438" t="s">
        <v>14631</v>
      </c>
      <c r="X1438">
        <v>8</v>
      </c>
      <c r="Y1438" t="s">
        <v>21148</v>
      </c>
      <c r="Z1438" t="s">
        <v>27569</v>
      </c>
      <c r="AA1438">
        <v>0.80735461155264132</v>
      </c>
      <c r="AB1438" t="str">
        <f>HYPERLINK("Melting_Curves/meltCurve_O75554_WBP4.pdf", "Melting_Curves/meltCurve_O75554_WBP4.pdf")</f>
        <v>Melting_Curves/meltCurve_O75554_WBP4.pdf</v>
      </c>
    </row>
    <row r="1439" spans="1:28" x14ac:dyDescent="0.25">
      <c r="A1439" t="s">
        <v>1443</v>
      </c>
      <c r="B1439">
        <v>0.99930955844802105</v>
      </c>
      <c r="C1439">
        <v>0.72858620278848196</v>
      </c>
      <c r="D1439">
        <v>0.91295487185282398</v>
      </c>
      <c r="E1439">
        <v>1.0676615839382899</v>
      </c>
      <c r="F1439">
        <v>0.93967395903522499</v>
      </c>
      <c r="G1439">
        <v>1.05416560055502</v>
      </c>
      <c r="H1439">
        <v>0.95864927480221696</v>
      </c>
      <c r="I1439">
        <v>1.0283491059824099</v>
      </c>
      <c r="J1439">
        <v>1.09753564710139</v>
      </c>
      <c r="K1439">
        <v>0.83728363134517902</v>
      </c>
      <c r="L1439">
        <v>1.00184014753509E-5</v>
      </c>
      <c r="M1439">
        <v>11.705527004088699</v>
      </c>
      <c r="Q1439">
        <v>0.96241663564733904</v>
      </c>
      <c r="R1439">
        <v>-5.9952043329758504E-14</v>
      </c>
      <c r="S1439" t="s">
        <v>8056</v>
      </c>
      <c r="T1439" t="s">
        <v>13232</v>
      </c>
      <c r="U1439" t="s">
        <v>13232</v>
      </c>
      <c r="V1439" t="s">
        <v>13232</v>
      </c>
      <c r="W1439" t="s">
        <v>14632</v>
      </c>
      <c r="X1439">
        <v>5</v>
      </c>
      <c r="Y1439" t="s">
        <v>21149</v>
      </c>
      <c r="Z1439" t="s">
        <v>27570</v>
      </c>
      <c r="AA1439">
        <v>0.96241694563639946</v>
      </c>
      <c r="AB1439" t="str">
        <f>HYPERLINK("Melting_Curves/meltCurve_O75575_CRCP.pdf", "Melting_Curves/meltCurve_O75575_CRCP.pdf")</f>
        <v>Melting_Curves/meltCurve_O75575_CRCP.pdf</v>
      </c>
    </row>
    <row r="1440" spans="1:28" x14ac:dyDescent="0.25">
      <c r="A1440" t="s">
        <v>1444</v>
      </c>
      <c r="B1440">
        <v>0.99930955844802105</v>
      </c>
      <c r="C1440">
        <v>0.56464095055501795</v>
      </c>
      <c r="D1440">
        <v>0.63861766269394504</v>
      </c>
      <c r="E1440">
        <v>0.60042838074646299</v>
      </c>
      <c r="F1440">
        <v>0.36673562795046699</v>
      </c>
      <c r="G1440">
        <v>0.19231471164635799</v>
      </c>
      <c r="H1440">
        <v>0.135435419064313</v>
      </c>
      <c r="I1440">
        <v>0.137692266375608</v>
      </c>
      <c r="J1440">
        <v>0.14132558868916201</v>
      </c>
      <c r="K1440">
        <v>9.9869371256015804E-2</v>
      </c>
      <c r="L1440">
        <v>387.17974925415803</v>
      </c>
      <c r="M1440">
        <v>7.8632901984941697</v>
      </c>
      <c r="N1440">
        <v>49.238898829514099</v>
      </c>
      <c r="O1440">
        <v>46.359297549799699</v>
      </c>
      <c r="P1440">
        <v>-4.2455205699413003E-2</v>
      </c>
      <c r="Q1440">
        <v>0</v>
      </c>
      <c r="R1440">
        <v>0.89994502786105801</v>
      </c>
      <c r="S1440" t="s">
        <v>8057</v>
      </c>
      <c r="T1440" t="s">
        <v>13232</v>
      </c>
      <c r="U1440" t="s">
        <v>13232</v>
      </c>
      <c r="V1440" t="s">
        <v>13232</v>
      </c>
      <c r="W1440" t="s">
        <v>14633</v>
      </c>
      <c r="X1440">
        <v>3</v>
      </c>
      <c r="Y1440" t="s">
        <v>21150</v>
      </c>
      <c r="Z1440" t="s">
        <v>27571</v>
      </c>
      <c r="AA1440">
        <v>0.37376276346845438</v>
      </c>
      <c r="AB1440" t="str">
        <f>HYPERLINK("Melting_Curves/meltCurve_O75586_MED6.pdf", "Melting_Curves/meltCurve_O75586_MED6.pdf")</f>
        <v>Melting_Curves/meltCurve_O75586_MED6.pdf</v>
      </c>
    </row>
    <row r="1441" spans="1:28" x14ac:dyDescent="0.25">
      <c r="A1441" t="s">
        <v>1445</v>
      </c>
      <c r="B1441">
        <v>0.99930955844802105</v>
      </c>
      <c r="C1441">
        <v>0.38348768421257801</v>
      </c>
      <c r="D1441">
        <v>0.35249901768580799</v>
      </c>
      <c r="E1441">
        <v>0.43310461024285801</v>
      </c>
      <c r="F1441">
        <v>0.30838315902843</v>
      </c>
      <c r="G1441">
        <v>0.22657752313686799</v>
      </c>
      <c r="H1441">
        <v>0.15247184240980499</v>
      </c>
      <c r="I1441">
        <v>0.180420830691463</v>
      </c>
      <c r="J1441">
        <v>9.6191717733392204E-2</v>
      </c>
      <c r="K1441">
        <v>8.5583452399639007E-2</v>
      </c>
      <c r="L1441">
        <v>3259.91780431796</v>
      </c>
      <c r="M1441">
        <v>77.354962360579407</v>
      </c>
      <c r="N1441">
        <v>42.478728069096398</v>
      </c>
      <c r="O1441">
        <v>42.114183489892604</v>
      </c>
      <c r="P1441">
        <v>-0.35402620968145498</v>
      </c>
      <c r="Q1441">
        <v>0.22903343177257501</v>
      </c>
      <c r="R1441">
        <v>0.82913256262199997</v>
      </c>
      <c r="S1441" t="s">
        <v>8058</v>
      </c>
      <c r="T1441" t="s">
        <v>13232</v>
      </c>
      <c r="U1441" t="s">
        <v>13232</v>
      </c>
      <c r="V1441" t="s">
        <v>13232</v>
      </c>
      <c r="W1441" t="s">
        <v>14634</v>
      </c>
      <c r="X1441">
        <v>1</v>
      </c>
      <c r="Y1441" t="s">
        <v>21151</v>
      </c>
      <c r="Z1441" t="s">
        <v>27572</v>
      </c>
      <c r="AA1441">
        <v>0.28487950742639262</v>
      </c>
      <c r="AB1441" t="str">
        <f>HYPERLINK("Melting_Curves/meltCurve_O75600_GCAT.pdf", "Melting_Curves/meltCurve_O75600_GCAT.pdf")</f>
        <v>Melting_Curves/meltCurve_O75600_GCAT.pdf</v>
      </c>
    </row>
    <row r="1442" spans="1:28" x14ac:dyDescent="0.25">
      <c r="A1442" t="s">
        <v>1446</v>
      </c>
      <c r="B1442">
        <v>0.99930955844802105</v>
      </c>
      <c r="C1442">
        <v>0.99013066978271502</v>
      </c>
      <c r="D1442">
        <v>1.0021232340147801</v>
      </c>
      <c r="E1442">
        <v>0.98881871184629999</v>
      </c>
      <c r="F1442">
        <v>0.87962920658618304</v>
      </c>
      <c r="G1442">
        <v>0.759175547660209</v>
      </c>
      <c r="H1442">
        <v>0.63284849397504594</v>
      </c>
      <c r="I1442">
        <v>0.54380081551263504</v>
      </c>
      <c r="J1442">
        <v>0.49210001815926302</v>
      </c>
      <c r="K1442">
        <v>0.226667277377881</v>
      </c>
      <c r="L1442">
        <v>658.10481382037699</v>
      </c>
      <c r="M1442">
        <v>10.1977069071923</v>
      </c>
      <c r="N1442">
        <v>64.534571932980199</v>
      </c>
      <c r="O1442">
        <v>62.2005782684273</v>
      </c>
      <c r="P1442">
        <v>-4.1005694209186302E-2</v>
      </c>
      <c r="Q1442">
        <v>0</v>
      </c>
      <c r="R1442">
        <v>0.971881035206005</v>
      </c>
      <c r="S1442" t="s">
        <v>8059</v>
      </c>
      <c r="T1442" t="s">
        <v>13232</v>
      </c>
      <c r="U1442" t="s">
        <v>13232</v>
      </c>
      <c r="V1442" t="s">
        <v>13232</v>
      </c>
      <c r="W1442" t="s">
        <v>14635</v>
      </c>
      <c r="X1442">
        <v>6</v>
      </c>
      <c r="Y1442" t="s">
        <v>21152</v>
      </c>
      <c r="Z1442" t="s">
        <v>27573</v>
      </c>
      <c r="AA1442">
        <v>0.7708124378103014</v>
      </c>
      <c r="AB1442" t="str">
        <f>HYPERLINK("Melting_Curves/meltCurve_O75607_NPM3.pdf", "Melting_Curves/meltCurve_O75607_NPM3.pdf")</f>
        <v>Melting_Curves/meltCurve_O75607_NPM3.pdf</v>
      </c>
    </row>
    <row r="1443" spans="1:28" x14ac:dyDescent="0.25">
      <c r="A1443" t="s">
        <v>1447</v>
      </c>
      <c r="B1443">
        <v>0.99930955844802105</v>
      </c>
      <c r="C1443">
        <v>1.00228158116063</v>
      </c>
      <c r="D1443">
        <v>1.03267971312311</v>
      </c>
      <c r="E1443">
        <v>0.95773447095675002</v>
      </c>
      <c r="F1443">
        <v>0.77872848932613103</v>
      </c>
      <c r="G1443">
        <v>0.52524185845999405</v>
      </c>
      <c r="H1443">
        <v>0.177547987681305</v>
      </c>
      <c r="I1443">
        <v>0.127856637268349</v>
      </c>
      <c r="J1443">
        <v>0.106003837256833</v>
      </c>
      <c r="K1443">
        <v>8.0528957957610503E-2</v>
      </c>
      <c r="L1443">
        <v>1223.5180006548901</v>
      </c>
      <c r="M1443">
        <v>21.667137327245602</v>
      </c>
      <c r="N1443">
        <v>56.813120860555003</v>
      </c>
      <c r="O1443">
        <v>55.994423741232197</v>
      </c>
      <c r="P1443">
        <v>-9.0788404948322604E-2</v>
      </c>
      <c r="Q1443">
        <v>6.1523671432333497E-2</v>
      </c>
      <c r="R1443">
        <v>0.99573262359981995</v>
      </c>
      <c r="S1443" t="s">
        <v>8060</v>
      </c>
      <c r="T1443" t="s">
        <v>13232</v>
      </c>
      <c r="U1443" t="s">
        <v>13232</v>
      </c>
      <c r="V1443" t="s">
        <v>13232</v>
      </c>
      <c r="W1443" t="s">
        <v>14636</v>
      </c>
      <c r="X1443">
        <v>9</v>
      </c>
      <c r="Y1443" t="s">
        <v>21153</v>
      </c>
      <c r="Z1443" t="s">
        <v>27574</v>
      </c>
      <c r="AA1443">
        <v>0.58733428231127627</v>
      </c>
      <c r="AB1443" t="str">
        <f>HYPERLINK("Melting_Curves/meltCurve_O75608_2_LYPLA1.pdf", "Melting_Curves/meltCurve_O75608_2_LYPLA1.pdf")</f>
        <v>Melting_Curves/meltCurve_O75608_2_LYPLA1.pdf</v>
      </c>
    </row>
    <row r="1444" spans="1:28" x14ac:dyDescent="0.25">
      <c r="A1444" t="s">
        <v>1448</v>
      </c>
      <c r="B1444">
        <v>0.99930955844802105</v>
      </c>
      <c r="C1444">
        <v>1.2444990602360799</v>
      </c>
      <c r="D1444">
        <v>1.23973098743666</v>
      </c>
      <c r="E1444">
        <v>1.1219243350783099</v>
      </c>
      <c r="F1444">
        <v>1.12754227533409</v>
      </c>
      <c r="G1444">
        <v>0.83040735417581102</v>
      </c>
      <c r="H1444">
        <v>0.85689001396792597</v>
      </c>
      <c r="I1444">
        <v>0.74567963295909601</v>
      </c>
      <c r="J1444">
        <v>0.86363182773584701</v>
      </c>
      <c r="K1444">
        <v>0.68336794631249598</v>
      </c>
      <c r="L1444">
        <v>14171.8045846552</v>
      </c>
      <c r="M1444">
        <v>250</v>
      </c>
      <c r="O1444">
        <v>56.683578580673299</v>
      </c>
      <c r="P1444">
        <v>-0.23442372064162301</v>
      </c>
      <c r="Q1444">
        <v>0.78739234827425397</v>
      </c>
      <c r="R1444">
        <v>0.53988081566822499</v>
      </c>
      <c r="S1444" t="s">
        <v>8061</v>
      </c>
      <c r="T1444" t="s">
        <v>13232</v>
      </c>
      <c r="U1444" t="s">
        <v>13232</v>
      </c>
      <c r="V1444" t="s">
        <v>13232</v>
      </c>
      <c r="W1444" t="s">
        <v>14637</v>
      </c>
      <c r="X1444">
        <v>1</v>
      </c>
      <c r="Y1444" t="s">
        <v>21154</v>
      </c>
      <c r="Z1444" t="s">
        <v>27575</v>
      </c>
      <c r="AA1444">
        <v>0.90567450974631669</v>
      </c>
      <c r="AB1444" t="str">
        <f>HYPERLINK("Melting_Curves/meltCurve_O75629_CREG1.pdf", "Melting_Curves/meltCurve_O75629_CREG1.pdf")</f>
        <v>Melting_Curves/meltCurve_O75629_CREG1.pdf</v>
      </c>
    </row>
    <row r="1445" spans="1:28" x14ac:dyDescent="0.25">
      <c r="A1445" t="s">
        <v>1449</v>
      </c>
      <c r="B1445">
        <v>0.99930955844802105</v>
      </c>
      <c r="C1445">
        <v>0.88004189713314895</v>
      </c>
      <c r="D1445">
        <v>0.68009585570740505</v>
      </c>
      <c r="E1445">
        <v>0.55939543204427</v>
      </c>
      <c r="F1445">
        <v>0.34679262170613001</v>
      </c>
      <c r="G1445">
        <v>0.24700869621011801</v>
      </c>
      <c r="H1445">
        <v>0.11842262680871</v>
      </c>
      <c r="I1445">
        <v>9.4313616144684101E-2</v>
      </c>
      <c r="J1445">
        <v>8.2432315132962605E-2</v>
      </c>
      <c r="K1445">
        <v>3.7651135683072601E-2</v>
      </c>
      <c r="L1445">
        <v>550.24846409579595</v>
      </c>
      <c r="M1445">
        <v>10.9358191427708</v>
      </c>
      <c r="N1445">
        <v>50.379672223125503</v>
      </c>
      <c r="O1445">
        <v>48.721415117863202</v>
      </c>
      <c r="P1445">
        <v>-5.5749126274812599E-2</v>
      </c>
      <c r="Q1445">
        <v>6.8455644658597702E-3</v>
      </c>
      <c r="R1445">
        <v>0.99133464603628796</v>
      </c>
      <c r="S1445" t="s">
        <v>8062</v>
      </c>
      <c r="T1445" t="s">
        <v>13232</v>
      </c>
      <c r="U1445" t="s">
        <v>13232</v>
      </c>
      <c r="V1445" t="s">
        <v>13232</v>
      </c>
      <c r="W1445" t="s">
        <v>14638</v>
      </c>
      <c r="X1445">
        <v>2</v>
      </c>
      <c r="Y1445" t="s">
        <v>21155</v>
      </c>
      <c r="Z1445" t="s">
        <v>27576</v>
      </c>
      <c r="AA1445">
        <v>0.38705416660376762</v>
      </c>
      <c r="AB1445" t="str">
        <f>HYPERLINK("Melting_Curves/meltCurve_O75635_2_SERPINB7.pdf", "Melting_Curves/meltCurve_O75635_2_SERPINB7.pdf")</f>
        <v>Melting_Curves/meltCurve_O75635_2_SERPINB7.pdf</v>
      </c>
    </row>
    <row r="1446" spans="1:28" x14ac:dyDescent="0.25">
      <c r="A1446" t="s">
        <v>1450</v>
      </c>
      <c r="B1446">
        <v>0.99930955844802105</v>
      </c>
      <c r="C1446">
        <v>0.73601642074687901</v>
      </c>
      <c r="D1446">
        <v>0.78995258402247504</v>
      </c>
      <c r="E1446">
        <v>0.82641895352541705</v>
      </c>
      <c r="F1446">
        <v>0.388927542563693</v>
      </c>
      <c r="G1446">
        <v>0.27609626568488399</v>
      </c>
      <c r="H1446">
        <v>0.21322911482581</v>
      </c>
      <c r="I1446">
        <v>0.186517087371359</v>
      </c>
      <c r="J1446">
        <v>0.172815975227224</v>
      </c>
      <c r="K1446">
        <v>0.12511797276298101</v>
      </c>
      <c r="L1446">
        <v>519.70242446622296</v>
      </c>
      <c r="M1446">
        <v>9.9782235939086696</v>
      </c>
      <c r="N1446">
        <v>52.638990993758597</v>
      </c>
      <c r="O1446">
        <v>50.121352033513197</v>
      </c>
      <c r="P1446">
        <v>-4.7307191927816503E-2</v>
      </c>
      <c r="Q1446">
        <v>4.9956290645373699E-2</v>
      </c>
      <c r="R1446">
        <v>0.91420605659959697</v>
      </c>
      <c r="S1446" t="s">
        <v>8063</v>
      </c>
      <c r="T1446" t="s">
        <v>13232</v>
      </c>
      <c r="U1446" t="s">
        <v>13232</v>
      </c>
      <c r="V1446" t="s">
        <v>13232</v>
      </c>
      <c r="W1446" t="s">
        <v>14639</v>
      </c>
      <c r="X1446">
        <v>66</v>
      </c>
      <c r="Y1446" t="s">
        <v>21156</v>
      </c>
      <c r="Z1446" t="s">
        <v>27577</v>
      </c>
      <c r="AA1446">
        <v>0.46848414123590032</v>
      </c>
      <c r="AB1446" t="str">
        <f>HYPERLINK("Melting_Curves/meltCurve_O75643_SNRNP200.pdf", "Melting_Curves/meltCurve_O75643_SNRNP200.pdf")</f>
        <v>Melting_Curves/meltCurve_O75643_SNRNP200.pdf</v>
      </c>
    </row>
    <row r="1447" spans="1:28" x14ac:dyDescent="0.25">
      <c r="A1447" t="s">
        <v>1451</v>
      </c>
      <c r="B1447">
        <v>0.99930955844802105</v>
      </c>
      <c r="C1447">
        <v>1.12449548048527</v>
      </c>
      <c r="D1447">
        <v>1.16404282804599</v>
      </c>
      <c r="E1447">
        <v>1.0374050814811999</v>
      </c>
      <c r="F1447">
        <v>0.45934768459937098</v>
      </c>
      <c r="G1447">
        <v>0.189647242950893</v>
      </c>
      <c r="H1447">
        <v>0.111970111938162</v>
      </c>
      <c r="I1447">
        <v>8.9922434631546602E-2</v>
      </c>
      <c r="J1447">
        <v>7.7422457419301302E-2</v>
      </c>
      <c r="K1447">
        <v>6.15398148845272E-2</v>
      </c>
      <c r="L1447">
        <v>13227.442793031099</v>
      </c>
      <c r="M1447">
        <v>250</v>
      </c>
      <c r="N1447">
        <v>52.960298036993599</v>
      </c>
      <c r="O1447">
        <v>52.906397553348199</v>
      </c>
      <c r="P1447">
        <v>-1.05599209830859</v>
      </c>
      <c r="Q1447">
        <v>0.106100403108177</v>
      </c>
      <c r="R1447">
        <v>0.97489435067579999</v>
      </c>
      <c r="S1447" t="s">
        <v>8064</v>
      </c>
      <c r="T1447" t="s">
        <v>13232</v>
      </c>
      <c r="U1447" t="s">
        <v>13232</v>
      </c>
      <c r="V1447" t="s">
        <v>13232</v>
      </c>
      <c r="W1447" t="s">
        <v>14640</v>
      </c>
      <c r="X1447">
        <v>17</v>
      </c>
      <c r="Y1447" t="s">
        <v>21157</v>
      </c>
      <c r="Z1447" t="s">
        <v>27578</v>
      </c>
      <c r="AA1447">
        <v>0.49085138178359222</v>
      </c>
      <c r="AB1447" t="str">
        <f>HYPERLINK("Melting_Curves/meltCurve_O75663_TIPRL.pdf", "Melting_Curves/meltCurve_O75663_TIPRL.pdf")</f>
        <v>Melting_Curves/meltCurve_O75663_TIPRL.pdf</v>
      </c>
    </row>
    <row r="1448" spans="1:28" x14ac:dyDescent="0.25">
      <c r="A1448" t="s">
        <v>1452</v>
      </c>
      <c r="B1448">
        <v>0.99930955844802105</v>
      </c>
      <c r="C1448">
        <v>1.0376465355479201</v>
      </c>
      <c r="D1448">
        <v>1.01390169523602</v>
      </c>
      <c r="E1448">
        <v>0.86928360801447002</v>
      </c>
      <c r="F1448">
        <v>0.73546242970143005</v>
      </c>
      <c r="G1448">
        <v>0.67467733980401501</v>
      </c>
      <c r="H1448">
        <v>0.532895521825272</v>
      </c>
      <c r="I1448">
        <v>0.61571829995481497</v>
      </c>
      <c r="J1448">
        <v>0.57965181210884498</v>
      </c>
      <c r="K1448">
        <v>0.45071288062847398</v>
      </c>
      <c r="L1448">
        <v>912.08886806272301</v>
      </c>
      <c r="M1448">
        <v>17.1720306987025</v>
      </c>
      <c r="O1448">
        <v>52.410173077232102</v>
      </c>
      <c r="P1448">
        <v>-3.8867585125789902E-2</v>
      </c>
      <c r="Q1448">
        <v>0.52552242460850496</v>
      </c>
      <c r="R1448">
        <v>0.95012618231663304</v>
      </c>
      <c r="S1448" t="s">
        <v>8065</v>
      </c>
      <c r="T1448" t="s">
        <v>13232</v>
      </c>
      <c r="U1448" t="s">
        <v>13232</v>
      </c>
      <c r="V1448" t="s">
        <v>13232</v>
      </c>
      <c r="W1448" t="s">
        <v>14641</v>
      </c>
      <c r="X1448">
        <v>17</v>
      </c>
      <c r="Y1448" t="s">
        <v>21158</v>
      </c>
      <c r="Z1448" t="s">
        <v>27579</v>
      </c>
      <c r="AA1448">
        <v>0.74128844540121763</v>
      </c>
      <c r="AB1448" t="str">
        <f>HYPERLINK("Melting_Curves/meltCurve_O75683_SURF6.pdf", "Melting_Curves/meltCurve_O75683_SURF6.pdf")</f>
        <v>Melting_Curves/meltCurve_O75683_SURF6.pdf</v>
      </c>
    </row>
    <row r="1449" spans="1:28" x14ac:dyDescent="0.25">
      <c r="A1449" t="s">
        <v>1453</v>
      </c>
      <c r="B1449">
        <v>0.99930955844802105</v>
      </c>
      <c r="C1449">
        <v>1.1104088878631699</v>
      </c>
      <c r="D1449">
        <v>1.0830860433607199</v>
      </c>
      <c r="E1449">
        <v>0.96934528013079402</v>
      </c>
      <c r="F1449">
        <v>0.32033596673944598</v>
      </c>
      <c r="G1449">
        <v>0.19384092368026101</v>
      </c>
      <c r="H1449">
        <v>0.130184582283595</v>
      </c>
      <c r="I1449">
        <v>0.12083379434788701</v>
      </c>
      <c r="J1449">
        <v>0.116106351803363</v>
      </c>
      <c r="K1449">
        <v>8.3893037801781201E-2</v>
      </c>
      <c r="L1449">
        <v>3955.00616531884</v>
      </c>
      <c r="M1449">
        <v>75.879942491651605</v>
      </c>
      <c r="N1449">
        <v>52.326792173249899</v>
      </c>
      <c r="O1449">
        <v>52.085730884555602</v>
      </c>
      <c r="P1449">
        <v>-0.31739765242365597</v>
      </c>
      <c r="Q1449">
        <v>0.128524174560742</v>
      </c>
      <c r="R1449">
        <v>0.98667803848209901</v>
      </c>
      <c r="S1449" t="s">
        <v>8066</v>
      </c>
      <c r="T1449" t="s">
        <v>13232</v>
      </c>
      <c r="U1449" t="s">
        <v>13232</v>
      </c>
      <c r="V1449" t="s">
        <v>13232</v>
      </c>
      <c r="W1449" t="s">
        <v>14642</v>
      </c>
      <c r="X1449">
        <v>17</v>
      </c>
      <c r="Y1449" t="s">
        <v>21159</v>
      </c>
      <c r="Z1449" t="s">
        <v>27580</v>
      </c>
      <c r="AA1449">
        <v>0.48152258042896501</v>
      </c>
      <c r="AB1449" t="str">
        <f>HYPERLINK("Melting_Curves/meltCurve_O75688_PPM1B.pdf", "Melting_Curves/meltCurve_O75688_PPM1B.pdf")</f>
        <v>Melting_Curves/meltCurve_O75688_PPM1B.pdf</v>
      </c>
    </row>
    <row r="1450" spans="1:28" x14ac:dyDescent="0.25">
      <c r="A1450" t="s">
        <v>1454</v>
      </c>
      <c r="B1450">
        <v>0.99930955844802105</v>
      </c>
      <c r="C1450">
        <v>1.0180351910785499</v>
      </c>
      <c r="D1450">
        <v>0.98780012865114097</v>
      </c>
      <c r="E1450">
        <v>0.93745042842980897</v>
      </c>
      <c r="F1450">
        <v>0.68195099211607102</v>
      </c>
      <c r="G1450">
        <v>0.218063087747254</v>
      </c>
      <c r="H1450">
        <v>0.102682974546336</v>
      </c>
      <c r="I1450">
        <v>7.7817687237733593E-2</v>
      </c>
      <c r="J1450">
        <v>7.2062078717349598E-2</v>
      </c>
      <c r="K1450">
        <v>5.14216617974299E-2</v>
      </c>
      <c r="L1450">
        <v>1712.8933387695099</v>
      </c>
      <c r="M1450">
        <v>31.660765715343999</v>
      </c>
      <c r="N1450">
        <v>54.346108073531397</v>
      </c>
      <c r="O1450">
        <v>53.886987616552602</v>
      </c>
      <c r="P1450">
        <v>-0.13712957302508599</v>
      </c>
      <c r="Q1450">
        <v>6.6420451183053494E-2</v>
      </c>
      <c r="R1450">
        <v>0.99953376244016601</v>
      </c>
      <c r="S1450" t="s">
        <v>8067</v>
      </c>
      <c r="T1450" t="s">
        <v>13232</v>
      </c>
      <c r="U1450" t="s">
        <v>13232</v>
      </c>
      <c r="V1450" t="s">
        <v>13232</v>
      </c>
      <c r="W1450" t="s">
        <v>14643</v>
      </c>
      <c r="X1450">
        <v>4</v>
      </c>
      <c r="Y1450" t="s">
        <v>21160</v>
      </c>
      <c r="Z1450" t="s">
        <v>27581</v>
      </c>
      <c r="AA1450">
        <v>0.51077924682925346</v>
      </c>
      <c r="AB1450" t="str">
        <f>HYPERLINK("Melting_Curves/meltCurve_O75695_RP2.pdf", "Melting_Curves/meltCurve_O75695_RP2.pdf")</f>
        <v>Melting_Curves/meltCurve_O75695_RP2.pdf</v>
      </c>
    </row>
    <row r="1451" spans="1:28" x14ac:dyDescent="0.25">
      <c r="A1451" t="s">
        <v>1455</v>
      </c>
      <c r="B1451">
        <v>0.99930955844802105</v>
      </c>
      <c r="C1451">
        <v>0.98215826779931203</v>
      </c>
      <c r="D1451">
        <v>0.91364067384580805</v>
      </c>
      <c r="E1451">
        <v>0.77214358348480105</v>
      </c>
      <c r="F1451">
        <v>0.466278503084123</v>
      </c>
      <c r="G1451">
        <v>0.33492248437370098</v>
      </c>
      <c r="H1451">
        <v>0.31640782680444002</v>
      </c>
      <c r="I1451">
        <v>0.32043212445201402</v>
      </c>
      <c r="J1451">
        <v>0.32150321734530601</v>
      </c>
      <c r="K1451">
        <v>0.24411667755772501</v>
      </c>
      <c r="L1451">
        <v>1329.1377313819401</v>
      </c>
      <c r="M1451">
        <v>26.034533929029699</v>
      </c>
      <c r="N1451">
        <v>52.851678900121001</v>
      </c>
      <c r="O1451">
        <v>50.754515937214499</v>
      </c>
      <c r="P1451">
        <v>-9.0553817006118004E-2</v>
      </c>
      <c r="Q1451">
        <v>0.293866756019177</v>
      </c>
      <c r="R1451">
        <v>0.99095860110110101</v>
      </c>
      <c r="S1451" t="s">
        <v>8068</v>
      </c>
      <c r="T1451" t="s">
        <v>13232</v>
      </c>
      <c r="U1451" t="s">
        <v>13232</v>
      </c>
      <c r="V1451" t="s">
        <v>13232</v>
      </c>
      <c r="W1451" t="s">
        <v>14644</v>
      </c>
      <c r="X1451">
        <v>32</v>
      </c>
      <c r="Y1451" t="s">
        <v>21161</v>
      </c>
      <c r="Z1451" t="s">
        <v>27582</v>
      </c>
      <c r="AA1451">
        <v>0.55991936154874411</v>
      </c>
      <c r="AB1451" t="str">
        <f>HYPERLINK("Melting_Curves/meltCurve_O75717_WDHD1.pdf", "Melting_Curves/meltCurve_O75717_WDHD1.pdf")</f>
        <v>Melting_Curves/meltCurve_O75717_WDHD1.pdf</v>
      </c>
    </row>
    <row r="1452" spans="1:28" x14ac:dyDescent="0.25">
      <c r="A1452" t="s">
        <v>1456</v>
      </c>
      <c r="B1452">
        <v>0.99930955844802105</v>
      </c>
      <c r="C1452">
        <v>0.72532876778095901</v>
      </c>
      <c r="D1452">
        <v>0.56698400654379999</v>
      </c>
      <c r="E1452">
        <v>0.37537223191519498</v>
      </c>
      <c r="F1452">
        <v>0.22233646276816099</v>
      </c>
      <c r="G1452">
        <v>0.13832078720176999</v>
      </c>
      <c r="H1452">
        <v>7.3149402194411697E-2</v>
      </c>
      <c r="I1452">
        <v>5.2941526653091403E-2</v>
      </c>
      <c r="J1452">
        <v>1.8411085257615901E-2</v>
      </c>
      <c r="K1452">
        <v>9.1044315354933108E-3</v>
      </c>
      <c r="L1452">
        <v>564.23125811012198</v>
      </c>
      <c r="M1452">
        <v>11.897202992878</v>
      </c>
      <c r="N1452">
        <v>47.442904415858202</v>
      </c>
      <c r="O1452">
        <v>46.1451866986528</v>
      </c>
      <c r="P1452">
        <v>-6.4331281878612603E-2</v>
      </c>
      <c r="Q1452">
        <v>2.1724359144399E-3</v>
      </c>
      <c r="R1452">
        <v>0.98636155492500299</v>
      </c>
      <c r="S1452" t="s">
        <v>8069</v>
      </c>
      <c r="T1452" t="s">
        <v>13232</v>
      </c>
      <c r="U1452" t="s">
        <v>13232</v>
      </c>
      <c r="V1452" t="s">
        <v>13232</v>
      </c>
      <c r="W1452" t="s">
        <v>14645</v>
      </c>
      <c r="X1452">
        <v>4</v>
      </c>
      <c r="Y1452" t="s">
        <v>21162</v>
      </c>
      <c r="Z1452" t="s">
        <v>27583</v>
      </c>
      <c r="AA1452">
        <v>0.29039934597009109</v>
      </c>
      <c r="AB1452" t="str">
        <f>HYPERLINK("Melting_Curves/meltCurve_O75771_3_RAD51D.pdf", "Melting_Curves/meltCurve_O75771_3_RAD51D.pdf")</f>
        <v>Melting_Curves/meltCurve_O75771_3_RAD51D.pdf</v>
      </c>
    </row>
    <row r="1453" spans="1:28" x14ac:dyDescent="0.25">
      <c r="A1453" t="s">
        <v>1457</v>
      </c>
      <c r="B1453">
        <v>0.99930955844802105</v>
      </c>
      <c r="C1453">
        <v>1.2877015241573999</v>
      </c>
      <c r="D1453">
        <v>1.2031193078715801</v>
      </c>
      <c r="E1453">
        <v>1.12227899562677</v>
      </c>
      <c r="F1453">
        <v>1.02892192383637</v>
      </c>
      <c r="G1453">
        <v>0.95786737343667905</v>
      </c>
      <c r="H1453">
        <v>1.0466386346122001</v>
      </c>
      <c r="I1453">
        <v>1.1632274098956501</v>
      </c>
      <c r="J1453">
        <v>1.20135592124274</v>
      </c>
      <c r="K1453">
        <v>0.95134341428983804</v>
      </c>
      <c r="L1453">
        <v>10242.3130264024</v>
      </c>
      <c r="M1453">
        <v>250</v>
      </c>
      <c r="O1453">
        <v>40.9666335017085</v>
      </c>
      <c r="P1453">
        <v>0.16314961451763499</v>
      </c>
      <c r="Q1453">
        <v>1.1069390390670599</v>
      </c>
      <c r="R1453">
        <v>8.6276728952914397E-2</v>
      </c>
      <c r="S1453" t="s">
        <v>8070</v>
      </c>
      <c r="T1453" t="s">
        <v>13232</v>
      </c>
      <c r="U1453" t="s">
        <v>13232</v>
      </c>
      <c r="V1453" t="s">
        <v>13232</v>
      </c>
      <c r="W1453" t="s">
        <v>14646</v>
      </c>
      <c r="X1453">
        <v>13</v>
      </c>
      <c r="Y1453" t="s">
        <v>21163</v>
      </c>
      <c r="Z1453" t="s">
        <v>27584</v>
      </c>
      <c r="AA1453">
        <v>1.1034750293177991</v>
      </c>
      <c r="AB1453" t="str">
        <f>HYPERLINK("Melting_Curves/meltCurve_O75781_PALM.pdf", "Melting_Curves/meltCurve_O75781_PALM.pdf")</f>
        <v>Melting_Curves/meltCurve_O75781_PALM.pdf</v>
      </c>
    </row>
    <row r="1454" spans="1:28" x14ac:dyDescent="0.25">
      <c r="A1454" t="s">
        <v>1458</v>
      </c>
      <c r="B1454">
        <v>0.99930955844802105</v>
      </c>
      <c r="C1454">
        <v>1.01555403456281</v>
      </c>
      <c r="D1454">
        <v>1.0336896156172699</v>
      </c>
      <c r="E1454">
        <v>0.78887921937391003</v>
      </c>
      <c r="F1454">
        <v>0.433806423850293</v>
      </c>
      <c r="G1454">
        <v>0.26662171403142398</v>
      </c>
      <c r="H1454">
        <v>0.162935087531937</v>
      </c>
      <c r="I1454">
        <v>0.10790962896969</v>
      </c>
      <c r="J1454">
        <v>8.3262806998280703E-2</v>
      </c>
      <c r="K1454">
        <v>7.7025309060646002E-2</v>
      </c>
      <c r="L1454">
        <v>1268.6794908505101</v>
      </c>
      <c r="M1454">
        <v>24.265566443373199</v>
      </c>
      <c r="N1454">
        <v>52.789775752873098</v>
      </c>
      <c r="O1454">
        <v>51.931900511903201</v>
      </c>
      <c r="P1454">
        <v>-0.1046816147151</v>
      </c>
      <c r="Q1454">
        <v>0.103876775817472</v>
      </c>
      <c r="R1454">
        <v>0.99197190561520399</v>
      </c>
      <c r="S1454" t="s">
        <v>8071</v>
      </c>
      <c r="T1454" t="s">
        <v>13232</v>
      </c>
      <c r="U1454" t="s">
        <v>13232</v>
      </c>
      <c r="V1454" t="s">
        <v>13232</v>
      </c>
      <c r="W1454" t="s">
        <v>14647</v>
      </c>
      <c r="X1454">
        <v>5</v>
      </c>
      <c r="Y1454" t="s">
        <v>21164</v>
      </c>
      <c r="Z1454" t="s">
        <v>27585</v>
      </c>
      <c r="AA1454">
        <v>0.4794650280935579</v>
      </c>
      <c r="AB1454" t="str">
        <f>HYPERLINK("Melting_Curves/meltCurve_O75791_GRAP2.pdf", "Melting_Curves/meltCurve_O75791_GRAP2.pdf")</f>
        <v>Melting_Curves/meltCurve_O75791_GRAP2.pdf</v>
      </c>
    </row>
    <row r="1455" spans="1:28" x14ac:dyDescent="0.25">
      <c r="A1455" t="s">
        <v>1459</v>
      </c>
      <c r="B1455">
        <v>0.99930955844802105</v>
      </c>
      <c r="C1455">
        <v>1.0359022532614</v>
      </c>
      <c r="D1455">
        <v>0.94560509605134202</v>
      </c>
      <c r="E1455">
        <v>0.76954099502776996</v>
      </c>
      <c r="F1455">
        <v>0.48879782175331199</v>
      </c>
      <c r="G1455">
        <v>0.205391827364478</v>
      </c>
      <c r="H1455">
        <v>8.9050922648164305E-2</v>
      </c>
      <c r="I1455">
        <v>6.9304233717891503E-2</v>
      </c>
      <c r="J1455">
        <v>6.2572203367362897E-2</v>
      </c>
      <c r="K1455">
        <v>4.9319999144868502E-2</v>
      </c>
      <c r="L1455">
        <v>1130.8160630408599</v>
      </c>
      <c r="M1455">
        <v>21.480547020137301</v>
      </c>
      <c r="N1455">
        <v>52.890177207133</v>
      </c>
      <c r="O1455">
        <v>52.193844422304103</v>
      </c>
      <c r="P1455">
        <v>-9.7990905447032095E-2</v>
      </c>
      <c r="Q1455">
        <v>4.7622654686296499E-2</v>
      </c>
      <c r="R1455">
        <v>0.99869814756578201</v>
      </c>
      <c r="S1455" t="s">
        <v>8072</v>
      </c>
      <c r="T1455" t="s">
        <v>13232</v>
      </c>
      <c r="U1455" t="s">
        <v>13232</v>
      </c>
      <c r="V1455" t="s">
        <v>13232</v>
      </c>
      <c r="W1455" t="s">
        <v>14648</v>
      </c>
      <c r="X1455">
        <v>15</v>
      </c>
      <c r="Y1455" t="s">
        <v>21165</v>
      </c>
      <c r="Z1455" t="s">
        <v>27586</v>
      </c>
      <c r="AA1455">
        <v>0.46058582920389562</v>
      </c>
      <c r="AB1455" t="str">
        <f>HYPERLINK("Melting_Curves/meltCurve_O75792_RNASEH2A.pdf", "Melting_Curves/meltCurve_O75792_RNASEH2A.pdf")</f>
        <v>Melting_Curves/meltCurve_O75792_RNASEH2A.pdf</v>
      </c>
    </row>
    <row r="1456" spans="1:28" x14ac:dyDescent="0.25">
      <c r="A1456" t="s">
        <v>1460</v>
      </c>
      <c r="B1456">
        <v>0.99930955844802105</v>
      </c>
      <c r="C1456">
        <v>0.91073195543295304</v>
      </c>
      <c r="D1456">
        <v>0.795909008350559</v>
      </c>
      <c r="E1456">
        <v>0.62842820078027095</v>
      </c>
      <c r="F1456">
        <v>0.41788001164042199</v>
      </c>
      <c r="G1456">
        <v>0.299246145131978</v>
      </c>
      <c r="H1456">
        <v>0.23846586327247299</v>
      </c>
      <c r="I1456">
        <v>0.24172072759287699</v>
      </c>
      <c r="J1456">
        <v>0.22543018157457201</v>
      </c>
      <c r="K1456">
        <v>0.18413471648239399</v>
      </c>
      <c r="L1456">
        <v>700.06171113175606</v>
      </c>
      <c r="M1456">
        <v>14.008264783508</v>
      </c>
      <c r="N1456">
        <v>51.699866781057501</v>
      </c>
      <c r="O1456">
        <v>48.989521091532701</v>
      </c>
      <c r="P1456">
        <v>-5.8148727442436599E-2</v>
      </c>
      <c r="Q1456">
        <v>0.18667949151451399</v>
      </c>
      <c r="R1456">
        <v>0.99549899863273394</v>
      </c>
      <c r="S1456" t="s">
        <v>8073</v>
      </c>
      <c r="T1456" t="s">
        <v>13232</v>
      </c>
      <c r="U1456" t="s">
        <v>13232</v>
      </c>
      <c r="V1456" t="s">
        <v>13232</v>
      </c>
      <c r="W1456" t="s">
        <v>14649</v>
      </c>
      <c r="X1456">
        <v>6</v>
      </c>
      <c r="Y1456" t="s">
        <v>21166</v>
      </c>
      <c r="Z1456" t="s">
        <v>27587</v>
      </c>
      <c r="AA1456">
        <v>0.47897730988731879</v>
      </c>
      <c r="AB1456" t="str">
        <f>HYPERLINK("Melting_Curves/meltCurve_O75794_CDC123.pdf", "Melting_Curves/meltCurve_O75794_CDC123.pdf")</f>
        <v>Melting_Curves/meltCurve_O75794_CDC123.pdf</v>
      </c>
    </row>
    <row r="1457" spans="1:28" x14ac:dyDescent="0.25">
      <c r="A1457" t="s">
        <v>1461</v>
      </c>
      <c r="B1457">
        <v>0.99930955844802105</v>
      </c>
      <c r="C1457">
        <v>1.01608242953494</v>
      </c>
      <c r="D1457">
        <v>0.82284256242371401</v>
      </c>
      <c r="E1457">
        <v>0.79315007808112004</v>
      </c>
      <c r="F1457">
        <v>0.72522941477940195</v>
      </c>
      <c r="G1457">
        <v>0.63432008712131804</v>
      </c>
      <c r="H1457">
        <v>0.63137933105083299</v>
      </c>
      <c r="I1457">
        <v>0.65449380919824196</v>
      </c>
      <c r="J1457">
        <v>0.61089694595939004</v>
      </c>
      <c r="K1457">
        <v>0.51257232958854404</v>
      </c>
      <c r="L1457">
        <v>589.52077019300896</v>
      </c>
      <c r="M1457">
        <v>11.772107824250501</v>
      </c>
      <c r="O1457">
        <v>48.6982384993767</v>
      </c>
      <c r="P1457">
        <v>-2.6019605670913E-2</v>
      </c>
      <c r="Q1457">
        <v>0.56956570805293005</v>
      </c>
      <c r="R1457">
        <v>0.92654971879145598</v>
      </c>
      <c r="S1457" t="s">
        <v>8074</v>
      </c>
      <c r="T1457" t="s">
        <v>13232</v>
      </c>
      <c r="U1457" t="s">
        <v>13232</v>
      </c>
      <c r="V1457" t="s">
        <v>13232</v>
      </c>
      <c r="W1457" t="s">
        <v>14650</v>
      </c>
      <c r="X1457">
        <v>1</v>
      </c>
      <c r="Y1457" t="s">
        <v>21167</v>
      </c>
      <c r="Z1457" t="s">
        <v>27588</v>
      </c>
      <c r="AA1457">
        <v>0.72943640822839861</v>
      </c>
      <c r="AB1457" t="str">
        <f>HYPERLINK("Melting_Curves/meltCurve_O75807_PPP1R15A.pdf", "Melting_Curves/meltCurve_O75807_PPP1R15A.pdf")</f>
        <v>Melting_Curves/meltCurve_O75807_PPP1R15A.pdf</v>
      </c>
    </row>
    <row r="1458" spans="1:28" x14ac:dyDescent="0.25">
      <c r="A1458" t="s">
        <v>1462</v>
      </c>
      <c r="B1458">
        <v>0.99930955844802105</v>
      </c>
      <c r="C1458">
        <v>1.0374510176780301</v>
      </c>
      <c r="D1458">
        <v>1.0377132719547599</v>
      </c>
      <c r="E1458">
        <v>0.82212135790639496</v>
      </c>
      <c r="F1458">
        <v>0.54200773404251001</v>
      </c>
      <c r="G1458">
        <v>0.46386574872483</v>
      </c>
      <c r="H1458">
        <v>0.39838529760796798</v>
      </c>
      <c r="I1458">
        <v>0.38685569324142699</v>
      </c>
      <c r="J1458">
        <v>0.39233403545935602</v>
      </c>
      <c r="K1458">
        <v>0.302994672204077</v>
      </c>
      <c r="L1458">
        <v>1599.89836165166</v>
      </c>
      <c r="M1458">
        <v>31.074985170618501</v>
      </c>
      <c r="N1458">
        <v>53.944831640905598</v>
      </c>
      <c r="O1458">
        <v>51.273284188804404</v>
      </c>
      <c r="P1458">
        <v>-9.4126699678763304E-2</v>
      </c>
      <c r="Q1458">
        <v>0.37877264717502701</v>
      </c>
      <c r="R1458">
        <v>0.98297000386282396</v>
      </c>
      <c r="S1458" t="s">
        <v>8075</v>
      </c>
      <c r="T1458" t="s">
        <v>13232</v>
      </c>
      <c r="U1458" t="s">
        <v>13232</v>
      </c>
      <c r="V1458" t="s">
        <v>13232</v>
      </c>
      <c r="W1458" t="s">
        <v>14651</v>
      </c>
      <c r="X1458">
        <v>8</v>
      </c>
      <c r="Y1458" t="s">
        <v>21168</v>
      </c>
      <c r="Z1458" t="s">
        <v>27589</v>
      </c>
      <c r="AA1458">
        <v>0.62027077364650662</v>
      </c>
      <c r="AB1458" t="str">
        <f>HYPERLINK("Melting_Curves/meltCurve_O75808_SOLH.pdf", "Melting_Curves/meltCurve_O75808_SOLH.pdf")</f>
        <v>Melting_Curves/meltCurve_O75808_SOLH.pdf</v>
      </c>
    </row>
    <row r="1459" spans="1:28" x14ac:dyDescent="0.25">
      <c r="A1459" t="s">
        <v>1463</v>
      </c>
      <c r="B1459">
        <v>0.99930955844802105</v>
      </c>
      <c r="C1459">
        <v>0.84371498288304503</v>
      </c>
      <c r="D1459">
        <v>0.85662610575975195</v>
      </c>
      <c r="E1459">
        <v>0.96247280796257795</v>
      </c>
      <c r="F1459">
        <v>0.94616760634885799</v>
      </c>
      <c r="G1459">
        <v>0.66847041091486503</v>
      </c>
      <c r="H1459">
        <v>0.350194660983982</v>
      </c>
      <c r="I1459">
        <v>0.24575839212631101</v>
      </c>
      <c r="J1459">
        <v>0.16365420193623001</v>
      </c>
      <c r="K1459">
        <v>9.6321795702406801E-2</v>
      </c>
      <c r="L1459">
        <v>1214.0708512198901</v>
      </c>
      <c r="M1459">
        <v>20.703420819510999</v>
      </c>
      <c r="N1459">
        <v>59.1788049543417</v>
      </c>
      <c r="O1459">
        <v>58.102207849060697</v>
      </c>
      <c r="P1459">
        <v>-8.1446340236855305E-2</v>
      </c>
      <c r="Q1459">
        <v>8.5740084711005193E-2</v>
      </c>
      <c r="R1459">
        <v>0.95984775669225197</v>
      </c>
      <c r="S1459" t="s">
        <v>8076</v>
      </c>
      <c r="T1459" t="s">
        <v>13232</v>
      </c>
      <c r="U1459" t="s">
        <v>13232</v>
      </c>
      <c r="V1459" t="s">
        <v>13232</v>
      </c>
      <c r="W1459" t="s">
        <v>14652</v>
      </c>
      <c r="X1459">
        <v>7</v>
      </c>
      <c r="Y1459" t="s">
        <v>21169</v>
      </c>
      <c r="Z1459" t="s">
        <v>27590</v>
      </c>
      <c r="AA1459">
        <v>0.66322782224923282</v>
      </c>
      <c r="AB1459" t="str">
        <f>HYPERLINK("Melting_Curves/meltCurve_O75818_2_RPP40.pdf", "Melting_Curves/meltCurve_O75818_2_RPP40.pdf")</f>
        <v>Melting_Curves/meltCurve_O75818_2_RPP40.pdf</v>
      </c>
    </row>
    <row r="1460" spans="1:28" x14ac:dyDescent="0.25">
      <c r="A1460" t="s">
        <v>1464</v>
      </c>
      <c r="B1460">
        <v>0.99930955844802105</v>
      </c>
      <c r="C1460">
        <v>1.03526294762439</v>
      </c>
      <c r="D1460">
        <v>1.02012009219644</v>
      </c>
      <c r="E1460">
        <v>0.92071182431908805</v>
      </c>
      <c r="F1460">
        <v>0.62244068334900404</v>
      </c>
      <c r="G1460">
        <v>0.43235837998139198</v>
      </c>
      <c r="H1460">
        <v>0.311125057388145</v>
      </c>
      <c r="I1460">
        <v>0.27241540849392099</v>
      </c>
      <c r="J1460">
        <v>0.24841952268192499</v>
      </c>
      <c r="K1460">
        <v>0.19487673444078499</v>
      </c>
      <c r="L1460">
        <v>1179.66106987387</v>
      </c>
      <c r="M1460">
        <v>21.945384323820001</v>
      </c>
      <c r="N1460">
        <v>55.360060313482897</v>
      </c>
      <c r="O1460">
        <v>53.314022840806402</v>
      </c>
      <c r="P1460">
        <v>-7.8680835194207197E-2</v>
      </c>
      <c r="Q1460">
        <v>0.23542969878536699</v>
      </c>
      <c r="R1460">
        <v>0.98996973860010695</v>
      </c>
      <c r="S1460" t="s">
        <v>8077</v>
      </c>
      <c r="T1460" t="s">
        <v>13232</v>
      </c>
      <c r="U1460" t="s">
        <v>13232</v>
      </c>
      <c r="V1460" t="s">
        <v>13232</v>
      </c>
      <c r="W1460" t="s">
        <v>14653</v>
      </c>
      <c r="X1460">
        <v>17</v>
      </c>
      <c r="Y1460" t="s">
        <v>21170</v>
      </c>
      <c r="Z1460" t="s">
        <v>27591</v>
      </c>
      <c r="AA1460">
        <v>0.59489056120581674</v>
      </c>
      <c r="AB1460" t="str">
        <f>HYPERLINK("Melting_Curves/meltCurve_O75821_EIF3G.pdf", "Melting_Curves/meltCurve_O75821_EIF3G.pdf")</f>
        <v>Melting_Curves/meltCurve_O75821_EIF3G.pdf</v>
      </c>
    </row>
    <row r="1461" spans="1:28" x14ac:dyDescent="0.25">
      <c r="A1461" t="s">
        <v>1465</v>
      </c>
      <c r="B1461">
        <v>0.99930955844802105</v>
      </c>
      <c r="C1461">
        <v>1.16334994911488</v>
      </c>
      <c r="D1461">
        <v>1.16313374602074</v>
      </c>
      <c r="E1461">
        <v>1.19616506145742</v>
      </c>
      <c r="F1461">
        <v>0.86314525302017897</v>
      </c>
      <c r="G1461">
        <v>0.37484310522806602</v>
      </c>
      <c r="H1461">
        <v>0.19325642909239599</v>
      </c>
      <c r="I1461">
        <v>0.148795282480886</v>
      </c>
      <c r="J1461">
        <v>0.13362917335848601</v>
      </c>
      <c r="K1461">
        <v>0.10569421161528</v>
      </c>
      <c r="L1461">
        <v>2235.7063152370802</v>
      </c>
      <c r="M1461">
        <v>40.201390502764198</v>
      </c>
      <c r="N1461">
        <v>56.061456493397401</v>
      </c>
      <c r="O1461">
        <v>55.475585503337498</v>
      </c>
      <c r="P1461">
        <v>-0.15624007705592399</v>
      </c>
      <c r="Q1461">
        <v>0.13759281887883301</v>
      </c>
      <c r="R1461">
        <v>0.95271621566435105</v>
      </c>
      <c r="S1461" t="s">
        <v>8078</v>
      </c>
      <c r="T1461" t="s">
        <v>13232</v>
      </c>
      <c r="U1461" t="s">
        <v>13232</v>
      </c>
      <c r="V1461" t="s">
        <v>13232</v>
      </c>
      <c r="W1461" t="s">
        <v>13388</v>
      </c>
      <c r="X1461">
        <v>18</v>
      </c>
      <c r="Y1461" t="s">
        <v>19926</v>
      </c>
      <c r="Z1461" t="s">
        <v>27592</v>
      </c>
      <c r="AA1461">
        <v>0.58967385974586894</v>
      </c>
      <c r="AB1461" t="str">
        <f>HYPERLINK("Melting_Curves/meltCurve_O75822_EIF3J.pdf", "Melting_Curves/meltCurve_O75822_EIF3J.pdf")</f>
        <v>Melting_Curves/meltCurve_O75822_EIF3J.pdf</v>
      </c>
    </row>
    <row r="1462" spans="1:28" x14ac:dyDescent="0.25">
      <c r="A1462" t="s">
        <v>1466</v>
      </c>
      <c r="B1462">
        <v>0.99930955844802105</v>
      </c>
      <c r="C1462">
        <v>1.1316407351370601</v>
      </c>
      <c r="D1462">
        <v>1.1833144932822099</v>
      </c>
      <c r="E1462">
        <v>1.0183999680359299</v>
      </c>
      <c r="F1462">
        <v>0.59077414987523102</v>
      </c>
      <c r="G1462">
        <v>0.107882499591273</v>
      </c>
      <c r="H1462">
        <v>3.8433755441104403E-2</v>
      </c>
      <c r="I1462">
        <v>2.8773902866686001E-2</v>
      </c>
      <c r="J1462">
        <v>3.0502837534457299E-2</v>
      </c>
      <c r="K1462">
        <v>9.2019872504152094E-3</v>
      </c>
      <c r="L1462">
        <v>2728.8445888997499</v>
      </c>
      <c r="M1462">
        <v>51.130705946077697</v>
      </c>
      <c r="N1462">
        <v>53.444685245158603</v>
      </c>
      <c r="O1462">
        <v>53.288527542577299</v>
      </c>
      <c r="P1462">
        <v>-0.23160361799009799</v>
      </c>
      <c r="Q1462">
        <v>3.4489673637178697E-2</v>
      </c>
      <c r="R1462">
        <v>0.977215883091193</v>
      </c>
      <c r="S1462" t="s">
        <v>8079</v>
      </c>
      <c r="T1462" t="s">
        <v>13232</v>
      </c>
      <c r="U1462" t="s">
        <v>13232</v>
      </c>
      <c r="V1462" t="s">
        <v>13232</v>
      </c>
      <c r="W1462" t="s">
        <v>14654</v>
      </c>
      <c r="X1462">
        <v>4</v>
      </c>
      <c r="Y1462" t="s">
        <v>21171</v>
      </c>
      <c r="Z1462" t="s">
        <v>27593</v>
      </c>
      <c r="AA1462">
        <v>0.46695739741244929</v>
      </c>
      <c r="AB1462" t="str">
        <f>HYPERLINK("Melting_Curves/meltCurve_O75828_CBR3.pdf", "Melting_Curves/meltCurve_O75828_CBR3.pdf")</f>
        <v>Melting_Curves/meltCurve_O75828_CBR3.pdf</v>
      </c>
    </row>
    <row r="1463" spans="1:28" x14ac:dyDescent="0.25">
      <c r="A1463" t="s">
        <v>1467</v>
      </c>
      <c r="B1463">
        <v>0.99930955844802105</v>
      </c>
      <c r="C1463">
        <v>0.91713423679189099</v>
      </c>
      <c r="D1463">
        <v>0.87062454300766601</v>
      </c>
      <c r="E1463">
        <v>0.79510016792308502</v>
      </c>
      <c r="F1463">
        <v>0.55343382777777606</v>
      </c>
      <c r="G1463">
        <v>0.34032252375118099</v>
      </c>
      <c r="H1463">
        <v>0.160670492456507</v>
      </c>
      <c r="I1463">
        <v>7.9131289274534E-2</v>
      </c>
      <c r="J1463">
        <v>4.2737932044928803E-2</v>
      </c>
      <c r="K1463">
        <v>3.28292781179415E-2</v>
      </c>
      <c r="L1463">
        <v>758.10877812727404</v>
      </c>
      <c r="M1463">
        <v>14.043727439085099</v>
      </c>
      <c r="N1463">
        <v>53.982020685392101</v>
      </c>
      <c r="O1463">
        <v>52.922822698136002</v>
      </c>
      <c r="P1463">
        <v>-6.6349277029551804E-2</v>
      </c>
      <c r="Q1463">
        <v>0</v>
      </c>
      <c r="R1463">
        <v>0.99375169847899103</v>
      </c>
      <c r="S1463" t="s">
        <v>8080</v>
      </c>
      <c r="T1463" t="s">
        <v>13232</v>
      </c>
      <c r="U1463" t="s">
        <v>13232</v>
      </c>
      <c r="V1463" t="s">
        <v>13232</v>
      </c>
      <c r="W1463" t="s">
        <v>14655</v>
      </c>
      <c r="X1463">
        <v>6</v>
      </c>
      <c r="Y1463" t="s">
        <v>21172</v>
      </c>
      <c r="Z1463" t="s">
        <v>27594</v>
      </c>
      <c r="AA1463">
        <v>0.48828854876210342</v>
      </c>
      <c r="AB1463" t="str">
        <f>HYPERLINK("Melting_Curves/meltCurve_O75843_AP1G2.pdf", "Melting_Curves/meltCurve_O75843_AP1G2.pdf")</f>
        <v>Melting_Curves/meltCurve_O75843_AP1G2.pdf</v>
      </c>
    </row>
    <row r="1464" spans="1:28" x14ac:dyDescent="0.25">
      <c r="A1464" t="s">
        <v>1468</v>
      </c>
      <c r="B1464">
        <v>0.99930955844802105</v>
      </c>
      <c r="C1464">
        <v>0.75855374153737798</v>
      </c>
      <c r="D1464">
        <v>0.58186048498494702</v>
      </c>
      <c r="E1464">
        <v>0.71508707931536897</v>
      </c>
      <c r="F1464">
        <v>0.35879494224403202</v>
      </c>
      <c r="G1464">
        <v>0.145804854700782</v>
      </c>
      <c r="H1464">
        <v>8.2002645207149505E-2</v>
      </c>
      <c r="I1464">
        <v>7.8608830386066905E-2</v>
      </c>
      <c r="J1464">
        <v>7.6733664587734202E-2</v>
      </c>
      <c r="K1464">
        <v>5.4194343462806598E-2</v>
      </c>
      <c r="L1464">
        <v>511.54842781464299</v>
      </c>
      <c r="M1464">
        <v>10.228703195231301</v>
      </c>
      <c r="N1464">
        <v>50.011051445722302</v>
      </c>
      <c r="O1464">
        <v>48.212622947598803</v>
      </c>
      <c r="P1464">
        <v>-5.3063209692801601E-2</v>
      </c>
      <c r="Q1464">
        <v>0</v>
      </c>
      <c r="R1464">
        <v>0.92454793076738295</v>
      </c>
      <c r="S1464" t="s">
        <v>8081</v>
      </c>
      <c r="T1464" t="s">
        <v>13232</v>
      </c>
      <c r="U1464" t="s">
        <v>13232</v>
      </c>
      <c r="V1464" t="s">
        <v>13232</v>
      </c>
      <c r="W1464" t="s">
        <v>14656</v>
      </c>
      <c r="X1464">
        <v>5</v>
      </c>
      <c r="Y1464" t="s">
        <v>21173</v>
      </c>
      <c r="Z1464" t="s">
        <v>27595</v>
      </c>
      <c r="AA1464">
        <v>0.377484403024966</v>
      </c>
      <c r="AB1464" t="str">
        <f>HYPERLINK("Melting_Curves/meltCurve_O75844_ZMPSTE24.pdf", "Melting_Curves/meltCurve_O75844_ZMPSTE24.pdf")</f>
        <v>Melting_Curves/meltCurve_O75844_ZMPSTE24.pdf</v>
      </c>
    </row>
    <row r="1465" spans="1:28" x14ac:dyDescent="0.25">
      <c r="A1465" t="s">
        <v>1469</v>
      </c>
      <c r="B1465">
        <v>0.99930955844802105</v>
      </c>
      <c r="C1465">
        <v>1.01244150593892</v>
      </c>
      <c r="D1465">
        <v>1.01888563079844</v>
      </c>
      <c r="E1465">
        <v>0.99957521516091496</v>
      </c>
      <c r="F1465">
        <v>0.94933630281803205</v>
      </c>
      <c r="G1465">
        <v>0.89641013529068903</v>
      </c>
      <c r="H1465">
        <v>0.93692343277975199</v>
      </c>
      <c r="I1465">
        <v>0.92043862000858101</v>
      </c>
      <c r="J1465">
        <v>1.02319973496024</v>
      </c>
      <c r="K1465">
        <v>0.69461667041321096</v>
      </c>
      <c r="L1465">
        <v>15000</v>
      </c>
      <c r="M1465">
        <v>213.46390650294501</v>
      </c>
      <c r="Q1465">
        <v>0</v>
      </c>
      <c r="R1465">
        <v>0.71912624387453405</v>
      </c>
      <c r="S1465" t="s">
        <v>8082</v>
      </c>
      <c r="T1465" t="s">
        <v>13232</v>
      </c>
      <c r="U1465" t="s">
        <v>13232</v>
      </c>
      <c r="V1465" t="s">
        <v>13232</v>
      </c>
      <c r="W1465" t="s">
        <v>14657</v>
      </c>
      <c r="X1465">
        <v>1</v>
      </c>
      <c r="Y1465" t="s">
        <v>21174</v>
      </c>
      <c r="Z1465" t="s">
        <v>27596</v>
      </c>
      <c r="AA1465">
        <v>0.9960721522446121</v>
      </c>
      <c r="AB1465" t="str">
        <f>HYPERLINK("Melting_Curves/meltCurve_O75864_2_PPP1R37.pdf", "Melting_Curves/meltCurve_O75864_2_PPP1R37.pdf")</f>
        <v>Melting_Curves/meltCurve_O75864_2_PPP1R37.pdf</v>
      </c>
    </row>
    <row r="1466" spans="1:28" x14ac:dyDescent="0.25">
      <c r="A1466" t="s">
        <v>1470</v>
      </c>
      <c r="B1466">
        <v>0.99930955844802105</v>
      </c>
      <c r="C1466">
        <v>0.82508762920598999</v>
      </c>
      <c r="D1466">
        <v>0.80513502575982399</v>
      </c>
      <c r="E1466">
        <v>0.52685526163463503</v>
      </c>
      <c r="F1466">
        <v>0.189410468039691</v>
      </c>
      <c r="G1466">
        <v>8.6116446134630195E-2</v>
      </c>
      <c r="H1466">
        <v>4.1815399850943999E-2</v>
      </c>
      <c r="I1466">
        <v>2.8109808169538002E-2</v>
      </c>
      <c r="J1466">
        <v>2.2117650779295301E-2</v>
      </c>
      <c r="K1466">
        <v>1.7073627865896699E-2</v>
      </c>
      <c r="L1466">
        <v>829.64867597487</v>
      </c>
      <c r="M1466">
        <v>16.741656526291798</v>
      </c>
      <c r="N1466">
        <v>49.5559441785744</v>
      </c>
      <c r="O1466">
        <v>48.865095710323303</v>
      </c>
      <c r="P1466">
        <v>-8.5658050846561695E-2</v>
      </c>
      <c r="Q1466">
        <v>0</v>
      </c>
      <c r="R1466">
        <v>0.985471075466687</v>
      </c>
      <c r="S1466" t="s">
        <v>8083</v>
      </c>
      <c r="T1466" t="s">
        <v>13232</v>
      </c>
      <c r="U1466" t="s">
        <v>13232</v>
      </c>
      <c r="V1466" t="s">
        <v>13232</v>
      </c>
      <c r="W1466" t="s">
        <v>14658</v>
      </c>
      <c r="X1466">
        <v>3</v>
      </c>
      <c r="Y1466" t="s">
        <v>21175</v>
      </c>
      <c r="Z1466" t="s">
        <v>27597</v>
      </c>
      <c r="AA1466">
        <v>0.33825447609860387</v>
      </c>
      <c r="AB1466" t="str">
        <f>HYPERLINK("Melting_Curves/meltCurve_O75865_2_TRAPPC6A.pdf", "Melting_Curves/meltCurve_O75865_2_TRAPPC6A.pdf")</f>
        <v>Melting_Curves/meltCurve_O75865_2_TRAPPC6A.pdf</v>
      </c>
    </row>
    <row r="1467" spans="1:28" x14ac:dyDescent="0.25">
      <c r="A1467" t="s">
        <v>1471</v>
      </c>
      <c r="B1467">
        <v>0.99930955844802105</v>
      </c>
      <c r="C1467">
        <v>1.0125991230404601</v>
      </c>
      <c r="D1467">
        <v>0.88753015285470005</v>
      </c>
      <c r="E1467">
        <v>0.78771167677443499</v>
      </c>
      <c r="F1467">
        <v>0.16559626843932301</v>
      </c>
      <c r="G1467">
        <v>0.122452783740153</v>
      </c>
      <c r="H1467">
        <v>7.0659507224035106E-2</v>
      </c>
      <c r="I1467">
        <v>5.9198869431989702E-2</v>
      </c>
      <c r="J1467">
        <v>5.3437736267368897E-2</v>
      </c>
      <c r="K1467">
        <v>4.0285177316332403E-2</v>
      </c>
      <c r="L1467">
        <v>2885.3136164829998</v>
      </c>
      <c r="M1467">
        <v>56.509538046955001</v>
      </c>
      <c r="N1467">
        <v>51.190500212587601</v>
      </c>
      <c r="O1467">
        <v>50.995055461506801</v>
      </c>
      <c r="P1467">
        <v>-0.25829943104277903</v>
      </c>
      <c r="Q1467">
        <v>6.7627369091988201E-2</v>
      </c>
      <c r="R1467">
        <v>0.99059921897601499</v>
      </c>
      <c r="S1467" t="s">
        <v>8084</v>
      </c>
      <c r="T1467" t="s">
        <v>13232</v>
      </c>
      <c r="U1467" t="s">
        <v>13232</v>
      </c>
      <c r="V1467" t="s">
        <v>13232</v>
      </c>
      <c r="W1467" t="s">
        <v>14659</v>
      </c>
      <c r="X1467">
        <v>27</v>
      </c>
      <c r="Y1467" t="s">
        <v>21176</v>
      </c>
      <c r="Z1467" t="s">
        <v>27598</v>
      </c>
      <c r="AA1467">
        <v>0.41296918396078702</v>
      </c>
      <c r="AB1467" t="str">
        <f>HYPERLINK("Melting_Curves/meltCurve_O75874_IDH1.pdf", "Melting_Curves/meltCurve_O75874_IDH1.pdf")</f>
        <v>Melting_Curves/meltCurve_O75874_IDH1.pdf</v>
      </c>
    </row>
    <row r="1468" spans="1:28" x14ac:dyDescent="0.25">
      <c r="A1468" t="s">
        <v>1472</v>
      </c>
      <c r="B1468">
        <v>0.99930955844802105</v>
      </c>
      <c r="C1468">
        <v>1.14158636026085</v>
      </c>
      <c r="D1468">
        <v>1.16181175429966</v>
      </c>
      <c r="E1468">
        <v>1.1748145489613699</v>
      </c>
      <c r="F1468">
        <v>0.91360236178383103</v>
      </c>
      <c r="G1468">
        <v>0.35322551470658298</v>
      </c>
      <c r="H1468">
        <v>0.16850206201858001</v>
      </c>
      <c r="I1468">
        <v>0.17215897897385801</v>
      </c>
      <c r="J1468">
        <v>0.13554687879254099</v>
      </c>
      <c r="K1468">
        <v>0.114954109242182</v>
      </c>
      <c r="L1468">
        <v>2683.48457334348</v>
      </c>
      <c r="M1468">
        <v>48.216989273723001</v>
      </c>
      <c r="N1468">
        <v>56.050156884546702</v>
      </c>
      <c r="O1468">
        <v>55.5588563345216</v>
      </c>
      <c r="P1468">
        <v>-0.18565725738472999</v>
      </c>
      <c r="Q1468">
        <v>0.14429375144810799</v>
      </c>
      <c r="R1468">
        <v>0.96123360838547101</v>
      </c>
      <c r="S1468" t="s">
        <v>8085</v>
      </c>
      <c r="T1468" t="s">
        <v>13232</v>
      </c>
      <c r="U1468" t="s">
        <v>13232</v>
      </c>
      <c r="V1468" t="s">
        <v>13232</v>
      </c>
      <c r="W1468" t="s">
        <v>14660</v>
      </c>
      <c r="X1468">
        <v>7</v>
      </c>
      <c r="Y1468" t="s">
        <v>21177</v>
      </c>
      <c r="Z1468" t="s">
        <v>27599</v>
      </c>
      <c r="AA1468">
        <v>0.59306797528433086</v>
      </c>
      <c r="AB1468" t="str">
        <f>HYPERLINK("Melting_Curves/meltCurve_O75884_RBBP9.pdf", "Melting_Curves/meltCurve_O75884_RBBP9.pdf")</f>
        <v>Melting_Curves/meltCurve_O75884_RBBP9.pdf</v>
      </c>
    </row>
    <row r="1469" spans="1:28" x14ac:dyDescent="0.25">
      <c r="A1469" t="s">
        <v>1473</v>
      </c>
      <c r="B1469">
        <v>0.99930955844802105</v>
      </c>
      <c r="C1469">
        <v>1.0267943077070401</v>
      </c>
      <c r="D1469">
        <v>0.97790807972418903</v>
      </c>
      <c r="E1469">
        <v>0.89429999952605099</v>
      </c>
      <c r="F1469">
        <v>0.67847574769528396</v>
      </c>
      <c r="G1469">
        <v>0.293241951417679</v>
      </c>
      <c r="H1469">
        <v>0.186470879007055</v>
      </c>
      <c r="I1469">
        <v>0.167879043332267</v>
      </c>
      <c r="J1469">
        <v>0.15206436606743701</v>
      </c>
      <c r="K1469">
        <v>0.11703846805621999</v>
      </c>
      <c r="L1469">
        <v>1417.8822567473401</v>
      </c>
      <c r="M1469">
        <v>26.288636945257601</v>
      </c>
      <c r="N1469">
        <v>54.610119084336603</v>
      </c>
      <c r="O1469">
        <v>53.625980752520199</v>
      </c>
      <c r="P1469">
        <v>-0.10555778579490301</v>
      </c>
      <c r="Q1469">
        <v>0.13870354604073301</v>
      </c>
      <c r="R1469">
        <v>0.99840716245970695</v>
      </c>
      <c r="S1469" t="s">
        <v>8086</v>
      </c>
      <c r="T1469" t="s">
        <v>13232</v>
      </c>
      <c r="U1469" t="s">
        <v>13232</v>
      </c>
      <c r="V1469" t="s">
        <v>13232</v>
      </c>
      <c r="W1469" t="s">
        <v>14661</v>
      </c>
      <c r="X1469">
        <v>8</v>
      </c>
      <c r="Y1469" t="s">
        <v>21178</v>
      </c>
      <c r="Z1469" t="s">
        <v>27600</v>
      </c>
      <c r="AA1469">
        <v>0.54604451811157895</v>
      </c>
      <c r="AB1469" t="str">
        <f>HYPERLINK("Melting_Curves/meltCurve_O75886_STAM2.pdf", "Melting_Curves/meltCurve_O75886_STAM2.pdf")</f>
        <v>Melting_Curves/meltCurve_O75886_STAM2.pdf</v>
      </c>
    </row>
    <row r="1470" spans="1:28" x14ac:dyDescent="0.25">
      <c r="A1470" t="s">
        <v>1474</v>
      </c>
      <c r="B1470">
        <v>0.99930955844802105</v>
      </c>
      <c r="C1470">
        <v>1.08935099344508</v>
      </c>
      <c r="D1470">
        <v>1.0765154443655001</v>
      </c>
      <c r="E1470">
        <v>1.02592044228484</v>
      </c>
      <c r="F1470">
        <v>0.65956697343228399</v>
      </c>
      <c r="G1470">
        <v>0.26515993796501103</v>
      </c>
      <c r="H1470">
        <v>0.13987091581813699</v>
      </c>
      <c r="I1470">
        <v>0.115966007906527</v>
      </c>
      <c r="J1470">
        <v>0.10062367110426799</v>
      </c>
      <c r="K1470">
        <v>7.75312190243512E-2</v>
      </c>
      <c r="L1470">
        <v>1853.48685738373</v>
      </c>
      <c r="M1470">
        <v>34.301448643523699</v>
      </c>
      <c r="N1470">
        <v>54.417143550512698</v>
      </c>
      <c r="O1470">
        <v>53.8525714005551</v>
      </c>
      <c r="P1470">
        <v>-0.14220373154992</v>
      </c>
      <c r="Q1470">
        <v>0.106975684985821</v>
      </c>
      <c r="R1470">
        <v>0.98720467440196702</v>
      </c>
      <c r="S1470" t="s">
        <v>8087</v>
      </c>
      <c r="T1470" t="s">
        <v>13232</v>
      </c>
      <c r="U1470" t="s">
        <v>13232</v>
      </c>
      <c r="V1470" t="s">
        <v>13232</v>
      </c>
      <c r="W1470" t="s">
        <v>14662</v>
      </c>
      <c r="X1470">
        <v>9</v>
      </c>
      <c r="Y1470" t="s">
        <v>21179</v>
      </c>
      <c r="Z1470" t="s">
        <v>27601</v>
      </c>
      <c r="AA1470">
        <v>0.52928698942965091</v>
      </c>
      <c r="AB1470" t="str">
        <f>HYPERLINK("Melting_Curves/meltCurve_O75909_CCNK.pdf", "Melting_Curves/meltCurve_O75909_CCNK.pdf")</f>
        <v>Melting_Curves/meltCurve_O75909_CCNK.pdf</v>
      </c>
    </row>
    <row r="1471" spans="1:28" x14ac:dyDescent="0.25">
      <c r="A1471" t="s">
        <v>1475</v>
      </c>
      <c r="B1471">
        <v>0.99930955844802105</v>
      </c>
      <c r="C1471">
        <v>1.0363396579380599</v>
      </c>
      <c r="D1471">
        <v>0.98353135444644202</v>
      </c>
      <c r="E1471">
        <v>0.68192351859157097</v>
      </c>
      <c r="F1471">
        <v>0.308786520491452</v>
      </c>
      <c r="G1471">
        <v>0.18484715926499001</v>
      </c>
      <c r="H1471">
        <v>0.169379394527883</v>
      </c>
      <c r="I1471">
        <v>0.165470264485096</v>
      </c>
      <c r="J1471">
        <v>0.13391596724770899</v>
      </c>
      <c r="K1471">
        <v>0.124468014836633</v>
      </c>
      <c r="L1471">
        <v>1742.95849868595</v>
      </c>
      <c r="M1471">
        <v>34.340278889741498</v>
      </c>
      <c r="N1471">
        <v>51.290417398172302</v>
      </c>
      <c r="O1471">
        <v>50.584319000371899</v>
      </c>
      <c r="P1471">
        <v>-0.14417445440907001</v>
      </c>
      <c r="Q1471">
        <v>0.15050906391167301</v>
      </c>
      <c r="R1471">
        <v>0.99779587534896796</v>
      </c>
      <c r="S1471" t="s">
        <v>8088</v>
      </c>
      <c r="T1471" t="s">
        <v>13232</v>
      </c>
      <c r="U1471" t="s">
        <v>13232</v>
      </c>
      <c r="V1471" t="s">
        <v>13232</v>
      </c>
      <c r="W1471" t="s">
        <v>14663</v>
      </c>
      <c r="X1471">
        <v>4</v>
      </c>
      <c r="Y1471" t="s">
        <v>21180</v>
      </c>
      <c r="Z1471" t="s">
        <v>27602</v>
      </c>
      <c r="AA1471">
        <v>0.45911944149970357</v>
      </c>
      <c r="AB1471" t="str">
        <f>HYPERLINK("Melting_Curves/meltCurve_O75925_PIAS1.pdf", "Melting_Curves/meltCurve_O75925_PIAS1.pdf")</f>
        <v>Melting_Curves/meltCurve_O75925_PIAS1.pdf</v>
      </c>
    </row>
    <row r="1472" spans="1:28" x14ac:dyDescent="0.25">
      <c r="A1472" t="s">
        <v>1476</v>
      </c>
      <c r="B1472">
        <v>0.99930955844802105</v>
      </c>
      <c r="C1472">
        <v>0.93593502885937796</v>
      </c>
      <c r="D1472">
        <v>0.96198380419256302</v>
      </c>
      <c r="E1472">
        <v>0.84083249513514402</v>
      </c>
      <c r="F1472">
        <v>0.54874258714008495</v>
      </c>
      <c r="G1472">
        <v>0.39030777086058699</v>
      </c>
      <c r="H1472">
        <v>0.362525617054611</v>
      </c>
      <c r="I1472">
        <v>0.33663790714488601</v>
      </c>
      <c r="J1472">
        <v>0.304945567666771</v>
      </c>
      <c r="K1472">
        <v>0.24277267967277799</v>
      </c>
      <c r="L1472">
        <v>1224.39052964089</v>
      </c>
      <c r="M1472">
        <v>23.507148518872899</v>
      </c>
      <c r="N1472">
        <v>54.213527437155001</v>
      </c>
      <c r="O1472">
        <v>51.713333312820197</v>
      </c>
      <c r="P1472">
        <v>-7.9408552493557896E-2</v>
      </c>
      <c r="Q1472">
        <v>0.30124907438083998</v>
      </c>
      <c r="R1472">
        <v>0.98634561740964599</v>
      </c>
      <c r="S1472" t="s">
        <v>8089</v>
      </c>
      <c r="T1472" t="s">
        <v>13232</v>
      </c>
      <c r="U1472" t="s">
        <v>13232</v>
      </c>
      <c r="V1472" t="s">
        <v>13232</v>
      </c>
      <c r="W1472" t="s">
        <v>14664</v>
      </c>
      <c r="X1472">
        <v>5</v>
      </c>
      <c r="Y1472" t="s">
        <v>21181</v>
      </c>
      <c r="Z1472" t="s">
        <v>27603</v>
      </c>
      <c r="AA1472">
        <v>0.58992900296235617</v>
      </c>
      <c r="AB1472" t="str">
        <f>HYPERLINK("Melting_Curves/meltCurve_O75928_2_PIAS2.pdf", "Melting_Curves/meltCurve_O75928_2_PIAS2.pdf")</f>
        <v>Melting_Curves/meltCurve_O75928_2_PIAS2.pdf</v>
      </c>
    </row>
    <row r="1473" spans="1:28" x14ac:dyDescent="0.25">
      <c r="A1473" t="s">
        <v>1477</v>
      </c>
      <c r="B1473">
        <v>0.99930955844802105</v>
      </c>
      <c r="C1473">
        <v>0.84476424926803795</v>
      </c>
      <c r="D1473">
        <v>0.80714164561054602</v>
      </c>
      <c r="E1473">
        <v>0.68857824935332601</v>
      </c>
      <c r="F1473">
        <v>0.36818203001427002</v>
      </c>
      <c r="G1473">
        <v>0.19621234514410299</v>
      </c>
      <c r="H1473">
        <v>0.103225841794527</v>
      </c>
      <c r="I1473">
        <v>8.0427163062178106E-2</v>
      </c>
      <c r="J1473">
        <v>7.7449509742726103E-2</v>
      </c>
      <c r="K1473">
        <v>5.6631711680029902E-2</v>
      </c>
      <c r="L1473">
        <v>687.049073271152</v>
      </c>
      <c r="M1473">
        <v>13.3802490940712</v>
      </c>
      <c r="N1473">
        <v>51.473207926495299</v>
      </c>
      <c r="O1473">
        <v>50.241704802775303</v>
      </c>
      <c r="P1473">
        <v>-6.5523688255590795E-2</v>
      </c>
      <c r="Q1473">
        <v>1.6011249314631E-2</v>
      </c>
      <c r="R1473">
        <v>0.98359500044371295</v>
      </c>
      <c r="S1473" t="s">
        <v>8090</v>
      </c>
      <c r="T1473" t="s">
        <v>13232</v>
      </c>
      <c r="U1473" t="s">
        <v>13232</v>
      </c>
      <c r="V1473" t="s">
        <v>13232</v>
      </c>
      <c r="W1473" t="s">
        <v>14665</v>
      </c>
      <c r="X1473">
        <v>17</v>
      </c>
      <c r="Y1473" t="s">
        <v>21182</v>
      </c>
      <c r="Z1473" t="s">
        <v>27604</v>
      </c>
      <c r="AA1473">
        <v>0.41507590281410622</v>
      </c>
      <c r="AB1473" t="str">
        <f>HYPERLINK("Melting_Curves/meltCurve_O75934_BCAS2.pdf", "Melting_Curves/meltCurve_O75934_BCAS2.pdf")</f>
        <v>Melting_Curves/meltCurve_O75934_BCAS2.pdf</v>
      </c>
    </row>
    <row r="1474" spans="1:28" x14ac:dyDescent="0.25">
      <c r="A1474" t="s">
        <v>1478</v>
      </c>
      <c r="B1474">
        <v>0.99930955844802105</v>
      </c>
      <c r="C1474">
        <v>0.72356876899727396</v>
      </c>
      <c r="D1474">
        <v>0.72872003352613302</v>
      </c>
      <c r="E1474">
        <v>0.414416567028075</v>
      </c>
      <c r="F1474">
        <v>0.15150325354052599</v>
      </c>
      <c r="G1474">
        <v>9.5408616549577302E-2</v>
      </c>
      <c r="H1474">
        <v>4.8205356874322598E-2</v>
      </c>
      <c r="I1474">
        <v>4.5082225879891101E-2</v>
      </c>
      <c r="J1474">
        <v>3.6119394977072103E-2</v>
      </c>
      <c r="K1474">
        <v>3.0778798970398199E-2</v>
      </c>
      <c r="L1474">
        <v>680.12281346666396</v>
      </c>
      <c r="M1474">
        <v>14.136126223596801</v>
      </c>
      <c r="N1474">
        <v>48.155708347419697</v>
      </c>
      <c r="O1474">
        <v>47.180266870645298</v>
      </c>
      <c r="P1474">
        <v>-7.4441113158397396E-2</v>
      </c>
      <c r="Q1474">
        <v>6.3178366293025401E-3</v>
      </c>
      <c r="R1474">
        <v>0.97483751001602703</v>
      </c>
      <c r="S1474" t="s">
        <v>8091</v>
      </c>
      <c r="T1474" t="s">
        <v>13232</v>
      </c>
      <c r="U1474" t="s">
        <v>13232</v>
      </c>
      <c r="V1474" t="s">
        <v>13232</v>
      </c>
      <c r="W1474" t="s">
        <v>14666</v>
      </c>
      <c r="X1474">
        <v>8</v>
      </c>
      <c r="Y1474" t="s">
        <v>21183</v>
      </c>
      <c r="Z1474" t="s">
        <v>27605</v>
      </c>
      <c r="AA1474">
        <v>0.30357056379688091</v>
      </c>
      <c r="AB1474" t="str">
        <f>HYPERLINK("Melting_Curves/meltCurve_O75935_3_DCTN3.pdf", "Melting_Curves/meltCurve_O75935_3_DCTN3.pdf")</f>
        <v>Melting_Curves/meltCurve_O75935_3_DCTN3.pdf</v>
      </c>
    </row>
    <row r="1475" spans="1:28" x14ac:dyDescent="0.25">
      <c r="A1475" t="s">
        <v>1479</v>
      </c>
      <c r="B1475">
        <v>0.99930955844802105</v>
      </c>
      <c r="C1475">
        <v>1.0980916521447299</v>
      </c>
      <c r="D1475">
        <v>1.0962315693926501</v>
      </c>
      <c r="E1475">
        <v>1.05664825835395</v>
      </c>
      <c r="F1475">
        <v>0.88014752824974696</v>
      </c>
      <c r="G1475">
        <v>0.70010359839122305</v>
      </c>
      <c r="H1475">
        <v>0.59442539589452803</v>
      </c>
      <c r="I1475">
        <v>0.63551321621497303</v>
      </c>
      <c r="J1475">
        <v>0.67568831701555698</v>
      </c>
      <c r="K1475">
        <v>0.56218885540988295</v>
      </c>
      <c r="L1475">
        <v>2065.34655068442</v>
      </c>
      <c r="M1475">
        <v>37.879174197268803</v>
      </c>
      <c r="O1475">
        <v>54.3732968071348</v>
      </c>
      <c r="P1475">
        <v>-6.6493066823203203E-2</v>
      </c>
      <c r="Q1475">
        <v>0.61821367531349702</v>
      </c>
      <c r="R1475">
        <v>0.92522067078937398</v>
      </c>
      <c r="S1475" t="s">
        <v>8092</v>
      </c>
      <c r="T1475" t="s">
        <v>13232</v>
      </c>
      <c r="U1475" t="s">
        <v>13232</v>
      </c>
      <c r="V1475" t="s">
        <v>13232</v>
      </c>
      <c r="W1475" t="s">
        <v>14667</v>
      </c>
      <c r="X1475">
        <v>18</v>
      </c>
      <c r="Y1475" t="s">
        <v>21184</v>
      </c>
      <c r="Z1475" t="s">
        <v>27606</v>
      </c>
      <c r="AA1475">
        <v>0.80465588673264254</v>
      </c>
      <c r="AB1475" t="str">
        <f>HYPERLINK("Melting_Curves/meltCurve_O75937_DNAJC8.pdf", "Melting_Curves/meltCurve_O75937_DNAJC8.pdf")</f>
        <v>Melting_Curves/meltCurve_O75937_DNAJC8.pdf</v>
      </c>
    </row>
    <row r="1476" spans="1:28" x14ac:dyDescent="0.25">
      <c r="A1476" t="s">
        <v>1480</v>
      </c>
      <c r="B1476">
        <v>0.99930955844802105</v>
      </c>
      <c r="C1476">
        <v>1.1257901038431399</v>
      </c>
      <c r="D1476">
        <v>1.1206613986720699</v>
      </c>
      <c r="E1476">
        <v>1.11681898918642</v>
      </c>
      <c r="F1476">
        <v>1.0466726718189601</v>
      </c>
      <c r="G1476">
        <v>1.02602834127524</v>
      </c>
      <c r="H1476">
        <v>1.1233060148913701</v>
      </c>
      <c r="I1476">
        <v>1.34499111753555</v>
      </c>
      <c r="J1476">
        <v>1.38208649949794</v>
      </c>
      <c r="K1476">
        <v>1.09850608771405</v>
      </c>
      <c r="L1476">
        <v>237.14260534921601</v>
      </c>
      <c r="M1476">
        <v>3.3141407119845998</v>
      </c>
      <c r="O1476">
        <v>54.931168398730598</v>
      </c>
      <c r="P1476">
        <v>7.7154248720040603E-3</v>
      </c>
      <c r="Q1476">
        <v>1.5</v>
      </c>
      <c r="R1476">
        <v>0.30769138686485598</v>
      </c>
      <c r="S1476" t="s">
        <v>8093</v>
      </c>
      <c r="T1476" t="s">
        <v>13232</v>
      </c>
      <c r="U1476" t="s">
        <v>13232</v>
      </c>
      <c r="V1476" t="s">
        <v>13232</v>
      </c>
      <c r="W1476" t="s">
        <v>14668</v>
      </c>
      <c r="X1476">
        <v>11</v>
      </c>
      <c r="Y1476" t="s">
        <v>21185</v>
      </c>
      <c r="Z1476" t="s">
        <v>27607</v>
      </c>
      <c r="AA1476">
        <v>1.13527710506065</v>
      </c>
      <c r="AB1476" t="str">
        <f>HYPERLINK("Melting_Curves/meltCurve_O75940_SMNDC1.pdf", "Melting_Curves/meltCurve_O75940_SMNDC1.pdf")</f>
        <v>Melting_Curves/meltCurve_O75940_SMNDC1.pdf</v>
      </c>
    </row>
    <row r="1477" spans="1:28" x14ac:dyDescent="0.25">
      <c r="A1477" t="s">
        <v>1481</v>
      </c>
      <c r="B1477">
        <v>0.99930955844802105</v>
      </c>
      <c r="C1477">
        <v>0.76387690200962799</v>
      </c>
      <c r="D1477">
        <v>0.75640615047424797</v>
      </c>
      <c r="E1477">
        <v>0.439347386956907</v>
      </c>
      <c r="F1477">
        <v>0.18364543896406199</v>
      </c>
      <c r="G1477">
        <v>0.108408101997469</v>
      </c>
      <c r="H1477">
        <v>5.0969359617389402E-2</v>
      </c>
      <c r="I1477">
        <v>5.9388189588624497E-2</v>
      </c>
      <c r="J1477">
        <v>3.87491404439975E-2</v>
      </c>
      <c r="K1477">
        <v>2.99420606400971E-2</v>
      </c>
      <c r="L1477">
        <v>708.90475947697996</v>
      </c>
      <c r="M1477">
        <v>14.593660608508999</v>
      </c>
      <c r="N1477">
        <v>48.663105866781301</v>
      </c>
      <c r="O1477">
        <v>47.691423830110502</v>
      </c>
      <c r="P1477">
        <v>-7.5524863069195106E-2</v>
      </c>
      <c r="Q1477">
        <v>1.28632939056816E-2</v>
      </c>
      <c r="R1477">
        <v>0.98190077198524495</v>
      </c>
      <c r="S1477" t="s">
        <v>8094</v>
      </c>
      <c r="T1477" t="s">
        <v>13232</v>
      </c>
      <c r="U1477" t="s">
        <v>13232</v>
      </c>
      <c r="V1477" t="s">
        <v>13232</v>
      </c>
      <c r="W1477" t="s">
        <v>14669</v>
      </c>
      <c r="X1477">
        <v>2</v>
      </c>
      <c r="Y1477" t="s">
        <v>21186</v>
      </c>
      <c r="Z1477" t="s">
        <v>27608</v>
      </c>
      <c r="AA1477">
        <v>0.32116493463812351</v>
      </c>
      <c r="AB1477" t="str">
        <f>HYPERLINK("Melting_Curves/meltCurve_O75943_3_RAD17.pdf", "Melting_Curves/meltCurve_O75943_3_RAD17.pdf")</f>
        <v>Melting_Curves/meltCurve_O75943_3_RAD17.pdf</v>
      </c>
    </row>
    <row r="1478" spans="1:28" x14ac:dyDescent="0.25">
      <c r="A1478" t="s">
        <v>1482</v>
      </c>
      <c r="B1478">
        <v>0.99930955844802105</v>
      </c>
      <c r="C1478">
        <v>0.62181886058458402</v>
      </c>
      <c r="D1478">
        <v>0.55470266609344498</v>
      </c>
      <c r="E1478">
        <v>0.65914737951872904</v>
      </c>
      <c r="F1478">
        <v>0.36998628259889199</v>
      </c>
      <c r="G1478">
        <v>0.25034408721455398</v>
      </c>
      <c r="H1478">
        <v>0.16311752099478999</v>
      </c>
      <c r="I1478">
        <v>0.13608959336889101</v>
      </c>
      <c r="J1478">
        <v>0.12916767486738201</v>
      </c>
      <c r="K1478">
        <v>9.9071617949375704E-2</v>
      </c>
      <c r="L1478">
        <v>376.18244214989198</v>
      </c>
      <c r="M1478">
        <v>7.5827677568825402</v>
      </c>
      <c r="N1478">
        <v>49.6101760148293</v>
      </c>
      <c r="O1478">
        <v>46.5122902725873</v>
      </c>
      <c r="P1478">
        <v>-4.0813060250630799E-2</v>
      </c>
      <c r="Q1478">
        <v>0</v>
      </c>
      <c r="R1478">
        <v>0.90114983059041898</v>
      </c>
      <c r="S1478" t="s">
        <v>8095</v>
      </c>
      <c r="T1478" t="s">
        <v>13232</v>
      </c>
      <c r="U1478" t="s">
        <v>13232</v>
      </c>
      <c r="V1478" t="s">
        <v>13232</v>
      </c>
      <c r="W1478" t="s">
        <v>14670</v>
      </c>
      <c r="X1478">
        <v>3</v>
      </c>
      <c r="Y1478" t="s">
        <v>21187</v>
      </c>
      <c r="Z1478" t="s">
        <v>27609</v>
      </c>
      <c r="AA1478">
        <v>0.38631566433704861</v>
      </c>
      <c r="AB1478" t="str">
        <f>HYPERLINK("Melting_Curves/meltCurve_O75947_2_ATP5H.pdf", "Melting_Curves/meltCurve_O75947_2_ATP5H.pdf")</f>
        <v>Melting_Curves/meltCurve_O75947_2_ATP5H.pdf</v>
      </c>
    </row>
    <row r="1479" spans="1:28" x14ac:dyDescent="0.25">
      <c r="A1479" t="s">
        <v>1483</v>
      </c>
      <c r="B1479">
        <v>0.99930955844802105</v>
      </c>
      <c r="C1479">
        <v>0.89144176355577298</v>
      </c>
      <c r="D1479">
        <v>0.80834712332917502</v>
      </c>
      <c r="E1479">
        <v>0.83343140515404002</v>
      </c>
      <c r="F1479">
        <v>0.60260707449421003</v>
      </c>
      <c r="G1479">
        <v>0.49782054575914803</v>
      </c>
      <c r="H1479">
        <v>0.50411212321028998</v>
      </c>
      <c r="I1479">
        <v>0.52721960229331399</v>
      </c>
      <c r="J1479">
        <v>0.56551969669089397</v>
      </c>
      <c r="K1479">
        <v>0.42386749498007198</v>
      </c>
      <c r="L1479">
        <v>578.50285869995605</v>
      </c>
      <c r="M1479">
        <v>11.607019443165299</v>
      </c>
      <c r="N1479">
        <v>63.710385036497499</v>
      </c>
      <c r="O1479">
        <v>48.430269144222699</v>
      </c>
      <c r="P1479">
        <v>-3.2360973439706398E-2</v>
      </c>
      <c r="Q1479">
        <v>0.460043664299296</v>
      </c>
      <c r="R1479">
        <v>0.91143712889766604</v>
      </c>
      <c r="S1479" t="s">
        <v>8096</v>
      </c>
      <c r="T1479" t="s">
        <v>13232</v>
      </c>
      <c r="U1479" t="s">
        <v>13232</v>
      </c>
      <c r="V1479" t="s">
        <v>13232</v>
      </c>
      <c r="W1479" t="s">
        <v>14671</v>
      </c>
      <c r="X1479">
        <v>14</v>
      </c>
      <c r="Y1479" t="s">
        <v>21188</v>
      </c>
      <c r="Z1479" t="s">
        <v>27610</v>
      </c>
      <c r="AA1479">
        <v>0.65703861085883986</v>
      </c>
      <c r="AB1479" t="str">
        <f>HYPERLINK("Melting_Curves/meltCurve_O75955_FLOT1.pdf", "Melting_Curves/meltCurve_O75955_FLOT1.pdf")</f>
        <v>Melting_Curves/meltCurve_O75955_FLOT1.pdf</v>
      </c>
    </row>
    <row r="1480" spans="1:28" x14ac:dyDescent="0.25">
      <c r="A1480" t="s">
        <v>1484</v>
      </c>
      <c r="B1480">
        <v>0.99930955844802105</v>
      </c>
      <c r="C1480">
        <v>0.89962935131905497</v>
      </c>
      <c r="D1480">
        <v>0.86464722748239398</v>
      </c>
      <c r="E1480">
        <v>0.50651608607572896</v>
      </c>
      <c r="F1480">
        <v>0.23998336704437501</v>
      </c>
      <c r="G1480">
        <v>0.171036740769202</v>
      </c>
      <c r="H1480">
        <v>0.113247893531288</v>
      </c>
      <c r="I1480">
        <v>0.13303284254550499</v>
      </c>
      <c r="J1480">
        <v>0.11621190332011</v>
      </c>
      <c r="K1480">
        <v>8.1949191845915106E-2</v>
      </c>
      <c r="L1480">
        <v>1056.1773552817599</v>
      </c>
      <c r="M1480">
        <v>21.3946347931453</v>
      </c>
      <c r="N1480">
        <v>49.9135791879756</v>
      </c>
      <c r="O1480">
        <v>48.941227289651302</v>
      </c>
      <c r="P1480">
        <v>-9.7866878774602997E-2</v>
      </c>
      <c r="Q1480">
        <v>0.104521919134661</v>
      </c>
      <c r="R1480">
        <v>0.99395374792282198</v>
      </c>
      <c r="S1480" t="s">
        <v>8097</v>
      </c>
      <c r="T1480" t="s">
        <v>13232</v>
      </c>
      <c r="U1480" t="s">
        <v>13232</v>
      </c>
      <c r="V1480" t="s">
        <v>13232</v>
      </c>
      <c r="W1480" t="s">
        <v>14672</v>
      </c>
      <c r="X1480">
        <v>11</v>
      </c>
      <c r="Y1480" t="s">
        <v>21189</v>
      </c>
      <c r="Z1480" t="s">
        <v>27611</v>
      </c>
      <c r="AA1480">
        <v>0.39502454902341883</v>
      </c>
      <c r="AB1480" t="str">
        <f>HYPERLINK("Melting_Curves/meltCurve_O75962_5_TRIO.pdf", "Melting_Curves/meltCurve_O75962_5_TRIO.pdf")</f>
        <v>Melting_Curves/meltCurve_O75962_5_TRIO.pdf</v>
      </c>
    </row>
    <row r="1481" spans="1:28" x14ac:dyDescent="0.25">
      <c r="A1481" t="s">
        <v>1485</v>
      </c>
      <c r="B1481">
        <v>0.99930955844802105</v>
      </c>
      <c r="C1481">
        <v>1.00004788194453</v>
      </c>
      <c r="D1481">
        <v>0.98581099157735896</v>
      </c>
      <c r="E1481">
        <v>0.84974600247950105</v>
      </c>
      <c r="F1481">
        <v>0.44690037077503197</v>
      </c>
      <c r="G1481">
        <v>0.207355269929066</v>
      </c>
      <c r="H1481">
        <v>0.10260116528687301</v>
      </c>
      <c r="I1481">
        <v>7.9070858682193795E-2</v>
      </c>
      <c r="J1481">
        <v>6.1200411623389399E-2</v>
      </c>
      <c r="K1481">
        <v>4.6312451444715803E-2</v>
      </c>
      <c r="L1481">
        <v>1461.81974315453</v>
      </c>
      <c r="M1481">
        <v>27.811029392445501</v>
      </c>
      <c r="N1481">
        <v>52.852367016259997</v>
      </c>
      <c r="O1481">
        <v>52.293073685143803</v>
      </c>
      <c r="P1481">
        <v>-0.123557479207263</v>
      </c>
      <c r="Q1481">
        <v>7.0707698301729793E-2</v>
      </c>
      <c r="R1481">
        <v>0.99714866189694296</v>
      </c>
      <c r="S1481" t="s">
        <v>8098</v>
      </c>
      <c r="T1481" t="s">
        <v>13232</v>
      </c>
      <c r="U1481" t="s">
        <v>13232</v>
      </c>
      <c r="V1481" t="s">
        <v>13232</v>
      </c>
      <c r="W1481" t="s">
        <v>14673</v>
      </c>
      <c r="X1481">
        <v>16</v>
      </c>
      <c r="Y1481" t="s">
        <v>21190</v>
      </c>
      <c r="Z1481" t="s">
        <v>27612</v>
      </c>
      <c r="AA1481">
        <v>0.46679825885109572</v>
      </c>
      <c r="AB1481" t="str">
        <f>HYPERLINK("Melting_Curves/meltCurve_O76003_GLRX3.pdf", "Melting_Curves/meltCurve_O76003_GLRX3.pdf")</f>
        <v>Melting_Curves/meltCurve_O76003_GLRX3.pdf</v>
      </c>
    </row>
    <row r="1482" spans="1:28" x14ac:dyDescent="0.25">
      <c r="A1482" t="s">
        <v>1486</v>
      </c>
      <c r="B1482">
        <v>0.99930955844802105</v>
      </c>
      <c r="C1482">
        <v>1.2026291626826</v>
      </c>
      <c r="D1482">
        <v>1.16656085031971</v>
      </c>
      <c r="E1482">
        <v>0.92604913606278305</v>
      </c>
      <c r="F1482">
        <v>0.29433733246890298</v>
      </c>
      <c r="G1482">
        <v>0.18579618587277899</v>
      </c>
      <c r="H1482">
        <v>7.4417074024749105E-2</v>
      </c>
      <c r="I1482">
        <v>4.8621178657950098E-2</v>
      </c>
      <c r="J1482">
        <v>3.6785714472451998E-2</v>
      </c>
      <c r="K1482">
        <v>3.11483542684204E-2</v>
      </c>
      <c r="L1482">
        <v>3074.8101069358199</v>
      </c>
      <c r="M1482">
        <v>59.139565133694099</v>
      </c>
      <c r="N1482">
        <v>52.132305555198698</v>
      </c>
      <c r="O1482">
        <v>51.933079461261698</v>
      </c>
      <c r="P1482">
        <v>-0.26380618957447699</v>
      </c>
      <c r="Q1482">
        <v>7.3360522465605801E-2</v>
      </c>
      <c r="R1482">
        <v>0.96381537366527403</v>
      </c>
      <c r="S1482" t="s">
        <v>8099</v>
      </c>
      <c r="T1482" t="s">
        <v>13232</v>
      </c>
      <c r="U1482" t="s">
        <v>13232</v>
      </c>
      <c r="V1482" t="s">
        <v>13232</v>
      </c>
      <c r="W1482" t="s">
        <v>14674</v>
      </c>
      <c r="X1482">
        <v>1</v>
      </c>
      <c r="Y1482" t="s">
        <v>21191</v>
      </c>
      <c r="Z1482" t="s">
        <v>27613</v>
      </c>
      <c r="AA1482">
        <v>0.44529932200356792</v>
      </c>
      <c r="AB1482" t="str">
        <f>HYPERLINK("Melting_Curves/meltCurve_O76011_KRT34.pdf", "Melting_Curves/meltCurve_O76011_KRT34.pdf")</f>
        <v>Melting_Curves/meltCurve_O76011_KRT34.pdf</v>
      </c>
    </row>
    <row r="1483" spans="1:28" x14ac:dyDescent="0.25">
      <c r="A1483" t="s">
        <v>1487</v>
      </c>
      <c r="B1483">
        <v>0.99930955844802105</v>
      </c>
      <c r="C1483">
        <v>1.05463196256114</v>
      </c>
      <c r="D1483">
        <v>1.12007558331554</v>
      </c>
      <c r="E1483">
        <v>1.06910413556603</v>
      </c>
      <c r="F1483">
        <v>0.547837867018927</v>
      </c>
      <c r="G1483">
        <v>0.360149517176449</v>
      </c>
      <c r="H1483">
        <v>0.33551770660945701</v>
      </c>
      <c r="I1483">
        <v>0.38547637767479997</v>
      </c>
      <c r="J1483">
        <v>0.47752091690576998</v>
      </c>
      <c r="K1483">
        <v>0.32739020260738899</v>
      </c>
      <c r="L1483">
        <v>13198.348392813999</v>
      </c>
      <c r="M1483">
        <v>250</v>
      </c>
      <c r="N1483">
        <v>53.091594307905098</v>
      </c>
      <c r="O1483">
        <v>52.790015708428498</v>
      </c>
      <c r="P1483">
        <v>-0.73734243364464502</v>
      </c>
      <c r="Q1483">
        <v>0.37721090891147702</v>
      </c>
      <c r="R1483">
        <v>0.96579208734042898</v>
      </c>
      <c r="S1483" t="s">
        <v>8100</v>
      </c>
      <c r="T1483" t="s">
        <v>13232</v>
      </c>
      <c r="U1483" t="s">
        <v>13232</v>
      </c>
      <c r="V1483" t="s">
        <v>13232</v>
      </c>
      <c r="W1483" t="s">
        <v>14675</v>
      </c>
      <c r="X1483">
        <v>23</v>
      </c>
      <c r="Y1483" t="s">
        <v>21192</v>
      </c>
      <c r="Z1483" t="s">
        <v>27614</v>
      </c>
      <c r="AA1483">
        <v>0.6428548097799841</v>
      </c>
      <c r="AB1483" t="str">
        <f>HYPERLINK("Melting_Curves/meltCurve_O76021_RSL1D1.pdf", "Melting_Curves/meltCurve_O76021_RSL1D1.pdf")</f>
        <v>Melting_Curves/meltCurve_O76021_RSL1D1.pdf</v>
      </c>
    </row>
    <row r="1484" spans="1:28" x14ac:dyDescent="0.25">
      <c r="A1484" t="s">
        <v>1488</v>
      </c>
      <c r="B1484">
        <v>0.99930955844802105</v>
      </c>
      <c r="C1484">
        <v>0.64616774001420496</v>
      </c>
      <c r="D1484">
        <v>0.44928725685363202</v>
      </c>
      <c r="E1484">
        <v>0.41796750602396798</v>
      </c>
      <c r="F1484">
        <v>0.31814384678670898</v>
      </c>
      <c r="G1484">
        <v>0.199356913062222</v>
      </c>
      <c r="H1484">
        <v>0.111830318472785</v>
      </c>
      <c r="I1484">
        <v>9.7312101068720305E-2</v>
      </c>
      <c r="J1484">
        <v>9.0165783636474997E-2</v>
      </c>
      <c r="K1484">
        <v>7.2638122596590193E-2</v>
      </c>
      <c r="L1484">
        <v>482.38115000224798</v>
      </c>
      <c r="M1484">
        <v>10.3923967061938</v>
      </c>
      <c r="N1484">
        <v>46.991758407369502</v>
      </c>
      <c r="O1484">
        <v>44.796755947543801</v>
      </c>
      <c r="P1484">
        <v>-5.4557449999396497E-2</v>
      </c>
      <c r="Q1484">
        <v>5.9708707892115798E-2</v>
      </c>
      <c r="R1484">
        <v>0.94411138660197202</v>
      </c>
      <c r="S1484" t="s">
        <v>8101</v>
      </c>
      <c r="T1484" t="s">
        <v>13232</v>
      </c>
      <c r="U1484" t="s">
        <v>13232</v>
      </c>
      <c r="V1484" t="s">
        <v>13232</v>
      </c>
      <c r="W1484" t="s">
        <v>14676</v>
      </c>
      <c r="X1484">
        <v>6</v>
      </c>
      <c r="Y1484" t="s">
        <v>21193</v>
      </c>
      <c r="Z1484" t="s">
        <v>27615</v>
      </c>
      <c r="AA1484">
        <v>0.31407942459628158</v>
      </c>
      <c r="AB1484" t="str">
        <f>HYPERLINK("Melting_Curves/meltCurve_O76031_CLPX.pdf", "Melting_Curves/meltCurve_O76031_CLPX.pdf")</f>
        <v>Melting_Curves/meltCurve_O76031_CLPX.pdf</v>
      </c>
    </row>
    <row r="1485" spans="1:28" x14ac:dyDescent="0.25">
      <c r="A1485" t="s">
        <v>1489</v>
      </c>
      <c r="B1485">
        <v>0.99930955844802105</v>
      </c>
      <c r="C1485">
        <v>1.06600108177064</v>
      </c>
      <c r="D1485">
        <v>1.0263213322386999</v>
      </c>
      <c r="E1485">
        <v>0.922738089407378</v>
      </c>
      <c r="F1485">
        <v>0.62586894687279004</v>
      </c>
      <c r="G1485">
        <v>0.265629230263772</v>
      </c>
      <c r="H1485">
        <v>0.129170511193898</v>
      </c>
      <c r="I1485">
        <v>8.5937184930186497E-2</v>
      </c>
      <c r="J1485">
        <v>6.4422524143507798E-2</v>
      </c>
      <c r="K1485">
        <v>4.95415391312699E-2</v>
      </c>
      <c r="L1485">
        <v>1410.69212423506</v>
      </c>
      <c r="M1485">
        <v>26.111755144665299</v>
      </c>
      <c r="N1485">
        <v>54.3168717598518</v>
      </c>
      <c r="O1485">
        <v>53.7112933997076</v>
      </c>
      <c r="P1485">
        <v>-0.113587855657587</v>
      </c>
      <c r="Q1485">
        <v>6.5419903197453597E-2</v>
      </c>
      <c r="R1485">
        <v>0.99567306150155399</v>
      </c>
      <c r="S1485" t="s">
        <v>8102</v>
      </c>
      <c r="T1485" t="s">
        <v>13232</v>
      </c>
      <c r="U1485" t="s">
        <v>13232</v>
      </c>
      <c r="V1485" t="s">
        <v>13232</v>
      </c>
      <c r="W1485" t="s">
        <v>14677</v>
      </c>
      <c r="X1485">
        <v>4</v>
      </c>
      <c r="Y1485" t="s">
        <v>21194</v>
      </c>
      <c r="Z1485" t="s">
        <v>27616</v>
      </c>
      <c r="AA1485">
        <v>0.51032664046843423</v>
      </c>
      <c r="AB1485" t="str">
        <f>HYPERLINK("Melting_Curves/meltCurve_O76038_SCGN.pdf", "Melting_Curves/meltCurve_O76038_SCGN.pdf")</f>
        <v>Melting_Curves/meltCurve_O76038_SCGN.pdf</v>
      </c>
    </row>
    <row r="1486" spans="1:28" x14ac:dyDescent="0.25">
      <c r="A1486" t="s">
        <v>1490</v>
      </c>
      <c r="B1486">
        <v>0.99930955844802105</v>
      </c>
      <c r="C1486">
        <v>0.98718943659860003</v>
      </c>
      <c r="D1486">
        <v>0.90843858542789102</v>
      </c>
      <c r="E1486">
        <v>0.88925332593266804</v>
      </c>
      <c r="F1486">
        <v>0.77997208934554896</v>
      </c>
      <c r="G1486">
        <v>0.60089002477295606</v>
      </c>
      <c r="H1486">
        <v>0.60662652250886895</v>
      </c>
      <c r="I1486">
        <v>0.68760741381859702</v>
      </c>
      <c r="J1486">
        <v>0.67565282211998601</v>
      </c>
      <c r="K1486">
        <v>0.498771600242636</v>
      </c>
      <c r="L1486">
        <v>871.295653017272</v>
      </c>
      <c r="M1486">
        <v>16.800474783249999</v>
      </c>
      <c r="O1486">
        <v>51.143301964772903</v>
      </c>
      <c r="P1486">
        <v>-3.3469290211404497E-2</v>
      </c>
      <c r="Q1486">
        <v>0.59248302417101195</v>
      </c>
      <c r="R1486">
        <v>0.89263334288524798</v>
      </c>
      <c r="S1486" t="s">
        <v>8103</v>
      </c>
      <c r="T1486" t="s">
        <v>13232</v>
      </c>
      <c r="U1486" t="s">
        <v>13232</v>
      </c>
      <c r="V1486" t="s">
        <v>13232</v>
      </c>
      <c r="W1486" t="s">
        <v>14678</v>
      </c>
      <c r="X1486">
        <v>7</v>
      </c>
      <c r="Y1486" t="s">
        <v>21195</v>
      </c>
      <c r="Z1486" t="s">
        <v>27617</v>
      </c>
      <c r="AA1486">
        <v>0.76124023373506422</v>
      </c>
      <c r="AB1486" t="str">
        <f>HYPERLINK("Melting_Curves/meltCurve_O76041_2_NEBL.pdf", "Melting_Curves/meltCurve_O76041_2_NEBL.pdf")</f>
        <v>Melting_Curves/meltCurve_O76041_2_NEBL.pdf</v>
      </c>
    </row>
    <row r="1487" spans="1:28" x14ac:dyDescent="0.25">
      <c r="A1487" t="s">
        <v>1491</v>
      </c>
      <c r="B1487">
        <v>0.99930955844802105</v>
      </c>
      <c r="C1487">
        <v>0.872933574890285</v>
      </c>
      <c r="D1487">
        <v>0.53284816225910803</v>
      </c>
      <c r="E1487">
        <v>0.28176057874919702</v>
      </c>
      <c r="F1487">
        <v>0.166485402870894</v>
      </c>
      <c r="G1487">
        <v>0.113756261672272</v>
      </c>
      <c r="H1487">
        <v>7.4702051092858296E-2</v>
      </c>
      <c r="I1487">
        <v>8.1780980638580206E-2</v>
      </c>
      <c r="J1487">
        <v>7.5969999617436695E-2</v>
      </c>
      <c r="K1487">
        <v>6.2548907525907901E-2</v>
      </c>
      <c r="L1487">
        <v>917.404785307098</v>
      </c>
      <c r="M1487">
        <v>19.784417491155502</v>
      </c>
      <c r="N1487">
        <v>46.774894479505697</v>
      </c>
      <c r="O1487">
        <v>45.904122436332898</v>
      </c>
      <c r="P1487">
        <v>-9.9273638519306304E-2</v>
      </c>
      <c r="Q1487">
        <v>7.8686155794444601E-2</v>
      </c>
      <c r="R1487">
        <v>0.995038429640836</v>
      </c>
      <c r="S1487" t="s">
        <v>8104</v>
      </c>
      <c r="T1487" t="s">
        <v>13232</v>
      </c>
      <c r="U1487" t="s">
        <v>13232</v>
      </c>
      <c r="V1487" t="s">
        <v>13232</v>
      </c>
      <c r="W1487" t="s">
        <v>14679</v>
      </c>
      <c r="X1487">
        <v>4</v>
      </c>
      <c r="Y1487" t="s">
        <v>21196</v>
      </c>
      <c r="Z1487" t="s">
        <v>27618</v>
      </c>
      <c r="AA1487">
        <v>0.2885671682163784</v>
      </c>
      <c r="AB1487" t="str">
        <f>HYPERLINK("Melting_Curves/meltCurve_O76064_RNF8.pdf", "Melting_Curves/meltCurve_O76064_RNF8.pdf")</f>
        <v>Melting_Curves/meltCurve_O76064_RNF8.pdf</v>
      </c>
    </row>
    <row r="1488" spans="1:28" x14ac:dyDescent="0.25">
      <c r="A1488" t="s">
        <v>1492</v>
      </c>
      <c r="B1488">
        <v>0.99930955844802105</v>
      </c>
      <c r="C1488">
        <v>0.97904677346664004</v>
      </c>
      <c r="D1488">
        <v>0.95995072132643799</v>
      </c>
      <c r="E1488">
        <v>0.83018976835125502</v>
      </c>
      <c r="F1488">
        <v>0.66980300204954801</v>
      </c>
      <c r="G1488">
        <v>0.45859492148664399</v>
      </c>
      <c r="H1488">
        <v>0.30075564097747898</v>
      </c>
      <c r="I1488">
        <v>0.18742194308535301</v>
      </c>
      <c r="J1488">
        <v>9.6086640594880104E-2</v>
      </c>
      <c r="K1488">
        <v>5.8816969187507097E-2</v>
      </c>
      <c r="L1488">
        <v>711.569460611826</v>
      </c>
      <c r="M1488">
        <v>12.6425544275454</v>
      </c>
      <c r="N1488">
        <v>56.283677842863199</v>
      </c>
      <c r="O1488">
        <v>54.931191962357303</v>
      </c>
      <c r="P1488">
        <v>-5.7549469658352198E-2</v>
      </c>
      <c r="Q1488">
        <v>0</v>
      </c>
      <c r="R1488">
        <v>0.99833066289039896</v>
      </c>
      <c r="S1488" t="s">
        <v>8105</v>
      </c>
      <c r="T1488" t="s">
        <v>13232</v>
      </c>
      <c r="U1488" t="s">
        <v>13232</v>
      </c>
      <c r="V1488" t="s">
        <v>13232</v>
      </c>
      <c r="W1488" t="s">
        <v>14680</v>
      </c>
      <c r="X1488">
        <v>7</v>
      </c>
      <c r="Y1488" t="s">
        <v>21197</v>
      </c>
      <c r="Z1488" t="s">
        <v>27619</v>
      </c>
      <c r="AA1488">
        <v>0.56187199687043143</v>
      </c>
      <c r="AB1488" t="str">
        <f>HYPERLINK("Melting_Curves/meltCurve_O76071_CIAO1.pdf", "Melting_Curves/meltCurve_O76071_CIAO1.pdf")</f>
        <v>Melting_Curves/meltCurve_O76071_CIAO1.pdf</v>
      </c>
    </row>
    <row r="1489" spans="1:28" x14ac:dyDescent="0.25">
      <c r="A1489" t="s">
        <v>1493</v>
      </c>
      <c r="B1489">
        <v>0.99930955844802105</v>
      </c>
      <c r="C1489">
        <v>0.96434273547799199</v>
      </c>
      <c r="D1489">
        <v>0.92673321068736703</v>
      </c>
      <c r="E1489">
        <v>0.80594182162139805</v>
      </c>
      <c r="F1489">
        <v>0.58022660652939695</v>
      </c>
      <c r="G1489">
        <v>0.28336259016784998</v>
      </c>
      <c r="H1489">
        <v>0.17097503100323599</v>
      </c>
      <c r="I1489">
        <v>0.14001090693881299</v>
      </c>
      <c r="J1489">
        <v>9.8467714120134206E-2</v>
      </c>
      <c r="K1489">
        <v>8.3445073045553805E-2</v>
      </c>
      <c r="L1489">
        <v>962.21703715112801</v>
      </c>
      <c r="M1489">
        <v>18.008706402082701</v>
      </c>
      <c r="N1489">
        <v>53.937708208694801</v>
      </c>
      <c r="O1489">
        <v>52.784892124281001</v>
      </c>
      <c r="P1489">
        <v>-7.86550764062455E-2</v>
      </c>
      <c r="Q1489">
        <v>7.7869302970925397E-2</v>
      </c>
      <c r="R1489">
        <v>0.99832581618718597</v>
      </c>
      <c r="S1489" t="s">
        <v>8106</v>
      </c>
      <c r="T1489" t="s">
        <v>13232</v>
      </c>
      <c r="U1489" t="s">
        <v>13232</v>
      </c>
      <c r="V1489" t="s">
        <v>13232</v>
      </c>
      <c r="W1489" t="s">
        <v>13831</v>
      </c>
      <c r="X1489">
        <v>8</v>
      </c>
      <c r="Y1489" t="s">
        <v>21198</v>
      </c>
      <c r="Z1489" t="s">
        <v>27620</v>
      </c>
      <c r="AA1489">
        <v>0.50565052210466355</v>
      </c>
      <c r="AB1489" t="str">
        <f>HYPERLINK("Melting_Curves/meltCurve_O76075_DFFB.pdf", "Melting_Curves/meltCurve_O76075_DFFB.pdf")</f>
        <v>Melting_Curves/meltCurve_O76075_DFFB.pdf</v>
      </c>
    </row>
    <row r="1490" spans="1:28" x14ac:dyDescent="0.25">
      <c r="A1490" t="s">
        <v>1494</v>
      </c>
      <c r="B1490">
        <v>0.99930955844802105</v>
      </c>
      <c r="C1490">
        <v>1.21807024572461</v>
      </c>
      <c r="D1490">
        <v>1.1933709297506401</v>
      </c>
      <c r="E1490">
        <v>1.1015582944191999</v>
      </c>
      <c r="F1490">
        <v>1.0339125455862599</v>
      </c>
      <c r="G1490">
        <v>0.88749099273283905</v>
      </c>
      <c r="H1490">
        <v>0.786014372740378</v>
      </c>
      <c r="I1490">
        <v>0.74485257997061005</v>
      </c>
      <c r="J1490">
        <v>0.73314381699481002</v>
      </c>
      <c r="K1490">
        <v>0.60862343982172695</v>
      </c>
      <c r="L1490">
        <v>1293.76297119626</v>
      </c>
      <c r="M1490">
        <v>21.4230340777872</v>
      </c>
      <c r="O1490">
        <v>59.872384571174301</v>
      </c>
      <c r="P1490">
        <v>-3.1973208758546298E-2</v>
      </c>
      <c r="Q1490">
        <v>0.64257821466754095</v>
      </c>
      <c r="R1490">
        <v>0.73205907656180902</v>
      </c>
      <c r="S1490" t="s">
        <v>8107</v>
      </c>
      <c r="T1490" t="s">
        <v>13232</v>
      </c>
      <c r="U1490" t="s">
        <v>13232</v>
      </c>
      <c r="V1490" t="s">
        <v>13232</v>
      </c>
      <c r="W1490" t="s">
        <v>14681</v>
      </c>
      <c r="X1490">
        <v>5</v>
      </c>
      <c r="Y1490" t="s">
        <v>21199</v>
      </c>
      <c r="Z1490" t="s">
        <v>27621</v>
      </c>
      <c r="AA1490">
        <v>0.88821367810469309</v>
      </c>
      <c r="AB1490" t="str">
        <f>HYPERLINK("Melting_Curves/meltCurve_O76080_ZFAND5.pdf", "Melting_Curves/meltCurve_O76080_ZFAND5.pdf")</f>
        <v>Melting_Curves/meltCurve_O76080_ZFAND5.pdf</v>
      </c>
    </row>
    <row r="1491" spans="1:28" x14ac:dyDescent="0.25">
      <c r="A1491" t="s">
        <v>1495</v>
      </c>
      <c r="B1491">
        <v>0.99930955844802105</v>
      </c>
      <c r="C1491">
        <v>0.65015436425057305</v>
      </c>
      <c r="D1491">
        <v>0.56820521839232396</v>
      </c>
      <c r="E1491">
        <v>0.28739169948420901</v>
      </c>
      <c r="F1491">
        <v>0.16552782754850501</v>
      </c>
      <c r="G1491">
        <v>0.11720971343824101</v>
      </c>
      <c r="H1491">
        <v>7.3360698532045895E-2</v>
      </c>
      <c r="I1491">
        <v>6.8663118466859505E-2</v>
      </c>
      <c r="J1491">
        <v>6.0198337262395901E-2</v>
      </c>
      <c r="K1491">
        <v>5.0813755111421902E-2</v>
      </c>
      <c r="L1491">
        <v>653.78520935013296</v>
      </c>
      <c r="M1491">
        <v>14.2005101487196</v>
      </c>
      <c r="N1491">
        <v>46.377657817547203</v>
      </c>
      <c r="O1491">
        <v>45.155403930834197</v>
      </c>
      <c r="P1491">
        <v>-7.4763595557499396E-2</v>
      </c>
      <c r="Q1491">
        <v>4.9172719557421397E-2</v>
      </c>
      <c r="R1491">
        <v>0.97702085791875704</v>
      </c>
      <c r="S1491" t="s">
        <v>8108</v>
      </c>
      <c r="T1491" t="s">
        <v>13232</v>
      </c>
      <c r="U1491" t="s">
        <v>13232</v>
      </c>
      <c r="V1491" t="s">
        <v>13232</v>
      </c>
      <c r="W1491" t="s">
        <v>14682</v>
      </c>
      <c r="X1491">
        <v>20</v>
      </c>
      <c r="Y1491" t="s">
        <v>21200</v>
      </c>
      <c r="Z1491" t="s">
        <v>27622</v>
      </c>
      <c r="AA1491">
        <v>0.27160409272217978</v>
      </c>
      <c r="AB1491" t="str">
        <f>HYPERLINK("Melting_Curves/meltCurve_O76094_SRP72.pdf", "Melting_Curves/meltCurve_O76094_SRP72.pdf")</f>
        <v>Melting_Curves/meltCurve_O76094_SRP72.pdf</v>
      </c>
    </row>
    <row r="1492" spans="1:28" x14ac:dyDescent="0.25">
      <c r="A1492" t="s">
        <v>1496</v>
      </c>
      <c r="B1492">
        <v>0.99930955844802105</v>
      </c>
      <c r="C1492">
        <v>0.99853393941173596</v>
      </c>
      <c r="D1492">
        <v>0.95338338990815097</v>
      </c>
      <c r="E1492">
        <v>0.69641463261105596</v>
      </c>
      <c r="F1492">
        <v>0.340876215474332</v>
      </c>
      <c r="G1492">
        <v>0.246020299761573</v>
      </c>
      <c r="H1492">
        <v>0.21951639701346101</v>
      </c>
      <c r="I1492">
        <v>0.20886436854847501</v>
      </c>
      <c r="J1492">
        <v>0.19819725585721101</v>
      </c>
      <c r="K1492">
        <v>0.16185979478885701</v>
      </c>
      <c r="L1492">
        <v>1626.9374720450501</v>
      </c>
      <c r="M1492">
        <v>32.100393876276698</v>
      </c>
      <c r="N1492">
        <v>51.498896300442603</v>
      </c>
      <c r="O1492">
        <v>50.487327266234097</v>
      </c>
      <c r="P1492">
        <v>-0.12726382639560499</v>
      </c>
      <c r="Q1492">
        <v>0.19936482526805699</v>
      </c>
      <c r="R1492">
        <v>0.99746695544917596</v>
      </c>
      <c r="S1492" t="s">
        <v>8109</v>
      </c>
      <c r="T1492" t="s">
        <v>13232</v>
      </c>
      <c r="U1492" t="s">
        <v>13232</v>
      </c>
      <c r="V1492" t="s">
        <v>13232</v>
      </c>
      <c r="W1492" t="s">
        <v>14683</v>
      </c>
      <c r="X1492">
        <v>9</v>
      </c>
      <c r="Y1492" t="s">
        <v>21201</v>
      </c>
      <c r="Z1492" t="s">
        <v>27623</v>
      </c>
      <c r="AA1492">
        <v>0.48883579162731022</v>
      </c>
      <c r="AB1492" t="str">
        <f>HYPERLINK("Melting_Curves/meltCurve_O77932_DOM3Z.pdf", "Melting_Curves/meltCurve_O77932_DOM3Z.pdf")</f>
        <v>Melting_Curves/meltCurve_O77932_DOM3Z.pdf</v>
      </c>
    </row>
    <row r="1493" spans="1:28" x14ac:dyDescent="0.25">
      <c r="A1493" t="s">
        <v>1497</v>
      </c>
      <c r="B1493">
        <v>0.99930955844802105</v>
      </c>
      <c r="C1493">
        <v>1.00225953087244</v>
      </c>
      <c r="D1493">
        <v>0.91137891409321004</v>
      </c>
      <c r="E1493">
        <v>0.83312097619882897</v>
      </c>
      <c r="F1493">
        <v>0.62723825758287699</v>
      </c>
      <c r="G1493">
        <v>0.558243621808449</v>
      </c>
      <c r="H1493">
        <v>0.46926340151874302</v>
      </c>
      <c r="I1493">
        <v>0.47657916494570401</v>
      </c>
      <c r="J1493">
        <v>0.45446714983939601</v>
      </c>
      <c r="K1493">
        <v>0.35052525321991801</v>
      </c>
      <c r="L1493">
        <v>742.52212961543398</v>
      </c>
      <c r="M1493">
        <v>14.1586599150118</v>
      </c>
      <c r="N1493">
        <v>58.993092856079898</v>
      </c>
      <c r="O1493">
        <v>51.430073154375201</v>
      </c>
      <c r="P1493">
        <v>-4.1562233360309002E-2</v>
      </c>
      <c r="Q1493">
        <v>0.396192002531637</v>
      </c>
      <c r="R1493">
        <v>0.97968935786904998</v>
      </c>
      <c r="S1493" t="s">
        <v>8110</v>
      </c>
      <c r="T1493" t="s">
        <v>13232</v>
      </c>
      <c r="U1493" t="s">
        <v>13232</v>
      </c>
      <c r="V1493" t="s">
        <v>13232</v>
      </c>
      <c r="W1493" t="s">
        <v>14684</v>
      </c>
      <c r="X1493">
        <v>10</v>
      </c>
      <c r="Y1493" t="s">
        <v>21202</v>
      </c>
      <c r="Z1493" t="s">
        <v>27624</v>
      </c>
      <c r="AA1493">
        <v>0.66106390510320456</v>
      </c>
      <c r="AB1493" t="str">
        <f>HYPERLINK("Melting_Curves/meltCurve_O94761_RECQL4.pdf", "Melting_Curves/meltCurve_O94761_RECQL4.pdf")</f>
        <v>Melting_Curves/meltCurve_O94761_RECQL4.pdf</v>
      </c>
    </row>
    <row r="1494" spans="1:28" x14ac:dyDescent="0.25">
      <c r="A1494" t="s">
        <v>1498</v>
      </c>
      <c r="B1494">
        <v>0.99930955844802105</v>
      </c>
      <c r="C1494">
        <v>0.98086237782321695</v>
      </c>
      <c r="D1494">
        <v>0.90722936687897504</v>
      </c>
      <c r="E1494">
        <v>0.77883401256639295</v>
      </c>
      <c r="F1494">
        <v>0.63492199806965799</v>
      </c>
      <c r="G1494">
        <v>0.52484638403791595</v>
      </c>
      <c r="H1494">
        <v>0.43967417582441598</v>
      </c>
      <c r="I1494">
        <v>0.43922261749588798</v>
      </c>
      <c r="J1494">
        <v>0.42407027796660302</v>
      </c>
      <c r="K1494">
        <v>0.31832811150381402</v>
      </c>
      <c r="L1494">
        <v>670.25676747938996</v>
      </c>
      <c r="M1494">
        <v>12.7745731449541</v>
      </c>
      <c r="N1494">
        <v>57.9042069535762</v>
      </c>
      <c r="O1494">
        <v>51.232158265479598</v>
      </c>
      <c r="P1494">
        <v>-4.05702766936408E-2</v>
      </c>
      <c r="Q1494">
        <v>0.34929807004263702</v>
      </c>
      <c r="R1494">
        <v>0.98921019326848203</v>
      </c>
      <c r="S1494" t="s">
        <v>8111</v>
      </c>
      <c r="T1494" t="s">
        <v>13232</v>
      </c>
      <c r="U1494" t="s">
        <v>13232</v>
      </c>
      <c r="V1494" t="s">
        <v>13232</v>
      </c>
      <c r="W1494" t="s">
        <v>14685</v>
      </c>
      <c r="X1494">
        <v>26</v>
      </c>
      <c r="Y1494" t="s">
        <v>21203</v>
      </c>
      <c r="Z1494" t="s">
        <v>27625</v>
      </c>
      <c r="AA1494">
        <v>0.6375647881541735</v>
      </c>
      <c r="AB1494" t="str">
        <f>HYPERLINK("Melting_Curves/meltCurve_O94762_RECQL5.pdf", "Melting_Curves/meltCurve_O94762_RECQL5.pdf")</f>
        <v>Melting_Curves/meltCurve_O94762_RECQL5.pdf</v>
      </c>
    </row>
    <row r="1495" spans="1:28" x14ac:dyDescent="0.25">
      <c r="A1495" t="s">
        <v>1499</v>
      </c>
      <c r="B1495">
        <v>0.99930955844802105</v>
      </c>
      <c r="C1495">
        <v>0.94239524452744206</v>
      </c>
      <c r="D1495">
        <v>0.96830692845241895</v>
      </c>
      <c r="E1495">
        <v>1.01746057651773</v>
      </c>
      <c r="F1495">
        <v>0.87949386472452895</v>
      </c>
      <c r="G1495">
        <v>0.48200969576936298</v>
      </c>
      <c r="H1495">
        <v>0.34660775600238702</v>
      </c>
      <c r="I1495">
        <v>0.28834633442979601</v>
      </c>
      <c r="J1495">
        <v>0.27579581605280401</v>
      </c>
      <c r="K1495">
        <v>0.237939677408011</v>
      </c>
      <c r="L1495">
        <v>1829.85202251946</v>
      </c>
      <c r="M1495">
        <v>32.9185507833676</v>
      </c>
      <c r="N1495">
        <v>56.946341380701803</v>
      </c>
      <c r="O1495">
        <v>55.383323955477898</v>
      </c>
      <c r="P1495">
        <v>-0.108164340545173</v>
      </c>
      <c r="Q1495">
        <v>0.272085361226381</v>
      </c>
      <c r="R1495">
        <v>0.99208826672344697</v>
      </c>
      <c r="S1495" t="s">
        <v>8112</v>
      </c>
      <c r="T1495" t="s">
        <v>13232</v>
      </c>
      <c r="U1495" t="s">
        <v>13232</v>
      </c>
      <c r="V1495" t="s">
        <v>13232</v>
      </c>
      <c r="W1495" t="s">
        <v>14686</v>
      </c>
      <c r="X1495">
        <v>16</v>
      </c>
      <c r="Y1495" t="s">
        <v>21204</v>
      </c>
      <c r="Z1495" t="s">
        <v>27626</v>
      </c>
      <c r="AA1495">
        <v>0.65436010392808963</v>
      </c>
      <c r="AB1495" t="str">
        <f>HYPERLINK("Melting_Curves/meltCurve_O94763_URI1.pdf", "Melting_Curves/meltCurve_O94763_URI1.pdf")</f>
        <v>Melting_Curves/meltCurve_O94763_URI1.pdf</v>
      </c>
    </row>
    <row r="1496" spans="1:28" x14ac:dyDescent="0.25">
      <c r="A1496" t="s">
        <v>1500</v>
      </c>
      <c r="B1496">
        <v>0.99930955844802105</v>
      </c>
      <c r="C1496">
        <v>1.05850072563124</v>
      </c>
      <c r="D1496">
        <v>0.96934330143754399</v>
      </c>
      <c r="E1496">
        <v>0.96322923076990297</v>
      </c>
      <c r="F1496">
        <v>0.89060259439357004</v>
      </c>
      <c r="G1496">
        <v>0.676237497207684</v>
      </c>
      <c r="H1496">
        <v>0.80684550420093304</v>
      </c>
      <c r="I1496">
        <v>0.86350814781240803</v>
      </c>
      <c r="J1496">
        <v>0.74478991597196398</v>
      </c>
      <c r="K1496">
        <v>0.68749386824233405</v>
      </c>
      <c r="L1496">
        <v>7014.7448526714797</v>
      </c>
      <c r="M1496">
        <v>132.145999381471</v>
      </c>
      <c r="O1496">
        <v>53.071138694278901</v>
      </c>
      <c r="P1496">
        <v>-0.152027961989433</v>
      </c>
      <c r="Q1496">
        <v>0.755776279272525</v>
      </c>
      <c r="R1496">
        <v>0.80797976850237796</v>
      </c>
      <c r="S1496" t="s">
        <v>8113</v>
      </c>
      <c r="T1496" t="s">
        <v>13232</v>
      </c>
      <c r="U1496" t="s">
        <v>13232</v>
      </c>
      <c r="V1496" t="s">
        <v>13232</v>
      </c>
      <c r="W1496" t="s">
        <v>14687</v>
      </c>
      <c r="X1496">
        <v>12</v>
      </c>
      <c r="Y1496" t="s">
        <v>21204</v>
      </c>
      <c r="Z1496" t="s">
        <v>27627</v>
      </c>
      <c r="AA1496">
        <v>0.86236610988374951</v>
      </c>
      <c r="AB1496" t="str">
        <f>HYPERLINK("Melting_Curves/meltCurve_O94763_4_URI1.pdf", "Melting_Curves/meltCurve_O94763_4_URI1.pdf")</f>
        <v>Melting_Curves/meltCurve_O94763_4_URI1.pdf</v>
      </c>
    </row>
    <row r="1497" spans="1:28" x14ac:dyDescent="0.25">
      <c r="A1497" t="s">
        <v>1501</v>
      </c>
      <c r="B1497">
        <v>0.99930955844802105</v>
      </c>
      <c r="C1497">
        <v>0.77558748174636305</v>
      </c>
      <c r="D1497">
        <v>0.77016328166072201</v>
      </c>
      <c r="E1497">
        <v>0.68877838129949098</v>
      </c>
      <c r="F1497">
        <v>0.37810514129925699</v>
      </c>
      <c r="G1497">
        <v>0.19574164069929401</v>
      </c>
      <c r="H1497">
        <v>0.13175300928148601</v>
      </c>
      <c r="I1497">
        <v>0.10041244850351699</v>
      </c>
      <c r="J1497">
        <v>9.5309810178995494E-2</v>
      </c>
      <c r="K1497">
        <v>7.32702739664612E-2</v>
      </c>
      <c r="L1497">
        <v>562.72971527697496</v>
      </c>
      <c r="M1497">
        <v>10.981283528453901</v>
      </c>
      <c r="N1497">
        <v>51.272554970687104</v>
      </c>
      <c r="O1497">
        <v>49.6329998279314</v>
      </c>
      <c r="P1497">
        <v>-5.5165104848087003E-2</v>
      </c>
      <c r="Q1497">
        <v>3.0018017985246701E-3</v>
      </c>
      <c r="R1497">
        <v>0.96808332198521596</v>
      </c>
      <c r="S1497" t="s">
        <v>8114</v>
      </c>
      <c r="T1497" t="s">
        <v>13232</v>
      </c>
      <c r="U1497" t="s">
        <v>13232</v>
      </c>
      <c r="V1497" t="s">
        <v>13232</v>
      </c>
      <c r="W1497" t="s">
        <v>14688</v>
      </c>
      <c r="X1497">
        <v>35</v>
      </c>
      <c r="Y1497" t="s">
        <v>21205</v>
      </c>
      <c r="Z1497" t="s">
        <v>27628</v>
      </c>
      <c r="AA1497">
        <v>0.4127953342783528</v>
      </c>
      <c r="AB1497" t="str">
        <f>HYPERLINK("Melting_Curves/meltCurve_O94776_MTA2.pdf", "Melting_Curves/meltCurve_O94776_MTA2.pdf")</f>
        <v>Melting_Curves/meltCurve_O94776_MTA2.pdf</v>
      </c>
    </row>
    <row r="1498" spans="1:28" x14ac:dyDescent="0.25">
      <c r="A1498" t="s">
        <v>1502</v>
      </c>
      <c r="B1498">
        <v>0.99930955844802105</v>
      </c>
      <c r="C1498">
        <v>1.0515239650657799</v>
      </c>
      <c r="D1498">
        <v>0.97232391533375095</v>
      </c>
      <c r="E1498">
        <v>0.89655660032464501</v>
      </c>
      <c r="F1498">
        <v>0.77152663575215497</v>
      </c>
      <c r="G1498">
        <v>0.62351680750944405</v>
      </c>
      <c r="H1498">
        <v>0.59501483452403003</v>
      </c>
      <c r="I1498">
        <v>0.58456168584068602</v>
      </c>
      <c r="J1498">
        <v>0.60052223828203299</v>
      </c>
      <c r="K1498">
        <v>0.50992306559024403</v>
      </c>
      <c r="L1498">
        <v>1129.1692128022801</v>
      </c>
      <c r="M1498">
        <v>21.403231979242001</v>
      </c>
      <c r="O1498">
        <v>52.302879052982902</v>
      </c>
      <c r="P1498">
        <v>-4.4989503136065298E-2</v>
      </c>
      <c r="Q1498">
        <v>0.56024920039971005</v>
      </c>
      <c r="R1498">
        <v>0.97953236483441597</v>
      </c>
      <c r="S1498" t="s">
        <v>8115</v>
      </c>
      <c r="T1498" t="s">
        <v>13232</v>
      </c>
      <c r="U1498" t="s">
        <v>13232</v>
      </c>
      <c r="V1498" t="s">
        <v>13232</v>
      </c>
      <c r="W1498" t="s">
        <v>14689</v>
      </c>
      <c r="X1498">
        <v>4</v>
      </c>
      <c r="Y1498" t="s">
        <v>21206</v>
      </c>
      <c r="Z1498" t="s">
        <v>27629</v>
      </c>
      <c r="AA1498">
        <v>0.75262428894523792</v>
      </c>
      <c r="AB1498" t="str">
        <f>HYPERLINK("Melting_Curves/meltCurve_O94782_USP1.pdf", "Melting_Curves/meltCurve_O94782_USP1.pdf")</f>
        <v>Melting_Curves/meltCurve_O94782_USP1.pdf</v>
      </c>
    </row>
    <row r="1499" spans="1:28" x14ac:dyDescent="0.25">
      <c r="A1499" t="s">
        <v>1503</v>
      </c>
      <c r="B1499">
        <v>0.99930955844802105</v>
      </c>
      <c r="C1499">
        <v>0.88318744887600897</v>
      </c>
      <c r="D1499">
        <v>0.90789517321651003</v>
      </c>
      <c r="E1499">
        <v>0.93135243374339205</v>
      </c>
      <c r="F1499">
        <v>0.925856319659081</v>
      </c>
      <c r="G1499">
        <v>0.68838339088411205</v>
      </c>
      <c r="H1499">
        <v>0.34264396040392098</v>
      </c>
      <c r="I1499">
        <v>0.25896610877198001</v>
      </c>
      <c r="J1499">
        <v>0.113301321229302</v>
      </c>
      <c r="K1499">
        <v>7.84924558439207E-2</v>
      </c>
      <c r="L1499">
        <v>1083.34565510275</v>
      </c>
      <c r="M1499">
        <v>18.311039948635401</v>
      </c>
      <c r="N1499">
        <v>59.326501305481202</v>
      </c>
      <c r="O1499">
        <v>58.471433521546203</v>
      </c>
      <c r="P1499">
        <v>-7.6373679452460805E-2</v>
      </c>
      <c r="Q1499">
        <v>2.4528893052045399E-2</v>
      </c>
      <c r="R1499">
        <v>0.97876546039483403</v>
      </c>
      <c r="S1499" t="s">
        <v>8116</v>
      </c>
      <c r="T1499" t="s">
        <v>13232</v>
      </c>
      <c r="U1499" t="s">
        <v>13232</v>
      </c>
      <c r="V1499" t="s">
        <v>13232</v>
      </c>
      <c r="W1499" t="s">
        <v>14690</v>
      </c>
      <c r="X1499">
        <v>24</v>
      </c>
      <c r="Y1499" t="s">
        <v>21207</v>
      </c>
      <c r="Z1499" t="s">
        <v>27630</v>
      </c>
      <c r="AA1499">
        <v>0.65759725673276059</v>
      </c>
      <c r="AB1499" t="str">
        <f>HYPERLINK("Melting_Curves/meltCurve_O94788_ALDH1A2.pdf", "Melting_Curves/meltCurve_O94788_ALDH1A2.pdf")</f>
        <v>Melting_Curves/meltCurve_O94788_ALDH1A2.pdf</v>
      </c>
    </row>
    <row r="1500" spans="1:28" x14ac:dyDescent="0.25">
      <c r="A1500" t="s">
        <v>1504</v>
      </c>
      <c r="B1500">
        <v>0.99930955844802105</v>
      </c>
      <c r="C1500">
        <v>0.96459040988167499</v>
      </c>
      <c r="D1500">
        <v>0.71271007630211602</v>
      </c>
      <c r="E1500">
        <v>0.465759904990042</v>
      </c>
      <c r="F1500">
        <v>0.34823361282932502</v>
      </c>
      <c r="G1500">
        <v>0.28532281678622401</v>
      </c>
      <c r="H1500">
        <v>0.24657595672628599</v>
      </c>
      <c r="I1500">
        <v>0.26638575033272599</v>
      </c>
      <c r="J1500">
        <v>0.28392250989921802</v>
      </c>
      <c r="K1500">
        <v>0.21337027360016</v>
      </c>
      <c r="L1500">
        <v>951.48076877857795</v>
      </c>
      <c r="M1500">
        <v>20.018586215279999</v>
      </c>
      <c r="N1500">
        <v>49.263171164993899</v>
      </c>
      <c r="O1500">
        <v>47.063220005293999</v>
      </c>
      <c r="P1500">
        <v>-7.9460725862100595E-2</v>
      </c>
      <c r="Q1500">
        <v>0.25278350991835202</v>
      </c>
      <c r="R1500">
        <v>0.99244146311644399</v>
      </c>
      <c r="S1500" t="s">
        <v>8117</v>
      </c>
      <c r="T1500" t="s">
        <v>13232</v>
      </c>
      <c r="U1500" t="s">
        <v>13232</v>
      </c>
      <c r="V1500" t="s">
        <v>13232</v>
      </c>
      <c r="W1500" t="s">
        <v>14691</v>
      </c>
      <c r="X1500">
        <v>12</v>
      </c>
      <c r="Y1500" t="s">
        <v>21208</v>
      </c>
      <c r="Z1500" t="s">
        <v>27631</v>
      </c>
      <c r="AA1500">
        <v>0.45105212992455801</v>
      </c>
      <c r="AB1500" t="str">
        <f>HYPERLINK("Melting_Curves/meltCurve_O94804_STK10.pdf", "Melting_Curves/meltCurve_O94804_STK10.pdf")</f>
        <v>Melting_Curves/meltCurve_O94804_STK10.pdf</v>
      </c>
    </row>
    <row r="1501" spans="1:28" x14ac:dyDescent="0.25">
      <c r="A1501" t="s">
        <v>1505</v>
      </c>
      <c r="B1501">
        <v>0.99930955844802105</v>
      </c>
      <c r="C1501">
        <v>0.70796612983574303</v>
      </c>
      <c r="D1501">
        <v>0.52840678961535603</v>
      </c>
      <c r="E1501">
        <v>0.41878024638366101</v>
      </c>
      <c r="F1501">
        <v>0.34254169901591103</v>
      </c>
      <c r="G1501">
        <v>0.26796420996523901</v>
      </c>
      <c r="H1501">
        <v>0.197243296200215</v>
      </c>
      <c r="I1501">
        <v>0.195762704967196</v>
      </c>
      <c r="J1501">
        <v>0.141141484200586</v>
      </c>
      <c r="K1501">
        <v>0.110945463629038</v>
      </c>
      <c r="L1501">
        <v>526.48852608662605</v>
      </c>
      <c r="M1501">
        <v>11.337769282317501</v>
      </c>
      <c r="N1501">
        <v>47.800868065130601</v>
      </c>
      <c r="O1501">
        <v>45.062407378637403</v>
      </c>
      <c r="P1501">
        <v>-5.4222686290451703E-2</v>
      </c>
      <c r="Q1501">
        <v>0.138217526991325</v>
      </c>
      <c r="R1501">
        <v>0.96352318316860597</v>
      </c>
      <c r="S1501" t="s">
        <v>8118</v>
      </c>
      <c r="T1501" t="s">
        <v>13232</v>
      </c>
      <c r="U1501" t="s">
        <v>13232</v>
      </c>
      <c r="V1501" t="s">
        <v>13232</v>
      </c>
      <c r="W1501" t="s">
        <v>14692</v>
      </c>
      <c r="X1501">
        <v>4</v>
      </c>
      <c r="Y1501" t="s">
        <v>21209</v>
      </c>
      <c r="Z1501" t="s">
        <v>27632</v>
      </c>
      <c r="AA1501">
        <v>0.36503236025868291</v>
      </c>
      <c r="AB1501" t="str">
        <f>HYPERLINK("Melting_Curves/meltCurve_O94806_PRKD3.pdf", "Melting_Curves/meltCurve_O94806_PRKD3.pdf")</f>
        <v>Melting_Curves/meltCurve_O94806_PRKD3.pdf</v>
      </c>
    </row>
    <row r="1502" spans="1:28" x14ac:dyDescent="0.25">
      <c r="A1502" t="s">
        <v>1506</v>
      </c>
      <c r="B1502">
        <v>0.99930955844802105</v>
      </c>
      <c r="C1502">
        <v>1.46892593575362</v>
      </c>
      <c r="D1502">
        <v>1.3162767435295499</v>
      </c>
      <c r="E1502">
        <v>1.1404091970293899</v>
      </c>
      <c r="F1502">
        <v>1.25301799396743</v>
      </c>
      <c r="G1502">
        <v>0.75362233274395496</v>
      </c>
      <c r="H1502">
        <v>0.20312040026849801</v>
      </c>
      <c r="I1502">
        <v>9.7660059792523304E-2</v>
      </c>
      <c r="J1502">
        <v>0</v>
      </c>
      <c r="K1502">
        <v>0</v>
      </c>
      <c r="L1502">
        <v>2456.9443628425502</v>
      </c>
      <c r="M1502">
        <v>41.8276578627041</v>
      </c>
      <c r="N1502">
        <v>58.800599972169202</v>
      </c>
      <c r="O1502">
        <v>58.605935486805002</v>
      </c>
      <c r="P1502">
        <v>-0.17464605151416401</v>
      </c>
      <c r="Q1502">
        <v>2.1195515822174001E-2</v>
      </c>
      <c r="R1502">
        <v>0.86854606640068599</v>
      </c>
      <c r="S1502" t="s">
        <v>8119</v>
      </c>
      <c r="T1502" t="s">
        <v>13232</v>
      </c>
      <c r="U1502" t="s">
        <v>13232</v>
      </c>
      <c r="V1502" t="s">
        <v>13232</v>
      </c>
      <c r="W1502" t="s">
        <v>14693</v>
      </c>
      <c r="X1502">
        <v>1</v>
      </c>
      <c r="Y1502" t="s">
        <v>21210</v>
      </c>
      <c r="Z1502" t="s">
        <v>27633</v>
      </c>
      <c r="AA1502">
        <v>0.63616258515940738</v>
      </c>
      <c r="AB1502" t="str">
        <f>HYPERLINK("Melting_Curves/meltCurve_O94808_GFPT2.pdf", "Melting_Curves/meltCurve_O94808_GFPT2.pdf")</f>
        <v>Melting_Curves/meltCurve_O94808_GFPT2.pdf</v>
      </c>
    </row>
    <row r="1503" spans="1:28" x14ac:dyDescent="0.25">
      <c r="A1503" t="s">
        <v>1507</v>
      </c>
      <c r="B1503">
        <v>0.99930955844802105</v>
      </c>
      <c r="C1503">
        <v>0.93815085523919295</v>
      </c>
      <c r="D1503">
        <v>0.84457742093949895</v>
      </c>
      <c r="E1503">
        <v>0.68162611774711002</v>
      </c>
      <c r="F1503">
        <v>0.591464657553047</v>
      </c>
      <c r="G1503">
        <v>0.160635028472251</v>
      </c>
      <c r="H1503">
        <v>7.914959485393E-2</v>
      </c>
      <c r="I1503">
        <v>5.5322406714198802E-2</v>
      </c>
      <c r="J1503">
        <v>4.39307517367779E-2</v>
      </c>
      <c r="K1503">
        <v>3.7728898861645301E-2</v>
      </c>
      <c r="L1503">
        <v>822.63857200286395</v>
      </c>
      <c r="M1503">
        <v>15.5923802151339</v>
      </c>
      <c r="N1503">
        <v>52.759020711246301</v>
      </c>
      <c r="O1503">
        <v>51.914062795482003</v>
      </c>
      <c r="P1503">
        <v>-7.5093976565054496E-2</v>
      </c>
      <c r="Q1503">
        <v>0</v>
      </c>
      <c r="R1503">
        <v>0.98312572627982397</v>
      </c>
      <c r="S1503" t="s">
        <v>8120</v>
      </c>
      <c r="T1503" t="s">
        <v>13232</v>
      </c>
      <c r="U1503" t="s">
        <v>13232</v>
      </c>
      <c r="V1503" t="s">
        <v>13232</v>
      </c>
      <c r="W1503" t="s">
        <v>14694</v>
      </c>
      <c r="X1503">
        <v>2</v>
      </c>
      <c r="Y1503" t="s">
        <v>21211</v>
      </c>
      <c r="Z1503" t="s">
        <v>27634</v>
      </c>
      <c r="AA1503">
        <v>0.44584763793419108</v>
      </c>
      <c r="AB1503" t="str">
        <f>HYPERLINK("Melting_Curves/meltCurve_O94817_ATG12.pdf", "Melting_Curves/meltCurve_O94817_ATG12.pdf")</f>
        <v>Melting_Curves/meltCurve_O94817_ATG12.pdf</v>
      </c>
    </row>
    <row r="1504" spans="1:28" x14ac:dyDescent="0.25">
      <c r="A1504" t="s">
        <v>1508</v>
      </c>
      <c r="B1504">
        <v>0.99930955844802105</v>
      </c>
      <c r="C1504">
        <v>1.01381305132508</v>
      </c>
      <c r="D1504">
        <v>0.94548186311515503</v>
      </c>
      <c r="E1504">
        <v>0.72684301069620905</v>
      </c>
      <c r="F1504">
        <v>0.40497039798738999</v>
      </c>
      <c r="G1504">
        <v>0.26970404366622602</v>
      </c>
      <c r="H1504">
        <v>0.20484417376782099</v>
      </c>
      <c r="I1504">
        <v>0.25665029857279398</v>
      </c>
      <c r="J1504">
        <v>0.22532174566431301</v>
      </c>
      <c r="K1504">
        <v>0.166426136088687</v>
      </c>
      <c r="L1504">
        <v>1416.0427271644101</v>
      </c>
      <c r="M1504">
        <v>27.7513102103897</v>
      </c>
      <c r="N1504">
        <v>52.063365758701302</v>
      </c>
      <c r="O1504">
        <v>50.763405613983501</v>
      </c>
      <c r="P1504">
        <v>-0.10764927399475401</v>
      </c>
      <c r="Q1504">
        <v>0.212347801107026</v>
      </c>
      <c r="R1504">
        <v>0.99521498904705397</v>
      </c>
      <c r="S1504" t="s">
        <v>8121</v>
      </c>
      <c r="T1504" t="s">
        <v>13232</v>
      </c>
      <c r="U1504" t="s">
        <v>13232</v>
      </c>
      <c r="V1504" t="s">
        <v>13232</v>
      </c>
      <c r="W1504" t="s">
        <v>14695</v>
      </c>
      <c r="X1504">
        <v>6</v>
      </c>
      <c r="Y1504" t="s">
        <v>21212</v>
      </c>
      <c r="Z1504" t="s">
        <v>27635</v>
      </c>
      <c r="AA1504">
        <v>0.50762896178441208</v>
      </c>
      <c r="AB1504" t="str">
        <f>HYPERLINK("Melting_Curves/meltCurve_O94819_KBTBD11.pdf", "Melting_Curves/meltCurve_O94819_KBTBD11.pdf")</f>
        <v>Melting_Curves/meltCurve_O94819_KBTBD11.pdf</v>
      </c>
    </row>
    <row r="1505" spans="1:28" x14ac:dyDescent="0.25">
      <c r="A1505" t="s">
        <v>1509</v>
      </c>
      <c r="B1505">
        <v>0.99930955844802105</v>
      </c>
      <c r="C1505">
        <v>0.81782876347655398</v>
      </c>
      <c r="D1505">
        <v>0.70584465233842097</v>
      </c>
      <c r="E1505">
        <v>0.37967357539996999</v>
      </c>
      <c r="F1505">
        <v>0.19925961114405399</v>
      </c>
      <c r="G1505">
        <v>0.132030927435172</v>
      </c>
      <c r="H1505">
        <v>8.0458769496954199E-2</v>
      </c>
      <c r="I1505">
        <v>6.5377853244735107E-2</v>
      </c>
      <c r="J1505">
        <v>5.4860394456970898E-2</v>
      </c>
      <c r="K1505">
        <v>4.3566919746857197E-2</v>
      </c>
      <c r="L1505">
        <v>746.84663176209904</v>
      </c>
      <c r="M1505">
        <v>15.559033905761</v>
      </c>
      <c r="N1505">
        <v>48.280107861955898</v>
      </c>
      <c r="O1505">
        <v>47.228878430322702</v>
      </c>
      <c r="P1505">
        <v>-7.8822196405705702E-2</v>
      </c>
      <c r="Q1505">
        <v>4.3036172738080303E-2</v>
      </c>
      <c r="R1505">
        <v>0.99495819640499406</v>
      </c>
      <c r="S1505" t="s">
        <v>8122</v>
      </c>
      <c r="T1505" t="s">
        <v>13232</v>
      </c>
      <c r="U1505" t="s">
        <v>13232</v>
      </c>
      <c r="V1505" t="s">
        <v>13232</v>
      </c>
      <c r="W1505" t="s">
        <v>14696</v>
      </c>
      <c r="X1505">
        <v>19</v>
      </c>
      <c r="Y1505" t="s">
        <v>21213</v>
      </c>
      <c r="Z1505" t="s">
        <v>27636</v>
      </c>
      <c r="AA1505">
        <v>0.32114636278153758</v>
      </c>
      <c r="AB1505" t="str">
        <f>HYPERLINK("Melting_Curves/meltCurve_O94822_LTN1.pdf", "Melting_Curves/meltCurve_O94822_LTN1.pdf")</f>
        <v>Melting_Curves/meltCurve_O94822_LTN1.pdf</v>
      </c>
    </row>
    <row r="1506" spans="1:28" x14ac:dyDescent="0.25">
      <c r="A1506" t="s">
        <v>1510</v>
      </c>
      <c r="B1506">
        <v>0.99930955844802105</v>
      </c>
      <c r="C1506">
        <v>1.0797047889657101</v>
      </c>
      <c r="D1506">
        <v>0.61209965881170703</v>
      </c>
      <c r="E1506">
        <v>0.83586804296823303</v>
      </c>
      <c r="F1506">
        <v>0.246160673143836</v>
      </c>
      <c r="G1506">
        <v>0.15454778507231001</v>
      </c>
      <c r="H1506">
        <v>0.10062270055761199</v>
      </c>
      <c r="I1506">
        <v>9.0467544788531695E-2</v>
      </c>
      <c r="J1506">
        <v>7.8049220111728101E-2</v>
      </c>
      <c r="K1506">
        <v>6.1267180686849998E-2</v>
      </c>
      <c r="L1506">
        <v>854.053186001531</v>
      </c>
      <c r="M1506">
        <v>16.752479162681301</v>
      </c>
      <c r="N1506">
        <v>51.260197058277797</v>
      </c>
      <c r="O1506">
        <v>50.270892948590401</v>
      </c>
      <c r="P1506">
        <v>-7.9680070659573596E-2</v>
      </c>
      <c r="Q1506">
        <v>4.3645912841410499E-2</v>
      </c>
      <c r="R1506">
        <v>0.90096924987492299</v>
      </c>
      <c r="S1506" t="s">
        <v>8123</v>
      </c>
      <c r="T1506" t="s">
        <v>13232</v>
      </c>
      <c r="U1506" t="s">
        <v>13232</v>
      </c>
      <c r="V1506" t="s">
        <v>13232</v>
      </c>
      <c r="W1506" t="s">
        <v>14697</v>
      </c>
      <c r="X1506">
        <v>17</v>
      </c>
      <c r="Y1506" t="s">
        <v>21214</v>
      </c>
      <c r="Z1506" t="s">
        <v>27637</v>
      </c>
      <c r="AA1506">
        <v>0.41200810313944958</v>
      </c>
      <c r="AB1506" t="str">
        <f>HYPERLINK("Melting_Curves/meltCurve_O94826_TOMM70A.pdf", "Melting_Curves/meltCurve_O94826_TOMM70A.pdf")</f>
        <v>Melting_Curves/meltCurve_O94826_TOMM70A.pdf</v>
      </c>
    </row>
    <row r="1507" spans="1:28" x14ac:dyDescent="0.25">
      <c r="A1507" t="s">
        <v>1511</v>
      </c>
      <c r="B1507">
        <v>0.99930955844802105</v>
      </c>
      <c r="C1507">
        <v>0.984143580530077</v>
      </c>
      <c r="D1507">
        <v>0.92699015106549298</v>
      </c>
      <c r="E1507">
        <v>0.84348397602962699</v>
      </c>
      <c r="F1507">
        <v>0.37324656188813099</v>
      </c>
      <c r="G1507">
        <v>0.17104635902839399</v>
      </c>
      <c r="H1507">
        <v>9.5069406086230795E-2</v>
      </c>
      <c r="I1507">
        <v>7.9259925758600899E-2</v>
      </c>
      <c r="J1507">
        <v>7.0754334522384402E-2</v>
      </c>
      <c r="K1507">
        <v>5.32200056138687E-2</v>
      </c>
      <c r="L1507">
        <v>1789.8769700954899</v>
      </c>
      <c r="M1507">
        <v>34.408677372275598</v>
      </c>
      <c r="N1507">
        <v>52.286064888554499</v>
      </c>
      <c r="O1507">
        <v>51.843448592115998</v>
      </c>
      <c r="P1507">
        <v>-0.15251754536238801</v>
      </c>
      <c r="Q1507">
        <v>8.0813009436596098E-2</v>
      </c>
      <c r="R1507">
        <v>0.99460070852286997</v>
      </c>
      <c r="S1507" t="s">
        <v>8124</v>
      </c>
      <c r="T1507" t="s">
        <v>13232</v>
      </c>
      <c r="U1507" t="s">
        <v>13232</v>
      </c>
      <c r="V1507" t="s">
        <v>13232</v>
      </c>
      <c r="W1507" t="s">
        <v>14698</v>
      </c>
      <c r="X1507">
        <v>18</v>
      </c>
      <c r="Y1507" t="s">
        <v>21215</v>
      </c>
      <c r="Z1507" t="s">
        <v>27638</v>
      </c>
      <c r="AA1507">
        <v>0.4535144755850038</v>
      </c>
      <c r="AB1507" t="str">
        <f>HYPERLINK("Melting_Curves/meltCurve_O94829_IPO13.pdf", "Melting_Curves/meltCurve_O94829_IPO13.pdf")</f>
        <v>Melting_Curves/meltCurve_O94829_IPO13.pdf</v>
      </c>
    </row>
    <row r="1508" spans="1:28" x14ac:dyDescent="0.25">
      <c r="A1508" t="s">
        <v>1512</v>
      </c>
      <c r="B1508">
        <v>0.99930955844802105</v>
      </c>
      <c r="C1508">
        <v>1.17384538139642</v>
      </c>
      <c r="D1508">
        <v>1.1063459528425399</v>
      </c>
      <c r="E1508">
        <v>1.07458375807184</v>
      </c>
      <c r="F1508">
        <v>1.05829787058995</v>
      </c>
      <c r="G1508">
        <v>0.63721919210949196</v>
      </c>
      <c r="H1508">
        <v>0.29426282454906999</v>
      </c>
      <c r="I1508">
        <v>0.22293967275195001</v>
      </c>
      <c r="J1508">
        <v>0.18499859232611299</v>
      </c>
      <c r="K1508">
        <v>0.147411481949835</v>
      </c>
      <c r="L1508">
        <v>2348.3582657475399</v>
      </c>
      <c r="M1508">
        <v>40.867012788593399</v>
      </c>
      <c r="N1508">
        <v>58.137019297705201</v>
      </c>
      <c r="O1508">
        <v>57.326346790633799</v>
      </c>
      <c r="P1508">
        <v>-0.14461030062636401</v>
      </c>
      <c r="Q1508">
        <v>0.18859122501417999</v>
      </c>
      <c r="R1508">
        <v>0.96586827927803598</v>
      </c>
      <c r="S1508" t="s">
        <v>8125</v>
      </c>
      <c r="T1508" t="s">
        <v>13232</v>
      </c>
      <c r="U1508" t="s">
        <v>13232</v>
      </c>
      <c r="V1508" t="s">
        <v>13232</v>
      </c>
      <c r="W1508" t="s">
        <v>14699</v>
      </c>
      <c r="X1508">
        <v>9</v>
      </c>
      <c r="Y1508" t="s">
        <v>21216</v>
      </c>
      <c r="Z1508" t="s">
        <v>27639</v>
      </c>
      <c r="AA1508">
        <v>0.66397112578432782</v>
      </c>
      <c r="AB1508" t="str">
        <f>HYPERLINK("Melting_Curves/meltCurve_O94830_DDHD2.pdf", "Melting_Curves/meltCurve_O94830_DDHD2.pdf")</f>
        <v>Melting_Curves/meltCurve_O94830_DDHD2.pdf</v>
      </c>
    </row>
    <row r="1509" spans="1:28" x14ac:dyDescent="0.25">
      <c r="A1509" t="s">
        <v>1513</v>
      </c>
      <c r="B1509">
        <v>0.99930955844802105</v>
      </c>
      <c r="C1509">
        <v>0.91040213296963401</v>
      </c>
      <c r="D1509">
        <v>0.85494736050780895</v>
      </c>
      <c r="E1509">
        <v>0.56501084862039497</v>
      </c>
      <c r="F1509">
        <v>0.22329866144861199</v>
      </c>
      <c r="G1509">
        <v>0.124069869699018</v>
      </c>
      <c r="H1509">
        <v>7.13252555762936E-2</v>
      </c>
      <c r="I1509">
        <v>6.8377915380162899E-2</v>
      </c>
      <c r="J1509">
        <v>6.1780334698917298E-2</v>
      </c>
      <c r="K1509">
        <v>5.2067645436535803E-2</v>
      </c>
      <c r="L1509">
        <v>1045.1447314524</v>
      </c>
      <c r="M1509">
        <v>20.921013757200299</v>
      </c>
      <c r="N1509">
        <v>50.215448697086899</v>
      </c>
      <c r="O1509">
        <v>49.506980661247397</v>
      </c>
      <c r="P1509">
        <v>-0.100251218464527</v>
      </c>
      <c r="Q1509">
        <v>5.1097621403430098E-2</v>
      </c>
      <c r="R1509">
        <v>0.99431970899416899</v>
      </c>
      <c r="S1509" t="s">
        <v>8126</v>
      </c>
      <c r="T1509" t="s">
        <v>13232</v>
      </c>
      <c r="U1509" t="s">
        <v>13232</v>
      </c>
      <c r="V1509" t="s">
        <v>13232</v>
      </c>
      <c r="W1509" t="s">
        <v>14700</v>
      </c>
      <c r="X1509">
        <v>9</v>
      </c>
      <c r="Y1509" t="s">
        <v>21217</v>
      </c>
      <c r="Z1509" t="s">
        <v>27640</v>
      </c>
      <c r="AA1509">
        <v>0.37812342967493617</v>
      </c>
      <c r="AB1509" t="str">
        <f>HYPERLINK("Melting_Curves/meltCurve_O94851_5_MICAL2.pdf", "Melting_Curves/meltCurve_O94851_5_MICAL2.pdf")</f>
        <v>Melting_Curves/meltCurve_O94851_5_MICAL2.pdf</v>
      </c>
    </row>
    <row r="1510" spans="1:28" x14ac:dyDescent="0.25">
      <c r="A1510" t="s">
        <v>1514</v>
      </c>
      <c r="B1510">
        <v>0.99930955844802105</v>
      </c>
      <c r="C1510">
        <v>0.98308138381934995</v>
      </c>
      <c r="D1510">
        <v>1.0089891229975301</v>
      </c>
      <c r="E1510">
        <v>0.95155383316296105</v>
      </c>
      <c r="F1510">
        <v>0.80529212063245004</v>
      </c>
      <c r="G1510">
        <v>0.70352426484736197</v>
      </c>
      <c r="H1510">
        <v>0.66718585161311195</v>
      </c>
      <c r="I1510">
        <v>0.69710984726948799</v>
      </c>
      <c r="J1510">
        <v>0.73785412191533195</v>
      </c>
      <c r="K1510">
        <v>0.60631317749417601</v>
      </c>
      <c r="L1510">
        <v>1834.7165650955801</v>
      </c>
      <c r="M1510">
        <v>35.004767726095402</v>
      </c>
      <c r="O1510">
        <v>52.243177959905402</v>
      </c>
      <c r="P1510">
        <v>-5.3970701872205901E-2</v>
      </c>
      <c r="Q1510">
        <v>0.67780502603891701</v>
      </c>
      <c r="R1510">
        <v>0.95512996347083801</v>
      </c>
      <c r="S1510" t="s">
        <v>8127</v>
      </c>
      <c r="T1510" t="s">
        <v>13232</v>
      </c>
      <c r="U1510" t="s">
        <v>13232</v>
      </c>
      <c r="V1510" t="s">
        <v>13232</v>
      </c>
      <c r="W1510" t="s">
        <v>14701</v>
      </c>
      <c r="X1510">
        <v>10</v>
      </c>
      <c r="Y1510" t="s">
        <v>21218</v>
      </c>
      <c r="Z1510" t="s">
        <v>27641</v>
      </c>
      <c r="AA1510">
        <v>0.81264643922800051</v>
      </c>
      <c r="AB1510" t="str">
        <f>HYPERLINK("Melting_Curves/meltCurve_O94854_KIAA0754.pdf", "Melting_Curves/meltCurve_O94854_KIAA0754.pdf")</f>
        <v>Melting_Curves/meltCurve_O94854_KIAA0754.pdf</v>
      </c>
    </row>
    <row r="1511" spans="1:28" x14ac:dyDescent="0.25">
      <c r="A1511" t="s">
        <v>1515</v>
      </c>
      <c r="B1511">
        <v>0.99930955844802105</v>
      </c>
      <c r="C1511">
        <v>0.942812073596348</v>
      </c>
      <c r="D1511">
        <v>0.93531142503201603</v>
      </c>
      <c r="E1511">
        <v>0.81124886052954304</v>
      </c>
      <c r="F1511">
        <v>0.33152770632248402</v>
      </c>
      <c r="G1511">
        <v>0.15412501466180101</v>
      </c>
      <c r="H1511">
        <v>9.9222020934041005E-2</v>
      </c>
      <c r="I1511">
        <v>8.3000709359197206E-2</v>
      </c>
      <c r="J1511">
        <v>7.1747482617362898E-2</v>
      </c>
      <c r="K1511">
        <v>4.9927567565622603E-2</v>
      </c>
      <c r="L1511">
        <v>1861.2822219739601</v>
      </c>
      <c r="M1511">
        <v>35.997389700451301</v>
      </c>
      <c r="N1511">
        <v>51.964559854773299</v>
      </c>
      <c r="O1511">
        <v>51.547241937334597</v>
      </c>
      <c r="P1511">
        <v>-0.160271780956455</v>
      </c>
      <c r="Q1511">
        <v>8.1984340138405096E-2</v>
      </c>
      <c r="R1511">
        <v>0.99370695694455002</v>
      </c>
      <c r="S1511" t="s">
        <v>8128</v>
      </c>
      <c r="T1511" t="s">
        <v>13232</v>
      </c>
      <c r="U1511" t="s">
        <v>13232</v>
      </c>
      <c r="V1511" t="s">
        <v>13232</v>
      </c>
      <c r="W1511" t="s">
        <v>14702</v>
      </c>
      <c r="X1511">
        <v>20</v>
      </c>
      <c r="Y1511" t="s">
        <v>21219</v>
      </c>
      <c r="Z1511" t="s">
        <v>27642</v>
      </c>
      <c r="AA1511">
        <v>0.44424951486150599</v>
      </c>
      <c r="AB1511" t="str">
        <f>HYPERLINK("Melting_Curves/meltCurve_O94855_SEC24D.pdf", "Melting_Curves/meltCurve_O94855_SEC24D.pdf")</f>
        <v>Melting_Curves/meltCurve_O94855_SEC24D.pdf</v>
      </c>
    </row>
    <row r="1512" spans="1:28" x14ac:dyDescent="0.25">
      <c r="A1512" t="s">
        <v>1516</v>
      </c>
      <c r="B1512">
        <v>0.99930955844802105</v>
      </c>
      <c r="C1512">
        <v>0.89667311754136403</v>
      </c>
      <c r="D1512">
        <v>0.88287402742298304</v>
      </c>
      <c r="E1512">
        <v>0.85251766647559402</v>
      </c>
      <c r="F1512">
        <v>0.69291925662889597</v>
      </c>
      <c r="G1512">
        <v>0.50236350311747702</v>
      </c>
      <c r="H1512">
        <v>0.43887026497132497</v>
      </c>
      <c r="I1512">
        <v>0.447036240335623</v>
      </c>
      <c r="J1512">
        <v>0.56672176094508397</v>
      </c>
      <c r="K1512">
        <v>0.32342531355436599</v>
      </c>
      <c r="L1512">
        <v>655.17467543645296</v>
      </c>
      <c r="M1512">
        <v>12.449042444313401</v>
      </c>
      <c r="N1512">
        <v>59.644032319090002</v>
      </c>
      <c r="O1512">
        <v>51.325857552560002</v>
      </c>
      <c r="P1512">
        <v>-3.7337363471130001E-2</v>
      </c>
      <c r="Q1512">
        <v>0.38437941787962299</v>
      </c>
      <c r="R1512">
        <v>0.91537530870547001</v>
      </c>
      <c r="S1512" t="s">
        <v>8129</v>
      </c>
      <c r="T1512" t="s">
        <v>13232</v>
      </c>
      <c r="U1512" t="s">
        <v>13232</v>
      </c>
      <c r="V1512" t="s">
        <v>13232</v>
      </c>
      <c r="W1512" t="s">
        <v>14703</v>
      </c>
      <c r="X1512">
        <v>4</v>
      </c>
      <c r="Y1512" t="s">
        <v>21220</v>
      </c>
      <c r="Z1512" t="s">
        <v>27643</v>
      </c>
      <c r="AA1512">
        <v>0.66077358719802104</v>
      </c>
      <c r="AB1512" t="str">
        <f>HYPERLINK("Melting_Curves/meltCurve_O94864_2_SUPT7L.pdf", "Melting_Curves/meltCurve_O94864_2_SUPT7L.pdf")</f>
        <v>Melting_Curves/meltCurve_O94864_2_SUPT7L.pdf</v>
      </c>
    </row>
    <row r="1513" spans="1:28" x14ac:dyDescent="0.25">
      <c r="A1513" t="s">
        <v>1517</v>
      </c>
      <c r="B1513">
        <v>0.99930955844802105</v>
      </c>
      <c r="C1513">
        <v>0.90264273158297503</v>
      </c>
      <c r="D1513">
        <v>0.69481512516105204</v>
      </c>
      <c r="E1513">
        <v>0.39125616831377602</v>
      </c>
      <c r="F1513">
        <v>0.195521966430795</v>
      </c>
      <c r="G1513">
        <v>0.12727120117072299</v>
      </c>
      <c r="H1513">
        <v>7.2764852878252795E-2</v>
      </c>
      <c r="I1513">
        <v>5.2070959665331901E-2</v>
      </c>
      <c r="J1513">
        <v>4.5916249729915898E-2</v>
      </c>
      <c r="K1513">
        <v>3.5538395739161399E-2</v>
      </c>
      <c r="L1513">
        <v>822.30773100887495</v>
      </c>
      <c r="M1513">
        <v>17.0486783872303</v>
      </c>
      <c r="N1513">
        <v>48.476604369674398</v>
      </c>
      <c r="O1513">
        <v>47.583987651248002</v>
      </c>
      <c r="P1513">
        <v>-8.5898867250170402E-2</v>
      </c>
      <c r="Q1513">
        <v>4.1060946520225697E-2</v>
      </c>
      <c r="R1513">
        <v>0.99849300504229999</v>
      </c>
      <c r="S1513" t="s">
        <v>8130</v>
      </c>
      <c r="T1513" t="s">
        <v>13232</v>
      </c>
      <c r="U1513" t="s">
        <v>13232</v>
      </c>
      <c r="V1513" t="s">
        <v>13232</v>
      </c>
      <c r="W1513" t="s">
        <v>14704</v>
      </c>
      <c r="X1513">
        <v>28</v>
      </c>
      <c r="Y1513" t="s">
        <v>21221</v>
      </c>
      <c r="Z1513" t="s">
        <v>27644</v>
      </c>
      <c r="AA1513">
        <v>0.3231188079010307</v>
      </c>
      <c r="AB1513" t="str">
        <f>HYPERLINK("Melting_Curves/meltCurve_O94874_UFL1.pdf", "Melting_Curves/meltCurve_O94874_UFL1.pdf")</f>
        <v>Melting_Curves/meltCurve_O94874_UFL1.pdf</v>
      </c>
    </row>
    <row r="1514" spans="1:28" x14ac:dyDescent="0.25">
      <c r="A1514" t="s">
        <v>1518</v>
      </c>
      <c r="B1514">
        <v>0.99930955844802105</v>
      </c>
      <c r="C1514">
        <v>1.06568466592481</v>
      </c>
      <c r="D1514">
        <v>0.97179948102505398</v>
      </c>
      <c r="E1514">
        <v>0.90986039739944502</v>
      </c>
      <c r="F1514">
        <v>0.78649938519554496</v>
      </c>
      <c r="G1514">
        <v>0.56546822420080001</v>
      </c>
      <c r="H1514">
        <v>0.45174706321303598</v>
      </c>
      <c r="I1514">
        <v>0.44144326830268199</v>
      </c>
      <c r="J1514">
        <v>0.38612622777552202</v>
      </c>
      <c r="K1514">
        <v>0.29353020431862398</v>
      </c>
      <c r="L1514">
        <v>893.81083455093994</v>
      </c>
      <c r="M1514">
        <v>16.1061057926362</v>
      </c>
      <c r="N1514">
        <v>59.3239070493293</v>
      </c>
      <c r="O1514">
        <v>54.660791043189498</v>
      </c>
      <c r="P1514">
        <v>-4.9860890016259297E-2</v>
      </c>
      <c r="Q1514">
        <v>0.32318154221090001</v>
      </c>
      <c r="R1514">
        <v>0.98495503382770799</v>
      </c>
      <c r="S1514" t="s">
        <v>8131</v>
      </c>
      <c r="T1514" t="s">
        <v>13232</v>
      </c>
      <c r="U1514" t="s">
        <v>13232</v>
      </c>
      <c r="V1514" t="s">
        <v>13232</v>
      </c>
      <c r="W1514" t="s">
        <v>14705</v>
      </c>
      <c r="X1514">
        <v>4</v>
      </c>
      <c r="Y1514" t="s">
        <v>21222</v>
      </c>
      <c r="Z1514" t="s">
        <v>27645</v>
      </c>
      <c r="AA1514">
        <v>0.68444152615926257</v>
      </c>
      <c r="AB1514" t="str">
        <f>HYPERLINK("Melting_Curves/meltCurve_O94876_TMCC1.pdf", "Melting_Curves/meltCurve_O94876_TMCC1.pdf")</f>
        <v>Melting_Curves/meltCurve_O94876_TMCC1.pdf</v>
      </c>
    </row>
    <row r="1515" spans="1:28" x14ac:dyDescent="0.25">
      <c r="A1515" t="s">
        <v>1519</v>
      </c>
      <c r="B1515">
        <v>0.99930955844802105</v>
      </c>
      <c r="C1515">
        <v>1.11037250155453</v>
      </c>
      <c r="D1515">
        <v>1.0937830275888101</v>
      </c>
      <c r="E1515">
        <v>1.01313168400333</v>
      </c>
      <c r="F1515">
        <v>0.89532471324165297</v>
      </c>
      <c r="G1515">
        <v>0.70629057801079598</v>
      </c>
      <c r="H1515">
        <v>0.76851605284350699</v>
      </c>
      <c r="I1515">
        <v>0.90570112743649001</v>
      </c>
      <c r="J1515">
        <v>0.83810816097058705</v>
      </c>
      <c r="K1515">
        <v>0.69675307654813501</v>
      </c>
      <c r="L1515">
        <v>13253.703310429401</v>
      </c>
      <c r="M1515">
        <v>250</v>
      </c>
      <c r="O1515">
        <v>53.0114207185879</v>
      </c>
      <c r="P1515">
        <v>-0.255754089396176</v>
      </c>
      <c r="Q1515">
        <v>0.78307379841844205</v>
      </c>
      <c r="R1515">
        <v>0.74180447841156705</v>
      </c>
      <c r="S1515" t="s">
        <v>8132</v>
      </c>
      <c r="T1515" t="s">
        <v>13232</v>
      </c>
      <c r="U1515" t="s">
        <v>13232</v>
      </c>
      <c r="V1515" t="s">
        <v>13232</v>
      </c>
      <c r="W1515" t="s">
        <v>14706</v>
      </c>
      <c r="X1515">
        <v>7</v>
      </c>
      <c r="Y1515" t="s">
        <v>21223</v>
      </c>
      <c r="Z1515" t="s">
        <v>27646</v>
      </c>
      <c r="AA1515">
        <v>0.87720244796355218</v>
      </c>
      <c r="AB1515" t="str">
        <f>HYPERLINK("Melting_Curves/meltCurve_O94880_PHF14.pdf", "Melting_Curves/meltCurve_O94880_PHF14.pdf")</f>
        <v>Melting_Curves/meltCurve_O94880_PHF14.pdf</v>
      </c>
    </row>
    <row r="1516" spans="1:28" x14ac:dyDescent="0.25">
      <c r="A1516" t="s">
        <v>1520</v>
      </c>
      <c r="B1516">
        <v>0.99930955844802105</v>
      </c>
      <c r="C1516">
        <v>1.01924445393373</v>
      </c>
      <c r="D1516">
        <v>1.0598767090897101</v>
      </c>
      <c r="E1516">
        <v>1.00280655832544</v>
      </c>
      <c r="F1516">
        <v>0.88532105375456205</v>
      </c>
      <c r="G1516">
        <v>0.698083131244572</v>
      </c>
      <c r="H1516">
        <v>0.53393722195342497</v>
      </c>
      <c r="I1516">
        <v>0.496807470498004</v>
      </c>
      <c r="J1516">
        <v>0.46771542298079799</v>
      </c>
      <c r="K1516">
        <v>0.356415390841473</v>
      </c>
      <c r="L1516">
        <v>1096.07643198595</v>
      </c>
      <c r="M1516">
        <v>19.110719797928201</v>
      </c>
      <c r="N1516">
        <v>62.368213483700103</v>
      </c>
      <c r="O1516">
        <v>56.737082367184101</v>
      </c>
      <c r="P1516">
        <v>-5.11641345102819E-2</v>
      </c>
      <c r="Q1516">
        <v>0.39242673215671697</v>
      </c>
      <c r="R1516">
        <v>0.981990360983233</v>
      </c>
      <c r="S1516" t="s">
        <v>8133</v>
      </c>
      <c r="T1516" t="s">
        <v>13232</v>
      </c>
      <c r="U1516" t="s">
        <v>13232</v>
      </c>
      <c r="V1516" t="s">
        <v>13232</v>
      </c>
      <c r="W1516" t="s">
        <v>14707</v>
      </c>
      <c r="X1516">
        <v>26</v>
      </c>
      <c r="Y1516" t="s">
        <v>21224</v>
      </c>
      <c r="Z1516" t="s">
        <v>27647</v>
      </c>
      <c r="AA1516">
        <v>0.75151116544415719</v>
      </c>
      <c r="AB1516" t="str">
        <f>HYPERLINK("Melting_Curves/meltCurve_O94888_UBXN7.pdf", "Melting_Curves/meltCurve_O94888_UBXN7.pdf")</f>
        <v>Melting_Curves/meltCurve_O94888_UBXN7.pdf</v>
      </c>
    </row>
    <row r="1517" spans="1:28" x14ac:dyDescent="0.25">
      <c r="A1517" t="s">
        <v>1521</v>
      </c>
      <c r="B1517">
        <v>0.99930955844802105</v>
      </c>
      <c r="C1517">
        <v>0.95345446001916001</v>
      </c>
      <c r="D1517">
        <v>0.83796372242394201</v>
      </c>
      <c r="E1517">
        <v>0.67536520728768201</v>
      </c>
      <c r="F1517">
        <v>0.43210985601803498</v>
      </c>
      <c r="G1517">
        <v>9.8332869641809095E-2</v>
      </c>
      <c r="H1517">
        <v>5.7084763090186903E-2</v>
      </c>
      <c r="I1517">
        <v>5.2732716087468899E-2</v>
      </c>
      <c r="J1517">
        <v>4.9153183283684801E-2</v>
      </c>
      <c r="K1517">
        <v>3.2217904688980399E-2</v>
      </c>
      <c r="L1517">
        <v>920.69809766091601</v>
      </c>
      <c r="M1517">
        <v>17.8246505509786</v>
      </c>
      <c r="N1517">
        <v>51.7152620581384</v>
      </c>
      <c r="O1517">
        <v>51.016102821154597</v>
      </c>
      <c r="P1517">
        <v>-8.64265146528089E-2</v>
      </c>
      <c r="Q1517">
        <v>1.06021199755485E-2</v>
      </c>
      <c r="R1517">
        <v>0.99193395431241904</v>
      </c>
      <c r="S1517" t="s">
        <v>8134</v>
      </c>
      <c r="T1517" t="s">
        <v>13232</v>
      </c>
      <c r="U1517" t="s">
        <v>13232</v>
      </c>
      <c r="V1517" t="s">
        <v>13232</v>
      </c>
      <c r="W1517" t="s">
        <v>14708</v>
      </c>
      <c r="X1517">
        <v>5</v>
      </c>
      <c r="Y1517" t="s">
        <v>21225</v>
      </c>
      <c r="Z1517" t="s">
        <v>27648</v>
      </c>
      <c r="AA1517">
        <v>0.41174340395267173</v>
      </c>
      <c r="AB1517" t="str">
        <f>HYPERLINK("Melting_Curves/meltCurve_O94889_KLHL18.pdf", "Melting_Curves/meltCurve_O94889_KLHL18.pdf")</f>
        <v>Melting_Curves/meltCurve_O94889_KLHL18.pdf</v>
      </c>
    </row>
    <row r="1518" spans="1:28" x14ac:dyDescent="0.25">
      <c r="A1518" t="s">
        <v>1522</v>
      </c>
      <c r="B1518">
        <v>0.99930955844802105</v>
      </c>
      <c r="C1518">
        <v>0.96531329832350998</v>
      </c>
      <c r="D1518">
        <v>0.68721275191795606</v>
      </c>
      <c r="E1518">
        <v>0.35114922202118598</v>
      </c>
      <c r="F1518">
        <v>0.207010249354837</v>
      </c>
      <c r="G1518">
        <v>0.12795646984577</v>
      </c>
      <c r="H1518">
        <v>7.7177380841691803E-2</v>
      </c>
      <c r="I1518">
        <v>6.1287774243804598E-2</v>
      </c>
      <c r="J1518">
        <v>5.4948123480317301E-2</v>
      </c>
      <c r="K1518">
        <v>4.2952810899963098E-2</v>
      </c>
      <c r="L1518">
        <v>930.68128864198502</v>
      </c>
      <c r="M1518">
        <v>19.387416879236302</v>
      </c>
      <c r="N1518">
        <v>48.322499653219303</v>
      </c>
      <c r="O1518">
        <v>47.502419324880897</v>
      </c>
      <c r="P1518">
        <v>-9.5924473236899094E-2</v>
      </c>
      <c r="Q1518">
        <v>5.9910486437722399E-2</v>
      </c>
      <c r="R1518">
        <v>0.99601687671640105</v>
      </c>
      <c r="S1518" t="s">
        <v>8135</v>
      </c>
      <c r="T1518" t="s">
        <v>13232</v>
      </c>
      <c r="U1518" t="s">
        <v>13232</v>
      </c>
      <c r="V1518" t="s">
        <v>13232</v>
      </c>
      <c r="W1518" t="s">
        <v>14709</v>
      </c>
      <c r="X1518">
        <v>11</v>
      </c>
      <c r="Y1518" t="s">
        <v>21226</v>
      </c>
      <c r="Z1518" t="s">
        <v>27649</v>
      </c>
      <c r="AA1518">
        <v>0.32500681167360862</v>
      </c>
      <c r="AB1518" t="str">
        <f>HYPERLINK("Melting_Curves/meltCurve_O94903_PROSC.pdf", "Melting_Curves/meltCurve_O94903_PROSC.pdf")</f>
        <v>Melting_Curves/meltCurve_O94903_PROSC.pdf</v>
      </c>
    </row>
    <row r="1519" spans="1:28" x14ac:dyDescent="0.25">
      <c r="A1519" t="s">
        <v>1523</v>
      </c>
      <c r="B1519">
        <v>0.99930955844802105</v>
      </c>
      <c r="C1519">
        <v>0.75179641791137197</v>
      </c>
      <c r="D1519">
        <v>0.75594022351524903</v>
      </c>
      <c r="E1519">
        <v>1.15799967694813</v>
      </c>
      <c r="F1519">
        <v>1.18564519886228</v>
      </c>
      <c r="G1519">
        <v>1.0433356951217101</v>
      </c>
      <c r="H1519">
        <v>1.07616447487877</v>
      </c>
      <c r="I1519">
        <v>1.16136639012861</v>
      </c>
      <c r="J1519">
        <v>1.15851137308453</v>
      </c>
      <c r="K1519">
        <v>0.933854866681194</v>
      </c>
      <c r="S1519" t="s">
        <v>8136</v>
      </c>
      <c r="T1519" t="s">
        <v>13232</v>
      </c>
      <c r="U1519" t="s">
        <v>13233</v>
      </c>
      <c r="V1519" t="s">
        <v>13232</v>
      </c>
      <c r="W1519" t="s">
        <v>14710</v>
      </c>
      <c r="X1519">
        <v>8</v>
      </c>
      <c r="Y1519" t="s">
        <v>21227</v>
      </c>
      <c r="Z1519" t="s">
        <v>27650</v>
      </c>
      <c r="AB1519" t="str">
        <f>HYPERLINK("Melting_Curves/meltCurve_O94906_2_PRPF6.pdf", "Melting_Curves/meltCurve_O94906_2_PRPF6.pdf")</f>
        <v>Melting_Curves/meltCurve_O94906_2_PRPF6.pdf</v>
      </c>
    </row>
    <row r="1520" spans="1:28" x14ac:dyDescent="0.25">
      <c r="A1520" t="s">
        <v>1524</v>
      </c>
      <c r="B1520">
        <v>0.99930955844802105</v>
      </c>
      <c r="C1520">
        <v>1.0831648060969901</v>
      </c>
      <c r="D1520">
        <v>1.0394363193304601</v>
      </c>
      <c r="E1520">
        <v>0.95393703694292797</v>
      </c>
      <c r="F1520">
        <v>0.84438021602876101</v>
      </c>
      <c r="G1520">
        <v>0.69258454920589196</v>
      </c>
      <c r="H1520">
        <v>0.64644295779137295</v>
      </c>
      <c r="I1520">
        <v>0.71669445566697598</v>
      </c>
      <c r="J1520">
        <v>0.72187890527805598</v>
      </c>
      <c r="K1520">
        <v>0.56792120806958302</v>
      </c>
      <c r="L1520">
        <v>1754.13356919791</v>
      </c>
      <c r="M1520">
        <v>32.976688012016503</v>
      </c>
      <c r="O1520">
        <v>52.998670728308703</v>
      </c>
      <c r="P1520">
        <v>-5.2691500864041702E-2</v>
      </c>
      <c r="Q1520">
        <v>0.66126773807350003</v>
      </c>
      <c r="R1520">
        <v>0.91794997637180997</v>
      </c>
      <c r="S1520" t="s">
        <v>8137</v>
      </c>
      <c r="T1520" t="s">
        <v>13232</v>
      </c>
      <c r="U1520" t="s">
        <v>13232</v>
      </c>
      <c r="V1520" t="s">
        <v>13232</v>
      </c>
      <c r="W1520" t="s">
        <v>14711</v>
      </c>
      <c r="X1520">
        <v>40</v>
      </c>
      <c r="Y1520" t="s">
        <v>21228</v>
      </c>
      <c r="Z1520" t="s">
        <v>27651</v>
      </c>
      <c r="AA1520">
        <v>0.81206091206543762</v>
      </c>
      <c r="AB1520" t="str">
        <f>HYPERLINK("Melting_Curves/meltCurve_O94913_PCF11.pdf", "Melting_Curves/meltCurve_O94913_PCF11.pdf")</f>
        <v>Melting_Curves/meltCurve_O94913_PCF11.pdf</v>
      </c>
    </row>
    <row r="1521" spans="1:28" x14ac:dyDescent="0.25">
      <c r="A1521" t="s">
        <v>1525</v>
      </c>
      <c r="B1521">
        <v>0.99930955844802105</v>
      </c>
      <c r="C1521">
        <v>0.67201742520963403</v>
      </c>
      <c r="D1521">
        <v>0.311645068816365</v>
      </c>
      <c r="E1521">
        <v>0.31726089903576699</v>
      </c>
      <c r="F1521">
        <v>0.22051979637272501</v>
      </c>
      <c r="G1521">
        <v>0.14356092654369901</v>
      </c>
      <c r="H1521">
        <v>9.8860869345521199E-2</v>
      </c>
      <c r="I1521">
        <v>9.2295264398537302E-2</v>
      </c>
      <c r="J1521">
        <v>9.1526503185334798E-2</v>
      </c>
      <c r="K1521">
        <v>7.0162134682527202E-2</v>
      </c>
      <c r="L1521">
        <v>930.87383133456399</v>
      </c>
      <c r="M1521">
        <v>21.1012790630556</v>
      </c>
      <c r="N1521">
        <v>44.720643036304999</v>
      </c>
      <c r="O1521">
        <v>43.724091166616198</v>
      </c>
      <c r="P1521">
        <v>-0.105649461510906</v>
      </c>
      <c r="Q1521">
        <v>0.124355229704792</v>
      </c>
      <c r="R1521">
        <v>0.95181562491899696</v>
      </c>
      <c r="S1521" t="s">
        <v>8138</v>
      </c>
      <c r="T1521" t="s">
        <v>13232</v>
      </c>
      <c r="U1521" t="s">
        <v>13232</v>
      </c>
      <c r="V1521" t="s">
        <v>13232</v>
      </c>
      <c r="W1521" t="s">
        <v>14712</v>
      </c>
      <c r="X1521">
        <v>11</v>
      </c>
      <c r="Y1521" t="s">
        <v>21229</v>
      </c>
      <c r="Z1521" t="s">
        <v>27652</v>
      </c>
      <c r="AA1521">
        <v>0.25920570124441578</v>
      </c>
      <c r="AB1521" t="str">
        <f>HYPERLINK("Melting_Curves/meltCurve_O94925_3_GLS.pdf", "Melting_Curves/meltCurve_O94925_3_GLS.pdf")</f>
        <v>Melting_Curves/meltCurve_O94925_3_GLS.pdf</v>
      </c>
    </row>
    <row r="1522" spans="1:28" x14ac:dyDescent="0.25">
      <c r="A1522" t="s">
        <v>1526</v>
      </c>
      <c r="B1522">
        <v>0.99930955844802105</v>
      </c>
      <c r="C1522">
        <v>0.85257534250237699</v>
      </c>
      <c r="D1522">
        <v>0.52509598213658504</v>
      </c>
      <c r="E1522">
        <v>0.28993641794281</v>
      </c>
      <c r="F1522">
        <v>0.17386203465428399</v>
      </c>
      <c r="G1522">
        <v>0.124620192887314</v>
      </c>
      <c r="H1522">
        <v>8.7939031085482497E-2</v>
      </c>
      <c r="I1522">
        <v>8.9127886696563893E-2</v>
      </c>
      <c r="J1522">
        <v>6.6477291160967705E-2</v>
      </c>
      <c r="K1522">
        <v>5.5303524064999901E-2</v>
      </c>
      <c r="L1522">
        <v>865.71699887894704</v>
      </c>
      <c r="M1522">
        <v>18.689328377845701</v>
      </c>
      <c r="N1522">
        <v>46.751982337628398</v>
      </c>
      <c r="O1522">
        <v>45.800923833170899</v>
      </c>
      <c r="P1522">
        <v>-9.3953374065744305E-2</v>
      </c>
      <c r="Q1522">
        <v>7.9053787051849997E-2</v>
      </c>
      <c r="R1522">
        <v>0.99395378602302897</v>
      </c>
      <c r="S1522" t="s">
        <v>8139</v>
      </c>
      <c r="T1522" t="s">
        <v>13232</v>
      </c>
      <c r="U1522" t="s">
        <v>13232</v>
      </c>
      <c r="V1522" t="s">
        <v>13232</v>
      </c>
      <c r="W1522" t="s">
        <v>14713</v>
      </c>
      <c r="X1522">
        <v>12</v>
      </c>
      <c r="Y1522" t="s">
        <v>21230</v>
      </c>
      <c r="Z1522" t="s">
        <v>27653</v>
      </c>
      <c r="AA1522">
        <v>0.28935707708343072</v>
      </c>
      <c r="AB1522" t="str">
        <f>HYPERLINK("Melting_Curves/meltCurve_O94927_HAUS5.pdf", "Melting_Curves/meltCurve_O94927_HAUS5.pdf")</f>
        <v>Melting_Curves/meltCurve_O94927_HAUS5.pdf</v>
      </c>
    </row>
    <row r="1523" spans="1:28" x14ac:dyDescent="0.25">
      <c r="A1523" t="s">
        <v>1527</v>
      </c>
      <c r="B1523">
        <v>0.99930955844802105</v>
      </c>
      <c r="C1523">
        <v>0.89267732898466301</v>
      </c>
      <c r="D1523">
        <v>0.80653159241044403</v>
      </c>
      <c r="E1523">
        <v>0.47205561632375598</v>
      </c>
      <c r="F1523">
        <v>0.22155650706044999</v>
      </c>
      <c r="G1523">
        <v>0.143686483537937</v>
      </c>
      <c r="H1523">
        <v>9.0163134663386393E-2</v>
      </c>
      <c r="I1523">
        <v>7.48578663075391E-2</v>
      </c>
      <c r="J1523">
        <v>5.5720565327029299E-2</v>
      </c>
      <c r="K1523">
        <v>5.21989487204211E-2</v>
      </c>
      <c r="L1523">
        <v>889.90725757344205</v>
      </c>
      <c r="M1523">
        <v>18.099131134264098</v>
      </c>
      <c r="N1523">
        <v>49.483861259159298</v>
      </c>
      <c r="O1523">
        <v>48.5800451330268</v>
      </c>
      <c r="P1523">
        <v>-8.8071626633482697E-2</v>
      </c>
      <c r="Q1523">
        <v>5.4469917524616503E-2</v>
      </c>
      <c r="R1523">
        <v>0.996661498872083</v>
      </c>
      <c r="S1523" t="s">
        <v>8140</v>
      </c>
      <c r="T1523" t="s">
        <v>13232</v>
      </c>
      <c r="U1523" t="s">
        <v>13232</v>
      </c>
      <c r="V1523" t="s">
        <v>13232</v>
      </c>
      <c r="W1523" t="s">
        <v>14714</v>
      </c>
      <c r="X1523">
        <v>4</v>
      </c>
      <c r="Y1523" t="s">
        <v>21231</v>
      </c>
      <c r="Z1523" t="s">
        <v>27654</v>
      </c>
      <c r="AA1523">
        <v>0.3595906337689293</v>
      </c>
      <c r="AB1523" t="str">
        <f>HYPERLINK("Melting_Curves/meltCurve_O94941_2_UBOX5.pdf", "Melting_Curves/meltCurve_O94941_2_UBOX5.pdf")</f>
        <v>Melting_Curves/meltCurve_O94941_2_UBOX5.pdf</v>
      </c>
    </row>
    <row r="1524" spans="1:28" x14ac:dyDescent="0.25">
      <c r="A1524" t="s">
        <v>1528</v>
      </c>
      <c r="B1524">
        <v>0.99930955844802105</v>
      </c>
      <c r="C1524">
        <v>0.86498627656748295</v>
      </c>
      <c r="D1524">
        <v>0.72471828761116397</v>
      </c>
      <c r="E1524">
        <v>0.65530979909185305</v>
      </c>
      <c r="F1524">
        <v>0.46007575080584601</v>
      </c>
      <c r="G1524">
        <v>0.466476420376776</v>
      </c>
      <c r="H1524">
        <v>0.28904285639428501</v>
      </c>
      <c r="I1524">
        <v>0.255743062343331</v>
      </c>
      <c r="J1524">
        <v>0.26014407667394301</v>
      </c>
      <c r="K1524">
        <v>0.213465057419083</v>
      </c>
      <c r="L1524">
        <v>458.496630110387</v>
      </c>
      <c r="M1524">
        <v>8.9626015699888892</v>
      </c>
      <c r="N1524">
        <v>53.326375327552803</v>
      </c>
      <c r="O1524">
        <v>48.802334298439</v>
      </c>
      <c r="P1524">
        <v>-3.8926624297711397E-2</v>
      </c>
      <c r="Q1524">
        <v>0.15278633697063501</v>
      </c>
      <c r="R1524">
        <v>0.97611985929218303</v>
      </c>
      <c r="S1524" t="s">
        <v>8141</v>
      </c>
      <c r="T1524" t="s">
        <v>13232</v>
      </c>
      <c r="U1524" t="s">
        <v>13232</v>
      </c>
      <c r="V1524" t="s">
        <v>13232</v>
      </c>
      <c r="W1524" t="s">
        <v>14715</v>
      </c>
      <c r="X1524">
        <v>6</v>
      </c>
      <c r="Y1524" t="s">
        <v>21232</v>
      </c>
      <c r="Z1524" t="s">
        <v>27655</v>
      </c>
      <c r="AA1524">
        <v>0.50730348071016063</v>
      </c>
      <c r="AB1524" t="str">
        <f>HYPERLINK("Melting_Curves/meltCurve_O94953_KDM4B.pdf", "Melting_Curves/meltCurve_O94953_KDM4B.pdf")</f>
        <v>Melting_Curves/meltCurve_O94953_KDM4B.pdf</v>
      </c>
    </row>
    <row r="1525" spans="1:28" x14ac:dyDescent="0.25">
      <c r="A1525" t="s">
        <v>1529</v>
      </c>
      <c r="B1525">
        <v>0.99930955844802105</v>
      </c>
      <c r="C1525">
        <v>1.01194608259548</v>
      </c>
      <c r="D1525">
        <v>0.89606496168330496</v>
      </c>
      <c r="E1525">
        <v>0.85974478974884505</v>
      </c>
      <c r="F1525">
        <v>0.71891483396424705</v>
      </c>
      <c r="G1525">
        <v>0.72241135500637599</v>
      </c>
      <c r="H1525">
        <v>0.65711002633719995</v>
      </c>
      <c r="I1525">
        <v>0.71144508109028004</v>
      </c>
      <c r="J1525">
        <v>0.696277540751291</v>
      </c>
      <c r="K1525">
        <v>0.52960899314388099</v>
      </c>
      <c r="L1525">
        <v>633.49157733515801</v>
      </c>
      <c r="M1525">
        <v>12.4015292391166</v>
      </c>
      <c r="O1525">
        <v>49.808048363764499</v>
      </c>
      <c r="P1525">
        <v>-2.36432818422024E-2</v>
      </c>
      <c r="Q1525">
        <v>0.62024816236047497</v>
      </c>
      <c r="R1525">
        <v>0.88917043190169498</v>
      </c>
      <c r="S1525" t="s">
        <v>8142</v>
      </c>
      <c r="T1525" t="s">
        <v>13232</v>
      </c>
      <c r="U1525" t="s">
        <v>13232</v>
      </c>
      <c r="V1525" t="s">
        <v>13232</v>
      </c>
      <c r="W1525" t="s">
        <v>14716</v>
      </c>
      <c r="X1525">
        <v>11</v>
      </c>
      <c r="Y1525" t="s">
        <v>21233</v>
      </c>
      <c r="Z1525" t="s">
        <v>27656</v>
      </c>
      <c r="AA1525">
        <v>0.77227960753247016</v>
      </c>
      <c r="AB1525" t="str">
        <f>HYPERLINK("Melting_Curves/meltCurve_O94964_2_SOGA1.pdf", "Melting_Curves/meltCurve_O94964_2_SOGA1.pdf")</f>
        <v>Melting_Curves/meltCurve_O94964_2_SOGA1.pdf</v>
      </c>
    </row>
    <row r="1526" spans="1:28" x14ac:dyDescent="0.25">
      <c r="A1526" t="s">
        <v>1530</v>
      </c>
      <c r="B1526">
        <v>0.99930955844802105</v>
      </c>
      <c r="C1526">
        <v>0.97912162373044898</v>
      </c>
      <c r="D1526">
        <v>0.95139283755713899</v>
      </c>
      <c r="E1526">
        <v>0.76086300259210504</v>
      </c>
      <c r="F1526">
        <v>0.331637601292045</v>
      </c>
      <c r="G1526">
        <v>0.21219475325201101</v>
      </c>
      <c r="H1526">
        <v>0.131701304520981</v>
      </c>
      <c r="I1526">
        <v>0.116437681320638</v>
      </c>
      <c r="J1526">
        <v>0.109101626402798</v>
      </c>
      <c r="K1526">
        <v>8.4751635914632403E-2</v>
      </c>
      <c r="L1526">
        <v>1607.5446430808399</v>
      </c>
      <c r="M1526">
        <v>31.284253554003399</v>
      </c>
      <c r="N1526">
        <v>51.828618456883198</v>
      </c>
      <c r="O1526">
        <v>51.176511294836601</v>
      </c>
      <c r="P1526">
        <v>-0.13487889959062899</v>
      </c>
      <c r="Q1526">
        <v>0.117435426456922</v>
      </c>
      <c r="R1526">
        <v>0.99526413238075095</v>
      </c>
      <c r="S1526" t="s">
        <v>8143</v>
      </c>
      <c r="T1526" t="s">
        <v>13232</v>
      </c>
      <c r="U1526" t="s">
        <v>13232</v>
      </c>
      <c r="V1526" t="s">
        <v>13232</v>
      </c>
      <c r="W1526" t="s">
        <v>14717</v>
      </c>
      <c r="X1526">
        <v>30</v>
      </c>
      <c r="Y1526" t="s">
        <v>21234</v>
      </c>
      <c r="Z1526" t="s">
        <v>27657</v>
      </c>
      <c r="AA1526">
        <v>0.45750713417261168</v>
      </c>
      <c r="AB1526" t="str">
        <f>HYPERLINK("Melting_Curves/meltCurve_O94966_7_USP19.pdf", "Melting_Curves/meltCurve_O94966_7_USP19.pdf")</f>
        <v>Melting_Curves/meltCurve_O94966_7_USP19.pdf</v>
      </c>
    </row>
    <row r="1527" spans="1:28" x14ac:dyDescent="0.25">
      <c r="A1527" t="s">
        <v>1531</v>
      </c>
      <c r="B1527">
        <v>0.99930955844802105</v>
      </c>
      <c r="C1527">
        <v>0.96798310720272196</v>
      </c>
      <c r="D1527">
        <v>0.94020428015600399</v>
      </c>
      <c r="E1527">
        <v>0.85873467113273005</v>
      </c>
      <c r="F1527">
        <v>0.64657407221696395</v>
      </c>
      <c r="G1527">
        <v>0.43458639929847598</v>
      </c>
      <c r="H1527">
        <v>0.26833987645563301</v>
      </c>
      <c r="I1527">
        <v>0.247673546550392</v>
      </c>
      <c r="J1527">
        <v>0.22302752873138201</v>
      </c>
      <c r="K1527">
        <v>0.18379344307548501</v>
      </c>
      <c r="L1527">
        <v>904.23696213403502</v>
      </c>
      <c r="M1527">
        <v>16.705381872518601</v>
      </c>
      <c r="N1527">
        <v>55.590887109071701</v>
      </c>
      <c r="O1527">
        <v>53.370678301358801</v>
      </c>
      <c r="P1527">
        <v>-6.4342178471964898E-2</v>
      </c>
      <c r="Q1527">
        <v>0.17780785516866601</v>
      </c>
      <c r="R1527">
        <v>0.99761249990112999</v>
      </c>
      <c r="S1527" t="s">
        <v>8144</v>
      </c>
      <c r="T1527" t="s">
        <v>13232</v>
      </c>
      <c r="U1527" t="s">
        <v>13232</v>
      </c>
      <c r="V1527" t="s">
        <v>13232</v>
      </c>
      <c r="W1527" t="s">
        <v>14718</v>
      </c>
      <c r="X1527">
        <v>4</v>
      </c>
      <c r="Y1527" t="s">
        <v>21235</v>
      </c>
      <c r="Z1527" t="s">
        <v>27658</v>
      </c>
      <c r="AA1527">
        <v>0.57959027333849167</v>
      </c>
      <c r="AB1527" t="str">
        <f>HYPERLINK("Melting_Curves/meltCurve_O94967_2_WDR47.pdf", "Melting_Curves/meltCurve_O94967_2_WDR47.pdf")</f>
        <v>Melting_Curves/meltCurve_O94967_2_WDR47.pdf</v>
      </c>
    </row>
    <row r="1528" spans="1:28" x14ac:dyDescent="0.25">
      <c r="A1528" t="s">
        <v>1532</v>
      </c>
      <c r="B1528">
        <v>0.99930955844802105</v>
      </c>
      <c r="C1528">
        <v>0.88632964967021199</v>
      </c>
      <c r="D1528">
        <v>0.877858041070815</v>
      </c>
      <c r="E1528">
        <v>0.80246557583772105</v>
      </c>
      <c r="F1528">
        <v>0.53466597211340605</v>
      </c>
      <c r="G1528">
        <v>0.282576727580299</v>
      </c>
      <c r="H1528">
        <v>0.133254317854549</v>
      </c>
      <c r="I1528">
        <v>0.101282673007885</v>
      </c>
      <c r="J1528">
        <v>8.1147576059316703E-2</v>
      </c>
      <c r="K1528">
        <v>6.5746299281975507E-2</v>
      </c>
      <c r="L1528">
        <v>819.31091041501304</v>
      </c>
      <c r="M1528">
        <v>15.352157329153799</v>
      </c>
      <c r="N1528">
        <v>53.585325530635302</v>
      </c>
      <c r="O1528">
        <v>52.486902406692501</v>
      </c>
      <c r="P1528">
        <v>-7.0921455670470604E-2</v>
      </c>
      <c r="Q1528">
        <v>3.0207242165871E-2</v>
      </c>
      <c r="R1528">
        <v>0.98909595607261602</v>
      </c>
      <c r="S1528" t="s">
        <v>8145</v>
      </c>
      <c r="T1528" t="s">
        <v>13232</v>
      </c>
      <c r="U1528" t="s">
        <v>13232</v>
      </c>
      <c r="V1528" t="s">
        <v>13232</v>
      </c>
      <c r="W1528" t="s">
        <v>14719</v>
      </c>
      <c r="X1528">
        <v>34</v>
      </c>
      <c r="Y1528" t="s">
        <v>21236</v>
      </c>
      <c r="Z1528" t="s">
        <v>27659</v>
      </c>
      <c r="AA1528">
        <v>0.48223956352838659</v>
      </c>
      <c r="AB1528" t="str">
        <f>HYPERLINK("Melting_Curves/meltCurve_O94973_AP2A2.pdf", "Melting_Curves/meltCurve_O94973_AP2A2.pdf")</f>
        <v>Melting_Curves/meltCurve_O94973_AP2A2.pdf</v>
      </c>
    </row>
    <row r="1529" spans="1:28" x14ac:dyDescent="0.25">
      <c r="A1529" t="s">
        <v>1533</v>
      </c>
      <c r="B1529">
        <v>0.99930955844802105</v>
      </c>
      <c r="C1529">
        <v>1.1077518127520001</v>
      </c>
      <c r="D1529">
        <v>0.69697493746313</v>
      </c>
      <c r="E1529">
        <v>0.80879039529998897</v>
      </c>
      <c r="F1529">
        <v>0.56602348173642003</v>
      </c>
      <c r="G1529">
        <v>0.23617954686776299</v>
      </c>
      <c r="H1529">
        <v>0.12268760271685999</v>
      </c>
      <c r="I1529">
        <v>9.4906075753866198E-2</v>
      </c>
      <c r="J1529">
        <v>8.5461825252500595E-2</v>
      </c>
      <c r="K1529">
        <v>6.8448317039766698E-2</v>
      </c>
      <c r="L1529">
        <v>792.21729769189506</v>
      </c>
      <c r="M1529">
        <v>14.8865355029144</v>
      </c>
      <c r="N1529">
        <v>53.383744943677797</v>
      </c>
      <c r="O1529">
        <v>52.284409561720203</v>
      </c>
      <c r="P1529">
        <v>-6.9571261958959102E-2</v>
      </c>
      <c r="Q1529">
        <v>2.2710477843082701E-2</v>
      </c>
      <c r="R1529">
        <v>0.94810115295699704</v>
      </c>
      <c r="S1529" t="s">
        <v>8146</v>
      </c>
      <c r="T1529" t="s">
        <v>13232</v>
      </c>
      <c r="U1529" t="s">
        <v>13232</v>
      </c>
      <c r="V1529" t="s">
        <v>13232</v>
      </c>
      <c r="W1529" t="s">
        <v>14720</v>
      </c>
      <c r="X1529">
        <v>40</v>
      </c>
      <c r="Y1529" t="s">
        <v>21237</v>
      </c>
      <c r="Z1529" t="s">
        <v>27660</v>
      </c>
      <c r="AA1529">
        <v>0.47432201660871331</v>
      </c>
      <c r="AB1529" t="str">
        <f>HYPERLINK("Melting_Curves/meltCurve_O94979_SEC31A.pdf", "Melting_Curves/meltCurve_O94979_SEC31A.pdf")</f>
        <v>Melting_Curves/meltCurve_O94979_SEC31A.pdf</v>
      </c>
    </row>
    <row r="1530" spans="1:28" x14ac:dyDescent="0.25">
      <c r="A1530" t="s">
        <v>1534</v>
      </c>
      <c r="B1530">
        <v>0.99930955844802105</v>
      </c>
      <c r="C1530">
        <v>0.99471387904997499</v>
      </c>
      <c r="D1530">
        <v>0.85375259577116203</v>
      </c>
      <c r="E1530">
        <v>0.81229212093147996</v>
      </c>
      <c r="F1530">
        <v>0.67743470113858895</v>
      </c>
      <c r="G1530">
        <v>0.47661359712965001</v>
      </c>
      <c r="H1530">
        <v>0.33956230554595701</v>
      </c>
      <c r="I1530">
        <v>0.33407160189945401</v>
      </c>
      <c r="J1530">
        <v>0.30982817749508601</v>
      </c>
      <c r="K1530">
        <v>0.231010924295937</v>
      </c>
      <c r="L1530">
        <v>642.28051960771995</v>
      </c>
      <c r="M1530">
        <v>11.828740010132799</v>
      </c>
      <c r="N1530">
        <v>56.760904767740797</v>
      </c>
      <c r="O1530">
        <v>52.8161506473364</v>
      </c>
      <c r="P1530">
        <v>-4.4763780440362798E-2</v>
      </c>
      <c r="Q1530">
        <v>0.200710058597661</v>
      </c>
      <c r="R1530">
        <v>0.98899441644163999</v>
      </c>
      <c r="S1530" t="s">
        <v>8147</v>
      </c>
      <c r="T1530" t="s">
        <v>13232</v>
      </c>
      <c r="U1530" t="s">
        <v>13232</v>
      </c>
      <c r="V1530" t="s">
        <v>13232</v>
      </c>
      <c r="W1530" t="s">
        <v>14721</v>
      </c>
      <c r="X1530">
        <v>6</v>
      </c>
      <c r="Y1530" t="s">
        <v>21238</v>
      </c>
      <c r="Z1530" t="s">
        <v>27661</v>
      </c>
      <c r="AA1530">
        <v>0.60217755529749728</v>
      </c>
      <c r="AB1530" t="str">
        <f>HYPERLINK("Melting_Curves/meltCurve_O94988_6_FAM13A.pdf", "Melting_Curves/meltCurve_O94988_6_FAM13A.pdf")</f>
        <v>Melting_Curves/meltCurve_O94988_6_FAM13A.pdf</v>
      </c>
    </row>
    <row r="1531" spans="1:28" x14ac:dyDescent="0.25">
      <c r="A1531" t="s">
        <v>1535</v>
      </c>
      <c r="B1531">
        <v>0.99930955844802105</v>
      </c>
      <c r="C1531">
        <v>0.93880731765775505</v>
      </c>
      <c r="D1531">
        <v>0.94162325713040596</v>
      </c>
      <c r="E1531">
        <v>0.91702461515085798</v>
      </c>
      <c r="F1531">
        <v>0.85447980033113202</v>
      </c>
      <c r="G1531">
        <v>0.78495468066496099</v>
      </c>
      <c r="H1531">
        <v>0.74600275126953697</v>
      </c>
      <c r="I1531">
        <v>0.77796293871673405</v>
      </c>
      <c r="J1531">
        <v>0.85733652068895905</v>
      </c>
      <c r="K1531">
        <v>0.69006633079424295</v>
      </c>
      <c r="L1531">
        <v>532.48655349928799</v>
      </c>
      <c r="M1531">
        <v>10.331345815888399</v>
      </c>
      <c r="O1531">
        <v>49.7219349124518</v>
      </c>
      <c r="P1531">
        <v>-1.36122069327072E-2</v>
      </c>
      <c r="Q1531">
        <v>0.73806517800680904</v>
      </c>
      <c r="R1531">
        <v>0.80387764348451696</v>
      </c>
      <c r="S1531" t="s">
        <v>8148</v>
      </c>
      <c r="T1531" t="s">
        <v>13232</v>
      </c>
      <c r="U1531" t="s">
        <v>13232</v>
      </c>
      <c r="V1531" t="s">
        <v>13232</v>
      </c>
      <c r="W1531" t="s">
        <v>14722</v>
      </c>
      <c r="X1531">
        <v>16</v>
      </c>
      <c r="Y1531" t="s">
        <v>21239</v>
      </c>
      <c r="Z1531" t="s">
        <v>27662</v>
      </c>
      <c r="AA1531">
        <v>0.84882379226348159</v>
      </c>
      <c r="AB1531" t="str">
        <f>HYPERLINK("Melting_Curves/meltCurve_O94992_HEXIM1.pdf", "Melting_Curves/meltCurve_O94992_HEXIM1.pdf")</f>
        <v>Melting_Curves/meltCurve_O94992_HEXIM1.pdf</v>
      </c>
    </row>
    <row r="1532" spans="1:28" x14ac:dyDescent="0.25">
      <c r="A1532" t="s">
        <v>1536</v>
      </c>
      <c r="B1532">
        <v>0.99930955844802105</v>
      </c>
      <c r="C1532">
        <v>0.94029013823262497</v>
      </c>
      <c r="D1532">
        <v>0.96540167485073403</v>
      </c>
      <c r="E1532">
        <v>1.0398135654515801</v>
      </c>
      <c r="F1532">
        <v>1.0468642491023401</v>
      </c>
      <c r="G1532">
        <v>0.81850185889771099</v>
      </c>
      <c r="H1532">
        <v>0.36862670110214801</v>
      </c>
      <c r="I1532">
        <v>0.30075786776952801</v>
      </c>
      <c r="J1532">
        <v>0.23302699151013401</v>
      </c>
      <c r="K1532">
        <v>0.117628552744877</v>
      </c>
      <c r="L1532">
        <v>2001.0690521619699</v>
      </c>
      <c r="M1532">
        <v>33.848603901278103</v>
      </c>
      <c r="N1532">
        <v>59.929015380880699</v>
      </c>
      <c r="O1532">
        <v>58.913014730534996</v>
      </c>
      <c r="P1532">
        <v>-0.117250773128458</v>
      </c>
      <c r="Q1532">
        <v>0.18371008695587099</v>
      </c>
      <c r="R1532">
        <v>0.98382269206898398</v>
      </c>
      <c r="S1532" t="s">
        <v>8149</v>
      </c>
      <c r="T1532" t="s">
        <v>13232</v>
      </c>
      <c r="U1532" t="s">
        <v>13232</v>
      </c>
      <c r="V1532" t="s">
        <v>13232</v>
      </c>
      <c r="W1532" t="s">
        <v>14723</v>
      </c>
      <c r="X1532">
        <v>5</v>
      </c>
      <c r="Y1532" t="s">
        <v>21240</v>
      </c>
      <c r="Z1532" t="s">
        <v>27663</v>
      </c>
      <c r="AA1532">
        <v>0.70821482080483944</v>
      </c>
      <c r="AB1532" t="str">
        <f>HYPERLINK("Melting_Curves/meltCurve_O95059_RPP14.pdf", "Melting_Curves/meltCurve_O95059_RPP14.pdf")</f>
        <v>Melting_Curves/meltCurve_O95059_RPP14.pdf</v>
      </c>
    </row>
    <row r="1533" spans="1:28" x14ac:dyDescent="0.25">
      <c r="A1533" t="s">
        <v>1537</v>
      </c>
      <c r="B1533">
        <v>0.99930955844802105</v>
      </c>
      <c r="C1533">
        <v>1.06831037163576</v>
      </c>
      <c r="D1533">
        <v>1.0510243291781101</v>
      </c>
      <c r="E1533">
        <v>0.92706082328143302</v>
      </c>
      <c r="F1533">
        <v>0.86746883087516502</v>
      </c>
      <c r="G1533">
        <v>0.70557990839641604</v>
      </c>
      <c r="H1533">
        <v>0.62910563194749802</v>
      </c>
      <c r="I1533">
        <v>0.719344647453528</v>
      </c>
      <c r="J1533">
        <v>0.68389349533821897</v>
      </c>
      <c r="K1533">
        <v>0.506986548056368</v>
      </c>
      <c r="L1533">
        <v>1157.9770556659801</v>
      </c>
      <c r="M1533">
        <v>21.327982561287701</v>
      </c>
      <c r="O1533">
        <v>53.823243524547799</v>
      </c>
      <c r="P1533">
        <v>-3.78389126531802E-2</v>
      </c>
      <c r="Q1533">
        <v>0.61804890720826799</v>
      </c>
      <c r="R1533">
        <v>0.90014890519899304</v>
      </c>
      <c r="S1533" t="s">
        <v>8150</v>
      </c>
      <c r="T1533" t="s">
        <v>13232</v>
      </c>
      <c r="U1533" t="s">
        <v>13232</v>
      </c>
      <c r="V1533" t="s">
        <v>13232</v>
      </c>
      <c r="W1533" t="s">
        <v>14724</v>
      </c>
      <c r="X1533">
        <v>4</v>
      </c>
      <c r="Y1533" t="s">
        <v>21241</v>
      </c>
      <c r="Z1533" t="s">
        <v>27664</v>
      </c>
      <c r="AA1533">
        <v>0.80468890303246143</v>
      </c>
      <c r="AB1533" t="str">
        <f>HYPERLINK("Melting_Curves/meltCurve_O95067_CCNB2.pdf", "Melting_Curves/meltCurve_O95067_CCNB2.pdf")</f>
        <v>Melting_Curves/meltCurve_O95067_CCNB2.pdf</v>
      </c>
    </row>
    <row r="1534" spans="1:28" x14ac:dyDescent="0.25">
      <c r="A1534" t="s">
        <v>1538</v>
      </c>
      <c r="B1534">
        <v>0.99930955844802105</v>
      </c>
      <c r="C1534">
        <v>1.06876152814029</v>
      </c>
      <c r="D1534">
        <v>1.0274900929197901</v>
      </c>
      <c r="E1534">
        <v>0.77278286809316998</v>
      </c>
      <c r="F1534">
        <v>0.41784138809746402</v>
      </c>
      <c r="G1534">
        <v>0.29131981702741899</v>
      </c>
      <c r="H1534">
        <v>0.215296987596341</v>
      </c>
      <c r="I1534">
        <v>0.200125270946795</v>
      </c>
      <c r="J1534">
        <v>0.18165825029135799</v>
      </c>
      <c r="K1534">
        <v>0.13610260757349399</v>
      </c>
      <c r="L1534">
        <v>1553.1960335655101</v>
      </c>
      <c r="M1534">
        <v>30.123556308436601</v>
      </c>
      <c r="N1534">
        <v>52.396936386617099</v>
      </c>
      <c r="O1534">
        <v>51.335193301262898</v>
      </c>
      <c r="P1534">
        <v>-0.11870757582720801</v>
      </c>
      <c r="Q1534">
        <v>0.19082061008201101</v>
      </c>
      <c r="R1534">
        <v>0.98944181011499099</v>
      </c>
      <c r="S1534" t="s">
        <v>8151</v>
      </c>
      <c r="T1534" t="s">
        <v>13232</v>
      </c>
      <c r="U1534" t="s">
        <v>13232</v>
      </c>
      <c r="V1534" t="s">
        <v>13232</v>
      </c>
      <c r="W1534" t="s">
        <v>14725</v>
      </c>
      <c r="X1534">
        <v>6</v>
      </c>
      <c r="Y1534" t="s">
        <v>21242</v>
      </c>
      <c r="Z1534" t="s">
        <v>27665</v>
      </c>
      <c r="AA1534">
        <v>0.50773960583164268</v>
      </c>
      <c r="AB1534" t="str">
        <f>HYPERLINK("Melting_Curves/meltCurve_O95081_2_AGFG2.pdf", "Melting_Curves/meltCurve_O95081_2_AGFG2.pdf")</f>
        <v>Melting_Curves/meltCurve_O95081_2_AGFG2.pdf</v>
      </c>
    </row>
    <row r="1535" spans="1:28" x14ac:dyDescent="0.25">
      <c r="A1535" t="s">
        <v>1539</v>
      </c>
      <c r="B1535">
        <v>0.99930955844802105</v>
      </c>
      <c r="C1535">
        <v>1.0719612799234699</v>
      </c>
      <c r="D1535">
        <v>1.0348270916468501</v>
      </c>
      <c r="E1535">
        <v>0.93902278774967196</v>
      </c>
      <c r="F1535">
        <v>0.87132748994220399</v>
      </c>
      <c r="G1535">
        <v>0.81143380027682499</v>
      </c>
      <c r="H1535">
        <v>0.81417034468197202</v>
      </c>
      <c r="I1535">
        <v>0.88871068454760005</v>
      </c>
      <c r="J1535">
        <v>0.88740573551300295</v>
      </c>
      <c r="K1535">
        <v>0.68480611491502397</v>
      </c>
      <c r="L1535">
        <v>1805.3606062833101</v>
      </c>
      <c r="M1535">
        <v>35.154984737645201</v>
      </c>
      <c r="O1535">
        <v>51.189006280880101</v>
      </c>
      <c r="P1535">
        <v>-3.1434178276800097E-2</v>
      </c>
      <c r="Q1535">
        <v>0.81691600313352097</v>
      </c>
      <c r="R1535">
        <v>0.71676706593876405</v>
      </c>
      <c r="S1535" t="s">
        <v>8152</v>
      </c>
      <c r="T1535" t="s">
        <v>13232</v>
      </c>
      <c r="U1535" t="s">
        <v>13232</v>
      </c>
      <c r="V1535" t="s">
        <v>13232</v>
      </c>
      <c r="W1535" t="s">
        <v>14726</v>
      </c>
      <c r="X1535">
        <v>12</v>
      </c>
      <c r="Y1535" t="s">
        <v>21243</v>
      </c>
      <c r="Z1535" t="s">
        <v>27666</v>
      </c>
      <c r="AA1535">
        <v>0.88705174053524438</v>
      </c>
      <c r="AB1535" t="str">
        <f>HYPERLINK("Melting_Curves/meltCurve_O95104_SCAF4.pdf", "Melting_Curves/meltCurve_O95104_SCAF4.pdf")</f>
        <v>Melting_Curves/meltCurve_O95104_SCAF4.pdf</v>
      </c>
    </row>
    <row r="1536" spans="1:28" x14ac:dyDescent="0.25">
      <c r="A1536" t="s">
        <v>1540</v>
      </c>
      <c r="B1536">
        <v>0.99930955844802105</v>
      </c>
      <c r="C1536">
        <v>0.92116360616643</v>
      </c>
      <c r="D1536">
        <v>0.88655101376277801</v>
      </c>
      <c r="E1536">
        <v>0.70937728938633304</v>
      </c>
      <c r="F1536">
        <v>0.380019369959468</v>
      </c>
      <c r="G1536">
        <v>0.27591264724740899</v>
      </c>
      <c r="H1536">
        <v>0.19306883151868801</v>
      </c>
      <c r="I1536">
        <v>0.168477091188347</v>
      </c>
      <c r="J1536">
        <v>0.176965811619371</v>
      </c>
      <c r="K1536">
        <v>0.13013223806205801</v>
      </c>
      <c r="L1536">
        <v>941.08123920077105</v>
      </c>
      <c r="M1536">
        <v>18.430681761404699</v>
      </c>
      <c r="N1536">
        <v>52.048325572706901</v>
      </c>
      <c r="O1536">
        <v>50.470855892197399</v>
      </c>
      <c r="P1536">
        <v>-7.7824714177553295E-2</v>
      </c>
      <c r="Q1536">
        <v>0.147572853785542</v>
      </c>
      <c r="R1536">
        <v>0.99083139334405401</v>
      </c>
      <c r="S1536" t="s">
        <v>8153</v>
      </c>
      <c r="T1536" t="s">
        <v>13232</v>
      </c>
      <c r="U1536" t="s">
        <v>13232</v>
      </c>
      <c r="V1536" t="s">
        <v>13232</v>
      </c>
      <c r="W1536" t="s">
        <v>14727</v>
      </c>
      <c r="X1536">
        <v>5</v>
      </c>
      <c r="Y1536" t="s">
        <v>21244</v>
      </c>
      <c r="Z1536" t="s">
        <v>27667</v>
      </c>
      <c r="AA1536">
        <v>0.47560332650633802</v>
      </c>
      <c r="AB1536" t="str">
        <f>HYPERLINK("Melting_Curves/meltCurve_O95149_SNUPN.pdf", "Melting_Curves/meltCurve_O95149_SNUPN.pdf")</f>
        <v>Melting_Curves/meltCurve_O95149_SNUPN.pdf</v>
      </c>
    </row>
    <row r="1537" spans="1:28" x14ac:dyDescent="0.25">
      <c r="A1537" t="s">
        <v>1541</v>
      </c>
      <c r="B1537">
        <v>0.99930955844802105</v>
      </c>
      <c r="C1537">
        <v>0.95379715555303002</v>
      </c>
      <c r="D1537">
        <v>0.89310778491903597</v>
      </c>
      <c r="E1537">
        <v>0.79813115713954796</v>
      </c>
      <c r="F1537">
        <v>0.33590921944590901</v>
      </c>
      <c r="G1537">
        <v>0.190893402771566</v>
      </c>
      <c r="H1537">
        <v>0.122387104725975</v>
      </c>
      <c r="I1537">
        <v>0.11684304639597699</v>
      </c>
      <c r="J1537">
        <v>9.2705358925863499E-2</v>
      </c>
      <c r="K1537">
        <v>8.1020434739922695E-2</v>
      </c>
      <c r="L1537">
        <v>1677.1507926645199</v>
      </c>
      <c r="M1537">
        <v>32.524480582625102</v>
      </c>
      <c r="N1537">
        <v>51.953842352760802</v>
      </c>
      <c r="O1537">
        <v>51.372035650622401</v>
      </c>
      <c r="P1537">
        <v>-0.14121168575198301</v>
      </c>
      <c r="Q1537">
        <v>0.107835454065848</v>
      </c>
      <c r="R1537">
        <v>0.98918698737145705</v>
      </c>
      <c r="S1537" t="s">
        <v>8154</v>
      </c>
      <c r="T1537" t="s">
        <v>13232</v>
      </c>
      <c r="U1537" t="s">
        <v>13232</v>
      </c>
      <c r="V1537" t="s">
        <v>13232</v>
      </c>
      <c r="W1537" t="s">
        <v>14728</v>
      </c>
      <c r="X1537">
        <v>42</v>
      </c>
      <c r="Y1537" t="s">
        <v>21245</v>
      </c>
      <c r="Z1537" t="s">
        <v>27668</v>
      </c>
      <c r="AA1537">
        <v>0.45660610932263529</v>
      </c>
      <c r="AB1537" t="str">
        <f>HYPERLINK("Melting_Curves/meltCurve_O95155_2_UBE4B.pdf", "Melting_Curves/meltCurve_O95155_2_UBE4B.pdf")</f>
        <v>Melting_Curves/meltCurve_O95155_2_UBE4B.pdf</v>
      </c>
    </row>
    <row r="1538" spans="1:28" x14ac:dyDescent="0.25">
      <c r="A1538" t="s">
        <v>1542</v>
      </c>
      <c r="B1538">
        <v>0.99930955844802105</v>
      </c>
      <c r="C1538">
        <v>0.61419040261445201</v>
      </c>
      <c r="D1538">
        <v>0.67783513652344296</v>
      </c>
      <c r="E1538">
        <v>0.857267809251131</v>
      </c>
      <c r="F1538">
        <v>0.953523217900763</v>
      </c>
      <c r="G1538">
        <v>0.33264195503030197</v>
      </c>
      <c r="H1538">
        <v>0.11311093501648301</v>
      </c>
      <c r="I1538">
        <v>8.2467977309874096E-2</v>
      </c>
      <c r="J1538">
        <v>6.9610395335360495E-2</v>
      </c>
      <c r="K1538">
        <v>5.2534523912090798E-2</v>
      </c>
      <c r="L1538">
        <v>2594.4496301212398</v>
      </c>
      <c r="M1538">
        <v>46.425493318872398</v>
      </c>
      <c r="N1538">
        <v>56.074792301311597</v>
      </c>
      <c r="O1538">
        <v>55.780758098859401</v>
      </c>
      <c r="P1538">
        <v>-0.19288139716774</v>
      </c>
      <c r="Q1538">
        <v>7.3004183526385602E-2</v>
      </c>
      <c r="R1538">
        <v>0.79879584198317599</v>
      </c>
      <c r="S1538" t="s">
        <v>8155</v>
      </c>
      <c r="T1538" t="s">
        <v>13232</v>
      </c>
      <c r="U1538" t="s">
        <v>13232</v>
      </c>
      <c r="V1538" t="s">
        <v>13232</v>
      </c>
      <c r="W1538" t="s">
        <v>14729</v>
      </c>
      <c r="X1538">
        <v>33</v>
      </c>
      <c r="Y1538" t="s">
        <v>21246</v>
      </c>
      <c r="Z1538" t="s">
        <v>27669</v>
      </c>
      <c r="AA1538">
        <v>0.56647009652423519</v>
      </c>
      <c r="AB1538" t="str">
        <f>HYPERLINK("Melting_Curves/meltCurve_O95163_IKBKAP.pdf", "Melting_Curves/meltCurve_O95163_IKBKAP.pdf")</f>
        <v>Melting_Curves/meltCurve_O95163_IKBKAP.pdf</v>
      </c>
    </row>
    <row r="1539" spans="1:28" x14ac:dyDescent="0.25">
      <c r="A1539" t="s">
        <v>1543</v>
      </c>
      <c r="B1539">
        <v>0.99930955844802105</v>
      </c>
      <c r="C1539">
        <v>1.06138329157037</v>
      </c>
      <c r="D1539">
        <v>1.1117239797573799</v>
      </c>
      <c r="E1539">
        <v>1.14314241416749</v>
      </c>
      <c r="F1539">
        <v>0.97469829939679697</v>
      </c>
      <c r="G1539">
        <v>0.77466946787079505</v>
      </c>
      <c r="H1539">
        <v>0.88103828342396195</v>
      </c>
      <c r="I1539">
        <v>0.83758775270834596</v>
      </c>
      <c r="J1539">
        <v>0.90777022445585498</v>
      </c>
      <c r="K1539">
        <v>0.78082127664642298</v>
      </c>
      <c r="L1539">
        <v>13340.0313698759</v>
      </c>
      <c r="M1539">
        <v>250</v>
      </c>
      <c r="O1539">
        <v>53.356710835525803</v>
      </c>
      <c r="P1539">
        <v>-0.19166122435285199</v>
      </c>
      <c r="Q1539">
        <v>0.83637739992664595</v>
      </c>
      <c r="R1539">
        <v>0.67764599808321802</v>
      </c>
      <c r="S1539" t="s">
        <v>8156</v>
      </c>
      <c r="T1539" t="s">
        <v>13232</v>
      </c>
      <c r="U1539" t="s">
        <v>13232</v>
      </c>
      <c r="V1539" t="s">
        <v>13232</v>
      </c>
      <c r="W1539" t="s">
        <v>14730</v>
      </c>
      <c r="X1539">
        <v>4</v>
      </c>
      <c r="Y1539" t="s">
        <v>21247</v>
      </c>
      <c r="Z1539" t="s">
        <v>27670</v>
      </c>
      <c r="AA1539">
        <v>0.90926000483512093</v>
      </c>
      <c r="AB1539" t="str">
        <f>HYPERLINK("Melting_Curves/meltCurve_O95202_LETM1.pdf", "Melting_Curves/meltCurve_O95202_LETM1.pdf")</f>
        <v>Melting_Curves/meltCurve_O95202_LETM1.pdf</v>
      </c>
    </row>
    <row r="1540" spans="1:28" x14ac:dyDescent="0.25">
      <c r="A1540" t="s">
        <v>1544</v>
      </c>
      <c r="B1540">
        <v>0.99930955844802105</v>
      </c>
      <c r="C1540">
        <v>1.1820580908499201</v>
      </c>
      <c r="D1540">
        <v>1.05314004360747</v>
      </c>
      <c r="E1540">
        <v>1.16597000562001</v>
      </c>
      <c r="F1540">
        <v>1.13748493617406</v>
      </c>
      <c r="G1540">
        <v>1.1347957349533699</v>
      </c>
      <c r="H1540">
        <v>1.34119621465812</v>
      </c>
      <c r="I1540">
        <v>1.4663728739800701</v>
      </c>
      <c r="J1540">
        <v>1.59539609612411</v>
      </c>
      <c r="K1540">
        <v>1.28237802187085</v>
      </c>
      <c r="L1540">
        <v>518.24482149078199</v>
      </c>
      <c r="M1540">
        <v>9.2238819615728005</v>
      </c>
      <c r="O1540">
        <v>53.733537036419399</v>
      </c>
      <c r="P1540">
        <v>2.1471660912667199E-2</v>
      </c>
      <c r="Q1540">
        <v>1.5</v>
      </c>
      <c r="R1540">
        <v>0.64676073604892703</v>
      </c>
      <c r="S1540" t="s">
        <v>8157</v>
      </c>
      <c r="T1540" t="s">
        <v>13232</v>
      </c>
      <c r="U1540" t="s">
        <v>13232</v>
      </c>
      <c r="V1540" t="s">
        <v>13232</v>
      </c>
      <c r="W1540" t="s">
        <v>14731</v>
      </c>
      <c r="X1540">
        <v>19</v>
      </c>
      <c r="Y1540" t="s">
        <v>21248</v>
      </c>
      <c r="Z1540" t="s">
        <v>27671</v>
      </c>
      <c r="AA1540">
        <v>1.2203417178385769</v>
      </c>
      <c r="AB1540" t="str">
        <f>HYPERLINK("Melting_Curves/meltCurve_O95218_2_ZRANB2.pdf", "Melting_Curves/meltCurve_O95218_2_ZRANB2.pdf")</f>
        <v>Melting_Curves/meltCurve_O95218_2_ZRANB2.pdf</v>
      </c>
    </row>
    <row r="1541" spans="1:28" x14ac:dyDescent="0.25">
      <c r="A1541" t="s">
        <v>1545</v>
      </c>
      <c r="B1541">
        <v>0.99930955844802105</v>
      </c>
      <c r="C1541">
        <v>1.0391808704862</v>
      </c>
      <c r="D1541">
        <v>0.96523918099202499</v>
      </c>
      <c r="E1541">
        <v>0.62099298464179697</v>
      </c>
      <c r="F1541">
        <v>0.18200663773157999</v>
      </c>
      <c r="G1541">
        <v>0.11990670702290999</v>
      </c>
      <c r="H1541">
        <v>7.3845660498897098E-2</v>
      </c>
      <c r="I1541">
        <v>6.8213569265406296E-2</v>
      </c>
      <c r="J1541">
        <v>6.6160762040286494E-2</v>
      </c>
      <c r="K1541">
        <v>4.6925140644169597E-2</v>
      </c>
      <c r="L1541">
        <v>1979.5163128834499</v>
      </c>
      <c r="M1541">
        <v>39.2384406479785</v>
      </c>
      <c r="N1541">
        <v>50.646196758822597</v>
      </c>
      <c r="O1541">
        <v>50.317894861287002</v>
      </c>
      <c r="P1541">
        <v>-0.18110390658089201</v>
      </c>
      <c r="Q1541">
        <v>7.1038833815566096E-2</v>
      </c>
      <c r="R1541">
        <v>0.99761622010126405</v>
      </c>
      <c r="S1541" t="s">
        <v>8158</v>
      </c>
      <c r="T1541" t="s">
        <v>13232</v>
      </c>
      <c r="U1541" t="s">
        <v>13232</v>
      </c>
      <c r="V1541" t="s">
        <v>13232</v>
      </c>
      <c r="W1541" t="s">
        <v>14732</v>
      </c>
      <c r="X1541">
        <v>9</v>
      </c>
      <c r="Y1541" t="s">
        <v>21249</v>
      </c>
      <c r="Z1541" t="s">
        <v>27672</v>
      </c>
      <c r="AA1541">
        <v>0.39794518318490929</v>
      </c>
      <c r="AB1541" t="str">
        <f>HYPERLINK("Melting_Curves/meltCurve_O95219_SNX4.pdf", "Melting_Curves/meltCurve_O95219_SNX4.pdf")</f>
        <v>Melting_Curves/meltCurve_O95219_SNX4.pdf</v>
      </c>
    </row>
    <row r="1542" spans="1:28" x14ac:dyDescent="0.25">
      <c r="A1542" t="s">
        <v>1546</v>
      </c>
      <c r="B1542">
        <v>0.99930955844802105</v>
      </c>
      <c r="C1542">
        <v>0.98130839374412804</v>
      </c>
      <c r="D1542">
        <v>0.88851936180233404</v>
      </c>
      <c r="E1542">
        <v>0.676882847877876</v>
      </c>
      <c r="F1542">
        <v>0.53040748443455599</v>
      </c>
      <c r="G1542">
        <v>0.340259172935794</v>
      </c>
      <c r="H1542">
        <v>0.245342969792923</v>
      </c>
      <c r="I1542">
        <v>0.23262771036091501</v>
      </c>
      <c r="J1542">
        <v>0.21728118423206899</v>
      </c>
      <c r="K1542">
        <v>0.20409656272481899</v>
      </c>
      <c r="L1542">
        <v>795.48474927815096</v>
      </c>
      <c r="M1542">
        <v>15.421273441579601</v>
      </c>
      <c r="N1542">
        <v>53.234263900799697</v>
      </c>
      <c r="O1542">
        <v>50.739545963147201</v>
      </c>
      <c r="P1542">
        <v>-6.1548106220942901E-2</v>
      </c>
      <c r="Q1542">
        <v>0.19004371198725301</v>
      </c>
      <c r="R1542">
        <v>0.99889997582046297</v>
      </c>
      <c r="S1542" t="s">
        <v>8159</v>
      </c>
      <c r="T1542" t="s">
        <v>13232</v>
      </c>
      <c r="U1542" t="s">
        <v>13232</v>
      </c>
      <c r="V1542" t="s">
        <v>13232</v>
      </c>
      <c r="W1542" t="s">
        <v>14733</v>
      </c>
      <c r="X1542">
        <v>4</v>
      </c>
      <c r="Y1542" t="s">
        <v>21250</v>
      </c>
      <c r="Z1542" t="s">
        <v>27673</v>
      </c>
      <c r="AA1542">
        <v>0.52035562759104548</v>
      </c>
      <c r="AB1542" t="str">
        <f>HYPERLINK("Melting_Curves/meltCurve_O95229_ZWINT.pdf", "Melting_Curves/meltCurve_O95229_ZWINT.pdf")</f>
        <v>Melting_Curves/meltCurve_O95229_ZWINT.pdf</v>
      </c>
    </row>
    <row r="1543" spans="1:28" x14ac:dyDescent="0.25">
      <c r="A1543" t="s">
        <v>1547</v>
      </c>
      <c r="B1543">
        <v>0.99930955844802105</v>
      </c>
      <c r="C1543">
        <v>1.0280075678945</v>
      </c>
      <c r="D1543">
        <v>1.03793538836437</v>
      </c>
      <c r="E1543">
        <v>0.93353010500131195</v>
      </c>
      <c r="F1543">
        <v>0.84217541183261202</v>
      </c>
      <c r="G1543">
        <v>0.382732835703809</v>
      </c>
      <c r="H1543">
        <v>5.6779452375550099E-2</v>
      </c>
      <c r="I1543">
        <v>2.1899144150068502E-2</v>
      </c>
      <c r="J1543">
        <v>2.1803678127700399E-2</v>
      </c>
      <c r="K1543">
        <v>1.4351423069588601E-2</v>
      </c>
      <c r="L1543">
        <v>1657.0654154280501</v>
      </c>
      <c r="M1543">
        <v>29.6042060930654</v>
      </c>
      <c r="N1543">
        <v>55.982740453126397</v>
      </c>
      <c r="O1543">
        <v>55.720442687817197</v>
      </c>
      <c r="P1543">
        <v>-0.13251887864113199</v>
      </c>
      <c r="Q1543">
        <v>2.30935536562596E-3</v>
      </c>
      <c r="R1543">
        <v>0.99758973555241304</v>
      </c>
      <c r="S1543" t="s">
        <v>8160</v>
      </c>
      <c r="T1543" t="s">
        <v>13232</v>
      </c>
      <c r="U1543" t="s">
        <v>13232</v>
      </c>
      <c r="V1543" t="s">
        <v>13232</v>
      </c>
      <c r="W1543" t="s">
        <v>14734</v>
      </c>
      <c r="X1543">
        <v>1</v>
      </c>
      <c r="Y1543" t="s">
        <v>21251</v>
      </c>
      <c r="Z1543" t="s">
        <v>27674</v>
      </c>
      <c r="AA1543">
        <v>0.54036213039007952</v>
      </c>
      <c r="AB1543" t="str">
        <f>HYPERLINK("Melting_Curves/meltCurve_O95231_VENTX.pdf", "Melting_Curves/meltCurve_O95231_VENTX.pdf")</f>
        <v>Melting_Curves/meltCurve_O95231_VENTX.pdf</v>
      </c>
    </row>
    <row r="1544" spans="1:28" x14ac:dyDescent="0.25">
      <c r="A1544" t="s">
        <v>1548</v>
      </c>
      <c r="B1544">
        <v>0.99930955844802105</v>
      </c>
      <c r="C1544">
        <v>0.94609855636277695</v>
      </c>
      <c r="D1544">
        <v>0.83320849196089797</v>
      </c>
      <c r="E1544">
        <v>0.86608537651435402</v>
      </c>
      <c r="F1544">
        <v>0.371077417474097</v>
      </c>
      <c r="G1544">
        <v>0.162366610788372</v>
      </c>
      <c r="H1544">
        <v>9.7492436826814993E-2</v>
      </c>
      <c r="I1544">
        <v>8.94637350598467E-2</v>
      </c>
      <c r="J1544">
        <v>7.7021210426789E-2</v>
      </c>
      <c r="K1544">
        <v>5.9868273945237603E-2</v>
      </c>
      <c r="L1544">
        <v>1909.4093567843499</v>
      </c>
      <c r="M1544">
        <v>36.699434051430998</v>
      </c>
      <c r="N1544">
        <v>52.299026251505701</v>
      </c>
      <c r="O1544">
        <v>51.874538739578</v>
      </c>
      <c r="P1544">
        <v>-0.16156631720956099</v>
      </c>
      <c r="Q1544">
        <v>8.6508522177859204E-2</v>
      </c>
      <c r="R1544">
        <v>0.97836857782491304</v>
      </c>
      <c r="S1544" t="s">
        <v>8161</v>
      </c>
      <c r="T1544" t="s">
        <v>13232</v>
      </c>
      <c r="U1544" t="s">
        <v>13232</v>
      </c>
      <c r="V1544" t="s">
        <v>13232</v>
      </c>
      <c r="W1544" t="s">
        <v>14735</v>
      </c>
      <c r="X1544">
        <v>17</v>
      </c>
      <c r="Y1544" t="s">
        <v>21252</v>
      </c>
      <c r="Z1544" t="s">
        <v>27675</v>
      </c>
      <c r="AA1544">
        <v>0.45667095846019212</v>
      </c>
      <c r="AB1544" t="str">
        <f>HYPERLINK("Melting_Curves/meltCurve_O95232_LUC7L3.pdf", "Melting_Curves/meltCurve_O95232_LUC7L3.pdf")</f>
        <v>Melting_Curves/meltCurve_O95232_LUC7L3.pdf</v>
      </c>
    </row>
    <row r="1545" spans="1:28" x14ac:dyDescent="0.25">
      <c r="A1545" t="s">
        <v>1549</v>
      </c>
      <c r="B1545">
        <v>0.99930955844802105</v>
      </c>
      <c r="C1545">
        <v>0.81475683544261701</v>
      </c>
      <c r="D1545">
        <v>0.72317877386288298</v>
      </c>
      <c r="E1545">
        <v>0.58185759515754498</v>
      </c>
      <c r="F1545">
        <v>0.42776850981171499</v>
      </c>
      <c r="G1545">
        <v>0.36506503977904298</v>
      </c>
      <c r="H1545">
        <v>0.31350951923426201</v>
      </c>
      <c r="I1545">
        <v>0.33215570002691502</v>
      </c>
      <c r="J1545">
        <v>0.31989144243566597</v>
      </c>
      <c r="K1545">
        <v>0.26439792590878802</v>
      </c>
      <c r="L1545">
        <v>584.66758109892498</v>
      </c>
      <c r="M1545">
        <v>12.2005161728449</v>
      </c>
      <c r="N1545">
        <v>51.318249499722498</v>
      </c>
      <c r="O1545">
        <v>46.688640807982203</v>
      </c>
      <c r="P1545">
        <v>-4.7242142112728001E-2</v>
      </c>
      <c r="Q1545">
        <v>0.27702308907523499</v>
      </c>
      <c r="R1545">
        <v>0.98449010491750699</v>
      </c>
      <c r="S1545" t="s">
        <v>8162</v>
      </c>
      <c r="T1545" t="s">
        <v>13232</v>
      </c>
      <c r="U1545" t="s">
        <v>13232</v>
      </c>
      <c r="V1545" t="s">
        <v>13232</v>
      </c>
      <c r="W1545" t="s">
        <v>14736</v>
      </c>
      <c r="X1545">
        <v>24</v>
      </c>
      <c r="Y1545" t="s">
        <v>21253</v>
      </c>
      <c r="Z1545" t="s">
        <v>27676</v>
      </c>
      <c r="AA1545">
        <v>0.4955388579757079</v>
      </c>
      <c r="AB1545" t="str">
        <f>HYPERLINK("Melting_Curves/meltCurve_O95239_KIF4A.pdf", "Melting_Curves/meltCurve_O95239_KIF4A.pdf")</f>
        <v>Melting_Curves/meltCurve_O95239_KIF4A.pdf</v>
      </c>
    </row>
    <row r="1546" spans="1:28" x14ac:dyDescent="0.25">
      <c r="A1546" t="s">
        <v>1550</v>
      </c>
      <c r="B1546">
        <v>0.99930955844802105</v>
      </c>
      <c r="C1546">
        <v>1.1499191901460899</v>
      </c>
      <c r="D1546">
        <v>1.0496443734547301</v>
      </c>
      <c r="E1546">
        <v>1.0531520564600401</v>
      </c>
      <c r="F1546">
        <v>0.96769248833183596</v>
      </c>
      <c r="G1546">
        <v>0.984201094773834</v>
      </c>
      <c r="H1546">
        <v>1.07609933834246</v>
      </c>
      <c r="I1546">
        <v>1.17813565255027</v>
      </c>
      <c r="J1546">
        <v>1.2569632904413099</v>
      </c>
      <c r="K1546">
        <v>0.97192085854045196</v>
      </c>
      <c r="L1546">
        <v>130.260018231846</v>
      </c>
      <c r="M1546">
        <v>0.52022707134304202</v>
      </c>
      <c r="O1546">
        <v>50.436382523684699</v>
      </c>
      <c r="P1546">
        <v>2.56230659449551E-3</v>
      </c>
      <c r="Q1546">
        <v>1.5</v>
      </c>
      <c r="R1546">
        <v>5.5864596649927697E-2</v>
      </c>
      <c r="S1546" t="s">
        <v>8163</v>
      </c>
      <c r="T1546" t="s">
        <v>13232</v>
      </c>
      <c r="U1546" t="s">
        <v>13232</v>
      </c>
      <c r="V1546" t="s">
        <v>13232</v>
      </c>
      <c r="W1546" t="s">
        <v>14737</v>
      </c>
      <c r="X1546">
        <v>10</v>
      </c>
      <c r="Y1546" t="s">
        <v>21254</v>
      </c>
      <c r="Z1546" t="s">
        <v>27677</v>
      </c>
      <c r="AA1546">
        <v>1.0676599801936599</v>
      </c>
      <c r="AB1546" t="str">
        <f>HYPERLINK("Melting_Curves/meltCurve_O95243_2_MBD4.pdf", "Melting_Curves/meltCurve_O95243_2_MBD4.pdf")</f>
        <v>Melting_Curves/meltCurve_O95243_2_MBD4.pdf</v>
      </c>
    </row>
    <row r="1547" spans="1:28" x14ac:dyDescent="0.25">
      <c r="A1547" t="s">
        <v>1551</v>
      </c>
      <c r="B1547">
        <v>0.99930955844802105</v>
      </c>
      <c r="C1547">
        <v>0.70347026975967197</v>
      </c>
      <c r="D1547">
        <v>0.68794619130386003</v>
      </c>
      <c r="E1547">
        <v>0.56845990108399602</v>
      </c>
      <c r="F1547">
        <v>0.3940249580154</v>
      </c>
      <c r="G1547">
        <v>0.25230489654322003</v>
      </c>
      <c r="H1547">
        <v>0.19973859545588701</v>
      </c>
      <c r="I1547">
        <v>0.19978103126807001</v>
      </c>
      <c r="J1547">
        <v>0.19176803736763701</v>
      </c>
      <c r="K1547">
        <v>0.14324002018184001</v>
      </c>
      <c r="L1547">
        <v>463.06429036369599</v>
      </c>
      <c r="M1547">
        <v>9.4492911733220595</v>
      </c>
      <c r="N1547">
        <v>50.190641868660798</v>
      </c>
      <c r="O1547">
        <v>46.960857928404401</v>
      </c>
      <c r="P1547">
        <v>-4.5300228437496599E-2</v>
      </c>
      <c r="Q1547">
        <v>0.10001578008982701</v>
      </c>
      <c r="R1547">
        <v>0.96379967715185699</v>
      </c>
      <c r="S1547" t="s">
        <v>8164</v>
      </c>
      <c r="T1547" t="s">
        <v>13232</v>
      </c>
      <c r="U1547" t="s">
        <v>13232</v>
      </c>
      <c r="V1547" t="s">
        <v>13232</v>
      </c>
      <c r="W1547" t="s">
        <v>14738</v>
      </c>
      <c r="X1547">
        <v>9</v>
      </c>
      <c r="Y1547" t="s">
        <v>21255</v>
      </c>
      <c r="Z1547" t="s">
        <v>27678</v>
      </c>
      <c r="AA1547">
        <v>0.4179339217733522</v>
      </c>
      <c r="AB1547" t="str">
        <f>HYPERLINK("Melting_Curves/meltCurve_O95248_SBF1.pdf", "Melting_Curves/meltCurve_O95248_SBF1.pdf")</f>
        <v>Melting_Curves/meltCurve_O95248_SBF1.pdf</v>
      </c>
    </row>
    <row r="1548" spans="1:28" x14ac:dyDescent="0.25">
      <c r="A1548" t="s">
        <v>1552</v>
      </c>
      <c r="B1548">
        <v>0.99930955844802105</v>
      </c>
      <c r="C1548">
        <v>0.87045001159932001</v>
      </c>
      <c r="D1548">
        <v>0.84210223291171904</v>
      </c>
      <c r="E1548">
        <v>0.71651224617255005</v>
      </c>
      <c r="F1548">
        <v>0.575265964302619</v>
      </c>
      <c r="G1548">
        <v>0.50459666051029395</v>
      </c>
      <c r="H1548">
        <v>0.45478660696838702</v>
      </c>
      <c r="I1548">
        <v>0.51767918066672503</v>
      </c>
      <c r="J1548">
        <v>0.46385523176634003</v>
      </c>
      <c r="K1548">
        <v>0.36514054232854498</v>
      </c>
      <c r="L1548">
        <v>558.49503568368596</v>
      </c>
      <c r="M1548">
        <v>11.239964679781799</v>
      </c>
      <c r="N1548">
        <v>58.2875848667951</v>
      </c>
      <c r="O1548">
        <v>48.1934034552893</v>
      </c>
      <c r="P1548">
        <v>-3.4716937785869699E-2</v>
      </c>
      <c r="Q1548">
        <v>0.40476394519528502</v>
      </c>
      <c r="R1548">
        <v>0.96455236778210796</v>
      </c>
      <c r="S1548" t="s">
        <v>8165</v>
      </c>
      <c r="T1548" t="s">
        <v>13232</v>
      </c>
      <c r="U1548" t="s">
        <v>13232</v>
      </c>
      <c r="V1548" t="s">
        <v>13232</v>
      </c>
      <c r="W1548" t="s">
        <v>14739</v>
      </c>
      <c r="X1548">
        <v>5</v>
      </c>
      <c r="Y1548" t="s">
        <v>21256</v>
      </c>
      <c r="Z1548" t="s">
        <v>27679</v>
      </c>
      <c r="AA1548">
        <v>0.62024005264743287</v>
      </c>
      <c r="AB1548" t="str">
        <f>HYPERLINK("Melting_Curves/meltCurve_O95251_4_KAT7.pdf", "Melting_Curves/meltCurve_O95251_4_KAT7.pdf")</f>
        <v>Melting_Curves/meltCurve_O95251_4_KAT7.pdf</v>
      </c>
    </row>
    <row r="1549" spans="1:28" x14ac:dyDescent="0.25">
      <c r="A1549" t="s">
        <v>1553</v>
      </c>
      <c r="B1549">
        <v>0.99930955844802105</v>
      </c>
      <c r="C1549">
        <v>1.1194917193410601</v>
      </c>
      <c r="D1549">
        <v>1.03557804658102</v>
      </c>
      <c r="E1549">
        <v>0.81770831889828</v>
      </c>
      <c r="F1549">
        <v>0.45882491520366098</v>
      </c>
      <c r="G1549">
        <v>0.27330083959433099</v>
      </c>
      <c r="H1549">
        <v>0.17691712459779901</v>
      </c>
      <c r="I1549">
        <v>0.165473796605974</v>
      </c>
      <c r="J1549">
        <v>0.173221560200851</v>
      </c>
      <c r="K1549">
        <v>0.136969811898254</v>
      </c>
      <c r="L1549">
        <v>1567.61623641195</v>
      </c>
      <c r="M1549">
        <v>30.0974823251033</v>
      </c>
      <c r="N1549">
        <v>52.802762078939999</v>
      </c>
      <c r="O1549">
        <v>51.856331930448903</v>
      </c>
      <c r="P1549">
        <v>-0.12073098486514899</v>
      </c>
      <c r="Q1549">
        <v>0.16795377585276899</v>
      </c>
      <c r="R1549">
        <v>0.98624253762178904</v>
      </c>
      <c r="S1549" t="s">
        <v>8166</v>
      </c>
      <c r="T1549" t="s">
        <v>13232</v>
      </c>
      <c r="U1549" t="s">
        <v>13232</v>
      </c>
      <c r="V1549" t="s">
        <v>13232</v>
      </c>
      <c r="W1549" t="s">
        <v>14740</v>
      </c>
      <c r="X1549">
        <v>5</v>
      </c>
      <c r="Y1549" t="s">
        <v>21257</v>
      </c>
      <c r="Z1549" t="s">
        <v>27680</v>
      </c>
      <c r="AA1549">
        <v>0.5084085849759834</v>
      </c>
      <c r="AB1549" t="str">
        <f>HYPERLINK("Melting_Curves/meltCurve_O95273_CCNDBP1.pdf", "Melting_Curves/meltCurve_O95273_CCNDBP1.pdf")</f>
        <v>Melting_Curves/meltCurve_O95273_CCNDBP1.pdf</v>
      </c>
    </row>
    <row r="1550" spans="1:28" x14ac:dyDescent="0.25">
      <c r="A1550" t="s">
        <v>1554</v>
      </c>
      <c r="B1550">
        <v>0.99930955844802105</v>
      </c>
      <c r="C1550">
        <v>1.0292072202932301</v>
      </c>
      <c r="D1550">
        <v>1.0157251913591601</v>
      </c>
      <c r="E1550">
        <v>0.93711983068901705</v>
      </c>
      <c r="F1550">
        <v>0.76862724187581999</v>
      </c>
      <c r="G1550">
        <v>0.64275737061786298</v>
      </c>
      <c r="H1550">
        <v>0.58592789201977302</v>
      </c>
      <c r="I1550">
        <v>0.58063581965355404</v>
      </c>
      <c r="J1550">
        <v>0.55610434235411998</v>
      </c>
      <c r="K1550">
        <v>0.422124484412148</v>
      </c>
      <c r="L1550">
        <v>944.45792110006005</v>
      </c>
      <c r="M1550">
        <v>17.3749779132106</v>
      </c>
      <c r="O1550">
        <v>53.652642298372498</v>
      </c>
      <c r="P1550">
        <v>-4.05571040575049E-2</v>
      </c>
      <c r="Q1550">
        <v>0.49907909483290402</v>
      </c>
      <c r="R1550">
        <v>0.96417993221379805</v>
      </c>
      <c r="S1550" t="s">
        <v>8167</v>
      </c>
      <c r="T1550" t="s">
        <v>13232</v>
      </c>
      <c r="U1550" t="s">
        <v>13232</v>
      </c>
      <c r="V1550" t="s">
        <v>13232</v>
      </c>
      <c r="W1550" t="s">
        <v>14741</v>
      </c>
      <c r="X1550">
        <v>9</v>
      </c>
      <c r="Y1550" t="s">
        <v>21258</v>
      </c>
      <c r="Z1550" t="s">
        <v>27681</v>
      </c>
      <c r="AA1550">
        <v>0.747145778423286</v>
      </c>
      <c r="AB1550" t="str">
        <f>HYPERLINK("Melting_Curves/meltCurve_O95292_VAPB.pdf", "Melting_Curves/meltCurve_O95292_VAPB.pdf")</f>
        <v>Melting_Curves/meltCurve_O95292_VAPB.pdf</v>
      </c>
    </row>
    <row r="1551" spans="1:28" x14ac:dyDescent="0.25">
      <c r="A1551" t="s">
        <v>1555</v>
      </c>
      <c r="B1551">
        <v>0.99930955844802105</v>
      </c>
      <c r="C1551">
        <v>0.97140750034560597</v>
      </c>
      <c r="D1551">
        <v>0.94252844152122806</v>
      </c>
      <c r="E1551">
        <v>0.86386874488993903</v>
      </c>
      <c r="F1551">
        <v>0.715429939209414</v>
      </c>
      <c r="G1551">
        <v>0.46081712437598898</v>
      </c>
      <c r="H1551">
        <v>0.201259484615608</v>
      </c>
      <c r="I1551">
        <v>0.18523621197505399</v>
      </c>
      <c r="J1551">
        <v>0.14515948456226299</v>
      </c>
      <c r="K1551">
        <v>0.124523827401717</v>
      </c>
      <c r="L1551">
        <v>931.38904784228896</v>
      </c>
      <c r="M1551">
        <v>16.8264082784275</v>
      </c>
      <c r="N1551">
        <v>56.018770465517498</v>
      </c>
      <c r="O1551">
        <v>54.588724206700398</v>
      </c>
      <c r="P1551">
        <v>-7.0079054561486304E-2</v>
      </c>
      <c r="Q1551">
        <v>9.0648467865688601E-2</v>
      </c>
      <c r="R1551">
        <v>0.99646899639284303</v>
      </c>
      <c r="S1551" t="s">
        <v>8168</v>
      </c>
      <c r="T1551" t="s">
        <v>13232</v>
      </c>
      <c r="U1551" t="s">
        <v>13232</v>
      </c>
      <c r="V1551" t="s">
        <v>13232</v>
      </c>
      <c r="W1551" t="s">
        <v>14742</v>
      </c>
      <c r="X1551">
        <v>5</v>
      </c>
      <c r="Y1551" t="s">
        <v>21259</v>
      </c>
      <c r="Z1551" t="s">
        <v>27682</v>
      </c>
      <c r="AA1551">
        <v>0.57108314718035291</v>
      </c>
      <c r="AB1551" t="str">
        <f>HYPERLINK("Melting_Curves/meltCurve_O95295_SNAPIN.pdf", "Melting_Curves/meltCurve_O95295_SNAPIN.pdf")</f>
        <v>Melting_Curves/meltCurve_O95295_SNAPIN.pdf</v>
      </c>
    </row>
    <row r="1552" spans="1:28" x14ac:dyDescent="0.25">
      <c r="A1552" t="s">
        <v>1556</v>
      </c>
      <c r="B1552">
        <v>0.99930955844802105</v>
      </c>
      <c r="C1552">
        <v>1.09684540180863</v>
      </c>
      <c r="D1552">
        <v>0.96550746127179898</v>
      </c>
      <c r="E1552">
        <v>0.69683399501119503</v>
      </c>
      <c r="F1552">
        <v>0.40689708604116898</v>
      </c>
      <c r="G1552">
        <v>0.180439357631483</v>
      </c>
      <c r="H1552">
        <v>8.9921109435734906E-2</v>
      </c>
      <c r="I1552">
        <v>6.2835814626557296E-2</v>
      </c>
      <c r="J1552">
        <v>2.4002635889960499E-2</v>
      </c>
      <c r="K1552">
        <v>2.0681779929462601E-2</v>
      </c>
      <c r="L1552">
        <v>1130.2271945779701</v>
      </c>
      <c r="M1552">
        <v>21.7562574826676</v>
      </c>
      <c r="N1552">
        <v>52.130009842358497</v>
      </c>
      <c r="O1552">
        <v>51.516601837397403</v>
      </c>
      <c r="P1552">
        <v>-0.101750925666514</v>
      </c>
      <c r="Q1552">
        <v>3.6279229451622201E-2</v>
      </c>
      <c r="R1552">
        <v>0.992269596410428</v>
      </c>
      <c r="S1552" t="s">
        <v>8169</v>
      </c>
      <c r="T1552" t="s">
        <v>13232</v>
      </c>
      <c r="U1552" t="s">
        <v>13232</v>
      </c>
      <c r="V1552" t="s">
        <v>13232</v>
      </c>
      <c r="W1552" t="s">
        <v>14743</v>
      </c>
      <c r="X1552">
        <v>3</v>
      </c>
      <c r="Y1552" t="s">
        <v>21260</v>
      </c>
      <c r="Z1552" t="s">
        <v>27683</v>
      </c>
      <c r="AA1552">
        <v>0.43158520500295072</v>
      </c>
      <c r="AB1552" t="str">
        <f>HYPERLINK("Melting_Curves/meltCurve_O95302_FKBP9.pdf", "Melting_Curves/meltCurve_O95302_FKBP9.pdf")</f>
        <v>Melting_Curves/meltCurve_O95302_FKBP9.pdf</v>
      </c>
    </row>
    <row r="1553" spans="1:28" x14ac:dyDescent="0.25">
      <c r="A1553" t="s">
        <v>1557</v>
      </c>
      <c r="B1553">
        <v>0.99930955844802105</v>
      </c>
      <c r="C1553">
        <v>1.00401918062653</v>
      </c>
      <c r="D1553">
        <v>1.0372456037334099</v>
      </c>
      <c r="E1553">
        <v>0.94017466726205001</v>
      </c>
      <c r="F1553">
        <v>0.82456379832200999</v>
      </c>
      <c r="G1553">
        <v>0.71534185923753202</v>
      </c>
      <c r="H1553">
        <v>0.47847241889122399</v>
      </c>
      <c r="I1553">
        <v>0.22204423489606701</v>
      </c>
      <c r="J1553">
        <v>8.5674698544680503E-2</v>
      </c>
      <c r="K1553">
        <v>7.0412037055259405E-2</v>
      </c>
      <c r="L1553">
        <v>1016.24680771539</v>
      </c>
      <c r="M1553">
        <v>16.994616701870701</v>
      </c>
      <c r="N1553">
        <v>59.798160018204598</v>
      </c>
      <c r="O1553">
        <v>58.988599309885501</v>
      </c>
      <c r="P1553">
        <v>-7.2029459065039103E-2</v>
      </c>
      <c r="Q1553">
        <v>0</v>
      </c>
      <c r="R1553">
        <v>0.98873580270150996</v>
      </c>
      <c r="S1553" t="s">
        <v>8170</v>
      </c>
      <c r="T1553" t="s">
        <v>13232</v>
      </c>
      <c r="U1553" t="s">
        <v>13232</v>
      </c>
      <c r="V1553" t="s">
        <v>13232</v>
      </c>
      <c r="W1553" t="s">
        <v>14744</v>
      </c>
      <c r="X1553">
        <v>15</v>
      </c>
      <c r="Y1553" t="s">
        <v>21261</v>
      </c>
      <c r="Z1553" t="s">
        <v>27684</v>
      </c>
      <c r="AA1553">
        <v>0.66855097736930691</v>
      </c>
      <c r="AB1553" t="str">
        <f>HYPERLINK("Melting_Curves/meltCurve_O95336_PGLS.pdf", "Melting_Curves/meltCurve_O95336_PGLS.pdf")</f>
        <v>Melting_Curves/meltCurve_O95336_PGLS.pdf</v>
      </c>
    </row>
    <row r="1554" spans="1:28" x14ac:dyDescent="0.25">
      <c r="A1554" t="s">
        <v>1558</v>
      </c>
      <c r="B1554">
        <v>0.99930955844802105</v>
      </c>
      <c r="C1554">
        <v>0.69627465651718601</v>
      </c>
      <c r="D1554">
        <v>0.49781889209736901</v>
      </c>
      <c r="E1554">
        <v>0.24986374684722401</v>
      </c>
      <c r="F1554">
        <v>0.145538513113246</v>
      </c>
      <c r="G1554">
        <v>9.8211746317499696E-2</v>
      </c>
      <c r="H1554">
        <v>5.1041771107487303E-2</v>
      </c>
      <c r="I1554">
        <v>3.9679058903386903E-2</v>
      </c>
      <c r="J1554">
        <v>3.0684508566945101E-2</v>
      </c>
      <c r="K1554">
        <v>2.37051084473591E-2</v>
      </c>
      <c r="L1554">
        <v>717.89764928919203</v>
      </c>
      <c r="M1554">
        <v>15.675406229750401</v>
      </c>
      <c r="N1554">
        <v>46.003728609153399</v>
      </c>
      <c r="O1554">
        <v>45.071799138432297</v>
      </c>
      <c r="P1554">
        <v>-8.4006820913596805E-2</v>
      </c>
      <c r="Q1554">
        <v>3.3896562192666201E-2</v>
      </c>
      <c r="R1554">
        <v>0.98823751118922598</v>
      </c>
      <c r="S1554" t="s">
        <v>8171</v>
      </c>
      <c r="T1554" t="s">
        <v>13232</v>
      </c>
      <c r="U1554" t="s">
        <v>13232</v>
      </c>
      <c r="V1554" t="s">
        <v>13232</v>
      </c>
      <c r="W1554" t="s">
        <v>14745</v>
      </c>
      <c r="X1554">
        <v>43</v>
      </c>
      <c r="Y1554" t="s">
        <v>21262</v>
      </c>
      <c r="Z1554" t="s">
        <v>27685</v>
      </c>
      <c r="AA1554">
        <v>0.24674144730151559</v>
      </c>
      <c r="AB1554" t="str">
        <f>HYPERLINK("Melting_Curves/meltCurve_O95347_SMC2.pdf", "Melting_Curves/meltCurve_O95347_SMC2.pdf")</f>
        <v>Melting_Curves/meltCurve_O95347_SMC2.pdf</v>
      </c>
    </row>
    <row r="1555" spans="1:28" x14ac:dyDescent="0.25">
      <c r="A1555" t="s">
        <v>1559</v>
      </c>
      <c r="B1555">
        <v>0.99930955844802105</v>
      </c>
      <c r="C1555">
        <v>0.89300616102185804</v>
      </c>
      <c r="D1555">
        <v>0.87971852711195797</v>
      </c>
      <c r="E1555">
        <v>0.76705021606472101</v>
      </c>
      <c r="F1555">
        <v>0.242847084528478</v>
      </c>
      <c r="G1555">
        <v>0.15854236619000101</v>
      </c>
      <c r="H1555">
        <v>8.6427241555867507E-2</v>
      </c>
      <c r="I1555">
        <v>6.6968161339323595E-2</v>
      </c>
      <c r="J1555">
        <v>5.6496600177071803E-2</v>
      </c>
      <c r="K1555">
        <v>4.2529441618684001E-2</v>
      </c>
      <c r="L1555">
        <v>1996.4675656689799</v>
      </c>
      <c r="M1555">
        <v>38.975946878925598</v>
      </c>
      <c r="N1555">
        <v>51.436107717476503</v>
      </c>
      <c r="O1555">
        <v>51.088781610191099</v>
      </c>
      <c r="P1555">
        <v>-0.17651057423187999</v>
      </c>
      <c r="Q1555">
        <v>7.4538000838712606E-2</v>
      </c>
      <c r="R1555">
        <v>0.979566156038993</v>
      </c>
      <c r="S1555" t="s">
        <v>8172</v>
      </c>
      <c r="T1555" t="s">
        <v>13232</v>
      </c>
      <c r="U1555" t="s">
        <v>13232</v>
      </c>
      <c r="V1555" t="s">
        <v>13232</v>
      </c>
      <c r="W1555" t="s">
        <v>14746</v>
      </c>
      <c r="X1555">
        <v>26</v>
      </c>
      <c r="Y1555" t="s">
        <v>21263</v>
      </c>
      <c r="Z1555" t="s">
        <v>27686</v>
      </c>
      <c r="AA1555">
        <v>0.42420734872466231</v>
      </c>
      <c r="AB1555" t="str">
        <f>HYPERLINK("Melting_Curves/meltCurve_O95352_ATG7.pdf", "Melting_Curves/meltCurve_O95352_ATG7.pdf")</f>
        <v>Melting_Curves/meltCurve_O95352_ATG7.pdf</v>
      </c>
    </row>
    <row r="1556" spans="1:28" x14ac:dyDescent="0.25">
      <c r="A1556" t="s">
        <v>1560</v>
      </c>
      <c r="B1556">
        <v>0.99930955844802105</v>
      </c>
      <c r="C1556">
        <v>1.0862677086515999</v>
      </c>
      <c r="D1556">
        <v>0.66499314711039303</v>
      </c>
      <c r="E1556">
        <v>0.40847773203784399</v>
      </c>
      <c r="F1556">
        <v>0.32207681946906902</v>
      </c>
      <c r="G1556">
        <v>0.20253454647587399</v>
      </c>
      <c r="H1556">
        <v>0.148509153015699</v>
      </c>
      <c r="I1556">
        <v>0.202107313412484</v>
      </c>
      <c r="J1556">
        <v>0.24374786706759499</v>
      </c>
      <c r="K1556">
        <v>0.17660458633908899</v>
      </c>
      <c r="L1556">
        <v>1121.7363838077099</v>
      </c>
      <c r="M1556">
        <v>23.624355761811898</v>
      </c>
      <c r="N1556">
        <v>48.540325738888697</v>
      </c>
      <c r="O1556">
        <v>47.145912618019899</v>
      </c>
      <c r="P1556">
        <v>-0.100063941020472</v>
      </c>
      <c r="Q1556">
        <v>0.20124375385771401</v>
      </c>
      <c r="R1556">
        <v>0.96607157613682604</v>
      </c>
      <c r="S1556" t="s">
        <v>8173</v>
      </c>
      <c r="T1556" t="s">
        <v>13232</v>
      </c>
      <c r="U1556" t="s">
        <v>13232</v>
      </c>
      <c r="V1556" t="s">
        <v>13232</v>
      </c>
      <c r="W1556" t="s">
        <v>14747</v>
      </c>
      <c r="X1556">
        <v>4</v>
      </c>
      <c r="Y1556" t="s">
        <v>21264</v>
      </c>
      <c r="Z1556" t="s">
        <v>27687</v>
      </c>
      <c r="AA1556">
        <v>0.40846503741942691</v>
      </c>
      <c r="AB1556" t="str">
        <f>HYPERLINK("Melting_Curves/meltCurve_O95363_FARS2.pdf", "Melting_Curves/meltCurve_O95363_FARS2.pdf")</f>
        <v>Melting_Curves/meltCurve_O95363_FARS2.pdf</v>
      </c>
    </row>
    <row r="1557" spans="1:28" x14ac:dyDescent="0.25">
      <c r="A1557" t="s">
        <v>1561</v>
      </c>
      <c r="B1557">
        <v>0.99930955844802105</v>
      </c>
      <c r="C1557">
        <v>1.16219290149101</v>
      </c>
      <c r="D1557">
        <v>1.15191715309756</v>
      </c>
      <c r="E1557">
        <v>1.05448994031097</v>
      </c>
      <c r="F1557">
        <v>0.90354093696096704</v>
      </c>
      <c r="G1557">
        <v>0.56089969537983397</v>
      </c>
      <c r="H1557">
        <v>0.19238894779211099</v>
      </c>
      <c r="I1557">
        <v>0.140163076440879</v>
      </c>
      <c r="J1557">
        <v>0.12292632420556</v>
      </c>
      <c r="K1557">
        <v>9.3351722645785701E-2</v>
      </c>
      <c r="L1557">
        <v>1837.56003241233</v>
      </c>
      <c r="M1557">
        <v>32.2298122190115</v>
      </c>
      <c r="N1557">
        <v>57.433409278079402</v>
      </c>
      <c r="O1557">
        <v>56.796146958658703</v>
      </c>
      <c r="P1557">
        <v>-0.12700044278394301</v>
      </c>
      <c r="Q1557">
        <v>0.10479150148275899</v>
      </c>
      <c r="R1557">
        <v>0.97158685918502696</v>
      </c>
      <c r="S1557" t="s">
        <v>8174</v>
      </c>
      <c r="T1557" t="s">
        <v>13232</v>
      </c>
      <c r="U1557" t="s">
        <v>13232</v>
      </c>
      <c r="V1557" t="s">
        <v>13232</v>
      </c>
      <c r="W1557" t="s">
        <v>14748</v>
      </c>
      <c r="X1557">
        <v>11</v>
      </c>
      <c r="Y1557" t="s">
        <v>21265</v>
      </c>
      <c r="Z1557" t="s">
        <v>27688</v>
      </c>
      <c r="AA1557">
        <v>0.61774654977448407</v>
      </c>
      <c r="AB1557" t="str">
        <f>HYPERLINK("Melting_Curves/meltCurve_O95372_LYPLA2.pdf", "Melting_Curves/meltCurve_O95372_LYPLA2.pdf")</f>
        <v>Melting_Curves/meltCurve_O95372_LYPLA2.pdf</v>
      </c>
    </row>
    <row r="1558" spans="1:28" x14ac:dyDescent="0.25">
      <c r="A1558" t="s">
        <v>1562</v>
      </c>
      <c r="B1558">
        <v>0.99930955844802105</v>
      </c>
      <c r="C1558">
        <v>0.88761597046816099</v>
      </c>
      <c r="D1558">
        <v>0.92702196365043399</v>
      </c>
      <c r="E1558">
        <v>0.925706507199201</v>
      </c>
      <c r="F1558">
        <v>0.79768421969020198</v>
      </c>
      <c r="G1558">
        <v>0.32225250255738203</v>
      </c>
      <c r="H1558">
        <v>0.12608617944672501</v>
      </c>
      <c r="I1558">
        <v>8.4160795279159595E-2</v>
      </c>
      <c r="J1558">
        <v>6.8872425337488899E-2</v>
      </c>
      <c r="K1558">
        <v>5.2264726949418701E-2</v>
      </c>
      <c r="L1558">
        <v>1544.47439025073</v>
      </c>
      <c r="M1558">
        <v>27.9722940899055</v>
      </c>
      <c r="N1558">
        <v>55.461040535764297</v>
      </c>
      <c r="O1558">
        <v>54.934551091516099</v>
      </c>
      <c r="P1558">
        <v>-0.119855271532977</v>
      </c>
      <c r="Q1558">
        <v>5.8477097171164699E-2</v>
      </c>
      <c r="R1558">
        <v>0.98807180843766096</v>
      </c>
      <c r="S1558" t="s">
        <v>8175</v>
      </c>
      <c r="T1558" t="s">
        <v>13232</v>
      </c>
      <c r="U1558" t="s">
        <v>13232</v>
      </c>
      <c r="V1558" t="s">
        <v>13232</v>
      </c>
      <c r="W1558" t="s">
        <v>14749</v>
      </c>
      <c r="X1558">
        <v>38</v>
      </c>
      <c r="Y1558" t="s">
        <v>21266</v>
      </c>
      <c r="Z1558" t="s">
        <v>27689</v>
      </c>
      <c r="AA1558">
        <v>0.54309050092488131</v>
      </c>
      <c r="AB1558" t="str">
        <f>HYPERLINK("Melting_Curves/meltCurve_O95373_IPO7.pdf", "Melting_Curves/meltCurve_O95373_IPO7.pdf")</f>
        <v>Melting_Curves/meltCurve_O95373_IPO7.pdf</v>
      </c>
    </row>
    <row r="1559" spans="1:28" x14ac:dyDescent="0.25">
      <c r="A1559" t="s">
        <v>1563</v>
      </c>
      <c r="B1559">
        <v>0.99930955844802105</v>
      </c>
      <c r="C1559">
        <v>1.00150792102685</v>
      </c>
      <c r="D1559">
        <v>0.97597771128175903</v>
      </c>
      <c r="E1559">
        <v>0.90914273822615199</v>
      </c>
      <c r="F1559">
        <v>0.68514907994020502</v>
      </c>
      <c r="G1559">
        <v>0.22649158648749099</v>
      </c>
      <c r="H1559">
        <v>0.114534907193465</v>
      </c>
      <c r="I1559">
        <v>9.0771371415150806E-2</v>
      </c>
      <c r="J1559">
        <v>8.5531367755784807E-2</v>
      </c>
      <c r="K1559">
        <v>6.1038447004333099E-2</v>
      </c>
      <c r="L1559">
        <v>1610.5184251195701</v>
      </c>
      <c r="M1559">
        <v>29.7849586597148</v>
      </c>
      <c r="N1559">
        <v>54.3685241789386</v>
      </c>
      <c r="O1559">
        <v>53.829547825692401</v>
      </c>
      <c r="P1559">
        <v>-0.12794532673149001</v>
      </c>
      <c r="Q1559">
        <v>7.5077681270084295E-2</v>
      </c>
      <c r="R1559">
        <v>0.99919492156012801</v>
      </c>
      <c r="S1559" t="s">
        <v>8176</v>
      </c>
      <c r="T1559" t="s">
        <v>13232</v>
      </c>
      <c r="U1559" t="s">
        <v>13232</v>
      </c>
      <c r="V1559" t="s">
        <v>13232</v>
      </c>
      <c r="W1559" t="s">
        <v>14750</v>
      </c>
      <c r="X1559">
        <v>21</v>
      </c>
      <c r="Y1559" t="s">
        <v>21267</v>
      </c>
      <c r="Z1559" t="s">
        <v>27690</v>
      </c>
      <c r="AA1559">
        <v>0.51507886545717652</v>
      </c>
      <c r="AB1559" t="str">
        <f>HYPERLINK("Melting_Curves/meltCurve_O95376_ARIH2.pdf", "Melting_Curves/meltCurve_O95376_ARIH2.pdf")</f>
        <v>Melting_Curves/meltCurve_O95376_ARIH2.pdf</v>
      </c>
    </row>
    <row r="1560" spans="1:28" x14ac:dyDescent="0.25">
      <c r="A1560" t="s">
        <v>1564</v>
      </c>
      <c r="B1560">
        <v>0.99930955844802105</v>
      </c>
      <c r="C1560">
        <v>1.1848440448103199</v>
      </c>
      <c r="D1560">
        <v>1.1807431524196099</v>
      </c>
      <c r="E1560">
        <v>1.18283506269914</v>
      </c>
      <c r="F1560">
        <v>0.649550415469627</v>
      </c>
      <c r="G1560">
        <v>0.233702202464216</v>
      </c>
      <c r="H1560">
        <v>0.14211132363499801</v>
      </c>
      <c r="I1560">
        <v>0.106703688356565</v>
      </c>
      <c r="J1560">
        <v>9.6914800979655297E-2</v>
      </c>
      <c r="K1560">
        <v>7.2732151709535203E-2</v>
      </c>
      <c r="L1560">
        <v>13270.824464765599</v>
      </c>
      <c r="M1560">
        <v>250</v>
      </c>
      <c r="N1560">
        <v>53.147560713413398</v>
      </c>
      <c r="O1560">
        <v>53.079885364468097</v>
      </c>
      <c r="P1560">
        <v>-1.0238894203014199</v>
      </c>
      <c r="Q1560">
        <v>0.130432816788245</v>
      </c>
      <c r="R1560">
        <v>0.94946217227996699</v>
      </c>
      <c r="S1560" t="s">
        <v>8177</v>
      </c>
      <c r="T1560" t="s">
        <v>13232</v>
      </c>
      <c r="U1560" t="s">
        <v>13232</v>
      </c>
      <c r="V1560" t="s">
        <v>13232</v>
      </c>
      <c r="W1560" t="s">
        <v>14751</v>
      </c>
      <c r="X1560">
        <v>5</v>
      </c>
      <c r="Y1560" t="s">
        <v>21268</v>
      </c>
      <c r="Z1560" t="s">
        <v>27691</v>
      </c>
      <c r="AA1560">
        <v>0.50974070819563022</v>
      </c>
      <c r="AB1560" t="str">
        <f>HYPERLINK("Melting_Curves/meltCurve_O95379_TNFAIP8.pdf", "Melting_Curves/meltCurve_O95379_TNFAIP8.pdf")</f>
        <v>Melting_Curves/meltCurve_O95379_TNFAIP8.pdf</v>
      </c>
    </row>
    <row r="1561" spans="1:28" x14ac:dyDescent="0.25">
      <c r="A1561" t="s">
        <v>1565</v>
      </c>
      <c r="B1561">
        <v>0.99930955844802105</v>
      </c>
      <c r="C1561">
        <v>1.1255284632663201</v>
      </c>
      <c r="D1561">
        <v>1.0713271536514</v>
      </c>
      <c r="E1561">
        <v>1.0242184408511199</v>
      </c>
      <c r="F1561">
        <v>0.92264694102562905</v>
      </c>
      <c r="G1561">
        <v>0.87208436168274095</v>
      </c>
      <c r="H1561">
        <v>1.03362603222356</v>
      </c>
      <c r="I1561">
        <v>1.2011074011474701</v>
      </c>
      <c r="J1561">
        <v>1.27985366182122</v>
      </c>
      <c r="K1561">
        <v>0.99825262100412904</v>
      </c>
      <c r="L1561">
        <v>15000</v>
      </c>
      <c r="M1561">
        <v>244.58011055787901</v>
      </c>
      <c r="O1561">
        <v>61.325522512186701</v>
      </c>
      <c r="P1561">
        <v>0.159268624414728</v>
      </c>
      <c r="Q1561">
        <v>1.1597387081468</v>
      </c>
      <c r="R1561">
        <v>0.36675324805383702</v>
      </c>
      <c r="S1561" t="s">
        <v>8178</v>
      </c>
      <c r="T1561" t="s">
        <v>13232</v>
      </c>
      <c r="U1561" t="s">
        <v>13232</v>
      </c>
      <c r="V1561" t="s">
        <v>13232</v>
      </c>
      <c r="W1561" t="s">
        <v>14752</v>
      </c>
      <c r="X1561">
        <v>14</v>
      </c>
      <c r="Y1561" t="s">
        <v>21269</v>
      </c>
      <c r="Z1561" t="s">
        <v>27692</v>
      </c>
      <c r="AA1561">
        <v>1.0461486603978829</v>
      </c>
      <c r="AB1561" t="str">
        <f>HYPERLINK("Melting_Curves/meltCurve_O95391_SLU7.pdf", "Melting_Curves/meltCurve_O95391_SLU7.pdf")</f>
        <v>Melting_Curves/meltCurve_O95391_SLU7.pdf</v>
      </c>
    </row>
    <row r="1562" spans="1:28" x14ac:dyDescent="0.25">
      <c r="A1562" t="s">
        <v>1566</v>
      </c>
      <c r="B1562">
        <v>0.99930955844802105</v>
      </c>
      <c r="C1562">
        <v>0.99822586313886996</v>
      </c>
      <c r="D1562">
        <v>0.89696346011356998</v>
      </c>
      <c r="E1562">
        <v>0.64590970872672604</v>
      </c>
      <c r="F1562">
        <v>0.20859963792334801</v>
      </c>
      <c r="G1562">
        <v>0.12615424200578701</v>
      </c>
      <c r="H1562">
        <v>6.9211416339441903E-2</v>
      </c>
      <c r="I1562">
        <v>6.2071443053274299E-2</v>
      </c>
      <c r="J1562">
        <v>5.6001317220414001E-2</v>
      </c>
      <c r="K1562">
        <v>3.9631842153356703E-2</v>
      </c>
      <c r="L1562">
        <v>1523.09319927462</v>
      </c>
      <c r="M1562">
        <v>30.103514610464199</v>
      </c>
      <c r="N1562">
        <v>50.8041109587177</v>
      </c>
      <c r="O1562">
        <v>50.373505412751001</v>
      </c>
      <c r="P1562">
        <v>-0.140704780562419</v>
      </c>
      <c r="Q1562">
        <v>5.8216703924696599E-2</v>
      </c>
      <c r="R1562">
        <v>0.99501431364348003</v>
      </c>
      <c r="S1562" t="s">
        <v>8179</v>
      </c>
      <c r="T1562" t="s">
        <v>13232</v>
      </c>
      <c r="U1562" t="s">
        <v>13232</v>
      </c>
      <c r="V1562" t="s">
        <v>13232</v>
      </c>
      <c r="W1562" t="s">
        <v>14753</v>
      </c>
      <c r="X1562">
        <v>28</v>
      </c>
      <c r="Y1562" t="s">
        <v>21270</v>
      </c>
      <c r="Z1562" t="s">
        <v>27693</v>
      </c>
      <c r="AA1562">
        <v>0.39667079727690618</v>
      </c>
      <c r="AB1562" t="str">
        <f>HYPERLINK("Melting_Curves/meltCurve_O95394_PGM3.pdf", "Melting_Curves/meltCurve_O95394_PGM3.pdf")</f>
        <v>Melting_Curves/meltCurve_O95394_PGM3.pdf</v>
      </c>
    </row>
    <row r="1563" spans="1:28" x14ac:dyDescent="0.25">
      <c r="A1563" t="s">
        <v>1567</v>
      </c>
      <c r="B1563">
        <v>0.99930955844802105</v>
      </c>
      <c r="C1563">
        <v>0.89701801099909895</v>
      </c>
      <c r="D1563">
        <v>0.62474023336752105</v>
      </c>
      <c r="E1563">
        <v>0.46858211547997702</v>
      </c>
      <c r="F1563">
        <v>0.30108273768974902</v>
      </c>
      <c r="G1563">
        <v>0.20000270191911901</v>
      </c>
      <c r="H1563">
        <v>0.14539604131498299</v>
      </c>
      <c r="I1563">
        <v>0.134925449990355</v>
      </c>
      <c r="J1563">
        <v>0.112107451359535</v>
      </c>
      <c r="K1563">
        <v>9.6891650541322594E-2</v>
      </c>
      <c r="L1563">
        <v>668.13293446641103</v>
      </c>
      <c r="M1563">
        <v>13.8664922263278</v>
      </c>
      <c r="N1563">
        <v>48.963780286498903</v>
      </c>
      <c r="O1563">
        <v>47.214338895185897</v>
      </c>
      <c r="P1563">
        <v>-6.6151819312144006E-2</v>
      </c>
      <c r="Q1563">
        <v>9.9156444143874506E-2</v>
      </c>
      <c r="R1563">
        <v>0.99068261749692499</v>
      </c>
      <c r="S1563" t="s">
        <v>8180</v>
      </c>
      <c r="T1563" t="s">
        <v>13232</v>
      </c>
      <c r="U1563" t="s">
        <v>13232</v>
      </c>
      <c r="V1563" t="s">
        <v>13232</v>
      </c>
      <c r="W1563" t="s">
        <v>14754</v>
      </c>
      <c r="X1563">
        <v>11</v>
      </c>
      <c r="Y1563" t="s">
        <v>21271</v>
      </c>
      <c r="Z1563" t="s">
        <v>27694</v>
      </c>
      <c r="AA1563">
        <v>0.3716360660723555</v>
      </c>
      <c r="AB1563" t="str">
        <f>HYPERLINK("Melting_Curves/meltCurve_O95396_MOCS3.pdf", "Melting_Curves/meltCurve_O95396_MOCS3.pdf")</f>
        <v>Melting_Curves/meltCurve_O95396_MOCS3.pdf</v>
      </c>
    </row>
    <row r="1564" spans="1:28" x14ac:dyDescent="0.25">
      <c r="A1564" t="s">
        <v>1568</v>
      </c>
      <c r="B1564">
        <v>0.99930955844802105</v>
      </c>
      <c r="C1564">
        <v>0.864072100668695</v>
      </c>
      <c r="D1564">
        <v>0.66072134266825799</v>
      </c>
      <c r="E1564">
        <v>0.39938741500862901</v>
      </c>
      <c r="F1564">
        <v>0.21383421800285399</v>
      </c>
      <c r="G1564">
        <v>0.15350094901224201</v>
      </c>
      <c r="H1564">
        <v>9.9946536208661493E-2</v>
      </c>
      <c r="I1564">
        <v>0.103895135090701</v>
      </c>
      <c r="J1564">
        <v>9.1626145678019896E-2</v>
      </c>
      <c r="K1564">
        <v>7.5747945040874204E-2</v>
      </c>
      <c r="L1564">
        <v>774.11783003068604</v>
      </c>
      <c r="M1564">
        <v>16.222437789965301</v>
      </c>
      <c r="N1564">
        <v>48.241044595056202</v>
      </c>
      <c r="O1564">
        <v>47.011510201698101</v>
      </c>
      <c r="P1564">
        <v>-7.9328899905264205E-2</v>
      </c>
      <c r="Q1564">
        <v>8.0509505718448601E-2</v>
      </c>
      <c r="R1564">
        <v>0.99735550848166199</v>
      </c>
      <c r="S1564" t="s">
        <v>8181</v>
      </c>
      <c r="T1564" t="s">
        <v>13232</v>
      </c>
      <c r="U1564" t="s">
        <v>13232</v>
      </c>
      <c r="V1564" t="s">
        <v>13232</v>
      </c>
      <c r="W1564" t="s">
        <v>14755</v>
      </c>
      <c r="X1564">
        <v>1</v>
      </c>
      <c r="Y1564" t="s">
        <v>21272</v>
      </c>
      <c r="Z1564" t="s">
        <v>27695</v>
      </c>
      <c r="AA1564">
        <v>0.33755099350853141</v>
      </c>
      <c r="AB1564" t="str">
        <f>HYPERLINK("Melting_Curves/meltCurve_O95397_PLEKHA8P1.pdf", "Melting_Curves/meltCurve_O95397_PLEKHA8P1.pdf")</f>
        <v>Melting_Curves/meltCurve_O95397_PLEKHA8P1.pdf</v>
      </c>
    </row>
    <row r="1565" spans="1:28" x14ac:dyDescent="0.25">
      <c r="A1565" t="s">
        <v>1569</v>
      </c>
      <c r="B1565">
        <v>0.99930955844802105</v>
      </c>
      <c r="C1565">
        <v>1.18271590371522</v>
      </c>
      <c r="D1565">
        <v>1.2362571316511599</v>
      </c>
      <c r="E1565">
        <v>1.0403538215191701</v>
      </c>
      <c r="F1565">
        <v>1.0052768355021</v>
      </c>
      <c r="G1565">
        <v>0.55176047006302897</v>
      </c>
      <c r="H1565">
        <v>0.61709238888677997</v>
      </c>
      <c r="I1565">
        <v>0.49605453262914201</v>
      </c>
      <c r="J1565">
        <v>0.54662136141834605</v>
      </c>
      <c r="K1565">
        <v>0.39516740977271902</v>
      </c>
      <c r="L1565">
        <v>14109.377977556</v>
      </c>
      <c r="M1565">
        <v>249.99998986742699</v>
      </c>
      <c r="O1565">
        <v>56.433902319992697</v>
      </c>
      <c r="P1565">
        <v>-0.53853495046979405</v>
      </c>
      <c r="Q1565">
        <v>0.51373391804882895</v>
      </c>
      <c r="R1565">
        <v>0.86876340050029999</v>
      </c>
      <c r="S1565" t="s">
        <v>8182</v>
      </c>
      <c r="T1565" t="s">
        <v>13232</v>
      </c>
      <c r="U1565" t="s">
        <v>13232</v>
      </c>
      <c r="V1565" t="s">
        <v>13232</v>
      </c>
      <c r="W1565" t="s">
        <v>14756</v>
      </c>
      <c r="X1565">
        <v>1</v>
      </c>
      <c r="Y1565" t="s">
        <v>21273</v>
      </c>
      <c r="Z1565" t="s">
        <v>27696</v>
      </c>
      <c r="AA1565">
        <v>0.78021560209309093</v>
      </c>
      <c r="AB1565" t="str">
        <f>HYPERLINK("Melting_Curves/meltCurve_O95399_UTS2.pdf", "Melting_Curves/meltCurve_O95399_UTS2.pdf")</f>
        <v>Melting_Curves/meltCurve_O95399_UTS2.pdf</v>
      </c>
    </row>
    <row r="1566" spans="1:28" x14ac:dyDescent="0.25">
      <c r="A1566" t="s">
        <v>1570</v>
      </c>
      <c r="B1566">
        <v>0.99930955844802105</v>
      </c>
      <c r="C1566">
        <v>0.90976659990825703</v>
      </c>
      <c r="D1566">
        <v>1.0063282108568199</v>
      </c>
      <c r="E1566">
        <v>1.0412640494360299</v>
      </c>
      <c r="F1566">
        <v>0.73782711660274503</v>
      </c>
      <c r="G1566">
        <v>0.55000146120876103</v>
      </c>
      <c r="H1566">
        <v>0.51626858868299996</v>
      </c>
      <c r="I1566">
        <v>0.61242768029071604</v>
      </c>
      <c r="J1566">
        <v>0.68322298112683899</v>
      </c>
      <c r="K1566">
        <v>0.63035760748288305</v>
      </c>
      <c r="L1566">
        <v>13216.511412606</v>
      </c>
      <c r="M1566">
        <v>250</v>
      </c>
      <c r="O1566">
        <v>52.862659476673898</v>
      </c>
      <c r="P1566">
        <v>-0.47474948275573198</v>
      </c>
      <c r="Q1566">
        <v>0.59845565302224302</v>
      </c>
      <c r="R1566">
        <v>0.92542031481705</v>
      </c>
      <c r="S1566" t="s">
        <v>8183</v>
      </c>
      <c r="T1566" t="s">
        <v>13232</v>
      </c>
      <c r="U1566" t="s">
        <v>13232</v>
      </c>
      <c r="V1566" t="s">
        <v>13232</v>
      </c>
      <c r="W1566" t="s">
        <v>14757</v>
      </c>
      <c r="X1566">
        <v>7</v>
      </c>
      <c r="Y1566" t="s">
        <v>21274</v>
      </c>
      <c r="Z1566" t="s">
        <v>27697</v>
      </c>
      <c r="AA1566">
        <v>0.77070250456979805</v>
      </c>
      <c r="AB1566" t="str">
        <f>HYPERLINK("Melting_Curves/meltCurve_O95400_CD2BP2.pdf", "Melting_Curves/meltCurve_O95400_CD2BP2.pdf")</f>
        <v>Melting_Curves/meltCurve_O95400_CD2BP2.pdf</v>
      </c>
    </row>
    <row r="1567" spans="1:28" x14ac:dyDescent="0.25">
      <c r="A1567" t="s">
        <v>1571</v>
      </c>
      <c r="B1567">
        <v>0.99930955844802105</v>
      </c>
      <c r="C1567">
        <v>0.92737243464544805</v>
      </c>
      <c r="D1567">
        <v>0.93567721085807998</v>
      </c>
      <c r="E1567">
        <v>0.91531336030874499</v>
      </c>
      <c r="F1567">
        <v>0.82914876597851295</v>
      </c>
      <c r="G1567">
        <v>0.77541214334456599</v>
      </c>
      <c r="H1567">
        <v>0.75341523427148305</v>
      </c>
      <c r="I1567">
        <v>0.85760197070466004</v>
      </c>
      <c r="J1567">
        <v>0.81594361280684802</v>
      </c>
      <c r="K1567">
        <v>0.66307963306582896</v>
      </c>
      <c r="L1567">
        <v>398.64954239325402</v>
      </c>
      <c r="M1567">
        <v>7.5672917288032204</v>
      </c>
      <c r="O1567">
        <v>49.3788865355775</v>
      </c>
      <c r="P1567">
        <v>-1.1182162444856401E-2</v>
      </c>
      <c r="Q1567">
        <v>0.708537339002975</v>
      </c>
      <c r="R1567">
        <v>0.738907117965099</v>
      </c>
      <c r="S1567" t="s">
        <v>8184</v>
      </c>
      <c r="T1567" t="s">
        <v>13232</v>
      </c>
      <c r="U1567" t="s">
        <v>13232</v>
      </c>
      <c r="V1567" t="s">
        <v>13232</v>
      </c>
      <c r="W1567" t="s">
        <v>14758</v>
      </c>
      <c r="X1567">
        <v>12</v>
      </c>
      <c r="Y1567" t="s">
        <v>21275</v>
      </c>
      <c r="Z1567" t="s">
        <v>27698</v>
      </c>
      <c r="AA1567">
        <v>0.84470565169793799</v>
      </c>
      <c r="AB1567" t="str">
        <f>HYPERLINK("Melting_Curves/meltCurve_O95402_MED26.pdf", "Melting_Curves/meltCurve_O95402_MED26.pdf")</f>
        <v>Melting_Curves/meltCurve_O95402_MED26.pdf</v>
      </c>
    </row>
    <row r="1568" spans="1:28" x14ac:dyDescent="0.25">
      <c r="A1568" t="s">
        <v>1572</v>
      </c>
      <c r="B1568">
        <v>0.99930955844802105</v>
      </c>
      <c r="C1568">
        <v>1.04820026537948</v>
      </c>
      <c r="D1568">
        <v>0.97962769526403004</v>
      </c>
      <c r="E1568">
        <v>0.97535271281336</v>
      </c>
      <c r="F1568">
        <v>0.84350197774772895</v>
      </c>
      <c r="G1568">
        <v>0.80021088463061196</v>
      </c>
      <c r="H1568">
        <v>0.81422604360015804</v>
      </c>
      <c r="I1568">
        <v>0.88507780188830498</v>
      </c>
      <c r="J1568">
        <v>0.840673875780659</v>
      </c>
      <c r="K1568">
        <v>0.70012693680251903</v>
      </c>
      <c r="L1568">
        <v>3010.1607938691</v>
      </c>
      <c r="M1568">
        <v>58.2884341529506</v>
      </c>
      <c r="O1568">
        <v>51.581829813498899</v>
      </c>
      <c r="P1568">
        <v>-5.4254218948414E-2</v>
      </c>
      <c r="Q1568">
        <v>0.80795295855864702</v>
      </c>
      <c r="R1568">
        <v>0.79869074572388998</v>
      </c>
      <c r="S1568" t="s">
        <v>8185</v>
      </c>
      <c r="T1568" t="s">
        <v>13232</v>
      </c>
      <c r="U1568" t="s">
        <v>13232</v>
      </c>
      <c r="V1568" t="s">
        <v>13232</v>
      </c>
      <c r="W1568" t="s">
        <v>14759</v>
      </c>
      <c r="X1568">
        <v>7</v>
      </c>
      <c r="Y1568" t="s">
        <v>21276</v>
      </c>
      <c r="Z1568" t="s">
        <v>27699</v>
      </c>
      <c r="AA1568">
        <v>0.88280467882076208</v>
      </c>
      <c r="AB1568" t="str">
        <f>HYPERLINK("Melting_Curves/meltCurve_O95405_ZFYVE9.pdf", "Melting_Curves/meltCurve_O95405_ZFYVE9.pdf")</f>
        <v>Melting_Curves/meltCurve_O95405_ZFYVE9.pdf</v>
      </c>
    </row>
    <row r="1569" spans="1:28" x14ac:dyDescent="0.25">
      <c r="A1569" t="s">
        <v>1573</v>
      </c>
      <c r="B1569">
        <v>0.99930955844802105</v>
      </c>
      <c r="C1569">
        <v>0.990923844221274</v>
      </c>
      <c r="D1569">
        <v>0.99555146457018096</v>
      </c>
      <c r="E1569">
        <v>0.97188040875400905</v>
      </c>
      <c r="F1569">
        <v>0.69710822557905705</v>
      </c>
      <c r="G1569">
        <v>0.49247719347191699</v>
      </c>
      <c r="H1569">
        <v>0.55427007583114496</v>
      </c>
      <c r="I1569">
        <v>0.65619658799083302</v>
      </c>
      <c r="J1569">
        <v>0.68005088125919499</v>
      </c>
      <c r="K1569">
        <v>0.54157210863262795</v>
      </c>
      <c r="L1569">
        <v>3533.6639840267499</v>
      </c>
      <c r="M1569">
        <v>67.710906099666005</v>
      </c>
      <c r="O1569">
        <v>52.142030242188703</v>
      </c>
      <c r="P1569">
        <v>-0.13468450269351601</v>
      </c>
      <c r="Q1569">
        <v>0.585134815322358</v>
      </c>
      <c r="R1569">
        <v>0.934146177526187</v>
      </c>
      <c r="S1569" t="s">
        <v>8186</v>
      </c>
      <c r="T1569" t="s">
        <v>13232</v>
      </c>
      <c r="U1569" t="s">
        <v>13232</v>
      </c>
      <c r="V1569" t="s">
        <v>13232</v>
      </c>
      <c r="W1569" t="s">
        <v>14760</v>
      </c>
      <c r="X1569">
        <v>9</v>
      </c>
      <c r="Y1569" t="s">
        <v>21277</v>
      </c>
      <c r="Z1569" t="s">
        <v>27700</v>
      </c>
      <c r="AA1569">
        <v>0.75419344782408515</v>
      </c>
      <c r="AB1569" t="str">
        <f>HYPERLINK("Melting_Curves/meltCurve_O95429_2_BAG4.pdf", "Melting_Curves/meltCurve_O95429_2_BAG4.pdf")</f>
        <v>Melting_Curves/meltCurve_O95429_2_BAG4.pdf</v>
      </c>
    </row>
    <row r="1570" spans="1:28" x14ac:dyDescent="0.25">
      <c r="A1570" t="s">
        <v>1574</v>
      </c>
      <c r="B1570">
        <v>0.99930955844802105</v>
      </c>
      <c r="C1570">
        <v>1.0945176526612199</v>
      </c>
      <c r="D1570">
        <v>1.0976248879570101</v>
      </c>
      <c r="E1570">
        <v>1.0038455626957501</v>
      </c>
      <c r="F1570">
        <v>0.628689699901266</v>
      </c>
      <c r="G1570">
        <v>0.314510747164016</v>
      </c>
      <c r="H1570">
        <v>0.14997429357872899</v>
      </c>
      <c r="I1570">
        <v>0.109121452083215</v>
      </c>
      <c r="J1570">
        <v>8.6084052519164705E-2</v>
      </c>
      <c r="K1570">
        <v>6.4941738082730294E-2</v>
      </c>
      <c r="L1570">
        <v>1513.4922154695601</v>
      </c>
      <c r="M1570">
        <v>27.900277226976101</v>
      </c>
      <c r="N1570">
        <v>54.642366797030199</v>
      </c>
      <c r="O1570">
        <v>53.9701082867292</v>
      </c>
      <c r="P1570">
        <v>-0.117414251772406</v>
      </c>
      <c r="Q1570">
        <v>9.1506554397672801E-2</v>
      </c>
      <c r="R1570">
        <v>0.98251417843280298</v>
      </c>
      <c r="S1570" t="s">
        <v>8187</v>
      </c>
      <c r="T1570" t="s">
        <v>13232</v>
      </c>
      <c r="U1570" t="s">
        <v>13232</v>
      </c>
      <c r="V1570" t="s">
        <v>13232</v>
      </c>
      <c r="W1570" t="s">
        <v>14761</v>
      </c>
      <c r="X1570">
        <v>21</v>
      </c>
      <c r="Y1570" t="s">
        <v>21278</v>
      </c>
      <c r="Z1570" t="s">
        <v>27701</v>
      </c>
      <c r="AA1570">
        <v>0.52980397719882766</v>
      </c>
      <c r="AB1570" t="str">
        <f>HYPERLINK("Melting_Curves/meltCurve_O95433_AHSA1.pdf", "Melting_Curves/meltCurve_O95433_AHSA1.pdf")</f>
        <v>Melting_Curves/meltCurve_O95433_AHSA1.pdf</v>
      </c>
    </row>
    <row r="1571" spans="1:28" x14ac:dyDescent="0.25">
      <c r="A1571" t="s">
        <v>1575</v>
      </c>
      <c r="B1571">
        <v>0.99930955844802105</v>
      </c>
      <c r="C1571">
        <v>1.0524336642204699</v>
      </c>
      <c r="D1571">
        <v>1.02417418495351</v>
      </c>
      <c r="E1571">
        <v>0.84764505891420105</v>
      </c>
      <c r="F1571">
        <v>0.38610715378504501</v>
      </c>
      <c r="G1571">
        <v>0.240343517931602</v>
      </c>
      <c r="H1571">
        <v>0.175011891569162</v>
      </c>
      <c r="I1571">
        <v>0.16881795467749999</v>
      </c>
      <c r="J1571">
        <v>0.16806838571340599</v>
      </c>
      <c r="K1571">
        <v>0.12731552532346599</v>
      </c>
      <c r="L1571">
        <v>2145.8823201278201</v>
      </c>
      <c r="M1571">
        <v>41.4690265024743</v>
      </c>
      <c r="N1571">
        <v>52.272109686512302</v>
      </c>
      <c r="O1571">
        <v>51.626731396401198</v>
      </c>
      <c r="P1571">
        <v>-0.166583751720701</v>
      </c>
      <c r="Q1571">
        <v>0.17044988386894899</v>
      </c>
      <c r="R1571">
        <v>0.99440944814730003</v>
      </c>
      <c r="S1571" t="s">
        <v>8188</v>
      </c>
      <c r="T1571" t="s">
        <v>13232</v>
      </c>
      <c r="U1571" t="s">
        <v>13232</v>
      </c>
      <c r="V1571" t="s">
        <v>13232</v>
      </c>
      <c r="W1571" t="s">
        <v>14762</v>
      </c>
      <c r="X1571">
        <v>19</v>
      </c>
      <c r="Y1571" t="s">
        <v>21279</v>
      </c>
      <c r="Z1571" t="s">
        <v>27702</v>
      </c>
      <c r="AA1571">
        <v>0.4980223144015265</v>
      </c>
      <c r="AB1571" t="str">
        <f>HYPERLINK("Melting_Curves/meltCurve_O95453_2_PARN.pdf", "Melting_Curves/meltCurve_O95453_2_PARN.pdf")</f>
        <v>Melting_Curves/meltCurve_O95453_2_PARN.pdf</v>
      </c>
    </row>
    <row r="1572" spans="1:28" x14ac:dyDescent="0.25">
      <c r="A1572" t="s">
        <v>1576</v>
      </c>
      <c r="B1572">
        <v>0.99930955844802105</v>
      </c>
      <c r="C1572">
        <v>0.83401423696972099</v>
      </c>
      <c r="D1572">
        <v>0.90417001624175197</v>
      </c>
      <c r="E1572">
        <v>0.899640675335731</v>
      </c>
      <c r="F1572">
        <v>0.84690960355562495</v>
      </c>
      <c r="G1572">
        <v>0.62682147546405498</v>
      </c>
      <c r="H1572">
        <v>0.25582550059701198</v>
      </c>
      <c r="I1572">
        <v>0.120947203205232</v>
      </c>
      <c r="J1572">
        <v>7.1548062647009997E-2</v>
      </c>
      <c r="K1572">
        <v>5.47676382036228E-2</v>
      </c>
      <c r="L1572">
        <v>1082.38895412236</v>
      </c>
      <c r="M1572">
        <v>18.6765587281504</v>
      </c>
      <c r="N1572">
        <v>57.954412275629302</v>
      </c>
      <c r="O1572">
        <v>57.302250901602903</v>
      </c>
      <c r="P1572">
        <v>-8.1486133405114902E-2</v>
      </c>
      <c r="Q1572">
        <v>0</v>
      </c>
      <c r="R1572">
        <v>0.96960802110492605</v>
      </c>
      <c r="S1572" t="s">
        <v>8189</v>
      </c>
      <c r="T1572" t="s">
        <v>13232</v>
      </c>
      <c r="U1572" t="s">
        <v>13232</v>
      </c>
      <c r="V1572" t="s">
        <v>13232</v>
      </c>
      <c r="W1572" t="s">
        <v>14763</v>
      </c>
      <c r="X1572">
        <v>15</v>
      </c>
      <c r="Y1572" t="s">
        <v>21280</v>
      </c>
      <c r="Z1572" t="s">
        <v>27703</v>
      </c>
      <c r="AA1572">
        <v>0.61057414961730949</v>
      </c>
      <c r="AB1572" t="str">
        <f>HYPERLINK("Melting_Curves/meltCurve_O95456_PSMG1.pdf", "Melting_Curves/meltCurve_O95456_PSMG1.pdf")</f>
        <v>Melting_Curves/meltCurve_O95456_PSMG1.pdf</v>
      </c>
    </row>
    <row r="1573" spans="1:28" x14ac:dyDescent="0.25">
      <c r="A1573" t="s">
        <v>1577</v>
      </c>
      <c r="B1573">
        <v>0.99930955844802105</v>
      </c>
      <c r="C1573">
        <v>0.55914792997275697</v>
      </c>
      <c r="D1573">
        <v>0.41482294170956202</v>
      </c>
      <c r="E1573">
        <v>0.34644640883575001</v>
      </c>
      <c r="F1573">
        <v>0.24531958556539801</v>
      </c>
      <c r="G1573">
        <v>0.17124568152432701</v>
      </c>
      <c r="H1573">
        <v>0.117601234675601</v>
      </c>
      <c r="I1573">
        <v>0.115235634641479</v>
      </c>
      <c r="J1573">
        <v>0.101049418392791</v>
      </c>
      <c r="K1573">
        <v>8.68346177396081E-2</v>
      </c>
      <c r="L1573">
        <v>624.88935638104704</v>
      </c>
      <c r="M1573">
        <v>14.0411931558479</v>
      </c>
      <c r="N1573">
        <v>45.341826731413498</v>
      </c>
      <c r="O1573">
        <v>43.630473444373699</v>
      </c>
      <c r="P1573">
        <v>-7.1271455166429798E-2</v>
      </c>
      <c r="Q1573">
        <v>0.114263149537725</v>
      </c>
      <c r="R1573">
        <v>0.93636496532451097</v>
      </c>
      <c r="S1573" t="s">
        <v>8190</v>
      </c>
      <c r="T1573" t="s">
        <v>13232</v>
      </c>
      <c r="U1573" t="s">
        <v>13232</v>
      </c>
      <c r="V1573" t="s">
        <v>13232</v>
      </c>
      <c r="W1573" t="s">
        <v>14764</v>
      </c>
      <c r="X1573">
        <v>16</v>
      </c>
      <c r="Y1573" t="s">
        <v>21281</v>
      </c>
      <c r="Z1573" t="s">
        <v>27704</v>
      </c>
      <c r="AA1573">
        <v>0.28170404932150123</v>
      </c>
      <c r="AB1573" t="str">
        <f>HYPERLINK("Melting_Curves/meltCurve_O95466_FMNL1.pdf", "Melting_Curves/meltCurve_O95466_FMNL1.pdf")</f>
        <v>Melting_Curves/meltCurve_O95466_FMNL1.pdf</v>
      </c>
    </row>
    <row r="1574" spans="1:28" x14ac:dyDescent="0.25">
      <c r="A1574" t="s">
        <v>1578</v>
      </c>
      <c r="B1574">
        <v>0.99930955844802105</v>
      </c>
      <c r="C1574">
        <v>0.89287733019394899</v>
      </c>
      <c r="D1574">
        <v>0.89538887726288097</v>
      </c>
      <c r="E1574">
        <v>0.78028788509444502</v>
      </c>
      <c r="F1574">
        <v>0.28825514345506897</v>
      </c>
      <c r="G1574">
        <v>0.19484958292902099</v>
      </c>
      <c r="H1574">
        <v>0.12854037022760301</v>
      </c>
      <c r="I1574">
        <v>0.117176244574069</v>
      </c>
      <c r="J1574">
        <v>0.107565373330826</v>
      </c>
      <c r="K1574">
        <v>7.8324780309131301E-2</v>
      </c>
      <c r="L1574">
        <v>1953.8027911992599</v>
      </c>
      <c r="M1574">
        <v>38.108453926701799</v>
      </c>
      <c r="N1574">
        <v>51.632998112780001</v>
      </c>
      <c r="O1574">
        <v>51.128968126018997</v>
      </c>
      <c r="P1574">
        <v>-0.16441342749489199</v>
      </c>
      <c r="Q1574">
        <v>0.117647983171163</v>
      </c>
      <c r="R1574">
        <v>0.98058452998600298</v>
      </c>
      <c r="S1574" t="s">
        <v>8191</v>
      </c>
      <c r="T1574" t="s">
        <v>13232</v>
      </c>
      <c r="U1574" t="s">
        <v>13232</v>
      </c>
      <c r="V1574" t="s">
        <v>13232</v>
      </c>
      <c r="W1574" t="s">
        <v>14765</v>
      </c>
      <c r="X1574">
        <v>13</v>
      </c>
      <c r="Y1574" t="s">
        <v>21282</v>
      </c>
      <c r="Z1574" t="s">
        <v>27705</v>
      </c>
      <c r="AA1574">
        <v>0.45255135316196421</v>
      </c>
      <c r="AB1574" t="str">
        <f>HYPERLINK("Melting_Curves/meltCurve_O95479_H6PD.pdf", "Melting_Curves/meltCurve_O95479_H6PD.pdf")</f>
        <v>Melting_Curves/meltCurve_O95479_H6PD.pdf</v>
      </c>
    </row>
    <row r="1575" spans="1:28" x14ac:dyDescent="0.25">
      <c r="A1575" t="s">
        <v>1579</v>
      </c>
      <c r="B1575">
        <v>0.99930955844802105</v>
      </c>
      <c r="C1575">
        <v>0.86352337065297402</v>
      </c>
      <c r="D1575">
        <v>0.83386941689774496</v>
      </c>
      <c r="E1575">
        <v>0.54509755672925597</v>
      </c>
      <c r="F1575">
        <v>0.177207820725725</v>
      </c>
      <c r="G1575">
        <v>0.13574983968964799</v>
      </c>
      <c r="H1575">
        <v>6.7810310763674705E-2</v>
      </c>
      <c r="I1575">
        <v>6.9326916429785307E-2</v>
      </c>
      <c r="J1575">
        <v>5.5615189392429001E-2</v>
      </c>
      <c r="K1575">
        <v>4.3621677272314398E-2</v>
      </c>
      <c r="L1575">
        <v>962.97121360757001</v>
      </c>
      <c r="M1575">
        <v>19.421312490477</v>
      </c>
      <c r="N1575">
        <v>49.8219143417083</v>
      </c>
      <c r="O1575">
        <v>49.066507361285304</v>
      </c>
      <c r="P1575">
        <v>-9.4561501711933296E-2</v>
      </c>
      <c r="Q1575">
        <v>4.4424399087818901E-2</v>
      </c>
      <c r="R1575">
        <v>0.98578291334602597</v>
      </c>
      <c r="S1575" t="s">
        <v>8192</v>
      </c>
      <c r="T1575" t="s">
        <v>13232</v>
      </c>
      <c r="U1575" t="s">
        <v>13232</v>
      </c>
      <c r="V1575" t="s">
        <v>13232</v>
      </c>
      <c r="W1575" t="s">
        <v>14766</v>
      </c>
      <c r="X1575">
        <v>18</v>
      </c>
      <c r="Y1575" t="s">
        <v>21283</v>
      </c>
      <c r="Z1575" t="s">
        <v>27706</v>
      </c>
      <c r="AA1575">
        <v>0.36380007379706131</v>
      </c>
      <c r="AB1575" t="str">
        <f>HYPERLINK("Melting_Curves/meltCurve_O95486_SEC24A.pdf", "Melting_Curves/meltCurve_O95486_SEC24A.pdf")</f>
        <v>Melting_Curves/meltCurve_O95486_SEC24A.pdf</v>
      </c>
    </row>
    <row r="1576" spans="1:28" x14ac:dyDescent="0.25">
      <c r="A1576" t="s">
        <v>1580</v>
      </c>
      <c r="B1576">
        <v>0.99930955844802105</v>
      </c>
      <c r="C1576">
        <v>0.92881238124610599</v>
      </c>
      <c r="D1576">
        <v>0.869310016035308</v>
      </c>
      <c r="E1576">
        <v>0.52368943469806195</v>
      </c>
      <c r="F1576">
        <v>0.376334545813717</v>
      </c>
      <c r="G1576">
        <v>0.26143850881716602</v>
      </c>
      <c r="H1576">
        <v>0.217042852637927</v>
      </c>
      <c r="I1576">
        <v>0.26867038399260401</v>
      </c>
      <c r="J1576">
        <v>0.23782017603997299</v>
      </c>
      <c r="K1576">
        <v>0.19781998998105699</v>
      </c>
      <c r="L1576">
        <v>1017.74200384188</v>
      </c>
      <c r="M1576">
        <v>20.731201019058702</v>
      </c>
      <c r="N1576">
        <v>50.5449853075174</v>
      </c>
      <c r="O1576">
        <v>48.6423447151397</v>
      </c>
      <c r="P1576">
        <v>-8.2636699811598394E-2</v>
      </c>
      <c r="Q1576">
        <v>0.22444836256313599</v>
      </c>
      <c r="R1576">
        <v>0.99463442132674196</v>
      </c>
      <c r="S1576" t="s">
        <v>8193</v>
      </c>
      <c r="T1576" t="s">
        <v>13232</v>
      </c>
      <c r="U1576" t="s">
        <v>13232</v>
      </c>
      <c r="V1576" t="s">
        <v>13232</v>
      </c>
      <c r="W1576" t="s">
        <v>14767</v>
      </c>
      <c r="X1576">
        <v>20</v>
      </c>
      <c r="Y1576" t="s">
        <v>21284</v>
      </c>
      <c r="Z1576" t="s">
        <v>27707</v>
      </c>
      <c r="AA1576">
        <v>0.46959119465267302</v>
      </c>
      <c r="AB1576" t="str">
        <f>HYPERLINK("Melting_Curves/meltCurve_O95487_2_SEC24B.pdf", "Melting_Curves/meltCurve_O95487_2_SEC24B.pdf")</f>
        <v>Melting_Curves/meltCurve_O95487_2_SEC24B.pdf</v>
      </c>
    </row>
    <row r="1577" spans="1:28" x14ac:dyDescent="0.25">
      <c r="A1577" t="s">
        <v>1581</v>
      </c>
      <c r="B1577">
        <v>0.99930955844802105</v>
      </c>
      <c r="C1577">
        <v>0.93244261218300895</v>
      </c>
      <c r="D1577">
        <v>0.919589302907317</v>
      </c>
      <c r="E1577">
        <v>0.935223410405294</v>
      </c>
      <c r="F1577">
        <v>0.95093752563293898</v>
      </c>
      <c r="G1577">
        <v>0.73725601129657603</v>
      </c>
      <c r="H1577">
        <v>0.48619461636786399</v>
      </c>
      <c r="I1577">
        <v>0.49171969882024702</v>
      </c>
      <c r="J1577">
        <v>0.448860423614514</v>
      </c>
      <c r="K1577">
        <v>0.237431313644904</v>
      </c>
      <c r="L1577">
        <v>692.04934120624898</v>
      </c>
      <c r="M1577">
        <v>11.2623398241776</v>
      </c>
      <c r="N1577">
        <v>62.909779936927798</v>
      </c>
      <c r="O1577">
        <v>59.606343893838599</v>
      </c>
      <c r="P1577">
        <v>-4.1811380948783297E-2</v>
      </c>
      <c r="Q1577">
        <v>0.11511958684559399</v>
      </c>
      <c r="R1577">
        <v>0.95178125456731399</v>
      </c>
      <c r="S1577" t="s">
        <v>8194</v>
      </c>
      <c r="T1577" t="s">
        <v>13232</v>
      </c>
      <c r="U1577" t="s">
        <v>13232</v>
      </c>
      <c r="V1577" t="s">
        <v>13232</v>
      </c>
      <c r="W1577" t="s">
        <v>14768</v>
      </c>
      <c r="X1577">
        <v>9</v>
      </c>
      <c r="Y1577" t="s">
        <v>21285</v>
      </c>
      <c r="Z1577" t="s">
        <v>27708</v>
      </c>
      <c r="AA1577">
        <v>0.73891809006719311</v>
      </c>
      <c r="AB1577" t="str">
        <f>HYPERLINK("Melting_Curves/meltCurve_O95544_NADK.pdf", "Melting_Curves/meltCurve_O95544_NADK.pdf")</f>
        <v>Melting_Curves/meltCurve_O95544_NADK.pdf</v>
      </c>
    </row>
    <row r="1578" spans="1:28" x14ac:dyDescent="0.25">
      <c r="A1578" t="s">
        <v>1582</v>
      </c>
      <c r="B1578">
        <v>0.99930955844802105</v>
      </c>
      <c r="C1578">
        <v>1.03048104327451</v>
      </c>
      <c r="D1578">
        <v>0.96964814633146401</v>
      </c>
      <c r="E1578">
        <v>0.56179694223313803</v>
      </c>
      <c r="F1578">
        <v>0.25340108228865099</v>
      </c>
      <c r="G1578">
        <v>0.195009041071872</v>
      </c>
      <c r="H1578">
        <v>0.137707359997643</v>
      </c>
      <c r="I1578">
        <v>0.10788634349460199</v>
      </c>
      <c r="J1578">
        <v>0.102706375335199</v>
      </c>
      <c r="K1578">
        <v>7.4816921938381797E-2</v>
      </c>
      <c r="L1578">
        <v>1537.2782138443799</v>
      </c>
      <c r="M1578">
        <v>30.6837043920541</v>
      </c>
      <c r="N1578">
        <v>50.539815723162597</v>
      </c>
      <c r="O1578">
        <v>49.889434518962801</v>
      </c>
      <c r="P1578">
        <v>-0.13577191322037699</v>
      </c>
      <c r="Q1578">
        <v>0.116984796032682</v>
      </c>
      <c r="R1578">
        <v>0.99494878146604704</v>
      </c>
      <c r="S1578" t="s">
        <v>8195</v>
      </c>
      <c r="T1578" t="s">
        <v>13232</v>
      </c>
      <c r="U1578" t="s">
        <v>13232</v>
      </c>
      <c r="V1578" t="s">
        <v>13232</v>
      </c>
      <c r="W1578" t="s">
        <v>14769</v>
      </c>
      <c r="X1578">
        <v>9</v>
      </c>
      <c r="Y1578" t="s">
        <v>21286</v>
      </c>
      <c r="Z1578" t="s">
        <v>27709</v>
      </c>
      <c r="AA1578">
        <v>0.4195171071099229</v>
      </c>
      <c r="AB1578" t="str">
        <f>HYPERLINK("Melting_Curves/meltCurve_O95551_TDP2.pdf", "Melting_Curves/meltCurve_O95551_TDP2.pdf")</f>
        <v>Melting_Curves/meltCurve_O95551_TDP2.pdf</v>
      </c>
    </row>
    <row r="1579" spans="1:28" x14ac:dyDescent="0.25">
      <c r="A1579" t="s">
        <v>1583</v>
      </c>
      <c r="B1579">
        <v>0.99930955844802105</v>
      </c>
      <c r="C1579">
        <v>0.85112953940858005</v>
      </c>
      <c r="D1579">
        <v>0.80705591119701603</v>
      </c>
      <c r="E1579">
        <v>0.69828679078763101</v>
      </c>
      <c r="F1579">
        <v>0.48694659669453699</v>
      </c>
      <c r="G1579">
        <v>0.31930423023481802</v>
      </c>
      <c r="H1579">
        <v>0.28503086318236598</v>
      </c>
      <c r="I1579">
        <v>0.30475002738567503</v>
      </c>
      <c r="J1579">
        <v>0.27953441483798203</v>
      </c>
      <c r="K1579">
        <v>0.20157893514884501</v>
      </c>
      <c r="L1579">
        <v>592.97276708576703</v>
      </c>
      <c r="M1579">
        <v>11.6970198163975</v>
      </c>
      <c r="N1579">
        <v>53.027072772417903</v>
      </c>
      <c r="O1579">
        <v>49.280682307733997</v>
      </c>
      <c r="P1579">
        <v>-4.7417230790444999E-2</v>
      </c>
      <c r="Q1579">
        <v>0.201119282308965</v>
      </c>
      <c r="R1579">
        <v>0.97836776540433901</v>
      </c>
      <c r="S1579" t="s">
        <v>8196</v>
      </c>
      <c r="T1579" t="s">
        <v>13232</v>
      </c>
      <c r="U1579" t="s">
        <v>13232</v>
      </c>
      <c r="V1579" t="s">
        <v>13232</v>
      </c>
      <c r="W1579" t="s">
        <v>14770</v>
      </c>
      <c r="X1579">
        <v>3</v>
      </c>
      <c r="Y1579" t="s">
        <v>21287</v>
      </c>
      <c r="Z1579" t="s">
        <v>27710</v>
      </c>
      <c r="AA1579">
        <v>0.51345210014055764</v>
      </c>
      <c r="AB1579" t="str">
        <f>HYPERLINK("Melting_Curves/meltCurve_O95568_METTL18.pdf", "Melting_Curves/meltCurve_O95568_METTL18.pdf")</f>
        <v>Melting_Curves/meltCurve_O95568_METTL18.pdf</v>
      </c>
    </row>
    <row r="1580" spans="1:28" x14ac:dyDescent="0.25">
      <c r="A1580" t="s">
        <v>1584</v>
      </c>
      <c r="B1580">
        <v>0.99930955844802105</v>
      </c>
      <c r="C1580">
        <v>0.99884504099260796</v>
      </c>
      <c r="D1580">
        <v>0.99629906615199704</v>
      </c>
      <c r="E1580">
        <v>0.89273481587899595</v>
      </c>
      <c r="F1580">
        <v>0.71657711642168498</v>
      </c>
      <c r="G1580">
        <v>0.50907884968364503</v>
      </c>
      <c r="H1580">
        <v>0.30162795948974003</v>
      </c>
      <c r="I1580">
        <v>0.16769676959006</v>
      </c>
      <c r="J1580">
        <v>0.108275652455603</v>
      </c>
      <c r="K1580">
        <v>8.7178387778938299E-2</v>
      </c>
      <c r="L1580">
        <v>822.91470940434499</v>
      </c>
      <c r="M1580">
        <v>14.4764359308887</v>
      </c>
      <c r="N1580">
        <v>56.994606684371199</v>
      </c>
      <c r="O1580">
        <v>55.793416810259501</v>
      </c>
      <c r="P1580">
        <v>-6.3665056590916203E-2</v>
      </c>
      <c r="Q1580">
        <v>1.86317567279661E-2</v>
      </c>
      <c r="R1580">
        <v>0.99817905175810995</v>
      </c>
      <c r="S1580" t="s">
        <v>8197</v>
      </c>
      <c r="T1580" t="s">
        <v>13232</v>
      </c>
      <c r="U1580" t="s">
        <v>13232</v>
      </c>
      <c r="V1580" t="s">
        <v>13232</v>
      </c>
      <c r="W1580" t="s">
        <v>14771</v>
      </c>
      <c r="X1580">
        <v>8</v>
      </c>
      <c r="Y1580" t="s">
        <v>21288</v>
      </c>
      <c r="Z1580" t="s">
        <v>27711</v>
      </c>
      <c r="AA1580">
        <v>0.58584683721228525</v>
      </c>
      <c r="AB1580" t="str">
        <f>HYPERLINK("Melting_Curves/meltCurve_O95571_ETHE1.pdf", "Melting_Curves/meltCurve_O95571_ETHE1.pdf")</f>
        <v>Melting_Curves/meltCurve_O95571_ETHE1.pdf</v>
      </c>
    </row>
    <row r="1581" spans="1:28" x14ac:dyDescent="0.25">
      <c r="A1581" t="s">
        <v>1585</v>
      </c>
      <c r="B1581">
        <v>0.99930955844802105</v>
      </c>
      <c r="C1581">
        <v>0.76011763316800096</v>
      </c>
      <c r="D1581">
        <v>0.60961648025720405</v>
      </c>
      <c r="E1581">
        <v>0.67337816729101896</v>
      </c>
      <c r="F1581">
        <v>0.40001952843104599</v>
      </c>
      <c r="G1581">
        <v>0.22607831447358501</v>
      </c>
      <c r="H1581">
        <v>0.106334917033046</v>
      </c>
      <c r="I1581">
        <v>9.8659656663104597E-2</v>
      </c>
      <c r="J1581">
        <v>8.6590779227593895E-2</v>
      </c>
      <c r="K1581">
        <v>6.5147223557927195E-2</v>
      </c>
      <c r="L1581">
        <v>478.21358117017502</v>
      </c>
      <c r="M1581">
        <v>9.4813984539071292</v>
      </c>
      <c r="N1581">
        <v>50.4370415668538</v>
      </c>
      <c r="O1581">
        <v>48.346211598273896</v>
      </c>
      <c r="P1581">
        <v>-4.90578703527801E-2</v>
      </c>
      <c r="Q1581">
        <v>0</v>
      </c>
      <c r="R1581">
        <v>0.95027938376707499</v>
      </c>
      <c r="S1581" t="s">
        <v>8198</v>
      </c>
      <c r="T1581" t="s">
        <v>13232</v>
      </c>
      <c r="U1581" t="s">
        <v>13232</v>
      </c>
      <c r="V1581" t="s">
        <v>13232</v>
      </c>
      <c r="W1581" t="s">
        <v>14772</v>
      </c>
      <c r="X1581">
        <v>19</v>
      </c>
      <c r="Y1581" t="s">
        <v>21289</v>
      </c>
      <c r="Z1581" t="s">
        <v>27712</v>
      </c>
      <c r="AA1581">
        <v>0.39460266488026841</v>
      </c>
      <c r="AB1581" t="str">
        <f>HYPERLINK("Melting_Curves/meltCurve_O95573_ACSL3.pdf", "Melting_Curves/meltCurve_O95573_ACSL3.pdf")</f>
        <v>Melting_Curves/meltCurve_O95573_ACSL3.pdf</v>
      </c>
    </row>
    <row r="1582" spans="1:28" x14ac:dyDescent="0.25">
      <c r="A1582" t="s">
        <v>1586</v>
      </c>
      <c r="B1582">
        <v>0.99930955844802105</v>
      </c>
      <c r="C1582">
        <v>0.47466046263852901</v>
      </c>
      <c r="D1582">
        <v>0.43505691436028698</v>
      </c>
      <c r="E1582">
        <v>0.37195737740445201</v>
      </c>
      <c r="F1582">
        <v>0.24659064195834199</v>
      </c>
      <c r="G1582">
        <v>0.15095297124550699</v>
      </c>
      <c r="H1582">
        <v>8.3564245834118298E-2</v>
      </c>
      <c r="I1582">
        <v>7.1280724490644501E-2</v>
      </c>
      <c r="J1582">
        <v>6.0848945559875002E-2</v>
      </c>
      <c r="K1582">
        <v>5.0341251851480501E-2</v>
      </c>
      <c r="L1582">
        <v>489.31282399461099</v>
      </c>
      <c r="M1582">
        <v>10.8514248877886</v>
      </c>
      <c r="N1582">
        <v>45.512685320503103</v>
      </c>
      <c r="O1582">
        <v>43.641742829372603</v>
      </c>
      <c r="P1582">
        <v>-5.9216929803713098E-2</v>
      </c>
      <c r="Q1582">
        <v>4.7715712251675403E-2</v>
      </c>
      <c r="R1582">
        <v>0.89995195599515299</v>
      </c>
      <c r="S1582" t="s">
        <v>8199</v>
      </c>
      <c r="T1582" t="s">
        <v>13232</v>
      </c>
      <c r="U1582" t="s">
        <v>13232</v>
      </c>
      <c r="V1582" t="s">
        <v>13232</v>
      </c>
      <c r="W1582" t="s">
        <v>14773</v>
      </c>
      <c r="X1582">
        <v>20</v>
      </c>
      <c r="Y1582" t="s">
        <v>21290</v>
      </c>
      <c r="Z1582" t="s">
        <v>27713</v>
      </c>
      <c r="AA1582">
        <v>0.26578696060151003</v>
      </c>
      <c r="AB1582" t="str">
        <f>HYPERLINK("Melting_Curves/meltCurve_O95602_POLR1A.pdf", "Melting_Curves/meltCurve_O95602_POLR1A.pdf")</f>
        <v>Melting_Curves/meltCurve_O95602_POLR1A.pdf</v>
      </c>
    </row>
    <row r="1583" spans="1:28" x14ac:dyDescent="0.25">
      <c r="A1583" t="s">
        <v>1587</v>
      </c>
      <c r="B1583">
        <v>0.99930955844802105</v>
      </c>
      <c r="C1583">
        <v>0.91304265222001402</v>
      </c>
      <c r="D1583">
        <v>0.81083526203045597</v>
      </c>
      <c r="E1583">
        <v>0.68818184311698205</v>
      </c>
      <c r="F1583">
        <v>0.54217353362239495</v>
      </c>
      <c r="G1583">
        <v>0.41247032899488401</v>
      </c>
      <c r="H1583">
        <v>0.30504216662816303</v>
      </c>
      <c r="I1583">
        <v>0.27997606362583799</v>
      </c>
      <c r="J1583">
        <v>0.254989489460276</v>
      </c>
      <c r="K1583">
        <v>0.20412001058364601</v>
      </c>
      <c r="L1583">
        <v>537.30150233388599</v>
      </c>
      <c r="M1583">
        <v>10.298397793068499</v>
      </c>
      <c r="N1583">
        <v>54.240289854479897</v>
      </c>
      <c r="O1583">
        <v>50.3209406334013</v>
      </c>
      <c r="P1583">
        <v>-4.2878379323994201E-2</v>
      </c>
      <c r="Q1583">
        <v>0.162299589098469</v>
      </c>
      <c r="R1583">
        <v>0.99671662212532997</v>
      </c>
      <c r="S1583" t="s">
        <v>8200</v>
      </c>
      <c r="T1583" t="s">
        <v>13232</v>
      </c>
      <c r="U1583" t="s">
        <v>13232</v>
      </c>
      <c r="V1583" t="s">
        <v>13232</v>
      </c>
      <c r="W1583" t="s">
        <v>14774</v>
      </c>
      <c r="X1583">
        <v>44</v>
      </c>
      <c r="Y1583" t="s">
        <v>21291</v>
      </c>
      <c r="Z1583" t="s">
        <v>27714</v>
      </c>
      <c r="AA1583">
        <v>0.53252100588178808</v>
      </c>
      <c r="AB1583" t="str">
        <f>HYPERLINK("Melting_Curves/meltCurve_O95613_PCNT.pdf", "Melting_Curves/meltCurve_O95613_PCNT.pdf")</f>
        <v>Melting_Curves/meltCurve_O95613_PCNT.pdf</v>
      </c>
    </row>
    <row r="1584" spans="1:28" x14ac:dyDescent="0.25">
      <c r="A1584" t="s">
        <v>1588</v>
      </c>
      <c r="B1584">
        <v>0.99930955844802105</v>
      </c>
      <c r="C1584">
        <v>1.1946505084718599</v>
      </c>
      <c r="D1584">
        <v>1.15947542052832</v>
      </c>
      <c r="E1584">
        <v>1.20796277696395</v>
      </c>
      <c r="F1584">
        <v>0.765337765100634</v>
      </c>
      <c r="G1584">
        <v>0.355138393467539</v>
      </c>
      <c r="H1584">
        <v>0.25613553590156402</v>
      </c>
      <c r="I1584">
        <v>0.25148403579308898</v>
      </c>
      <c r="J1584">
        <v>0.25338942407615</v>
      </c>
      <c r="K1584">
        <v>0.191388731635391</v>
      </c>
      <c r="L1584">
        <v>2566.90088758299</v>
      </c>
      <c r="M1584">
        <v>47.376649341012801</v>
      </c>
      <c r="N1584">
        <v>54.963791112719001</v>
      </c>
      <c r="O1584">
        <v>54.084448827774601</v>
      </c>
      <c r="P1584">
        <v>-0.16524937667974901</v>
      </c>
      <c r="Q1584">
        <v>0.24541628473360799</v>
      </c>
      <c r="R1584">
        <v>0.93261697122841503</v>
      </c>
      <c r="S1584" t="s">
        <v>8201</v>
      </c>
      <c r="T1584" t="s">
        <v>13232</v>
      </c>
      <c r="U1584" t="s">
        <v>13232</v>
      </c>
      <c r="V1584" t="s">
        <v>13232</v>
      </c>
      <c r="W1584" t="s">
        <v>14775</v>
      </c>
      <c r="X1584">
        <v>8</v>
      </c>
      <c r="Y1584" t="s">
        <v>21292</v>
      </c>
      <c r="Z1584" t="s">
        <v>27715</v>
      </c>
      <c r="AA1584">
        <v>0.60410972464249924</v>
      </c>
      <c r="AB1584" t="str">
        <f>HYPERLINK("Melting_Curves/meltCurve_O95619_YEATS4.pdf", "Melting_Curves/meltCurve_O95619_YEATS4.pdf")</f>
        <v>Melting_Curves/meltCurve_O95619_YEATS4.pdf</v>
      </c>
    </row>
    <row r="1585" spans="1:28" x14ac:dyDescent="0.25">
      <c r="A1585" t="s">
        <v>1589</v>
      </c>
      <c r="B1585">
        <v>0.99930955844802105</v>
      </c>
      <c r="C1585">
        <v>1.0739883545837501</v>
      </c>
      <c r="D1585">
        <v>1.0382549646742001</v>
      </c>
      <c r="E1585">
        <v>0.94564069386167804</v>
      </c>
      <c r="F1585">
        <v>0.83415906276570595</v>
      </c>
      <c r="G1585">
        <v>0.57081224325917901</v>
      </c>
      <c r="H1585">
        <v>0.311606487422735</v>
      </c>
      <c r="I1585">
        <v>0.186519790509489</v>
      </c>
      <c r="J1585">
        <v>0.114216975208428</v>
      </c>
      <c r="K1585">
        <v>7.8447041467229597E-2</v>
      </c>
      <c r="L1585">
        <v>1046.71649539753</v>
      </c>
      <c r="M1585">
        <v>18.139170070009101</v>
      </c>
      <c r="N1585">
        <v>58.004166741196997</v>
      </c>
      <c r="O1585">
        <v>57.017137614609801</v>
      </c>
      <c r="P1585">
        <v>-7.5983111132494993E-2</v>
      </c>
      <c r="Q1585">
        <v>4.4690110071814601E-2</v>
      </c>
      <c r="R1585">
        <v>0.99459785638652798</v>
      </c>
      <c r="S1585" t="s">
        <v>8202</v>
      </c>
      <c r="T1585" t="s">
        <v>13232</v>
      </c>
      <c r="U1585" t="s">
        <v>13232</v>
      </c>
      <c r="V1585" t="s">
        <v>13232</v>
      </c>
      <c r="W1585" t="s">
        <v>14776</v>
      </c>
      <c r="X1585">
        <v>6</v>
      </c>
      <c r="Y1585" t="s">
        <v>21293</v>
      </c>
      <c r="Z1585" t="s">
        <v>27716</v>
      </c>
      <c r="AA1585">
        <v>0.62063612001560331</v>
      </c>
      <c r="AB1585" t="str">
        <f>HYPERLINK("Melting_Curves/meltCurve_O95620_DUS4L.pdf", "Melting_Curves/meltCurve_O95620_DUS4L.pdf")</f>
        <v>Melting_Curves/meltCurve_O95620_DUS4L.pdf</v>
      </c>
    </row>
    <row r="1586" spans="1:28" x14ac:dyDescent="0.25">
      <c r="A1586" t="s">
        <v>1590</v>
      </c>
      <c r="B1586">
        <v>0.99930955844802105</v>
      </c>
      <c r="C1586">
        <v>0.94128827842448104</v>
      </c>
      <c r="D1586">
        <v>0.91767180502602297</v>
      </c>
      <c r="E1586">
        <v>0.79720403574263099</v>
      </c>
      <c r="F1586">
        <v>0.59201189423946599</v>
      </c>
      <c r="G1586">
        <v>0.487399568141199</v>
      </c>
      <c r="H1586">
        <v>0.38631294377576803</v>
      </c>
      <c r="I1586">
        <v>0.41507825934682602</v>
      </c>
      <c r="J1586">
        <v>0.37831285074161097</v>
      </c>
      <c r="K1586">
        <v>0.30930089636019398</v>
      </c>
      <c r="L1586">
        <v>763.42599292362797</v>
      </c>
      <c r="M1586">
        <v>14.6598397391286</v>
      </c>
      <c r="N1586">
        <v>56.308854444929203</v>
      </c>
      <c r="O1586">
        <v>51.135786427939202</v>
      </c>
      <c r="P1586">
        <v>-4.7745544842239002E-2</v>
      </c>
      <c r="Q1586">
        <v>0.33389826509293902</v>
      </c>
      <c r="R1586">
        <v>0.98890405659531699</v>
      </c>
      <c r="S1586" t="s">
        <v>8203</v>
      </c>
      <c r="T1586" t="s">
        <v>13232</v>
      </c>
      <c r="U1586" t="s">
        <v>13232</v>
      </c>
      <c r="V1586" t="s">
        <v>13232</v>
      </c>
      <c r="W1586" t="s">
        <v>14777</v>
      </c>
      <c r="X1586">
        <v>7</v>
      </c>
      <c r="Y1586" t="s">
        <v>21294</v>
      </c>
      <c r="Z1586" t="s">
        <v>27717</v>
      </c>
      <c r="AA1586">
        <v>0.61740078445958813</v>
      </c>
      <c r="AB1586" t="str">
        <f>HYPERLINK("Melting_Curves/meltCurve_O95625_ZBTB11.pdf", "Melting_Curves/meltCurve_O95625_ZBTB11.pdf")</f>
        <v>Melting_Curves/meltCurve_O95625_ZBTB11.pdf</v>
      </c>
    </row>
    <row r="1587" spans="1:28" x14ac:dyDescent="0.25">
      <c r="A1587" t="s">
        <v>1591</v>
      </c>
      <c r="B1587">
        <v>0.99930955844802105</v>
      </c>
      <c r="C1587">
        <v>0.97436292696760696</v>
      </c>
      <c r="D1587">
        <v>0.93503840913621605</v>
      </c>
      <c r="E1587">
        <v>0.87558209919550101</v>
      </c>
      <c r="F1587">
        <v>0.75035958303739003</v>
      </c>
      <c r="G1587">
        <v>0.50279829521903596</v>
      </c>
      <c r="H1587">
        <v>0.28910194148171098</v>
      </c>
      <c r="I1587">
        <v>0.16876067399773301</v>
      </c>
      <c r="J1587">
        <v>0.16240112358195499</v>
      </c>
      <c r="K1587">
        <v>0.124928224921041</v>
      </c>
      <c r="L1587">
        <v>845.88641534836802</v>
      </c>
      <c r="M1587">
        <v>15.014174264847099</v>
      </c>
      <c r="N1587">
        <v>56.894146186252598</v>
      </c>
      <c r="O1587">
        <v>55.368066982895797</v>
      </c>
      <c r="P1587">
        <v>-6.3180987250350901E-2</v>
      </c>
      <c r="Q1587">
        <v>6.8118357844456301E-2</v>
      </c>
      <c r="R1587">
        <v>0.99748307536779501</v>
      </c>
      <c r="S1587" t="s">
        <v>8204</v>
      </c>
      <c r="T1587" t="s">
        <v>13232</v>
      </c>
      <c r="U1587" t="s">
        <v>13232</v>
      </c>
      <c r="V1587" t="s">
        <v>13232</v>
      </c>
      <c r="W1587" t="s">
        <v>14778</v>
      </c>
      <c r="X1587">
        <v>14</v>
      </c>
      <c r="Y1587" t="s">
        <v>21295</v>
      </c>
      <c r="Z1587" t="s">
        <v>27718</v>
      </c>
      <c r="AA1587">
        <v>0.59161614306856003</v>
      </c>
      <c r="AB1587" t="str">
        <f>HYPERLINK("Melting_Curves/meltCurve_O95628_9_CNOT4.pdf", "Melting_Curves/meltCurve_O95628_9_CNOT4.pdf")</f>
        <v>Melting_Curves/meltCurve_O95628_9_CNOT4.pdf</v>
      </c>
    </row>
    <row r="1588" spans="1:28" x14ac:dyDescent="0.25">
      <c r="A1588" t="s">
        <v>1592</v>
      </c>
      <c r="B1588">
        <v>0.99930955844802105</v>
      </c>
      <c r="C1588">
        <v>1.0641745891065599</v>
      </c>
      <c r="D1588">
        <v>0.77080394226623195</v>
      </c>
      <c r="E1588">
        <v>0.818269937308295</v>
      </c>
      <c r="F1588">
        <v>0.41976340259299399</v>
      </c>
      <c r="G1588">
        <v>0.27758885910004999</v>
      </c>
      <c r="H1588">
        <v>0.17448129885722899</v>
      </c>
      <c r="I1588">
        <v>0.12711510743309801</v>
      </c>
      <c r="J1588">
        <v>0.101910598495288</v>
      </c>
      <c r="K1588">
        <v>6.1984369665500097E-2</v>
      </c>
      <c r="L1588">
        <v>821.35840946001997</v>
      </c>
      <c r="M1588">
        <v>15.6651787854186</v>
      </c>
      <c r="N1588">
        <v>52.903198821556202</v>
      </c>
      <c r="O1588">
        <v>51.599980178110798</v>
      </c>
      <c r="P1588">
        <v>-7.0962299485914995E-2</v>
      </c>
      <c r="Q1588">
        <v>6.5100687662328197E-2</v>
      </c>
      <c r="R1588">
        <v>0.96655618074077798</v>
      </c>
      <c r="S1588" t="s">
        <v>8205</v>
      </c>
      <c r="T1588" t="s">
        <v>13232</v>
      </c>
      <c r="U1588" t="s">
        <v>13232</v>
      </c>
      <c r="V1588" t="s">
        <v>13232</v>
      </c>
      <c r="W1588" t="s">
        <v>14779</v>
      </c>
      <c r="X1588">
        <v>15</v>
      </c>
      <c r="Y1588" t="s">
        <v>21296</v>
      </c>
      <c r="Z1588" t="s">
        <v>27719</v>
      </c>
      <c r="AA1588">
        <v>0.47181131320162001</v>
      </c>
      <c r="AB1588" t="str">
        <f>HYPERLINK("Melting_Curves/meltCurve_O95630_STAMBP.pdf", "Melting_Curves/meltCurve_O95630_STAMBP.pdf")</f>
        <v>Melting_Curves/meltCurve_O95630_STAMBP.pdf</v>
      </c>
    </row>
    <row r="1589" spans="1:28" x14ac:dyDescent="0.25">
      <c r="A1589" t="s">
        <v>1593</v>
      </c>
      <c r="B1589">
        <v>0.99930955844802105</v>
      </c>
      <c r="C1589">
        <v>0.822441663223199</v>
      </c>
      <c r="D1589">
        <v>0.82985173222754005</v>
      </c>
      <c r="E1589">
        <v>0.75389017556205395</v>
      </c>
      <c r="F1589">
        <v>0.48839003092037803</v>
      </c>
      <c r="G1589">
        <v>0.31912417783965302</v>
      </c>
      <c r="H1589">
        <v>0.20468842461203601</v>
      </c>
      <c r="I1589">
        <v>0.198213308351225</v>
      </c>
      <c r="J1589">
        <v>0.186510979167515</v>
      </c>
      <c r="K1589">
        <v>0.156096585827909</v>
      </c>
      <c r="L1589">
        <v>596.75380727875199</v>
      </c>
      <c r="M1589">
        <v>11.4272074830462</v>
      </c>
      <c r="N1589">
        <v>53.213903481230197</v>
      </c>
      <c r="O1589">
        <v>50.699654520286003</v>
      </c>
      <c r="P1589">
        <v>-5.0958313311215898E-2</v>
      </c>
      <c r="Q1589">
        <v>9.5906301086999796E-2</v>
      </c>
      <c r="R1589">
        <v>0.97424614975544499</v>
      </c>
      <c r="S1589" t="s">
        <v>8206</v>
      </c>
      <c r="T1589" t="s">
        <v>13232</v>
      </c>
      <c r="U1589" t="s">
        <v>13232</v>
      </c>
      <c r="V1589" t="s">
        <v>13232</v>
      </c>
      <c r="W1589" t="s">
        <v>14780</v>
      </c>
      <c r="X1589">
        <v>13</v>
      </c>
      <c r="Y1589" t="s">
        <v>21297</v>
      </c>
      <c r="Z1589" t="s">
        <v>27720</v>
      </c>
      <c r="AA1589">
        <v>0.49316914560446901</v>
      </c>
      <c r="AB1589" t="str">
        <f>HYPERLINK("Melting_Curves/meltCurve_O95639_CPSF4.pdf", "Melting_Curves/meltCurve_O95639_CPSF4.pdf")</f>
        <v>Melting_Curves/meltCurve_O95639_CPSF4.pdf</v>
      </c>
    </row>
    <row r="1590" spans="1:28" x14ac:dyDescent="0.25">
      <c r="A1590" t="s">
        <v>1594</v>
      </c>
      <c r="B1590">
        <v>0.99930955844802105</v>
      </c>
      <c r="C1590">
        <v>1.0312121961415299</v>
      </c>
      <c r="D1590">
        <v>1.03955913177041</v>
      </c>
      <c r="E1590">
        <v>0.99018510201100796</v>
      </c>
      <c r="F1590">
        <v>0.86443542106686</v>
      </c>
      <c r="G1590">
        <v>0.749311234706308</v>
      </c>
      <c r="H1590">
        <v>0.69004625821398302</v>
      </c>
      <c r="I1590">
        <v>0.77924420325781396</v>
      </c>
      <c r="J1590">
        <v>0.73606319052319802</v>
      </c>
      <c r="K1590">
        <v>0.59115569496376896</v>
      </c>
      <c r="L1590">
        <v>1694.51857223759</v>
      </c>
      <c r="M1590">
        <v>31.5948329551785</v>
      </c>
      <c r="O1590">
        <v>53.419288784429902</v>
      </c>
      <c r="P1590">
        <v>-4.46123711025233E-2</v>
      </c>
      <c r="Q1590">
        <v>0.69828629851784396</v>
      </c>
      <c r="R1590">
        <v>0.90215960950153995</v>
      </c>
      <c r="S1590" t="s">
        <v>8207</v>
      </c>
      <c r="T1590" t="s">
        <v>13232</v>
      </c>
      <c r="U1590" t="s">
        <v>13232</v>
      </c>
      <c r="V1590" t="s">
        <v>13232</v>
      </c>
      <c r="W1590" t="s">
        <v>14781</v>
      </c>
      <c r="X1590">
        <v>8</v>
      </c>
      <c r="Y1590" t="s">
        <v>21298</v>
      </c>
      <c r="Z1590" t="s">
        <v>27721</v>
      </c>
      <c r="AA1590">
        <v>0.83717637650699728</v>
      </c>
      <c r="AB1590" t="str">
        <f>HYPERLINK("Melting_Curves/meltCurve_O95644_5_NFATC1.pdf", "Melting_Curves/meltCurve_O95644_5_NFATC1.pdf")</f>
        <v>Melting_Curves/meltCurve_O95644_5_NFATC1.pdf</v>
      </c>
    </row>
    <row r="1591" spans="1:28" x14ac:dyDescent="0.25">
      <c r="A1591" t="s">
        <v>1595</v>
      </c>
      <c r="B1591">
        <v>0.99930955844802105</v>
      </c>
      <c r="C1591">
        <v>1.04302485164197</v>
      </c>
      <c r="D1591">
        <v>0.94244009954428498</v>
      </c>
      <c r="E1591">
        <v>0.69486129460178503</v>
      </c>
      <c r="F1591">
        <v>0.32537067593507002</v>
      </c>
      <c r="G1591">
        <v>0.16473337043077299</v>
      </c>
      <c r="H1591">
        <v>8.7618974925667795E-2</v>
      </c>
      <c r="I1591">
        <v>7.3171306956959906E-2</v>
      </c>
      <c r="J1591">
        <v>6.5300511245856993E-2</v>
      </c>
      <c r="K1591">
        <v>5.0990439824623202E-2</v>
      </c>
      <c r="L1591">
        <v>1333.66484526154</v>
      </c>
      <c r="M1591">
        <v>26.013251561151499</v>
      </c>
      <c r="N1591">
        <v>51.5601289675148</v>
      </c>
      <c r="O1591">
        <v>50.968567736274601</v>
      </c>
      <c r="P1591">
        <v>-0.118871844900919</v>
      </c>
      <c r="Q1591">
        <v>6.8373582773631897E-2</v>
      </c>
      <c r="R1591">
        <v>0.99715925451116705</v>
      </c>
      <c r="S1591" t="s">
        <v>8208</v>
      </c>
      <c r="T1591" t="s">
        <v>13232</v>
      </c>
      <c r="U1591" t="s">
        <v>13232</v>
      </c>
      <c r="V1591" t="s">
        <v>13232</v>
      </c>
      <c r="W1591" t="s">
        <v>14782</v>
      </c>
      <c r="X1591">
        <v>29</v>
      </c>
      <c r="Y1591" t="s">
        <v>21299</v>
      </c>
      <c r="Z1591" t="s">
        <v>27722</v>
      </c>
      <c r="AA1591">
        <v>0.42612104154434988</v>
      </c>
      <c r="AB1591" t="str">
        <f>HYPERLINK("Melting_Curves/meltCurve_O95671_2_ASMTL.pdf", "Melting_Curves/meltCurve_O95671_2_ASMTL.pdf")</f>
        <v>Melting_Curves/meltCurve_O95671_2_ASMTL.pdf</v>
      </c>
    </row>
    <row r="1592" spans="1:28" x14ac:dyDescent="0.25">
      <c r="A1592" t="s">
        <v>1596</v>
      </c>
      <c r="B1592">
        <v>0.99930955844802105</v>
      </c>
      <c r="C1592">
        <v>0.93223254395626698</v>
      </c>
      <c r="D1592">
        <v>0.93201536840426602</v>
      </c>
      <c r="E1592">
        <v>0.85159096475768303</v>
      </c>
      <c r="F1592">
        <v>0.697284374705886</v>
      </c>
      <c r="G1592">
        <v>0.56301639996438402</v>
      </c>
      <c r="H1592">
        <v>0.43230304485320098</v>
      </c>
      <c r="I1592">
        <v>0.42753054869284202</v>
      </c>
      <c r="J1592">
        <v>0.380742429579012</v>
      </c>
      <c r="K1592">
        <v>0.30934822980743298</v>
      </c>
      <c r="L1592">
        <v>619.83387563831002</v>
      </c>
      <c r="M1592">
        <v>11.2732347421749</v>
      </c>
      <c r="N1592">
        <v>59.186893136475298</v>
      </c>
      <c r="O1592">
        <v>53.337844582941401</v>
      </c>
      <c r="P1592">
        <v>-3.8293316308563502E-2</v>
      </c>
      <c r="Q1592">
        <v>0.27550298409429402</v>
      </c>
      <c r="R1592">
        <v>0.99164416477902295</v>
      </c>
      <c r="S1592" t="s">
        <v>8209</v>
      </c>
      <c r="T1592" t="s">
        <v>13232</v>
      </c>
      <c r="U1592" t="s">
        <v>13232</v>
      </c>
      <c r="V1592" t="s">
        <v>13232</v>
      </c>
      <c r="W1592" t="s">
        <v>14783</v>
      </c>
      <c r="X1592">
        <v>10</v>
      </c>
      <c r="Y1592" t="s">
        <v>21300</v>
      </c>
      <c r="Z1592" t="s">
        <v>27723</v>
      </c>
      <c r="AA1592">
        <v>0.65505883216000094</v>
      </c>
      <c r="AB1592" t="str">
        <f>HYPERLINK("Melting_Curves/meltCurve_O95684_2_FGFR1OP.pdf", "Melting_Curves/meltCurve_O95684_2_FGFR1OP.pdf")</f>
        <v>Melting_Curves/meltCurve_O95684_2_FGFR1OP.pdf</v>
      </c>
    </row>
    <row r="1593" spans="1:28" x14ac:dyDescent="0.25">
      <c r="A1593" t="s">
        <v>1597</v>
      </c>
      <c r="B1593">
        <v>0.99930955844802105</v>
      </c>
      <c r="C1593">
        <v>0.99257738283118702</v>
      </c>
      <c r="D1593">
        <v>0.95630789877025102</v>
      </c>
      <c r="E1593">
        <v>0.94132359118281494</v>
      </c>
      <c r="F1593">
        <v>0.82951276539699403</v>
      </c>
      <c r="G1593">
        <v>0.79093924422380402</v>
      </c>
      <c r="H1593">
        <v>0.83451896492755295</v>
      </c>
      <c r="I1593">
        <v>0.95788531703967195</v>
      </c>
      <c r="J1593">
        <v>1.00207784495563</v>
      </c>
      <c r="K1593">
        <v>0.78169707771338104</v>
      </c>
      <c r="L1593">
        <v>1466.6703676238701</v>
      </c>
      <c r="M1593">
        <v>30.239765139671501</v>
      </c>
      <c r="O1593">
        <v>48.290757801114601</v>
      </c>
      <c r="P1593">
        <v>-2.0588537686155699E-2</v>
      </c>
      <c r="Q1593">
        <v>0.86848709878080699</v>
      </c>
      <c r="R1593">
        <v>0.37262390931433698</v>
      </c>
      <c r="S1593" t="s">
        <v>8210</v>
      </c>
      <c r="T1593" t="s">
        <v>13232</v>
      </c>
      <c r="U1593" t="s">
        <v>13232</v>
      </c>
      <c r="V1593" t="s">
        <v>13232</v>
      </c>
      <c r="W1593" t="s">
        <v>14784</v>
      </c>
      <c r="X1593">
        <v>19</v>
      </c>
      <c r="Y1593" t="s">
        <v>21301</v>
      </c>
      <c r="Z1593" t="s">
        <v>27724</v>
      </c>
      <c r="AA1593">
        <v>0.90653788222104192</v>
      </c>
      <c r="AB1593" t="str">
        <f>HYPERLINK("Melting_Curves/meltCurve_O95721_SNAP29.pdf", "Melting_Curves/meltCurve_O95721_SNAP29.pdf")</f>
        <v>Melting_Curves/meltCurve_O95721_SNAP29.pdf</v>
      </c>
    </row>
    <row r="1594" spans="1:28" x14ac:dyDescent="0.25">
      <c r="A1594" t="s">
        <v>1598</v>
      </c>
      <c r="B1594">
        <v>0.99930955844802105</v>
      </c>
      <c r="C1594">
        <v>0.64710721860353604</v>
      </c>
      <c r="D1594">
        <v>0.38494386922191498</v>
      </c>
      <c r="E1594">
        <v>0.376338822527927</v>
      </c>
      <c r="F1594">
        <v>0.294028906899308</v>
      </c>
      <c r="G1594">
        <v>0.221920594717609</v>
      </c>
      <c r="H1594">
        <v>0.20510327522680999</v>
      </c>
      <c r="I1594">
        <v>0.19763303569597701</v>
      </c>
      <c r="J1594">
        <v>0.210388892058781</v>
      </c>
      <c r="K1594">
        <v>0.16104963479691201</v>
      </c>
      <c r="L1594">
        <v>980.04840802629496</v>
      </c>
      <c r="M1594">
        <v>22.4390262171515</v>
      </c>
      <c r="N1594">
        <v>44.8630643404098</v>
      </c>
      <c r="O1594">
        <v>43.333619460278797</v>
      </c>
      <c r="P1594">
        <v>-0.100477116863712</v>
      </c>
      <c r="Q1594">
        <v>0.22386164439940701</v>
      </c>
      <c r="R1594">
        <v>0.95129220290772798</v>
      </c>
      <c r="S1594" t="s">
        <v>8211</v>
      </c>
      <c r="T1594" t="s">
        <v>13232</v>
      </c>
      <c r="U1594" t="s">
        <v>13232</v>
      </c>
      <c r="V1594" t="s">
        <v>13232</v>
      </c>
      <c r="W1594" t="s">
        <v>14785</v>
      </c>
      <c r="X1594">
        <v>18</v>
      </c>
      <c r="Y1594" t="s">
        <v>21302</v>
      </c>
      <c r="Z1594" t="s">
        <v>27725</v>
      </c>
      <c r="AA1594">
        <v>0.33120958819801782</v>
      </c>
      <c r="AB1594" t="str">
        <f>HYPERLINK("Melting_Curves/meltCurve_O95747_OXSR1.pdf", "Melting_Curves/meltCurve_O95747_OXSR1.pdf")</f>
        <v>Melting_Curves/meltCurve_O95747_OXSR1.pdf</v>
      </c>
    </row>
    <row r="1595" spans="1:28" x14ac:dyDescent="0.25">
      <c r="A1595" t="s">
        <v>1599</v>
      </c>
      <c r="B1595">
        <v>0.99930955844802105</v>
      </c>
      <c r="C1595">
        <v>0.94409334812845003</v>
      </c>
      <c r="D1595">
        <v>0.98619210690010295</v>
      </c>
      <c r="E1595">
        <v>0.935148305481173</v>
      </c>
      <c r="F1595">
        <v>0.50294732921852503</v>
      </c>
      <c r="G1595">
        <v>0.20104939702251801</v>
      </c>
      <c r="H1595">
        <v>0.123974215094519</v>
      </c>
      <c r="I1595">
        <v>0.117817207180032</v>
      </c>
      <c r="J1595">
        <v>0.107743416897555</v>
      </c>
      <c r="K1595">
        <v>8.5564053596200396E-2</v>
      </c>
      <c r="L1595">
        <v>2055.7746450335299</v>
      </c>
      <c r="M1595">
        <v>38.954612994522499</v>
      </c>
      <c r="N1595">
        <v>53.1297834600974</v>
      </c>
      <c r="O1595">
        <v>52.6350859551805</v>
      </c>
      <c r="P1595">
        <v>-0.163759332592017</v>
      </c>
      <c r="Q1595">
        <v>0.11492212873749399</v>
      </c>
      <c r="R1595">
        <v>0.99570880872143397</v>
      </c>
      <c r="S1595" t="s">
        <v>8212</v>
      </c>
      <c r="T1595" t="s">
        <v>13232</v>
      </c>
      <c r="U1595" t="s">
        <v>13232</v>
      </c>
      <c r="V1595" t="s">
        <v>13232</v>
      </c>
      <c r="W1595" t="s">
        <v>14786</v>
      </c>
      <c r="X1595">
        <v>13</v>
      </c>
      <c r="Y1595" t="s">
        <v>21303</v>
      </c>
      <c r="Z1595" t="s">
        <v>27726</v>
      </c>
      <c r="AA1595">
        <v>0.49517787293457</v>
      </c>
      <c r="AB1595" t="str">
        <f>HYPERLINK("Melting_Curves/meltCurve_O95749_GGPS1.pdf", "Melting_Curves/meltCurve_O95749_GGPS1.pdf")</f>
        <v>Melting_Curves/meltCurve_O95749_GGPS1.pdf</v>
      </c>
    </row>
    <row r="1596" spans="1:28" x14ac:dyDescent="0.25">
      <c r="A1596" t="s">
        <v>1600</v>
      </c>
      <c r="B1596">
        <v>0.99930955844802105</v>
      </c>
      <c r="C1596">
        <v>0.96121505095342596</v>
      </c>
      <c r="D1596">
        <v>0.87899847487546701</v>
      </c>
      <c r="E1596">
        <v>0.47790208756768798</v>
      </c>
      <c r="F1596">
        <v>0.22074120336047201</v>
      </c>
      <c r="G1596">
        <v>0.15479777947114101</v>
      </c>
      <c r="H1596">
        <v>0.105561464933373</v>
      </c>
      <c r="I1596">
        <v>9.8704587624132201E-2</v>
      </c>
      <c r="J1596">
        <v>8.6806671874665994E-2</v>
      </c>
      <c r="K1596">
        <v>6.8116227596079396E-2</v>
      </c>
      <c r="L1596">
        <v>1204.67519434523</v>
      </c>
      <c r="M1596">
        <v>24.395264053807701</v>
      </c>
      <c r="N1596">
        <v>49.790402817483802</v>
      </c>
      <c r="O1596">
        <v>49.053302594154601</v>
      </c>
      <c r="P1596">
        <v>-0.113046469186523</v>
      </c>
      <c r="Q1596">
        <v>9.0771310518512602E-2</v>
      </c>
      <c r="R1596">
        <v>0.99846656751845997</v>
      </c>
      <c r="S1596" t="s">
        <v>8213</v>
      </c>
      <c r="T1596" t="s">
        <v>13232</v>
      </c>
      <c r="U1596" t="s">
        <v>13232</v>
      </c>
      <c r="V1596" t="s">
        <v>13232</v>
      </c>
      <c r="W1596" t="s">
        <v>14787</v>
      </c>
      <c r="X1596">
        <v>54</v>
      </c>
      <c r="Y1596" t="s">
        <v>21304</v>
      </c>
      <c r="Z1596" t="s">
        <v>27727</v>
      </c>
      <c r="AA1596">
        <v>0.38359645687044619</v>
      </c>
      <c r="AB1596" t="str">
        <f>HYPERLINK("Melting_Curves/meltCurve_O95757_HSPA4L.pdf", "Melting_Curves/meltCurve_O95757_HSPA4L.pdf")</f>
        <v>Melting_Curves/meltCurve_O95757_HSPA4L.pdf</v>
      </c>
    </row>
    <row r="1597" spans="1:28" x14ac:dyDescent="0.25">
      <c r="A1597" t="s">
        <v>1601</v>
      </c>
      <c r="B1597">
        <v>0.99930955844802105</v>
      </c>
      <c r="C1597">
        <v>0.90379407916213494</v>
      </c>
      <c r="D1597">
        <v>0.78168282625372998</v>
      </c>
      <c r="E1597">
        <v>0.67064145077331805</v>
      </c>
      <c r="F1597">
        <v>0.50424793425365899</v>
      </c>
      <c r="G1597">
        <v>0.40488910070123302</v>
      </c>
      <c r="H1597">
        <v>0.31185149970078202</v>
      </c>
      <c r="I1597">
        <v>0.34920964524721199</v>
      </c>
      <c r="J1597">
        <v>0.32924510932865497</v>
      </c>
      <c r="K1597">
        <v>0.24715786637965101</v>
      </c>
      <c r="L1597">
        <v>586.32338949778898</v>
      </c>
      <c r="M1597">
        <v>11.6807756851807</v>
      </c>
      <c r="N1597">
        <v>53.536760849216797</v>
      </c>
      <c r="O1597">
        <v>48.792104301498902</v>
      </c>
      <c r="P1597">
        <v>-4.4372439984223598E-2</v>
      </c>
      <c r="Q1597">
        <v>0.25880085284086002</v>
      </c>
      <c r="R1597">
        <v>0.98776464311581202</v>
      </c>
      <c r="S1597" t="s">
        <v>8214</v>
      </c>
      <c r="T1597" t="s">
        <v>13232</v>
      </c>
      <c r="U1597" t="s">
        <v>13232</v>
      </c>
      <c r="V1597" t="s">
        <v>13232</v>
      </c>
      <c r="W1597" t="s">
        <v>14788</v>
      </c>
      <c r="X1597">
        <v>12</v>
      </c>
      <c r="Y1597" t="s">
        <v>21305</v>
      </c>
      <c r="Z1597" t="s">
        <v>27728</v>
      </c>
      <c r="AA1597">
        <v>0.53712632527748694</v>
      </c>
      <c r="AB1597" t="str">
        <f>HYPERLINK("Melting_Curves/meltCurve_O95758_1_PTBP3.pdf", "Melting_Curves/meltCurve_O95758_1_PTBP3.pdf")</f>
        <v>Melting_Curves/meltCurve_O95758_1_PTBP3.pdf</v>
      </c>
    </row>
    <row r="1598" spans="1:28" x14ac:dyDescent="0.25">
      <c r="A1598" t="s">
        <v>1602</v>
      </c>
      <c r="B1598">
        <v>0.99930955844802105</v>
      </c>
      <c r="C1598">
        <v>1.09251339323077</v>
      </c>
      <c r="D1598">
        <v>1.0987318432890401</v>
      </c>
      <c r="E1598">
        <v>0.99718711659621695</v>
      </c>
      <c r="F1598">
        <v>0.99195789031614401</v>
      </c>
      <c r="G1598">
        <v>0.84374135483676205</v>
      </c>
      <c r="H1598">
        <v>0.698532525050925</v>
      </c>
      <c r="I1598">
        <v>0.70541289952935204</v>
      </c>
      <c r="J1598">
        <v>0.63510305319977101</v>
      </c>
      <c r="K1598">
        <v>0.42866359141055399</v>
      </c>
      <c r="L1598">
        <v>706.13551650064596</v>
      </c>
      <c r="M1598">
        <v>10.5659897013026</v>
      </c>
      <c r="N1598">
        <v>69.085103649396501</v>
      </c>
      <c r="O1598">
        <v>64.570297328703802</v>
      </c>
      <c r="P1598">
        <v>-3.4958085145188202E-2</v>
      </c>
      <c r="Q1598">
        <v>0.14580070920878799</v>
      </c>
      <c r="R1598">
        <v>0.91821902606502104</v>
      </c>
      <c r="S1598" t="s">
        <v>8215</v>
      </c>
      <c r="T1598" t="s">
        <v>13232</v>
      </c>
      <c r="U1598" t="s">
        <v>13232</v>
      </c>
      <c r="V1598" t="s">
        <v>13232</v>
      </c>
      <c r="W1598" t="s">
        <v>14789</v>
      </c>
      <c r="X1598">
        <v>6</v>
      </c>
      <c r="Y1598" t="s">
        <v>21306</v>
      </c>
      <c r="Z1598" t="s">
        <v>27729</v>
      </c>
      <c r="AA1598">
        <v>0.8463631439596625</v>
      </c>
      <c r="AB1598" t="str">
        <f>HYPERLINK("Melting_Curves/meltCurve_O95777_NAA38.pdf", "Melting_Curves/meltCurve_O95777_NAA38.pdf")</f>
        <v>Melting_Curves/meltCurve_O95777_NAA38.pdf</v>
      </c>
    </row>
    <row r="1599" spans="1:28" x14ac:dyDescent="0.25">
      <c r="A1599" t="s">
        <v>1603</v>
      </c>
      <c r="B1599">
        <v>0.99930955844802105</v>
      </c>
      <c r="C1599">
        <v>0.89790405858626698</v>
      </c>
      <c r="D1599">
        <v>0.90402318224468603</v>
      </c>
      <c r="E1599">
        <v>0.87900167785594996</v>
      </c>
      <c r="F1599">
        <v>0.73050780297348605</v>
      </c>
      <c r="G1599">
        <v>0.37763330821833802</v>
      </c>
      <c r="H1599">
        <v>0.15448028303161099</v>
      </c>
      <c r="I1599">
        <v>9.3743387735449296E-2</v>
      </c>
      <c r="J1599">
        <v>7.5354505235134803E-2</v>
      </c>
      <c r="K1599">
        <v>5.5897218504869603E-2</v>
      </c>
      <c r="L1599">
        <v>1028.6287979158801</v>
      </c>
      <c r="M1599">
        <v>18.593475035020202</v>
      </c>
      <c r="N1599">
        <v>55.490939953185901</v>
      </c>
      <c r="O1599">
        <v>54.694021685789501</v>
      </c>
      <c r="P1599">
        <v>-8.2653926845760506E-2</v>
      </c>
      <c r="Q1599">
        <v>2.7512731407727899E-2</v>
      </c>
      <c r="R1599">
        <v>0.98853926395695402</v>
      </c>
      <c r="S1599" t="s">
        <v>8216</v>
      </c>
      <c r="T1599" t="s">
        <v>13232</v>
      </c>
      <c r="U1599" t="s">
        <v>13232</v>
      </c>
      <c r="V1599" t="s">
        <v>13232</v>
      </c>
      <c r="W1599" t="s">
        <v>14790</v>
      </c>
      <c r="X1599">
        <v>46</v>
      </c>
      <c r="Y1599" t="s">
        <v>21307</v>
      </c>
      <c r="Z1599" t="s">
        <v>27730</v>
      </c>
      <c r="AA1599">
        <v>0.53840926820658419</v>
      </c>
      <c r="AB1599" t="str">
        <f>HYPERLINK("Melting_Curves/meltCurve_O95782_2_AP2A1.pdf", "Melting_Curves/meltCurve_O95782_2_AP2A1.pdf")</f>
        <v>Melting_Curves/meltCurve_O95782_2_AP2A1.pdf</v>
      </c>
    </row>
    <row r="1600" spans="1:28" x14ac:dyDescent="0.25">
      <c r="A1600" t="s">
        <v>1604</v>
      </c>
      <c r="B1600">
        <v>0.99930955844802105</v>
      </c>
      <c r="C1600">
        <v>0.96019494626350599</v>
      </c>
      <c r="D1600">
        <v>0.89561878380997995</v>
      </c>
      <c r="E1600">
        <v>0.54332691398206601</v>
      </c>
      <c r="F1600">
        <v>0.26060939351230999</v>
      </c>
      <c r="G1600">
        <v>0.17251873756345901</v>
      </c>
      <c r="H1600">
        <v>0.11957250184901801</v>
      </c>
      <c r="I1600">
        <v>0.114822659046961</v>
      </c>
      <c r="J1600">
        <v>0.10702054122031</v>
      </c>
      <c r="K1600">
        <v>8.1274585138126104E-2</v>
      </c>
      <c r="L1600">
        <v>1176.66857393953</v>
      </c>
      <c r="M1600">
        <v>23.6041306011834</v>
      </c>
      <c r="N1600">
        <v>50.345345221794297</v>
      </c>
      <c r="O1600">
        <v>49.496447705436402</v>
      </c>
      <c r="P1600">
        <v>-0.106871893956503</v>
      </c>
      <c r="Q1600">
        <v>0.103599325548115</v>
      </c>
      <c r="R1600">
        <v>0.99842925281665895</v>
      </c>
      <c r="S1600" t="s">
        <v>8217</v>
      </c>
      <c r="T1600" t="s">
        <v>13232</v>
      </c>
      <c r="U1600" t="s">
        <v>13232</v>
      </c>
      <c r="V1600" t="s">
        <v>13232</v>
      </c>
      <c r="W1600" t="s">
        <v>14791</v>
      </c>
      <c r="X1600">
        <v>20</v>
      </c>
      <c r="Y1600" t="s">
        <v>21308</v>
      </c>
      <c r="Z1600" t="s">
        <v>27731</v>
      </c>
      <c r="AA1600">
        <v>0.40690199266698168</v>
      </c>
      <c r="AB1600" t="str">
        <f>HYPERLINK("Melting_Curves/meltCurve_O95801_TTC4.pdf", "Melting_Curves/meltCurve_O95801_TTC4.pdf")</f>
        <v>Melting_Curves/meltCurve_O95801_TTC4.pdf</v>
      </c>
    </row>
    <row r="1601" spans="1:28" x14ac:dyDescent="0.25">
      <c r="A1601" t="s">
        <v>1605</v>
      </c>
      <c r="B1601">
        <v>0.99930955844802105</v>
      </c>
      <c r="C1601">
        <v>0.90152808925030203</v>
      </c>
      <c r="D1601">
        <v>0.93309091612305395</v>
      </c>
      <c r="E1601">
        <v>1.01235482961607</v>
      </c>
      <c r="F1601">
        <v>0.82389469819536998</v>
      </c>
      <c r="G1601">
        <v>0.404408540721024</v>
      </c>
      <c r="H1601">
        <v>0.22346253229329399</v>
      </c>
      <c r="I1601">
        <v>0.18137664998473299</v>
      </c>
      <c r="J1601">
        <v>0.15281482002188601</v>
      </c>
      <c r="K1601">
        <v>0.120574784835635</v>
      </c>
      <c r="L1601">
        <v>1651.2042325186201</v>
      </c>
      <c r="M1601">
        <v>29.7647665799579</v>
      </c>
      <c r="N1601">
        <v>56.140167688842297</v>
      </c>
      <c r="O1601">
        <v>55.226527840047098</v>
      </c>
      <c r="P1601">
        <v>-0.114722053560754</v>
      </c>
      <c r="Q1601">
        <v>0.148569423128765</v>
      </c>
      <c r="R1601">
        <v>0.98709192432500004</v>
      </c>
      <c r="S1601" t="s">
        <v>8218</v>
      </c>
      <c r="T1601" t="s">
        <v>13232</v>
      </c>
      <c r="U1601" t="s">
        <v>13232</v>
      </c>
      <c r="V1601" t="s">
        <v>13232</v>
      </c>
      <c r="W1601" t="s">
        <v>14792</v>
      </c>
      <c r="X1601">
        <v>14</v>
      </c>
      <c r="Y1601" t="s">
        <v>21309</v>
      </c>
      <c r="Z1601" t="s">
        <v>27732</v>
      </c>
      <c r="AA1601">
        <v>0.59351876490816113</v>
      </c>
      <c r="AB1601" t="str">
        <f>HYPERLINK("Melting_Curves/meltCurve_O95816_BAG2.pdf", "Melting_Curves/meltCurve_O95816_BAG2.pdf")</f>
        <v>Melting_Curves/meltCurve_O95816_BAG2.pdf</v>
      </c>
    </row>
    <row r="1602" spans="1:28" x14ac:dyDescent="0.25">
      <c r="A1602" t="s">
        <v>1606</v>
      </c>
      <c r="B1602">
        <v>0.99930955844802105</v>
      </c>
      <c r="C1602">
        <v>0.991303073909786</v>
      </c>
      <c r="D1602">
        <v>1.01782710035845</v>
      </c>
      <c r="E1602">
        <v>0.92058002730550903</v>
      </c>
      <c r="F1602">
        <v>0.79530134455406198</v>
      </c>
      <c r="G1602">
        <v>0.66065349671801199</v>
      </c>
      <c r="H1602">
        <v>0.65047241648523402</v>
      </c>
      <c r="I1602">
        <v>0.70209554606381397</v>
      </c>
      <c r="J1602">
        <v>0.67119339736630801</v>
      </c>
      <c r="K1602">
        <v>0.53677498543891899</v>
      </c>
      <c r="L1602">
        <v>1449.43958729259</v>
      </c>
      <c r="M1602">
        <v>27.625635767891399</v>
      </c>
      <c r="O1602">
        <v>52.194577969342198</v>
      </c>
      <c r="P1602">
        <v>-4.8295868566940701E-2</v>
      </c>
      <c r="Q1602">
        <v>0.63501152195529298</v>
      </c>
      <c r="R1602">
        <v>0.94169269295673896</v>
      </c>
      <c r="S1602" t="s">
        <v>8219</v>
      </c>
      <c r="T1602" t="s">
        <v>13232</v>
      </c>
      <c r="U1602" t="s">
        <v>13232</v>
      </c>
      <c r="V1602" t="s">
        <v>13232</v>
      </c>
      <c r="W1602" t="s">
        <v>14793</v>
      </c>
      <c r="X1602">
        <v>24</v>
      </c>
      <c r="Y1602" t="s">
        <v>20041</v>
      </c>
      <c r="Z1602" t="s">
        <v>27733</v>
      </c>
      <c r="AA1602">
        <v>0.78945169132504711</v>
      </c>
      <c r="AB1602" t="str">
        <f>HYPERLINK("Melting_Curves/meltCurve_O95817_BAG3.pdf", "Melting_Curves/meltCurve_O95817_BAG3.pdf")</f>
        <v>Melting_Curves/meltCurve_O95817_BAG3.pdf</v>
      </c>
    </row>
    <row r="1603" spans="1:28" x14ac:dyDescent="0.25">
      <c r="A1603" t="s">
        <v>1607</v>
      </c>
      <c r="B1603">
        <v>0.99930955844802105</v>
      </c>
      <c r="C1603">
        <v>0.85909359175333599</v>
      </c>
      <c r="D1603">
        <v>0.71194119758275698</v>
      </c>
      <c r="E1603">
        <v>0.75903771122840002</v>
      </c>
      <c r="F1603">
        <v>0.76409888486773703</v>
      </c>
      <c r="G1603">
        <v>0.34586628964619598</v>
      </c>
      <c r="H1603">
        <v>0.63276782543649002</v>
      </c>
      <c r="I1603">
        <v>0.15989307832773</v>
      </c>
      <c r="J1603">
        <v>0.52124048416827895</v>
      </c>
      <c r="K1603">
        <v>0.17999511296489401</v>
      </c>
      <c r="L1603">
        <v>331.89131749209997</v>
      </c>
      <c r="M1603">
        <v>5.7004260921882004</v>
      </c>
      <c r="N1603">
        <v>58.222192308095799</v>
      </c>
      <c r="O1603">
        <v>52.247735241840999</v>
      </c>
      <c r="P1603">
        <v>-2.7381886447440201E-2</v>
      </c>
      <c r="Q1603">
        <v>0</v>
      </c>
      <c r="R1603">
        <v>0.72294519879820096</v>
      </c>
      <c r="S1603" t="s">
        <v>8220</v>
      </c>
      <c r="T1603" t="s">
        <v>13232</v>
      </c>
      <c r="U1603" t="s">
        <v>13232</v>
      </c>
      <c r="V1603" t="s">
        <v>13232</v>
      </c>
      <c r="W1603" t="s">
        <v>14794</v>
      </c>
      <c r="X1603">
        <v>5</v>
      </c>
      <c r="Y1603" t="s">
        <v>21310</v>
      </c>
      <c r="Z1603" t="s">
        <v>27734</v>
      </c>
      <c r="AA1603">
        <v>0.59349362571151676</v>
      </c>
      <c r="AB1603" t="str">
        <f>HYPERLINK("Melting_Curves/meltCurve_O95822_MLYCD.pdf", "Melting_Curves/meltCurve_O95822_MLYCD.pdf")</f>
        <v>Melting_Curves/meltCurve_O95822_MLYCD.pdf</v>
      </c>
    </row>
    <row r="1604" spans="1:28" x14ac:dyDescent="0.25">
      <c r="A1604" t="s">
        <v>1608</v>
      </c>
      <c r="B1604">
        <v>0.99930955844802105</v>
      </c>
      <c r="C1604">
        <v>1.0927377756507299</v>
      </c>
      <c r="D1604">
        <v>1.0887302186916701</v>
      </c>
      <c r="E1604">
        <v>1.0959449889638899</v>
      </c>
      <c r="F1604">
        <v>1.10083819763402</v>
      </c>
      <c r="G1604">
        <v>0.92047586377772606</v>
      </c>
      <c r="H1604">
        <v>0.62474538100145305</v>
      </c>
      <c r="I1604">
        <v>0.15592121228844699</v>
      </c>
      <c r="J1604">
        <v>9.0557675977963895E-2</v>
      </c>
      <c r="K1604">
        <v>7.9790724464159996E-2</v>
      </c>
      <c r="L1604">
        <v>3152.9272986153201</v>
      </c>
      <c r="M1604">
        <v>51.351013632565802</v>
      </c>
      <c r="N1604">
        <v>61.585223157870402</v>
      </c>
      <c r="O1604">
        <v>61.306611152428502</v>
      </c>
      <c r="P1604">
        <v>-0.19438276784274</v>
      </c>
      <c r="Q1604">
        <v>7.1727016756789302E-2</v>
      </c>
      <c r="R1604">
        <v>0.97775293210044401</v>
      </c>
      <c r="S1604" t="s">
        <v>8221</v>
      </c>
      <c r="T1604" t="s">
        <v>13232</v>
      </c>
      <c r="U1604" t="s">
        <v>13232</v>
      </c>
      <c r="V1604" t="s">
        <v>13232</v>
      </c>
      <c r="W1604" t="s">
        <v>14795</v>
      </c>
      <c r="X1604">
        <v>12</v>
      </c>
      <c r="Y1604" t="s">
        <v>21311</v>
      </c>
      <c r="Z1604" t="s">
        <v>27735</v>
      </c>
      <c r="AA1604">
        <v>0.7361713182217442</v>
      </c>
      <c r="AB1604" t="str">
        <f>HYPERLINK("Melting_Curves/meltCurve_O95825_CRYZL1.pdf", "Melting_Curves/meltCurve_O95825_CRYZL1.pdf")</f>
        <v>Melting_Curves/meltCurve_O95825_CRYZL1.pdf</v>
      </c>
    </row>
    <row r="1605" spans="1:28" x14ac:dyDescent="0.25">
      <c r="A1605" t="s">
        <v>1609</v>
      </c>
      <c r="B1605">
        <v>0.99930955844802105</v>
      </c>
      <c r="C1605">
        <v>0.99674905878916098</v>
      </c>
      <c r="D1605">
        <v>0.93741599567892697</v>
      </c>
      <c r="E1605">
        <v>0.87347050719645802</v>
      </c>
      <c r="F1605">
        <v>0.51616633083056995</v>
      </c>
      <c r="G1605">
        <v>0.231499139668388</v>
      </c>
      <c r="H1605">
        <v>0.14276799086713499</v>
      </c>
      <c r="I1605">
        <v>0.13005585461622199</v>
      </c>
      <c r="J1605">
        <v>0.12690109860246099</v>
      </c>
      <c r="K1605">
        <v>9.7347780291885205E-2</v>
      </c>
      <c r="L1605">
        <v>1475.1381769874099</v>
      </c>
      <c r="M1605">
        <v>27.9444720337174</v>
      </c>
      <c r="N1605">
        <v>53.303645198317398</v>
      </c>
      <c r="O1605">
        <v>52.5200803170599</v>
      </c>
      <c r="P1605">
        <v>-0.117270661725837</v>
      </c>
      <c r="Q1605">
        <v>0.118392890417112</v>
      </c>
      <c r="R1605">
        <v>0.99714974525417899</v>
      </c>
      <c r="S1605" t="s">
        <v>8222</v>
      </c>
      <c r="T1605" t="s">
        <v>13232</v>
      </c>
      <c r="U1605" t="s">
        <v>13232</v>
      </c>
      <c r="V1605" t="s">
        <v>13232</v>
      </c>
      <c r="W1605" t="s">
        <v>14796</v>
      </c>
      <c r="X1605">
        <v>17</v>
      </c>
      <c r="Y1605" t="s">
        <v>21312</v>
      </c>
      <c r="Z1605" t="s">
        <v>27736</v>
      </c>
      <c r="AA1605">
        <v>0.50074585987819153</v>
      </c>
      <c r="AB1605" t="str">
        <f>HYPERLINK("Melting_Curves/meltCurve_O95831_3_AIFM1.pdf", "Melting_Curves/meltCurve_O95831_3_AIFM1.pdf")</f>
        <v>Melting_Curves/meltCurve_O95831_3_AIFM1.pdf</v>
      </c>
    </row>
    <row r="1606" spans="1:28" x14ac:dyDescent="0.25">
      <c r="A1606" t="s">
        <v>1610</v>
      </c>
      <c r="B1606">
        <v>0.99930955844802105</v>
      </c>
      <c r="C1606">
        <v>1.2598446732786901</v>
      </c>
      <c r="D1606">
        <v>1.23128087381622</v>
      </c>
      <c r="E1606">
        <v>1.12693895058417</v>
      </c>
      <c r="F1606">
        <v>0.81961913965327304</v>
      </c>
      <c r="G1606">
        <v>0.23549129449246001</v>
      </c>
      <c r="H1606">
        <v>0.14398998511911501</v>
      </c>
      <c r="I1606">
        <v>0.11940999919008</v>
      </c>
      <c r="J1606">
        <v>0.109598568320558</v>
      </c>
      <c r="K1606">
        <v>7.6425996653263301E-2</v>
      </c>
      <c r="L1606">
        <v>2585.4917155532899</v>
      </c>
      <c r="M1606">
        <v>47.275082062584701</v>
      </c>
      <c r="N1606">
        <v>54.9852824330696</v>
      </c>
      <c r="O1606">
        <v>54.592786937242998</v>
      </c>
      <c r="P1606">
        <v>-0.19224666079896799</v>
      </c>
      <c r="Q1606">
        <v>0.111983087950895</v>
      </c>
      <c r="R1606">
        <v>0.94078770008116697</v>
      </c>
      <c r="S1606" t="s">
        <v>8223</v>
      </c>
      <c r="T1606" t="s">
        <v>13232</v>
      </c>
      <c r="U1606" t="s">
        <v>13232</v>
      </c>
      <c r="V1606" t="s">
        <v>13232</v>
      </c>
      <c r="W1606" t="s">
        <v>14797</v>
      </c>
      <c r="X1606">
        <v>19</v>
      </c>
      <c r="Y1606" t="s">
        <v>21313</v>
      </c>
      <c r="Z1606" t="s">
        <v>27737</v>
      </c>
      <c r="AA1606">
        <v>0.5492223401554529</v>
      </c>
      <c r="AB1606" t="str">
        <f>HYPERLINK("Melting_Curves/meltCurve_O95834_2_EML2.pdf", "Melting_Curves/meltCurve_O95834_2_EML2.pdf")</f>
        <v>Melting_Curves/meltCurve_O95834_2_EML2.pdf</v>
      </c>
    </row>
    <row r="1607" spans="1:28" x14ac:dyDescent="0.25">
      <c r="A1607" t="s">
        <v>1611</v>
      </c>
      <c r="B1607">
        <v>0.99930955844802105</v>
      </c>
      <c r="C1607">
        <v>1.1764711945797099</v>
      </c>
      <c r="D1607">
        <v>1.26054001667315</v>
      </c>
      <c r="E1607">
        <v>1.24202015427811</v>
      </c>
      <c r="F1607">
        <v>1.2045375879107501</v>
      </c>
      <c r="G1607">
        <v>1.0701640983862499</v>
      </c>
      <c r="H1607">
        <v>0.97489415331891704</v>
      </c>
      <c r="I1607">
        <v>1.0823630386109999</v>
      </c>
      <c r="J1607">
        <v>1.05637388875173</v>
      </c>
      <c r="K1607">
        <v>0.83405608422594901</v>
      </c>
      <c r="L1607">
        <v>15000</v>
      </c>
      <c r="M1607">
        <v>212.67102364367699</v>
      </c>
      <c r="Q1607">
        <v>0</v>
      </c>
      <c r="R1607">
        <v>-0.33216131646651398</v>
      </c>
      <c r="S1607" t="s">
        <v>8224</v>
      </c>
      <c r="T1607" t="s">
        <v>13232</v>
      </c>
      <c r="U1607" t="s">
        <v>13232</v>
      </c>
      <c r="V1607" t="s">
        <v>13232</v>
      </c>
      <c r="W1607" t="s">
        <v>14798</v>
      </c>
      <c r="X1607">
        <v>6</v>
      </c>
      <c r="Y1607" t="s">
        <v>21314</v>
      </c>
      <c r="Z1607" t="s">
        <v>27738</v>
      </c>
      <c r="AA1607">
        <v>0.99804325525535786</v>
      </c>
      <c r="AB1607" t="str">
        <f>HYPERLINK("Melting_Curves/meltCurve_O95835_2_LATS1.pdf", "Melting_Curves/meltCurve_O95835_2_LATS1.pdf")</f>
        <v>Melting_Curves/meltCurve_O95835_2_LATS1.pdf</v>
      </c>
    </row>
    <row r="1608" spans="1:28" x14ac:dyDescent="0.25">
      <c r="A1608" t="s">
        <v>1612</v>
      </c>
      <c r="B1608">
        <v>0.99930955844802105</v>
      </c>
      <c r="C1608">
        <v>1.03594867840761</v>
      </c>
      <c r="D1608">
        <v>1.0422630513881599</v>
      </c>
      <c r="E1608">
        <v>0.97603481753741195</v>
      </c>
      <c r="F1608">
        <v>0.83382224257146698</v>
      </c>
      <c r="G1608">
        <v>0.47442585283100502</v>
      </c>
      <c r="H1608">
        <v>0.140366085222034</v>
      </c>
      <c r="I1608">
        <v>0.10999920706531</v>
      </c>
      <c r="J1608">
        <v>9.1837863608714002E-2</v>
      </c>
      <c r="K1608">
        <v>7.4270893173100996E-2</v>
      </c>
      <c r="L1608">
        <v>1528.31056145861</v>
      </c>
      <c r="M1608">
        <v>27.1598160492183</v>
      </c>
      <c r="N1608">
        <v>56.581605509795303</v>
      </c>
      <c r="O1608">
        <v>55.9686220815206</v>
      </c>
      <c r="P1608">
        <v>-0.112916828550055</v>
      </c>
      <c r="Q1608">
        <v>6.9251812762246595E-2</v>
      </c>
      <c r="R1608">
        <v>0.997038161499473</v>
      </c>
      <c r="S1608" t="s">
        <v>8225</v>
      </c>
      <c r="T1608" t="s">
        <v>13232</v>
      </c>
      <c r="U1608" t="s">
        <v>13232</v>
      </c>
      <c r="V1608" t="s">
        <v>13232</v>
      </c>
      <c r="W1608" t="s">
        <v>14799</v>
      </c>
      <c r="X1608">
        <v>17</v>
      </c>
      <c r="Y1608" t="s">
        <v>21315</v>
      </c>
      <c r="Z1608" t="s">
        <v>27739</v>
      </c>
      <c r="AA1608">
        <v>0.58146440574923008</v>
      </c>
      <c r="AB1608" t="str">
        <f>HYPERLINK("Melting_Curves/meltCurve_O95861_BPNT1.pdf", "Melting_Curves/meltCurve_O95861_BPNT1.pdf")</f>
        <v>Melting_Curves/meltCurve_O95861_BPNT1.pdf</v>
      </c>
    </row>
    <row r="1609" spans="1:28" x14ac:dyDescent="0.25">
      <c r="A1609" t="s">
        <v>1613</v>
      </c>
      <c r="B1609">
        <v>0.99930955844802105</v>
      </c>
      <c r="C1609">
        <v>1.0440705714826799</v>
      </c>
      <c r="D1609">
        <v>1.0719592574958801</v>
      </c>
      <c r="E1609">
        <v>0.998107508684412</v>
      </c>
      <c r="F1609">
        <v>0.85897462612656506</v>
      </c>
      <c r="G1609">
        <v>0.49788485073400401</v>
      </c>
      <c r="H1609">
        <v>0.117590404768099</v>
      </c>
      <c r="I1609">
        <v>7.4246468484578998E-2</v>
      </c>
      <c r="J1609">
        <v>6.1509246764924599E-2</v>
      </c>
      <c r="K1609">
        <v>4.9886463409939297E-2</v>
      </c>
      <c r="L1609">
        <v>1663.2559423350301</v>
      </c>
      <c r="M1609">
        <v>29.361626802384201</v>
      </c>
      <c r="N1609">
        <v>56.812855261571102</v>
      </c>
      <c r="O1609">
        <v>56.386450613208602</v>
      </c>
      <c r="P1609">
        <v>-0.12484256455481001</v>
      </c>
      <c r="Q1609">
        <v>4.1009662688533399E-2</v>
      </c>
      <c r="R1609">
        <v>0.99488223716116697</v>
      </c>
      <c r="S1609" t="s">
        <v>8226</v>
      </c>
      <c r="T1609" t="s">
        <v>13232</v>
      </c>
      <c r="U1609" t="s">
        <v>13232</v>
      </c>
      <c r="V1609" t="s">
        <v>13232</v>
      </c>
      <c r="W1609" t="s">
        <v>14800</v>
      </c>
      <c r="X1609">
        <v>7</v>
      </c>
      <c r="Y1609" t="s">
        <v>21316</v>
      </c>
      <c r="Z1609" t="s">
        <v>27740</v>
      </c>
      <c r="AA1609">
        <v>0.5798062955563803</v>
      </c>
      <c r="AB1609" t="str">
        <f>HYPERLINK("Melting_Curves/meltCurve_O95865_DDAH2.pdf", "Melting_Curves/meltCurve_O95865_DDAH2.pdf")</f>
        <v>Melting_Curves/meltCurve_O95865_DDAH2.pdf</v>
      </c>
    </row>
    <row r="1610" spans="1:28" x14ac:dyDescent="0.25">
      <c r="A1610" t="s">
        <v>1614</v>
      </c>
      <c r="B1610">
        <v>0.99930955844802105</v>
      </c>
      <c r="C1610">
        <v>0.87372284415481305</v>
      </c>
      <c r="D1610">
        <v>0.83512176514696002</v>
      </c>
      <c r="E1610">
        <v>0.83591344670441503</v>
      </c>
      <c r="F1610">
        <v>0.66747917288807601</v>
      </c>
      <c r="G1610">
        <v>0.359199738877299</v>
      </c>
      <c r="H1610">
        <v>0.17826045969743801</v>
      </c>
      <c r="I1610">
        <v>0.153557914640921</v>
      </c>
      <c r="J1610">
        <v>0.138907430042263</v>
      </c>
      <c r="K1610">
        <v>0.11244258072706401</v>
      </c>
      <c r="L1610">
        <v>743.07482212107197</v>
      </c>
      <c r="M1610">
        <v>13.624809603420299</v>
      </c>
      <c r="N1610">
        <v>54.9323361025194</v>
      </c>
      <c r="O1610">
        <v>53.403724108763697</v>
      </c>
      <c r="P1610">
        <v>-6.0822199264407101E-2</v>
      </c>
      <c r="Q1610">
        <v>4.65469457223169E-2</v>
      </c>
      <c r="R1610">
        <v>0.97503721681502598</v>
      </c>
      <c r="S1610" t="s">
        <v>8227</v>
      </c>
      <c r="T1610" t="s">
        <v>13232</v>
      </c>
      <c r="U1610" t="s">
        <v>13232</v>
      </c>
      <c r="V1610" t="s">
        <v>13232</v>
      </c>
      <c r="W1610" t="s">
        <v>14801</v>
      </c>
      <c r="X1610">
        <v>10</v>
      </c>
      <c r="Y1610" t="s">
        <v>21317</v>
      </c>
      <c r="Z1610" t="s">
        <v>27741</v>
      </c>
      <c r="AA1610">
        <v>0.52962622063451936</v>
      </c>
      <c r="AB1610" t="str">
        <f>HYPERLINK("Melting_Curves/meltCurve_O95881_TXNDC12.pdf", "Melting_Curves/meltCurve_O95881_TXNDC12.pdf")</f>
        <v>Melting_Curves/meltCurve_O95881_TXNDC12.pdf</v>
      </c>
    </row>
    <row r="1611" spans="1:28" x14ac:dyDescent="0.25">
      <c r="A1611" t="s">
        <v>1615</v>
      </c>
      <c r="B1611">
        <v>0.99930955844802105</v>
      </c>
      <c r="C1611">
        <v>0.988838225268038</v>
      </c>
      <c r="D1611">
        <v>0.91234870278010305</v>
      </c>
      <c r="E1611">
        <v>0.722706386997373</v>
      </c>
      <c r="F1611">
        <v>0.48299624512302902</v>
      </c>
      <c r="G1611">
        <v>0.38812763949326601</v>
      </c>
      <c r="H1611">
        <v>0.43091957947159998</v>
      </c>
      <c r="I1611">
        <v>0.47916012212499098</v>
      </c>
      <c r="J1611">
        <v>0.54278228644847804</v>
      </c>
      <c r="K1611">
        <v>0.415431594377564</v>
      </c>
      <c r="L1611">
        <v>1606.11323619982</v>
      </c>
      <c r="M1611">
        <v>32.337033131741897</v>
      </c>
      <c r="N1611">
        <v>53.3704867374747</v>
      </c>
      <c r="O1611">
        <v>49.479133106433999</v>
      </c>
      <c r="P1611">
        <v>-9.0361777207022195E-2</v>
      </c>
      <c r="Q1611">
        <v>0.44694979350951403</v>
      </c>
      <c r="R1611">
        <v>0.96350620144141796</v>
      </c>
      <c r="S1611" t="s">
        <v>8228</v>
      </c>
      <c r="T1611" t="s">
        <v>13232</v>
      </c>
      <c r="U1611" t="s">
        <v>13232</v>
      </c>
      <c r="V1611" t="s">
        <v>13232</v>
      </c>
      <c r="W1611" t="s">
        <v>14802</v>
      </c>
      <c r="X1611">
        <v>9</v>
      </c>
      <c r="Y1611" t="s">
        <v>21318</v>
      </c>
      <c r="Z1611" t="s">
        <v>27742</v>
      </c>
      <c r="AA1611">
        <v>0.62809986571233267</v>
      </c>
      <c r="AB1611" t="str">
        <f>HYPERLINK("Melting_Curves/meltCurve_O95905_ECD.pdf", "Melting_Curves/meltCurve_O95905_ECD.pdf")</f>
        <v>Melting_Curves/meltCurve_O95905_ECD.pdf</v>
      </c>
    </row>
    <row r="1612" spans="1:28" x14ac:dyDescent="0.25">
      <c r="A1612" t="s">
        <v>1616</v>
      </c>
      <c r="B1612">
        <v>0.99930955844802105</v>
      </c>
      <c r="C1612">
        <v>1.00275226225918</v>
      </c>
      <c r="D1612">
        <v>0.98134954174770095</v>
      </c>
      <c r="E1612">
        <v>0.95949333231848599</v>
      </c>
      <c r="F1612">
        <v>0.87006994838100804</v>
      </c>
      <c r="G1612">
        <v>0.79960323684410295</v>
      </c>
      <c r="H1612">
        <v>0.735184299764719</v>
      </c>
      <c r="I1612">
        <v>0.82017093232893101</v>
      </c>
      <c r="J1612">
        <v>0.78468347009768602</v>
      </c>
      <c r="K1612">
        <v>0.62781319720248996</v>
      </c>
      <c r="L1612">
        <v>624.55309691995899</v>
      </c>
      <c r="M1612">
        <v>11.1599482469477</v>
      </c>
      <c r="O1612">
        <v>54.257051370887098</v>
      </c>
      <c r="P1612">
        <v>-1.6455344560912601E-2</v>
      </c>
      <c r="Q1612">
        <v>0.68009398465406001</v>
      </c>
      <c r="R1612">
        <v>0.86435884374455796</v>
      </c>
      <c r="S1612" t="s">
        <v>8229</v>
      </c>
      <c r="T1612" t="s">
        <v>13232</v>
      </c>
      <c r="U1612" t="s">
        <v>13232</v>
      </c>
      <c r="V1612" t="s">
        <v>13232</v>
      </c>
      <c r="W1612" t="s">
        <v>14803</v>
      </c>
      <c r="X1612">
        <v>5</v>
      </c>
      <c r="Y1612" t="s">
        <v>21319</v>
      </c>
      <c r="Z1612" t="s">
        <v>27743</v>
      </c>
      <c r="AA1612">
        <v>0.85703970927228112</v>
      </c>
      <c r="AB1612" t="str">
        <f>HYPERLINK("Melting_Curves/meltCurve_O95926_SYF2.pdf", "Melting_Curves/meltCurve_O95926_SYF2.pdf")</f>
        <v>Melting_Curves/meltCurve_O95926_SYF2.pdf</v>
      </c>
    </row>
    <row r="1613" spans="1:28" x14ac:dyDescent="0.25">
      <c r="A1613" t="s">
        <v>1617</v>
      </c>
      <c r="B1613">
        <v>0.99930955844802105</v>
      </c>
      <c r="C1613">
        <v>0.83190270953693302</v>
      </c>
      <c r="D1613">
        <v>0.84894280741830597</v>
      </c>
      <c r="E1613">
        <v>0.85136974388981401</v>
      </c>
      <c r="F1613">
        <v>0.66349754416353302</v>
      </c>
      <c r="G1613">
        <v>0.436784227688988</v>
      </c>
      <c r="H1613">
        <v>0.39018299819601399</v>
      </c>
      <c r="I1613">
        <v>0.37995814193447103</v>
      </c>
      <c r="J1613">
        <v>0.35897664561766701</v>
      </c>
      <c r="K1613">
        <v>0.30668708995592397</v>
      </c>
      <c r="L1613">
        <v>530.56062043829002</v>
      </c>
      <c r="M1613">
        <v>9.8883672384791108</v>
      </c>
      <c r="N1613">
        <v>57.399212772382803</v>
      </c>
      <c r="O1613">
        <v>51.598899441142699</v>
      </c>
      <c r="P1613">
        <v>-3.6541383476604503E-2</v>
      </c>
      <c r="Q1613">
        <v>0.23767458355951701</v>
      </c>
      <c r="R1613">
        <v>0.94877971592358801</v>
      </c>
      <c r="S1613" t="s">
        <v>8230</v>
      </c>
      <c r="T1613" t="s">
        <v>13232</v>
      </c>
      <c r="U1613" t="s">
        <v>13232</v>
      </c>
      <c r="V1613" t="s">
        <v>13232</v>
      </c>
      <c r="W1613" t="s">
        <v>14804</v>
      </c>
      <c r="X1613">
        <v>13</v>
      </c>
      <c r="Y1613" t="s">
        <v>21320</v>
      </c>
      <c r="Z1613" t="s">
        <v>27744</v>
      </c>
      <c r="AA1613">
        <v>0.60897291376517482</v>
      </c>
      <c r="AB1613" t="str">
        <f>HYPERLINK("Melting_Curves/meltCurve_O95983_MBD3.pdf", "Melting_Curves/meltCurve_O95983_MBD3.pdf")</f>
        <v>Melting_Curves/meltCurve_O95983_MBD3.pdf</v>
      </c>
    </row>
    <row r="1614" spans="1:28" x14ac:dyDescent="0.25">
      <c r="A1614" t="s">
        <v>1618</v>
      </c>
      <c r="B1614">
        <v>0.99930955844802105</v>
      </c>
      <c r="C1614">
        <v>0.97534259430048398</v>
      </c>
      <c r="D1614">
        <v>0.93164268883837897</v>
      </c>
      <c r="E1614">
        <v>0.79784257385407797</v>
      </c>
      <c r="F1614">
        <v>0.60060268469377298</v>
      </c>
      <c r="G1614">
        <v>0.33252173476234498</v>
      </c>
      <c r="H1614">
        <v>0.16666235701322599</v>
      </c>
      <c r="I1614">
        <v>0.15597231911868201</v>
      </c>
      <c r="J1614">
        <v>0.15371240882876999</v>
      </c>
      <c r="K1614">
        <v>0.120350964770835</v>
      </c>
      <c r="L1614">
        <v>950.23056248741898</v>
      </c>
      <c r="M1614">
        <v>17.774789215127299</v>
      </c>
      <c r="N1614">
        <v>54.204301583802902</v>
      </c>
      <c r="O1614">
        <v>52.7965757526825</v>
      </c>
      <c r="P1614">
        <v>-7.5050467228438694E-2</v>
      </c>
      <c r="Q1614">
        <v>0.108354611424636</v>
      </c>
      <c r="R1614">
        <v>0.99827450488286096</v>
      </c>
      <c r="S1614" t="s">
        <v>8231</v>
      </c>
      <c r="T1614" t="s">
        <v>13232</v>
      </c>
      <c r="U1614" t="s">
        <v>13232</v>
      </c>
      <c r="V1614" t="s">
        <v>13232</v>
      </c>
      <c r="W1614" t="s">
        <v>14805</v>
      </c>
      <c r="X1614">
        <v>18</v>
      </c>
      <c r="Y1614" t="s">
        <v>21321</v>
      </c>
      <c r="Z1614" t="s">
        <v>27745</v>
      </c>
      <c r="AA1614">
        <v>0.52313443405208249</v>
      </c>
      <c r="AB1614" t="str">
        <f>HYPERLINK("Melting_Curves/meltCurve_O95985_TOP3B.pdf", "Melting_Curves/meltCurve_O95985_TOP3B.pdf")</f>
        <v>Melting_Curves/meltCurve_O95985_TOP3B.pdf</v>
      </c>
    </row>
    <row r="1615" spans="1:28" x14ac:dyDescent="0.25">
      <c r="A1615" t="s">
        <v>1619</v>
      </c>
      <c r="B1615">
        <v>0.99930955844802105</v>
      </c>
      <c r="C1615">
        <v>1.1132055025204799</v>
      </c>
      <c r="D1615">
        <v>1.0853573272980599</v>
      </c>
      <c r="E1615">
        <v>1.0309375120530999</v>
      </c>
      <c r="F1615">
        <v>0.85505407514236298</v>
      </c>
      <c r="G1615">
        <v>0.58288877932175798</v>
      </c>
      <c r="H1615">
        <v>0.24756243867715899</v>
      </c>
      <c r="I1615">
        <v>0.13307801696765101</v>
      </c>
      <c r="J1615">
        <v>9.7159553829416698E-2</v>
      </c>
      <c r="K1615">
        <v>7.2919539082626994E-2</v>
      </c>
      <c r="L1615">
        <v>1387.1631703790299</v>
      </c>
      <c r="M1615">
        <v>24.1526914191743</v>
      </c>
      <c r="N1615">
        <v>57.759732692844501</v>
      </c>
      <c r="O1615">
        <v>57.043682534708502</v>
      </c>
      <c r="P1615">
        <v>-9.9095640958663606E-2</v>
      </c>
      <c r="Q1615">
        <v>6.3840231354527405E-2</v>
      </c>
      <c r="R1615">
        <v>0.98590387606700802</v>
      </c>
      <c r="S1615" t="s">
        <v>8232</v>
      </c>
      <c r="T1615" t="s">
        <v>13232</v>
      </c>
      <c r="U1615" t="s">
        <v>13232</v>
      </c>
      <c r="V1615" t="s">
        <v>13232</v>
      </c>
      <c r="W1615" t="s">
        <v>14806</v>
      </c>
      <c r="X1615">
        <v>12</v>
      </c>
      <c r="Y1615" t="s">
        <v>21322</v>
      </c>
      <c r="Z1615" t="s">
        <v>27746</v>
      </c>
      <c r="AA1615">
        <v>0.61660024226545618</v>
      </c>
      <c r="AB1615" t="str">
        <f>HYPERLINK("Melting_Curves/meltCurve_O95989_NUDT3.pdf", "Melting_Curves/meltCurve_O95989_NUDT3.pdf")</f>
        <v>Melting_Curves/meltCurve_O95989_NUDT3.pdf</v>
      </c>
    </row>
    <row r="1616" spans="1:28" x14ac:dyDescent="0.25">
      <c r="A1616" t="s">
        <v>1620</v>
      </c>
      <c r="B1616">
        <v>0.99930955844802105</v>
      </c>
      <c r="C1616">
        <v>1.0405547654501901</v>
      </c>
      <c r="D1616">
        <v>1.0003827944857999</v>
      </c>
      <c r="E1616">
        <v>0.78841824573030395</v>
      </c>
      <c r="F1616">
        <v>0.54288715523896802</v>
      </c>
      <c r="G1616">
        <v>0.39670719300590701</v>
      </c>
      <c r="H1616">
        <v>0.31938229404039797</v>
      </c>
      <c r="I1616">
        <v>0.310284512586956</v>
      </c>
      <c r="J1616">
        <v>0.28144258531928901</v>
      </c>
      <c r="K1616">
        <v>0.24599347506321201</v>
      </c>
      <c r="L1616">
        <v>1192.8648517449601</v>
      </c>
      <c r="M1616">
        <v>22.956909164868701</v>
      </c>
      <c r="N1616">
        <v>53.9257962731199</v>
      </c>
      <c r="O1616">
        <v>51.5715792461082</v>
      </c>
      <c r="P1616">
        <v>-7.9752626942073607E-2</v>
      </c>
      <c r="Q1616">
        <v>0.28337192695890201</v>
      </c>
      <c r="R1616">
        <v>0.99315559207656801</v>
      </c>
      <c r="S1616" t="s">
        <v>8233</v>
      </c>
      <c r="T1616" t="s">
        <v>13232</v>
      </c>
      <c r="U1616" t="s">
        <v>13232</v>
      </c>
      <c r="V1616" t="s">
        <v>13232</v>
      </c>
      <c r="W1616" t="s">
        <v>14807</v>
      </c>
      <c r="X1616">
        <v>8</v>
      </c>
      <c r="Y1616" t="s">
        <v>21323</v>
      </c>
      <c r="Z1616" t="s">
        <v>27747</v>
      </c>
      <c r="AA1616">
        <v>0.57678627709132846</v>
      </c>
      <c r="AB1616" t="str">
        <f>HYPERLINK("Melting_Curves/meltCurve_O95999_BCL10.pdf", "Melting_Curves/meltCurve_O95999_BCL10.pdf")</f>
        <v>Melting_Curves/meltCurve_O95999_BCL10.pdf</v>
      </c>
    </row>
    <row r="1617" spans="1:28" x14ac:dyDescent="0.25">
      <c r="A1617" t="s">
        <v>1621</v>
      </c>
      <c r="B1617">
        <v>0.99930955844802105</v>
      </c>
      <c r="C1617">
        <v>1.0095327689645499</v>
      </c>
      <c r="D1617">
        <v>1.0057297100124201</v>
      </c>
      <c r="E1617">
        <v>0.97541573803234904</v>
      </c>
      <c r="F1617">
        <v>0.86883636318084201</v>
      </c>
      <c r="G1617">
        <v>0.70672113949062898</v>
      </c>
      <c r="H1617">
        <v>0.71734441393841997</v>
      </c>
      <c r="I1617">
        <v>0.71062181759878396</v>
      </c>
      <c r="J1617">
        <v>0.665886122186504</v>
      </c>
      <c r="K1617">
        <v>0.50817026074379901</v>
      </c>
      <c r="L1617">
        <v>627.48305334330496</v>
      </c>
      <c r="M1617">
        <v>10.739503958027299</v>
      </c>
      <c r="O1617">
        <v>56.511080775592802</v>
      </c>
      <c r="P1617">
        <v>-2.3113260291497802E-2</v>
      </c>
      <c r="Q1617">
        <v>0.51369364905733605</v>
      </c>
      <c r="R1617">
        <v>0.92056321529174001</v>
      </c>
      <c r="S1617" t="s">
        <v>8234</v>
      </c>
      <c r="T1617" t="s">
        <v>13232</v>
      </c>
      <c r="U1617" t="s">
        <v>13232</v>
      </c>
      <c r="V1617" t="s">
        <v>13232</v>
      </c>
      <c r="W1617" t="s">
        <v>14808</v>
      </c>
      <c r="X1617">
        <v>11</v>
      </c>
      <c r="Y1617" t="s">
        <v>21324</v>
      </c>
      <c r="Z1617" t="s">
        <v>27748</v>
      </c>
      <c r="AA1617">
        <v>0.81671060021535147</v>
      </c>
      <c r="AB1617" t="str">
        <f>HYPERLINK("Melting_Curves/meltCurve_O96007_MOCS2.pdf", "Melting_Curves/meltCurve_O96007_MOCS2.pdf")</f>
        <v>Melting_Curves/meltCurve_O96007_MOCS2.pdf</v>
      </c>
    </row>
    <row r="1618" spans="1:28" x14ac:dyDescent="0.25">
      <c r="A1618" t="s">
        <v>1622</v>
      </c>
      <c r="B1618">
        <v>0.99930955844802105</v>
      </c>
      <c r="C1618">
        <v>0.73365185629118401</v>
      </c>
      <c r="D1618">
        <v>0.63709577902778702</v>
      </c>
      <c r="E1618">
        <v>0.70352991882705096</v>
      </c>
      <c r="F1618">
        <v>0.33726984928297199</v>
      </c>
      <c r="G1618">
        <v>0.19567959255862499</v>
      </c>
      <c r="H1618">
        <v>0.121947054556235</v>
      </c>
      <c r="I1618">
        <v>8.4862736077228704E-2</v>
      </c>
      <c r="J1618">
        <v>6.5061122649350295E-2</v>
      </c>
      <c r="K1618">
        <v>5.9908327918562099E-2</v>
      </c>
      <c r="L1618">
        <v>499.26157850697803</v>
      </c>
      <c r="M1618">
        <v>9.9337844133795699</v>
      </c>
      <c r="N1618">
        <v>50.258929950587799</v>
      </c>
      <c r="O1618">
        <v>48.349445121109298</v>
      </c>
      <c r="P1618">
        <v>-5.1390147475777602E-2</v>
      </c>
      <c r="Q1618">
        <v>0</v>
      </c>
      <c r="R1618">
        <v>0.93963567687340299</v>
      </c>
      <c r="S1618" t="s">
        <v>8235</v>
      </c>
      <c r="T1618" t="s">
        <v>13232</v>
      </c>
      <c r="U1618" t="s">
        <v>13232</v>
      </c>
      <c r="V1618" t="s">
        <v>13232</v>
      </c>
      <c r="W1618" t="s">
        <v>14809</v>
      </c>
      <c r="X1618">
        <v>3</v>
      </c>
      <c r="Y1618" t="s">
        <v>21325</v>
      </c>
      <c r="Z1618" t="s">
        <v>27749</v>
      </c>
      <c r="AA1618">
        <v>0.38662136840736627</v>
      </c>
      <c r="AB1618" t="str">
        <f>HYPERLINK("Melting_Curves/meltCurve_O96008_TOMM40.pdf", "Melting_Curves/meltCurve_O96008_TOMM40.pdf")</f>
        <v>Melting_Curves/meltCurve_O96008_TOMM40.pdf</v>
      </c>
    </row>
    <row r="1619" spans="1:28" x14ac:dyDescent="0.25">
      <c r="A1619" t="s">
        <v>1623</v>
      </c>
      <c r="B1619">
        <v>0.99930955844802105</v>
      </c>
      <c r="C1619">
        <v>0.88175315729715997</v>
      </c>
      <c r="D1619">
        <v>0.74416472217729501</v>
      </c>
      <c r="E1619">
        <v>0.54660010492142896</v>
      </c>
      <c r="F1619">
        <v>0.39010833579223197</v>
      </c>
      <c r="G1619">
        <v>0.316641923532473</v>
      </c>
      <c r="H1619">
        <v>0.27434910245293798</v>
      </c>
      <c r="I1619">
        <v>0.27061586144690702</v>
      </c>
      <c r="J1619">
        <v>0.24294828413188899</v>
      </c>
      <c r="K1619">
        <v>0.20454533662305099</v>
      </c>
      <c r="L1619">
        <v>677.11544915839704</v>
      </c>
      <c r="M1619">
        <v>13.953871523951101</v>
      </c>
      <c r="N1619">
        <v>50.6808353814085</v>
      </c>
      <c r="O1619">
        <v>47.5612444272696</v>
      </c>
      <c r="P1619">
        <v>-5.69393875415884E-2</v>
      </c>
      <c r="Q1619">
        <v>0.223801033652722</v>
      </c>
      <c r="R1619">
        <v>0.99540245118572002</v>
      </c>
      <c r="S1619" t="s">
        <v>8236</v>
      </c>
      <c r="T1619" t="s">
        <v>13232</v>
      </c>
      <c r="U1619" t="s">
        <v>13232</v>
      </c>
      <c r="V1619" t="s">
        <v>13232</v>
      </c>
      <c r="W1619" t="s">
        <v>14810</v>
      </c>
      <c r="X1619">
        <v>7</v>
      </c>
      <c r="Y1619" t="s">
        <v>21326</v>
      </c>
      <c r="Z1619" t="s">
        <v>27750</v>
      </c>
      <c r="AA1619">
        <v>0.46676856174788628</v>
      </c>
      <c r="AB1619" t="str">
        <f>HYPERLINK("Melting_Curves/meltCurve_O96013_PAK4.pdf", "Melting_Curves/meltCurve_O96013_PAK4.pdf")</f>
        <v>Melting_Curves/meltCurve_O96013_PAK4.pdf</v>
      </c>
    </row>
    <row r="1620" spans="1:28" x14ac:dyDescent="0.25">
      <c r="A1620" t="s">
        <v>1624</v>
      </c>
      <c r="B1620">
        <v>0.99930955844802105</v>
      </c>
      <c r="C1620">
        <v>0.94370434167615502</v>
      </c>
      <c r="D1620">
        <v>0.79160405484157603</v>
      </c>
      <c r="E1620">
        <v>0.54785474690476099</v>
      </c>
      <c r="F1620">
        <v>0.29778991902318103</v>
      </c>
      <c r="G1620">
        <v>0.20249200513848201</v>
      </c>
      <c r="H1620">
        <v>0.13433270771154501</v>
      </c>
      <c r="I1620">
        <v>0.108113333435712</v>
      </c>
      <c r="J1620">
        <v>9.6671175640406504E-2</v>
      </c>
      <c r="K1620">
        <v>6.9216151282070204E-2</v>
      </c>
      <c r="L1620">
        <v>805.66786991214303</v>
      </c>
      <c r="M1620">
        <v>16.183532999303299</v>
      </c>
      <c r="N1620">
        <v>50.321866395473101</v>
      </c>
      <c r="O1620">
        <v>49.0416717333676</v>
      </c>
      <c r="P1620">
        <v>-7.5943304625469096E-2</v>
      </c>
      <c r="Q1620">
        <v>7.95316820319555E-2</v>
      </c>
      <c r="R1620">
        <v>0.99753915881002797</v>
      </c>
      <c r="S1620" t="s">
        <v>8237</v>
      </c>
      <c r="T1620" t="s">
        <v>13232</v>
      </c>
      <c r="U1620" t="s">
        <v>13232</v>
      </c>
      <c r="V1620" t="s">
        <v>13232</v>
      </c>
      <c r="W1620" t="s">
        <v>14811</v>
      </c>
      <c r="X1620">
        <v>13</v>
      </c>
      <c r="Y1620" t="s">
        <v>21327</v>
      </c>
      <c r="Z1620" t="s">
        <v>27751</v>
      </c>
      <c r="AA1620">
        <v>0.39894650458836411</v>
      </c>
      <c r="AB1620" t="str">
        <f>HYPERLINK("Melting_Curves/meltCurve_O96017_CHEK2.pdf", "Melting_Curves/meltCurve_O96017_CHEK2.pdf")</f>
        <v>Melting_Curves/meltCurve_O96017_CHEK2.pdf</v>
      </c>
    </row>
    <row r="1621" spans="1:28" x14ac:dyDescent="0.25">
      <c r="A1621" t="s">
        <v>1625</v>
      </c>
      <c r="B1621">
        <v>0.99930955844802105</v>
      </c>
      <c r="C1621">
        <v>0.85126382259583599</v>
      </c>
      <c r="D1621">
        <v>0.52953485641643105</v>
      </c>
      <c r="E1621">
        <v>0.30348777955143802</v>
      </c>
      <c r="F1621">
        <v>0.20875797213998701</v>
      </c>
      <c r="G1621">
        <v>0.16129528173778501</v>
      </c>
      <c r="H1621">
        <v>0.105575839401301</v>
      </c>
      <c r="I1621">
        <v>9.7099555051933004E-2</v>
      </c>
      <c r="J1621">
        <v>7.7890410592743001E-2</v>
      </c>
      <c r="K1621">
        <v>7.5691647795960701E-2</v>
      </c>
      <c r="L1621">
        <v>831.72339816661497</v>
      </c>
      <c r="M1621">
        <v>17.948750781949901</v>
      </c>
      <c r="N1621">
        <v>46.899986830060897</v>
      </c>
      <c r="O1621">
        <v>45.7750572847632</v>
      </c>
      <c r="P1621">
        <v>-8.8558279417893099E-2</v>
      </c>
      <c r="Q1621">
        <v>9.6637148757556995E-2</v>
      </c>
      <c r="R1621">
        <v>0.99174530843709996</v>
      </c>
      <c r="S1621" t="s">
        <v>8238</v>
      </c>
      <c r="T1621" t="s">
        <v>13232</v>
      </c>
      <c r="U1621" t="s">
        <v>13232</v>
      </c>
      <c r="V1621" t="s">
        <v>13232</v>
      </c>
      <c r="W1621" t="s">
        <v>14812</v>
      </c>
      <c r="X1621">
        <v>4</v>
      </c>
      <c r="Y1621" t="s">
        <v>21328</v>
      </c>
      <c r="Z1621" t="s">
        <v>27752</v>
      </c>
      <c r="AA1621">
        <v>0.30493281444935322</v>
      </c>
      <c r="AB1621" t="str">
        <f>HYPERLINK("Melting_Curves/meltCurve_O96018_APBA3.pdf", "Melting_Curves/meltCurve_O96018_APBA3.pdf")</f>
        <v>Melting_Curves/meltCurve_O96018_APBA3.pdf</v>
      </c>
    </row>
    <row r="1622" spans="1:28" x14ac:dyDescent="0.25">
      <c r="A1622" t="s">
        <v>1626</v>
      </c>
      <c r="B1622">
        <v>0.99930955844802105</v>
      </c>
      <c r="C1622">
        <v>0.92897788352309896</v>
      </c>
      <c r="D1622">
        <v>0.88163158062760905</v>
      </c>
      <c r="E1622">
        <v>0.70592300099202598</v>
      </c>
      <c r="F1622">
        <v>0.37632936085567997</v>
      </c>
      <c r="G1622">
        <v>0.187600673624437</v>
      </c>
      <c r="H1622">
        <v>0.10802249537531999</v>
      </c>
      <c r="I1622">
        <v>8.2677057829543404E-2</v>
      </c>
      <c r="J1622">
        <v>7.5350576376520997E-2</v>
      </c>
      <c r="K1622">
        <v>5.7017571838099801E-2</v>
      </c>
      <c r="L1622">
        <v>963.40969014832501</v>
      </c>
      <c r="M1622">
        <v>18.697283695646</v>
      </c>
      <c r="N1622">
        <v>51.852801087988801</v>
      </c>
      <c r="O1622">
        <v>50.948150619300201</v>
      </c>
      <c r="P1622">
        <v>-8.6661585750784295E-2</v>
      </c>
      <c r="Q1622">
        <v>5.5464928600342703E-2</v>
      </c>
      <c r="R1622">
        <v>0.99533368663177602</v>
      </c>
      <c r="S1622" t="s">
        <v>8239</v>
      </c>
      <c r="T1622" t="s">
        <v>13232</v>
      </c>
      <c r="U1622" t="s">
        <v>13232</v>
      </c>
      <c r="V1622" t="s">
        <v>13232</v>
      </c>
      <c r="W1622" t="s">
        <v>14813</v>
      </c>
      <c r="X1622">
        <v>19</v>
      </c>
      <c r="Y1622" t="s">
        <v>21329</v>
      </c>
      <c r="Z1622" t="s">
        <v>27753</v>
      </c>
      <c r="AA1622">
        <v>0.43316543669509677</v>
      </c>
      <c r="AB1622" t="str">
        <f>HYPERLINK("Melting_Curves/meltCurve_O96019_ACTL6A.pdf", "Melting_Curves/meltCurve_O96019_ACTL6A.pdf")</f>
        <v>Melting_Curves/meltCurve_O96019_ACTL6A.pdf</v>
      </c>
    </row>
    <row r="1623" spans="1:28" x14ac:dyDescent="0.25">
      <c r="A1623" t="s">
        <v>1627</v>
      </c>
      <c r="B1623">
        <v>0.99930955844802105</v>
      </c>
      <c r="C1623">
        <v>0.95014389295866397</v>
      </c>
      <c r="D1623">
        <v>0.92329651465194496</v>
      </c>
      <c r="E1623">
        <v>0.82860989304522503</v>
      </c>
      <c r="F1623">
        <v>0.69144187014207203</v>
      </c>
      <c r="G1623">
        <v>0.56428903382113704</v>
      </c>
      <c r="H1623">
        <v>0.513182774727303</v>
      </c>
      <c r="I1623">
        <v>0.55569458062308696</v>
      </c>
      <c r="J1623">
        <v>0.53621941023370501</v>
      </c>
      <c r="K1623">
        <v>0.42392650640798302</v>
      </c>
      <c r="L1623">
        <v>739.07747156187304</v>
      </c>
      <c r="M1623">
        <v>14.2397560747995</v>
      </c>
      <c r="N1623">
        <v>65.1282791743578</v>
      </c>
      <c r="O1623">
        <v>50.910969538035303</v>
      </c>
      <c r="P1623">
        <v>-3.69066949751145E-2</v>
      </c>
      <c r="Q1623">
        <v>0.47225978515762301</v>
      </c>
      <c r="R1623">
        <v>0.97438382748492403</v>
      </c>
      <c r="S1623" t="s">
        <v>8240</v>
      </c>
      <c r="T1623" t="s">
        <v>13232</v>
      </c>
      <c r="U1623" t="s">
        <v>13232</v>
      </c>
      <c r="V1623" t="s">
        <v>13232</v>
      </c>
      <c r="W1623" t="s">
        <v>14814</v>
      </c>
      <c r="X1623">
        <v>8</v>
      </c>
      <c r="Y1623" t="s">
        <v>21330</v>
      </c>
      <c r="Z1623" t="s">
        <v>27754</v>
      </c>
      <c r="AA1623">
        <v>0.694446976906126</v>
      </c>
      <c r="AB1623" t="str">
        <f>HYPERLINK("Melting_Curves/meltCurve_O96028_WHSC1.pdf", "Melting_Curves/meltCurve_O96028_WHSC1.pdf")</f>
        <v>Melting_Curves/meltCurve_O96028_WHSC1.pdf</v>
      </c>
    </row>
    <row r="1624" spans="1:28" x14ac:dyDescent="0.25">
      <c r="A1624" t="s">
        <v>1628</v>
      </c>
      <c r="B1624">
        <v>0.99930955844802105</v>
      </c>
      <c r="C1624">
        <v>0.99201411139500795</v>
      </c>
      <c r="D1624">
        <v>1.0064619841821301</v>
      </c>
      <c r="E1624">
        <v>0.87841664939561304</v>
      </c>
      <c r="F1624">
        <v>0.73705584111687295</v>
      </c>
      <c r="G1624">
        <v>0.63780376554611595</v>
      </c>
      <c r="H1624">
        <v>0.50737189120868498</v>
      </c>
      <c r="I1624">
        <v>0.39447107933783498</v>
      </c>
      <c r="J1624">
        <v>0.27026825152691603</v>
      </c>
      <c r="K1624">
        <v>0.15548987365092501</v>
      </c>
      <c r="L1624">
        <v>591.89341677186906</v>
      </c>
      <c r="M1624">
        <v>9.8140556137395905</v>
      </c>
      <c r="N1624">
        <v>60.310769352555397</v>
      </c>
      <c r="O1624">
        <v>57.966702585781</v>
      </c>
      <c r="P1624">
        <v>-4.2348381218012897E-2</v>
      </c>
      <c r="Q1624">
        <v>0</v>
      </c>
      <c r="R1624">
        <v>0.98796267672636195</v>
      </c>
      <c r="S1624" t="s">
        <v>8241</v>
      </c>
      <c r="T1624" t="s">
        <v>13232</v>
      </c>
      <c r="U1624" t="s">
        <v>13232</v>
      </c>
      <c r="V1624" t="s">
        <v>13232</v>
      </c>
      <c r="W1624" t="s">
        <v>14815</v>
      </c>
      <c r="X1624">
        <v>5</v>
      </c>
      <c r="Y1624" t="s">
        <v>21324</v>
      </c>
      <c r="Z1624" t="s">
        <v>27755</v>
      </c>
      <c r="AA1624">
        <v>0.66973455957959771</v>
      </c>
      <c r="AB1624" t="str">
        <f>HYPERLINK("Melting_Curves/meltCurve_O96033_MOCS2.pdf", "Melting_Curves/meltCurve_O96033_MOCS2.pdf")</f>
        <v>Melting_Curves/meltCurve_O96033_MOCS2.pdf</v>
      </c>
    </row>
    <row r="1625" spans="1:28" x14ac:dyDescent="0.25">
      <c r="A1625" t="s">
        <v>1629</v>
      </c>
      <c r="B1625">
        <v>0.99930955844802105</v>
      </c>
      <c r="C1625">
        <v>1.04212852565683</v>
      </c>
      <c r="D1625">
        <v>1.05239402028778</v>
      </c>
      <c r="E1625">
        <v>0.98528354842322596</v>
      </c>
      <c r="F1625">
        <v>1.05843032098736</v>
      </c>
      <c r="G1625">
        <v>0.90708223810437005</v>
      </c>
      <c r="H1625">
        <v>0.52491288685802096</v>
      </c>
      <c r="I1625">
        <v>0.29173907718652198</v>
      </c>
      <c r="J1625">
        <v>0.153459508148518</v>
      </c>
      <c r="K1625">
        <v>9.3558883823279093E-2</v>
      </c>
      <c r="L1625">
        <v>1820.84459797404</v>
      </c>
      <c r="M1625">
        <v>29.849433838806</v>
      </c>
      <c r="N1625">
        <v>61.405026736501803</v>
      </c>
      <c r="O1625">
        <v>60.729150628286398</v>
      </c>
      <c r="P1625">
        <v>-0.11192351126474</v>
      </c>
      <c r="Q1625">
        <v>8.9165364890760601E-2</v>
      </c>
      <c r="R1625">
        <v>0.99269559838277199</v>
      </c>
      <c r="S1625" t="s">
        <v>8242</v>
      </c>
      <c r="T1625" t="s">
        <v>13232</v>
      </c>
      <c r="U1625" t="s">
        <v>13232</v>
      </c>
      <c r="V1625" t="s">
        <v>13232</v>
      </c>
      <c r="W1625" t="s">
        <v>14816</v>
      </c>
      <c r="X1625">
        <v>24</v>
      </c>
      <c r="Y1625" t="s">
        <v>20309</v>
      </c>
      <c r="Z1625" t="s">
        <v>27756</v>
      </c>
      <c r="AA1625">
        <v>0.73183252182825931</v>
      </c>
      <c r="AB1625" t="str">
        <f>HYPERLINK("Melting_Curves/meltCurve_P00338_LDHA.pdf", "Melting_Curves/meltCurve_P00338_LDHA.pdf")</f>
        <v>Melting_Curves/meltCurve_P00338_LDHA.pdf</v>
      </c>
    </row>
    <row r="1626" spans="1:28" x14ac:dyDescent="0.25">
      <c r="A1626" t="s">
        <v>1630</v>
      </c>
      <c r="B1626">
        <v>0.99930955844802105</v>
      </c>
      <c r="C1626">
        <v>0.876516568997881</v>
      </c>
      <c r="D1626">
        <v>0.88630837519723005</v>
      </c>
      <c r="E1626">
        <v>0.92124196550180804</v>
      </c>
      <c r="F1626">
        <v>0.96890042683311195</v>
      </c>
      <c r="G1626">
        <v>0.72316339821019204</v>
      </c>
      <c r="H1626">
        <v>0.37060998907451598</v>
      </c>
      <c r="I1626">
        <v>0.38365898096624801</v>
      </c>
      <c r="J1626">
        <v>0.22371552733285899</v>
      </c>
      <c r="K1626">
        <v>8.0665564022860695E-2</v>
      </c>
      <c r="L1626">
        <v>886.345370681644</v>
      </c>
      <c r="M1626">
        <v>14.6545096117028</v>
      </c>
      <c r="N1626">
        <v>60.482772586721602</v>
      </c>
      <c r="O1626">
        <v>59.389992703743403</v>
      </c>
      <c r="P1626">
        <v>-6.1694449087715701E-2</v>
      </c>
      <c r="Q1626">
        <v>0</v>
      </c>
      <c r="R1626">
        <v>0.95200295809993196</v>
      </c>
      <c r="S1626" t="s">
        <v>8243</v>
      </c>
      <c r="T1626" t="s">
        <v>13232</v>
      </c>
      <c r="U1626" t="s">
        <v>13232</v>
      </c>
      <c r="V1626" t="s">
        <v>13232</v>
      </c>
      <c r="W1626" t="s">
        <v>14817</v>
      </c>
      <c r="X1626">
        <v>26</v>
      </c>
      <c r="Y1626" t="s">
        <v>21331</v>
      </c>
      <c r="Z1626" t="s">
        <v>27757</v>
      </c>
      <c r="AA1626">
        <v>0.6872079711637169</v>
      </c>
      <c r="AB1626" t="str">
        <f>HYPERLINK("Melting_Curves/meltCurve_P00352_ALDH1A1.pdf", "Melting_Curves/meltCurve_P00352_ALDH1A1.pdf")</f>
        <v>Melting_Curves/meltCurve_P00352_ALDH1A1.pdf</v>
      </c>
    </row>
    <row r="1627" spans="1:28" x14ac:dyDescent="0.25">
      <c r="A1627" t="s">
        <v>1631</v>
      </c>
      <c r="B1627">
        <v>0.99930955844802105</v>
      </c>
      <c r="C1627">
        <v>0.74935724614978905</v>
      </c>
      <c r="D1627">
        <v>0.83261354488641104</v>
      </c>
      <c r="E1627">
        <v>0.92736690396774601</v>
      </c>
      <c r="F1627">
        <v>0.75185353737276694</v>
      </c>
      <c r="G1627">
        <v>0.32209005472621</v>
      </c>
      <c r="H1627">
        <v>0.136650303703794</v>
      </c>
      <c r="I1627">
        <v>0.11253126882850201</v>
      </c>
      <c r="J1627">
        <v>9.3587305826067502E-2</v>
      </c>
      <c r="K1627">
        <v>6.28152348199498E-2</v>
      </c>
      <c r="L1627">
        <v>1338.8271183481399</v>
      </c>
      <c r="M1627">
        <v>24.380890542602099</v>
      </c>
      <c r="N1627">
        <v>55.253987096920497</v>
      </c>
      <c r="O1627">
        <v>54.5475435561426</v>
      </c>
      <c r="P1627">
        <v>-0.103937890952499</v>
      </c>
      <c r="Q1627">
        <v>6.9849821618769195E-2</v>
      </c>
      <c r="R1627">
        <v>0.93335768844371902</v>
      </c>
      <c r="S1627" t="s">
        <v>8244</v>
      </c>
      <c r="T1627" t="s">
        <v>13232</v>
      </c>
      <c r="U1627" t="s">
        <v>13232</v>
      </c>
      <c r="V1627" t="s">
        <v>13232</v>
      </c>
      <c r="W1627" t="s">
        <v>14818</v>
      </c>
      <c r="X1627">
        <v>25</v>
      </c>
      <c r="Y1627" t="s">
        <v>21332</v>
      </c>
      <c r="Z1627" t="s">
        <v>27758</v>
      </c>
      <c r="AA1627">
        <v>0.54121976850503917</v>
      </c>
      <c r="AB1627" t="str">
        <f>HYPERLINK("Melting_Curves/meltCurve_P00367_GLUD1.pdf", "Melting_Curves/meltCurve_P00367_GLUD1.pdf")</f>
        <v>Melting_Curves/meltCurve_P00367_GLUD1.pdf</v>
      </c>
    </row>
    <row r="1628" spans="1:28" x14ac:dyDescent="0.25">
      <c r="A1628" t="s">
        <v>1632</v>
      </c>
      <c r="B1628">
        <v>0.99930955844802105</v>
      </c>
      <c r="C1628">
        <v>0.99185641970656002</v>
      </c>
      <c r="D1628">
        <v>1.0171703646477099</v>
      </c>
      <c r="E1628">
        <v>1.02696995523301</v>
      </c>
      <c r="F1628">
        <v>0.94935818970528596</v>
      </c>
      <c r="G1628">
        <v>0.74922996013166099</v>
      </c>
      <c r="H1628">
        <v>0.1726591493971</v>
      </c>
      <c r="I1628">
        <v>0.10617638305298401</v>
      </c>
      <c r="J1628">
        <v>8.0794955415647296E-2</v>
      </c>
      <c r="K1628">
        <v>6.4159645457643799E-2</v>
      </c>
      <c r="L1628">
        <v>2601.2639530455199</v>
      </c>
      <c r="M1628">
        <v>44.6776668195022</v>
      </c>
      <c r="N1628">
        <v>58.4350275974518</v>
      </c>
      <c r="O1628">
        <v>58.106637988281001</v>
      </c>
      <c r="P1628">
        <v>-0.17783454123640299</v>
      </c>
      <c r="Q1628">
        <v>7.4853044959698994E-2</v>
      </c>
      <c r="R1628">
        <v>0.99823743801709097</v>
      </c>
      <c r="S1628" t="s">
        <v>8245</v>
      </c>
      <c r="T1628" t="s">
        <v>13232</v>
      </c>
      <c r="U1628" t="s">
        <v>13232</v>
      </c>
      <c r="V1628" t="s">
        <v>13232</v>
      </c>
      <c r="W1628" t="s">
        <v>14819</v>
      </c>
      <c r="X1628">
        <v>14</v>
      </c>
      <c r="Y1628" t="s">
        <v>21333</v>
      </c>
      <c r="Z1628" t="s">
        <v>27759</v>
      </c>
      <c r="AA1628">
        <v>0.63976211032512265</v>
      </c>
      <c r="AB1628" t="str">
        <f>HYPERLINK("Melting_Curves/meltCurve_P00374_DHFR.pdf", "Melting_Curves/meltCurve_P00374_DHFR.pdf")</f>
        <v>Melting_Curves/meltCurve_P00374_DHFR.pdf</v>
      </c>
    </row>
    <row r="1629" spans="1:28" x14ac:dyDescent="0.25">
      <c r="A1629" t="s">
        <v>1633</v>
      </c>
      <c r="B1629">
        <v>0.99930955844802105</v>
      </c>
      <c r="C1629">
        <v>0.81928471109608703</v>
      </c>
      <c r="D1629">
        <v>0.69928446127283705</v>
      </c>
      <c r="E1629">
        <v>0.75732370764942303</v>
      </c>
      <c r="F1629">
        <v>0.419820275501189</v>
      </c>
      <c r="G1629">
        <v>0.14266547139567101</v>
      </c>
      <c r="H1629">
        <v>7.2374721208288695E-2</v>
      </c>
      <c r="I1629">
        <v>6.2297050024390101E-2</v>
      </c>
      <c r="J1629">
        <v>5.1420321118528997E-2</v>
      </c>
      <c r="K1629">
        <v>4.70219161763583E-2</v>
      </c>
      <c r="L1629">
        <v>650.34373747255302</v>
      </c>
      <c r="M1629">
        <v>12.6489588521407</v>
      </c>
      <c r="N1629">
        <v>51.414803813495801</v>
      </c>
      <c r="O1629">
        <v>50.180516827738103</v>
      </c>
      <c r="P1629">
        <v>-6.3029664290259205E-2</v>
      </c>
      <c r="Q1629">
        <v>0</v>
      </c>
      <c r="R1629">
        <v>0.95062380404279301</v>
      </c>
      <c r="S1629" t="s">
        <v>8246</v>
      </c>
      <c r="T1629" t="s">
        <v>13232</v>
      </c>
      <c r="U1629" t="s">
        <v>13232</v>
      </c>
      <c r="V1629" t="s">
        <v>13232</v>
      </c>
      <c r="W1629" t="s">
        <v>14820</v>
      </c>
      <c r="X1629">
        <v>4</v>
      </c>
      <c r="Y1629" t="s">
        <v>21334</v>
      </c>
      <c r="Z1629" t="s">
        <v>27760</v>
      </c>
      <c r="AA1629">
        <v>0.41002184212469561</v>
      </c>
      <c r="AB1629" t="str">
        <f>HYPERLINK("Melting_Curves/meltCurve_P00387_2_CYB5R3.pdf", "Melting_Curves/meltCurve_P00387_2_CYB5R3.pdf")</f>
        <v>Melting_Curves/meltCurve_P00387_2_CYB5R3.pdf</v>
      </c>
    </row>
    <row r="1630" spans="1:28" x14ac:dyDescent="0.25">
      <c r="A1630" t="s">
        <v>1634</v>
      </c>
      <c r="B1630">
        <v>0.99930955844802105</v>
      </c>
      <c r="C1630">
        <v>1.00547214907389</v>
      </c>
      <c r="D1630">
        <v>1.0113285249411399</v>
      </c>
      <c r="E1630">
        <v>0.97781005424922196</v>
      </c>
      <c r="F1630">
        <v>0.92073735801335099</v>
      </c>
      <c r="G1630">
        <v>0.76723300098874503</v>
      </c>
      <c r="H1630">
        <v>0.64887026054221997</v>
      </c>
      <c r="I1630">
        <v>0.60521743265215899</v>
      </c>
      <c r="J1630">
        <v>0.56480172079345003</v>
      </c>
      <c r="K1630">
        <v>0.38295886068951401</v>
      </c>
      <c r="L1630">
        <v>640.46199976223704</v>
      </c>
      <c r="M1630">
        <v>10.118991512303401</v>
      </c>
      <c r="N1630">
        <v>66.988637288682398</v>
      </c>
      <c r="O1630">
        <v>60.970335928647302</v>
      </c>
      <c r="P1630">
        <v>-3.2631960812549099E-2</v>
      </c>
      <c r="Q1630">
        <v>0.21389115742845499</v>
      </c>
      <c r="R1630">
        <v>0.97529587409620899</v>
      </c>
      <c r="S1630" t="s">
        <v>8247</v>
      </c>
      <c r="T1630" t="s">
        <v>13232</v>
      </c>
      <c r="U1630" t="s">
        <v>13232</v>
      </c>
      <c r="V1630" t="s">
        <v>13232</v>
      </c>
      <c r="W1630" t="s">
        <v>14821</v>
      </c>
      <c r="X1630">
        <v>20</v>
      </c>
      <c r="Y1630" t="s">
        <v>21335</v>
      </c>
      <c r="Z1630" t="s">
        <v>27761</v>
      </c>
      <c r="AA1630">
        <v>0.7979176644554774</v>
      </c>
      <c r="AB1630" t="str">
        <f>HYPERLINK("Melting_Curves/meltCurve_P00390_2_GSR.pdf", "Melting_Curves/meltCurve_P00390_2_GSR.pdf")</f>
        <v>Melting_Curves/meltCurve_P00390_2_GSR.pdf</v>
      </c>
    </row>
    <row r="1631" spans="1:28" x14ac:dyDescent="0.25">
      <c r="A1631" t="s">
        <v>1635</v>
      </c>
      <c r="B1631">
        <v>0.99930955844802105</v>
      </c>
      <c r="C1631">
        <v>0.72747293173387595</v>
      </c>
      <c r="D1631">
        <v>0.64566050295622301</v>
      </c>
      <c r="E1631">
        <v>0.70380031026833301</v>
      </c>
      <c r="F1631">
        <v>0.558602554824289</v>
      </c>
      <c r="G1631">
        <v>0.430405583948683</v>
      </c>
      <c r="H1631">
        <v>0.38564723960428898</v>
      </c>
      <c r="I1631">
        <v>0.44667969583021999</v>
      </c>
      <c r="J1631">
        <v>0.41823213960755501</v>
      </c>
      <c r="K1631">
        <v>0.375390784127279</v>
      </c>
      <c r="L1631">
        <v>412.25341193609103</v>
      </c>
      <c r="M1631">
        <v>8.7020852709631402</v>
      </c>
      <c r="N1631">
        <v>55.0676271643867</v>
      </c>
      <c r="O1631">
        <v>45.071829143700299</v>
      </c>
      <c r="P1631">
        <v>-3.1314972620054303E-2</v>
      </c>
      <c r="Q1631">
        <v>0.35175973655321702</v>
      </c>
      <c r="R1631">
        <v>0.88787167990653104</v>
      </c>
      <c r="S1631" t="s">
        <v>8248</v>
      </c>
      <c r="T1631" t="s">
        <v>13232</v>
      </c>
      <c r="U1631" t="s">
        <v>13232</v>
      </c>
      <c r="V1631" t="s">
        <v>13232</v>
      </c>
      <c r="W1631" t="s">
        <v>14822</v>
      </c>
      <c r="X1631">
        <v>2</v>
      </c>
      <c r="Y1631" t="s">
        <v>21336</v>
      </c>
      <c r="Z1631" t="s">
        <v>27762</v>
      </c>
      <c r="AA1631">
        <v>0.55559367467280463</v>
      </c>
      <c r="AB1631" t="str">
        <f>HYPERLINK("Melting_Curves/meltCurve_P00403_MT_CO2.pdf", "Melting_Curves/meltCurve_P00403_MT_CO2.pdf")</f>
        <v>Melting_Curves/meltCurve_P00403_MT_CO2.pdf</v>
      </c>
    </row>
    <row r="1632" spans="1:28" x14ac:dyDescent="0.25">
      <c r="A1632" t="s">
        <v>1636</v>
      </c>
      <c r="B1632">
        <v>0.99930955844802105</v>
      </c>
      <c r="C1632">
        <v>0.964067571380544</v>
      </c>
      <c r="D1632">
        <v>1.05372491736483</v>
      </c>
      <c r="E1632">
        <v>0.85808827045793301</v>
      </c>
      <c r="F1632">
        <v>0.70550582265972706</v>
      </c>
      <c r="G1632">
        <v>0.65057734290523095</v>
      </c>
      <c r="H1632">
        <v>0.65262986475569496</v>
      </c>
      <c r="I1632">
        <v>0.56806547723587797</v>
      </c>
      <c r="J1632">
        <v>0.411854837050672</v>
      </c>
      <c r="K1632">
        <v>0.27828475135105901</v>
      </c>
      <c r="L1632">
        <v>449.131039028114</v>
      </c>
      <c r="M1632">
        <v>7.0466739972531096</v>
      </c>
      <c r="N1632">
        <v>63.736599376241202</v>
      </c>
      <c r="O1632">
        <v>59.200052999956</v>
      </c>
      <c r="P1632">
        <v>-2.9811722498149298E-2</v>
      </c>
      <c r="Q1632">
        <v>0</v>
      </c>
      <c r="R1632">
        <v>0.92854852912611996</v>
      </c>
      <c r="S1632" t="s">
        <v>8249</v>
      </c>
      <c r="T1632" t="s">
        <v>13232</v>
      </c>
      <c r="U1632" t="s">
        <v>13232</v>
      </c>
      <c r="V1632" t="s">
        <v>13232</v>
      </c>
      <c r="W1632" t="s">
        <v>14823</v>
      </c>
      <c r="X1632">
        <v>18</v>
      </c>
      <c r="Y1632" t="s">
        <v>21337</v>
      </c>
      <c r="Z1632" t="s">
        <v>27763</v>
      </c>
      <c r="AA1632">
        <v>0.72069903083074294</v>
      </c>
      <c r="AB1632" t="str">
        <f>HYPERLINK("Melting_Curves/meltCurve_P00441_SOD1.pdf", "Melting_Curves/meltCurve_P00441_SOD1.pdf")</f>
        <v>Melting_Curves/meltCurve_P00441_SOD1.pdf</v>
      </c>
    </row>
    <row r="1633" spans="1:28" x14ac:dyDescent="0.25">
      <c r="A1633" t="s">
        <v>1637</v>
      </c>
      <c r="B1633">
        <v>0.99930955844802105</v>
      </c>
      <c r="C1633">
        <v>1.10716513364716</v>
      </c>
      <c r="D1633">
        <v>1.0937051007541001</v>
      </c>
      <c r="E1633">
        <v>1.06173559215888</v>
      </c>
      <c r="F1633">
        <v>1.0142379203101</v>
      </c>
      <c r="G1633">
        <v>0.82784474710295097</v>
      </c>
      <c r="H1633">
        <v>0.74780231355286997</v>
      </c>
      <c r="I1633">
        <v>0.66074401155176699</v>
      </c>
      <c r="J1633">
        <v>0.62688287451917002</v>
      </c>
      <c r="K1633">
        <v>0.30128780542118999</v>
      </c>
      <c r="L1633">
        <v>841.21507636968795</v>
      </c>
      <c r="M1633">
        <v>12.4976189052871</v>
      </c>
      <c r="N1633">
        <v>67.310032235378202</v>
      </c>
      <c r="O1633">
        <v>65.656373560683306</v>
      </c>
      <c r="P1633">
        <v>-4.7597025716453099E-2</v>
      </c>
      <c r="Q1633">
        <v>0</v>
      </c>
      <c r="R1633">
        <v>0.91010585519910803</v>
      </c>
      <c r="S1633" t="s">
        <v>8250</v>
      </c>
      <c r="T1633" t="s">
        <v>13232</v>
      </c>
      <c r="U1633" t="s">
        <v>13232</v>
      </c>
      <c r="V1633" t="s">
        <v>13232</v>
      </c>
      <c r="W1633" t="s">
        <v>14824</v>
      </c>
      <c r="X1633">
        <v>18</v>
      </c>
      <c r="Y1633" t="s">
        <v>21338</v>
      </c>
      <c r="Z1633" t="s">
        <v>27764</v>
      </c>
      <c r="AA1633">
        <v>0.84425405953030042</v>
      </c>
      <c r="AB1633" t="str">
        <f>HYPERLINK("Melting_Curves/meltCurve_P00491_PNP.pdf", "Melting_Curves/meltCurve_P00491_PNP.pdf")</f>
        <v>Melting_Curves/meltCurve_P00491_PNP.pdf</v>
      </c>
    </row>
    <row r="1634" spans="1:28" x14ac:dyDescent="0.25">
      <c r="A1634" t="s">
        <v>1638</v>
      </c>
      <c r="B1634">
        <v>0.99930955844802105</v>
      </c>
      <c r="C1634">
        <v>1.0080522799723699</v>
      </c>
      <c r="D1634">
        <v>0.99102629603696502</v>
      </c>
      <c r="E1634">
        <v>0.92641074661223799</v>
      </c>
      <c r="F1634">
        <v>0.90371603521739896</v>
      </c>
      <c r="G1634">
        <v>0.75232284673249805</v>
      </c>
      <c r="H1634">
        <v>0.63924956349289697</v>
      </c>
      <c r="I1634">
        <v>0.62188099649026496</v>
      </c>
      <c r="J1634">
        <v>0.59083037222731705</v>
      </c>
      <c r="K1634">
        <v>0.45992300435502997</v>
      </c>
      <c r="L1634">
        <v>648.89168910847798</v>
      </c>
      <c r="M1634">
        <v>10.8703660404269</v>
      </c>
      <c r="O1634">
        <v>57.780022187447003</v>
      </c>
      <c r="P1634">
        <v>-2.8134190903142401E-2</v>
      </c>
      <c r="Q1634">
        <v>0.40203658059967101</v>
      </c>
      <c r="R1634">
        <v>0.97998337057018203</v>
      </c>
      <c r="S1634" t="s">
        <v>8251</v>
      </c>
      <c r="T1634" t="s">
        <v>13232</v>
      </c>
      <c r="U1634" t="s">
        <v>13232</v>
      </c>
      <c r="V1634" t="s">
        <v>13232</v>
      </c>
      <c r="W1634" t="s">
        <v>14825</v>
      </c>
      <c r="X1634">
        <v>15</v>
      </c>
      <c r="Y1634" t="s">
        <v>21339</v>
      </c>
      <c r="Z1634" t="s">
        <v>27765</v>
      </c>
      <c r="AA1634">
        <v>0.79535414110265112</v>
      </c>
      <c r="AB1634" t="str">
        <f>HYPERLINK("Melting_Curves/meltCurve_P00492_HPRT1.pdf", "Melting_Curves/meltCurve_P00492_HPRT1.pdf")</f>
        <v>Melting_Curves/meltCurve_P00492_HPRT1.pdf</v>
      </c>
    </row>
    <row r="1635" spans="1:28" x14ac:dyDescent="0.25">
      <c r="A1635" t="s">
        <v>1639</v>
      </c>
      <c r="B1635">
        <v>0.99930955844802105</v>
      </c>
      <c r="C1635">
        <v>1.0132697828838599</v>
      </c>
      <c r="D1635">
        <v>1.0141292520467799</v>
      </c>
      <c r="E1635">
        <v>0.99305825630212796</v>
      </c>
      <c r="F1635">
        <v>0.98288649656920102</v>
      </c>
      <c r="G1635">
        <v>0.80654770335761095</v>
      </c>
      <c r="H1635">
        <v>0.736980985096782</v>
      </c>
      <c r="I1635">
        <v>0.67597877473611301</v>
      </c>
      <c r="J1635">
        <v>0.59741777118819495</v>
      </c>
      <c r="K1635">
        <v>0.19225114719467801</v>
      </c>
      <c r="L1635">
        <v>903.92450011783899</v>
      </c>
      <c r="M1635">
        <v>13.6172798106481</v>
      </c>
      <c r="N1635">
        <v>66.380671695694105</v>
      </c>
      <c r="O1635">
        <v>64.998209270768697</v>
      </c>
      <c r="P1635">
        <v>-5.2383320909442199E-2</v>
      </c>
      <c r="Q1635">
        <v>0</v>
      </c>
      <c r="R1635">
        <v>0.92131924606152804</v>
      </c>
      <c r="S1635" t="s">
        <v>8252</v>
      </c>
      <c r="T1635" t="s">
        <v>13232</v>
      </c>
      <c r="U1635" t="s">
        <v>13232</v>
      </c>
      <c r="V1635" t="s">
        <v>13232</v>
      </c>
      <c r="W1635" t="s">
        <v>14826</v>
      </c>
      <c r="X1635">
        <v>28</v>
      </c>
      <c r="Y1635" t="s">
        <v>21340</v>
      </c>
      <c r="Z1635" t="s">
        <v>27766</v>
      </c>
      <c r="AA1635">
        <v>0.83243275997875565</v>
      </c>
      <c r="AB1635" t="str">
        <f>HYPERLINK("Melting_Curves/meltCurve_P00505_GOT2.pdf", "Melting_Curves/meltCurve_P00505_GOT2.pdf")</f>
        <v>Melting_Curves/meltCurve_P00505_GOT2.pdf</v>
      </c>
    </row>
    <row r="1636" spans="1:28" x14ac:dyDescent="0.25">
      <c r="A1636" t="s">
        <v>1640</v>
      </c>
      <c r="B1636">
        <v>0.99930955844802105</v>
      </c>
      <c r="C1636">
        <v>0.95781313924987099</v>
      </c>
      <c r="D1636">
        <v>0.80977391301706703</v>
      </c>
      <c r="E1636">
        <v>0.65472069077111905</v>
      </c>
      <c r="F1636">
        <v>0.46327442032558702</v>
      </c>
      <c r="G1636">
        <v>0.39128969092519</v>
      </c>
      <c r="H1636">
        <v>0.34988312581673497</v>
      </c>
      <c r="I1636">
        <v>0.39254079797170699</v>
      </c>
      <c r="J1636">
        <v>0.38020163559505199</v>
      </c>
      <c r="K1636">
        <v>0.29708475307440402</v>
      </c>
      <c r="L1636">
        <v>822.96325285821001</v>
      </c>
      <c r="M1636">
        <v>16.767446807285602</v>
      </c>
      <c r="N1636">
        <v>52.657160579160198</v>
      </c>
      <c r="O1636">
        <v>48.398833100530801</v>
      </c>
      <c r="P1636">
        <v>-5.7176464047542098E-2</v>
      </c>
      <c r="Q1636">
        <v>0.33988908022423198</v>
      </c>
      <c r="R1636">
        <v>0.98718676781939596</v>
      </c>
      <c r="S1636" t="s">
        <v>8253</v>
      </c>
      <c r="T1636" t="s">
        <v>13232</v>
      </c>
      <c r="U1636" t="s">
        <v>13232</v>
      </c>
      <c r="V1636" t="s">
        <v>13232</v>
      </c>
      <c r="W1636" t="s">
        <v>14827</v>
      </c>
      <c r="X1636">
        <v>38</v>
      </c>
      <c r="Y1636" t="s">
        <v>21341</v>
      </c>
      <c r="Z1636" t="s">
        <v>27767</v>
      </c>
      <c r="AA1636">
        <v>0.55283186187280087</v>
      </c>
      <c r="AB1636" t="str">
        <f>HYPERLINK("Melting_Curves/meltCurve_P00519_ABL1.pdf", "Melting_Curves/meltCurve_P00519_ABL1.pdf")</f>
        <v>Melting_Curves/meltCurve_P00519_ABL1.pdf</v>
      </c>
    </row>
    <row r="1637" spans="1:28" x14ac:dyDescent="0.25">
      <c r="A1637" t="s">
        <v>1641</v>
      </c>
      <c r="B1637">
        <v>0.99930955844802105</v>
      </c>
      <c r="C1637">
        <v>1.0225099733171901</v>
      </c>
      <c r="D1637">
        <v>0.971664304657061</v>
      </c>
      <c r="E1637">
        <v>0.94462592015830105</v>
      </c>
      <c r="F1637">
        <v>0.26443871183315898</v>
      </c>
      <c r="G1637">
        <v>0.13573540469561701</v>
      </c>
      <c r="H1637">
        <v>7.4271633147680399E-2</v>
      </c>
      <c r="I1637">
        <v>6.21398801684237E-2</v>
      </c>
      <c r="J1637">
        <v>5.7101744184035901E-2</v>
      </c>
      <c r="K1637">
        <v>4.1758079033098201E-2</v>
      </c>
      <c r="L1637">
        <v>3565.82869045076</v>
      </c>
      <c r="M1637">
        <v>68.615977184775602</v>
      </c>
      <c r="N1637">
        <v>52.088555167378601</v>
      </c>
      <c r="O1637">
        <v>51.923826017661597</v>
      </c>
      <c r="P1637">
        <v>-0.30609581521222401</v>
      </c>
      <c r="Q1637">
        <v>7.3471800755093103E-2</v>
      </c>
      <c r="R1637">
        <v>0.996653597907459</v>
      </c>
      <c r="S1637" t="s">
        <v>8254</v>
      </c>
      <c r="T1637" t="s">
        <v>13232</v>
      </c>
      <c r="U1637" t="s">
        <v>13232</v>
      </c>
      <c r="V1637" t="s">
        <v>13232</v>
      </c>
      <c r="W1637" t="s">
        <v>14828</v>
      </c>
      <c r="X1637">
        <v>42</v>
      </c>
      <c r="Y1637" t="s">
        <v>21342</v>
      </c>
      <c r="Z1637" t="s">
        <v>27768</v>
      </c>
      <c r="AA1637">
        <v>0.44421671365307203</v>
      </c>
      <c r="AB1637" t="str">
        <f>HYPERLINK("Melting_Curves/meltCurve_P00558_PGK1.pdf", "Melting_Curves/meltCurve_P00558_PGK1.pdf")</f>
        <v>Melting_Curves/meltCurve_P00558_PGK1.pdf</v>
      </c>
    </row>
    <row r="1638" spans="1:28" x14ac:dyDescent="0.25">
      <c r="A1638" t="s">
        <v>1642</v>
      </c>
      <c r="B1638">
        <v>0.99930955844802105</v>
      </c>
      <c r="C1638">
        <v>1.23691567731035</v>
      </c>
      <c r="D1638">
        <v>1.2063841001542801</v>
      </c>
      <c r="E1638">
        <v>0.88171504669448897</v>
      </c>
      <c r="F1638">
        <v>0.32524450671543398</v>
      </c>
      <c r="G1638">
        <v>0.20668167642809901</v>
      </c>
      <c r="H1638">
        <v>0.12995284515830999</v>
      </c>
      <c r="I1638">
        <v>0.12725519383032199</v>
      </c>
      <c r="J1638">
        <v>0.125925117211447</v>
      </c>
      <c r="K1638">
        <v>9.6193843515058802E-2</v>
      </c>
      <c r="L1638">
        <v>2736.6328746312902</v>
      </c>
      <c r="M1638">
        <v>52.877644984668201</v>
      </c>
      <c r="N1638">
        <v>52.064425534381797</v>
      </c>
      <c r="O1638">
        <v>51.680210186399101</v>
      </c>
      <c r="P1638">
        <v>-0.22121394260191701</v>
      </c>
      <c r="Q1638">
        <v>0.13518291877862601</v>
      </c>
      <c r="R1638">
        <v>0.95043611932834204</v>
      </c>
      <c r="S1638" t="s">
        <v>8255</v>
      </c>
      <c r="T1638" t="s">
        <v>13232</v>
      </c>
      <c r="U1638" t="s">
        <v>13232</v>
      </c>
      <c r="V1638" t="s">
        <v>13232</v>
      </c>
      <c r="W1638" t="s">
        <v>14829</v>
      </c>
      <c r="X1638">
        <v>21</v>
      </c>
      <c r="Y1638" t="s">
        <v>21343</v>
      </c>
      <c r="Z1638" t="s">
        <v>27769</v>
      </c>
      <c r="AA1638">
        <v>0.47578415860341922</v>
      </c>
      <c r="AB1638" t="str">
        <f>HYPERLINK("Melting_Curves/meltCurve_P00568_AK1.pdf", "Melting_Curves/meltCurve_P00568_AK1.pdf")</f>
        <v>Melting_Curves/meltCurve_P00568_AK1.pdf</v>
      </c>
    </row>
    <row r="1639" spans="1:28" x14ac:dyDescent="0.25">
      <c r="A1639" t="s">
        <v>1643</v>
      </c>
      <c r="B1639">
        <v>0.99930955844802105</v>
      </c>
      <c r="C1639">
        <v>0.95002571313480599</v>
      </c>
      <c r="D1639">
        <v>0.89568304918171304</v>
      </c>
      <c r="E1639">
        <v>0.85280736107986299</v>
      </c>
      <c r="F1639">
        <v>0.57213364088559904</v>
      </c>
      <c r="G1639">
        <v>0.55564463575027001</v>
      </c>
      <c r="H1639">
        <v>0.50223351423367601</v>
      </c>
      <c r="I1639">
        <v>0.54073516390838505</v>
      </c>
      <c r="J1639">
        <v>0.53576027554127803</v>
      </c>
      <c r="K1639">
        <v>0.40821586668294602</v>
      </c>
      <c r="L1639">
        <v>940.19765554441506</v>
      </c>
      <c r="M1639">
        <v>18.529022274071298</v>
      </c>
      <c r="N1639">
        <v>62.108579996504297</v>
      </c>
      <c r="O1639">
        <v>50.1619386115743</v>
      </c>
      <c r="P1639">
        <v>-4.7729898743598599E-2</v>
      </c>
      <c r="Q1639">
        <v>0.48316347395666098</v>
      </c>
      <c r="R1639">
        <v>0.94298039051203597</v>
      </c>
      <c r="S1639" t="s">
        <v>8256</v>
      </c>
      <c r="T1639" t="s">
        <v>13232</v>
      </c>
      <c r="U1639" t="s">
        <v>13232</v>
      </c>
      <c r="V1639" t="s">
        <v>13232</v>
      </c>
      <c r="X1639">
        <v>47</v>
      </c>
      <c r="Z1639" t="s">
        <v>27770</v>
      </c>
      <c r="AA1639">
        <v>0.67650527990930054</v>
      </c>
      <c r="AB1639" t="str">
        <f>HYPERLINK("Melting_Curves/meltCurve_P00747_.pdf", "Melting_Curves/meltCurve_P00747_.pdf")</f>
        <v>Melting_Curves/meltCurve_P00747_.pdf</v>
      </c>
    </row>
    <row r="1640" spans="1:28" x14ac:dyDescent="0.25">
      <c r="A1640" t="s">
        <v>1644</v>
      </c>
      <c r="B1640">
        <v>0.99930955844802105</v>
      </c>
      <c r="C1640">
        <v>1.07276773006424</v>
      </c>
      <c r="D1640">
        <v>1.06205314169822</v>
      </c>
      <c r="E1640">
        <v>1.03267974469479</v>
      </c>
      <c r="F1640">
        <v>0.94576767049099997</v>
      </c>
      <c r="G1640">
        <v>0.80595665616442902</v>
      </c>
      <c r="H1640">
        <v>0.662256433625382</v>
      </c>
      <c r="I1640">
        <v>0.45672804868456901</v>
      </c>
      <c r="J1640">
        <v>0.19484280843156401</v>
      </c>
      <c r="K1640">
        <v>0.106842259690667</v>
      </c>
      <c r="L1640">
        <v>1166.4871285348499</v>
      </c>
      <c r="M1640">
        <v>18.5784676770636</v>
      </c>
      <c r="N1640">
        <v>62.787048766449203</v>
      </c>
      <c r="O1640">
        <v>62.073171317942602</v>
      </c>
      <c r="P1640">
        <v>-7.4828133995367599E-2</v>
      </c>
      <c r="Q1640">
        <v>0</v>
      </c>
      <c r="R1640">
        <v>0.98290462307914594</v>
      </c>
      <c r="S1640" t="s">
        <v>8257</v>
      </c>
      <c r="T1640" t="s">
        <v>13232</v>
      </c>
      <c r="U1640" t="s">
        <v>13232</v>
      </c>
      <c r="V1640" t="s">
        <v>13232</v>
      </c>
      <c r="W1640" t="s">
        <v>14830</v>
      </c>
      <c r="X1640">
        <v>18</v>
      </c>
      <c r="Y1640" t="s">
        <v>21344</v>
      </c>
      <c r="Z1640" t="s">
        <v>27771</v>
      </c>
      <c r="AA1640">
        <v>0.75815824677971932</v>
      </c>
      <c r="AB1640" t="str">
        <f>HYPERLINK("Melting_Curves/meltCurve_P00813_ADA.pdf", "Melting_Curves/meltCurve_P00813_ADA.pdf")</f>
        <v>Melting_Curves/meltCurve_P00813_ADA.pdf</v>
      </c>
    </row>
    <row r="1641" spans="1:28" x14ac:dyDescent="0.25">
      <c r="A1641" t="s">
        <v>1645</v>
      </c>
      <c r="B1641">
        <v>0.99930955844802105</v>
      </c>
      <c r="C1641">
        <v>1.05723197612225</v>
      </c>
      <c r="D1641">
        <v>1.0918795851071701</v>
      </c>
      <c r="E1641">
        <v>0.951711870589389</v>
      </c>
      <c r="F1641">
        <v>0.44386309621983</v>
      </c>
      <c r="G1641">
        <v>0.19915615152760199</v>
      </c>
      <c r="H1641">
        <v>0.122229037699588</v>
      </c>
      <c r="I1641">
        <v>9.3649815302175796E-2</v>
      </c>
      <c r="J1641">
        <v>9.1592793288116703E-2</v>
      </c>
      <c r="K1641">
        <v>7.4187955754806703E-2</v>
      </c>
      <c r="L1641">
        <v>2601.1221644441298</v>
      </c>
      <c r="M1641">
        <v>49.533434202978903</v>
      </c>
      <c r="N1641">
        <v>52.779898076810099</v>
      </c>
      <c r="O1641">
        <v>52.427075872034997</v>
      </c>
      <c r="P1641">
        <v>-0.209986613689571</v>
      </c>
      <c r="Q1641">
        <v>0.11098638987965199</v>
      </c>
      <c r="R1641">
        <v>0.98951611383843596</v>
      </c>
      <c r="S1641" t="s">
        <v>8258</v>
      </c>
      <c r="T1641" t="s">
        <v>13232</v>
      </c>
      <c r="U1641" t="s">
        <v>13232</v>
      </c>
      <c r="V1641" t="s">
        <v>13232</v>
      </c>
      <c r="W1641" t="s">
        <v>14831</v>
      </c>
      <c r="X1641">
        <v>8</v>
      </c>
      <c r="Y1641" t="s">
        <v>21345</v>
      </c>
      <c r="Z1641" t="s">
        <v>27772</v>
      </c>
      <c r="AA1641">
        <v>0.48387599261813558</v>
      </c>
      <c r="AB1641" t="str">
        <f>HYPERLINK("Melting_Curves/meltCurve_P00918_CA2.pdf", "Melting_Curves/meltCurve_P00918_CA2.pdf")</f>
        <v>Melting_Curves/meltCurve_P00918_CA2.pdf</v>
      </c>
    </row>
    <row r="1642" spans="1:28" x14ac:dyDescent="0.25">
      <c r="A1642" t="s">
        <v>1646</v>
      </c>
      <c r="B1642">
        <v>0.99930955844802105</v>
      </c>
      <c r="C1642">
        <v>0.92757379951604801</v>
      </c>
      <c r="D1642">
        <v>0.65006652026781497</v>
      </c>
      <c r="E1642">
        <v>0.33026879598758602</v>
      </c>
      <c r="F1642">
        <v>0.23307153573912001</v>
      </c>
      <c r="G1642">
        <v>0.14628928202946401</v>
      </c>
      <c r="H1642">
        <v>7.7555589661539207E-2</v>
      </c>
      <c r="I1642">
        <v>7.0277794074473598E-2</v>
      </c>
      <c r="J1642">
        <v>6.6143778316652801E-2</v>
      </c>
      <c r="K1642">
        <v>4.8122786761708398E-2</v>
      </c>
      <c r="L1642">
        <v>853.34235793218602</v>
      </c>
      <c r="M1642">
        <v>17.9051505794307</v>
      </c>
      <c r="N1642">
        <v>48.046260676973702</v>
      </c>
      <c r="O1642">
        <v>47.076489010421597</v>
      </c>
      <c r="P1642">
        <v>-8.8701391640621005E-2</v>
      </c>
      <c r="Q1642">
        <v>6.7186948799819998E-2</v>
      </c>
      <c r="R1642">
        <v>0.99474504636362304</v>
      </c>
      <c r="S1642" t="s">
        <v>8259</v>
      </c>
      <c r="T1642" t="s">
        <v>13232</v>
      </c>
      <c r="U1642" t="s">
        <v>13232</v>
      </c>
      <c r="V1642" t="s">
        <v>13232</v>
      </c>
      <c r="W1642" t="s">
        <v>14832</v>
      </c>
      <c r="X1642">
        <v>20</v>
      </c>
      <c r="Y1642" t="s">
        <v>21346</v>
      </c>
      <c r="Z1642" t="s">
        <v>27773</v>
      </c>
      <c r="AA1642">
        <v>0.32226177175452142</v>
      </c>
      <c r="AB1642" t="str">
        <f>HYPERLINK("Melting_Curves/meltCurve_P00966_ASS1.pdf", "Melting_Curves/meltCurve_P00966_ASS1.pdf")</f>
        <v>Melting_Curves/meltCurve_P00966_ASS1.pdf</v>
      </c>
    </row>
    <row r="1643" spans="1:28" x14ac:dyDescent="0.25">
      <c r="A1643" t="s">
        <v>1647</v>
      </c>
      <c r="B1643">
        <v>0.99930955844802105</v>
      </c>
      <c r="C1643">
        <v>1.0501897946388901</v>
      </c>
      <c r="D1643">
        <v>1.0188950284252301</v>
      </c>
      <c r="E1643">
        <v>0.94808436725547096</v>
      </c>
      <c r="F1643">
        <v>0.87035687135807904</v>
      </c>
      <c r="G1643">
        <v>0.71055648509368696</v>
      </c>
      <c r="H1643">
        <v>0.53438030758405897</v>
      </c>
      <c r="I1643">
        <v>0.48672096871758003</v>
      </c>
      <c r="J1643">
        <v>0.44121775506996103</v>
      </c>
      <c r="K1643">
        <v>0.32376250380195898</v>
      </c>
      <c r="L1643">
        <v>833.57666046301097</v>
      </c>
      <c r="M1643">
        <v>14.2294282686558</v>
      </c>
      <c r="N1643">
        <v>62.652882849054798</v>
      </c>
      <c r="O1643">
        <v>57.460600229555702</v>
      </c>
      <c r="P1643">
        <v>-4.3237760491475402E-2</v>
      </c>
      <c r="Q1643">
        <v>0.30168405361811201</v>
      </c>
      <c r="R1643">
        <v>0.98768729332899696</v>
      </c>
      <c r="S1643" t="s">
        <v>8260</v>
      </c>
      <c r="T1643" t="s">
        <v>13232</v>
      </c>
      <c r="U1643" t="s">
        <v>13232</v>
      </c>
      <c r="V1643" t="s">
        <v>13232</v>
      </c>
      <c r="X1643">
        <v>11</v>
      </c>
      <c r="Z1643" t="s">
        <v>27774</v>
      </c>
      <c r="AA1643">
        <v>0.74232139963398869</v>
      </c>
      <c r="AB1643" t="str">
        <f>HYPERLINK("Melting_Curves/meltCurve_P01008_.pdf", "Melting_Curves/meltCurve_P01008_.pdf")</f>
        <v>Melting_Curves/meltCurve_P01008_.pdf</v>
      </c>
    </row>
    <row r="1644" spans="1:28" x14ac:dyDescent="0.25">
      <c r="A1644" t="s">
        <v>1648</v>
      </c>
      <c r="B1644">
        <v>0.99930955844802105</v>
      </c>
      <c r="C1644">
        <v>1.55614751787135</v>
      </c>
      <c r="D1644">
        <v>1.5403363380597499</v>
      </c>
      <c r="E1644">
        <v>1.51873560043623</v>
      </c>
      <c r="F1644">
        <v>1.8377199142620599</v>
      </c>
      <c r="G1644">
        <v>1.457540217392</v>
      </c>
      <c r="H1644">
        <v>1.5553297018263199</v>
      </c>
      <c r="I1644">
        <v>1.8257687586256199</v>
      </c>
      <c r="J1644">
        <v>1.8629522285242901</v>
      </c>
      <c r="K1644">
        <v>1.56216908876436</v>
      </c>
      <c r="L1644">
        <v>10272.3045438758</v>
      </c>
      <c r="M1644">
        <v>250</v>
      </c>
      <c r="O1644">
        <v>41.086569693724499</v>
      </c>
      <c r="P1644">
        <v>0.76058881721323701</v>
      </c>
      <c r="Q1644">
        <v>1.5</v>
      </c>
      <c r="R1644">
        <v>0.35283381556284199</v>
      </c>
      <c r="S1644" t="s">
        <v>8261</v>
      </c>
      <c r="T1644" t="s">
        <v>13232</v>
      </c>
      <c r="U1644" t="s">
        <v>13232</v>
      </c>
      <c r="V1644" t="s">
        <v>13232</v>
      </c>
      <c r="W1644" t="s">
        <v>14833</v>
      </c>
      <c r="X1644">
        <v>1</v>
      </c>
      <c r="Y1644" t="s">
        <v>21347</v>
      </c>
      <c r="Z1644" t="s">
        <v>27775</v>
      </c>
      <c r="AA1644">
        <v>1.48180746253575</v>
      </c>
      <c r="AB1644" t="str">
        <f>HYPERLINK("Melting_Curves/meltCurve_P01009_SERPINA1.pdf", "Melting_Curves/meltCurve_P01009_SERPINA1.pdf")</f>
        <v>Melting_Curves/meltCurve_P01009_SERPINA1.pdf</v>
      </c>
    </row>
    <row r="1645" spans="1:28" x14ac:dyDescent="0.25">
      <c r="A1645" t="s">
        <v>1649</v>
      </c>
      <c r="B1645">
        <v>0.99930955844802105</v>
      </c>
      <c r="C1645">
        <v>0.70913212116012103</v>
      </c>
      <c r="D1645">
        <v>0.77547307236535801</v>
      </c>
      <c r="E1645">
        <v>0.88457487751625496</v>
      </c>
      <c r="F1645">
        <v>0.99690569038218901</v>
      </c>
      <c r="G1645">
        <v>0.87637797905142101</v>
      </c>
      <c r="H1645">
        <v>0.304447857098748</v>
      </c>
      <c r="I1645">
        <v>0.223705930027185</v>
      </c>
      <c r="J1645">
        <v>0.20189929296123699</v>
      </c>
      <c r="K1645">
        <v>0.13358158423386499</v>
      </c>
      <c r="L1645">
        <v>2889.3118090653302</v>
      </c>
      <c r="M1645">
        <v>48.992915830138102</v>
      </c>
      <c r="N1645">
        <v>59.506653165330597</v>
      </c>
      <c r="O1645">
        <v>58.876067817885001</v>
      </c>
      <c r="P1645">
        <v>-0.17111101073003601</v>
      </c>
      <c r="Q1645">
        <v>0.17748645845415301</v>
      </c>
      <c r="R1645">
        <v>0.86468043992177002</v>
      </c>
      <c r="S1645" t="s">
        <v>8262</v>
      </c>
      <c r="T1645" t="s">
        <v>13232</v>
      </c>
      <c r="U1645" t="s">
        <v>13232</v>
      </c>
      <c r="V1645" t="s">
        <v>13232</v>
      </c>
      <c r="X1645">
        <v>35</v>
      </c>
      <c r="Z1645" t="s">
        <v>27776</v>
      </c>
      <c r="AA1645">
        <v>0.69990814244027377</v>
      </c>
      <c r="AB1645" t="str">
        <f>HYPERLINK("Melting_Curves/meltCurve_P01023_.pdf", "Melting_Curves/meltCurve_P01023_.pdf")</f>
        <v>Melting_Curves/meltCurve_P01023_.pdf</v>
      </c>
    </row>
    <row r="1646" spans="1:28" x14ac:dyDescent="0.25">
      <c r="A1646" t="s">
        <v>1650</v>
      </c>
      <c r="B1646">
        <v>0.99930955844802105</v>
      </c>
      <c r="C1646">
        <v>0.95286686990929603</v>
      </c>
      <c r="D1646">
        <v>0.91940419877919799</v>
      </c>
      <c r="E1646">
        <v>0.85926198785546604</v>
      </c>
      <c r="F1646">
        <v>0.76239755394848396</v>
      </c>
      <c r="G1646">
        <v>0.55482507230289801</v>
      </c>
      <c r="H1646">
        <v>0.42208180468661499</v>
      </c>
      <c r="I1646">
        <v>0.43242766991911202</v>
      </c>
      <c r="J1646">
        <v>0.41880997375346801</v>
      </c>
      <c r="K1646">
        <v>0.29438416964070402</v>
      </c>
      <c r="L1646">
        <v>671.92253390508904</v>
      </c>
      <c r="M1646">
        <v>12.161015449368</v>
      </c>
      <c r="N1646">
        <v>59.4652480737941</v>
      </c>
      <c r="O1646">
        <v>53.821831936496302</v>
      </c>
      <c r="P1646">
        <v>-4.0185414828917798E-2</v>
      </c>
      <c r="Q1646">
        <v>0.28875777662767399</v>
      </c>
      <c r="R1646">
        <v>0.98365395341575701</v>
      </c>
      <c r="S1646" t="s">
        <v>8263</v>
      </c>
      <c r="T1646" t="s">
        <v>13232</v>
      </c>
      <c r="U1646" t="s">
        <v>13232</v>
      </c>
      <c r="V1646" t="s">
        <v>13232</v>
      </c>
      <c r="X1646">
        <v>28</v>
      </c>
      <c r="Z1646" t="s">
        <v>27777</v>
      </c>
      <c r="AA1646">
        <v>0.66638031356257821</v>
      </c>
      <c r="AB1646" t="str">
        <f>HYPERLINK("Melting_Curves/meltCurve_P01024_.pdf", "Melting_Curves/meltCurve_P01024_.pdf")</f>
        <v>Melting_Curves/meltCurve_P01024_.pdf</v>
      </c>
    </row>
    <row r="1647" spans="1:28" x14ac:dyDescent="0.25">
      <c r="A1647" t="s">
        <v>1651</v>
      </c>
      <c r="B1647">
        <v>0.99930955844802105</v>
      </c>
      <c r="C1647">
        <v>0.94682251801098605</v>
      </c>
      <c r="D1647">
        <v>0.95141986906217801</v>
      </c>
      <c r="E1647">
        <v>0.92804865142145598</v>
      </c>
      <c r="F1647">
        <v>0.86512617859514795</v>
      </c>
      <c r="G1647">
        <v>0.75937674408634304</v>
      </c>
      <c r="H1647">
        <v>0.63119401675754505</v>
      </c>
      <c r="I1647">
        <v>0.52120004353280602</v>
      </c>
      <c r="J1647">
        <v>0.29360197619510697</v>
      </c>
      <c r="K1647">
        <v>0.103078259009152</v>
      </c>
      <c r="L1647">
        <v>821.18514714625303</v>
      </c>
      <c r="M1647">
        <v>13.0832205470114</v>
      </c>
      <c r="N1647">
        <v>62.766284827309498</v>
      </c>
      <c r="O1647">
        <v>61.354190557987003</v>
      </c>
      <c r="P1647">
        <v>-5.3319384374081402E-2</v>
      </c>
      <c r="Q1647">
        <v>0</v>
      </c>
      <c r="R1647">
        <v>0.96680031915095399</v>
      </c>
      <c r="S1647" t="s">
        <v>8264</v>
      </c>
      <c r="T1647" t="s">
        <v>13232</v>
      </c>
      <c r="U1647" t="s">
        <v>13232</v>
      </c>
      <c r="V1647" t="s">
        <v>13232</v>
      </c>
      <c r="W1647" t="s">
        <v>14834</v>
      </c>
      <c r="X1647">
        <v>2</v>
      </c>
      <c r="Y1647" t="s">
        <v>21348</v>
      </c>
      <c r="Z1647" t="s">
        <v>27778</v>
      </c>
      <c r="AA1647">
        <v>0.74558246718737686</v>
      </c>
      <c r="AB1647" t="str">
        <f>HYPERLINK("Melting_Curves/meltCurve_P01034_CST3.pdf", "Melting_Curves/meltCurve_P01034_CST3.pdf")</f>
        <v>Melting_Curves/meltCurve_P01034_CST3.pdf</v>
      </c>
    </row>
    <row r="1648" spans="1:28" x14ac:dyDescent="0.25">
      <c r="A1648" t="s">
        <v>1652</v>
      </c>
      <c r="B1648">
        <v>0.99930955844802105</v>
      </c>
      <c r="C1648">
        <v>0.93768224841839298</v>
      </c>
      <c r="D1648">
        <v>0.84360765726501197</v>
      </c>
      <c r="E1648">
        <v>0.75007618652619901</v>
      </c>
      <c r="F1648">
        <v>0.47326586173659002</v>
      </c>
      <c r="G1648">
        <v>0.30595091929094598</v>
      </c>
      <c r="H1648">
        <v>0.13920208421667299</v>
      </c>
      <c r="I1648">
        <v>9.0506931479392094E-2</v>
      </c>
      <c r="J1648">
        <v>5.6753133806121403E-2</v>
      </c>
      <c r="K1648">
        <v>4.30033875710404E-2</v>
      </c>
      <c r="L1648">
        <v>701.47670887097502</v>
      </c>
      <c r="M1648">
        <v>13.209873424247499</v>
      </c>
      <c r="N1648">
        <v>53.102460494649399</v>
      </c>
      <c r="O1648">
        <v>51.929761073044197</v>
      </c>
      <c r="P1648">
        <v>-6.3605463651765504E-2</v>
      </c>
      <c r="Q1648">
        <v>0</v>
      </c>
      <c r="R1648">
        <v>0.99476300547732099</v>
      </c>
      <c r="S1648" t="s">
        <v>8265</v>
      </c>
      <c r="T1648" t="s">
        <v>13232</v>
      </c>
      <c r="U1648" t="s">
        <v>13232</v>
      </c>
      <c r="V1648" t="s">
        <v>13232</v>
      </c>
      <c r="W1648" t="s">
        <v>14835</v>
      </c>
      <c r="X1648">
        <v>7</v>
      </c>
      <c r="Y1648" t="s">
        <v>21349</v>
      </c>
      <c r="Z1648" t="s">
        <v>27779</v>
      </c>
      <c r="AA1648">
        <v>0.46201621862526682</v>
      </c>
      <c r="AB1648" t="str">
        <f>HYPERLINK("Melting_Curves/meltCurve_P01111_NRAS.pdf", "Melting_Curves/meltCurve_P01111_NRAS.pdf")</f>
        <v>Melting_Curves/meltCurve_P01111_NRAS.pdf</v>
      </c>
    </row>
    <row r="1649" spans="1:28" x14ac:dyDescent="0.25">
      <c r="A1649" t="s">
        <v>1653</v>
      </c>
      <c r="B1649">
        <v>0.99930955844802105</v>
      </c>
      <c r="C1649">
        <v>1.03991495398677</v>
      </c>
      <c r="D1649">
        <v>1.10476372322761</v>
      </c>
      <c r="E1649">
        <v>0.98724746444456601</v>
      </c>
      <c r="F1649">
        <v>0.81278004603145504</v>
      </c>
      <c r="G1649">
        <v>0.58032219539891094</v>
      </c>
      <c r="H1649">
        <v>0.25137311450761202</v>
      </c>
      <c r="I1649">
        <v>9.3351004630636406E-2</v>
      </c>
      <c r="J1649">
        <v>5.56800604316652E-2</v>
      </c>
      <c r="K1649">
        <v>3.9873204918464501E-2</v>
      </c>
      <c r="L1649">
        <v>1190.0231035847301</v>
      </c>
      <c r="M1649">
        <v>20.639712586687299</v>
      </c>
      <c r="N1649">
        <v>57.669391720837702</v>
      </c>
      <c r="O1649">
        <v>57.123903246295903</v>
      </c>
      <c r="P1649">
        <v>-9.0130874553386905E-2</v>
      </c>
      <c r="Q1649">
        <v>2.2188264385286601E-3</v>
      </c>
      <c r="R1649">
        <v>0.99000276658272002</v>
      </c>
      <c r="S1649" t="s">
        <v>8266</v>
      </c>
      <c r="T1649" t="s">
        <v>13232</v>
      </c>
      <c r="U1649" t="s">
        <v>13232</v>
      </c>
      <c r="V1649" t="s">
        <v>13232</v>
      </c>
      <c r="W1649" t="s">
        <v>14836</v>
      </c>
      <c r="X1649">
        <v>9</v>
      </c>
      <c r="Y1649" t="s">
        <v>21350</v>
      </c>
      <c r="Z1649" t="s">
        <v>27780</v>
      </c>
      <c r="AA1649">
        <v>0.60074203547709615</v>
      </c>
      <c r="AB1649" t="str">
        <f>HYPERLINK("Melting_Curves/meltCurve_P01116_2_KRAS.pdf", "Melting_Curves/meltCurve_P01116_2_KRAS.pdf")</f>
        <v>Melting_Curves/meltCurve_P01116_2_KRAS.pdf</v>
      </c>
    </row>
    <row r="1650" spans="1:28" x14ac:dyDescent="0.25">
      <c r="A1650" t="s">
        <v>1654</v>
      </c>
      <c r="B1650">
        <v>0.99930955844802105</v>
      </c>
      <c r="C1650">
        <v>0.94388678120402503</v>
      </c>
      <c r="D1650">
        <v>0.89643192320004905</v>
      </c>
      <c r="E1650">
        <v>0.87605201826998902</v>
      </c>
      <c r="F1650">
        <v>0.74715463096175105</v>
      </c>
      <c r="G1650">
        <v>0.55928605256166197</v>
      </c>
      <c r="H1650">
        <v>0.31151029962283</v>
      </c>
      <c r="I1650">
        <v>0.27694171975574899</v>
      </c>
      <c r="J1650">
        <v>0.197172575269322</v>
      </c>
      <c r="K1650">
        <v>0.137976645611946</v>
      </c>
      <c r="L1650">
        <v>653.35103686390596</v>
      </c>
      <c r="M1650">
        <v>11.341909779305</v>
      </c>
      <c r="N1650">
        <v>57.837310169922297</v>
      </c>
      <c r="O1650">
        <v>55.901421745211302</v>
      </c>
      <c r="P1650">
        <v>-4.9608358289449601E-2</v>
      </c>
      <c r="Q1650">
        <v>2.2264481237197799E-2</v>
      </c>
      <c r="R1650">
        <v>0.99230615253370802</v>
      </c>
      <c r="S1650" t="s">
        <v>8267</v>
      </c>
      <c r="T1650" t="s">
        <v>13232</v>
      </c>
      <c r="U1650" t="s">
        <v>13232</v>
      </c>
      <c r="V1650" t="s">
        <v>13232</v>
      </c>
      <c r="W1650" t="s">
        <v>14837</v>
      </c>
      <c r="X1650">
        <v>8</v>
      </c>
      <c r="Y1650" t="s">
        <v>21351</v>
      </c>
      <c r="Z1650" t="s">
        <v>27781</v>
      </c>
      <c r="AA1650">
        <v>0.60969914641204803</v>
      </c>
      <c r="AB1650" t="str">
        <f>HYPERLINK("Melting_Curves/meltCurve_P01137_TGFB1.pdf", "Melting_Curves/meltCurve_P01137_TGFB1.pdf")</f>
        <v>Melting_Curves/meltCurve_P01137_TGFB1.pdf</v>
      </c>
    </row>
    <row r="1651" spans="1:28" x14ac:dyDescent="0.25">
      <c r="A1651" t="s">
        <v>1655</v>
      </c>
      <c r="B1651">
        <v>0.99930955844802105</v>
      </c>
      <c r="C1651">
        <v>1.05179490123762</v>
      </c>
      <c r="D1651">
        <v>1.1001939193338801</v>
      </c>
      <c r="E1651">
        <v>0.95482556296561805</v>
      </c>
      <c r="F1651">
        <v>0.77160495356096004</v>
      </c>
      <c r="G1651">
        <v>0.61572002942049398</v>
      </c>
      <c r="H1651">
        <v>0.449547658864064</v>
      </c>
      <c r="I1651">
        <v>0.28988593197644302</v>
      </c>
      <c r="J1651">
        <v>0.15871475375973601</v>
      </c>
      <c r="K1651">
        <v>7.8161843089744304E-2</v>
      </c>
      <c r="L1651">
        <v>810.17364644584904</v>
      </c>
      <c r="M1651">
        <v>13.657429039092101</v>
      </c>
      <c r="N1651">
        <v>59.321095230251302</v>
      </c>
      <c r="O1651">
        <v>58.092640706107801</v>
      </c>
      <c r="P1651">
        <v>-5.8782919120750003E-2</v>
      </c>
      <c r="Q1651">
        <v>0</v>
      </c>
      <c r="R1651">
        <v>0.98033999269138405</v>
      </c>
      <c r="S1651" t="s">
        <v>8268</v>
      </c>
      <c r="T1651" t="s">
        <v>13232</v>
      </c>
      <c r="U1651" t="s">
        <v>13232</v>
      </c>
      <c r="V1651" t="s">
        <v>13232</v>
      </c>
      <c r="W1651" t="s">
        <v>14838</v>
      </c>
      <c r="X1651">
        <v>10</v>
      </c>
      <c r="Y1651" t="s">
        <v>21352</v>
      </c>
      <c r="Z1651" t="s">
        <v>27782</v>
      </c>
      <c r="AA1651">
        <v>0.65248925340610886</v>
      </c>
      <c r="AB1651" t="str">
        <f>HYPERLINK("Melting_Curves/meltCurve_P02008_HBZ.pdf", "Melting_Curves/meltCurve_P02008_HBZ.pdf")</f>
        <v>Melting_Curves/meltCurve_P02008_HBZ.pdf</v>
      </c>
    </row>
    <row r="1652" spans="1:28" x14ac:dyDescent="0.25">
      <c r="A1652" t="s">
        <v>1656</v>
      </c>
      <c r="B1652">
        <v>0.99930955844802105</v>
      </c>
      <c r="C1652">
        <v>1.0365169472599201</v>
      </c>
      <c r="D1652">
        <v>0.95738409894195298</v>
      </c>
      <c r="E1652">
        <v>0.96931728063677003</v>
      </c>
      <c r="F1652">
        <v>0.83890039713203701</v>
      </c>
      <c r="G1652">
        <v>0.73009292168291096</v>
      </c>
      <c r="H1652">
        <v>0.59262035006000602</v>
      </c>
      <c r="I1652">
        <v>0.45602801178972202</v>
      </c>
      <c r="J1652">
        <v>0.30643422682764598</v>
      </c>
      <c r="K1652">
        <v>0.13281317484962399</v>
      </c>
      <c r="L1652">
        <v>752.162698491637</v>
      </c>
      <c r="M1652">
        <v>12.0930548309948</v>
      </c>
      <c r="N1652">
        <v>62.1979069285969</v>
      </c>
      <c r="O1652">
        <v>60.570369405929597</v>
      </c>
      <c r="P1652">
        <v>-4.9924921836615899E-2</v>
      </c>
      <c r="Q1652">
        <v>0</v>
      </c>
      <c r="R1652">
        <v>0.98436154287217204</v>
      </c>
      <c r="S1652" t="s">
        <v>8269</v>
      </c>
      <c r="T1652" t="s">
        <v>13232</v>
      </c>
      <c r="U1652" t="s">
        <v>13232</v>
      </c>
      <c r="V1652" t="s">
        <v>13232</v>
      </c>
      <c r="W1652" t="s">
        <v>14839</v>
      </c>
      <c r="X1652">
        <v>10</v>
      </c>
      <c r="Y1652" t="s">
        <v>21353</v>
      </c>
      <c r="Z1652" t="s">
        <v>27783</v>
      </c>
      <c r="AA1652">
        <v>0.72738801935414743</v>
      </c>
      <c r="AB1652" t="str">
        <f>HYPERLINK("Melting_Curves/meltCurve_P02042_HBD.pdf", "Melting_Curves/meltCurve_P02042_HBD.pdf")</f>
        <v>Melting_Curves/meltCurve_P02042_HBD.pdf</v>
      </c>
    </row>
    <row r="1653" spans="1:28" x14ac:dyDescent="0.25">
      <c r="A1653" t="s">
        <v>1657</v>
      </c>
      <c r="B1653">
        <v>0.99930955844802105</v>
      </c>
      <c r="C1653">
        <v>1.0388796937038201</v>
      </c>
      <c r="D1653">
        <v>1.0348034672022399</v>
      </c>
      <c r="E1653">
        <v>0.96285974674889496</v>
      </c>
      <c r="F1653">
        <v>0.81981674028353302</v>
      </c>
      <c r="G1653">
        <v>0.66493665541040203</v>
      </c>
      <c r="H1653">
        <v>0.46537509839402802</v>
      </c>
      <c r="I1653">
        <v>0.27316197908040102</v>
      </c>
      <c r="J1653">
        <v>0.137608207201523</v>
      </c>
      <c r="K1653">
        <v>7.9341842763667597E-2</v>
      </c>
      <c r="L1653">
        <v>891.02486023347103</v>
      </c>
      <c r="M1653">
        <v>14.9198832049271</v>
      </c>
      <c r="N1653">
        <v>59.720632626026202</v>
      </c>
      <c r="O1653">
        <v>58.6785684953892</v>
      </c>
      <c r="P1653">
        <v>-6.3572709653751003E-2</v>
      </c>
      <c r="Q1653">
        <v>0</v>
      </c>
      <c r="R1653">
        <v>0.99266116333458998</v>
      </c>
      <c r="S1653" t="s">
        <v>8270</v>
      </c>
      <c r="T1653" t="s">
        <v>13232</v>
      </c>
      <c r="U1653" t="s">
        <v>13232</v>
      </c>
      <c r="V1653" t="s">
        <v>13232</v>
      </c>
      <c r="W1653" t="s">
        <v>14840</v>
      </c>
      <c r="X1653">
        <v>12</v>
      </c>
      <c r="Y1653" t="s">
        <v>21354</v>
      </c>
      <c r="Z1653" t="s">
        <v>27784</v>
      </c>
      <c r="AA1653">
        <v>0.66525146709955629</v>
      </c>
      <c r="AB1653" t="str">
        <f>HYPERLINK("Melting_Curves/meltCurve_P02100_HBE1.pdf", "Melting_Curves/meltCurve_P02100_HBE1.pdf")</f>
        <v>Melting_Curves/meltCurve_P02100_HBE1.pdf</v>
      </c>
    </row>
    <row r="1654" spans="1:28" x14ac:dyDescent="0.25">
      <c r="A1654" t="s">
        <v>1658</v>
      </c>
      <c r="B1654">
        <v>0.99930955844802105</v>
      </c>
      <c r="C1654">
        <v>1.2255664139037701</v>
      </c>
      <c r="D1654">
        <v>0.68780961238073801</v>
      </c>
      <c r="E1654">
        <v>1.0402593473158701</v>
      </c>
      <c r="F1654">
        <v>1.39681772929515</v>
      </c>
      <c r="G1654">
        <v>0.58921735988619495</v>
      </c>
      <c r="H1654">
        <v>0.92328208873720996</v>
      </c>
      <c r="I1654">
        <v>1.1811162826939701</v>
      </c>
      <c r="J1654">
        <v>2.1176526766912001</v>
      </c>
      <c r="K1654">
        <v>0.375738824872693</v>
      </c>
      <c r="L1654">
        <v>15000</v>
      </c>
      <c r="M1654">
        <v>235.39183691047199</v>
      </c>
      <c r="O1654">
        <v>63.718938769021698</v>
      </c>
      <c r="P1654">
        <v>0.22782178158636601</v>
      </c>
      <c r="Q1654">
        <v>1.24667909607373</v>
      </c>
      <c r="R1654">
        <v>5.9157295265028102E-2</v>
      </c>
      <c r="S1654" t="s">
        <v>8271</v>
      </c>
      <c r="T1654" t="s">
        <v>13232</v>
      </c>
      <c r="U1654" t="s">
        <v>13232</v>
      </c>
      <c r="V1654" t="s">
        <v>13232</v>
      </c>
      <c r="W1654" t="s">
        <v>14841</v>
      </c>
      <c r="X1654">
        <v>29</v>
      </c>
      <c r="Y1654" t="s">
        <v>21355</v>
      </c>
      <c r="Z1654" t="s">
        <v>27785</v>
      </c>
      <c r="AA1654">
        <v>1.0515779707241479</v>
      </c>
      <c r="AB1654" t="str">
        <f>HYPERLINK("Melting_Curves/meltCurve_P02533_KRT14.pdf", "Melting_Curves/meltCurve_P02533_KRT14.pdf")</f>
        <v>Melting_Curves/meltCurve_P02533_KRT14.pdf</v>
      </c>
    </row>
    <row r="1655" spans="1:28" x14ac:dyDescent="0.25">
      <c r="A1655" t="s">
        <v>1659</v>
      </c>
      <c r="B1655">
        <v>0.99930955844802105</v>
      </c>
      <c r="C1655">
        <v>3.2954412971893401</v>
      </c>
      <c r="D1655">
        <v>0.64691938560586404</v>
      </c>
      <c r="E1655">
        <v>0.78935734966316795</v>
      </c>
      <c r="F1655">
        <v>0.49696054178021198</v>
      </c>
      <c r="G1655">
        <v>0.38279991404896202</v>
      </c>
      <c r="H1655">
        <v>0.73313815209463096</v>
      </c>
      <c r="I1655">
        <v>2.3937107354096101</v>
      </c>
      <c r="J1655">
        <v>3.1826653926124702</v>
      </c>
      <c r="K1655">
        <v>0.352523087991434</v>
      </c>
      <c r="L1655">
        <v>5714.6709452534396</v>
      </c>
      <c r="M1655">
        <v>92.089862927015105</v>
      </c>
      <c r="O1655">
        <v>62.0261287609436</v>
      </c>
      <c r="P1655">
        <v>0.18558684976487499</v>
      </c>
      <c r="Q1655">
        <v>1.5</v>
      </c>
      <c r="R1655">
        <v>8.2094890445181895E-2</v>
      </c>
      <c r="S1655" t="s">
        <v>8272</v>
      </c>
      <c r="T1655" t="s">
        <v>13232</v>
      </c>
      <c r="U1655" t="s">
        <v>13232</v>
      </c>
      <c r="V1655" t="s">
        <v>13232</v>
      </c>
      <c r="W1655" t="s">
        <v>14842</v>
      </c>
      <c r="X1655">
        <v>30</v>
      </c>
      <c r="Y1655" t="s">
        <v>21356</v>
      </c>
      <c r="Z1655" t="s">
        <v>27786</v>
      </c>
      <c r="AA1655">
        <v>1.132008969495838</v>
      </c>
      <c r="AB1655" t="str">
        <f>HYPERLINK("Melting_Curves/meltCurve_P02538_KRT6A.pdf", "Melting_Curves/meltCurve_P02538_KRT6A.pdf")</f>
        <v>Melting_Curves/meltCurve_P02538_KRT6A.pdf</v>
      </c>
    </row>
    <row r="1656" spans="1:28" x14ac:dyDescent="0.25">
      <c r="A1656" t="s">
        <v>1660</v>
      </c>
      <c r="B1656">
        <v>0.99930955844802105</v>
      </c>
      <c r="C1656">
        <v>1.0439476883618499</v>
      </c>
      <c r="D1656">
        <v>1.0173795885430099</v>
      </c>
      <c r="E1656">
        <v>0.95019370581607698</v>
      </c>
      <c r="F1656">
        <v>0.85719551299020502</v>
      </c>
      <c r="G1656">
        <v>0.65311481092191703</v>
      </c>
      <c r="H1656">
        <v>0.44161180791205301</v>
      </c>
      <c r="I1656">
        <v>0.39471087654935999</v>
      </c>
      <c r="J1656">
        <v>0.361431139874412</v>
      </c>
      <c r="K1656">
        <v>0.29039673952013301</v>
      </c>
      <c r="L1656">
        <v>1054.00143272478</v>
      </c>
      <c r="M1656">
        <v>18.4809166198153</v>
      </c>
      <c r="N1656">
        <v>59.923354311721198</v>
      </c>
      <c r="O1656">
        <v>56.376711073362799</v>
      </c>
      <c r="P1656">
        <v>-5.7776685102972097E-2</v>
      </c>
      <c r="Q1656">
        <v>0.29503190610229402</v>
      </c>
      <c r="R1656">
        <v>0.99452172000505401</v>
      </c>
      <c r="S1656" t="s">
        <v>8273</v>
      </c>
      <c r="T1656" t="s">
        <v>13232</v>
      </c>
      <c r="U1656" t="s">
        <v>13232</v>
      </c>
      <c r="V1656" t="s">
        <v>13232</v>
      </c>
      <c r="W1656" t="s">
        <v>14843</v>
      </c>
      <c r="X1656">
        <v>44</v>
      </c>
      <c r="Y1656" t="s">
        <v>21357</v>
      </c>
      <c r="Z1656" t="s">
        <v>27787</v>
      </c>
      <c r="AA1656">
        <v>0.70465953571881923</v>
      </c>
      <c r="AB1656" t="str">
        <f>HYPERLINK("Melting_Curves/meltCurve_P02545_LMNA.pdf", "Melting_Curves/meltCurve_P02545_LMNA.pdf")</f>
        <v>Melting_Curves/meltCurve_P02545_LMNA.pdf</v>
      </c>
    </row>
    <row r="1657" spans="1:28" x14ac:dyDescent="0.25">
      <c r="A1657" t="s">
        <v>1661</v>
      </c>
      <c r="B1657">
        <v>0.99930955844802105</v>
      </c>
      <c r="C1657">
        <v>0.84176272169336896</v>
      </c>
      <c r="D1657">
        <v>0.71880958370224002</v>
      </c>
      <c r="E1657">
        <v>0.44147842691213901</v>
      </c>
      <c r="F1657">
        <v>0.247457970948565</v>
      </c>
      <c r="G1657">
        <v>0.14641804776012099</v>
      </c>
      <c r="H1657">
        <v>8.8839672317445703E-2</v>
      </c>
      <c r="I1657">
        <v>7.8368965460535997E-2</v>
      </c>
      <c r="J1657">
        <v>6.9357141213570603E-2</v>
      </c>
      <c r="K1657">
        <v>5.3963898931393597E-2</v>
      </c>
      <c r="L1657">
        <v>710.9483246346</v>
      </c>
      <c r="M1657">
        <v>14.630410810391099</v>
      </c>
      <c r="N1657">
        <v>48.919969189437701</v>
      </c>
      <c r="O1657">
        <v>47.7131077121402</v>
      </c>
      <c r="P1657">
        <v>-7.3104851970466303E-2</v>
      </c>
      <c r="Q1657">
        <v>4.6460178586146803E-2</v>
      </c>
      <c r="R1657">
        <v>0.99684326613489305</v>
      </c>
      <c r="S1657" t="s">
        <v>8274</v>
      </c>
      <c r="T1657" t="s">
        <v>13232</v>
      </c>
      <c r="U1657" t="s">
        <v>13232</v>
      </c>
      <c r="V1657" t="s">
        <v>13232</v>
      </c>
      <c r="W1657" t="s">
        <v>14844</v>
      </c>
      <c r="X1657">
        <v>64</v>
      </c>
      <c r="Y1657" t="s">
        <v>21358</v>
      </c>
      <c r="Z1657" t="s">
        <v>27788</v>
      </c>
      <c r="AA1657">
        <v>0.34469060952879099</v>
      </c>
      <c r="AB1657" t="str">
        <f>HYPERLINK("Melting_Curves/meltCurve_P02549_SPTA1.pdf", "Melting_Curves/meltCurve_P02549_SPTA1.pdf")</f>
        <v>Melting_Curves/meltCurve_P02549_SPTA1.pdf</v>
      </c>
    </row>
    <row r="1658" spans="1:28" x14ac:dyDescent="0.25">
      <c r="A1658" t="s">
        <v>1662</v>
      </c>
      <c r="B1658">
        <v>0.99930955844802105</v>
      </c>
      <c r="C1658">
        <v>1.0373997908910799</v>
      </c>
      <c r="D1658">
        <v>0.90496759294578</v>
      </c>
      <c r="E1658">
        <v>0.92191102785345802</v>
      </c>
      <c r="F1658">
        <v>0.77239244815128405</v>
      </c>
      <c r="G1658">
        <v>0.496355288672228</v>
      </c>
      <c r="H1658">
        <v>0.30799131360899101</v>
      </c>
      <c r="I1658">
        <v>0.28443487552617502</v>
      </c>
      <c r="J1658">
        <v>0.268360662925274</v>
      </c>
      <c r="K1658">
        <v>0.19520980727621001</v>
      </c>
      <c r="L1658">
        <v>1042.2893325638299</v>
      </c>
      <c r="M1658">
        <v>18.8180501929888</v>
      </c>
      <c r="N1658">
        <v>57.025896544249399</v>
      </c>
      <c r="O1658">
        <v>54.773626383223402</v>
      </c>
      <c r="P1658">
        <v>-6.7959601358699703E-2</v>
      </c>
      <c r="Q1658">
        <v>0.20879367683403899</v>
      </c>
      <c r="R1658">
        <v>0.989870677319451</v>
      </c>
      <c r="S1658" t="s">
        <v>8275</v>
      </c>
      <c r="T1658" t="s">
        <v>13232</v>
      </c>
      <c r="U1658" t="s">
        <v>13232</v>
      </c>
      <c r="V1658" t="s">
        <v>13232</v>
      </c>
      <c r="W1658" t="s">
        <v>14845</v>
      </c>
      <c r="X1658">
        <v>11</v>
      </c>
      <c r="Y1658" t="s">
        <v>21359</v>
      </c>
      <c r="Z1658" t="s">
        <v>27789</v>
      </c>
      <c r="AA1658">
        <v>0.62597085292293098</v>
      </c>
      <c r="AB1658" t="str">
        <f>HYPERLINK("Melting_Curves/meltCurve_P02649_APOE.pdf", "Melting_Curves/meltCurve_P02649_APOE.pdf")</f>
        <v>Melting_Curves/meltCurve_P02649_APOE.pdf</v>
      </c>
    </row>
    <row r="1659" spans="1:28" x14ac:dyDescent="0.25">
      <c r="A1659" t="s">
        <v>1663</v>
      </c>
      <c r="B1659">
        <v>0.99930955844802105</v>
      </c>
      <c r="C1659">
        <v>0.87289759699286895</v>
      </c>
      <c r="D1659">
        <v>0.80378362321980801</v>
      </c>
      <c r="E1659">
        <v>0.70224843262794301</v>
      </c>
      <c r="F1659">
        <v>0.56466207921745304</v>
      </c>
      <c r="G1659">
        <v>0.34262265836135097</v>
      </c>
      <c r="H1659">
        <v>0.213531201735318</v>
      </c>
      <c r="I1659">
        <v>0.14561030332370301</v>
      </c>
      <c r="J1659">
        <v>0.150633284079015</v>
      </c>
      <c r="K1659">
        <v>0.102781184227002</v>
      </c>
      <c r="L1659">
        <v>523.24077988706995</v>
      </c>
      <c r="M1659">
        <v>9.74989433834733</v>
      </c>
      <c r="N1659">
        <v>53.666302151150603</v>
      </c>
      <c r="O1659">
        <v>51.554693757303802</v>
      </c>
      <c r="P1659">
        <v>-4.7304703623517803E-2</v>
      </c>
      <c r="Q1659">
        <v>0</v>
      </c>
      <c r="R1659">
        <v>0.99154405240952803</v>
      </c>
      <c r="S1659" t="s">
        <v>8276</v>
      </c>
      <c r="T1659" t="s">
        <v>13232</v>
      </c>
      <c r="U1659" t="s">
        <v>13232</v>
      </c>
      <c r="V1659" t="s">
        <v>13232</v>
      </c>
      <c r="W1659" t="s">
        <v>14846</v>
      </c>
      <c r="X1659">
        <v>1</v>
      </c>
      <c r="Y1659" t="s">
        <v>21360</v>
      </c>
      <c r="Z1659" t="s">
        <v>27790</v>
      </c>
      <c r="AA1659">
        <v>0.48772104963687879</v>
      </c>
      <c r="AB1659" t="str">
        <f>HYPERLINK("Melting_Curves/meltCurve_P02656_APOC3.pdf", "Melting_Curves/meltCurve_P02656_APOC3.pdf")</f>
        <v>Melting_Curves/meltCurve_P02656_APOC3.pdf</v>
      </c>
    </row>
    <row r="1660" spans="1:28" x14ac:dyDescent="0.25">
      <c r="A1660" t="s">
        <v>1664</v>
      </c>
      <c r="B1660">
        <v>0.99930955844802105</v>
      </c>
      <c r="C1660">
        <v>0.90982997323395698</v>
      </c>
      <c r="D1660">
        <v>0.91775508695962005</v>
      </c>
      <c r="E1660">
        <v>0.726024062643567</v>
      </c>
      <c r="F1660">
        <v>0.60798959378563699</v>
      </c>
      <c r="G1660">
        <v>0.61522153514690403</v>
      </c>
      <c r="H1660">
        <v>0.55826800949732203</v>
      </c>
      <c r="I1660">
        <v>0.59069762101117995</v>
      </c>
      <c r="J1660">
        <v>0.56987011439067703</v>
      </c>
      <c r="K1660">
        <v>0.452326492899493</v>
      </c>
      <c r="L1660">
        <v>740.73041972451404</v>
      </c>
      <c r="M1660">
        <v>15.085362887875</v>
      </c>
      <c r="O1660">
        <v>48.263968889775001</v>
      </c>
      <c r="P1660">
        <v>-3.6680945494592797E-2</v>
      </c>
      <c r="Q1660">
        <v>0.53061968136716398</v>
      </c>
      <c r="R1660">
        <v>0.94608768882490002</v>
      </c>
      <c r="S1660" t="s">
        <v>8277</v>
      </c>
      <c r="T1660" t="s">
        <v>13232</v>
      </c>
      <c r="U1660" t="s">
        <v>13232</v>
      </c>
      <c r="V1660" t="s">
        <v>13232</v>
      </c>
      <c r="X1660">
        <v>13</v>
      </c>
      <c r="Z1660" t="s">
        <v>27791</v>
      </c>
      <c r="AA1660">
        <v>0.68445772388784454</v>
      </c>
      <c r="AB1660" t="str">
        <f>HYPERLINK("Melting_Curves/meltCurve_P02765_.pdf", "Melting_Curves/meltCurve_P02765_.pdf")</f>
        <v>Melting_Curves/meltCurve_P02765_.pdf</v>
      </c>
    </row>
    <row r="1661" spans="1:28" x14ac:dyDescent="0.25">
      <c r="A1661" t="s">
        <v>1665</v>
      </c>
      <c r="B1661">
        <v>0.99930955844802105</v>
      </c>
      <c r="C1661">
        <v>0.85697155788051504</v>
      </c>
      <c r="D1661">
        <v>0.82328890594686399</v>
      </c>
      <c r="E1661">
        <v>0.82262485232435301</v>
      </c>
      <c r="F1661">
        <v>0.307935207846737</v>
      </c>
      <c r="G1661">
        <v>4.2221026001773003</v>
      </c>
      <c r="H1661">
        <v>0.137101162697948</v>
      </c>
      <c r="I1661">
        <v>0.28443583051341498</v>
      </c>
      <c r="J1661">
        <v>3.2429401242311598E-2</v>
      </c>
      <c r="K1661">
        <v>1.3119344109317499</v>
      </c>
      <c r="L1661">
        <v>1291.23328554921</v>
      </c>
      <c r="M1661">
        <v>20.483166762431601</v>
      </c>
      <c r="O1661">
        <v>62.447132588944399</v>
      </c>
      <c r="P1661">
        <v>-3.5997889864082998E-2</v>
      </c>
      <c r="Q1661">
        <v>0.56102521803113903</v>
      </c>
      <c r="R1661">
        <v>2.9816896413156199E-2</v>
      </c>
      <c r="S1661" t="s">
        <v>8278</v>
      </c>
      <c r="T1661" t="s">
        <v>13232</v>
      </c>
      <c r="U1661" t="s">
        <v>13232</v>
      </c>
      <c r="V1661" t="s">
        <v>13232</v>
      </c>
      <c r="W1661" t="s">
        <v>14847</v>
      </c>
      <c r="X1661">
        <v>9</v>
      </c>
      <c r="Y1661" t="s">
        <v>21361</v>
      </c>
      <c r="Z1661" t="s">
        <v>27792</v>
      </c>
      <c r="AA1661">
        <v>0.89789861202178167</v>
      </c>
      <c r="AB1661" t="str">
        <f>HYPERLINK("Melting_Curves/meltCurve_P02768_ALB.pdf", "Melting_Curves/meltCurve_P02768_ALB.pdf")</f>
        <v>Melting_Curves/meltCurve_P02768_ALB.pdf</v>
      </c>
    </row>
    <row r="1662" spans="1:28" x14ac:dyDescent="0.25">
      <c r="A1662" t="s">
        <v>1666</v>
      </c>
      <c r="B1662">
        <v>0.99930955844802105</v>
      </c>
      <c r="C1662">
        <v>1.0482484950662001</v>
      </c>
      <c r="D1662">
        <v>0.93657492040400903</v>
      </c>
      <c r="E1662">
        <v>1.00155929198366</v>
      </c>
      <c r="F1662">
        <v>0.98787160266096596</v>
      </c>
      <c r="G1662">
        <v>0.86436762222094099</v>
      </c>
      <c r="H1662">
        <v>0.74706488854705699</v>
      </c>
      <c r="I1662">
        <v>0.67330491207711396</v>
      </c>
      <c r="J1662">
        <v>0.42381460275974497</v>
      </c>
      <c r="K1662">
        <v>0.241068924684508</v>
      </c>
      <c r="L1662">
        <v>1031.4114670982599</v>
      </c>
      <c r="M1662">
        <v>15.689094385694</v>
      </c>
      <c r="N1662">
        <v>65.740663040679195</v>
      </c>
      <c r="O1662">
        <v>64.700419011053498</v>
      </c>
      <c r="P1662">
        <v>-6.0627217133305697E-2</v>
      </c>
      <c r="Q1662">
        <v>0</v>
      </c>
      <c r="R1662">
        <v>0.97642623484254598</v>
      </c>
      <c r="S1662" t="s">
        <v>8279</v>
      </c>
      <c r="T1662" t="s">
        <v>13232</v>
      </c>
      <c r="U1662" t="s">
        <v>13232</v>
      </c>
      <c r="V1662" t="s">
        <v>13232</v>
      </c>
      <c r="X1662">
        <v>19</v>
      </c>
      <c r="Z1662" t="s">
        <v>27793</v>
      </c>
      <c r="AA1662">
        <v>0.82773210062313751</v>
      </c>
      <c r="AB1662" t="str">
        <f>HYPERLINK("Melting_Curves/meltCurve_P02774_.pdf", "Melting_Curves/meltCurve_P02774_.pdf")</f>
        <v>Melting_Curves/meltCurve_P02774_.pdf</v>
      </c>
    </row>
    <row r="1663" spans="1:28" x14ac:dyDescent="0.25">
      <c r="A1663" t="s">
        <v>1667</v>
      </c>
      <c r="B1663">
        <v>0.99930955844802105</v>
      </c>
      <c r="C1663">
        <v>0.70035341443349097</v>
      </c>
      <c r="D1663">
        <v>0.59466103256415703</v>
      </c>
      <c r="E1663">
        <v>0.68080232859107404</v>
      </c>
      <c r="F1663">
        <v>0.49080434425963099</v>
      </c>
      <c r="G1663">
        <v>0.30188083753781397</v>
      </c>
      <c r="H1663">
        <v>0.24464199311911</v>
      </c>
      <c r="I1663">
        <v>0.23198374110321399</v>
      </c>
      <c r="J1663">
        <v>0.23070025994859</v>
      </c>
      <c r="K1663">
        <v>0.188652844542892</v>
      </c>
      <c r="L1663">
        <v>363.63681697484498</v>
      </c>
      <c r="M1663">
        <v>7.1916515467875204</v>
      </c>
      <c r="N1663">
        <v>51.6412145512883</v>
      </c>
      <c r="O1663">
        <v>47.092582291185899</v>
      </c>
      <c r="P1663">
        <v>-3.5578093405452801E-2</v>
      </c>
      <c r="Q1663">
        <v>6.9667853193571105E-2</v>
      </c>
      <c r="R1663">
        <v>0.91578696423167505</v>
      </c>
      <c r="S1663" t="s">
        <v>8280</v>
      </c>
      <c r="T1663" t="s">
        <v>13232</v>
      </c>
      <c r="U1663" t="s">
        <v>13232</v>
      </c>
      <c r="V1663" t="s">
        <v>13232</v>
      </c>
      <c r="W1663" t="s">
        <v>14848</v>
      </c>
      <c r="X1663">
        <v>6</v>
      </c>
      <c r="Y1663" t="s">
        <v>21362</v>
      </c>
      <c r="Z1663" t="s">
        <v>27794</v>
      </c>
      <c r="AA1663">
        <v>0.45535280154200081</v>
      </c>
      <c r="AB1663" t="str">
        <f>HYPERLINK("Melting_Curves/meltCurve_P02786_TFRC.pdf", "Melting_Curves/meltCurve_P02786_TFRC.pdf")</f>
        <v>Melting_Curves/meltCurve_P02786_TFRC.pdf</v>
      </c>
    </row>
    <row r="1664" spans="1:28" x14ac:dyDescent="0.25">
      <c r="A1664" t="s">
        <v>1668</v>
      </c>
      <c r="B1664">
        <v>0.99930955844802105</v>
      </c>
      <c r="C1664">
        <v>0.761506647627476</v>
      </c>
      <c r="D1664">
        <v>0.82106789725282403</v>
      </c>
      <c r="E1664">
        <v>0.82361958540094105</v>
      </c>
      <c r="F1664">
        <v>0.74325772098829901</v>
      </c>
      <c r="G1664">
        <v>0.56043592342910398</v>
      </c>
      <c r="H1664">
        <v>0.20874819692739299</v>
      </c>
      <c r="I1664">
        <v>0.27320820996867101</v>
      </c>
      <c r="J1664">
        <v>0.52353936357446196</v>
      </c>
      <c r="K1664">
        <v>0.34563004200807101</v>
      </c>
      <c r="L1664">
        <v>476.15019737314498</v>
      </c>
      <c r="M1664">
        <v>8.8586931686850097</v>
      </c>
      <c r="N1664">
        <v>57.849265206964802</v>
      </c>
      <c r="O1664">
        <v>51.221961197567801</v>
      </c>
      <c r="P1664">
        <v>-3.3182933701837301E-2</v>
      </c>
      <c r="Q1664">
        <v>0.233121679428761</v>
      </c>
      <c r="R1664">
        <v>0.776190137262181</v>
      </c>
      <c r="S1664" t="s">
        <v>8281</v>
      </c>
      <c r="T1664" t="s">
        <v>13232</v>
      </c>
      <c r="U1664" t="s">
        <v>13232</v>
      </c>
      <c r="V1664" t="s">
        <v>13232</v>
      </c>
      <c r="W1664" t="s">
        <v>14849</v>
      </c>
      <c r="X1664">
        <v>11</v>
      </c>
      <c r="Y1664" t="s">
        <v>21363</v>
      </c>
      <c r="Z1664" t="s">
        <v>27795</v>
      </c>
      <c r="AA1664">
        <v>0.61056549134081706</v>
      </c>
      <c r="AB1664" t="str">
        <f>HYPERLINK("Melting_Curves/meltCurve_P02794_FTH1.pdf", "Melting_Curves/meltCurve_P02794_FTH1.pdf")</f>
        <v>Melting_Curves/meltCurve_P02794_FTH1.pdf</v>
      </c>
    </row>
    <row r="1665" spans="1:28" x14ac:dyDescent="0.25">
      <c r="A1665" t="s">
        <v>1669</v>
      </c>
      <c r="B1665">
        <v>0.99930955844802105</v>
      </c>
      <c r="C1665">
        <v>0.90492882302362199</v>
      </c>
      <c r="D1665">
        <v>0.86693827596144901</v>
      </c>
      <c r="E1665">
        <v>0.77150809259875897</v>
      </c>
      <c r="F1665">
        <v>0.603643526534966</v>
      </c>
      <c r="G1665">
        <v>0.48819648345246103</v>
      </c>
      <c r="H1665">
        <v>0.473315696176138</v>
      </c>
      <c r="I1665">
        <v>0.53015258607508298</v>
      </c>
      <c r="J1665">
        <v>0.79741989014135695</v>
      </c>
      <c r="K1665">
        <v>0.59274914530868195</v>
      </c>
      <c r="L1665">
        <v>947.71807172142098</v>
      </c>
      <c r="M1665">
        <v>19.757175509972601</v>
      </c>
      <c r="O1665">
        <v>47.484984365380399</v>
      </c>
      <c r="P1665">
        <v>-4.4257187787920697E-2</v>
      </c>
      <c r="Q1665">
        <v>0.57453835931681396</v>
      </c>
      <c r="R1665">
        <v>0.74263199371867705</v>
      </c>
      <c r="S1665" t="s">
        <v>8282</v>
      </c>
      <c r="T1665" t="s">
        <v>13232</v>
      </c>
      <c r="U1665" t="s">
        <v>13232</v>
      </c>
      <c r="V1665" t="s">
        <v>13232</v>
      </c>
      <c r="X1665">
        <v>8</v>
      </c>
      <c r="Z1665" t="s">
        <v>27796</v>
      </c>
      <c r="AA1665">
        <v>0.69375447913280697</v>
      </c>
      <c r="AB1665" t="str">
        <f>HYPERLINK("Melting_Curves/meltCurve_P04004_.pdf", "Melting_Curves/meltCurve_P04004_.pdf")</f>
        <v>Melting_Curves/meltCurve_P04004_.pdf</v>
      </c>
    </row>
    <row r="1666" spans="1:28" x14ac:dyDescent="0.25">
      <c r="A1666" t="s">
        <v>1670</v>
      </c>
      <c r="B1666">
        <v>0.99930955844802105</v>
      </c>
      <c r="C1666">
        <v>0.89940238780644</v>
      </c>
      <c r="D1666">
        <v>0.884454456331358</v>
      </c>
      <c r="E1666">
        <v>0.96660225139089595</v>
      </c>
      <c r="F1666">
        <v>0.95671298251772796</v>
      </c>
      <c r="G1666">
        <v>0.72087399133642205</v>
      </c>
      <c r="H1666">
        <v>0.37471933505885902</v>
      </c>
      <c r="I1666">
        <v>0.41301195217321202</v>
      </c>
      <c r="J1666">
        <v>0.24424235477720199</v>
      </c>
      <c r="K1666">
        <v>9.9792111023875099E-2</v>
      </c>
      <c r="L1666">
        <v>908.41212925476395</v>
      </c>
      <c r="M1666">
        <v>15.072064862927601</v>
      </c>
      <c r="N1666">
        <v>60.612906697372402</v>
      </c>
      <c r="O1666">
        <v>59.240110776665297</v>
      </c>
      <c r="P1666">
        <v>-6.1021574434511998E-2</v>
      </c>
      <c r="Q1666">
        <v>4.0724334575834298E-2</v>
      </c>
      <c r="R1666">
        <v>0.95458922198055995</v>
      </c>
      <c r="S1666" t="s">
        <v>8283</v>
      </c>
      <c r="T1666" t="s">
        <v>13232</v>
      </c>
      <c r="U1666" t="s">
        <v>13232</v>
      </c>
      <c r="V1666" t="s">
        <v>13232</v>
      </c>
      <c r="W1666" t="s">
        <v>14850</v>
      </c>
      <c r="X1666">
        <v>28</v>
      </c>
      <c r="Y1666" t="s">
        <v>21364</v>
      </c>
      <c r="Z1666" t="s">
        <v>27797</v>
      </c>
      <c r="AA1666">
        <v>0.69451140444526138</v>
      </c>
      <c r="AB1666" t="str">
        <f>HYPERLINK("Melting_Curves/meltCurve_P04040_CAT.pdf", "Melting_Curves/meltCurve_P04040_CAT.pdf")</f>
        <v>Melting_Curves/meltCurve_P04040_CAT.pdf</v>
      </c>
    </row>
    <row r="1667" spans="1:28" x14ac:dyDescent="0.25">
      <c r="A1667" t="s">
        <v>1671</v>
      </c>
      <c r="B1667">
        <v>0.99930955844802105</v>
      </c>
      <c r="C1667">
        <v>0.97597012198532795</v>
      </c>
      <c r="D1667">
        <v>0.92868887706681102</v>
      </c>
      <c r="E1667">
        <v>0.88514602353406102</v>
      </c>
      <c r="F1667">
        <v>0.86594276660459701</v>
      </c>
      <c r="G1667">
        <v>0.58665319350520195</v>
      </c>
      <c r="H1667">
        <v>0.22926234983845001</v>
      </c>
      <c r="I1667">
        <v>9.2672077681045295E-2</v>
      </c>
      <c r="J1667">
        <v>6.4886548254604798E-2</v>
      </c>
      <c r="K1667">
        <v>4.8898654191447698E-2</v>
      </c>
      <c r="L1667">
        <v>1155.46589355522</v>
      </c>
      <c r="M1667">
        <v>20.0445527738209</v>
      </c>
      <c r="N1667">
        <v>57.644885506761597</v>
      </c>
      <c r="O1667">
        <v>57.080339071929401</v>
      </c>
      <c r="P1667">
        <v>-8.7793802543011501E-2</v>
      </c>
      <c r="Q1667">
        <v>0</v>
      </c>
      <c r="R1667">
        <v>0.99190416717967</v>
      </c>
      <c r="S1667" t="s">
        <v>8284</v>
      </c>
      <c r="T1667" t="s">
        <v>13232</v>
      </c>
      <c r="U1667" t="s">
        <v>13232</v>
      </c>
      <c r="V1667" t="s">
        <v>13232</v>
      </c>
      <c r="W1667" t="s">
        <v>14851</v>
      </c>
      <c r="X1667">
        <v>9</v>
      </c>
      <c r="Y1667" t="s">
        <v>21365</v>
      </c>
      <c r="Z1667" t="s">
        <v>27798</v>
      </c>
      <c r="AA1667">
        <v>0.59982464661296597</v>
      </c>
      <c r="AB1667" t="str">
        <f>HYPERLINK("Melting_Curves/meltCurve_P04066_FUCA1.pdf", "Melting_Curves/meltCurve_P04066_FUCA1.pdf")</f>
        <v>Melting_Curves/meltCurve_P04066_FUCA1.pdf</v>
      </c>
    </row>
    <row r="1668" spans="1:28" x14ac:dyDescent="0.25">
      <c r="A1668" t="s">
        <v>1672</v>
      </c>
      <c r="B1668">
        <v>0.99930955844802105</v>
      </c>
      <c r="C1668">
        <v>0.98160774284147101</v>
      </c>
      <c r="D1668">
        <v>1.03044753487267</v>
      </c>
      <c r="E1668">
        <v>0.897969353375485</v>
      </c>
      <c r="F1668">
        <v>1.0712076494174501</v>
      </c>
      <c r="G1668">
        <v>1.00243361971098</v>
      </c>
      <c r="H1668">
        <v>0.64349865471764001</v>
      </c>
      <c r="I1668">
        <v>0.50592590409734595</v>
      </c>
      <c r="J1668">
        <v>0.15541810400480099</v>
      </c>
      <c r="K1668">
        <v>7.94916289656869E-2</v>
      </c>
      <c r="L1668">
        <v>1608.618145811</v>
      </c>
      <c r="M1668">
        <v>25.417181488498699</v>
      </c>
      <c r="N1668">
        <v>63.288612739259698</v>
      </c>
      <c r="O1668">
        <v>62.900728500872802</v>
      </c>
      <c r="P1668">
        <v>-0.101022253441811</v>
      </c>
      <c r="Q1668">
        <v>0</v>
      </c>
      <c r="R1668">
        <v>0.97232366108387203</v>
      </c>
      <c r="S1668" t="s">
        <v>8285</v>
      </c>
      <c r="T1668" t="s">
        <v>13232</v>
      </c>
      <c r="U1668" t="s">
        <v>13232</v>
      </c>
      <c r="V1668" t="s">
        <v>13232</v>
      </c>
      <c r="W1668" t="s">
        <v>14852</v>
      </c>
      <c r="X1668">
        <v>40</v>
      </c>
      <c r="Y1668" t="s">
        <v>20542</v>
      </c>
      <c r="Z1668" t="s">
        <v>27799</v>
      </c>
      <c r="AA1668">
        <v>0.77788285164574711</v>
      </c>
      <c r="AB1668" t="str">
        <f>HYPERLINK("Melting_Curves/meltCurve_P04075_ALDOA.pdf", "Melting_Curves/meltCurve_P04075_ALDOA.pdf")</f>
        <v>Melting_Curves/meltCurve_P04075_ALDOA.pdf</v>
      </c>
    </row>
    <row r="1669" spans="1:28" x14ac:dyDescent="0.25">
      <c r="A1669" t="s">
        <v>1673</v>
      </c>
      <c r="B1669">
        <v>0.99930955844802105</v>
      </c>
      <c r="C1669">
        <v>1.2175989412503001</v>
      </c>
      <c r="D1669">
        <v>1.36234504520683</v>
      </c>
      <c r="E1669">
        <v>1.26186721028574</v>
      </c>
      <c r="F1669">
        <v>1.1152677883409099</v>
      </c>
      <c r="G1669">
        <v>1.04120331647618</v>
      </c>
      <c r="H1669">
        <v>0.97158030073303903</v>
      </c>
      <c r="I1669">
        <v>0.63415183877995895</v>
      </c>
      <c r="J1669">
        <v>0.46551321456837302</v>
      </c>
      <c r="K1669">
        <v>0.30709412298282301</v>
      </c>
      <c r="L1669">
        <v>2800.4291824683701</v>
      </c>
      <c r="M1669">
        <v>43.713093111614299</v>
      </c>
      <c r="N1669">
        <v>65.641929606211207</v>
      </c>
      <c r="O1669">
        <v>63.930213651988097</v>
      </c>
      <c r="P1669">
        <v>-0.115353126634716</v>
      </c>
      <c r="Q1669">
        <v>0.32518715278556998</v>
      </c>
      <c r="R1669">
        <v>0.76030136023728501</v>
      </c>
      <c r="S1669" t="s">
        <v>8286</v>
      </c>
      <c r="T1669" t="s">
        <v>13232</v>
      </c>
      <c r="U1669" t="s">
        <v>13232</v>
      </c>
      <c r="V1669" t="s">
        <v>13232</v>
      </c>
      <c r="W1669" t="s">
        <v>14853</v>
      </c>
      <c r="X1669">
        <v>6</v>
      </c>
      <c r="Y1669" t="s">
        <v>21366</v>
      </c>
      <c r="Z1669" t="s">
        <v>27800</v>
      </c>
      <c r="AA1669">
        <v>0.86796630600045255</v>
      </c>
      <c r="AB1669" t="str">
        <f>HYPERLINK("Melting_Curves/meltCurve_P04080_CSTB.pdf", "Melting_Curves/meltCurve_P04080_CSTB.pdf")</f>
        <v>Melting_Curves/meltCurve_P04080_CSTB.pdf</v>
      </c>
    </row>
    <row r="1670" spans="1:28" x14ac:dyDescent="0.25">
      <c r="A1670" t="s">
        <v>1674</v>
      </c>
      <c r="B1670">
        <v>0.99930955844802105</v>
      </c>
      <c r="C1670">
        <v>1.1297747937235501</v>
      </c>
      <c r="D1670">
        <v>0.99487022583755202</v>
      </c>
      <c r="E1670">
        <v>0.65141264601169702</v>
      </c>
      <c r="F1670">
        <v>0.15143249803435299</v>
      </c>
      <c r="G1670">
        <v>0.107146897132989</v>
      </c>
      <c r="H1670">
        <v>5.7175258639763103E-2</v>
      </c>
      <c r="I1670">
        <v>4.8744796791813601E-2</v>
      </c>
      <c r="J1670">
        <v>4.03388684856077E-2</v>
      </c>
      <c r="K1670">
        <v>3.0544759988198701E-2</v>
      </c>
      <c r="L1670">
        <v>2353.7206090387499</v>
      </c>
      <c r="M1670">
        <v>46.538648262290302</v>
      </c>
      <c r="N1670">
        <v>50.702533132585501</v>
      </c>
      <c r="O1670">
        <v>50.482491028423098</v>
      </c>
      <c r="P1670">
        <v>-0.21779735035718001</v>
      </c>
      <c r="Q1670">
        <v>5.4984097309973202E-2</v>
      </c>
      <c r="R1670">
        <v>0.98978018342923801</v>
      </c>
      <c r="S1670" t="s">
        <v>8287</v>
      </c>
      <c r="T1670" t="s">
        <v>13232</v>
      </c>
      <c r="U1670" t="s">
        <v>13232</v>
      </c>
      <c r="V1670" t="s">
        <v>13232</v>
      </c>
      <c r="W1670" t="s">
        <v>14854</v>
      </c>
      <c r="X1670">
        <v>29</v>
      </c>
      <c r="Y1670" t="s">
        <v>21367</v>
      </c>
      <c r="Z1670" t="s">
        <v>27801</v>
      </c>
      <c r="AA1670">
        <v>0.39055703460593288</v>
      </c>
      <c r="AB1670" t="str">
        <f>HYPERLINK("Melting_Curves/meltCurve_P04083_ANXA1.pdf", "Melting_Curves/meltCurve_P04083_ANXA1.pdf")</f>
        <v>Melting_Curves/meltCurve_P04083_ANXA1.pdf</v>
      </c>
    </row>
    <row r="1671" spans="1:28" x14ac:dyDescent="0.25">
      <c r="A1671" t="s">
        <v>1675</v>
      </c>
      <c r="B1671">
        <v>0.99930955844802105</v>
      </c>
      <c r="C1671">
        <v>1.1172843110980799</v>
      </c>
      <c r="D1671">
        <v>1.10933591981712</v>
      </c>
      <c r="E1671">
        <v>1.05308107643338</v>
      </c>
      <c r="F1671">
        <v>0.973701019140506</v>
      </c>
      <c r="G1671">
        <v>0.91745974740160896</v>
      </c>
      <c r="H1671">
        <v>0.94452489747611201</v>
      </c>
      <c r="I1671">
        <v>1.0565883619618199</v>
      </c>
      <c r="J1671">
        <v>1.0119455513509601</v>
      </c>
      <c r="K1671">
        <v>0.84275365911682298</v>
      </c>
      <c r="L1671">
        <v>15000</v>
      </c>
      <c r="M1671">
        <v>212.60684456546099</v>
      </c>
      <c r="Q1671">
        <v>0</v>
      </c>
      <c r="R1671">
        <v>0.36741417089802603</v>
      </c>
      <c r="S1671" t="s">
        <v>8288</v>
      </c>
      <c r="T1671" t="s">
        <v>13232</v>
      </c>
      <c r="U1671" t="s">
        <v>13232</v>
      </c>
      <c r="V1671" t="s">
        <v>13232</v>
      </c>
      <c r="W1671" t="s">
        <v>14855</v>
      </c>
      <c r="X1671">
        <v>11</v>
      </c>
      <c r="Y1671" t="s">
        <v>21368</v>
      </c>
      <c r="Z1671" t="s">
        <v>27802</v>
      </c>
      <c r="AA1671">
        <v>0.99815502701405734</v>
      </c>
      <c r="AB1671" t="str">
        <f>HYPERLINK("Melting_Curves/meltCurve_P04150_2_NR3C1.pdf", "Melting_Curves/meltCurve_P04150_2_NR3C1.pdf")</f>
        <v>Melting_Curves/meltCurve_P04150_2_NR3C1.pdf</v>
      </c>
    </row>
    <row r="1672" spans="1:28" x14ac:dyDescent="0.25">
      <c r="A1672" t="s">
        <v>1676</v>
      </c>
      <c r="B1672">
        <v>0.99930955844802105</v>
      </c>
      <c r="C1672">
        <v>0.80251450938366797</v>
      </c>
      <c r="D1672">
        <v>0.57836246375957701</v>
      </c>
      <c r="E1672">
        <v>0.38078455967343</v>
      </c>
      <c r="F1672">
        <v>0.24242750953095199</v>
      </c>
      <c r="G1672">
        <v>0.16004356274134099</v>
      </c>
      <c r="H1672">
        <v>0.10021872826487201</v>
      </c>
      <c r="I1672">
        <v>8.0494818992838293E-2</v>
      </c>
      <c r="J1672">
        <v>5.6623083694887201E-2</v>
      </c>
      <c r="K1672">
        <v>3.0176346434746801E-2</v>
      </c>
      <c r="L1672">
        <v>626.21925698146299</v>
      </c>
      <c r="M1672">
        <v>13.196047839404899</v>
      </c>
      <c r="N1672">
        <v>47.788684453697201</v>
      </c>
      <c r="O1672">
        <v>46.404967313517503</v>
      </c>
      <c r="P1672">
        <v>-6.7974558873938398E-2</v>
      </c>
      <c r="Q1672">
        <v>4.4007288048269401E-2</v>
      </c>
      <c r="R1672">
        <v>0.99144897784824804</v>
      </c>
      <c r="S1672" t="s">
        <v>8289</v>
      </c>
      <c r="T1672" t="s">
        <v>13232</v>
      </c>
      <c r="U1672" t="s">
        <v>13232</v>
      </c>
      <c r="V1672" t="s">
        <v>13232</v>
      </c>
      <c r="W1672" t="s">
        <v>14856</v>
      </c>
      <c r="X1672">
        <v>15</v>
      </c>
      <c r="Y1672" t="s">
        <v>21369</v>
      </c>
      <c r="Z1672" t="s">
        <v>27803</v>
      </c>
      <c r="AA1672">
        <v>0.31412152882134858</v>
      </c>
      <c r="AB1672" t="str">
        <f>HYPERLINK("Melting_Curves/meltCurve_P04181_OAT.pdf", "Melting_Curves/meltCurve_P04181_OAT.pdf")</f>
        <v>Melting_Curves/meltCurve_P04181_OAT.pdf</v>
      </c>
    </row>
    <row r="1673" spans="1:28" x14ac:dyDescent="0.25">
      <c r="A1673" t="s">
        <v>1677</v>
      </c>
      <c r="B1673">
        <v>0.99930955844802105</v>
      </c>
      <c r="C1673">
        <v>1.0466120620647299</v>
      </c>
      <c r="D1673">
        <v>1.01199606267665</v>
      </c>
      <c r="E1673">
        <v>1.00064764547274</v>
      </c>
      <c r="F1673">
        <v>0.94951119651816895</v>
      </c>
      <c r="G1673">
        <v>0.84166440516506202</v>
      </c>
      <c r="H1673">
        <v>0.75039851371349298</v>
      </c>
      <c r="I1673">
        <v>0.702822154058941</v>
      </c>
      <c r="J1673">
        <v>0.663814941330513</v>
      </c>
      <c r="K1673">
        <v>0.46789120222034403</v>
      </c>
      <c r="L1673">
        <v>595.62019675513704</v>
      </c>
      <c r="M1673">
        <v>8.4833801365757608</v>
      </c>
      <c r="O1673">
        <v>66.634774322358496</v>
      </c>
      <c r="P1673">
        <v>-3.1856792117435501E-2</v>
      </c>
      <c r="Q1673">
        <v>0</v>
      </c>
      <c r="R1673">
        <v>0.96334817385989702</v>
      </c>
      <c r="S1673" t="s">
        <v>8290</v>
      </c>
      <c r="T1673" t="s">
        <v>13232</v>
      </c>
      <c r="U1673" t="s">
        <v>13232</v>
      </c>
      <c r="V1673" t="s">
        <v>13232</v>
      </c>
      <c r="W1673" t="s">
        <v>14857</v>
      </c>
      <c r="X1673">
        <v>15</v>
      </c>
      <c r="Y1673" t="s">
        <v>21370</v>
      </c>
      <c r="Z1673" t="s">
        <v>27804</v>
      </c>
      <c r="AA1673">
        <v>0.85170501329925263</v>
      </c>
      <c r="AB1673" t="str">
        <f>HYPERLINK("Melting_Curves/meltCurve_P04183_TK1.pdf", "Melting_Curves/meltCurve_P04183_TK1.pdf")</f>
        <v>Melting_Curves/meltCurve_P04183_TK1.pdf</v>
      </c>
    </row>
    <row r="1674" spans="1:28" x14ac:dyDescent="0.25">
      <c r="A1674" t="s">
        <v>1678</v>
      </c>
      <c r="B1674">
        <v>0.99930955844802105</v>
      </c>
      <c r="C1674">
        <v>3.15004939763325</v>
      </c>
      <c r="D1674">
        <v>0.85888386868963096</v>
      </c>
      <c r="E1674">
        <v>1.00025104356869</v>
      </c>
      <c r="F1674">
        <v>0.76282567784537103</v>
      </c>
      <c r="G1674">
        <v>0.581697327572823</v>
      </c>
      <c r="H1674">
        <v>0.69815770641624297</v>
      </c>
      <c r="I1674">
        <v>2.5685031422365898</v>
      </c>
      <c r="J1674">
        <v>5.5203140450867103</v>
      </c>
      <c r="K1674">
        <v>0.55915894700685698</v>
      </c>
      <c r="L1674">
        <v>10218.897515332201</v>
      </c>
      <c r="M1674">
        <v>250</v>
      </c>
      <c r="O1674">
        <v>40.8729743090407</v>
      </c>
      <c r="P1674">
        <v>0.76456388544964804</v>
      </c>
      <c r="Q1674">
        <v>1.5</v>
      </c>
      <c r="R1674">
        <v>-1.6142898687501201E-3</v>
      </c>
      <c r="S1674" t="s">
        <v>8291</v>
      </c>
      <c r="T1674" t="s">
        <v>13232</v>
      </c>
      <c r="U1674" t="s">
        <v>13232</v>
      </c>
      <c r="V1674" t="s">
        <v>13232</v>
      </c>
      <c r="W1674" t="s">
        <v>14858</v>
      </c>
      <c r="X1674">
        <v>29</v>
      </c>
      <c r="Y1674" t="s">
        <v>21371</v>
      </c>
      <c r="Z1674" t="s">
        <v>27805</v>
      </c>
      <c r="AA1674">
        <v>1.485360109363304</v>
      </c>
      <c r="AB1674" t="str">
        <f>HYPERLINK("Melting_Curves/meltCurve_P04259_KRT6B.pdf", "Melting_Curves/meltCurve_P04259_KRT6B.pdf")</f>
        <v>Melting_Curves/meltCurve_P04259_KRT6B.pdf</v>
      </c>
    </row>
    <row r="1675" spans="1:28" x14ac:dyDescent="0.25">
      <c r="A1675" t="s">
        <v>1679</v>
      </c>
      <c r="B1675">
        <v>0.99930955844802105</v>
      </c>
      <c r="C1675">
        <v>1.2029217705797901</v>
      </c>
      <c r="D1675">
        <v>0.77118588905583896</v>
      </c>
      <c r="E1675">
        <v>0.841071868320729</v>
      </c>
      <c r="F1675">
        <v>1.5424199213851999</v>
      </c>
      <c r="G1675">
        <v>0.54582358323053204</v>
      </c>
      <c r="H1675">
        <v>0.72521754955519602</v>
      </c>
      <c r="I1675">
        <v>1.0286882508894899</v>
      </c>
      <c r="J1675">
        <v>0.99949773421443699</v>
      </c>
      <c r="K1675">
        <v>0.25493862364844699</v>
      </c>
      <c r="L1675">
        <v>13596.370153120801</v>
      </c>
      <c r="M1675">
        <v>195.33257813321401</v>
      </c>
      <c r="N1675">
        <v>69.611045126285305</v>
      </c>
      <c r="O1675">
        <v>69.598963947718303</v>
      </c>
      <c r="P1675">
        <v>-0.69695703182848201</v>
      </c>
      <c r="Q1675">
        <v>6.66878129958208E-3</v>
      </c>
      <c r="R1675">
        <v>0.38558346166873098</v>
      </c>
      <c r="S1675" t="s">
        <v>8292</v>
      </c>
      <c r="T1675" t="s">
        <v>13232</v>
      </c>
      <c r="U1675" t="s">
        <v>13232</v>
      </c>
      <c r="V1675" t="s">
        <v>13232</v>
      </c>
      <c r="W1675" t="s">
        <v>14859</v>
      </c>
      <c r="X1675">
        <v>50</v>
      </c>
      <c r="Y1675" t="s">
        <v>21372</v>
      </c>
      <c r="Z1675" t="s">
        <v>27806</v>
      </c>
      <c r="AA1675">
        <v>0.98369049125745844</v>
      </c>
      <c r="AB1675" t="str">
        <f>HYPERLINK("Melting_Curves/meltCurve_P04264_KRT1.pdf", "Melting_Curves/meltCurve_P04264_KRT1.pdf")</f>
        <v>Melting_Curves/meltCurve_P04264_KRT1.pdf</v>
      </c>
    </row>
    <row r="1676" spans="1:28" x14ac:dyDescent="0.25">
      <c r="A1676" t="s">
        <v>1680</v>
      </c>
      <c r="B1676">
        <v>0.99930955844802105</v>
      </c>
      <c r="C1676">
        <v>0.63707575008927997</v>
      </c>
      <c r="D1676">
        <v>0.54493460669244398</v>
      </c>
      <c r="E1676">
        <v>0.47194080157306201</v>
      </c>
      <c r="F1676">
        <v>0.35264922165440399</v>
      </c>
      <c r="G1676">
        <v>0.21512091857994001</v>
      </c>
      <c r="H1676">
        <v>0.167290239476064</v>
      </c>
      <c r="I1676">
        <v>0.12931293664815799</v>
      </c>
      <c r="J1676">
        <v>0.127867005398205</v>
      </c>
      <c r="K1676">
        <v>9.7767830258546101E-2</v>
      </c>
      <c r="L1676">
        <v>440.52168071720803</v>
      </c>
      <c r="M1676">
        <v>9.2931567282269292</v>
      </c>
      <c r="N1676">
        <v>48.1111583877735</v>
      </c>
      <c r="O1676">
        <v>45.362973001033197</v>
      </c>
      <c r="P1676">
        <v>-4.79717304766097E-2</v>
      </c>
      <c r="Q1676">
        <v>6.3937961785218003E-2</v>
      </c>
      <c r="R1676">
        <v>0.94989044496474495</v>
      </c>
      <c r="S1676" t="s">
        <v>8293</v>
      </c>
      <c r="T1676" t="s">
        <v>13232</v>
      </c>
      <c r="U1676" t="s">
        <v>13232</v>
      </c>
      <c r="V1676" t="s">
        <v>13232</v>
      </c>
      <c r="W1676" t="s">
        <v>14860</v>
      </c>
      <c r="X1676">
        <v>23</v>
      </c>
      <c r="Y1676" t="s">
        <v>21373</v>
      </c>
      <c r="Z1676" t="s">
        <v>27807</v>
      </c>
      <c r="AA1676">
        <v>0.35316794204149332</v>
      </c>
      <c r="AB1676" t="str">
        <f>HYPERLINK("Melting_Curves/meltCurve_P04350_TUBB4A.pdf", "Melting_Curves/meltCurve_P04350_TUBB4A.pdf")</f>
        <v>Melting_Curves/meltCurve_P04350_TUBB4A.pdf</v>
      </c>
    </row>
    <row r="1677" spans="1:28" x14ac:dyDescent="0.25">
      <c r="A1677" t="s">
        <v>1681</v>
      </c>
      <c r="B1677">
        <v>0.99930955844802105</v>
      </c>
      <c r="C1677">
        <v>0.91535945779244599</v>
      </c>
      <c r="D1677">
        <v>0.93490921797646098</v>
      </c>
      <c r="E1677">
        <v>0.88627042906292297</v>
      </c>
      <c r="F1677">
        <v>0.82048867810418102</v>
      </c>
      <c r="G1677">
        <v>0.68283799440919202</v>
      </c>
      <c r="H1677">
        <v>0.233921149190259</v>
      </c>
      <c r="I1677">
        <v>0.10951958114047</v>
      </c>
      <c r="J1677">
        <v>8.30826328971771E-2</v>
      </c>
      <c r="K1677">
        <v>6.6569257842326701E-2</v>
      </c>
      <c r="L1677">
        <v>1113.06244456382</v>
      </c>
      <c r="M1677">
        <v>19.157470936510599</v>
      </c>
      <c r="N1677">
        <v>58.100700520986798</v>
      </c>
      <c r="O1677">
        <v>57.4787309420119</v>
      </c>
      <c r="P1677">
        <v>-8.3327388680534895E-2</v>
      </c>
      <c r="Q1677">
        <v>0</v>
      </c>
      <c r="R1677">
        <v>0.97847295914333299</v>
      </c>
      <c r="S1677" t="s">
        <v>8294</v>
      </c>
      <c r="T1677" t="s">
        <v>13232</v>
      </c>
      <c r="U1677" t="s">
        <v>13232</v>
      </c>
      <c r="V1677" t="s">
        <v>13232</v>
      </c>
      <c r="W1677" t="s">
        <v>14861</v>
      </c>
      <c r="X1677">
        <v>31</v>
      </c>
      <c r="Y1677" t="s">
        <v>21374</v>
      </c>
      <c r="Z1677" t="s">
        <v>27808</v>
      </c>
      <c r="AA1677">
        <v>0.61500970277334543</v>
      </c>
      <c r="AB1677" t="str">
        <f>HYPERLINK("Melting_Curves/meltCurve_P04406_GAPDH.pdf", "Melting_Curves/meltCurve_P04406_GAPDH.pdf")</f>
        <v>Melting_Curves/meltCurve_P04406_GAPDH.pdf</v>
      </c>
    </row>
    <row r="1678" spans="1:28" x14ac:dyDescent="0.25">
      <c r="A1678" t="s">
        <v>1682</v>
      </c>
      <c r="B1678">
        <v>0.99930955844802105</v>
      </c>
      <c r="C1678">
        <v>1.0211091113702799</v>
      </c>
      <c r="D1678">
        <v>1.0197983471165899</v>
      </c>
      <c r="E1678">
        <v>1.0258535777935001</v>
      </c>
      <c r="F1678">
        <v>1.0772081840163801</v>
      </c>
      <c r="G1678">
        <v>0.52908034016519301</v>
      </c>
      <c r="H1678">
        <v>0.18386888147372199</v>
      </c>
      <c r="I1678">
        <v>0.149153230771153</v>
      </c>
      <c r="J1678">
        <v>0.140008489261712</v>
      </c>
      <c r="K1678">
        <v>9.9860097992685096E-2</v>
      </c>
      <c r="L1678">
        <v>6823.8722921932704</v>
      </c>
      <c r="M1678">
        <v>119.91560238994499</v>
      </c>
      <c r="N1678">
        <v>57.066124123321401</v>
      </c>
      <c r="O1678">
        <v>56.889805567924597</v>
      </c>
      <c r="P1678">
        <v>-0.45153469039008998</v>
      </c>
      <c r="Q1678">
        <v>0.143140063268405</v>
      </c>
      <c r="R1678">
        <v>0.99372321526176999</v>
      </c>
      <c r="S1678" t="s">
        <v>8295</v>
      </c>
      <c r="T1678" t="s">
        <v>13232</v>
      </c>
      <c r="U1678" t="s">
        <v>13232</v>
      </c>
      <c r="V1678" t="s">
        <v>13232</v>
      </c>
      <c r="W1678" t="s">
        <v>14862</v>
      </c>
      <c r="X1678">
        <v>23</v>
      </c>
      <c r="Y1678" t="s">
        <v>21375</v>
      </c>
      <c r="Z1678" t="s">
        <v>27809</v>
      </c>
      <c r="AA1678">
        <v>0.62637069744696705</v>
      </c>
      <c r="AB1678" t="str">
        <f>HYPERLINK("Melting_Curves/meltCurve_P04424_ASL.pdf", "Melting_Curves/meltCurve_P04424_ASL.pdf")</f>
        <v>Melting_Curves/meltCurve_P04424_ASL.pdf</v>
      </c>
    </row>
    <row r="1679" spans="1:28" x14ac:dyDescent="0.25">
      <c r="A1679" t="s">
        <v>1683</v>
      </c>
      <c r="B1679">
        <v>0.99930955844802105</v>
      </c>
      <c r="C1679">
        <v>0.92832899466995999</v>
      </c>
      <c r="D1679">
        <v>0.88996149930024404</v>
      </c>
      <c r="E1679">
        <v>0.83622969068464703</v>
      </c>
      <c r="F1679">
        <v>0.74475398522457803</v>
      </c>
      <c r="G1679">
        <v>0.54045909956449201</v>
      </c>
      <c r="H1679">
        <v>0.33436195648152001</v>
      </c>
      <c r="I1679">
        <v>0.23324566384444001</v>
      </c>
      <c r="J1679">
        <v>0.13209965447092301</v>
      </c>
      <c r="K1679">
        <v>8.3595904806507401E-2</v>
      </c>
      <c r="L1679">
        <v>668.16637842161595</v>
      </c>
      <c r="M1679">
        <v>11.649840823223199</v>
      </c>
      <c r="N1679">
        <v>57.354117479979401</v>
      </c>
      <c r="O1679">
        <v>55.7423229131049</v>
      </c>
      <c r="P1679">
        <v>-5.2262740898449303E-2</v>
      </c>
      <c r="Q1679">
        <v>0</v>
      </c>
      <c r="R1679">
        <v>0.99247978920656199</v>
      </c>
      <c r="S1679" t="s">
        <v>8296</v>
      </c>
      <c r="T1679" t="s">
        <v>13232</v>
      </c>
      <c r="U1679" t="s">
        <v>13232</v>
      </c>
      <c r="V1679" t="s">
        <v>13232</v>
      </c>
      <c r="W1679" t="s">
        <v>14863</v>
      </c>
      <c r="X1679">
        <v>13</v>
      </c>
      <c r="Y1679" t="s">
        <v>21376</v>
      </c>
      <c r="Z1679" t="s">
        <v>27810</v>
      </c>
      <c r="AA1679">
        <v>0.59377436664953687</v>
      </c>
      <c r="AB1679" t="str">
        <f>HYPERLINK("Melting_Curves/meltCurve_P04632_CAPNS1.pdf", "Melting_Curves/meltCurve_P04632_CAPNS1.pdf")</f>
        <v>Melting_Curves/meltCurve_P04632_CAPNS1.pdf</v>
      </c>
    </row>
    <row r="1680" spans="1:28" x14ac:dyDescent="0.25">
      <c r="A1680" t="s">
        <v>1684</v>
      </c>
      <c r="B1680">
        <v>0.99930955844802105</v>
      </c>
      <c r="C1680">
        <v>0.59056838531414402</v>
      </c>
      <c r="D1680">
        <v>0.52013407720584903</v>
      </c>
      <c r="E1680">
        <v>0.54155438851582804</v>
      </c>
      <c r="F1680">
        <v>0.45963833853306302</v>
      </c>
      <c r="G1680">
        <v>0.35248430928639202</v>
      </c>
      <c r="H1680">
        <v>0.19816531653236499</v>
      </c>
      <c r="I1680">
        <v>0.20405185362137501</v>
      </c>
      <c r="J1680">
        <v>0.227199108403914</v>
      </c>
      <c r="K1680">
        <v>0.28522624664838298</v>
      </c>
      <c r="L1680">
        <v>410.55793139397798</v>
      </c>
      <c r="M1680">
        <v>8.8919480542982896</v>
      </c>
      <c r="N1680">
        <v>48.858254507698703</v>
      </c>
      <c r="O1680">
        <v>44.015643943352998</v>
      </c>
      <c r="P1680">
        <v>-4.0770306598272098E-2</v>
      </c>
      <c r="Q1680">
        <v>0.19335186290446901</v>
      </c>
      <c r="R1680">
        <v>0.85919065792152205</v>
      </c>
      <c r="S1680" t="s">
        <v>8297</v>
      </c>
      <c r="T1680" t="s">
        <v>13232</v>
      </c>
      <c r="U1680" t="s">
        <v>13232</v>
      </c>
      <c r="V1680" t="s">
        <v>13232</v>
      </c>
      <c r="W1680" t="s">
        <v>14864</v>
      </c>
      <c r="X1680">
        <v>17</v>
      </c>
      <c r="Y1680" t="s">
        <v>21377</v>
      </c>
      <c r="Z1680" t="s">
        <v>27811</v>
      </c>
      <c r="AA1680">
        <v>0.41897153009929239</v>
      </c>
      <c r="AB1680" t="str">
        <f>HYPERLINK("Melting_Curves/meltCurve_P04792_HSPB1.pdf", "Melting_Curves/meltCurve_P04792_HSPB1.pdf")</f>
        <v>Melting_Curves/meltCurve_P04792_HSPB1.pdf</v>
      </c>
    </row>
    <row r="1681" spans="1:28" x14ac:dyDescent="0.25">
      <c r="A1681" t="s">
        <v>1685</v>
      </c>
      <c r="B1681">
        <v>0.99930955844802105</v>
      </c>
      <c r="C1681">
        <v>1.08031616998272</v>
      </c>
      <c r="D1681">
        <v>0.79118337674556505</v>
      </c>
      <c r="E1681">
        <v>0.36247926337932002</v>
      </c>
      <c r="F1681">
        <v>0.21433267513454299</v>
      </c>
      <c r="G1681">
        <v>0.16320568550609399</v>
      </c>
      <c r="H1681">
        <v>0.118965025308892</v>
      </c>
      <c r="I1681">
        <v>0.110711961436096</v>
      </c>
      <c r="J1681">
        <v>9.9617925338226193E-2</v>
      </c>
      <c r="K1681">
        <v>7.0796797932267203E-2</v>
      </c>
      <c r="L1681">
        <v>1292.77592565483</v>
      </c>
      <c r="M1681">
        <v>26.744191827549201</v>
      </c>
      <c r="N1681">
        <v>48.7993361458553</v>
      </c>
      <c r="O1681">
        <v>48.070748629788497</v>
      </c>
      <c r="P1681">
        <v>-0.12356954318046399</v>
      </c>
      <c r="Q1681">
        <v>0.111580247864771</v>
      </c>
      <c r="R1681">
        <v>0.988370776127521</v>
      </c>
      <c r="S1681" t="s">
        <v>8298</v>
      </c>
      <c r="T1681" t="s">
        <v>13232</v>
      </c>
      <c r="U1681" t="s">
        <v>13232</v>
      </c>
      <c r="V1681" t="s">
        <v>13232</v>
      </c>
      <c r="W1681" t="s">
        <v>14865</v>
      </c>
      <c r="X1681">
        <v>15</v>
      </c>
      <c r="Y1681" t="s">
        <v>21378</v>
      </c>
      <c r="Z1681" t="s">
        <v>27812</v>
      </c>
      <c r="AA1681">
        <v>0.36533456322933999</v>
      </c>
      <c r="AB1681" t="str">
        <f>HYPERLINK("Melting_Curves/meltCurve_P04818_TYMS.pdf", "Melting_Curves/meltCurve_P04818_TYMS.pdf")</f>
        <v>Melting_Curves/meltCurve_P04818_TYMS.pdf</v>
      </c>
    </row>
    <row r="1682" spans="1:28" x14ac:dyDescent="0.25">
      <c r="A1682" t="s">
        <v>1686</v>
      </c>
      <c r="B1682">
        <v>0.99930955844802105</v>
      </c>
      <c r="C1682">
        <v>0.825032658735396</v>
      </c>
      <c r="D1682">
        <v>0.59386753604021703</v>
      </c>
      <c r="E1682">
        <v>0.81394137273709899</v>
      </c>
      <c r="F1682">
        <v>0.45278687139187401</v>
      </c>
      <c r="G1682">
        <v>0.18330218475488799</v>
      </c>
      <c r="H1682">
        <v>0.114336464086118</v>
      </c>
      <c r="I1682">
        <v>0.10368423018851899</v>
      </c>
      <c r="J1682">
        <v>0.102505143073989</v>
      </c>
      <c r="K1682">
        <v>7.54914763976854E-2</v>
      </c>
      <c r="L1682">
        <v>529.00529719485803</v>
      </c>
      <c r="M1682">
        <v>10.2531429238035</v>
      </c>
      <c r="N1682">
        <v>51.594439432502</v>
      </c>
      <c r="O1682">
        <v>49.747378514555201</v>
      </c>
      <c r="P1682">
        <v>-5.1548821712911398E-2</v>
      </c>
      <c r="Q1682">
        <v>0</v>
      </c>
      <c r="R1682">
        <v>0.90763925828498804</v>
      </c>
      <c r="S1682" t="s">
        <v>8299</v>
      </c>
      <c r="T1682" t="s">
        <v>13232</v>
      </c>
      <c r="U1682" t="s">
        <v>13232</v>
      </c>
      <c r="V1682" t="s">
        <v>13232</v>
      </c>
      <c r="W1682" t="s">
        <v>14866</v>
      </c>
      <c r="X1682">
        <v>17</v>
      </c>
      <c r="Y1682" t="s">
        <v>21379</v>
      </c>
      <c r="Z1682" t="s">
        <v>27813</v>
      </c>
      <c r="AA1682">
        <v>0.42479903367750721</v>
      </c>
      <c r="AB1682" t="str">
        <f>HYPERLINK("Melting_Curves/meltCurve_P04843_RPN1.pdf", "Melting_Curves/meltCurve_P04843_RPN1.pdf")</f>
        <v>Melting_Curves/meltCurve_P04843_RPN1.pdf</v>
      </c>
    </row>
    <row r="1683" spans="1:28" x14ac:dyDescent="0.25">
      <c r="A1683" t="s">
        <v>1687</v>
      </c>
      <c r="B1683">
        <v>0.99930955844802105</v>
      </c>
      <c r="C1683">
        <v>0.83737742367444801</v>
      </c>
      <c r="D1683">
        <v>0.67092183501444003</v>
      </c>
      <c r="E1683">
        <v>0.83930223497254597</v>
      </c>
      <c r="F1683">
        <v>0.475951207463572</v>
      </c>
      <c r="G1683">
        <v>0.196612096847921</v>
      </c>
      <c r="H1683">
        <v>0.11419642872779801</v>
      </c>
      <c r="I1683">
        <v>9.2596584330222706E-2</v>
      </c>
      <c r="J1683">
        <v>6.0717582425543697E-2</v>
      </c>
      <c r="K1683">
        <v>3.24082034779919E-2</v>
      </c>
      <c r="L1683">
        <v>637.02608349312902</v>
      </c>
      <c r="M1683">
        <v>12.165572241677401</v>
      </c>
      <c r="N1683">
        <v>52.3630384829966</v>
      </c>
      <c r="O1683">
        <v>51.008425763220302</v>
      </c>
      <c r="P1683">
        <v>-5.96389376022914E-2</v>
      </c>
      <c r="Q1683">
        <v>0</v>
      </c>
      <c r="R1683">
        <v>0.93206097932196397</v>
      </c>
      <c r="S1683" t="s">
        <v>8300</v>
      </c>
      <c r="T1683" t="s">
        <v>13232</v>
      </c>
      <c r="U1683" t="s">
        <v>13232</v>
      </c>
      <c r="V1683" t="s">
        <v>13232</v>
      </c>
      <c r="W1683" t="s">
        <v>14867</v>
      </c>
      <c r="X1683">
        <v>4</v>
      </c>
      <c r="Y1683" t="s">
        <v>21380</v>
      </c>
      <c r="Z1683" t="s">
        <v>27814</v>
      </c>
      <c r="AA1683">
        <v>0.44144909476183553</v>
      </c>
      <c r="AB1683" t="str">
        <f>HYPERLINK("Melting_Curves/meltCurve_P04844_2_RPN2.pdf", "Melting_Curves/meltCurve_P04844_2_RPN2.pdf")</f>
        <v>Melting_Curves/meltCurve_P04844_2_RPN2.pdf</v>
      </c>
    </row>
    <row r="1684" spans="1:28" x14ac:dyDescent="0.25">
      <c r="A1684" t="s">
        <v>1688</v>
      </c>
      <c r="B1684">
        <v>0.99930955844802105</v>
      </c>
      <c r="C1684">
        <v>0.889711237239036</v>
      </c>
      <c r="D1684">
        <v>0.80353772428301296</v>
      </c>
      <c r="E1684">
        <v>0.79162490261724305</v>
      </c>
      <c r="F1684">
        <v>0.43254092280696099</v>
      </c>
      <c r="G1684">
        <v>0.31292520963845599</v>
      </c>
      <c r="H1684">
        <v>0.247899672341099</v>
      </c>
      <c r="I1684">
        <v>0.23437196501037599</v>
      </c>
      <c r="J1684">
        <v>0.231440611204731</v>
      </c>
      <c r="K1684">
        <v>0.16580160921659101</v>
      </c>
      <c r="L1684">
        <v>696.63565607829605</v>
      </c>
      <c r="M1684">
        <v>13.533518054824301</v>
      </c>
      <c r="N1684">
        <v>53.017742017745299</v>
      </c>
      <c r="O1684">
        <v>50.389929779232602</v>
      </c>
      <c r="P1684">
        <v>-5.6223186693215702E-2</v>
      </c>
      <c r="Q1684">
        <v>0.16277344064298099</v>
      </c>
      <c r="R1684">
        <v>0.96743552635459595</v>
      </c>
      <c r="S1684" t="s">
        <v>8301</v>
      </c>
      <c r="T1684" t="s">
        <v>13232</v>
      </c>
      <c r="U1684" t="s">
        <v>13232</v>
      </c>
      <c r="V1684" t="s">
        <v>13232</v>
      </c>
      <c r="W1684" t="s">
        <v>14868</v>
      </c>
      <c r="X1684">
        <v>8</v>
      </c>
      <c r="Y1684" t="s">
        <v>21381</v>
      </c>
      <c r="Z1684" t="s">
        <v>27815</v>
      </c>
      <c r="AA1684">
        <v>0.50533898157489765</v>
      </c>
      <c r="AB1684" t="str">
        <f>HYPERLINK("Melting_Curves/meltCurve_P04899_GNAI2.pdf", "Melting_Curves/meltCurve_P04899_GNAI2.pdf")</f>
        <v>Melting_Curves/meltCurve_P04899_GNAI2.pdf</v>
      </c>
    </row>
    <row r="1685" spans="1:28" x14ac:dyDescent="0.25">
      <c r="A1685" t="s">
        <v>1689</v>
      </c>
      <c r="B1685">
        <v>0.99930955844802105</v>
      </c>
      <c r="C1685">
        <v>1.12384814389232</v>
      </c>
      <c r="D1685">
        <v>1.0279969597522201</v>
      </c>
      <c r="E1685">
        <v>0.90926194508376301</v>
      </c>
      <c r="F1685">
        <v>0.81029482209171899</v>
      </c>
      <c r="G1685">
        <v>0.72113645336157906</v>
      </c>
      <c r="H1685">
        <v>0.81669479978038895</v>
      </c>
      <c r="I1685">
        <v>0.91597891611294502</v>
      </c>
      <c r="J1685">
        <v>0.94229203986864396</v>
      </c>
      <c r="K1685">
        <v>0.73726530528469203</v>
      </c>
      <c r="L1685">
        <v>12496.9205304592</v>
      </c>
      <c r="M1685">
        <v>250</v>
      </c>
      <c r="O1685">
        <v>49.984482609499302</v>
      </c>
      <c r="P1685">
        <v>-0.22013868268304099</v>
      </c>
      <c r="Q1685">
        <v>0.823943707479034</v>
      </c>
      <c r="R1685">
        <v>0.62538106438284302</v>
      </c>
      <c r="S1685" t="s">
        <v>8302</v>
      </c>
      <c r="T1685" t="s">
        <v>13232</v>
      </c>
      <c r="U1685" t="s">
        <v>13232</v>
      </c>
      <c r="V1685" t="s">
        <v>13232</v>
      </c>
      <c r="W1685" t="s">
        <v>14869</v>
      </c>
      <c r="X1685">
        <v>5</v>
      </c>
      <c r="Y1685" t="s">
        <v>21382</v>
      </c>
      <c r="Z1685" t="s">
        <v>27816</v>
      </c>
      <c r="AA1685">
        <v>0.88257229531738812</v>
      </c>
      <c r="AB1685" t="str">
        <f>HYPERLINK("Melting_Curves/meltCurve_P04920_2_SLC4A2.pdf", "Melting_Curves/meltCurve_P04920_2_SLC4A2.pdf")</f>
        <v>Melting_Curves/meltCurve_P04920_2_SLC4A2.pdf</v>
      </c>
    </row>
    <row r="1686" spans="1:28" x14ac:dyDescent="0.25">
      <c r="A1686" t="s">
        <v>1690</v>
      </c>
      <c r="B1686">
        <v>0.99930955844802105</v>
      </c>
      <c r="C1686">
        <v>0.67063125434763304</v>
      </c>
      <c r="D1686">
        <v>0.52534948459072806</v>
      </c>
      <c r="E1686">
        <v>0.72389041775200502</v>
      </c>
      <c r="F1686">
        <v>0.34024396937462997</v>
      </c>
      <c r="G1686">
        <v>0.16817871108247001</v>
      </c>
      <c r="H1686">
        <v>0.10086908914364</v>
      </c>
      <c r="I1686">
        <v>9.0188325764947397E-2</v>
      </c>
      <c r="J1686">
        <v>7.7807054082571603E-2</v>
      </c>
      <c r="K1686">
        <v>6.10477164839099E-2</v>
      </c>
      <c r="L1686">
        <v>444.97964049623198</v>
      </c>
      <c r="M1686">
        <v>9.0143250380852198</v>
      </c>
      <c r="N1686">
        <v>49.363611704839599</v>
      </c>
      <c r="O1686">
        <v>47.115911732443699</v>
      </c>
      <c r="P1686">
        <v>-4.7865129642062201E-2</v>
      </c>
      <c r="Q1686">
        <v>0</v>
      </c>
      <c r="R1686">
        <v>0.88507897535281899</v>
      </c>
      <c r="S1686" t="s">
        <v>8303</v>
      </c>
      <c r="T1686" t="s">
        <v>13232</v>
      </c>
      <c r="U1686" t="s">
        <v>13232</v>
      </c>
      <c r="V1686" t="s">
        <v>13232</v>
      </c>
      <c r="W1686" t="s">
        <v>14870</v>
      </c>
      <c r="X1686">
        <v>13</v>
      </c>
      <c r="Y1686" t="s">
        <v>21383</v>
      </c>
      <c r="Z1686" t="s">
        <v>27817</v>
      </c>
      <c r="AA1686">
        <v>0.36697933014557838</v>
      </c>
      <c r="AB1686" t="str">
        <f>HYPERLINK("Melting_Curves/meltCurve_P05023_4_ATP1A1.pdf", "Melting_Curves/meltCurve_P05023_4_ATP1A1.pdf")</f>
        <v>Melting_Curves/meltCurve_P05023_4_ATP1A1.pdf</v>
      </c>
    </row>
    <row r="1687" spans="1:28" x14ac:dyDescent="0.25">
      <c r="A1687" t="s">
        <v>1691</v>
      </c>
      <c r="B1687">
        <v>0.99930955844802105</v>
      </c>
      <c r="C1687">
        <v>0.80869214791181898</v>
      </c>
      <c r="D1687">
        <v>0.77582430330001695</v>
      </c>
      <c r="E1687">
        <v>0.65687791880888102</v>
      </c>
      <c r="F1687">
        <v>0.352752789911426</v>
      </c>
      <c r="G1687">
        <v>0.162508066761992</v>
      </c>
      <c r="H1687">
        <v>8.8383145083993697E-2</v>
      </c>
      <c r="I1687">
        <v>8.3777161709578801E-2</v>
      </c>
      <c r="J1687">
        <v>7.3223410856408697E-2</v>
      </c>
      <c r="K1687">
        <v>5.2426164158720902E-2</v>
      </c>
      <c r="L1687">
        <v>630.57180714762796</v>
      </c>
      <c r="M1687">
        <v>12.3890648476004</v>
      </c>
      <c r="N1687">
        <v>50.914584407651702</v>
      </c>
      <c r="O1687">
        <v>49.625911264184197</v>
      </c>
      <c r="P1687">
        <v>-6.2295569158193703E-2</v>
      </c>
      <c r="Q1687">
        <v>2.0825456885701001E-3</v>
      </c>
      <c r="R1687">
        <v>0.97829229242590399</v>
      </c>
      <c r="S1687" t="s">
        <v>8304</v>
      </c>
      <c r="T1687" t="s">
        <v>13232</v>
      </c>
      <c r="U1687" t="s">
        <v>13232</v>
      </c>
      <c r="V1687" t="s">
        <v>13232</v>
      </c>
      <c r="W1687" t="s">
        <v>14871</v>
      </c>
      <c r="X1687">
        <v>22</v>
      </c>
      <c r="Y1687" t="s">
        <v>21384</v>
      </c>
      <c r="Z1687" t="s">
        <v>27818</v>
      </c>
      <c r="AA1687">
        <v>0.39583191975278531</v>
      </c>
      <c r="AB1687" t="str">
        <f>HYPERLINK("Melting_Curves/meltCurve_P05091_ALDH2.pdf", "Melting_Curves/meltCurve_P05091_ALDH2.pdf")</f>
        <v>Melting_Curves/meltCurve_P05091_ALDH2.pdf</v>
      </c>
    </row>
    <row r="1688" spans="1:28" x14ac:dyDescent="0.25">
      <c r="A1688" t="s">
        <v>1692</v>
      </c>
      <c r="B1688">
        <v>0.99930955844802105</v>
      </c>
      <c r="C1688">
        <v>1.45013365657444</v>
      </c>
      <c r="D1688">
        <v>1.3655042413079801</v>
      </c>
      <c r="E1688">
        <v>1.9530975468324101</v>
      </c>
      <c r="F1688">
        <v>1.9041380325811801</v>
      </c>
      <c r="G1688">
        <v>2.1818452621897899</v>
      </c>
      <c r="H1688">
        <v>2.9670332514568001</v>
      </c>
      <c r="I1688">
        <v>3.2681104217496602</v>
      </c>
      <c r="J1688">
        <v>3.3959572661067501</v>
      </c>
      <c r="K1688">
        <v>2.5129315112209598</v>
      </c>
      <c r="L1688">
        <v>4565.3450908971499</v>
      </c>
      <c r="M1688">
        <v>108.61302903395701</v>
      </c>
      <c r="O1688">
        <v>42.018881160209602</v>
      </c>
      <c r="P1688">
        <v>0.32310782068654997</v>
      </c>
      <c r="Q1688">
        <v>1.5</v>
      </c>
      <c r="R1688">
        <v>-0.760505076288295</v>
      </c>
      <c r="S1688" t="s">
        <v>8305</v>
      </c>
      <c r="T1688" t="s">
        <v>13232</v>
      </c>
      <c r="U1688" t="s">
        <v>13232</v>
      </c>
      <c r="V1688" t="s">
        <v>13232</v>
      </c>
      <c r="W1688" t="s">
        <v>14872</v>
      </c>
      <c r="X1688">
        <v>13</v>
      </c>
      <c r="Y1688" t="s">
        <v>21385</v>
      </c>
      <c r="Z1688" t="s">
        <v>27819</v>
      </c>
      <c r="AA1688">
        <v>1.4658960362524309</v>
      </c>
      <c r="AB1688" t="str">
        <f>HYPERLINK("Melting_Curves/meltCurve_P05114_HMGN1.pdf", "Melting_Curves/meltCurve_P05114_HMGN1.pdf")</f>
        <v>Melting_Curves/meltCurve_P05114_HMGN1.pdf</v>
      </c>
    </row>
    <row r="1689" spans="1:28" x14ac:dyDescent="0.25">
      <c r="A1689" t="s">
        <v>1693</v>
      </c>
      <c r="B1689">
        <v>0.99930955844802105</v>
      </c>
      <c r="C1689">
        <v>0.59412869396524004</v>
      </c>
      <c r="D1689">
        <v>0.497930941873449</v>
      </c>
      <c r="E1689">
        <v>0.61256960271223104</v>
      </c>
      <c r="F1689">
        <v>0.33299111107493601</v>
      </c>
      <c r="G1689">
        <v>0.16082853507417999</v>
      </c>
      <c r="H1689">
        <v>0.101659727901466</v>
      </c>
      <c r="I1689">
        <v>8.0334197696781504E-2</v>
      </c>
      <c r="J1689">
        <v>7.4773908759605795E-2</v>
      </c>
      <c r="K1689">
        <v>4.65152392482064E-2</v>
      </c>
      <c r="L1689">
        <v>417.62150742726902</v>
      </c>
      <c r="M1689">
        <v>8.6690738908028209</v>
      </c>
      <c r="N1689">
        <v>48.173716881119503</v>
      </c>
      <c r="O1689">
        <v>45.816166105756103</v>
      </c>
      <c r="P1689">
        <v>-4.7343152225248299E-2</v>
      </c>
      <c r="Q1689">
        <v>0</v>
      </c>
      <c r="R1689">
        <v>0.89527882306249595</v>
      </c>
      <c r="S1689" t="s">
        <v>8306</v>
      </c>
      <c r="T1689" t="s">
        <v>13232</v>
      </c>
      <c r="U1689" t="s">
        <v>13232</v>
      </c>
      <c r="V1689" t="s">
        <v>13232</v>
      </c>
      <c r="W1689" t="s">
        <v>14873</v>
      </c>
      <c r="X1689">
        <v>8</v>
      </c>
      <c r="Y1689" t="s">
        <v>21386</v>
      </c>
      <c r="Z1689" t="s">
        <v>27820</v>
      </c>
      <c r="AA1689">
        <v>0.33674397080441298</v>
      </c>
      <c r="AB1689" t="str">
        <f>HYPERLINK("Melting_Curves/meltCurve_P05141_SLC25A5.pdf", "Melting_Curves/meltCurve_P05141_SLC25A5.pdf")</f>
        <v>Melting_Curves/meltCurve_P05141_SLC25A5.pdf</v>
      </c>
    </row>
    <row r="1690" spans="1:28" x14ac:dyDescent="0.25">
      <c r="A1690" t="s">
        <v>1694</v>
      </c>
      <c r="B1690">
        <v>0.99930955844802105</v>
      </c>
      <c r="C1690">
        <v>1.2184835240354099</v>
      </c>
      <c r="D1690">
        <v>1.24245207917833</v>
      </c>
      <c r="E1690">
        <v>0.97378329493942795</v>
      </c>
      <c r="F1690">
        <v>0.42026407686115602</v>
      </c>
      <c r="G1690">
        <v>0.17769250000210199</v>
      </c>
      <c r="H1690">
        <v>0.10045070790102301</v>
      </c>
      <c r="I1690">
        <v>8.8975718045041993E-2</v>
      </c>
      <c r="J1690">
        <v>8.6865282763370202E-2</v>
      </c>
      <c r="K1690">
        <v>6.2177574277784198E-2</v>
      </c>
      <c r="L1690">
        <v>3247.4905011763599</v>
      </c>
      <c r="M1690">
        <v>61.848125650993801</v>
      </c>
      <c r="N1690">
        <v>52.700298870530197</v>
      </c>
      <c r="O1690">
        <v>52.452671322540702</v>
      </c>
      <c r="P1690">
        <v>-0.26493517240577202</v>
      </c>
      <c r="Q1690">
        <v>0.101246348681561</v>
      </c>
      <c r="R1690">
        <v>0.95126078154272398</v>
      </c>
      <c r="S1690" t="s">
        <v>8307</v>
      </c>
      <c r="T1690" t="s">
        <v>13232</v>
      </c>
      <c r="U1690" t="s">
        <v>13232</v>
      </c>
      <c r="V1690" t="s">
        <v>13232</v>
      </c>
      <c r="W1690" t="s">
        <v>14874</v>
      </c>
      <c r="X1690">
        <v>4</v>
      </c>
      <c r="Y1690" t="s">
        <v>21387</v>
      </c>
      <c r="Z1690" t="s">
        <v>27821</v>
      </c>
      <c r="AA1690">
        <v>0.4773095660595929</v>
      </c>
      <c r="AB1690" t="str">
        <f>HYPERLINK("Melting_Curves/meltCurve_P05161_ISG15.pdf", "Melting_Curves/meltCurve_P05161_ISG15.pdf")</f>
        <v>Melting_Curves/meltCurve_P05161_ISG15.pdf</v>
      </c>
    </row>
    <row r="1691" spans="1:28" x14ac:dyDescent="0.25">
      <c r="A1691" t="s">
        <v>1695</v>
      </c>
      <c r="B1691">
        <v>0.99930955844802105</v>
      </c>
      <c r="C1691">
        <v>0.84381731572628405</v>
      </c>
      <c r="D1691">
        <v>0.89637766911075301</v>
      </c>
      <c r="E1691">
        <v>0.72771452956879001</v>
      </c>
      <c r="F1691">
        <v>0.30559752727476902</v>
      </c>
      <c r="G1691">
        <v>0.26049744720239199</v>
      </c>
      <c r="H1691">
        <v>0.14963992592378</v>
      </c>
      <c r="I1691">
        <v>0.136366719732292</v>
      </c>
      <c r="J1691">
        <v>0.133664895920864</v>
      </c>
      <c r="K1691">
        <v>8.5905521070100799E-2</v>
      </c>
      <c r="L1691">
        <v>977.85825495690199</v>
      </c>
      <c r="M1691">
        <v>19.1607701390319</v>
      </c>
      <c r="N1691">
        <v>51.705470050486397</v>
      </c>
      <c r="O1691">
        <v>50.488253749848603</v>
      </c>
      <c r="P1691">
        <v>-8.4435863280802506E-2</v>
      </c>
      <c r="Q1691">
        <v>0.110086935697723</v>
      </c>
      <c r="R1691">
        <v>0.96876658297753604</v>
      </c>
      <c r="S1691" t="s">
        <v>8308</v>
      </c>
      <c r="T1691" t="s">
        <v>13232</v>
      </c>
      <c r="U1691" t="s">
        <v>13232</v>
      </c>
      <c r="V1691" t="s">
        <v>13232</v>
      </c>
      <c r="W1691" t="s">
        <v>14875</v>
      </c>
      <c r="X1691">
        <v>5</v>
      </c>
      <c r="Y1691" t="s">
        <v>21388</v>
      </c>
      <c r="Z1691" t="s">
        <v>27822</v>
      </c>
      <c r="AA1691">
        <v>0.45078396667625881</v>
      </c>
      <c r="AB1691" t="str">
        <f>HYPERLINK("Melting_Curves/meltCurve_P05165_3_PCCA.pdf", "Melting_Curves/meltCurve_P05165_3_PCCA.pdf")</f>
        <v>Melting_Curves/meltCurve_P05165_3_PCCA.pdf</v>
      </c>
    </row>
    <row r="1692" spans="1:28" x14ac:dyDescent="0.25">
      <c r="A1692" t="s">
        <v>1696</v>
      </c>
      <c r="B1692">
        <v>0.99930955844802105</v>
      </c>
      <c r="C1692">
        <v>0.70348704471949297</v>
      </c>
      <c r="D1692">
        <v>0.73212441238143</v>
      </c>
      <c r="E1692">
        <v>0.79027377418633404</v>
      </c>
      <c r="F1692">
        <v>0.74236497504588905</v>
      </c>
      <c r="G1692">
        <v>0.43925376801896598</v>
      </c>
      <c r="H1692">
        <v>0.188568012306846</v>
      </c>
      <c r="I1692">
        <v>0.12817291997655</v>
      </c>
      <c r="J1692">
        <v>0.106017581649965</v>
      </c>
      <c r="K1692">
        <v>8.13666342498124E-2</v>
      </c>
      <c r="L1692">
        <v>547.82890171548399</v>
      </c>
      <c r="M1692">
        <v>9.9926640405103608</v>
      </c>
      <c r="N1692">
        <v>54.823108150924703</v>
      </c>
      <c r="O1692">
        <v>52.763150828495299</v>
      </c>
      <c r="P1692">
        <v>-4.7369874462217902E-2</v>
      </c>
      <c r="Q1692">
        <v>0</v>
      </c>
      <c r="R1692">
        <v>0.88753935016450003</v>
      </c>
      <c r="S1692" t="s">
        <v>8309</v>
      </c>
      <c r="T1692" t="s">
        <v>13232</v>
      </c>
      <c r="U1692" t="s">
        <v>13232</v>
      </c>
      <c r="V1692" t="s">
        <v>13232</v>
      </c>
      <c r="W1692" t="s">
        <v>14876</v>
      </c>
      <c r="X1692">
        <v>11</v>
      </c>
      <c r="Y1692" t="s">
        <v>21389</v>
      </c>
      <c r="Z1692" t="s">
        <v>27823</v>
      </c>
      <c r="AA1692">
        <v>0.52078039217290661</v>
      </c>
      <c r="AB1692" t="str">
        <f>HYPERLINK("Melting_Curves/meltCurve_P05166_PCCB.pdf", "Melting_Curves/meltCurve_P05166_PCCB.pdf")</f>
        <v>Melting_Curves/meltCurve_P05166_PCCB.pdf</v>
      </c>
    </row>
    <row r="1693" spans="1:28" x14ac:dyDescent="0.25">
      <c r="A1693" t="s">
        <v>1697</v>
      </c>
      <c r="B1693">
        <v>0.99930955844802105</v>
      </c>
      <c r="C1693">
        <v>0.84462514106198106</v>
      </c>
      <c r="D1693">
        <v>0.85303458408619703</v>
      </c>
      <c r="E1693">
        <v>0.75022430321489497</v>
      </c>
      <c r="F1693">
        <v>0.433496303235056</v>
      </c>
      <c r="G1693">
        <v>0.19060261250413399</v>
      </c>
      <c r="H1693">
        <v>9.3525285709983794E-2</v>
      </c>
      <c r="I1693">
        <v>7.0749648773333895E-2</v>
      </c>
      <c r="J1693">
        <v>5.9272224827898699E-2</v>
      </c>
      <c r="K1693">
        <v>4.6301699395207202E-2</v>
      </c>
      <c r="L1693">
        <v>805.90649740240497</v>
      </c>
      <c r="M1693">
        <v>15.4336734501509</v>
      </c>
      <c r="N1693">
        <v>52.305175078060202</v>
      </c>
      <c r="O1693">
        <v>51.364316885939402</v>
      </c>
      <c r="P1693">
        <v>-7.4165456123813103E-2</v>
      </c>
      <c r="Q1693">
        <v>1.27784333798049E-2</v>
      </c>
      <c r="R1693">
        <v>0.981541705624289</v>
      </c>
      <c r="S1693" t="s">
        <v>8310</v>
      </c>
      <c r="T1693" t="s">
        <v>13232</v>
      </c>
      <c r="U1693" t="s">
        <v>13232</v>
      </c>
      <c r="V1693" t="s">
        <v>13232</v>
      </c>
      <c r="W1693" t="s">
        <v>14877</v>
      </c>
      <c r="X1693">
        <v>36</v>
      </c>
      <c r="Y1693" t="s">
        <v>21390</v>
      </c>
      <c r="Z1693" t="s">
        <v>27824</v>
      </c>
      <c r="AA1693">
        <v>0.43579726384623352</v>
      </c>
      <c r="AB1693" t="str">
        <f>HYPERLINK("Melting_Curves/meltCurve_P05198_EIF2S1.pdf", "Melting_Curves/meltCurve_P05198_EIF2S1.pdf")</f>
        <v>Melting_Curves/meltCurve_P05198_EIF2S1.pdf</v>
      </c>
    </row>
    <row r="1694" spans="1:28" x14ac:dyDescent="0.25">
      <c r="A1694" t="s">
        <v>1698</v>
      </c>
      <c r="B1694">
        <v>0.99930955844802105</v>
      </c>
      <c r="C1694">
        <v>1.0351289303873199</v>
      </c>
      <c r="D1694">
        <v>1.07810695524469</v>
      </c>
      <c r="E1694">
        <v>1.0786771765173699</v>
      </c>
      <c r="F1694">
        <v>0.93800397930754997</v>
      </c>
      <c r="G1694">
        <v>1.6961352079826799</v>
      </c>
      <c r="H1694">
        <v>1.48774715068276</v>
      </c>
      <c r="I1694">
        <v>2.2368391724096801</v>
      </c>
      <c r="J1694">
        <v>2.1086497422651198</v>
      </c>
      <c r="K1694">
        <v>1.1522032707375101</v>
      </c>
      <c r="L1694">
        <v>6281.7604552831099</v>
      </c>
      <c r="M1694">
        <v>114.86747113307101</v>
      </c>
      <c r="O1694">
        <v>54.670466239579902</v>
      </c>
      <c r="P1694">
        <v>0.26263607974568298</v>
      </c>
      <c r="Q1694">
        <v>1.5</v>
      </c>
      <c r="R1694">
        <v>0.47146032377824698</v>
      </c>
      <c r="S1694" t="s">
        <v>8311</v>
      </c>
      <c r="T1694" t="s">
        <v>13232</v>
      </c>
      <c r="U1694" t="s">
        <v>13232</v>
      </c>
      <c r="V1694" t="s">
        <v>13232</v>
      </c>
      <c r="W1694" t="s">
        <v>14878</v>
      </c>
      <c r="X1694">
        <v>13</v>
      </c>
      <c r="Y1694" t="s">
        <v>21391</v>
      </c>
      <c r="Z1694" t="s">
        <v>27825</v>
      </c>
      <c r="AA1694">
        <v>1.25498872683324</v>
      </c>
      <c r="AB1694" t="str">
        <f>HYPERLINK("Melting_Curves/meltCurve_P05204_HMGN2.pdf", "Melting_Curves/meltCurve_P05204_HMGN2.pdf")</f>
        <v>Melting_Curves/meltCurve_P05204_HMGN2.pdf</v>
      </c>
    </row>
    <row r="1695" spans="1:28" x14ac:dyDescent="0.25">
      <c r="A1695" t="s">
        <v>1699</v>
      </c>
      <c r="B1695">
        <v>0.99930955844802105</v>
      </c>
      <c r="C1695">
        <v>0.75100278120851005</v>
      </c>
      <c r="D1695">
        <v>0.64170379796149302</v>
      </c>
      <c r="E1695">
        <v>0.75077562957852795</v>
      </c>
      <c r="F1695">
        <v>0.46849631428590699</v>
      </c>
      <c r="G1695">
        <v>0.282947053019872</v>
      </c>
      <c r="H1695">
        <v>0.22668868733827</v>
      </c>
      <c r="I1695">
        <v>0.212690184184813</v>
      </c>
      <c r="J1695">
        <v>0.201510315449283</v>
      </c>
      <c r="K1695">
        <v>0.18175449932695401</v>
      </c>
      <c r="L1695">
        <v>411.82720187093599</v>
      </c>
      <c r="M1695">
        <v>8.0108986067508106</v>
      </c>
      <c r="N1695">
        <v>52.175830853471197</v>
      </c>
      <c r="O1695">
        <v>48.501615339699597</v>
      </c>
      <c r="P1695">
        <v>-3.90408259899142E-2</v>
      </c>
      <c r="Q1695">
        <v>5.5579191863381401E-2</v>
      </c>
      <c r="R1695">
        <v>0.92321462129209098</v>
      </c>
      <c r="S1695" t="s">
        <v>8312</v>
      </c>
      <c r="T1695" t="s">
        <v>13232</v>
      </c>
      <c r="U1695" t="s">
        <v>13232</v>
      </c>
      <c r="V1695" t="s">
        <v>13232</v>
      </c>
      <c r="W1695" t="s">
        <v>14879</v>
      </c>
      <c r="X1695">
        <v>8</v>
      </c>
      <c r="Y1695" t="s">
        <v>21392</v>
      </c>
      <c r="Z1695" t="s">
        <v>27826</v>
      </c>
      <c r="AA1695">
        <v>0.46266481405651672</v>
      </c>
      <c r="AB1695" t="str">
        <f>HYPERLINK("Melting_Curves/meltCurve_P05362_ICAM1.pdf", "Melting_Curves/meltCurve_P05362_ICAM1.pdf")</f>
        <v>Melting_Curves/meltCurve_P05362_ICAM1.pdf</v>
      </c>
    </row>
    <row r="1696" spans="1:28" x14ac:dyDescent="0.25">
      <c r="A1696" t="s">
        <v>1700</v>
      </c>
      <c r="B1696">
        <v>0.99930955844802105</v>
      </c>
      <c r="C1696">
        <v>0.78491251196618295</v>
      </c>
      <c r="D1696">
        <v>0.623651127455503</v>
      </c>
      <c r="E1696">
        <v>0.53525806213529203</v>
      </c>
      <c r="F1696">
        <v>0.32253070612486601</v>
      </c>
      <c r="G1696">
        <v>0.251575768073805</v>
      </c>
      <c r="H1696">
        <v>0.17693959159934999</v>
      </c>
      <c r="I1696">
        <v>0.20049964641652501</v>
      </c>
      <c r="J1696">
        <v>0.21074762417262799</v>
      </c>
      <c r="K1696">
        <v>0.128565264154991</v>
      </c>
      <c r="L1696">
        <v>560.20228543181304</v>
      </c>
      <c r="M1696">
        <v>11.7072190504931</v>
      </c>
      <c r="N1696">
        <v>49.243166602972401</v>
      </c>
      <c r="O1696">
        <v>46.5188400016294</v>
      </c>
      <c r="P1696">
        <v>-5.4066762981590299E-2</v>
      </c>
      <c r="Q1696">
        <v>0.140886973081258</v>
      </c>
      <c r="R1696">
        <v>0.97595260808168804</v>
      </c>
      <c r="S1696" t="s">
        <v>8313</v>
      </c>
      <c r="T1696" t="s">
        <v>13232</v>
      </c>
      <c r="U1696" t="s">
        <v>13232</v>
      </c>
      <c r="V1696" t="s">
        <v>13232</v>
      </c>
      <c r="W1696" t="s">
        <v>14880</v>
      </c>
      <c r="X1696">
        <v>2</v>
      </c>
      <c r="Y1696" t="s">
        <v>21393</v>
      </c>
      <c r="Z1696" t="s">
        <v>27827</v>
      </c>
      <c r="AA1696">
        <v>0.40118379548209582</v>
      </c>
      <c r="AB1696" t="str">
        <f>HYPERLINK("Melting_Curves/meltCurve_P05386_RPLP1.pdf", "Melting_Curves/meltCurve_P05386_RPLP1.pdf")</f>
        <v>Melting_Curves/meltCurve_P05386_RPLP1.pdf</v>
      </c>
    </row>
    <row r="1697" spans="1:28" x14ac:dyDescent="0.25">
      <c r="A1697" t="s">
        <v>1701</v>
      </c>
      <c r="B1697">
        <v>0.99930955844802105</v>
      </c>
      <c r="C1697">
        <v>0.82736373713162903</v>
      </c>
      <c r="D1697">
        <v>0.66485289108494405</v>
      </c>
      <c r="E1697">
        <v>0.54405888500460198</v>
      </c>
      <c r="F1697">
        <v>0.46253978462873602</v>
      </c>
      <c r="G1697">
        <v>0.38710192251845399</v>
      </c>
      <c r="H1697">
        <v>0.48403028478464999</v>
      </c>
      <c r="I1697">
        <v>0.60482847538912698</v>
      </c>
      <c r="J1697">
        <v>0.58276789913268001</v>
      </c>
      <c r="K1697">
        <v>0.51554283334733597</v>
      </c>
      <c r="L1697">
        <v>1138.80094327245</v>
      </c>
      <c r="M1697">
        <v>25.709792888921399</v>
      </c>
      <c r="O1697">
        <v>44.0290657162722</v>
      </c>
      <c r="P1697">
        <v>-7.1822861864328402E-2</v>
      </c>
      <c r="Q1697">
        <v>0.50800761673689199</v>
      </c>
      <c r="R1697">
        <v>0.88370211749235295</v>
      </c>
      <c r="S1697" t="s">
        <v>8314</v>
      </c>
      <c r="T1697" t="s">
        <v>13232</v>
      </c>
      <c r="U1697" t="s">
        <v>13232</v>
      </c>
      <c r="V1697" t="s">
        <v>13232</v>
      </c>
      <c r="W1697" t="s">
        <v>14881</v>
      </c>
      <c r="X1697">
        <v>6</v>
      </c>
      <c r="Y1697" t="s">
        <v>21394</v>
      </c>
      <c r="Z1697" t="s">
        <v>27828</v>
      </c>
      <c r="AA1697">
        <v>0.58344621839220201</v>
      </c>
      <c r="AB1697" t="str">
        <f>HYPERLINK("Melting_Curves/meltCurve_P05387_RPLP2.pdf", "Melting_Curves/meltCurve_P05387_RPLP2.pdf")</f>
        <v>Melting_Curves/meltCurve_P05387_RPLP2.pdf</v>
      </c>
    </row>
    <row r="1698" spans="1:28" x14ac:dyDescent="0.25">
      <c r="A1698" t="s">
        <v>1702</v>
      </c>
      <c r="B1698">
        <v>0.99930955844802105</v>
      </c>
      <c r="C1698">
        <v>0.80274610213828501</v>
      </c>
      <c r="D1698">
        <v>0.56795238700265704</v>
      </c>
      <c r="E1698">
        <v>0.40768306310899999</v>
      </c>
      <c r="F1698">
        <v>0.23321295503224901</v>
      </c>
      <c r="G1698">
        <v>0.13906826298043101</v>
      </c>
      <c r="H1698">
        <v>6.3214192128476093E-2</v>
      </c>
      <c r="I1698">
        <v>4.7656465221868199E-2</v>
      </c>
      <c r="J1698">
        <v>4.1092658637238003E-2</v>
      </c>
      <c r="K1698">
        <v>2.7976697349599702E-2</v>
      </c>
      <c r="L1698">
        <v>607.97846069970603</v>
      </c>
      <c r="M1698">
        <v>12.7333283119921</v>
      </c>
      <c r="N1698">
        <v>47.865711687273702</v>
      </c>
      <c r="O1698">
        <v>46.615330553562799</v>
      </c>
      <c r="P1698">
        <v>-6.7241000284107802E-2</v>
      </c>
      <c r="Q1698">
        <v>1.55405609212748E-2</v>
      </c>
      <c r="R1698">
        <v>0.99020587477576405</v>
      </c>
      <c r="S1698" t="s">
        <v>8315</v>
      </c>
      <c r="T1698" t="s">
        <v>13232</v>
      </c>
      <c r="U1698" t="s">
        <v>13232</v>
      </c>
      <c r="V1698" t="s">
        <v>13232</v>
      </c>
      <c r="W1698" t="s">
        <v>14882</v>
      </c>
      <c r="X1698">
        <v>11</v>
      </c>
      <c r="Y1698" t="s">
        <v>21395</v>
      </c>
      <c r="Z1698" t="s">
        <v>27829</v>
      </c>
      <c r="AA1698">
        <v>0.30494095546104127</v>
      </c>
      <c r="AB1698" t="str">
        <f>HYPERLINK("Melting_Curves/meltCurve_P05388_RPLP0.pdf", "Melting_Curves/meltCurve_P05388_RPLP0.pdf")</f>
        <v>Melting_Curves/meltCurve_P05388_RPLP0.pdf</v>
      </c>
    </row>
    <row r="1699" spans="1:28" x14ac:dyDescent="0.25">
      <c r="A1699" t="s">
        <v>1703</v>
      </c>
      <c r="B1699">
        <v>0.99930955844802105</v>
      </c>
      <c r="C1699">
        <v>0.73321795795848699</v>
      </c>
      <c r="D1699">
        <v>0.75130741244389998</v>
      </c>
      <c r="E1699">
        <v>0.732405376883</v>
      </c>
      <c r="F1699">
        <v>0.52981546126726198</v>
      </c>
      <c r="G1699">
        <v>0.34536223490124901</v>
      </c>
      <c r="H1699">
        <v>0.23374802877350001</v>
      </c>
      <c r="I1699">
        <v>0.22841888143869599</v>
      </c>
      <c r="J1699">
        <v>0.20210496923528701</v>
      </c>
      <c r="K1699">
        <v>0.16838401951698201</v>
      </c>
      <c r="L1699">
        <v>397.72310418643502</v>
      </c>
      <c r="M1699">
        <v>7.4445693907463504</v>
      </c>
      <c r="N1699">
        <v>53.461500999342498</v>
      </c>
      <c r="O1699">
        <v>49.976551584962202</v>
      </c>
      <c r="P1699">
        <v>-3.71997718325131E-2</v>
      </c>
      <c r="Q1699">
        <v>2.5630310486296501E-3</v>
      </c>
      <c r="R1699">
        <v>0.95025787238670401</v>
      </c>
      <c r="S1699" t="s">
        <v>8316</v>
      </c>
      <c r="T1699" t="s">
        <v>13232</v>
      </c>
      <c r="U1699" t="s">
        <v>13232</v>
      </c>
      <c r="V1699" t="s">
        <v>13232</v>
      </c>
      <c r="W1699" t="s">
        <v>14883</v>
      </c>
      <c r="X1699">
        <v>9</v>
      </c>
      <c r="Y1699" t="s">
        <v>21396</v>
      </c>
      <c r="Z1699" t="s">
        <v>27830</v>
      </c>
      <c r="AA1699">
        <v>0.48824392130862387</v>
      </c>
      <c r="AB1699" t="str">
        <f>HYPERLINK("Melting_Curves/meltCurve_P05423_POLR3D.pdf", "Melting_Curves/meltCurve_P05423_POLR3D.pdf")</f>
        <v>Melting_Curves/meltCurve_P05423_POLR3D.pdf</v>
      </c>
    </row>
    <row r="1700" spans="1:28" x14ac:dyDescent="0.25">
      <c r="A1700" t="s">
        <v>1704</v>
      </c>
      <c r="B1700">
        <v>0.99930955844802105</v>
      </c>
      <c r="C1700">
        <v>1.02868272236096</v>
      </c>
      <c r="D1700">
        <v>1.02440296428314</v>
      </c>
      <c r="E1700">
        <v>0.85138331137110002</v>
      </c>
      <c r="F1700">
        <v>0.55969113273724902</v>
      </c>
      <c r="G1700">
        <v>0.28228123312612102</v>
      </c>
      <c r="H1700">
        <v>0.14098540624606401</v>
      </c>
      <c r="I1700">
        <v>0.123370272092492</v>
      </c>
      <c r="J1700">
        <v>0.107818886088574</v>
      </c>
      <c r="K1700">
        <v>8.2038996972627898E-2</v>
      </c>
      <c r="L1700">
        <v>1258.0472957069101</v>
      </c>
      <c r="M1700">
        <v>23.592770056572601</v>
      </c>
      <c r="N1700">
        <v>53.822508813262303</v>
      </c>
      <c r="O1700">
        <v>52.944781411567199</v>
      </c>
      <c r="P1700">
        <v>-0.100459971434443</v>
      </c>
      <c r="Q1700">
        <v>9.82426041513694E-2</v>
      </c>
      <c r="R1700">
        <v>0.99714085272417396</v>
      </c>
      <c r="S1700" t="s">
        <v>8317</v>
      </c>
      <c r="T1700" t="s">
        <v>13232</v>
      </c>
      <c r="U1700" t="s">
        <v>13232</v>
      </c>
      <c r="V1700" t="s">
        <v>13232</v>
      </c>
      <c r="W1700" t="s">
        <v>14884</v>
      </c>
      <c r="X1700">
        <v>39</v>
      </c>
      <c r="Y1700" t="s">
        <v>21397</v>
      </c>
      <c r="Z1700" t="s">
        <v>27831</v>
      </c>
      <c r="AA1700">
        <v>0.5079823010246135</v>
      </c>
      <c r="AB1700" t="str">
        <f>HYPERLINK("Melting_Curves/meltCurve_P05455_SSB.pdf", "Melting_Curves/meltCurve_P05455_SSB.pdf")</f>
        <v>Melting_Curves/meltCurve_P05455_SSB.pdf</v>
      </c>
    </row>
    <row r="1701" spans="1:28" x14ac:dyDescent="0.25">
      <c r="A1701" t="s">
        <v>1705</v>
      </c>
      <c r="B1701">
        <v>0.99930955844802105</v>
      </c>
      <c r="C1701">
        <v>0.90853537770229797</v>
      </c>
      <c r="D1701">
        <v>0.73347395186126196</v>
      </c>
      <c r="E1701">
        <v>0.85081218254177804</v>
      </c>
      <c r="F1701">
        <v>0.52199526878577496</v>
      </c>
      <c r="G1701">
        <v>0.299440015527842</v>
      </c>
      <c r="H1701">
        <v>0.21718552170884001</v>
      </c>
      <c r="I1701">
        <v>0.212853944015684</v>
      </c>
      <c r="J1701">
        <v>0.164942961603396</v>
      </c>
      <c r="K1701">
        <v>0.15339740616782099</v>
      </c>
      <c r="L1701">
        <v>620.67723633182504</v>
      </c>
      <c r="M1701">
        <v>11.736744504535</v>
      </c>
      <c r="N1701">
        <v>53.756735491199102</v>
      </c>
      <c r="O1701">
        <v>51.418044321140499</v>
      </c>
      <c r="P1701">
        <v>-5.2124977687351401E-2</v>
      </c>
      <c r="Q1701">
        <v>8.6813023272382397E-2</v>
      </c>
      <c r="R1701">
        <v>0.95160543398177799</v>
      </c>
      <c r="S1701" t="s">
        <v>8318</v>
      </c>
      <c r="T1701" t="s">
        <v>13232</v>
      </c>
      <c r="U1701" t="s">
        <v>13232</v>
      </c>
      <c r="V1701" t="s">
        <v>13232</v>
      </c>
      <c r="W1701" t="s">
        <v>14885</v>
      </c>
      <c r="X1701">
        <v>6</v>
      </c>
      <c r="Y1701" t="s">
        <v>21398</v>
      </c>
      <c r="Z1701" t="s">
        <v>27832</v>
      </c>
      <c r="AA1701">
        <v>0.50587138898420692</v>
      </c>
      <c r="AB1701" t="str">
        <f>HYPERLINK("Melting_Curves/meltCurve_P05556_2_ITGB1.pdf", "Melting_Curves/meltCurve_P05556_2_ITGB1.pdf")</f>
        <v>Melting_Curves/meltCurve_P05556_2_ITGB1.pdf</v>
      </c>
    </row>
    <row r="1702" spans="1:28" x14ac:dyDescent="0.25">
      <c r="A1702" t="s">
        <v>1706</v>
      </c>
      <c r="B1702">
        <v>0.99930955844802105</v>
      </c>
      <c r="C1702">
        <v>0.94545536028793997</v>
      </c>
      <c r="D1702">
        <v>0.82191967645041397</v>
      </c>
      <c r="E1702">
        <v>0.45378013293439501</v>
      </c>
      <c r="F1702">
        <v>0.20608490617400299</v>
      </c>
      <c r="G1702">
        <v>0.15053990320001601</v>
      </c>
      <c r="H1702">
        <v>8.7425400184573898E-2</v>
      </c>
      <c r="I1702">
        <v>7.5571328919098998E-2</v>
      </c>
      <c r="J1702">
        <v>6.4599802117374094E-2</v>
      </c>
      <c r="K1702">
        <v>5.1612407460142701E-2</v>
      </c>
      <c r="L1702">
        <v>1026.60250513957</v>
      </c>
      <c r="M1702">
        <v>20.907160629370502</v>
      </c>
      <c r="N1702">
        <v>49.442433556577697</v>
      </c>
      <c r="O1702">
        <v>48.6603068629462</v>
      </c>
      <c r="P1702">
        <v>-0.10023388066858301</v>
      </c>
      <c r="Q1702">
        <v>6.6869338448717203E-2</v>
      </c>
      <c r="R1702">
        <v>0.99818755167888895</v>
      </c>
      <c r="S1702" t="s">
        <v>8319</v>
      </c>
      <c r="T1702" t="s">
        <v>13232</v>
      </c>
      <c r="U1702" t="s">
        <v>13232</v>
      </c>
      <c r="V1702" t="s">
        <v>13232</v>
      </c>
      <c r="W1702" t="s">
        <v>14886</v>
      </c>
      <c r="X1702">
        <v>29</v>
      </c>
      <c r="Y1702" t="s">
        <v>21399</v>
      </c>
      <c r="Z1702" t="s">
        <v>27833</v>
      </c>
      <c r="AA1702">
        <v>0.36194396787290362</v>
      </c>
      <c r="AB1702" t="str">
        <f>HYPERLINK("Melting_Curves/meltCurve_P05771_2_PRKCB.pdf", "Melting_Curves/meltCurve_P05771_2_PRKCB.pdf")</f>
        <v>Melting_Curves/meltCurve_P05771_2_PRKCB.pdf</v>
      </c>
    </row>
    <row r="1703" spans="1:28" x14ac:dyDescent="0.25">
      <c r="A1703" t="s">
        <v>1707</v>
      </c>
      <c r="B1703">
        <v>0.99930955844802105</v>
      </c>
      <c r="C1703">
        <v>1.0818522615944799</v>
      </c>
      <c r="D1703">
        <v>1.0831537571065599</v>
      </c>
      <c r="E1703">
        <v>1.04211679824544</v>
      </c>
      <c r="F1703">
        <v>0.96772396649467995</v>
      </c>
      <c r="G1703">
        <v>0.83514932033621103</v>
      </c>
      <c r="H1703">
        <v>0.50013019203138598</v>
      </c>
      <c r="I1703">
        <v>0.23287026657495799</v>
      </c>
      <c r="J1703">
        <v>0.123223148346067</v>
      </c>
      <c r="K1703">
        <v>8.5847653913452796E-2</v>
      </c>
      <c r="L1703">
        <v>1561.98169709335</v>
      </c>
      <c r="M1703">
        <v>25.767274361193198</v>
      </c>
      <c r="N1703">
        <v>60.8706554679788</v>
      </c>
      <c r="O1703">
        <v>60.257260309893702</v>
      </c>
      <c r="P1703">
        <v>-0.101501856462479</v>
      </c>
      <c r="Q1703">
        <v>5.05555284361736E-2</v>
      </c>
      <c r="R1703">
        <v>0.98951785199383802</v>
      </c>
      <c r="S1703" t="s">
        <v>8320</v>
      </c>
      <c r="T1703" t="s">
        <v>13232</v>
      </c>
      <c r="U1703" t="s">
        <v>13232</v>
      </c>
      <c r="V1703" t="s">
        <v>13232</v>
      </c>
      <c r="W1703" t="s">
        <v>14887</v>
      </c>
      <c r="X1703">
        <v>40</v>
      </c>
      <c r="Y1703" t="s">
        <v>21400</v>
      </c>
      <c r="Z1703" t="s">
        <v>27834</v>
      </c>
      <c r="AA1703">
        <v>0.70939818949938527</v>
      </c>
      <c r="AB1703" t="str">
        <f>HYPERLINK("Melting_Curves/meltCurve_P05783_KRT18.pdf", "Melting_Curves/meltCurve_P05783_KRT18.pdf")</f>
        <v>Melting_Curves/meltCurve_P05783_KRT18.pdf</v>
      </c>
    </row>
    <row r="1704" spans="1:28" x14ac:dyDescent="0.25">
      <c r="A1704" t="s">
        <v>1708</v>
      </c>
      <c r="B1704">
        <v>0.99930955844802105</v>
      </c>
      <c r="C1704">
        <v>1.0234346334253099</v>
      </c>
      <c r="D1704">
        <v>1.0110634928903199</v>
      </c>
      <c r="E1704">
        <v>0.96585864648478303</v>
      </c>
      <c r="F1704">
        <v>0.91118342148198495</v>
      </c>
      <c r="G1704">
        <v>0.81743725504236098</v>
      </c>
      <c r="H1704">
        <v>0.56742977893776603</v>
      </c>
      <c r="I1704">
        <v>0.346849599097725</v>
      </c>
      <c r="J1704">
        <v>0.24702912308085201</v>
      </c>
      <c r="K1704">
        <v>0.19638751817071801</v>
      </c>
      <c r="L1704">
        <v>1106.81533200883</v>
      </c>
      <c r="M1704">
        <v>18.158001254489299</v>
      </c>
      <c r="N1704">
        <v>61.765975336771298</v>
      </c>
      <c r="O1704">
        <v>60.229812231710198</v>
      </c>
      <c r="P1704">
        <v>-6.7376488159575906E-2</v>
      </c>
      <c r="Q1704">
        <v>0.10609546319468501</v>
      </c>
      <c r="R1704">
        <v>0.99657184097783302</v>
      </c>
      <c r="S1704" t="s">
        <v>8321</v>
      </c>
      <c r="T1704" t="s">
        <v>13232</v>
      </c>
      <c r="U1704" t="s">
        <v>13232</v>
      </c>
      <c r="V1704" t="s">
        <v>13232</v>
      </c>
      <c r="W1704" t="s">
        <v>14888</v>
      </c>
      <c r="X1704">
        <v>53</v>
      </c>
      <c r="Y1704" t="s">
        <v>21401</v>
      </c>
      <c r="Z1704" t="s">
        <v>27835</v>
      </c>
      <c r="AA1704">
        <v>0.7354165343462532</v>
      </c>
      <c r="AB1704" t="str">
        <f>HYPERLINK("Melting_Curves/meltCurve_P05787_KRT8.pdf", "Melting_Curves/meltCurve_P05787_KRT8.pdf")</f>
        <v>Melting_Curves/meltCurve_P05787_KRT8.pdf</v>
      </c>
    </row>
    <row r="1705" spans="1:28" x14ac:dyDescent="0.25">
      <c r="A1705" t="s">
        <v>1709</v>
      </c>
      <c r="B1705">
        <v>0.99930955844802105</v>
      </c>
      <c r="C1705">
        <v>1.1204793779707301</v>
      </c>
      <c r="D1705">
        <v>1.1470115633951701</v>
      </c>
      <c r="E1705">
        <v>1.05724066436036</v>
      </c>
      <c r="F1705">
        <v>1.00144410117713</v>
      </c>
      <c r="G1705">
        <v>0.82630041111328401</v>
      </c>
      <c r="H1705">
        <v>0.61524765655287605</v>
      </c>
      <c r="I1705">
        <v>0.25244337970366199</v>
      </c>
      <c r="J1705">
        <v>0.12654645421104699</v>
      </c>
      <c r="K1705">
        <v>9.9839536280631302E-2</v>
      </c>
      <c r="L1705">
        <v>1574.44008921882</v>
      </c>
      <c r="M1705">
        <v>25.632180870230702</v>
      </c>
      <c r="N1705">
        <v>61.611611542492902</v>
      </c>
      <c r="O1705">
        <v>61.054124180847303</v>
      </c>
      <c r="P1705">
        <v>-0.101024843643209</v>
      </c>
      <c r="Q1705">
        <v>3.7474066697117003E-2</v>
      </c>
      <c r="R1705">
        <v>0.96955659975554198</v>
      </c>
      <c r="S1705" t="s">
        <v>8322</v>
      </c>
      <c r="T1705" t="s">
        <v>13232</v>
      </c>
      <c r="U1705" t="s">
        <v>13232</v>
      </c>
      <c r="V1705" t="s">
        <v>13232</v>
      </c>
      <c r="W1705" t="s">
        <v>14889</v>
      </c>
      <c r="X1705">
        <v>11</v>
      </c>
      <c r="Y1705" t="s">
        <v>21402</v>
      </c>
      <c r="Z1705" t="s">
        <v>27836</v>
      </c>
      <c r="AA1705">
        <v>0.73027054134294267</v>
      </c>
      <c r="AB1705" t="str">
        <f>HYPERLINK("Melting_Curves/meltCurve_P05937_CALB1.pdf", "Melting_Curves/meltCurve_P05937_CALB1.pdf")</f>
        <v>Melting_Curves/meltCurve_P05937_CALB1.pdf</v>
      </c>
    </row>
    <row r="1706" spans="1:28" x14ac:dyDescent="0.25">
      <c r="A1706" t="s">
        <v>1710</v>
      </c>
      <c r="B1706">
        <v>0.99930955844802105</v>
      </c>
      <c r="C1706">
        <v>0.96988455394439999</v>
      </c>
      <c r="D1706">
        <v>0.95287935514316002</v>
      </c>
      <c r="E1706">
        <v>0.903076545413247</v>
      </c>
      <c r="F1706">
        <v>0.835535463850964</v>
      </c>
      <c r="G1706">
        <v>0.64104633461820804</v>
      </c>
      <c r="H1706">
        <v>0.47076944562569101</v>
      </c>
      <c r="I1706">
        <v>0.29420075342865698</v>
      </c>
      <c r="J1706">
        <v>0.12906444536755701</v>
      </c>
      <c r="K1706">
        <v>7.5229716250394096E-2</v>
      </c>
      <c r="L1706">
        <v>821.003996264433</v>
      </c>
      <c r="M1706">
        <v>13.7897957438859</v>
      </c>
      <c r="N1706">
        <v>59.537067401852099</v>
      </c>
      <c r="O1706">
        <v>58.3269079413285</v>
      </c>
      <c r="P1706">
        <v>-5.9113934594921903E-2</v>
      </c>
      <c r="Q1706">
        <v>0</v>
      </c>
      <c r="R1706">
        <v>0.99195061767318704</v>
      </c>
      <c r="S1706" t="s">
        <v>8323</v>
      </c>
      <c r="T1706" t="s">
        <v>13232</v>
      </c>
      <c r="U1706" t="s">
        <v>13232</v>
      </c>
      <c r="V1706" t="s">
        <v>13232</v>
      </c>
      <c r="W1706" t="s">
        <v>14890</v>
      </c>
      <c r="X1706">
        <v>16</v>
      </c>
      <c r="Y1706" t="s">
        <v>21403</v>
      </c>
      <c r="Z1706" t="s">
        <v>27837</v>
      </c>
      <c r="AA1706">
        <v>0.65889443728334574</v>
      </c>
      <c r="AB1706" t="str">
        <f>HYPERLINK("Melting_Curves/meltCurve_P06132_UROD.pdf", "Melting_Curves/meltCurve_P06132_UROD.pdf")</f>
        <v>Melting_Curves/meltCurve_P06132_UROD.pdf</v>
      </c>
    </row>
    <row r="1707" spans="1:28" x14ac:dyDescent="0.25">
      <c r="A1707" t="s">
        <v>1711</v>
      </c>
      <c r="B1707">
        <v>0.99930955844802105</v>
      </c>
      <c r="C1707">
        <v>0.90932817255321996</v>
      </c>
      <c r="D1707">
        <v>0.80188606863438305</v>
      </c>
      <c r="E1707">
        <v>0.60135573738900605</v>
      </c>
      <c r="F1707">
        <v>0.31095521245389601</v>
      </c>
      <c r="G1707">
        <v>0.138376791828523</v>
      </c>
      <c r="H1707">
        <v>6.7443600509113702E-2</v>
      </c>
      <c r="I1707">
        <v>6.1343778889660097E-2</v>
      </c>
      <c r="J1707">
        <v>5.6038937682672998E-2</v>
      </c>
      <c r="K1707">
        <v>3.9893124740154703E-2</v>
      </c>
      <c r="L1707">
        <v>801.153713099117</v>
      </c>
      <c r="M1707">
        <v>15.870173539446499</v>
      </c>
      <c r="N1707">
        <v>50.622385833414803</v>
      </c>
      <c r="O1707">
        <v>49.700583577487201</v>
      </c>
      <c r="P1707">
        <v>-7.8113111990911394E-2</v>
      </c>
      <c r="Q1707">
        <v>2.1572673529502099E-2</v>
      </c>
      <c r="R1707">
        <v>0.99531195609966205</v>
      </c>
      <c r="S1707" t="s">
        <v>8324</v>
      </c>
      <c r="T1707" t="s">
        <v>13232</v>
      </c>
      <c r="U1707" t="s">
        <v>13232</v>
      </c>
      <c r="V1707" t="s">
        <v>13232</v>
      </c>
      <c r="W1707" t="s">
        <v>14891</v>
      </c>
      <c r="X1707">
        <v>7</v>
      </c>
      <c r="Y1707" t="s">
        <v>21404</v>
      </c>
      <c r="Z1707" t="s">
        <v>27838</v>
      </c>
      <c r="AA1707">
        <v>0.38425706986515501</v>
      </c>
      <c r="AB1707" t="str">
        <f>HYPERLINK("Melting_Curves/meltCurve_P06280_GLA.pdf", "Melting_Curves/meltCurve_P06280_GLA.pdf")</f>
        <v>Melting_Curves/meltCurve_P06280_GLA.pdf</v>
      </c>
    </row>
    <row r="1708" spans="1:28" x14ac:dyDescent="0.25">
      <c r="A1708" t="s">
        <v>1712</v>
      </c>
      <c r="B1708">
        <v>0.99930955844802105</v>
      </c>
      <c r="C1708">
        <v>0.87733184737872005</v>
      </c>
      <c r="D1708">
        <v>0.55568424907827896</v>
      </c>
      <c r="E1708">
        <v>0.31501184639052199</v>
      </c>
      <c r="F1708">
        <v>0.19056699564732199</v>
      </c>
      <c r="G1708">
        <v>0.106622848563003</v>
      </c>
      <c r="H1708">
        <v>7.3673686223498402E-2</v>
      </c>
      <c r="I1708">
        <v>5.4325015769378697E-2</v>
      </c>
      <c r="J1708">
        <v>4.0404093238237501E-2</v>
      </c>
      <c r="K1708">
        <v>3.2109454417215202E-2</v>
      </c>
      <c r="L1708">
        <v>800.02624224238605</v>
      </c>
      <c r="M1708">
        <v>17.0286789528285</v>
      </c>
      <c r="N1708">
        <v>47.2614777384211</v>
      </c>
      <c r="O1708">
        <v>46.347538118679701</v>
      </c>
      <c r="P1708">
        <v>-8.7445831070996002E-2</v>
      </c>
      <c r="Q1708">
        <v>4.8040819678888097E-2</v>
      </c>
      <c r="R1708">
        <v>0.99345520091915296</v>
      </c>
      <c r="S1708" t="s">
        <v>8325</v>
      </c>
      <c r="T1708" t="s">
        <v>13232</v>
      </c>
      <c r="U1708" t="s">
        <v>13232</v>
      </c>
      <c r="V1708" t="s">
        <v>13232</v>
      </c>
      <c r="W1708" t="s">
        <v>14892</v>
      </c>
      <c r="X1708">
        <v>21</v>
      </c>
      <c r="Y1708" t="s">
        <v>21405</v>
      </c>
      <c r="Z1708" t="s">
        <v>27839</v>
      </c>
      <c r="AA1708">
        <v>0.2893870748615528</v>
      </c>
      <c r="AB1708" t="str">
        <f>HYPERLINK("Melting_Curves/meltCurve_P06396_2_GSN.pdf", "Melting_Curves/meltCurve_P06396_2_GSN.pdf")</f>
        <v>Melting_Curves/meltCurve_P06396_2_GSN.pdf</v>
      </c>
    </row>
    <row r="1709" spans="1:28" x14ac:dyDescent="0.25">
      <c r="A1709" t="s">
        <v>1713</v>
      </c>
      <c r="B1709">
        <v>0.99930955844802105</v>
      </c>
      <c r="C1709">
        <v>1.0265790796259</v>
      </c>
      <c r="D1709">
        <v>0.92779748787272498</v>
      </c>
      <c r="E1709">
        <v>0.77236745542700003</v>
      </c>
      <c r="F1709">
        <v>0.541584390220611</v>
      </c>
      <c r="G1709">
        <v>0.35107165515856698</v>
      </c>
      <c r="H1709">
        <v>0.29009870544455701</v>
      </c>
      <c r="I1709">
        <v>0.314994275063888</v>
      </c>
      <c r="J1709">
        <v>0.31350962290114598</v>
      </c>
      <c r="K1709">
        <v>0.24160866770192699</v>
      </c>
      <c r="L1709">
        <v>1132.5338438287999</v>
      </c>
      <c r="M1709">
        <v>21.927902413954602</v>
      </c>
      <c r="N1709">
        <v>53.636256725099997</v>
      </c>
      <c r="O1709">
        <v>51.224280068883701</v>
      </c>
      <c r="P1709">
        <v>-7.7248314574413807E-2</v>
      </c>
      <c r="Q1709">
        <v>0.27819822738084699</v>
      </c>
      <c r="R1709">
        <v>0.99422725046825</v>
      </c>
      <c r="S1709" t="s">
        <v>8326</v>
      </c>
      <c r="T1709" t="s">
        <v>13232</v>
      </c>
      <c r="U1709" t="s">
        <v>13232</v>
      </c>
      <c r="V1709" t="s">
        <v>13232</v>
      </c>
      <c r="W1709" t="s">
        <v>14893</v>
      </c>
      <c r="X1709">
        <v>23</v>
      </c>
      <c r="Y1709" t="s">
        <v>21406</v>
      </c>
      <c r="Z1709" t="s">
        <v>27840</v>
      </c>
      <c r="AA1709">
        <v>0.56688728963748725</v>
      </c>
      <c r="AB1709" t="str">
        <f>HYPERLINK("Melting_Curves/meltCurve_P06400_RB1.pdf", "Melting_Curves/meltCurve_P06400_RB1.pdf")</f>
        <v>Melting_Curves/meltCurve_P06400_RB1.pdf</v>
      </c>
    </row>
    <row r="1710" spans="1:28" x14ac:dyDescent="0.25">
      <c r="A1710" t="s">
        <v>1714</v>
      </c>
      <c r="B1710">
        <v>0.99930955844802105</v>
      </c>
      <c r="C1710">
        <v>0.91069891817262205</v>
      </c>
      <c r="D1710">
        <v>0.66818019855665201</v>
      </c>
      <c r="E1710">
        <v>0.37166839310813099</v>
      </c>
      <c r="F1710">
        <v>0.22226829584254101</v>
      </c>
      <c r="G1710">
        <v>0.13791999845006001</v>
      </c>
      <c r="H1710">
        <v>6.8425746735662193E-2</v>
      </c>
      <c r="I1710">
        <v>5.6913191703043202E-2</v>
      </c>
      <c r="J1710">
        <v>4.7844209035165501E-2</v>
      </c>
      <c r="K1710">
        <v>3.7829933453176201E-2</v>
      </c>
      <c r="L1710">
        <v>796.19419009829699</v>
      </c>
      <c r="M1710">
        <v>16.560208272238299</v>
      </c>
      <c r="N1710">
        <v>48.353067001630599</v>
      </c>
      <c r="O1710">
        <v>47.394078958949002</v>
      </c>
      <c r="P1710">
        <v>-8.3442766582336E-2</v>
      </c>
      <c r="Q1710">
        <v>4.48376737394433E-2</v>
      </c>
      <c r="R1710">
        <v>0.99740350910922904</v>
      </c>
      <c r="S1710" t="s">
        <v>8327</v>
      </c>
      <c r="T1710" t="s">
        <v>13232</v>
      </c>
      <c r="U1710" t="s">
        <v>13232</v>
      </c>
      <c r="V1710" t="s">
        <v>13232</v>
      </c>
      <c r="W1710" t="s">
        <v>14894</v>
      </c>
      <c r="X1710">
        <v>17</v>
      </c>
      <c r="Y1710" t="s">
        <v>21407</v>
      </c>
      <c r="Z1710" t="s">
        <v>27841</v>
      </c>
      <c r="AA1710">
        <v>0.32213282995393527</v>
      </c>
      <c r="AB1710" t="str">
        <f>HYPERLINK("Melting_Curves/meltCurve_P06493_CDK1.pdf", "Melting_Curves/meltCurve_P06493_CDK1.pdf")</f>
        <v>Melting_Curves/meltCurve_P06493_CDK1.pdf</v>
      </c>
    </row>
    <row r="1711" spans="1:28" x14ac:dyDescent="0.25">
      <c r="A1711" t="s">
        <v>1715</v>
      </c>
      <c r="B1711">
        <v>0.99930955844802105</v>
      </c>
      <c r="C1711">
        <v>0.72134147519249703</v>
      </c>
      <c r="D1711">
        <v>0.53164595101707102</v>
      </c>
      <c r="E1711">
        <v>0.438968922919731</v>
      </c>
      <c r="F1711">
        <v>0.26578991119491502</v>
      </c>
      <c r="G1711">
        <v>0.18170288833352599</v>
      </c>
      <c r="H1711">
        <v>0.117035470502534</v>
      </c>
      <c r="I1711">
        <v>0.105447057215989</v>
      </c>
      <c r="J1711">
        <v>8.70203289165669E-2</v>
      </c>
      <c r="K1711">
        <v>6.97768695496222E-2</v>
      </c>
      <c r="L1711">
        <v>538.99629936930296</v>
      </c>
      <c r="M1711">
        <v>11.4395569898172</v>
      </c>
      <c r="N1711">
        <v>47.646015947716599</v>
      </c>
      <c r="O1711">
        <v>45.746037926483602</v>
      </c>
      <c r="P1711">
        <v>-5.8804451744597003E-2</v>
      </c>
      <c r="Q1711">
        <v>5.9652604548110999E-2</v>
      </c>
      <c r="R1711">
        <v>0.97584506484851297</v>
      </c>
      <c r="S1711" t="s">
        <v>8328</v>
      </c>
      <c r="T1711" t="s">
        <v>13232</v>
      </c>
      <c r="U1711" t="s">
        <v>13232</v>
      </c>
      <c r="V1711" t="s">
        <v>13232</v>
      </c>
      <c r="W1711" t="s">
        <v>14895</v>
      </c>
      <c r="X1711">
        <v>19</v>
      </c>
      <c r="Y1711" t="s">
        <v>21408</v>
      </c>
      <c r="Z1711" t="s">
        <v>27842</v>
      </c>
      <c r="AA1711">
        <v>0.32537815014024679</v>
      </c>
      <c r="AB1711" t="str">
        <f>HYPERLINK("Melting_Curves/meltCurve_P06576_ATP5B.pdf", "Melting_Curves/meltCurve_P06576_ATP5B.pdf")</f>
        <v>Melting_Curves/meltCurve_P06576_ATP5B.pdf</v>
      </c>
    </row>
    <row r="1712" spans="1:28" x14ac:dyDescent="0.25">
      <c r="A1712" t="s">
        <v>1716</v>
      </c>
      <c r="B1712">
        <v>0.99930955844802105</v>
      </c>
      <c r="C1712">
        <v>1.1521916418220699</v>
      </c>
      <c r="D1712">
        <v>1.1156116784852199</v>
      </c>
      <c r="E1712">
        <v>0.98008456182937997</v>
      </c>
      <c r="F1712">
        <v>0.58779179741374499</v>
      </c>
      <c r="G1712">
        <v>0.27257101284458701</v>
      </c>
      <c r="H1712">
        <v>0.15641448145134601</v>
      </c>
      <c r="I1712">
        <v>0.12567093013956501</v>
      </c>
      <c r="J1712">
        <v>0.111935446824156</v>
      </c>
      <c r="K1712">
        <v>8.4863956632916807E-2</v>
      </c>
      <c r="L1712">
        <v>1762.5395740500201</v>
      </c>
      <c r="M1712">
        <v>32.9321172041127</v>
      </c>
      <c r="N1712">
        <v>53.977742678212302</v>
      </c>
      <c r="O1712">
        <v>53.324200589520302</v>
      </c>
      <c r="P1712">
        <v>-0.135599620020596</v>
      </c>
      <c r="Q1712">
        <v>0.121743953923981</v>
      </c>
      <c r="R1712">
        <v>0.97513768250083599</v>
      </c>
      <c r="S1712" t="s">
        <v>8329</v>
      </c>
      <c r="T1712" t="s">
        <v>13232</v>
      </c>
      <c r="U1712" t="s">
        <v>13232</v>
      </c>
      <c r="V1712" t="s">
        <v>13232</v>
      </c>
      <c r="W1712" t="s">
        <v>14896</v>
      </c>
      <c r="X1712">
        <v>11</v>
      </c>
      <c r="Y1712" t="s">
        <v>21409</v>
      </c>
      <c r="Z1712" t="s">
        <v>27843</v>
      </c>
      <c r="AA1712">
        <v>0.52233348151011949</v>
      </c>
      <c r="AB1712" t="str">
        <f>HYPERLINK("Melting_Curves/meltCurve_P06730_EIF4E.pdf", "Melting_Curves/meltCurve_P06730_EIF4E.pdf")</f>
        <v>Melting_Curves/meltCurve_P06730_EIF4E.pdf</v>
      </c>
    </row>
    <row r="1713" spans="1:28" x14ac:dyDescent="0.25">
      <c r="A1713" t="s">
        <v>1717</v>
      </c>
      <c r="B1713">
        <v>0.99930955844802105</v>
      </c>
      <c r="C1713">
        <v>1.04117030692695</v>
      </c>
      <c r="D1713">
        <v>1.0916619051362999</v>
      </c>
      <c r="E1713">
        <v>1.0004354300161</v>
      </c>
      <c r="F1713">
        <v>1.0335717720431099</v>
      </c>
      <c r="G1713">
        <v>0.904244456561484</v>
      </c>
      <c r="H1713">
        <v>0.56691056015683705</v>
      </c>
      <c r="I1713">
        <v>0.14309371644083799</v>
      </c>
      <c r="J1713">
        <v>5.1999495163722202E-2</v>
      </c>
      <c r="K1713">
        <v>4.4535431775001397E-2</v>
      </c>
      <c r="L1713">
        <v>2439.21947361302</v>
      </c>
      <c r="M1713">
        <v>39.848324190280103</v>
      </c>
      <c r="N1713">
        <v>61.283918328767697</v>
      </c>
      <c r="O1713">
        <v>61.059045874324802</v>
      </c>
      <c r="P1713">
        <v>-0.159458536798436</v>
      </c>
      <c r="Q1713">
        <v>2.26574821323305E-2</v>
      </c>
      <c r="R1713">
        <v>0.99159254605470903</v>
      </c>
      <c r="S1713" t="s">
        <v>8330</v>
      </c>
      <c r="T1713" t="s">
        <v>13232</v>
      </c>
      <c r="U1713" t="s">
        <v>13232</v>
      </c>
      <c r="V1713" t="s">
        <v>13232</v>
      </c>
      <c r="W1713" t="s">
        <v>14897</v>
      </c>
      <c r="X1713">
        <v>41</v>
      </c>
      <c r="Y1713" t="s">
        <v>21410</v>
      </c>
      <c r="Z1713" t="s">
        <v>27844</v>
      </c>
      <c r="AA1713">
        <v>0.7174255146595192</v>
      </c>
      <c r="AB1713" t="str">
        <f>HYPERLINK("Melting_Curves/meltCurve_P06733_ENO1.pdf", "Melting_Curves/meltCurve_P06733_ENO1.pdf")</f>
        <v>Melting_Curves/meltCurve_P06733_ENO1.pdf</v>
      </c>
    </row>
    <row r="1714" spans="1:28" x14ac:dyDescent="0.25">
      <c r="A1714" t="s">
        <v>1718</v>
      </c>
      <c r="B1714">
        <v>0.99930955844802105</v>
      </c>
      <c r="C1714">
        <v>1.27324173549646</v>
      </c>
      <c r="D1714">
        <v>1.2958321365145</v>
      </c>
      <c r="E1714">
        <v>1.21409325561163</v>
      </c>
      <c r="F1714">
        <v>1.4205307988831499</v>
      </c>
      <c r="G1714">
        <v>1.16592429524824</v>
      </c>
      <c r="H1714">
        <v>0.72471254328592505</v>
      </c>
      <c r="I1714">
        <v>0.348873729705658</v>
      </c>
      <c r="J1714">
        <v>0.23539814843388801</v>
      </c>
      <c r="K1714">
        <v>0.20012747387822899</v>
      </c>
      <c r="L1714">
        <v>3345.5824886335099</v>
      </c>
      <c r="M1714">
        <v>54.1174384194547</v>
      </c>
      <c r="N1714">
        <v>62.485070528084599</v>
      </c>
      <c r="O1714">
        <v>61.7365433938335</v>
      </c>
      <c r="P1714">
        <v>-0.17120966880729299</v>
      </c>
      <c r="Q1714">
        <v>0.21874452439130199</v>
      </c>
      <c r="R1714">
        <v>0.79281520783864001</v>
      </c>
      <c r="S1714" t="s">
        <v>8331</v>
      </c>
      <c r="T1714" t="s">
        <v>13232</v>
      </c>
      <c r="U1714" t="s">
        <v>13232</v>
      </c>
      <c r="V1714" t="s">
        <v>13232</v>
      </c>
      <c r="W1714" t="s">
        <v>14898</v>
      </c>
      <c r="X1714">
        <v>28</v>
      </c>
      <c r="Y1714" t="s">
        <v>21410</v>
      </c>
      <c r="Z1714" t="s">
        <v>27845</v>
      </c>
      <c r="AA1714">
        <v>0.78874377383265892</v>
      </c>
      <c r="AB1714" t="str">
        <f>HYPERLINK("Melting_Curves/meltCurve_P06733_2_ENO1.pdf", "Melting_Curves/meltCurve_P06733_2_ENO1.pdf")</f>
        <v>Melting_Curves/meltCurve_P06733_2_ENO1.pdf</v>
      </c>
    </row>
    <row r="1715" spans="1:28" x14ac:dyDescent="0.25">
      <c r="A1715" t="s">
        <v>1719</v>
      </c>
      <c r="B1715">
        <v>0.99930955844802105</v>
      </c>
      <c r="C1715">
        <v>0.86536528541743096</v>
      </c>
      <c r="D1715">
        <v>0.66944709561613003</v>
      </c>
      <c r="E1715">
        <v>0.51462298726496603</v>
      </c>
      <c r="F1715">
        <v>0.35880318644013298</v>
      </c>
      <c r="G1715">
        <v>0.242573396799007</v>
      </c>
      <c r="H1715">
        <v>0.115279820794206</v>
      </c>
      <c r="I1715">
        <v>0.12005976319954501</v>
      </c>
      <c r="J1715">
        <v>8.5534627879817096E-2</v>
      </c>
      <c r="K1715">
        <v>4.7531587512031202E-2</v>
      </c>
      <c r="L1715">
        <v>546.46736313046495</v>
      </c>
      <c r="M1715">
        <v>10.972171348268599</v>
      </c>
      <c r="N1715">
        <v>50.035838594756299</v>
      </c>
      <c r="O1715">
        <v>48.236212620841698</v>
      </c>
      <c r="P1715">
        <v>-5.54814232729798E-2</v>
      </c>
      <c r="Q1715">
        <v>2.4695439645573001E-2</v>
      </c>
      <c r="R1715">
        <v>0.99234464444298198</v>
      </c>
      <c r="S1715" t="s">
        <v>8332</v>
      </c>
      <c r="T1715" t="s">
        <v>13232</v>
      </c>
      <c r="U1715" t="s">
        <v>13232</v>
      </c>
      <c r="V1715" t="s">
        <v>13232</v>
      </c>
      <c r="W1715" t="s">
        <v>14899</v>
      </c>
      <c r="X1715">
        <v>5</v>
      </c>
      <c r="Y1715" t="s">
        <v>21411</v>
      </c>
      <c r="Z1715" t="s">
        <v>27846</v>
      </c>
      <c r="AA1715">
        <v>0.38264477745510023</v>
      </c>
      <c r="AB1715" t="str">
        <f>HYPERLINK("Melting_Curves/meltCurve_P06737_2_PYGL.pdf", "Melting_Curves/meltCurve_P06737_2_PYGL.pdf")</f>
        <v>Melting_Curves/meltCurve_P06737_2_PYGL.pdf</v>
      </c>
    </row>
    <row r="1716" spans="1:28" x14ac:dyDescent="0.25">
      <c r="A1716" t="s">
        <v>1720</v>
      </c>
      <c r="B1716">
        <v>0.99930955844802105</v>
      </c>
      <c r="C1716">
        <v>0.87422200511829895</v>
      </c>
      <c r="D1716">
        <v>0.84248568092487397</v>
      </c>
      <c r="E1716">
        <v>0.849807000792692</v>
      </c>
      <c r="F1716">
        <v>0.67784311396619301</v>
      </c>
      <c r="G1716">
        <v>0.317237842243483</v>
      </c>
      <c r="H1716">
        <v>8.0042913294989596E-2</v>
      </c>
      <c r="I1716">
        <v>6.9194191163775606E-2</v>
      </c>
      <c r="J1716">
        <v>5.7436518837779102E-2</v>
      </c>
      <c r="K1716">
        <v>4.54013159269607E-2</v>
      </c>
      <c r="L1716">
        <v>967.73596682197604</v>
      </c>
      <c r="M1716">
        <v>17.7177601991588</v>
      </c>
      <c r="N1716">
        <v>54.629732163802402</v>
      </c>
      <c r="O1716">
        <v>53.938000448478299</v>
      </c>
      <c r="P1716">
        <v>-8.1989795311222802E-2</v>
      </c>
      <c r="Q1716">
        <v>1.6495524637534099E-3</v>
      </c>
      <c r="R1716">
        <v>0.975685783928815</v>
      </c>
      <c r="S1716" t="s">
        <v>8333</v>
      </c>
      <c r="T1716" t="s">
        <v>13232</v>
      </c>
      <c r="U1716" t="s">
        <v>13232</v>
      </c>
      <c r="V1716" t="s">
        <v>13232</v>
      </c>
      <c r="W1716" t="s">
        <v>14900</v>
      </c>
      <c r="X1716">
        <v>34</v>
      </c>
      <c r="Y1716" t="s">
        <v>21412</v>
      </c>
      <c r="Z1716" t="s">
        <v>27847</v>
      </c>
      <c r="AA1716">
        <v>0.50417964985998898</v>
      </c>
      <c r="AB1716" t="str">
        <f>HYPERLINK("Melting_Curves/meltCurve_P06744_GPI.pdf", "Melting_Curves/meltCurve_P06744_GPI.pdf")</f>
        <v>Melting_Curves/meltCurve_P06744_GPI.pdf</v>
      </c>
    </row>
    <row r="1717" spans="1:28" x14ac:dyDescent="0.25">
      <c r="A1717" t="s">
        <v>1721</v>
      </c>
      <c r="B1717">
        <v>0.99930955844802105</v>
      </c>
      <c r="C1717">
        <v>1.04788961390612</v>
      </c>
      <c r="D1717">
        <v>0.71255694395343405</v>
      </c>
      <c r="E1717">
        <v>0.43242836274388902</v>
      </c>
      <c r="F1717">
        <v>0.29557393564800299</v>
      </c>
      <c r="G1717">
        <v>0.18984408820724</v>
      </c>
      <c r="H1717">
        <v>0.129831411539927</v>
      </c>
      <c r="I1717">
        <v>0.106839168733369</v>
      </c>
      <c r="J1717">
        <v>0.10962931648811999</v>
      </c>
      <c r="K1717">
        <v>9.0294811626481897E-2</v>
      </c>
      <c r="L1717">
        <v>913.19779032595795</v>
      </c>
      <c r="M1717">
        <v>18.777888099180799</v>
      </c>
      <c r="N1717">
        <v>49.278968173425</v>
      </c>
      <c r="O1717">
        <v>48.0900784648314</v>
      </c>
      <c r="P1717">
        <v>-8.6951008935985397E-2</v>
      </c>
      <c r="Q1717">
        <v>0.109312731913183</v>
      </c>
      <c r="R1717">
        <v>0.98464994968765596</v>
      </c>
      <c r="S1717" t="s">
        <v>8334</v>
      </c>
      <c r="T1717" t="s">
        <v>13232</v>
      </c>
      <c r="U1717" t="s">
        <v>13232</v>
      </c>
      <c r="V1717" t="s">
        <v>13232</v>
      </c>
      <c r="W1717" t="s">
        <v>14901</v>
      </c>
      <c r="X1717">
        <v>13</v>
      </c>
      <c r="Y1717" t="s">
        <v>21413</v>
      </c>
      <c r="Z1717" t="s">
        <v>27848</v>
      </c>
      <c r="AA1717">
        <v>0.37984039279157478</v>
      </c>
      <c r="AB1717" t="str">
        <f>HYPERLINK("Melting_Curves/meltCurve_P06746_POLB.pdf", "Melting_Curves/meltCurve_P06746_POLB.pdf")</f>
        <v>Melting_Curves/meltCurve_P06746_POLB.pdf</v>
      </c>
    </row>
    <row r="1718" spans="1:28" x14ac:dyDescent="0.25">
      <c r="A1718" t="s">
        <v>1722</v>
      </c>
      <c r="B1718">
        <v>0.99930955844802105</v>
      </c>
      <c r="C1718">
        <v>1.0590675810963299</v>
      </c>
      <c r="D1718">
        <v>1.0709657530849199</v>
      </c>
      <c r="E1718">
        <v>1.04489404158651</v>
      </c>
      <c r="F1718">
        <v>0.98461592456614599</v>
      </c>
      <c r="G1718">
        <v>0.89322923159682199</v>
      </c>
      <c r="H1718">
        <v>0.88797562818353104</v>
      </c>
      <c r="I1718">
        <v>0.85802704793979401</v>
      </c>
      <c r="J1718">
        <v>0.95933680376077302</v>
      </c>
      <c r="K1718">
        <v>0.68529744857935004</v>
      </c>
      <c r="L1718">
        <v>655.19144798997502</v>
      </c>
      <c r="M1718">
        <v>8.23598507727454</v>
      </c>
      <c r="Q1718">
        <v>0</v>
      </c>
      <c r="R1718">
        <v>0.66568866538723903</v>
      </c>
      <c r="S1718" t="s">
        <v>8335</v>
      </c>
      <c r="T1718" t="s">
        <v>13232</v>
      </c>
      <c r="U1718" t="s">
        <v>13232</v>
      </c>
      <c r="V1718" t="s">
        <v>13232</v>
      </c>
      <c r="W1718" t="s">
        <v>14902</v>
      </c>
      <c r="X1718">
        <v>24</v>
      </c>
      <c r="Y1718" t="s">
        <v>21414</v>
      </c>
      <c r="Z1718" t="s">
        <v>27849</v>
      </c>
      <c r="AA1718">
        <v>0.9421458651680098</v>
      </c>
      <c r="AB1718" t="str">
        <f>HYPERLINK("Melting_Curves/meltCurve_P06748_NPM1.pdf", "Melting_Curves/meltCurve_P06748_NPM1.pdf")</f>
        <v>Melting_Curves/meltCurve_P06748_NPM1.pdf</v>
      </c>
    </row>
    <row r="1719" spans="1:28" x14ac:dyDescent="0.25">
      <c r="A1719" t="s">
        <v>1723</v>
      </c>
      <c r="B1719">
        <v>0.99930955844802105</v>
      </c>
      <c r="C1719">
        <v>0.98763844716442395</v>
      </c>
      <c r="D1719">
        <v>0.94313273259336605</v>
      </c>
      <c r="E1719">
        <v>0.93294394003830206</v>
      </c>
      <c r="F1719">
        <v>0.97182964785221304</v>
      </c>
      <c r="G1719">
        <v>0.82228282484660398</v>
      </c>
      <c r="H1719">
        <v>1.4321898745691299</v>
      </c>
      <c r="I1719">
        <v>1.77903657478703</v>
      </c>
      <c r="J1719">
        <v>1.02683463044646</v>
      </c>
      <c r="K1719">
        <v>1.1213273481985699</v>
      </c>
      <c r="L1719">
        <v>4940.7662216164099</v>
      </c>
      <c r="M1719">
        <v>83.583379625096896</v>
      </c>
      <c r="O1719">
        <v>59.078014122782797</v>
      </c>
      <c r="P1719">
        <v>0.120883979824879</v>
      </c>
      <c r="Q1719">
        <v>1.3417705604875201</v>
      </c>
      <c r="R1719">
        <v>0.46615339220670898</v>
      </c>
      <c r="S1719" t="s">
        <v>8336</v>
      </c>
      <c r="T1719" t="s">
        <v>13232</v>
      </c>
      <c r="U1719" t="s">
        <v>13232</v>
      </c>
      <c r="V1719" t="s">
        <v>13232</v>
      </c>
      <c r="W1719" t="s">
        <v>14903</v>
      </c>
      <c r="X1719">
        <v>42</v>
      </c>
      <c r="Y1719" t="s">
        <v>21415</v>
      </c>
      <c r="Z1719" t="s">
        <v>27850</v>
      </c>
      <c r="AA1719">
        <v>1.123724181309455</v>
      </c>
      <c r="AB1719" t="str">
        <f>HYPERLINK("Melting_Curves/meltCurve_P06753_2_TPM3.pdf", "Melting_Curves/meltCurve_P06753_2_TPM3.pdf")</f>
        <v>Melting_Curves/meltCurve_P06753_2_TPM3.pdf</v>
      </c>
    </row>
    <row r="1720" spans="1:28" x14ac:dyDescent="0.25">
      <c r="A1720" t="s">
        <v>1724</v>
      </c>
      <c r="B1720">
        <v>0.99930955844802105</v>
      </c>
      <c r="C1720">
        <v>1.21285449312703</v>
      </c>
      <c r="D1720">
        <v>1.17065114346771</v>
      </c>
      <c r="E1720">
        <v>1.1311628324829901</v>
      </c>
      <c r="F1720">
        <v>1.1368856074762901</v>
      </c>
      <c r="G1720">
        <v>0.993685346055171</v>
      </c>
      <c r="H1720">
        <v>1.0466911045489999</v>
      </c>
      <c r="I1720">
        <v>1.13441389164935</v>
      </c>
      <c r="J1720">
        <v>1.1302647611532199</v>
      </c>
      <c r="K1720">
        <v>0.97143972742597595</v>
      </c>
      <c r="L1720">
        <v>10251.3626998981</v>
      </c>
      <c r="M1720">
        <v>250</v>
      </c>
      <c r="O1720">
        <v>41.002827028614597</v>
      </c>
      <c r="P1720">
        <v>0.157178722832198</v>
      </c>
      <c r="Q1720">
        <v>1.1031163508678199</v>
      </c>
      <c r="R1720">
        <v>0.15529634469342599</v>
      </c>
      <c r="S1720" t="s">
        <v>8337</v>
      </c>
      <c r="T1720" t="s">
        <v>13232</v>
      </c>
      <c r="U1720" t="s">
        <v>13232</v>
      </c>
      <c r="V1720" t="s">
        <v>13232</v>
      </c>
      <c r="W1720" t="s">
        <v>14904</v>
      </c>
      <c r="X1720">
        <v>41</v>
      </c>
      <c r="Y1720" t="s">
        <v>21415</v>
      </c>
      <c r="Z1720" t="s">
        <v>27851</v>
      </c>
      <c r="AA1720">
        <v>1.099651990670822</v>
      </c>
      <c r="AB1720" t="str">
        <f>HYPERLINK("Melting_Curves/meltCurve_P06753_3_TPM3.pdf", "Melting_Curves/meltCurve_P06753_3_TPM3.pdf")</f>
        <v>Melting_Curves/meltCurve_P06753_3_TPM3.pdf</v>
      </c>
    </row>
    <row r="1721" spans="1:28" x14ac:dyDescent="0.25">
      <c r="A1721" t="s">
        <v>1725</v>
      </c>
      <c r="B1721">
        <v>0.99930955844802105</v>
      </c>
      <c r="C1721">
        <v>0.98802574498105999</v>
      </c>
      <c r="D1721">
        <v>0.99905356448692095</v>
      </c>
      <c r="E1721">
        <v>1.05394657853773</v>
      </c>
      <c r="F1721">
        <v>0.81526185769201198</v>
      </c>
      <c r="G1721">
        <v>0.69488183900522604</v>
      </c>
      <c r="H1721">
        <v>0.64706013681678398</v>
      </c>
      <c r="I1721">
        <v>0.67942492784599096</v>
      </c>
      <c r="J1721">
        <v>0.60604472301504697</v>
      </c>
      <c r="K1721">
        <v>0.52567407567135505</v>
      </c>
      <c r="L1721">
        <v>1844.4833211698201</v>
      </c>
      <c r="M1721">
        <v>34.310534098707798</v>
      </c>
      <c r="O1721">
        <v>53.576877990649997</v>
      </c>
      <c r="P1721">
        <v>-6.1374614921198702E-2</v>
      </c>
      <c r="Q1721">
        <v>0.61664861480126898</v>
      </c>
      <c r="R1721">
        <v>0.93579397444608503</v>
      </c>
      <c r="S1721" t="s">
        <v>8338</v>
      </c>
      <c r="T1721" t="s">
        <v>13232</v>
      </c>
      <c r="U1721" t="s">
        <v>13232</v>
      </c>
      <c r="V1721" t="s">
        <v>13232</v>
      </c>
      <c r="W1721" t="s">
        <v>14905</v>
      </c>
      <c r="X1721">
        <v>39</v>
      </c>
      <c r="Y1721" t="s">
        <v>21415</v>
      </c>
      <c r="Z1721" t="s">
        <v>27852</v>
      </c>
      <c r="AA1721">
        <v>0.79439026359684206</v>
      </c>
      <c r="AB1721" t="str">
        <f>HYPERLINK("Melting_Curves/meltCurve_P06753_5_TPM3.pdf", "Melting_Curves/meltCurve_P06753_5_TPM3.pdf")</f>
        <v>Melting_Curves/meltCurve_P06753_5_TPM3.pdf</v>
      </c>
    </row>
    <row r="1722" spans="1:28" x14ac:dyDescent="0.25">
      <c r="A1722" t="s">
        <v>1726</v>
      </c>
      <c r="B1722">
        <v>0.99930955844802105</v>
      </c>
      <c r="C1722">
        <v>0.97068527617289702</v>
      </c>
      <c r="D1722">
        <v>0.953325780739261</v>
      </c>
      <c r="E1722">
        <v>0.92821235982607497</v>
      </c>
      <c r="F1722">
        <v>0.80950650108387201</v>
      </c>
      <c r="G1722">
        <v>0.415104568649797</v>
      </c>
      <c r="H1722">
        <v>0.14827997719646999</v>
      </c>
      <c r="I1722">
        <v>0.11940277045651899</v>
      </c>
      <c r="J1722">
        <v>0.101907899845513</v>
      </c>
      <c r="K1722">
        <v>7.8793555852360503E-2</v>
      </c>
      <c r="L1722">
        <v>1399.1296289163499</v>
      </c>
      <c r="M1722">
        <v>25.118392656033102</v>
      </c>
      <c r="N1722">
        <v>56.074625542395701</v>
      </c>
      <c r="O1722">
        <v>55.351972569268099</v>
      </c>
      <c r="P1722">
        <v>-0.104716496159673</v>
      </c>
      <c r="Q1722">
        <v>7.6981423852579306E-2</v>
      </c>
      <c r="R1722">
        <v>0.99744640267385598</v>
      </c>
      <c r="S1722" t="s">
        <v>8339</v>
      </c>
      <c r="T1722" t="s">
        <v>13232</v>
      </c>
      <c r="U1722" t="s">
        <v>13232</v>
      </c>
      <c r="V1722" t="s">
        <v>13232</v>
      </c>
      <c r="W1722" t="s">
        <v>14906</v>
      </c>
      <c r="X1722">
        <v>15</v>
      </c>
      <c r="Y1722" t="s">
        <v>21416</v>
      </c>
      <c r="Z1722" t="s">
        <v>27853</v>
      </c>
      <c r="AA1722">
        <v>0.56850422292167069</v>
      </c>
      <c r="AB1722" t="str">
        <f>HYPERLINK("Melting_Curves/meltCurve_P06865_HEXA.pdf", "Melting_Curves/meltCurve_P06865_HEXA.pdf")</f>
        <v>Melting_Curves/meltCurve_P06865_HEXA.pdf</v>
      </c>
    </row>
    <row r="1723" spans="1:28" x14ac:dyDescent="0.25">
      <c r="A1723" t="s">
        <v>1727</v>
      </c>
      <c r="B1723">
        <v>0.99930955844802105</v>
      </c>
      <c r="C1723">
        <v>1.0248607011145701</v>
      </c>
      <c r="D1723">
        <v>1.1011776206555399</v>
      </c>
      <c r="E1723">
        <v>0.97843826044547499</v>
      </c>
      <c r="F1723">
        <v>0.85926041249697505</v>
      </c>
      <c r="G1723">
        <v>0.81298368608512295</v>
      </c>
      <c r="H1723">
        <v>0.82627241150423403</v>
      </c>
      <c r="I1723">
        <v>0.89804629418320103</v>
      </c>
      <c r="J1723">
        <v>0.82150968705823002</v>
      </c>
      <c r="K1723">
        <v>0.68853372827806802</v>
      </c>
      <c r="L1723">
        <v>2830.2546953391502</v>
      </c>
      <c r="M1723">
        <v>54.442541283018997</v>
      </c>
      <c r="O1723">
        <v>51.916088152646502</v>
      </c>
      <c r="P1723">
        <v>-5.0031737245794301E-2</v>
      </c>
      <c r="Q1723">
        <v>0.80916023222755395</v>
      </c>
      <c r="R1723">
        <v>0.75446232472307095</v>
      </c>
      <c r="S1723" t="s">
        <v>8340</v>
      </c>
      <c r="T1723" t="s">
        <v>13232</v>
      </c>
      <c r="U1723" t="s">
        <v>13232</v>
      </c>
      <c r="V1723" t="s">
        <v>13232</v>
      </c>
      <c r="W1723" t="s">
        <v>14907</v>
      </c>
      <c r="X1723">
        <v>5</v>
      </c>
      <c r="Y1723" t="s">
        <v>21417</v>
      </c>
      <c r="Z1723" t="s">
        <v>27854</v>
      </c>
      <c r="AA1723">
        <v>0.88577641487731762</v>
      </c>
      <c r="AB1723" t="str">
        <f>HYPERLINK("Melting_Curves/meltCurve_P07108_DBI.pdf", "Melting_Curves/meltCurve_P07108_DBI.pdf")</f>
        <v>Melting_Curves/meltCurve_P07108_DBI.pdf</v>
      </c>
    </row>
    <row r="1724" spans="1:28" x14ac:dyDescent="0.25">
      <c r="A1724" t="s">
        <v>1728</v>
      </c>
      <c r="B1724">
        <v>0.99930955844802105</v>
      </c>
      <c r="C1724">
        <v>1.04062692933904</v>
      </c>
      <c r="D1724">
        <v>1.04992305350052</v>
      </c>
      <c r="E1724">
        <v>1.0297759783746001</v>
      </c>
      <c r="F1724">
        <v>1.07149035734535</v>
      </c>
      <c r="G1724">
        <v>0.90812684962296297</v>
      </c>
      <c r="H1724">
        <v>0.58874329705057504</v>
      </c>
      <c r="I1724">
        <v>0.38967886339570101</v>
      </c>
      <c r="J1724">
        <v>0.17748499023974601</v>
      </c>
      <c r="K1724">
        <v>7.8550448247814902E-2</v>
      </c>
      <c r="L1724">
        <v>1481.5707027563601</v>
      </c>
      <c r="M1724">
        <v>23.811888908760999</v>
      </c>
      <c r="N1724">
        <v>62.355905415200603</v>
      </c>
      <c r="O1724">
        <v>61.785945456096997</v>
      </c>
      <c r="P1724">
        <v>-9.3909781734396403E-2</v>
      </c>
      <c r="Q1724">
        <v>2.53255406255678E-2</v>
      </c>
      <c r="R1724">
        <v>0.98877157211964695</v>
      </c>
      <c r="S1724" t="s">
        <v>8341</v>
      </c>
      <c r="T1724" t="s">
        <v>13232</v>
      </c>
      <c r="U1724" t="s">
        <v>13232</v>
      </c>
      <c r="V1724" t="s">
        <v>13232</v>
      </c>
      <c r="W1724" t="s">
        <v>14908</v>
      </c>
      <c r="X1724">
        <v>22</v>
      </c>
      <c r="Y1724" t="s">
        <v>21418</v>
      </c>
      <c r="Z1724" t="s">
        <v>27855</v>
      </c>
      <c r="AA1724">
        <v>0.75106608035360478</v>
      </c>
      <c r="AB1724" t="str">
        <f>HYPERLINK("Melting_Curves/meltCurve_P07195_LDHB.pdf", "Melting_Curves/meltCurve_P07195_LDHB.pdf")</f>
        <v>Melting_Curves/meltCurve_P07195_LDHB.pdf</v>
      </c>
    </row>
    <row r="1725" spans="1:28" x14ac:dyDescent="0.25">
      <c r="A1725" t="s">
        <v>1729</v>
      </c>
      <c r="B1725">
        <v>0.99930955844802105</v>
      </c>
      <c r="C1725">
        <v>1.1721547462283399</v>
      </c>
      <c r="D1725">
        <v>1.1803795364207801</v>
      </c>
      <c r="E1725">
        <v>1.03953726532548</v>
      </c>
      <c r="F1725">
        <v>0.35761907625945599</v>
      </c>
      <c r="G1725">
        <v>0.21542263460223901</v>
      </c>
      <c r="H1725">
        <v>0.139815841509592</v>
      </c>
      <c r="I1725">
        <v>0.12347559936088701</v>
      </c>
      <c r="J1725">
        <v>0.120016784687369</v>
      </c>
      <c r="K1725">
        <v>5.4844480905437497E-2</v>
      </c>
      <c r="L1725">
        <v>13194.8453864931</v>
      </c>
      <c r="M1725">
        <v>250</v>
      </c>
      <c r="N1725">
        <v>52.843438042416601</v>
      </c>
      <c r="O1725">
        <v>52.7759997765218</v>
      </c>
      <c r="P1725">
        <v>-1.0294509949417801</v>
      </c>
      <c r="Q1725">
        <v>0.130715043443766</v>
      </c>
      <c r="R1725">
        <v>0.96429376824843105</v>
      </c>
      <c r="S1725" t="s">
        <v>8342</v>
      </c>
      <c r="T1725" t="s">
        <v>13232</v>
      </c>
      <c r="U1725" t="s">
        <v>13232</v>
      </c>
      <c r="V1725" t="s">
        <v>13232</v>
      </c>
      <c r="W1725" t="s">
        <v>14909</v>
      </c>
      <c r="X1725">
        <v>8</v>
      </c>
      <c r="Y1725" t="s">
        <v>21419</v>
      </c>
      <c r="Z1725" t="s">
        <v>27856</v>
      </c>
      <c r="AA1725">
        <v>0.50109303376238423</v>
      </c>
      <c r="AB1725" t="str">
        <f>HYPERLINK("Melting_Curves/meltCurve_P07205_PGK2.pdf", "Melting_Curves/meltCurve_P07205_PGK2.pdf")</f>
        <v>Melting_Curves/meltCurve_P07205_PGK2.pdf</v>
      </c>
    </row>
    <row r="1726" spans="1:28" x14ac:dyDescent="0.25">
      <c r="A1726" t="s">
        <v>1730</v>
      </c>
      <c r="B1726">
        <v>0.99930955844802105</v>
      </c>
      <c r="C1726">
        <v>0.99307083694347897</v>
      </c>
      <c r="D1726">
        <v>0.99638522171121402</v>
      </c>
      <c r="E1726">
        <v>0.94695143172279195</v>
      </c>
      <c r="F1726">
        <v>0.92924263716843003</v>
      </c>
      <c r="G1726">
        <v>0.85751203297408596</v>
      </c>
      <c r="H1726">
        <v>0.65231702652802104</v>
      </c>
      <c r="I1726">
        <v>0.535268437930704</v>
      </c>
      <c r="J1726">
        <v>0.49545818202506903</v>
      </c>
      <c r="K1726">
        <v>0.32127949763484898</v>
      </c>
      <c r="L1726">
        <v>716.60013470048796</v>
      </c>
      <c r="M1726">
        <v>11.087396697804101</v>
      </c>
      <c r="N1726">
        <v>65.453611522189703</v>
      </c>
      <c r="O1726">
        <v>62.636282182354599</v>
      </c>
      <c r="P1726">
        <v>-4.1391634618687202E-2</v>
      </c>
      <c r="Q1726">
        <v>6.4967162381091806E-2</v>
      </c>
      <c r="R1726">
        <v>0.98918177674447005</v>
      </c>
      <c r="S1726" t="s">
        <v>8343</v>
      </c>
      <c r="T1726" t="s">
        <v>13232</v>
      </c>
      <c r="U1726" t="s">
        <v>13232</v>
      </c>
      <c r="V1726" t="s">
        <v>13232</v>
      </c>
      <c r="W1726" t="s">
        <v>14910</v>
      </c>
      <c r="X1726">
        <v>44</v>
      </c>
      <c r="Y1726" t="s">
        <v>21420</v>
      </c>
      <c r="Z1726" t="s">
        <v>27857</v>
      </c>
      <c r="AA1726">
        <v>0.79382595441473591</v>
      </c>
      <c r="AB1726" t="str">
        <f>HYPERLINK("Melting_Curves/meltCurve_P07237_P4HB.pdf", "Melting_Curves/meltCurve_P07237_P4HB.pdf")</f>
        <v>Melting_Curves/meltCurve_P07237_P4HB.pdf</v>
      </c>
    </row>
    <row r="1727" spans="1:28" x14ac:dyDescent="0.25">
      <c r="A1727" t="s">
        <v>1731</v>
      </c>
      <c r="B1727">
        <v>0.99930955844802105</v>
      </c>
      <c r="C1727">
        <v>1.03631319904956</v>
      </c>
      <c r="D1727">
        <v>0.87957798768837903</v>
      </c>
      <c r="E1727">
        <v>0.53693245693018499</v>
      </c>
      <c r="F1727">
        <v>0.229289900057977</v>
      </c>
      <c r="G1727">
        <v>0.13837488432363901</v>
      </c>
      <c r="H1727">
        <v>8.0497810694644595E-2</v>
      </c>
      <c r="I1727">
        <v>6.4041198986976897E-2</v>
      </c>
      <c r="J1727">
        <v>5.3605311567413001E-2</v>
      </c>
      <c r="K1727">
        <v>4.0021661738696403E-2</v>
      </c>
      <c r="L1727">
        <v>1206.5042365817101</v>
      </c>
      <c r="M1727">
        <v>24.138705167290901</v>
      </c>
      <c r="N1727">
        <v>50.245599472684198</v>
      </c>
      <c r="O1727">
        <v>49.642876549731</v>
      </c>
      <c r="P1727">
        <v>-0.114337532002426</v>
      </c>
      <c r="Q1727">
        <v>5.9442718976567901E-2</v>
      </c>
      <c r="R1727">
        <v>0.99663879071440498</v>
      </c>
      <c r="S1727" t="s">
        <v>8344</v>
      </c>
      <c r="T1727" t="s">
        <v>13232</v>
      </c>
      <c r="U1727" t="s">
        <v>13232</v>
      </c>
      <c r="V1727" t="s">
        <v>13232</v>
      </c>
      <c r="W1727" t="s">
        <v>14911</v>
      </c>
      <c r="X1727">
        <v>15</v>
      </c>
      <c r="Y1727" t="s">
        <v>21421</v>
      </c>
      <c r="Z1727" t="s">
        <v>27858</v>
      </c>
      <c r="AA1727">
        <v>0.38142027574116422</v>
      </c>
      <c r="AB1727" t="str">
        <f>HYPERLINK("Melting_Curves/meltCurve_P07339_CTSD.pdf", "Melting_Curves/meltCurve_P07339_CTSD.pdf")</f>
        <v>Melting_Curves/meltCurve_P07339_CTSD.pdf</v>
      </c>
    </row>
    <row r="1728" spans="1:28" x14ac:dyDescent="0.25">
      <c r="A1728" t="s">
        <v>1732</v>
      </c>
      <c r="B1728">
        <v>0.99930955844802105</v>
      </c>
      <c r="C1728">
        <v>0.93604265605099601</v>
      </c>
      <c r="D1728">
        <v>1.15302683004858</v>
      </c>
      <c r="E1728">
        <v>0.95162001107683003</v>
      </c>
      <c r="F1728">
        <v>0.61268886314080295</v>
      </c>
      <c r="G1728">
        <v>0.17610524124947799</v>
      </c>
      <c r="H1728">
        <v>0.10878444189754</v>
      </c>
      <c r="I1728">
        <v>9.7106162019616998E-2</v>
      </c>
      <c r="J1728">
        <v>9.6377312216461106E-2</v>
      </c>
      <c r="K1728">
        <v>7.4974507270882104E-2</v>
      </c>
      <c r="L1728">
        <v>2114.5856287175302</v>
      </c>
      <c r="M1728">
        <v>39.576844507985001</v>
      </c>
      <c r="N1728">
        <v>53.713850413083598</v>
      </c>
      <c r="O1728">
        <v>53.294005169216398</v>
      </c>
      <c r="P1728">
        <v>-0.16812757215988899</v>
      </c>
      <c r="Q1728">
        <v>9.4402625250612798E-2</v>
      </c>
      <c r="R1728">
        <v>0.98444585477612601</v>
      </c>
      <c r="S1728" t="s">
        <v>8345</v>
      </c>
      <c r="T1728" t="s">
        <v>13232</v>
      </c>
      <c r="U1728" t="s">
        <v>13232</v>
      </c>
      <c r="V1728" t="s">
        <v>13232</v>
      </c>
      <c r="W1728" t="s">
        <v>14912</v>
      </c>
      <c r="X1728">
        <v>32</v>
      </c>
      <c r="Y1728" t="s">
        <v>21422</v>
      </c>
      <c r="Z1728" t="s">
        <v>27859</v>
      </c>
      <c r="AA1728">
        <v>0.50321618090187958</v>
      </c>
      <c r="AB1728" t="str">
        <f>HYPERLINK("Melting_Curves/meltCurve_P07355_ANXA2.pdf", "Melting_Curves/meltCurve_P07355_ANXA2.pdf")</f>
        <v>Melting_Curves/meltCurve_P07355_ANXA2.pdf</v>
      </c>
    </row>
    <row r="1729" spans="1:28" x14ac:dyDescent="0.25">
      <c r="A1729" t="s">
        <v>1733</v>
      </c>
      <c r="B1729">
        <v>0.99930955844802105</v>
      </c>
      <c r="C1729">
        <v>1.0023191863363701</v>
      </c>
      <c r="D1729">
        <v>0.695946139853301</v>
      </c>
      <c r="E1729">
        <v>0.75913046353604996</v>
      </c>
      <c r="F1729">
        <v>0.64719446055784102</v>
      </c>
      <c r="G1729">
        <v>0.49282998599003203</v>
      </c>
      <c r="H1729">
        <v>0.32823185203368199</v>
      </c>
      <c r="I1729">
        <v>0.21222269034466701</v>
      </c>
      <c r="J1729">
        <v>7.9504483929744907E-2</v>
      </c>
      <c r="K1729">
        <v>4.3407170590674803E-2</v>
      </c>
      <c r="L1729">
        <v>541.83777340572897</v>
      </c>
      <c r="M1729">
        <v>9.7722255078526299</v>
      </c>
      <c r="N1729">
        <v>55.446712002802897</v>
      </c>
      <c r="O1729">
        <v>53.274371783193402</v>
      </c>
      <c r="P1729">
        <v>-4.5882360583433097E-2</v>
      </c>
      <c r="Q1729">
        <v>0</v>
      </c>
      <c r="R1729">
        <v>0.950255876349271</v>
      </c>
      <c r="S1729" t="s">
        <v>8346</v>
      </c>
      <c r="T1729" t="s">
        <v>13232</v>
      </c>
      <c r="U1729" t="s">
        <v>13232</v>
      </c>
      <c r="V1729" t="s">
        <v>13232</v>
      </c>
      <c r="W1729" t="s">
        <v>14913</v>
      </c>
      <c r="X1729">
        <v>41</v>
      </c>
      <c r="Y1729" t="s">
        <v>21423</v>
      </c>
      <c r="Z1729" t="s">
        <v>27860</v>
      </c>
      <c r="AA1729">
        <v>0.53880262571736137</v>
      </c>
      <c r="AB1729" t="str">
        <f>HYPERLINK("Melting_Curves/meltCurve_P07384_CAPN1.pdf", "Melting_Curves/meltCurve_P07384_CAPN1.pdf")</f>
        <v>Melting_Curves/meltCurve_P07384_CAPN1.pdf</v>
      </c>
    </row>
    <row r="1730" spans="1:28" x14ac:dyDescent="0.25">
      <c r="A1730" t="s">
        <v>1734</v>
      </c>
      <c r="B1730">
        <v>0.99930955844802105</v>
      </c>
      <c r="C1730">
        <v>1.04645523307596</v>
      </c>
      <c r="D1730">
        <v>1.1319451003536101</v>
      </c>
      <c r="E1730">
        <v>1.04386134266537</v>
      </c>
      <c r="F1730">
        <v>0.95345247562872104</v>
      </c>
      <c r="G1730">
        <v>0.80998812032824397</v>
      </c>
      <c r="H1730">
        <v>0.80744072542986101</v>
      </c>
      <c r="I1730">
        <v>0.80028809234906995</v>
      </c>
      <c r="J1730">
        <v>0.84798800763419702</v>
      </c>
      <c r="K1730">
        <v>0.68402785116032505</v>
      </c>
      <c r="L1730">
        <v>2699.8797103726502</v>
      </c>
      <c r="M1730">
        <v>49.496263518330302</v>
      </c>
      <c r="O1730">
        <v>54.458338308884898</v>
      </c>
      <c r="P1730">
        <v>-4.8866743951567398E-2</v>
      </c>
      <c r="Q1730">
        <v>0.78493741856577903</v>
      </c>
      <c r="R1730">
        <v>0.80013210595356199</v>
      </c>
      <c r="S1730" t="s">
        <v>8347</v>
      </c>
      <c r="T1730" t="s">
        <v>13232</v>
      </c>
      <c r="U1730" t="s">
        <v>13232</v>
      </c>
      <c r="V1730" t="s">
        <v>13232</v>
      </c>
      <c r="W1730" t="s">
        <v>14914</v>
      </c>
      <c r="X1730">
        <v>21</v>
      </c>
      <c r="Y1730" t="s">
        <v>21424</v>
      </c>
      <c r="Z1730" t="s">
        <v>27861</v>
      </c>
      <c r="AA1730">
        <v>0.88975014372027206</v>
      </c>
      <c r="AB1730" t="str">
        <f>HYPERLINK("Melting_Curves/meltCurve_P07602_PSAP.pdf", "Melting_Curves/meltCurve_P07602_PSAP.pdf")</f>
        <v>Melting_Curves/meltCurve_P07602_PSAP.pdf</v>
      </c>
    </row>
    <row r="1731" spans="1:28" x14ac:dyDescent="0.25">
      <c r="A1731" t="s">
        <v>1735</v>
      </c>
      <c r="B1731">
        <v>0.99930955844802105</v>
      </c>
      <c r="C1731">
        <v>1.0272273912518499</v>
      </c>
      <c r="D1731">
        <v>0.99689021527020005</v>
      </c>
      <c r="E1731">
        <v>0.90864097370879604</v>
      </c>
      <c r="F1731">
        <v>0.76664999974319803</v>
      </c>
      <c r="G1731">
        <v>0.37527060405823998</v>
      </c>
      <c r="H1731">
        <v>0.16788680557157801</v>
      </c>
      <c r="I1731">
        <v>0.104563032072693</v>
      </c>
      <c r="J1731">
        <v>9.0296323773777304E-2</v>
      </c>
      <c r="K1731">
        <v>6.68406028430929E-2</v>
      </c>
      <c r="L1731">
        <v>1279.6365947967499</v>
      </c>
      <c r="M1731">
        <v>23.118583060967101</v>
      </c>
      <c r="N1731">
        <v>55.6935372794184</v>
      </c>
      <c r="O1731">
        <v>54.941843087453201</v>
      </c>
      <c r="P1731">
        <v>-9.8225996745883101E-2</v>
      </c>
      <c r="Q1731">
        <v>6.6271848211279599E-2</v>
      </c>
      <c r="R1731">
        <v>0.99905943923340901</v>
      </c>
      <c r="S1731" t="s">
        <v>8348</v>
      </c>
      <c r="T1731" t="s">
        <v>13232</v>
      </c>
      <c r="U1731" t="s">
        <v>13232</v>
      </c>
      <c r="V1731" t="s">
        <v>13232</v>
      </c>
      <c r="W1731" t="s">
        <v>14915</v>
      </c>
      <c r="X1731">
        <v>22</v>
      </c>
      <c r="Y1731" t="s">
        <v>21425</v>
      </c>
      <c r="Z1731" t="s">
        <v>27862</v>
      </c>
      <c r="AA1731">
        <v>0.55389626249394885</v>
      </c>
      <c r="AB1731" t="str">
        <f>HYPERLINK("Melting_Curves/meltCurve_P07686_HEXB.pdf", "Melting_Curves/meltCurve_P07686_HEXB.pdf")</f>
        <v>Melting_Curves/meltCurve_P07686_HEXB.pdf</v>
      </c>
    </row>
    <row r="1732" spans="1:28" x14ac:dyDescent="0.25">
      <c r="A1732" t="s">
        <v>1736</v>
      </c>
      <c r="B1732">
        <v>0.99930955844802105</v>
      </c>
      <c r="C1732">
        <v>1.1620689663393999</v>
      </c>
      <c r="D1732">
        <v>1.0832628684739101</v>
      </c>
      <c r="E1732">
        <v>1.0213221737426099</v>
      </c>
      <c r="F1732">
        <v>0.94673186197942105</v>
      </c>
      <c r="G1732">
        <v>0.87490980331920898</v>
      </c>
      <c r="H1732">
        <v>0.89185818710937503</v>
      </c>
      <c r="I1732">
        <v>0.67145957815697399</v>
      </c>
      <c r="J1732">
        <v>0.43116372816110798</v>
      </c>
      <c r="K1732">
        <v>0.34262249758914298</v>
      </c>
      <c r="L1732">
        <v>1355.2948377796799</v>
      </c>
      <c r="M1732">
        <v>20.770578987663502</v>
      </c>
      <c r="N1732">
        <v>66.476359640412099</v>
      </c>
      <c r="O1732">
        <v>64.654901303662498</v>
      </c>
      <c r="P1732">
        <v>-6.7539016619385397E-2</v>
      </c>
      <c r="Q1732">
        <v>0.15907866529282499</v>
      </c>
      <c r="R1732">
        <v>0.92981208723431796</v>
      </c>
      <c r="S1732" t="s">
        <v>8349</v>
      </c>
      <c r="T1732" t="s">
        <v>13232</v>
      </c>
      <c r="U1732" t="s">
        <v>13232</v>
      </c>
      <c r="V1732" t="s">
        <v>13232</v>
      </c>
      <c r="W1732" t="s">
        <v>14916</v>
      </c>
      <c r="X1732">
        <v>5</v>
      </c>
      <c r="Y1732" t="s">
        <v>21426</v>
      </c>
      <c r="Z1732" t="s">
        <v>27863</v>
      </c>
      <c r="AA1732">
        <v>0.85623828200519159</v>
      </c>
      <c r="AB1732" t="str">
        <f>HYPERLINK("Melting_Curves/meltCurve_P07711_CTSL1.pdf", "Melting_Curves/meltCurve_P07711_CTSL1.pdf")</f>
        <v>Melting_Curves/meltCurve_P07711_CTSL1.pdf</v>
      </c>
    </row>
    <row r="1733" spans="1:28" x14ac:dyDescent="0.25">
      <c r="A1733" t="s">
        <v>1737</v>
      </c>
      <c r="B1733">
        <v>0.99930955844802105</v>
      </c>
      <c r="C1733">
        <v>1.05670461194563</v>
      </c>
      <c r="D1733">
        <v>1.1327236707707899</v>
      </c>
      <c r="E1733">
        <v>1.04864129774216</v>
      </c>
      <c r="F1733">
        <v>0.63656913023075801</v>
      </c>
      <c r="G1733">
        <v>0.19954122213959499</v>
      </c>
      <c r="H1733">
        <v>0.111988135371818</v>
      </c>
      <c r="I1733">
        <v>8.7058624078761498E-2</v>
      </c>
      <c r="J1733">
        <v>7.9071339439447594E-2</v>
      </c>
      <c r="K1733">
        <v>5.8519835761878997E-2</v>
      </c>
      <c r="L1733">
        <v>2334.2244461553</v>
      </c>
      <c r="M1733">
        <v>43.5096325240048</v>
      </c>
      <c r="N1733">
        <v>53.897544483671901</v>
      </c>
      <c r="O1733">
        <v>53.535494015977697</v>
      </c>
      <c r="P1733">
        <v>-0.18467658079947599</v>
      </c>
      <c r="Q1733">
        <v>9.1076006427550801E-2</v>
      </c>
      <c r="R1733">
        <v>0.98419053312075</v>
      </c>
      <c r="S1733" t="s">
        <v>8350</v>
      </c>
      <c r="T1733" t="s">
        <v>13232</v>
      </c>
      <c r="U1733" t="s">
        <v>13232</v>
      </c>
      <c r="V1733" t="s">
        <v>13232</v>
      </c>
      <c r="W1733" t="s">
        <v>14917</v>
      </c>
      <c r="X1733">
        <v>18</v>
      </c>
      <c r="Y1733" t="s">
        <v>21427</v>
      </c>
      <c r="Z1733" t="s">
        <v>27864</v>
      </c>
      <c r="AA1733">
        <v>0.50743258646877076</v>
      </c>
      <c r="AB1733" t="str">
        <f>HYPERLINK("Melting_Curves/meltCurve_P07737_PFN1.pdf", "Melting_Curves/meltCurve_P07737_PFN1.pdf")</f>
        <v>Melting_Curves/meltCurve_P07737_PFN1.pdf</v>
      </c>
    </row>
    <row r="1734" spans="1:28" x14ac:dyDescent="0.25">
      <c r="A1734" t="s">
        <v>1738</v>
      </c>
      <c r="B1734">
        <v>0.99930955844802105</v>
      </c>
      <c r="C1734">
        <v>1.1948966488283099</v>
      </c>
      <c r="D1734">
        <v>1.1614112717096801</v>
      </c>
      <c r="E1734">
        <v>1.0811225715742001</v>
      </c>
      <c r="F1734">
        <v>0.969084071053395</v>
      </c>
      <c r="G1734">
        <v>0.48262850187745199</v>
      </c>
      <c r="H1734">
        <v>0.229924415945368</v>
      </c>
      <c r="I1734">
        <v>0.17383722143354499</v>
      </c>
      <c r="J1734">
        <v>0.119850110353437</v>
      </c>
      <c r="K1734">
        <v>8.4040702014322399E-2</v>
      </c>
      <c r="L1734">
        <v>2246.3394440688999</v>
      </c>
      <c r="M1734">
        <v>39.714812347645598</v>
      </c>
      <c r="N1734">
        <v>57.013128066276202</v>
      </c>
      <c r="O1734">
        <v>56.418914886642803</v>
      </c>
      <c r="P1734">
        <v>-0.15224309172689701</v>
      </c>
      <c r="Q1734">
        <v>0.13489489570809601</v>
      </c>
      <c r="R1734">
        <v>0.96065092437920396</v>
      </c>
      <c r="S1734" t="s">
        <v>8351</v>
      </c>
      <c r="T1734" t="s">
        <v>13232</v>
      </c>
      <c r="U1734" t="s">
        <v>13232</v>
      </c>
      <c r="V1734" t="s">
        <v>13232</v>
      </c>
      <c r="W1734" t="s">
        <v>14918</v>
      </c>
      <c r="X1734">
        <v>10</v>
      </c>
      <c r="Y1734" t="s">
        <v>21428</v>
      </c>
      <c r="Z1734" t="s">
        <v>27865</v>
      </c>
      <c r="AA1734">
        <v>0.61588314605945804</v>
      </c>
      <c r="AB1734" t="str">
        <f>HYPERLINK("Melting_Curves/meltCurve_P07738_BPGM.pdf", "Melting_Curves/meltCurve_P07738_BPGM.pdf")</f>
        <v>Melting_Curves/meltCurve_P07738_BPGM.pdf</v>
      </c>
    </row>
    <row r="1735" spans="1:28" x14ac:dyDescent="0.25">
      <c r="A1735" t="s">
        <v>1739</v>
      </c>
      <c r="B1735">
        <v>0.99930955844802105</v>
      </c>
      <c r="C1735">
        <v>0.96717052732535502</v>
      </c>
      <c r="D1735">
        <v>1.0044256820276201</v>
      </c>
      <c r="E1735">
        <v>0.95409723261795398</v>
      </c>
      <c r="F1735">
        <v>0.83513921925337997</v>
      </c>
      <c r="G1735">
        <v>0.59225916453568495</v>
      </c>
      <c r="H1735">
        <v>0.28886733735674702</v>
      </c>
      <c r="I1735">
        <v>9.5747722931359497E-2</v>
      </c>
      <c r="J1735">
        <v>3.6499777720318302E-2</v>
      </c>
      <c r="K1735">
        <v>3.0443437433968299E-2</v>
      </c>
      <c r="L1735">
        <v>1162.1533505728901</v>
      </c>
      <c r="M1735">
        <v>20.077902805934599</v>
      </c>
      <c r="N1735">
        <v>57.882211117921699</v>
      </c>
      <c r="O1735">
        <v>57.317189942129303</v>
      </c>
      <c r="P1735">
        <v>-8.7576460118248795E-2</v>
      </c>
      <c r="Q1735">
        <v>0</v>
      </c>
      <c r="R1735">
        <v>0.99724429176301099</v>
      </c>
      <c r="S1735" t="s">
        <v>8352</v>
      </c>
      <c r="T1735" t="s">
        <v>13232</v>
      </c>
      <c r="U1735" t="s">
        <v>13232</v>
      </c>
      <c r="V1735" t="s">
        <v>13232</v>
      </c>
      <c r="W1735" t="s">
        <v>14919</v>
      </c>
      <c r="X1735">
        <v>13</v>
      </c>
      <c r="Y1735" t="s">
        <v>21429</v>
      </c>
      <c r="Z1735" t="s">
        <v>27866</v>
      </c>
      <c r="AA1735">
        <v>0.60748333868770765</v>
      </c>
      <c r="AB1735" t="str">
        <f>HYPERLINK("Melting_Curves/meltCurve_P07741_APRT.pdf", "Melting_Curves/meltCurve_P07741_APRT.pdf")</f>
        <v>Melting_Curves/meltCurve_P07741_APRT.pdf</v>
      </c>
    </row>
    <row r="1736" spans="1:28" x14ac:dyDescent="0.25">
      <c r="A1736" t="s">
        <v>1740</v>
      </c>
      <c r="B1736">
        <v>0.99930955844802105</v>
      </c>
      <c r="C1736">
        <v>0.89772423294341297</v>
      </c>
      <c r="D1736">
        <v>0.80766990615809997</v>
      </c>
      <c r="E1736">
        <v>0.56700536498180398</v>
      </c>
      <c r="F1736">
        <v>0.32085327362995902</v>
      </c>
      <c r="G1736">
        <v>0.24456330529161199</v>
      </c>
      <c r="H1736">
        <v>0.17257781845286399</v>
      </c>
      <c r="I1736">
        <v>0.158445923038737</v>
      </c>
      <c r="J1736">
        <v>0.143719511307453</v>
      </c>
      <c r="K1736">
        <v>0.11839626332436801</v>
      </c>
      <c r="L1736">
        <v>770.60892447616504</v>
      </c>
      <c r="M1736">
        <v>15.519809956768601</v>
      </c>
      <c r="N1736">
        <v>50.577469152659503</v>
      </c>
      <c r="O1736">
        <v>48.850780353099999</v>
      </c>
      <c r="P1736">
        <v>-6.9624494934955497E-2</v>
      </c>
      <c r="Q1736">
        <v>0.123466002868518</v>
      </c>
      <c r="R1736">
        <v>0.99566805487107801</v>
      </c>
      <c r="S1736" t="s">
        <v>8353</v>
      </c>
      <c r="T1736" t="s">
        <v>13232</v>
      </c>
      <c r="U1736" t="s">
        <v>13232</v>
      </c>
      <c r="V1736" t="s">
        <v>13232</v>
      </c>
      <c r="W1736" t="s">
        <v>14920</v>
      </c>
      <c r="X1736">
        <v>14</v>
      </c>
      <c r="Y1736" t="s">
        <v>21430</v>
      </c>
      <c r="Z1736" t="s">
        <v>27867</v>
      </c>
      <c r="AA1736">
        <v>0.42538051792174542</v>
      </c>
      <c r="AB1736" t="str">
        <f>HYPERLINK("Melting_Curves/meltCurve_P07858_CTSB.pdf", "Melting_Curves/meltCurve_P07858_CTSB.pdf")</f>
        <v>Melting_Curves/meltCurve_P07858_CTSB.pdf</v>
      </c>
    </row>
    <row r="1737" spans="1:28" x14ac:dyDescent="0.25">
      <c r="A1737" t="s">
        <v>1741</v>
      </c>
      <c r="B1737">
        <v>0.99930955844802105</v>
      </c>
      <c r="C1737">
        <v>1.0086566719691801</v>
      </c>
      <c r="D1737">
        <v>0.92563070368967904</v>
      </c>
      <c r="E1737">
        <v>0.73829474094903902</v>
      </c>
      <c r="F1737">
        <v>0.27628936183436098</v>
      </c>
      <c r="G1737">
        <v>0.185687314661835</v>
      </c>
      <c r="H1737">
        <v>8.3700097742084395E-2</v>
      </c>
      <c r="I1737">
        <v>6.0105622686849901E-2</v>
      </c>
      <c r="J1737">
        <v>4.9818752321282703E-2</v>
      </c>
      <c r="K1737">
        <v>3.7851237676568603E-2</v>
      </c>
      <c r="L1737">
        <v>1537.24183919388</v>
      </c>
      <c r="M1737">
        <v>29.974836587510602</v>
      </c>
      <c r="N1737">
        <v>51.530535133476199</v>
      </c>
      <c r="O1737">
        <v>51.057777185925097</v>
      </c>
      <c r="P1737">
        <v>-0.136981202815045</v>
      </c>
      <c r="Q1737">
        <v>6.6695828219963504E-2</v>
      </c>
      <c r="R1737">
        <v>0.99238037798450396</v>
      </c>
      <c r="S1737" t="s">
        <v>8354</v>
      </c>
      <c r="T1737" t="s">
        <v>13232</v>
      </c>
      <c r="U1737" t="s">
        <v>13232</v>
      </c>
      <c r="V1737" t="s">
        <v>13232</v>
      </c>
      <c r="W1737" t="s">
        <v>14921</v>
      </c>
      <c r="X1737">
        <v>61</v>
      </c>
      <c r="Y1737" t="s">
        <v>21431</v>
      </c>
      <c r="Z1737" t="s">
        <v>27868</v>
      </c>
      <c r="AA1737">
        <v>0.42366074516439528</v>
      </c>
      <c r="AB1737" t="str">
        <f>HYPERLINK("Melting_Curves/meltCurve_P07900_HSP90AA1.pdf", "Melting_Curves/meltCurve_P07900_HSP90AA1.pdf")</f>
        <v>Melting_Curves/meltCurve_P07900_HSP90AA1.pdf</v>
      </c>
    </row>
    <row r="1738" spans="1:28" x14ac:dyDescent="0.25">
      <c r="A1738" t="s">
        <v>1742</v>
      </c>
      <c r="B1738">
        <v>0.99930955844802105</v>
      </c>
      <c r="C1738">
        <v>1.04183685758147</v>
      </c>
      <c r="D1738">
        <v>1.01265843082329</v>
      </c>
      <c r="E1738">
        <v>0.93470344940238204</v>
      </c>
      <c r="F1738">
        <v>0.86761395145974696</v>
      </c>
      <c r="G1738">
        <v>0.40785473938616501</v>
      </c>
      <c r="H1738">
        <v>0.22427971475754599</v>
      </c>
      <c r="I1738">
        <v>0.18925779850674801</v>
      </c>
      <c r="J1738">
        <v>0.18932449701373899</v>
      </c>
      <c r="K1738">
        <v>0.13687352875393799</v>
      </c>
      <c r="L1738">
        <v>1767.35111690441</v>
      </c>
      <c r="M1738">
        <v>31.842910090082601</v>
      </c>
      <c r="N1738">
        <v>56.2250561403619</v>
      </c>
      <c r="O1738">
        <v>55.2846657409724</v>
      </c>
      <c r="P1738">
        <v>-0.119808245917973</v>
      </c>
      <c r="Q1738">
        <v>0.167974953370184</v>
      </c>
      <c r="R1738">
        <v>0.99603494826361005</v>
      </c>
      <c r="S1738" t="s">
        <v>8355</v>
      </c>
      <c r="T1738" t="s">
        <v>13232</v>
      </c>
      <c r="U1738" t="s">
        <v>13232</v>
      </c>
      <c r="V1738" t="s">
        <v>13232</v>
      </c>
      <c r="W1738" t="s">
        <v>14922</v>
      </c>
      <c r="X1738">
        <v>7</v>
      </c>
      <c r="Y1738" t="s">
        <v>21432</v>
      </c>
      <c r="Z1738" t="s">
        <v>27869</v>
      </c>
      <c r="AA1738">
        <v>0.60286535158279719</v>
      </c>
      <c r="AB1738" t="str">
        <f>HYPERLINK("Melting_Curves/meltCurve_P07902_GALT.pdf", "Melting_Curves/meltCurve_P07902_GALT.pdf")</f>
        <v>Melting_Curves/meltCurve_P07902_GALT.pdf</v>
      </c>
    </row>
    <row r="1739" spans="1:28" x14ac:dyDescent="0.25">
      <c r="A1739" t="s">
        <v>1743</v>
      </c>
      <c r="B1739">
        <v>0.99930955844802105</v>
      </c>
      <c r="C1739">
        <v>0.98830095299549503</v>
      </c>
      <c r="D1739">
        <v>0.90314108160598405</v>
      </c>
      <c r="E1739">
        <v>0.85587685181020201</v>
      </c>
      <c r="F1739">
        <v>0.70321456171705599</v>
      </c>
      <c r="G1739">
        <v>0.645278583008287</v>
      </c>
      <c r="H1739">
        <v>0.72174696916454195</v>
      </c>
      <c r="I1739">
        <v>0.89502748084249795</v>
      </c>
      <c r="J1739">
        <v>1.21010326724424</v>
      </c>
      <c r="K1739">
        <v>0.80899284348143496</v>
      </c>
      <c r="L1739">
        <v>2044.6872164927499</v>
      </c>
      <c r="M1739">
        <v>44.790212819945097</v>
      </c>
      <c r="O1739">
        <v>45.559594238146403</v>
      </c>
      <c r="P1739">
        <v>-4.0852211387989897E-2</v>
      </c>
      <c r="Q1739">
        <v>0.83378442889827697</v>
      </c>
      <c r="R1739">
        <v>0.16119744185979301</v>
      </c>
      <c r="S1739" t="s">
        <v>8356</v>
      </c>
      <c r="T1739" t="s">
        <v>13232</v>
      </c>
      <c r="U1739" t="s">
        <v>13232</v>
      </c>
      <c r="V1739" t="s">
        <v>13232</v>
      </c>
      <c r="W1739" t="s">
        <v>14923</v>
      </c>
      <c r="X1739">
        <v>4</v>
      </c>
      <c r="Y1739" t="s">
        <v>21433</v>
      </c>
      <c r="Z1739" t="s">
        <v>27870</v>
      </c>
      <c r="AA1739">
        <v>0.8655152186780829</v>
      </c>
      <c r="AB1739" t="str">
        <f>HYPERLINK("Melting_Curves/meltCurve_P07919_UQCRH.pdf", "Melting_Curves/meltCurve_P07919_UQCRH.pdf")</f>
        <v>Melting_Curves/meltCurve_P07919_UQCRH.pdf</v>
      </c>
    </row>
    <row r="1740" spans="1:28" x14ac:dyDescent="0.25">
      <c r="A1740" t="s">
        <v>1744</v>
      </c>
      <c r="B1740">
        <v>0.99930955844802105</v>
      </c>
      <c r="C1740">
        <v>0.97760279422296803</v>
      </c>
      <c r="D1740">
        <v>0.91526471157771505</v>
      </c>
      <c r="E1740">
        <v>0.79154171667454898</v>
      </c>
      <c r="F1740">
        <v>0.65414956947324499</v>
      </c>
      <c r="G1740">
        <v>0.52305264772379001</v>
      </c>
      <c r="H1740">
        <v>0.46790319055347401</v>
      </c>
      <c r="I1740">
        <v>0.46104482949310999</v>
      </c>
      <c r="J1740">
        <v>0.47528633044198298</v>
      </c>
      <c r="K1740">
        <v>0.32193098447528401</v>
      </c>
      <c r="L1740">
        <v>692.16137007137797</v>
      </c>
      <c r="M1740">
        <v>13.216067356734101</v>
      </c>
      <c r="N1740">
        <v>58.7105484532362</v>
      </c>
      <c r="O1740">
        <v>51.217188332768401</v>
      </c>
      <c r="P1740">
        <v>-4.0006159531774797E-2</v>
      </c>
      <c r="Q1740">
        <v>0.37994765412254</v>
      </c>
      <c r="R1740">
        <v>0.97837595120056597</v>
      </c>
      <c r="S1740" t="s">
        <v>8357</v>
      </c>
      <c r="T1740" t="s">
        <v>13232</v>
      </c>
      <c r="U1740" t="s">
        <v>13232</v>
      </c>
      <c r="V1740" t="s">
        <v>13232</v>
      </c>
      <c r="W1740" t="s">
        <v>14924</v>
      </c>
      <c r="X1740">
        <v>6</v>
      </c>
      <c r="Y1740" t="s">
        <v>21434</v>
      </c>
      <c r="Z1740" t="s">
        <v>27871</v>
      </c>
      <c r="AA1740">
        <v>0.65201809192296667</v>
      </c>
      <c r="AB1740" t="str">
        <f>HYPERLINK("Melting_Curves/meltCurve_P07942_LAMB1.pdf", "Melting_Curves/meltCurve_P07942_LAMB1.pdf")</f>
        <v>Melting_Curves/meltCurve_P07942_LAMB1.pdf</v>
      </c>
    </row>
    <row r="1741" spans="1:28" x14ac:dyDescent="0.25">
      <c r="A1741" t="s">
        <v>1745</v>
      </c>
      <c r="B1741">
        <v>0.99930955844802105</v>
      </c>
      <c r="C1741">
        <v>1.00183501397702</v>
      </c>
      <c r="D1741">
        <v>0.64820925518363504</v>
      </c>
      <c r="E1741">
        <v>0.33239990046043</v>
      </c>
      <c r="F1741">
        <v>0.16257212461106299</v>
      </c>
      <c r="G1741">
        <v>0.102351453948373</v>
      </c>
      <c r="H1741">
        <v>6.20302005231936E-2</v>
      </c>
      <c r="I1741">
        <v>5.4631206386251102E-2</v>
      </c>
      <c r="J1741">
        <v>6.2140524764072003E-2</v>
      </c>
      <c r="K1741">
        <v>4.90047839667224E-2</v>
      </c>
      <c r="L1741">
        <v>1027.35382024463</v>
      </c>
      <c r="M1741">
        <v>21.562693103076299</v>
      </c>
      <c r="N1741">
        <v>47.929904347928897</v>
      </c>
      <c r="O1741">
        <v>47.240856223395397</v>
      </c>
      <c r="P1741">
        <v>-0.107248619148959</v>
      </c>
      <c r="Q1741">
        <v>6.0155591436193097E-2</v>
      </c>
      <c r="R1741">
        <v>0.99213135725826895</v>
      </c>
      <c r="S1741" t="s">
        <v>8358</v>
      </c>
      <c r="T1741" t="s">
        <v>13232</v>
      </c>
      <c r="U1741" t="s">
        <v>13232</v>
      </c>
      <c r="V1741" t="s">
        <v>13232</v>
      </c>
      <c r="W1741" t="s">
        <v>14925</v>
      </c>
      <c r="X1741">
        <v>6</v>
      </c>
      <c r="Y1741" t="s">
        <v>21435</v>
      </c>
      <c r="Z1741" t="s">
        <v>27872</v>
      </c>
      <c r="AA1741">
        <v>0.3111085912187509</v>
      </c>
      <c r="AB1741" t="str">
        <f>HYPERLINK("Melting_Curves/meltCurve_P07947_YES1.pdf", "Melting_Curves/meltCurve_P07947_YES1.pdf")</f>
        <v>Melting_Curves/meltCurve_P07947_YES1.pdf</v>
      </c>
    </row>
    <row r="1742" spans="1:28" x14ac:dyDescent="0.25">
      <c r="A1742" t="s">
        <v>1746</v>
      </c>
      <c r="B1742">
        <v>0.99930955844802105</v>
      </c>
      <c r="C1742">
        <v>0.81889378868668605</v>
      </c>
      <c r="D1742">
        <v>0.643024207020362</v>
      </c>
      <c r="E1742">
        <v>0.40891789998810102</v>
      </c>
      <c r="F1742">
        <v>0.22171052230576899</v>
      </c>
      <c r="G1742">
        <v>0.14796244372442499</v>
      </c>
      <c r="H1742">
        <v>9.9908469864214006E-2</v>
      </c>
      <c r="I1742">
        <v>7.28054768331753E-2</v>
      </c>
      <c r="J1742">
        <v>6.5248465746410203E-2</v>
      </c>
      <c r="K1742">
        <v>4.8814713916729403E-2</v>
      </c>
      <c r="L1742">
        <v>673.79083503168499</v>
      </c>
      <c r="M1742">
        <v>14.0776321441063</v>
      </c>
      <c r="N1742">
        <v>48.2071683606219</v>
      </c>
      <c r="O1742">
        <v>46.927757161401097</v>
      </c>
      <c r="P1742">
        <v>-7.1415073803316895E-2</v>
      </c>
      <c r="Q1742">
        <v>4.7875309921005298E-2</v>
      </c>
      <c r="R1742">
        <v>0.99533597444539401</v>
      </c>
      <c r="S1742" t="s">
        <v>8359</v>
      </c>
      <c r="T1742" t="s">
        <v>13232</v>
      </c>
      <c r="U1742" t="s">
        <v>13232</v>
      </c>
      <c r="V1742" t="s">
        <v>13232</v>
      </c>
      <c r="W1742" t="s">
        <v>14926</v>
      </c>
      <c r="X1742">
        <v>10</v>
      </c>
      <c r="Y1742" t="s">
        <v>21436</v>
      </c>
      <c r="Z1742" t="s">
        <v>27873</v>
      </c>
      <c r="AA1742">
        <v>0.32535155600027532</v>
      </c>
      <c r="AB1742" t="str">
        <f>HYPERLINK("Melting_Curves/meltCurve_P07948_LYN.pdf", "Melting_Curves/meltCurve_P07948_LYN.pdf")</f>
        <v>Melting_Curves/meltCurve_P07948_LYN.pdf</v>
      </c>
    </row>
    <row r="1743" spans="1:28" x14ac:dyDescent="0.25">
      <c r="A1743" t="s">
        <v>1747</v>
      </c>
      <c r="B1743">
        <v>0.99930955844802105</v>
      </c>
      <c r="C1743">
        <v>0.92326039382712499</v>
      </c>
      <c r="D1743">
        <v>0.91922798826610597</v>
      </c>
      <c r="E1743">
        <v>0.87720412440568296</v>
      </c>
      <c r="F1743">
        <v>0.203339407003894</v>
      </c>
      <c r="G1743">
        <v>0.14050681035047199</v>
      </c>
      <c r="H1743">
        <v>8.0189590383303297E-2</v>
      </c>
      <c r="I1743">
        <v>6.5391766853918398E-2</v>
      </c>
      <c r="J1743">
        <v>5.1216040447671703E-2</v>
      </c>
      <c r="K1743">
        <v>3.9501606305870303E-2</v>
      </c>
      <c r="L1743">
        <v>3220.9983375588299</v>
      </c>
      <c r="M1743">
        <v>62.565708526520098</v>
      </c>
      <c r="N1743">
        <v>51.6147406606947</v>
      </c>
      <c r="O1743">
        <v>51.429330154060899</v>
      </c>
      <c r="P1743">
        <v>-0.28150965934702799</v>
      </c>
      <c r="Q1743">
        <v>7.4390821482682098E-2</v>
      </c>
      <c r="R1743">
        <v>0.98919080397704395</v>
      </c>
      <c r="S1743" t="s">
        <v>8360</v>
      </c>
      <c r="T1743" t="s">
        <v>13232</v>
      </c>
      <c r="U1743" t="s">
        <v>13232</v>
      </c>
      <c r="V1743" t="s">
        <v>13232</v>
      </c>
      <c r="W1743" t="s">
        <v>14927</v>
      </c>
      <c r="X1743">
        <v>26</v>
      </c>
      <c r="Y1743" t="s">
        <v>21437</v>
      </c>
      <c r="Z1743" t="s">
        <v>27874</v>
      </c>
      <c r="AA1743">
        <v>0.42998733962194308</v>
      </c>
      <c r="AB1743" t="str">
        <f>HYPERLINK("Melting_Curves/meltCurve_P07954_2_FH.pdf", "Melting_Curves/meltCurve_P07954_2_FH.pdf")</f>
        <v>Melting_Curves/meltCurve_P07954_2_FH.pdf</v>
      </c>
    </row>
    <row r="1744" spans="1:28" x14ac:dyDescent="0.25">
      <c r="A1744" t="s">
        <v>1748</v>
      </c>
      <c r="B1744">
        <v>0.99930955844802105</v>
      </c>
      <c r="C1744">
        <v>1.1334848538379201</v>
      </c>
      <c r="D1744">
        <v>1.0517464443556901</v>
      </c>
      <c r="E1744">
        <v>0.57355948336635698</v>
      </c>
      <c r="F1744">
        <v>0.22656530390127699</v>
      </c>
      <c r="G1744">
        <v>0.13516786148604601</v>
      </c>
      <c r="H1744">
        <v>7.1560133598624606E-2</v>
      </c>
      <c r="I1744">
        <v>5.2135190759270797E-2</v>
      </c>
      <c r="J1744">
        <v>4.0472050814948299E-2</v>
      </c>
      <c r="K1744">
        <v>3.6971088447185198E-2</v>
      </c>
      <c r="L1744">
        <v>1797.7681406742099</v>
      </c>
      <c r="M1744">
        <v>35.666804151270597</v>
      </c>
      <c r="N1744">
        <v>50.604416572475799</v>
      </c>
      <c r="O1744">
        <v>50.246836666398202</v>
      </c>
      <c r="P1744">
        <v>-0.16579836884018101</v>
      </c>
      <c r="Q1744">
        <v>6.5706089214564306E-2</v>
      </c>
      <c r="R1744">
        <v>0.98406008688894997</v>
      </c>
      <c r="S1744" t="s">
        <v>8361</v>
      </c>
      <c r="T1744" t="s">
        <v>13232</v>
      </c>
      <c r="U1744" t="s">
        <v>13232</v>
      </c>
      <c r="V1744" t="s">
        <v>13232</v>
      </c>
      <c r="W1744" t="s">
        <v>14928</v>
      </c>
      <c r="X1744">
        <v>9</v>
      </c>
      <c r="Y1744" t="s">
        <v>21438</v>
      </c>
      <c r="Z1744" t="s">
        <v>27875</v>
      </c>
      <c r="AA1744">
        <v>0.39383844688581959</v>
      </c>
      <c r="AB1744" t="str">
        <f>HYPERLINK("Melting_Curves/meltCurve_P07992_ERCC1.pdf", "Melting_Curves/meltCurve_P07992_ERCC1.pdf")</f>
        <v>Melting_Curves/meltCurve_P07992_ERCC1.pdf</v>
      </c>
    </row>
    <row r="1745" spans="1:28" x14ac:dyDescent="0.25">
      <c r="A1745" t="s">
        <v>1749</v>
      </c>
      <c r="B1745">
        <v>0.99930955844802105</v>
      </c>
      <c r="C1745">
        <v>1.0807669174186201</v>
      </c>
      <c r="D1745">
        <v>0.97111116058593605</v>
      </c>
      <c r="E1745">
        <v>0.87393627637348703</v>
      </c>
      <c r="F1745">
        <v>0.72870600412104902</v>
      </c>
      <c r="G1745">
        <v>0.60670928273903002</v>
      </c>
      <c r="H1745">
        <v>0.57427192785530601</v>
      </c>
      <c r="I1745">
        <v>0.65609814571395497</v>
      </c>
      <c r="J1745">
        <v>0.764734174509206</v>
      </c>
      <c r="K1745">
        <v>0.62138520204869097</v>
      </c>
      <c r="L1745">
        <v>1810.66877073873</v>
      </c>
      <c r="M1745">
        <v>35.576576474410302</v>
      </c>
      <c r="O1745">
        <v>50.734974621867103</v>
      </c>
      <c r="P1745">
        <v>-6.2224261846221901E-2</v>
      </c>
      <c r="Q1745">
        <v>0.64505461234287897</v>
      </c>
      <c r="R1745">
        <v>0.90133245216539604</v>
      </c>
      <c r="S1745" t="s">
        <v>8362</v>
      </c>
      <c r="T1745" t="s">
        <v>13232</v>
      </c>
      <c r="U1745" t="s">
        <v>13232</v>
      </c>
      <c r="V1745" t="s">
        <v>13232</v>
      </c>
      <c r="W1745" t="s">
        <v>14929</v>
      </c>
      <c r="X1745">
        <v>8</v>
      </c>
      <c r="Y1745" t="s">
        <v>21439</v>
      </c>
      <c r="Z1745" t="s">
        <v>27876</v>
      </c>
      <c r="AA1745">
        <v>0.77553980233550879</v>
      </c>
      <c r="AB1745" t="str">
        <f>HYPERLINK("Melting_Curves/meltCurve_P08047_SP1.pdf", "Melting_Curves/meltCurve_P08047_SP1.pdf")</f>
        <v>Melting_Curves/meltCurve_P08047_SP1.pdf</v>
      </c>
    </row>
    <row r="1746" spans="1:28" x14ac:dyDescent="0.25">
      <c r="A1746" t="s">
        <v>1750</v>
      </c>
      <c r="B1746">
        <v>0.99930955844802105</v>
      </c>
      <c r="C1746">
        <v>0.99726630866527399</v>
      </c>
      <c r="D1746">
        <v>1.0169888037892101</v>
      </c>
      <c r="E1746">
        <v>0.93151607733029196</v>
      </c>
      <c r="F1746">
        <v>0.727526225018164</v>
      </c>
      <c r="G1746">
        <v>0.27375597449691202</v>
      </c>
      <c r="H1746">
        <v>8.6352202174745596E-2</v>
      </c>
      <c r="I1746">
        <v>6.8451203509927894E-2</v>
      </c>
      <c r="J1746">
        <v>5.7468025528231298E-2</v>
      </c>
      <c r="K1746">
        <v>4.5263573215080302E-2</v>
      </c>
      <c r="L1746">
        <v>1570.29309029674</v>
      </c>
      <c r="M1746">
        <v>28.724219961823898</v>
      </c>
      <c r="N1746">
        <v>54.860797648740999</v>
      </c>
      <c r="O1746">
        <v>54.405002024972603</v>
      </c>
      <c r="P1746">
        <v>-0.12565395149235301</v>
      </c>
      <c r="Q1746">
        <v>4.8029777824372601E-2</v>
      </c>
      <c r="R1746">
        <v>0.99963739381946803</v>
      </c>
      <c r="S1746" t="s">
        <v>8363</v>
      </c>
      <c r="T1746" t="s">
        <v>13232</v>
      </c>
      <c r="U1746" t="s">
        <v>13232</v>
      </c>
      <c r="V1746" t="s">
        <v>13232</v>
      </c>
      <c r="W1746" t="s">
        <v>14930</v>
      </c>
      <c r="X1746">
        <v>45</v>
      </c>
      <c r="Y1746" t="s">
        <v>21440</v>
      </c>
      <c r="Z1746" t="s">
        <v>27877</v>
      </c>
      <c r="AA1746">
        <v>0.52031302041339578</v>
      </c>
      <c r="AB1746" t="str">
        <f>HYPERLINK("Melting_Curves/meltCurve_P08107_HSPA1A.pdf", "Melting_Curves/meltCurve_P08107_HSPA1A.pdf")</f>
        <v>Melting_Curves/meltCurve_P08107_HSPA1A.pdf</v>
      </c>
    </row>
    <row r="1747" spans="1:28" x14ac:dyDescent="0.25">
      <c r="A1747" t="s">
        <v>1751</v>
      </c>
      <c r="B1747">
        <v>0.99930955844802105</v>
      </c>
      <c r="C1747">
        <v>1.0243351583543101</v>
      </c>
      <c r="D1747">
        <v>0.96529055198474401</v>
      </c>
      <c r="E1747">
        <v>0.79080665473281697</v>
      </c>
      <c r="F1747">
        <v>0.24175313388066899</v>
      </c>
      <c r="G1747">
        <v>0.15466593001499301</v>
      </c>
      <c r="H1747">
        <v>7.6252430008576205E-2</v>
      </c>
      <c r="I1747">
        <v>6.0024949871495599E-2</v>
      </c>
      <c r="J1747">
        <v>4.1713833146874102E-2</v>
      </c>
      <c r="K1747">
        <v>3.5520310718164E-2</v>
      </c>
      <c r="L1747">
        <v>2273.76694285444</v>
      </c>
      <c r="M1747">
        <v>44.2866935647125</v>
      </c>
      <c r="N1747">
        <v>51.515110813850697</v>
      </c>
      <c r="O1747">
        <v>51.237638331216402</v>
      </c>
      <c r="P1747">
        <v>-0.20114466235451101</v>
      </c>
      <c r="Q1747">
        <v>6.9141398052809902E-2</v>
      </c>
      <c r="R1747">
        <v>0.99479552450363495</v>
      </c>
      <c r="S1747" t="s">
        <v>8364</v>
      </c>
      <c r="T1747" t="s">
        <v>13232</v>
      </c>
      <c r="U1747" t="s">
        <v>13232</v>
      </c>
      <c r="V1747" t="s">
        <v>13232</v>
      </c>
      <c r="W1747" t="s">
        <v>14931</v>
      </c>
      <c r="X1747">
        <v>54</v>
      </c>
      <c r="Y1747" t="s">
        <v>19812</v>
      </c>
      <c r="Z1747" t="s">
        <v>27878</v>
      </c>
      <c r="AA1747">
        <v>0.42375853546829262</v>
      </c>
      <c r="AB1747" t="str">
        <f>HYPERLINK("Melting_Curves/meltCurve_P08133_ANXA6.pdf", "Melting_Curves/meltCurve_P08133_ANXA6.pdf")</f>
        <v>Melting_Curves/meltCurve_P08133_ANXA6.pdf</v>
      </c>
    </row>
    <row r="1748" spans="1:28" x14ac:dyDescent="0.25">
      <c r="A1748" t="s">
        <v>1752</v>
      </c>
      <c r="B1748">
        <v>0.99930955844802105</v>
      </c>
      <c r="C1748">
        <v>0.68603863202724202</v>
      </c>
      <c r="D1748">
        <v>0.57113925053195802</v>
      </c>
      <c r="E1748">
        <v>0.75924445467697499</v>
      </c>
      <c r="F1748">
        <v>0.39732269715472301</v>
      </c>
      <c r="G1748">
        <v>0.21252224306838899</v>
      </c>
      <c r="H1748">
        <v>0.13685907168445999</v>
      </c>
      <c r="I1748">
        <v>0.13337453092212501</v>
      </c>
      <c r="J1748">
        <v>0.11544263239163</v>
      </c>
      <c r="K1748">
        <v>0.100393916198688</v>
      </c>
      <c r="L1748">
        <v>422.15103398011399</v>
      </c>
      <c r="M1748">
        <v>8.3609687083354007</v>
      </c>
      <c r="N1748">
        <v>50.490707402131797</v>
      </c>
      <c r="O1748">
        <v>47.850035275435197</v>
      </c>
      <c r="P1748">
        <v>-4.3725068127949497E-2</v>
      </c>
      <c r="Q1748">
        <v>0</v>
      </c>
      <c r="R1748">
        <v>0.88776469055462603</v>
      </c>
      <c r="S1748" t="s">
        <v>8365</v>
      </c>
      <c r="T1748" t="s">
        <v>13232</v>
      </c>
      <c r="U1748" t="s">
        <v>13232</v>
      </c>
      <c r="V1748" t="s">
        <v>13232</v>
      </c>
      <c r="W1748" t="s">
        <v>14932</v>
      </c>
      <c r="X1748">
        <v>13</v>
      </c>
      <c r="Y1748" t="s">
        <v>21441</v>
      </c>
      <c r="Z1748" t="s">
        <v>27879</v>
      </c>
      <c r="AA1748">
        <v>0.40359661631143801</v>
      </c>
      <c r="AB1748" t="str">
        <f>HYPERLINK("Melting_Curves/meltCurve_P08195_2_SLC3A2.pdf", "Melting_Curves/meltCurve_P08195_2_SLC3A2.pdf")</f>
        <v>Melting_Curves/meltCurve_P08195_2_SLC3A2.pdf</v>
      </c>
    </row>
    <row r="1749" spans="1:28" x14ac:dyDescent="0.25">
      <c r="A1749" t="s">
        <v>1753</v>
      </c>
      <c r="B1749">
        <v>0.99930955844802105</v>
      </c>
      <c r="C1749">
        <v>0.351609455393395</v>
      </c>
      <c r="D1749">
        <v>0.31240480977676999</v>
      </c>
      <c r="E1749">
        <v>0.34030085830684498</v>
      </c>
      <c r="F1749">
        <v>0.30037228689619799</v>
      </c>
      <c r="G1749">
        <v>0.21543296610757301</v>
      </c>
      <c r="H1749">
        <v>6.5499062894536803E-2</v>
      </c>
      <c r="I1749">
        <v>4.6515067261207001E-2</v>
      </c>
      <c r="J1749">
        <v>2.7859864655264702E-2</v>
      </c>
      <c r="K1749">
        <v>2.1869423240943101E-2</v>
      </c>
      <c r="L1749">
        <v>519.45791080752099</v>
      </c>
      <c r="M1749">
        <v>11.925843438204099</v>
      </c>
      <c r="N1749">
        <v>44.126769544106999</v>
      </c>
      <c r="O1749">
        <v>42.386808308043904</v>
      </c>
      <c r="P1749">
        <v>-6.5338909749491594E-2</v>
      </c>
      <c r="Q1749">
        <v>7.1319799453257698E-2</v>
      </c>
      <c r="R1749">
        <v>0.788660004588982</v>
      </c>
      <c r="S1749" t="s">
        <v>8366</v>
      </c>
      <c r="T1749" t="s">
        <v>13232</v>
      </c>
      <c r="U1749" t="s">
        <v>13232</v>
      </c>
      <c r="V1749" t="s">
        <v>13232</v>
      </c>
      <c r="W1749" t="s">
        <v>14933</v>
      </c>
      <c r="X1749">
        <v>15</v>
      </c>
      <c r="Y1749" t="s">
        <v>21442</v>
      </c>
      <c r="Z1749" t="s">
        <v>27880</v>
      </c>
      <c r="AA1749">
        <v>0.23642461076069121</v>
      </c>
      <c r="AB1749" t="str">
        <f>HYPERLINK("Melting_Curves/meltCurve_P08237_PFKM.pdf", "Melting_Curves/meltCurve_P08237_PFKM.pdf")</f>
        <v>Melting_Curves/meltCurve_P08237_PFKM.pdf</v>
      </c>
    </row>
    <row r="1750" spans="1:28" x14ac:dyDescent="0.25">
      <c r="A1750" t="s">
        <v>1754</v>
      </c>
      <c r="B1750">
        <v>0.99930955844802105</v>
      </c>
      <c r="C1750">
        <v>1.04033947475067</v>
      </c>
      <c r="D1750">
        <v>0.92441526552837705</v>
      </c>
      <c r="E1750">
        <v>0.78218750726980102</v>
      </c>
      <c r="F1750">
        <v>0.28647571997996002</v>
      </c>
      <c r="G1750">
        <v>0.19321751801186601</v>
      </c>
      <c r="H1750">
        <v>9.2511595250929404E-2</v>
      </c>
      <c r="I1750">
        <v>6.9428938235576804E-2</v>
      </c>
      <c r="J1750">
        <v>5.9231163609372799E-2</v>
      </c>
      <c r="K1750">
        <v>4.36836768885581E-2</v>
      </c>
      <c r="L1750">
        <v>1807.62047381103</v>
      </c>
      <c r="M1750">
        <v>35.1368270241313</v>
      </c>
      <c r="N1750">
        <v>51.702672721844799</v>
      </c>
      <c r="O1750">
        <v>51.279398450254199</v>
      </c>
      <c r="P1750">
        <v>-0.157551652760935</v>
      </c>
      <c r="Q1750">
        <v>8.02668775435596E-2</v>
      </c>
      <c r="R1750">
        <v>0.99010721773573895</v>
      </c>
      <c r="S1750" t="s">
        <v>8367</v>
      </c>
      <c r="T1750" t="s">
        <v>13232</v>
      </c>
      <c r="U1750" t="s">
        <v>13232</v>
      </c>
      <c r="V1750" t="s">
        <v>13232</v>
      </c>
      <c r="W1750" t="s">
        <v>14934</v>
      </c>
      <c r="X1750">
        <v>67</v>
      </c>
      <c r="Y1750" t="s">
        <v>21443</v>
      </c>
      <c r="Z1750" t="s">
        <v>27881</v>
      </c>
      <c r="AA1750">
        <v>0.43539470365079308</v>
      </c>
      <c r="AB1750" t="str">
        <f>HYPERLINK("Melting_Curves/meltCurve_P08238_HSP90AB1.pdf", "Melting_Curves/meltCurve_P08238_HSP90AB1.pdf")</f>
        <v>Melting_Curves/meltCurve_P08238_HSP90AB1.pdf</v>
      </c>
    </row>
    <row r="1751" spans="1:28" x14ac:dyDescent="0.25">
      <c r="A1751" t="s">
        <v>1755</v>
      </c>
      <c r="B1751">
        <v>0.99930955844802105</v>
      </c>
      <c r="C1751">
        <v>0.97513340378850499</v>
      </c>
      <c r="D1751">
        <v>0.69646296499994698</v>
      </c>
      <c r="E1751">
        <v>0.36061836513971701</v>
      </c>
      <c r="F1751">
        <v>0.20279187327077</v>
      </c>
      <c r="G1751">
        <v>0.148707997725989</v>
      </c>
      <c r="H1751">
        <v>0.107640042704732</v>
      </c>
      <c r="I1751">
        <v>0.10457182080765</v>
      </c>
      <c r="J1751">
        <v>9.7177544164310597E-2</v>
      </c>
      <c r="K1751">
        <v>7.8795133111108598E-2</v>
      </c>
      <c r="L1751">
        <v>1015.89478017893</v>
      </c>
      <c r="M1751">
        <v>21.253977288025101</v>
      </c>
      <c r="N1751">
        <v>48.300407801835298</v>
      </c>
      <c r="O1751">
        <v>47.380767690688202</v>
      </c>
      <c r="P1751">
        <v>-0.101022801008114</v>
      </c>
      <c r="Q1751">
        <v>9.9196296293781405E-2</v>
      </c>
      <c r="R1751">
        <v>0.99644343315629902</v>
      </c>
      <c r="S1751" t="s">
        <v>8368</v>
      </c>
      <c r="T1751" t="s">
        <v>13232</v>
      </c>
      <c r="U1751" t="s">
        <v>13232</v>
      </c>
      <c r="V1751" t="s">
        <v>13232</v>
      </c>
      <c r="W1751" t="s">
        <v>14935</v>
      </c>
      <c r="X1751">
        <v>26</v>
      </c>
      <c r="Y1751" t="s">
        <v>21444</v>
      </c>
      <c r="Z1751" t="s">
        <v>27882</v>
      </c>
      <c r="AA1751">
        <v>0.34462912418314651</v>
      </c>
      <c r="AB1751" t="str">
        <f>HYPERLINK("Melting_Curves/meltCurve_P08240_SRPR.pdf", "Melting_Curves/meltCurve_P08240_SRPR.pdf")</f>
        <v>Melting_Curves/meltCurve_P08240_SRPR.pdf</v>
      </c>
    </row>
    <row r="1752" spans="1:28" x14ac:dyDescent="0.25">
      <c r="A1752" t="s">
        <v>1756</v>
      </c>
      <c r="B1752">
        <v>0.99930955844802105</v>
      </c>
      <c r="C1752">
        <v>1.03092870136302</v>
      </c>
      <c r="D1752">
        <v>0.90906001923850699</v>
      </c>
      <c r="E1752">
        <v>0.86748024809442703</v>
      </c>
      <c r="F1752">
        <v>0.38403590317737302</v>
      </c>
      <c r="G1752">
        <v>0.142867895769975</v>
      </c>
      <c r="H1752">
        <v>7.7885809884240195E-2</v>
      </c>
      <c r="I1752">
        <v>6.4693532231313106E-2</v>
      </c>
      <c r="J1752">
        <v>5.6189980033865897E-2</v>
      </c>
      <c r="K1752">
        <v>4.3776998846870398E-2</v>
      </c>
      <c r="L1752">
        <v>1927.5628078945199</v>
      </c>
      <c r="M1752">
        <v>36.944107756228398</v>
      </c>
      <c r="N1752">
        <v>52.376066704332999</v>
      </c>
      <c r="O1752">
        <v>52.022942954899001</v>
      </c>
      <c r="P1752">
        <v>-0.16580638450642099</v>
      </c>
      <c r="Q1752">
        <v>6.6079885405983696E-2</v>
      </c>
      <c r="R1752">
        <v>0.99360126726827602</v>
      </c>
      <c r="S1752" t="s">
        <v>8369</v>
      </c>
      <c r="T1752" t="s">
        <v>13232</v>
      </c>
      <c r="U1752" t="s">
        <v>13232</v>
      </c>
      <c r="V1752" t="s">
        <v>13232</v>
      </c>
      <c r="W1752" t="s">
        <v>14936</v>
      </c>
      <c r="X1752">
        <v>33</v>
      </c>
      <c r="Y1752" t="s">
        <v>21445</v>
      </c>
      <c r="Z1752" t="s">
        <v>27883</v>
      </c>
      <c r="AA1752">
        <v>0.4490481075021176</v>
      </c>
      <c r="AB1752" t="str">
        <f>HYPERLINK("Melting_Curves/meltCurve_P08243_2_ASNS.pdf", "Melting_Curves/meltCurve_P08243_2_ASNS.pdf")</f>
        <v>Melting_Curves/meltCurve_P08243_2_ASNS.pdf</v>
      </c>
    </row>
    <row r="1753" spans="1:28" x14ac:dyDescent="0.25">
      <c r="A1753" t="s">
        <v>1757</v>
      </c>
      <c r="B1753">
        <v>0.99930955844802105</v>
      </c>
      <c r="C1753">
        <v>1.12956676992814</v>
      </c>
      <c r="D1753">
        <v>1.08971806417742</v>
      </c>
      <c r="E1753">
        <v>1.0638761705534201</v>
      </c>
      <c r="F1753">
        <v>1.02504349252145</v>
      </c>
      <c r="G1753">
        <v>0.86080712830488804</v>
      </c>
      <c r="H1753">
        <v>0.890122501862041</v>
      </c>
      <c r="I1753">
        <v>0.86808043128337697</v>
      </c>
      <c r="J1753">
        <v>0.81134669066314902</v>
      </c>
      <c r="K1753">
        <v>0.63901277403093704</v>
      </c>
      <c r="L1753">
        <v>759.08323540890001</v>
      </c>
      <c r="M1753">
        <v>10.1421328176167</v>
      </c>
      <c r="Q1753">
        <v>0</v>
      </c>
      <c r="R1753">
        <v>0.77940775892062197</v>
      </c>
      <c r="S1753" t="s">
        <v>8370</v>
      </c>
      <c r="T1753" t="s">
        <v>13232</v>
      </c>
      <c r="U1753" t="s">
        <v>13232</v>
      </c>
      <c r="V1753" t="s">
        <v>13232</v>
      </c>
      <c r="W1753" t="s">
        <v>14937</v>
      </c>
      <c r="X1753">
        <v>22</v>
      </c>
      <c r="Y1753" t="s">
        <v>21446</v>
      </c>
      <c r="Z1753" t="s">
        <v>27884</v>
      </c>
      <c r="AA1753">
        <v>0.92725378642117595</v>
      </c>
      <c r="AB1753" t="str">
        <f>HYPERLINK("Melting_Curves/meltCurve_P08397_2_HMBS.pdf", "Melting_Curves/meltCurve_P08397_2_HMBS.pdf")</f>
        <v>Melting_Curves/meltCurve_P08397_2_HMBS.pdf</v>
      </c>
    </row>
    <row r="1754" spans="1:28" x14ac:dyDescent="0.25">
      <c r="A1754" t="s">
        <v>1758</v>
      </c>
      <c r="B1754">
        <v>0.99930955844802105</v>
      </c>
      <c r="C1754">
        <v>0.81261679358294303</v>
      </c>
      <c r="D1754">
        <v>0.53022919568260196</v>
      </c>
      <c r="E1754">
        <v>0.381082868105663</v>
      </c>
      <c r="F1754">
        <v>0.28104599769581801</v>
      </c>
      <c r="G1754">
        <v>0.14404989866932599</v>
      </c>
      <c r="H1754">
        <v>9.4073768045595099E-2</v>
      </c>
      <c r="I1754">
        <v>0.10137000191906601</v>
      </c>
      <c r="J1754">
        <v>7.6146472481612201E-2</v>
      </c>
      <c r="K1754">
        <v>5.4898591298857401E-2</v>
      </c>
      <c r="L1754">
        <v>629.698873095105</v>
      </c>
      <c r="M1754">
        <v>13.3662721151575</v>
      </c>
      <c r="N1754">
        <v>47.594377107142101</v>
      </c>
      <c r="O1754">
        <v>46.093994305203701</v>
      </c>
      <c r="P1754">
        <v>-6.7904487972361899E-2</v>
      </c>
      <c r="Q1754">
        <v>6.3465765949312497E-2</v>
      </c>
      <c r="R1754">
        <v>0.984709403325991</v>
      </c>
      <c r="S1754" t="s">
        <v>8371</v>
      </c>
      <c r="T1754" t="s">
        <v>13232</v>
      </c>
      <c r="U1754" t="s">
        <v>13232</v>
      </c>
      <c r="V1754" t="s">
        <v>13232</v>
      </c>
      <c r="W1754" t="s">
        <v>14938</v>
      </c>
      <c r="X1754">
        <v>5</v>
      </c>
      <c r="Y1754" t="s">
        <v>21447</v>
      </c>
      <c r="Z1754" t="s">
        <v>27885</v>
      </c>
      <c r="AA1754">
        <v>0.31727873065081752</v>
      </c>
      <c r="AB1754" t="str">
        <f>HYPERLINK("Melting_Curves/meltCurve_P08559_3_PDHA1.pdf", "Melting_Curves/meltCurve_P08559_3_PDHA1.pdf")</f>
        <v>Melting_Curves/meltCurve_P08559_3_PDHA1.pdf</v>
      </c>
    </row>
    <row r="1755" spans="1:28" x14ac:dyDescent="0.25">
      <c r="A1755" t="s">
        <v>1759</v>
      </c>
      <c r="B1755">
        <v>0.99930955844802105</v>
      </c>
      <c r="C1755">
        <v>0.70364329747259802</v>
      </c>
      <c r="D1755">
        <v>0.60780075754777196</v>
      </c>
      <c r="E1755">
        <v>0.73765532275671397</v>
      </c>
      <c r="F1755">
        <v>0.45086640337811701</v>
      </c>
      <c r="G1755">
        <v>0.26068251025546402</v>
      </c>
      <c r="H1755">
        <v>0.182528016685124</v>
      </c>
      <c r="I1755">
        <v>0.17328264763498699</v>
      </c>
      <c r="J1755">
        <v>0.14860102438512399</v>
      </c>
      <c r="K1755">
        <v>0.11838672734846099</v>
      </c>
      <c r="L1755">
        <v>397.86444385860699</v>
      </c>
      <c r="M1755">
        <v>7.7484502723172604</v>
      </c>
      <c r="N1755">
        <v>51.347611673362898</v>
      </c>
      <c r="O1755">
        <v>48.263729287208101</v>
      </c>
      <c r="P1755">
        <v>-4.0187123455662999E-2</v>
      </c>
      <c r="Q1755">
        <v>0</v>
      </c>
      <c r="R1755">
        <v>0.91343196374931201</v>
      </c>
      <c r="S1755" t="s">
        <v>8372</v>
      </c>
      <c r="T1755" t="s">
        <v>13232</v>
      </c>
      <c r="U1755" t="s">
        <v>13232</v>
      </c>
      <c r="V1755" t="s">
        <v>13232</v>
      </c>
      <c r="W1755" t="s">
        <v>14939</v>
      </c>
      <c r="X1755">
        <v>13</v>
      </c>
      <c r="Y1755" t="s">
        <v>21448</v>
      </c>
      <c r="Z1755" t="s">
        <v>27886</v>
      </c>
      <c r="AA1755">
        <v>0.43102658306578528</v>
      </c>
      <c r="AB1755" t="str">
        <f>HYPERLINK("Melting_Curves/meltCurve_P08575_2_PTPRC.pdf", "Melting_Curves/meltCurve_P08575_2_PTPRC.pdf")</f>
        <v>Melting_Curves/meltCurve_P08575_2_PTPRC.pdf</v>
      </c>
    </row>
    <row r="1756" spans="1:28" x14ac:dyDescent="0.25">
      <c r="A1756" t="s">
        <v>1760</v>
      </c>
      <c r="B1756">
        <v>0.99930955844802105</v>
      </c>
      <c r="C1756">
        <v>0.94347661079121603</v>
      </c>
      <c r="D1756">
        <v>0.97137827966023305</v>
      </c>
      <c r="E1756">
        <v>1.0710008860759299</v>
      </c>
      <c r="F1756">
        <v>1.1124714068030701</v>
      </c>
      <c r="G1756">
        <v>0.79905972225581501</v>
      </c>
      <c r="H1756">
        <v>0.35693185420929302</v>
      </c>
      <c r="I1756">
        <v>0.27708824882333</v>
      </c>
      <c r="J1756">
        <v>0.27096536475725402</v>
      </c>
      <c r="K1756">
        <v>0.19362998555135</v>
      </c>
      <c r="L1756">
        <v>2526.71127124647</v>
      </c>
      <c r="M1756">
        <v>43.205138911448202</v>
      </c>
      <c r="N1756">
        <v>59.386130279979199</v>
      </c>
      <c r="O1756">
        <v>58.356864050017997</v>
      </c>
      <c r="P1756">
        <v>-0.14047457004646699</v>
      </c>
      <c r="Q1756">
        <v>0.24104933854402</v>
      </c>
      <c r="R1756">
        <v>0.97854443072450503</v>
      </c>
      <c r="S1756" t="s">
        <v>8373</v>
      </c>
      <c r="T1756" t="s">
        <v>13232</v>
      </c>
      <c r="U1756" t="s">
        <v>13232</v>
      </c>
      <c r="V1756" t="s">
        <v>13232</v>
      </c>
      <c r="W1756" t="s">
        <v>14940</v>
      </c>
      <c r="X1756">
        <v>11</v>
      </c>
      <c r="Y1756" t="s">
        <v>21449</v>
      </c>
      <c r="Z1756" t="s">
        <v>27887</v>
      </c>
      <c r="AA1756">
        <v>0.71119130214352921</v>
      </c>
      <c r="AB1756" t="str">
        <f>HYPERLINK("Melting_Curves/meltCurve_P08579_SNRPB2.pdf", "Melting_Curves/meltCurve_P08579_SNRPB2.pdf")</f>
        <v>Melting_Curves/meltCurve_P08579_SNRPB2.pdf</v>
      </c>
    </row>
    <row r="1757" spans="1:28" x14ac:dyDescent="0.25">
      <c r="A1757" t="s">
        <v>1761</v>
      </c>
      <c r="B1757">
        <v>0.99930955844802105</v>
      </c>
      <c r="C1757">
        <v>0.79449902724418398</v>
      </c>
      <c r="D1757">
        <v>0.87617427117579205</v>
      </c>
      <c r="E1757">
        <v>0.90701957891408802</v>
      </c>
      <c r="F1757">
        <v>0.83901601017887695</v>
      </c>
      <c r="G1757">
        <v>0.80102777582526097</v>
      </c>
      <c r="H1757">
        <v>0.78176224554032603</v>
      </c>
      <c r="I1757">
        <v>0.82031325133996502</v>
      </c>
      <c r="J1757">
        <v>0.82185052689196303</v>
      </c>
      <c r="K1757">
        <v>0.71867168583160401</v>
      </c>
      <c r="L1757">
        <v>147.19318701730799</v>
      </c>
      <c r="M1757">
        <v>2.1036812883426101</v>
      </c>
      <c r="O1757">
        <v>42.8478811501029</v>
      </c>
      <c r="P1757">
        <v>-6.2125277336927002E-3</v>
      </c>
      <c r="Q1757">
        <v>0.53111155790042397</v>
      </c>
      <c r="R1757">
        <v>0.50847599877669103</v>
      </c>
      <c r="S1757" t="s">
        <v>8374</v>
      </c>
      <c r="T1757" t="s">
        <v>13232</v>
      </c>
      <c r="U1757" t="s">
        <v>13232</v>
      </c>
      <c r="V1757" t="s">
        <v>13232</v>
      </c>
      <c r="W1757" t="s">
        <v>14941</v>
      </c>
      <c r="X1757">
        <v>3</v>
      </c>
      <c r="Y1757" t="s">
        <v>21450</v>
      </c>
      <c r="Z1757" t="s">
        <v>27888</v>
      </c>
      <c r="AA1757">
        <v>0.83503149365749296</v>
      </c>
      <c r="AB1757" t="str">
        <f>HYPERLINK("Melting_Curves/meltCurve_P08590_MYL3.pdf", "Melting_Curves/meltCurve_P08590_MYL3.pdf")</f>
        <v>Melting_Curves/meltCurve_P08590_MYL3.pdf</v>
      </c>
    </row>
    <row r="1758" spans="1:28" x14ac:dyDescent="0.25">
      <c r="A1758" t="s">
        <v>1762</v>
      </c>
      <c r="B1758">
        <v>0.99930955844802105</v>
      </c>
      <c r="C1758">
        <v>0.81930583280828195</v>
      </c>
      <c r="D1758">
        <v>0.88294813940190997</v>
      </c>
      <c r="E1758">
        <v>0.96112885682024995</v>
      </c>
      <c r="F1758">
        <v>0.441354894571578</v>
      </c>
      <c r="G1758">
        <v>0.33270314167665399</v>
      </c>
      <c r="H1758">
        <v>0.20566178594394099</v>
      </c>
      <c r="I1758">
        <v>0.20811255700411599</v>
      </c>
      <c r="J1758">
        <v>0.23265725271447499</v>
      </c>
      <c r="K1758">
        <v>0.17816877133922299</v>
      </c>
      <c r="L1758">
        <v>3152.0337753365998</v>
      </c>
      <c r="M1758">
        <v>60.4003414069496</v>
      </c>
      <c r="N1758">
        <v>52.722276112250498</v>
      </c>
      <c r="O1758">
        <v>52.128587296129702</v>
      </c>
      <c r="P1758">
        <v>-0.22316018530804799</v>
      </c>
      <c r="Q1758">
        <v>0.22960573530467601</v>
      </c>
      <c r="R1758">
        <v>0.94465842531230504</v>
      </c>
      <c r="S1758" t="s">
        <v>8375</v>
      </c>
      <c r="T1758" t="s">
        <v>13232</v>
      </c>
      <c r="U1758" t="s">
        <v>13232</v>
      </c>
      <c r="V1758" t="s">
        <v>13232</v>
      </c>
      <c r="W1758" t="s">
        <v>14942</v>
      </c>
      <c r="X1758">
        <v>21</v>
      </c>
      <c r="Y1758" t="s">
        <v>21451</v>
      </c>
      <c r="Z1758" t="s">
        <v>27889</v>
      </c>
      <c r="AA1758">
        <v>0.54374514303910049</v>
      </c>
      <c r="AB1758" t="str">
        <f>HYPERLINK("Melting_Curves/meltCurve_P08621_SNRNP70.pdf", "Melting_Curves/meltCurve_P08621_SNRNP70.pdf")</f>
        <v>Melting_Curves/meltCurve_P08621_SNRNP70.pdf</v>
      </c>
    </row>
    <row r="1759" spans="1:28" x14ac:dyDescent="0.25">
      <c r="A1759" t="s">
        <v>1763</v>
      </c>
      <c r="B1759">
        <v>0.99930955844802105</v>
      </c>
      <c r="C1759">
        <v>0.68650114162259801</v>
      </c>
      <c r="D1759">
        <v>0.50874122282950396</v>
      </c>
      <c r="E1759">
        <v>0.78380563932879299</v>
      </c>
      <c r="F1759">
        <v>0.28463756314138</v>
      </c>
      <c r="G1759">
        <v>0.17009794081202101</v>
      </c>
      <c r="H1759">
        <v>6.5379521797655604E-2</v>
      </c>
      <c r="I1759">
        <v>3.2014358913791903E-2</v>
      </c>
      <c r="J1759">
        <v>3.5149922065096102E-2</v>
      </c>
      <c r="K1759">
        <v>5.8249146628487999E-2</v>
      </c>
      <c r="L1759">
        <v>485.84708083139401</v>
      </c>
      <c r="M1759">
        <v>9.8558420957384705</v>
      </c>
      <c r="N1759">
        <v>49.295325625681897</v>
      </c>
      <c r="O1759">
        <v>47.394578760772397</v>
      </c>
      <c r="P1759">
        <v>-5.2014964199217598E-2</v>
      </c>
      <c r="Q1759">
        <v>0</v>
      </c>
      <c r="R1759">
        <v>0.85656065137486703</v>
      </c>
      <c r="S1759" t="s">
        <v>8376</v>
      </c>
      <c r="T1759" t="s">
        <v>13232</v>
      </c>
      <c r="U1759" t="s">
        <v>13232</v>
      </c>
      <c r="V1759" t="s">
        <v>13232</v>
      </c>
      <c r="W1759" t="s">
        <v>14943</v>
      </c>
      <c r="X1759">
        <v>2</v>
      </c>
      <c r="Y1759" t="s">
        <v>21452</v>
      </c>
      <c r="Z1759" t="s">
        <v>27890</v>
      </c>
      <c r="AA1759">
        <v>0.3586701991620258</v>
      </c>
      <c r="AB1759" t="str">
        <f>HYPERLINK("Melting_Curves/meltCurve_P08648_ITGA5.pdf", "Melting_Curves/meltCurve_P08648_ITGA5.pdf")</f>
        <v>Melting_Curves/meltCurve_P08648_ITGA5.pdf</v>
      </c>
    </row>
    <row r="1760" spans="1:28" x14ac:dyDescent="0.25">
      <c r="A1760" t="s">
        <v>1764</v>
      </c>
      <c r="B1760">
        <v>0.99930955844802105</v>
      </c>
      <c r="C1760">
        <v>1.0147336115298899</v>
      </c>
      <c r="D1760">
        <v>1.0523004894957699</v>
      </c>
      <c r="E1760">
        <v>0.96056704602894805</v>
      </c>
      <c r="F1760">
        <v>0.81473677612289497</v>
      </c>
      <c r="G1760">
        <v>0.68786784851732696</v>
      </c>
      <c r="H1760">
        <v>0.59850385171278198</v>
      </c>
      <c r="I1760">
        <v>0.59292676190094895</v>
      </c>
      <c r="J1760">
        <v>0.54417775657216605</v>
      </c>
      <c r="K1760">
        <v>0.42817243577539599</v>
      </c>
      <c r="L1760">
        <v>857.08434595618905</v>
      </c>
      <c r="M1760">
        <v>15.2424823796522</v>
      </c>
      <c r="N1760">
        <v>68.902857541139795</v>
      </c>
      <c r="O1760">
        <v>55.288780174896303</v>
      </c>
      <c r="P1760">
        <v>-3.65528879936464E-2</v>
      </c>
      <c r="Q1760">
        <v>0.46969988169500798</v>
      </c>
      <c r="R1760">
        <v>0.96593842446903999</v>
      </c>
      <c r="S1760" t="s">
        <v>8377</v>
      </c>
      <c r="T1760" t="s">
        <v>13232</v>
      </c>
      <c r="U1760" t="s">
        <v>13232</v>
      </c>
      <c r="V1760" t="s">
        <v>13232</v>
      </c>
      <c r="W1760" t="s">
        <v>14944</v>
      </c>
      <c r="X1760">
        <v>8</v>
      </c>
      <c r="Y1760" t="s">
        <v>21453</v>
      </c>
      <c r="Z1760" t="s">
        <v>27891</v>
      </c>
      <c r="AA1760">
        <v>0.76566718484599905</v>
      </c>
      <c r="AB1760" t="str">
        <f>HYPERLINK("Melting_Curves/meltCurve_P08651_2_NFIC.pdf", "Melting_Curves/meltCurve_P08651_2_NFIC.pdf")</f>
        <v>Melting_Curves/meltCurve_P08651_2_NFIC.pdf</v>
      </c>
    </row>
    <row r="1761" spans="1:28" x14ac:dyDescent="0.25">
      <c r="A1761" t="s">
        <v>1765</v>
      </c>
      <c r="B1761">
        <v>0.99930955844802105</v>
      </c>
      <c r="C1761">
        <v>0.97301639512166804</v>
      </c>
      <c r="D1761">
        <v>0.96324307640402995</v>
      </c>
      <c r="E1761">
        <v>0.89659480658831503</v>
      </c>
      <c r="F1761">
        <v>0.87452913780887198</v>
      </c>
      <c r="G1761">
        <v>0.82042973170017797</v>
      </c>
      <c r="H1761">
        <v>0.62399457154864002</v>
      </c>
      <c r="I1761">
        <v>0.55986322665642096</v>
      </c>
      <c r="J1761">
        <v>0.57225691733480499</v>
      </c>
      <c r="K1761">
        <v>0.46586008824931402</v>
      </c>
      <c r="L1761">
        <v>556.65395659820399</v>
      </c>
      <c r="M1761">
        <v>9.0659294098635197</v>
      </c>
      <c r="N1761">
        <v>68.558102330447397</v>
      </c>
      <c r="O1761">
        <v>58.634239551541803</v>
      </c>
      <c r="P1761">
        <v>-2.6847245283764101E-2</v>
      </c>
      <c r="Q1761">
        <v>0.30594803023657802</v>
      </c>
      <c r="R1761">
        <v>0.97736839114427199</v>
      </c>
      <c r="S1761" t="s">
        <v>8378</v>
      </c>
      <c r="T1761" t="s">
        <v>13232</v>
      </c>
      <c r="U1761" t="s">
        <v>13232</v>
      </c>
      <c r="V1761" t="s">
        <v>13232</v>
      </c>
      <c r="W1761" t="s">
        <v>14945</v>
      </c>
      <c r="X1761">
        <v>70</v>
      </c>
      <c r="Y1761" t="s">
        <v>21454</v>
      </c>
      <c r="Z1761" t="s">
        <v>27892</v>
      </c>
      <c r="AA1761">
        <v>0.78613632779457521</v>
      </c>
      <c r="AB1761" t="str">
        <f>HYPERLINK("Melting_Curves/meltCurve_P08670_VIM.pdf", "Melting_Curves/meltCurve_P08670_VIM.pdf")</f>
        <v>Melting_Curves/meltCurve_P08670_VIM.pdf</v>
      </c>
    </row>
    <row r="1762" spans="1:28" x14ac:dyDescent="0.25">
      <c r="A1762" t="s">
        <v>1766</v>
      </c>
      <c r="B1762">
        <v>0.99930955844802105</v>
      </c>
      <c r="C1762">
        <v>1.03069889820285</v>
      </c>
      <c r="D1762">
        <v>1.00111807783748</v>
      </c>
      <c r="E1762">
        <v>0.95551668878542595</v>
      </c>
      <c r="F1762">
        <v>0.99377591573784896</v>
      </c>
      <c r="G1762">
        <v>0.82997488888160698</v>
      </c>
      <c r="H1762">
        <v>0.63323286780592702</v>
      </c>
      <c r="I1762">
        <v>0.43915230409129102</v>
      </c>
      <c r="J1762">
        <v>0.29853343886283501</v>
      </c>
      <c r="K1762">
        <v>0.200506969254447</v>
      </c>
      <c r="L1762">
        <v>1063.2550422920101</v>
      </c>
      <c r="M1762">
        <v>17.039767378871701</v>
      </c>
      <c r="N1762">
        <v>63.016895506873901</v>
      </c>
      <c r="O1762">
        <v>61.558057911402102</v>
      </c>
      <c r="P1762">
        <v>-6.3877606277153304E-2</v>
      </c>
      <c r="Q1762">
        <v>7.6996644146308801E-2</v>
      </c>
      <c r="R1762">
        <v>0.99608765840522895</v>
      </c>
      <c r="S1762" t="s">
        <v>8379</v>
      </c>
      <c r="T1762" t="s">
        <v>13232</v>
      </c>
      <c r="U1762" t="s">
        <v>13232</v>
      </c>
      <c r="V1762" t="s">
        <v>13232</v>
      </c>
      <c r="W1762" t="s">
        <v>14946</v>
      </c>
      <c r="X1762">
        <v>41</v>
      </c>
      <c r="Y1762" t="s">
        <v>21455</v>
      </c>
      <c r="Z1762" t="s">
        <v>27893</v>
      </c>
      <c r="AA1762">
        <v>0.76472404545008199</v>
      </c>
      <c r="AB1762" t="str">
        <f>HYPERLINK("Melting_Curves/meltCurve_P08727_KRT19.pdf", "Melting_Curves/meltCurve_P08727_KRT19.pdf")</f>
        <v>Melting_Curves/meltCurve_P08727_KRT19.pdf</v>
      </c>
    </row>
    <row r="1763" spans="1:28" x14ac:dyDescent="0.25">
      <c r="A1763" t="s">
        <v>1767</v>
      </c>
      <c r="B1763">
        <v>0.99930955844802105</v>
      </c>
      <c r="C1763">
        <v>0.81823469687007</v>
      </c>
      <c r="D1763">
        <v>0.74631318930642099</v>
      </c>
      <c r="E1763">
        <v>0.71468257247111899</v>
      </c>
      <c r="F1763">
        <v>0.37847969918469698</v>
      </c>
      <c r="G1763">
        <v>0.150719181392552</v>
      </c>
      <c r="H1763">
        <v>8.8947760799964304E-2</v>
      </c>
      <c r="I1763">
        <v>7.69440936525288E-2</v>
      </c>
      <c r="J1763">
        <v>7.3282622050159105E-2</v>
      </c>
      <c r="K1763">
        <v>5.6643048289458701E-2</v>
      </c>
      <c r="L1763">
        <v>638.020104142881</v>
      </c>
      <c r="M1763">
        <v>12.454204346954301</v>
      </c>
      <c r="N1763">
        <v>51.229294687068503</v>
      </c>
      <c r="O1763">
        <v>49.962275288745602</v>
      </c>
      <c r="P1763">
        <v>-6.2331047444695697E-2</v>
      </c>
      <c r="Q1763">
        <v>0</v>
      </c>
      <c r="R1763">
        <v>0.96718043364489903</v>
      </c>
      <c r="S1763" t="s">
        <v>8380</v>
      </c>
      <c r="T1763" t="s">
        <v>13232</v>
      </c>
      <c r="U1763" t="s">
        <v>13232</v>
      </c>
      <c r="V1763" t="s">
        <v>13232</v>
      </c>
      <c r="W1763" t="s">
        <v>14947</v>
      </c>
      <c r="X1763">
        <v>10</v>
      </c>
      <c r="Y1763" t="s">
        <v>21456</v>
      </c>
      <c r="Z1763" t="s">
        <v>27894</v>
      </c>
      <c r="AA1763">
        <v>0.40481763959113609</v>
      </c>
      <c r="AB1763" t="str">
        <f>HYPERLINK("Melting_Curves/meltCurve_P08754_GNAI3.pdf", "Melting_Curves/meltCurve_P08754_GNAI3.pdf")</f>
        <v>Melting_Curves/meltCurve_P08754_GNAI3.pdf</v>
      </c>
    </row>
    <row r="1764" spans="1:28" x14ac:dyDescent="0.25">
      <c r="A1764" t="s">
        <v>1768</v>
      </c>
      <c r="B1764">
        <v>0.99930955844802105</v>
      </c>
      <c r="C1764">
        <v>1.52494703410248</v>
      </c>
      <c r="D1764">
        <v>0.70175971920362601</v>
      </c>
      <c r="E1764">
        <v>0.68608798506078905</v>
      </c>
      <c r="F1764">
        <v>0.12503583069537999</v>
      </c>
      <c r="G1764">
        <v>0.10290190874659901</v>
      </c>
      <c r="H1764">
        <v>4.7574383251452003E-2</v>
      </c>
      <c r="I1764">
        <v>3.5707710566122798E-2</v>
      </c>
      <c r="J1764">
        <v>2.8435844279191699E-2</v>
      </c>
      <c r="K1764">
        <v>2.24629845570666E-2</v>
      </c>
      <c r="L1764">
        <v>1657.7267091891599</v>
      </c>
      <c r="M1764">
        <v>32.777797886290898</v>
      </c>
      <c r="N1764">
        <v>50.678929376071402</v>
      </c>
      <c r="O1764">
        <v>50.387549590084703</v>
      </c>
      <c r="P1764">
        <v>-0.15732781963929199</v>
      </c>
      <c r="Q1764">
        <v>3.25979775003684E-2</v>
      </c>
      <c r="R1764">
        <v>0.85421306710162204</v>
      </c>
      <c r="S1764" t="s">
        <v>8381</v>
      </c>
      <c r="T1764" t="s">
        <v>13232</v>
      </c>
      <c r="U1764" t="s">
        <v>13232</v>
      </c>
      <c r="V1764" t="s">
        <v>13232</v>
      </c>
      <c r="W1764" t="s">
        <v>14948</v>
      </c>
      <c r="X1764">
        <v>26</v>
      </c>
      <c r="Y1764" t="s">
        <v>21457</v>
      </c>
      <c r="Z1764" t="s">
        <v>27895</v>
      </c>
      <c r="AA1764">
        <v>0.37865041439842961</v>
      </c>
      <c r="AB1764" t="str">
        <f>HYPERLINK("Melting_Curves/meltCurve_P08758_ANXA5.pdf", "Melting_Curves/meltCurve_P08758_ANXA5.pdf")</f>
        <v>Melting_Curves/meltCurve_P08758_ANXA5.pdf</v>
      </c>
    </row>
    <row r="1765" spans="1:28" x14ac:dyDescent="0.25">
      <c r="A1765" t="s">
        <v>1769</v>
      </c>
      <c r="B1765">
        <v>0.99930955844802105</v>
      </c>
      <c r="C1765">
        <v>2.0876241731722498</v>
      </c>
      <c r="D1765">
        <v>0.581033157110458</v>
      </c>
      <c r="E1765">
        <v>0.98146835950019296</v>
      </c>
      <c r="F1765">
        <v>0.62993754408359304</v>
      </c>
      <c r="G1765">
        <v>0.28678977665186001</v>
      </c>
      <c r="H1765">
        <v>0.63771328973052299</v>
      </c>
      <c r="I1765">
        <v>1.98820418385331</v>
      </c>
      <c r="J1765">
        <v>2.7636062544248698</v>
      </c>
      <c r="K1765">
        <v>0.35301977447412802</v>
      </c>
      <c r="L1765">
        <v>4661.0734689709298</v>
      </c>
      <c r="M1765">
        <v>74.831542285137402</v>
      </c>
      <c r="O1765">
        <v>62.243101855082699</v>
      </c>
      <c r="P1765">
        <v>0.15028079921726301</v>
      </c>
      <c r="Q1765">
        <v>1.5</v>
      </c>
      <c r="R1765">
        <v>0.16164787231734401</v>
      </c>
      <c r="S1765" t="s">
        <v>8382</v>
      </c>
      <c r="T1765" t="s">
        <v>13232</v>
      </c>
      <c r="U1765" t="s">
        <v>13232</v>
      </c>
      <c r="V1765" t="s">
        <v>13232</v>
      </c>
      <c r="W1765" t="s">
        <v>14949</v>
      </c>
      <c r="X1765">
        <v>26</v>
      </c>
      <c r="Y1765" t="s">
        <v>21458</v>
      </c>
      <c r="Z1765" t="s">
        <v>27896</v>
      </c>
      <c r="AA1765">
        <v>1.127934156661262</v>
      </c>
      <c r="AB1765" t="str">
        <f>HYPERLINK("Melting_Curves/meltCurve_P08779_KRT16.pdf", "Melting_Curves/meltCurve_P08779_KRT16.pdf")</f>
        <v>Melting_Curves/meltCurve_P08779_KRT16.pdf</v>
      </c>
    </row>
    <row r="1766" spans="1:28" x14ac:dyDescent="0.25">
      <c r="A1766" t="s">
        <v>1770</v>
      </c>
      <c r="B1766">
        <v>0.99930955844802105</v>
      </c>
      <c r="C1766">
        <v>1.03329528065161</v>
      </c>
      <c r="D1766">
        <v>1.03087033229931</v>
      </c>
      <c r="E1766">
        <v>1.21708131528692</v>
      </c>
      <c r="F1766">
        <v>1.2750481730645999</v>
      </c>
      <c r="G1766">
        <v>0.88104288868817004</v>
      </c>
      <c r="H1766">
        <v>0.40813812167849001</v>
      </c>
      <c r="I1766">
        <v>0.36605894838035202</v>
      </c>
      <c r="J1766">
        <v>0.38128469306452001</v>
      </c>
      <c r="K1766">
        <v>0.28731387379499401</v>
      </c>
      <c r="L1766">
        <v>3424.9080269462802</v>
      </c>
      <c r="M1766">
        <v>58.488096798046499</v>
      </c>
      <c r="N1766">
        <v>59.751961845954298</v>
      </c>
      <c r="O1766">
        <v>58.489016655983001</v>
      </c>
      <c r="P1766">
        <v>-0.16381897022259101</v>
      </c>
      <c r="Q1766">
        <v>0.34471414763404401</v>
      </c>
      <c r="R1766">
        <v>0.90194167672724701</v>
      </c>
      <c r="S1766" t="s">
        <v>8383</v>
      </c>
      <c r="T1766" t="s">
        <v>13232</v>
      </c>
      <c r="U1766" t="s">
        <v>13232</v>
      </c>
      <c r="V1766" t="s">
        <v>13232</v>
      </c>
      <c r="W1766" t="s">
        <v>14950</v>
      </c>
      <c r="X1766">
        <v>13</v>
      </c>
      <c r="Y1766" t="s">
        <v>21459</v>
      </c>
      <c r="Z1766" t="s">
        <v>27897</v>
      </c>
      <c r="AA1766">
        <v>0.75129260569718725</v>
      </c>
      <c r="AB1766" t="str">
        <f>HYPERLINK("Melting_Curves/meltCurve_P09012_SNRPA.pdf", "Melting_Curves/meltCurve_P09012_SNRPA.pdf")</f>
        <v>Melting_Curves/meltCurve_P09012_SNRPA.pdf</v>
      </c>
    </row>
    <row r="1767" spans="1:28" x14ac:dyDescent="0.25">
      <c r="A1767" t="s">
        <v>1771</v>
      </c>
      <c r="B1767">
        <v>0.99930955844802105</v>
      </c>
      <c r="C1767">
        <v>0.99332920792358703</v>
      </c>
      <c r="D1767">
        <v>1.00022797974383</v>
      </c>
      <c r="E1767">
        <v>0.95318139774815103</v>
      </c>
      <c r="F1767">
        <v>0.83186846266341896</v>
      </c>
      <c r="G1767">
        <v>0.62998235795838997</v>
      </c>
      <c r="H1767">
        <v>0.402058258750907</v>
      </c>
      <c r="I1767">
        <v>0.20957224713272499</v>
      </c>
      <c r="J1767">
        <v>0.100202224923557</v>
      </c>
      <c r="K1767">
        <v>7.8631443761134498E-2</v>
      </c>
      <c r="L1767">
        <v>937.29419490956104</v>
      </c>
      <c r="M1767">
        <v>15.903533922938699</v>
      </c>
      <c r="N1767">
        <v>58.936221770830997</v>
      </c>
      <c r="O1767">
        <v>58.027983229264699</v>
      </c>
      <c r="P1767">
        <v>-6.8522161102140197E-2</v>
      </c>
      <c r="Q1767">
        <v>0</v>
      </c>
      <c r="R1767">
        <v>0.99789759240096099</v>
      </c>
      <c r="S1767" t="s">
        <v>8384</v>
      </c>
      <c r="T1767" t="s">
        <v>13232</v>
      </c>
      <c r="U1767" t="s">
        <v>13232</v>
      </c>
      <c r="V1767" t="s">
        <v>13232</v>
      </c>
      <c r="W1767" t="s">
        <v>14951</v>
      </c>
      <c r="X1767">
        <v>2</v>
      </c>
      <c r="Y1767" t="s">
        <v>21460</v>
      </c>
      <c r="Z1767" t="s">
        <v>27898</v>
      </c>
      <c r="AA1767">
        <v>0.64206917206112069</v>
      </c>
      <c r="AB1767" t="str">
        <f>HYPERLINK("Melting_Curves/meltCurve_P09038_2_FGF2.pdf", "Melting_Curves/meltCurve_P09038_2_FGF2.pdf")</f>
        <v>Melting_Curves/meltCurve_P09038_2_FGF2.pdf</v>
      </c>
    </row>
    <row r="1768" spans="1:28" x14ac:dyDescent="0.25">
      <c r="A1768" t="s">
        <v>1772</v>
      </c>
      <c r="B1768">
        <v>0.99930955844802105</v>
      </c>
      <c r="C1768">
        <v>1.01202269807721</v>
      </c>
      <c r="D1768">
        <v>1.0007051289695901</v>
      </c>
      <c r="E1768">
        <v>0.86278138785718705</v>
      </c>
      <c r="F1768">
        <v>0.69342583137654801</v>
      </c>
      <c r="G1768">
        <v>0.52489841160538697</v>
      </c>
      <c r="H1768">
        <v>0.32721214504205998</v>
      </c>
      <c r="I1768">
        <v>0.18466474597093399</v>
      </c>
      <c r="J1768">
        <v>8.0798998390640794E-2</v>
      </c>
      <c r="K1768">
        <v>5.3039027607093697E-2</v>
      </c>
      <c r="L1768">
        <v>775.09958325539196</v>
      </c>
      <c r="M1768">
        <v>13.5920364479614</v>
      </c>
      <c r="N1768">
        <v>57.026032701290099</v>
      </c>
      <c r="O1768">
        <v>55.834083520273502</v>
      </c>
      <c r="P1768">
        <v>-6.08680860055918E-2</v>
      </c>
      <c r="Q1768">
        <v>0</v>
      </c>
      <c r="R1768">
        <v>0.99456488168620305</v>
      </c>
      <c r="S1768" t="s">
        <v>8385</v>
      </c>
      <c r="T1768" t="s">
        <v>13232</v>
      </c>
      <c r="U1768" t="s">
        <v>13232</v>
      </c>
      <c r="V1768" t="s">
        <v>13232</v>
      </c>
      <c r="W1768" t="s">
        <v>14952</v>
      </c>
      <c r="X1768">
        <v>8</v>
      </c>
      <c r="Y1768" t="s">
        <v>21461</v>
      </c>
      <c r="Z1768" t="s">
        <v>27899</v>
      </c>
      <c r="AA1768">
        <v>0.58399110059176684</v>
      </c>
      <c r="AB1768" t="str">
        <f>HYPERLINK("Melting_Curves/meltCurve_P09105_HBQ1.pdf", "Melting_Curves/meltCurve_P09105_HBQ1.pdf")</f>
        <v>Melting_Curves/meltCurve_P09105_HBQ1.pdf</v>
      </c>
    </row>
    <row r="1769" spans="1:28" x14ac:dyDescent="0.25">
      <c r="A1769" t="s">
        <v>1773</v>
      </c>
      <c r="B1769">
        <v>0.99930955844802105</v>
      </c>
      <c r="C1769">
        <v>0.94595072603511898</v>
      </c>
      <c r="D1769">
        <v>0.886479196240469</v>
      </c>
      <c r="E1769">
        <v>0.68158624413398905</v>
      </c>
      <c r="F1769">
        <v>0.42080121645141699</v>
      </c>
      <c r="G1769">
        <v>0.29324606444999501</v>
      </c>
      <c r="H1769">
        <v>0.136428715121926</v>
      </c>
      <c r="I1769">
        <v>0.11399405183213999</v>
      </c>
      <c r="J1769">
        <v>8.3121161525894396E-2</v>
      </c>
      <c r="K1769">
        <v>6.4732271134008798E-2</v>
      </c>
      <c r="L1769">
        <v>762.58459209947102</v>
      </c>
      <c r="M1769">
        <v>14.655859626093401</v>
      </c>
      <c r="N1769">
        <v>52.408041274376203</v>
      </c>
      <c r="O1769">
        <v>51.092804331131802</v>
      </c>
      <c r="P1769">
        <v>-6.8147099028081498E-2</v>
      </c>
      <c r="Q1769">
        <v>4.9815896830208199E-2</v>
      </c>
      <c r="R1769">
        <v>0.99697426802783295</v>
      </c>
      <c r="S1769" t="s">
        <v>8386</v>
      </c>
      <c r="T1769" t="s">
        <v>13232</v>
      </c>
      <c r="U1769" t="s">
        <v>13232</v>
      </c>
      <c r="V1769" t="s">
        <v>13232</v>
      </c>
      <c r="W1769" t="s">
        <v>14953</v>
      </c>
      <c r="X1769">
        <v>8</v>
      </c>
      <c r="Y1769" t="s">
        <v>21462</v>
      </c>
      <c r="Z1769" t="s">
        <v>27900</v>
      </c>
      <c r="AA1769">
        <v>0.45290280334777699</v>
      </c>
      <c r="AB1769" t="str">
        <f>HYPERLINK("Melting_Curves/meltCurve_P09110_ACAA1.pdf", "Melting_Curves/meltCurve_P09110_ACAA1.pdf")</f>
        <v>Melting_Curves/meltCurve_P09110_ACAA1.pdf</v>
      </c>
    </row>
    <row r="1770" spans="1:28" x14ac:dyDescent="0.25">
      <c r="A1770" t="s">
        <v>1774</v>
      </c>
      <c r="B1770">
        <v>0.99930955844802105</v>
      </c>
      <c r="C1770">
        <v>0.77892683910798599</v>
      </c>
      <c r="D1770">
        <v>0.82711374394456205</v>
      </c>
      <c r="E1770">
        <v>0.59059914722718299</v>
      </c>
      <c r="F1770">
        <v>0.316291480431731</v>
      </c>
      <c r="G1770">
        <v>0.17521991210711599</v>
      </c>
      <c r="H1770">
        <v>8.6627568396148394E-2</v>
      </c>
      <c r="I1770">
        <v>7.9416019986180197E-2</v>
      </c>
      <c r="J1770">
        <v>6.9444037919393797E-2</v>
      </c>
      <c r="K1770">
        <v>5.1047126452197701E-2</v>
      </c>
      <c r="L1770">
        <v>655.59401509735005</v>
      </c>
      <c r="M1770">
        <v>13.0026893375199</v>
      </c>
      <c r="N1770">
        <v>50.531494033732599</v>
      </c>
      <c r="O1770">
        <v>49.2720062452766</v>
      </c>
      <c r="P1770">
        <v>-6.5051620012327602E-2</v>
      </c>
      <c r="Q1770">
        <v>1.4155393834277901E-2</v>
      </c>
      <c r="R1770">
        <v>0.97851334209899299</v>
      </c>
      <c r="S1770" t="s">
        <v>8387</v>
      </c>
      <c r="T1770" t="s">
        <v>13232</v>
      </c>
      <c r="U1770" t="s">
        <v>13232</v>
      </c>
      <c r="V1770" t="s">
        <v>13232</v>
      </c>
      <c r="W1770" t="s">
        <v>14954</v>
      </c>
      <c r="X1770">
        <v>6</v>
      </c>
      <c r="Y1770" t="s">
        <v>21463</v>
      </c>
      <c r="Z1770" t="s">
        <v>27901</v>
      </c>
      <c r="AA1770">
        <v>0.38596627623393648</v>
      </c>
      <c r="AB1770" t="str">
        <f>HYPERLINK("Melting_Curves/meltCurve_P09132_SRP19.pdf", "Melting_Curves/meltCurve_P09132_SRP19.pdf")</f>
        <v>Melting_Curves/meltCurve_P09132_SRP19.pdf</v>
      </c>
    </row>
    <row r="1771" spans="1:28" x14ac:dyDescent="0.25">
      <c r="A1771" t="s">
        <v>1775</v>
      </c>
      <c r="B1771">
        <v>0.99930955844802105</v>
      </c>
      <c r="C1771">
        <v>1.13304563638758</v>
      </c>
      <c r="D1771">
        <v>1.0757743838817599</v>
      </c>
      <c r="E1771">
        <v>0.86812459517839302</v>
      </c>
      <c r="F1771">
        <v>0.18923164599449099</v>
      </c>
      <c r="G1771">
        <v>0.120274288371718</v>
      </c>
      <c r="H1771">
        <v>6.4237329104363694E-2</v>
      </c>
      <c r="I1771">
        <v>5.0943027753398401E-2</v>
      </c>
      <c r="J1771">
        <v>4.3084326239476299E-2</v>
      </c>
      <c r="K1771">
        <v>3.4369759190371801E-2</v>
      </c>
      <c r="L1771">
        <v>3218.8597363743502</v>
      </c>
      <c r="M1771">
        <v>62.568672909900698</v>
      </c>
      <c r="N1771">
        <v>51.554030247344102</v>
      </c>
      <c r="O1771">
        <v>51.392754595410899</v>
      </c>
      <c r="P1771">
        <v>-0.28554103356414001</v>
      </c>
      <c r="Q1771">
        <v>6.18477614501141E-2</v>
      </c>
      <c r="R1771">
        <v>0.98704917194405195</v>
      </c>
      <c r="S1771" t="s">
        <v>8388</v>
      </c>
      <c r="T1771" t="s">
        <v>13232</v>
      </c>
      <c r="U1771" t="s">
        <v>13232</v>
      </c>
      <c r="V1771" t="s">
        <v>13232</v>
      </c>
      <c r="W1771" t="s">
        <v>14955</v>
      </c>
      <c r="X1771">
        <v>15</v>
      </c>
      <c r="Y1771" t="s">
        <v>21464</v>
      </c>
      <c r="Z1771" t="s">
        <v>27902</v>
      </c>
      <c r="AA1771">
        <v>0.42111677787400398</v>
      </c>
      <c r="AB1771" t="str">
        <f>HYPERLINK("Melting_Curves/meltCurve_P09211_GSTP1.pdf", "Melting_Curves/meltCurve_P09211_GSTP1.pdf")</f>
        <v>Melting_Curves/meltCurve_P09211_GSTP1.pdf</v>
      </c>
    </row>
    <row r="1772" spans="1:28" x14ac:dyDescent="0.25">
      <c r="A1772" t="s">
        <v>1776</v>
      </c>
      <c r="B1772">
        <v>0.99930955844802105</v>
      </c>
      <c r="C1772">
        <v>0.94890205835243902</v>
      </c>
      <c r="D1772">
        <v>0.98017155164650305</v>
      </c>
      <c r="E1772">
        <v>1.0885098171588601</v>
      </c>
      <c r="F1772">
        <v>0.90481711528413999</v>
      </c>
      <c r="G1772">
        <v>0.64300388973716005</v>
      </c>
      <c r="H1772">
        <v>0.55609369202410097</v>
      </c>
      <c r="I1772">
        <v>0.523114421286762</v>
      </c>
      <c r="J1772">
        <v>0.508617033438577</v>
      </c>
      <c r="K1772">
        <v>0.40079148559002198</v>
      </c>
      <c r="L1772">
        <v>1751.39856829464</v>
      </c>
      <c r="M1772">
        <v>31.3777430564685</v>
      </c>
      <c r="N1772">
        <v>62.4474299974733</v>
      </c>
      <c r="O1772">
        <v>55.591353507467801</v>
      </c>
      <c r="P1772">
        <v>-7.3075743480393404E-2</v>
      </c>
      <c r="Q1772">
        <v>0.48213525457064699</v>
      </c>
      <c r="R1772">
        <v>0.95867640555369105</v>
      </c>
      <c r="S1772" t="s">
        <v>8389</v>
      </c>
      <c r="T1772" t="s">
        <v>13232</v>
      </c>
      <c r="U1772" t="s">
        <v>13232</v>
      </c>
      <c r="V1772" t="s">
        <v>13232</v>
      </c>
      <c r="W1772" t="s">
        <v>14956</v>
      </c>
      <c r="X1772">
        <v>6</v>
      </c>
      <c r="Y1772" t="s">
        <v>21465</v>
      </c>
      <c r="Z1772" t="s">
        <v>27903</v>
      </c>
      <c r="AA1772">
        <v>0.75833872303684402</v>
      </c>
      <c r="AB1772" t="str">
        <f>HYPERLINK("Melting_Curves/meltCurve_P09234_SNRPC.pdf", "Melting_Curves/meltCurve_P09234_SNRPC.pdf")</f>
        <v>Melting_Curves/meltCurve_P09234_SNRPC.pdf</v>
      </c>
    </row>
    <row r="1773" spans="1:28" x14ac:dyDescent="0.25">
      <c r="A1773" t="s">
        <v>1777</v>
      </c>
      <c r="B1773">
        <v>0.99930955844802105</v>
      </c>
      <c r="C1773">
        <v>1.0057078293274999</v>
      </c>
      <c r="D1773">
        <v>0.742167146044176</v>
      </c>
      <c r="E1773">
        <v>0.39530773234169098</v>
      </c>
      <c r="F1773">
        <v>0.25803075371713102</v>
      </c>
      <c r="G1773">
        <v>0.196945034844004</v>
      </c>
      <c r="H1773">
        <v>0.120133894048287</v>
      </c>
      <c r="I1773">
        <v>9.6013263590373293E-2</v>
      </c>
      <c r="J1773">
        <v>9.9457789161976798E-2</v>
      </c>
      <c r="K1773">
        <v>6.6601250831263795E-2</v>
      </c>
      <c r="L1773">
        <v>961.50816549921694</v>
      </c>
      <c r="M1773">
        <v>19.849558098671501</v>
      </c>
      <c r="N1773">
        <v>48.999176095083399</v>
      </c>
      <c r="O1773">
        <v>47.956170038616698</v>
      </c>
      <c r="P1773">
        <v>-9.2989625700698506E-2</v>
      </c>
      <c r="Q1773">
        <v>0.101385172418425</v>
      </c>
      <c r="R1773">
        <v>0.99157590070413704</v>
      </c>
      <c r="S1773" t="s">
        <v>8390</v>
      </c>
      <c r="T1773" t="s">
        <v>13232</v>
      </c>
      <c r="U1773" t="s">
        <v>13232</v>
      </c>
      <c r="V1773" t="s">
        <v>13232</v>
      </c>
      <c r="W1773" t="s">
        <v>14957</v>
      </c>
      <c r="X1773">
        <v>2</v>
      </c>
      <c r="Y1773" t="s">
        <v>21466</v>
      </c>
      <c r="Z1773" t="s">
        <v>27904</v>
      </c>
      <c r="AA1773">
        <v>0.36706129683884331</v>
      </c>
      <c r="AB1773" t="str">
        <f>HYPERLINK("Melting_Curves/meltCurve_P09327_VIL1.pdf", "Melting_Curves/meltCurve_P09327_VIL1.pdf")</f>
        <v>Melting_Curves/meltCurve_P09327_VIL1.pdf</v>
      </c>
    </row>
    <row r="1774" spans="1:28" x14ac:dyDescent="0.25">
      <c r="A1774" t="s">
        <v>1778</v>
      </c>
      <c r="B1774">
        <v>0.99930955844802105</v>
      </c>
      <c r="C1774">
        <v>0.91957133991358198</v>
      </c>
      <c r="D1774">
        <v>0.94200677978157099</v>
      </c>
      <c r="E1774">
        <v>0.87632403714330898</v>
      </c>
      <c r="F1774">
        <v>0.75142670951406099</v>
      </c>
      <c r="G1774">
        <v>0.58763453655367104</v>
      </c>
      <c r="H1774">
        <v>0.37639484627467401</v>
      </c>
      <c r="I1774">
        <v>0.28941585531813302</v>
      </c>
      <c r="J1774">
        <v>0.22513958257569899</v>
      </c>
      <c r="K1774">
        <v>0.17349948567767301</v>
      </c>
      <c r="L1774">
        <v>636.78350884066901</v>
      </c>
      <c r="M1774">
        <v>10.957678586824001</v>
      </c>
      <c r="N1774">
        <v>58.536384819470697</v>
      </c>
      <c r="O1774">
        <v>56.278088637965901</v>
      </c>
      <c r="P1774">
        <v>-4.68380101472715E-2</v>
      </c>
      <c r="Q1774">
        <v>3.8098682954370099E-2</v>
      </c>
      <c r="R1774">
        <v>0.99484241858919997</v>
      </c>
      <c r="S1774" t="s">
        <v>8391</v>
      </c>
      <c r="T1774" t="s">
        <v>13232</v>
      </c>
      <c r="U1774" t="s">
        <v>13232</v>
      </c>
      <c r="V1774" t="s">
        <v>13232</v>
      </c>
      <c r="W1774" t="s">
        <v>14958</v>
      </c>
      <c r="X1774">
        <v>8</v>
      </c>
      <c r="Y1774" t="s">
        <v>21467</v>
      </c>
      <c r="Z1774" t="s">
        <v>27905</v>
      </c>
      <c r="AA1774">
        <v>0.62942099251333361</v>
      </c>
      <c r="AB1774" t="str">
        <f>HYPERLINK("Melting_Curves/meltCurve_P09382_LGALS1.pdf", "Melting_Curves/meltCurve_P09382_LGALS1.pdf")</f>
        <v>Melting_Curves/meltCurve_P09382_LGALS1.pdf</v>
      </c>
    </row>
    <row r="1775" spans="1:28" x14ac:dyDescent="0.25">
      <c r="A1775" t="s">
        <v>1779</v>
      </c>
      <c r="B1775">
        <v>0.99930955844802105</v>
      </c>
      <c r="C1775">
        <v>1.0874062748412501</v>
      </c>
      <c r="D1775">
        <v>1.11623901370059</v>
      </c>
      <c r="E1775">
        <v>1.07320410093917</v>
      </c>
      <c r="F1775">
        <v>0.98895809007028901</v>
      </c>
      <c r="G1775">
        <v>0.769095098736158</v>
      </c>
      <c r="H1775">
        <v>0.107961414068263</v>
      </c>
      <c r="I1775">
        <v>8.7907456878117102E-2</v>
      </c>
      <c r="J1775">
        <v>6.99941810757366E-2</v>
      </c>
      <c r="K1775">
        <v>5.8051127871169499E-2</v>
      </c>
      <c r="L1775">
        <v>3666.3466078749202</v>
      </c>
      <c r="M1775">
        <v>63.216702916317303</v>
      </c>
      <c r="N1775">
        <v>58.136142143388597</v>
      </c>
      <c r="O1775">
        <v>57.9385329680212</v>
      </c>
      <c r="P1775">
        <v>-0.25356012441176701</v>
      </c>
      <c r="Q1775">
        <v>7.0442079525511098E-2</v>
      </c>
      <c r="R1775">
        <v>0.987356224791197</v>
      </c>
      <c r="S1775" t="s">
        <v>8392</v>
      </c>
      <c r="T1775" t="s">
        <v>13232</v>
      </c>
      <c r="U1775" t="s">
        <v>13232</v>
      </c>
      <c r="V1775" t="s">
        <v>13232</v>
      </c>
      <c r="W1775" t="s">
        <v>14959</v>
      </c>
      <c r="X1775">
        <v>13</v>
      </c>
      <c r="Y1775" t="s">
        <v>21468</v>
      </c>
      <c r="Z1775" t="s">
        <v>27906</v>
      </c>
      <c r="AA1775">
        <v>0.6295516045782017</v>
      </c>
      <c r="AB1775" t="str">
        <f>HYPERLINK("Melting_Curves/meltCurve_P09417_QDPR.pdf", "Melting_Curves/meltCurve_P09417_QDPR.pdf")</f>
        <v>Melting_Curves/meltCurve_P09417_QDPR.pdf</v>
      </c>
    </row>
    <row r="1776" spans="1:28" x14ac:dyDescent="0.25">
      <c r="A1776" t="s">
        <v>1780</v>
      </c>
      <c r="B1776">
        <v>0.99930955844802105</v>
      </c>
      <c r="C1776">
        <v>1.05748569795257</v>
      </c>
      <c r="D1776">
        <v>1.05610360664144</v>
      </c>
      <c r="E1776">
        <v>0.96874300384835998</v>
      </c>
      <c r="F1776">
        <v>0.716499535896711</v>
      </c>
      <c r="G1776">
        <v>0.52544368856847101</v>
      </c>
      <c r="H1776">
        <v>0.49746804144108597</v>
      </c>
      <c r="I1776">
        <v>0.55491761766165204</v>
      </c>
      <c r="J1776">
        <v>0.66079100247042</v>
      </c>
      <c r="K1776">
        <v>0.53270609450984396</v>
      </c>
      <c r="L1776">
        <v>3097.4938718989702</v>
      </c>
      <c r="M1776">
        <v>59.028328899162503</v>
      </c>
      <c r="O1776">
        <v>52.414575505605796</v>
      </c>
      <c r="P1776">
        <v>-0.12562665326885</v>
      </c>
      <c r="Q1776">
        <v>0.55379629718791701</v>
      </c>
      <c r="R1776">
        <v>0.95521143881665205</v>
      </c>
      <c r="S1776" t="s">
        <v>8393</v>
      </c>
      <c r="T1776" t="s">
        <v>13232</v>
      </c>
      <c r="U1776" t="s">
        <v>13232</v>
      </c>
      <c r="V1776" t="s">
        <v>13232</v>
      </c>
      <c r="W1776" t="s">
        <v>14960</v>
      </c>
      <c r="X1776">
        <v>21</v>
      </c>
      <c r="Y1776" t="s">
        <v>21469</v>
      </c>
      <c r="Z1776" t="s">
        <v>27907</v>
      </c>
      <c r="AA1776">
        <v>0.7400780716128661</v>
      </c>
      <c r="AB1776" t="str">
        <f>HYPERLINK("Melting_Curves/meltCurve_P09429_HMGB1.pdf", "Melting_Curves/meltCurve_P09429_HMGB1.pdf")</f>
        <v>Melting_Curves/meltCurve_P09429_HMGB1.pdf</v>
      </c>
    </row>
    <row r="1777" spans="1:28" x14ac:dyDescent="0.25">
      <c r="A1777" t="s">
        <v>1781</v>
      </c>
      <c r="B1777">
        <v>0.99930955844802105</v>
      </c>
      <c r="C1777">
        <v>0.96630306910294195</v>
      </c>
      <c r="D1777">
        <v>0.98095740686931499</v>
      </c>
      <c r="E1777">
        <v>1.07915865046718</v>
      </c>
      <c r="F1777">
        <v>0.99685069627824596</v>
      </c>
      <c r="G1777">
        <v>0.88776176053559996</v>
      </c>
      <c r="H1777">
        <v>0.94464225366403298</v>
      </c>
      <c r="I1777">
        <v>1.01886923334277</v>
      </c>
      <c r="J1777">
        <v>1.14759333504476</v>
      </c>
      <c r="K1777">
        <v>0.887763644392218</v>
      </c>
      <c r="L1777">
        <v>15000</v>
      </c>
      <c r="M1777">
        <v>212.21748775293599</v>
      </c>
      <c r="Q1777">
        <v>0</v>
      </c>
      <c r="R1777">
        <v>0.20523741763573999</v>
      </c>
      <c r="S1777" t="s">
        <v>8394</v>
      </c>
      <c r="T1777" t="s">
        <v>13232</v>
      </c>
      <c r="U1777" t="s">
        <v>13232</v>
      </c>
      <c r="V1777" t="s">
        <v>13232</v>
      </c>
      <c r="W1777" t="s">
        <v>14961</v>
      </c>
      <c r="X1777">
        <v>13</v>
      </c>
      <c r="Y1777" t="s">
        <v>21470</v>
      </c>
      <c r="Z1777" t="s">
        <v>27908</v>
      </c>
      <c r="AA1777">
        <v>0.9987161254348319</v>
      </c>
      <c r="AB1777" t="str">
        <f>HYPERLINK("Melting_Curves/meltCurve_P09496_2_CLTA.pdf", "Melting_Curves/meltCurve_P09496_2_CLTA.pdf")</f>
        <v>Melting_Curves/meltCurve_P09496_2_CLTA.pdf</v>
      </c>
    </row>
    <row r="1778" spans="1:28" x14ac:dyDescent="0.25">
      <c r="A1778" t="s">
        <v>1782</v>
      </c>
      <c r="B1778">
        <v>0.99930955844802105</v>
      </c>
      <c r="C1778">
        <v>1.0668243828703201</v>
      </c>
      <c r="D1778">
        <v>1.07899898966898</v>
      </c>
      <c r="E1778">
        <v>1.02899814925801</v>
      </c>
      <c r="F1778">
        <v>1.1082610776244901</v>
      </c>
      <c r="G1778">
        <v>0.99506801839191095</v>
      </c>
      <c r="H1778">
        <v>1.15976220269448</v>
      </c>
      <c r="I1778">
        <v>1.23611799695813</v>
      </c>
      <c r="J1778">
        <v>1.2878707884398599</v>
      </c>
      <c r="K1778">
        <v>1.06404543561438</v>
      </c>
      <c r="L1778">
        <v>339.07729165892101</v>
      </c>
      <c r="M1778">
        <v>5.6335620133196498</v>
      </c>
      <c r="O1778">
        <v>53.889446038273903</v>
      </c>
      <c r="P1778">
        <v>7.1309262924688904E-3</v>
      </c>
      <c r="Q1778">
        <v>1.27175139380805</v>
      </c>
      <c r="R1778">
        <v>0.37478667886107198</v>
      </c>
      <c r="S1778" t="s">
        <v>8395</v>
      </c>
      <c r="T1778" t="s">
        <v>13232</v>
      </c>
      <c r="U1778" t="s">
        <v>13232</v>
      </c>
      <c r="V1778" t="s">
        <v>13232</v>
      </c>
      <c r="W1778" t="s">
        <v>14962</v>
      </c>
      <c r="X1778">
        <v>13</v>
      </c>
      <c r="Y1778" t="s">
        <v>21471</v>
      </c>
      <c r="Z1778" t="s">
        <v>27909</v>
      </c>
      <c r="AA1778">
        <v>1.100053334299367</v>
      </c>
      <c r="AB1778" t="str">
        <f>HYPERLINK("Melting_Curves/meltCurve_P09497_2_CLTB.pdf", "Melting_Curves/meltCurve_P09497_2_CLTB.pdf")</f>
        <v>Melting_Curves/meltCurve_P09497_2_CLTB.pdf</v>
      </c>
    </row>
    <row r="1779" spans="1:28" x14ac:dyDescent="0.25">
      <c r="A1779" t="s">
        <v>1783</v>
      </c>
      <c r="B1779">
        <v>0.99930955844802105</v>
      </c>
      <c r="C1779">
        <v>1.17947933981171</v>
      </c>
      <c r="D1779">
        <v>1.0707231119562199</v>
      </c>
      <c r="E1779">
        <v>0.67790460690953303</v>
      </c>
      <c r="F1779">
        <v>0.162709981823183</v>
      </c>
      <c r="G1779">
        <v>0.12736393301624899</v>
      </c>
      <c r="H1779">
        <v>7.4065385943517997E-2</v>
      </c>
      <c r="I1779">
        <v>6.7089932076132397E-2</v>
      </c>
      <c r="J1779">
        <v>6.3043493283303401E-2</v>
      </c>
      <c r="K1779">
        <v>4.7166356739505103E-2</v>
      </c>
      <c r="L1779">
        <v>2621.2979936499701</v>
      </c>
      <c r="M1779">
        <v>51.780448474609301</v>
      </c>
      <c r="N1779">
        <v>50.784385940297902</v>
      </c>
      <c r="O1779">
        <v>50.5479803268586</v>
      </c>
      <c r="P1779">
        <v>-0.236701759059709</v>
      </c>
      <c r="Q1779">
        <v>7.5729368536285799E-2</v>
      </c>
      <c r="R1779">
        <v>0.97985033089571305</v>
      </c>
      <c r="S1779" t="s">
        <v>8396</v>
      </c>
      <c r="T1779" t="s">
        <v>13232</v>
      </c>
      <c r="U1779" t="s">
        <v>13232</v>
      </c>
      <c r="V1779" t="s">
        <v>13232</v>
      </c>
      <c r="W1779" t="s">
        <v>14963</v>
      </c>
      <c r="X1779">
        <v>21</v>
      </c>
      <c r="Y1779" t="s">
        <v>21472</v>
      </c>
      <c r="Z1779" t="s">
        <v>27910</v>
      </c>
      <c r="AA1779">
        <v>0.40494699685540342</v>
      </c>
      <c r="AB1779" t="str">
        <f>HYPERLINK("Melting_Curves/meltCurve_P09525_ANXA4.pdf", "Melting_Curves/meltCurve_P09525_ANXA4.pdf")</f>
        <v>Melting_Curves/meltCurve_P09525_ANXA4.pdf</v>
      </c>
    </row>
    <row r="1780" spans="1:28" x14ac:dyDescent="0.25">
      <c r="A1780" t="s">
        <v>1784</v>
      </c>
      <c r="B1780">
        <v>0.99930955844802105</v>
      </c>
      <c r="C1780">
        <v>0.97913444645366998</v>
      </c>
      <c r="D1780">
        <v>0.87046949883055103</v>
      </c>
      <c r="E1780">
        <v>0.61876020262586695</v>
      </c>
      <c r="F1780">
        <v>0.33390663409170301</v>
      </c>
      <c r="G1780">
        <v>0.215376990847684</v>
      </c>
      <c r="H1780">
        <v>0.12534737475771199</v>
      </c>
      <c r="I1780">
        <v>0.122269722800257</v>
      </c>
      <c r="J1780">
        <v>0.109286931014</v>
      </c>
      <c r="K1780">
        <v>8.3072429352801E-2</v>
      </c>
      <c r="L1780">
        <v>966.08443204395405</v>
      </c>
      <c r="M1780">
        <v>19.098460001986201</v>
      </c>
      <c r="N1780">
        <v>51.1597169190496</v>
      </c>
      <c r="O1780">
        <v>50.039617443451696</v>
      </c>
      <c r="P1780">
        <v>-8.6199494615074299E-2</v>
      </c>
      <c r="Q1780">
        <v>9.6634749570455994E-2</v>
      </c>
      <c r="R1780">
        <v>0.99805642143084805</v>
      </c>
      <c r="S1780" t="s">
        <v>8397</v>
      </c>
      <c r="T1780" t="s">
        <v>13232</v>
      </c>
      <c r="U1780" t="s">
        <v>13232</v>
      </c>
      <c r="V1780" t="s">
        <v>13232</v>
      </c>
      <c r="W1780" t="s">
        <v>14964</v>
      </c>
      <c r="X1780">
        <v>14</v>
      </c>
      <c r="Y1780" t="s">
        <v>21473</v>
      </c>
      <c r="Z1780" t="s">
        <v>27911</v>
      </c>
      <c r="AA1780">
        <v>0.42905247633315469</v>
      </c>
      <c r="AB1780" t="str">
        <f>HYPERLINK("Melting_Curves/meltCurve_P09543_2_CNP.pdf", "Melting_Curves/meltCurve_P09543_2_CNP.pdf")</f>
        <v>Melting_Curves/meltCurve_P09543_2_CNP.pdf</v>
      </c>
    </row>
    <row r="1781" spans="1:28" x14ac:dyDescent="0.25">
      <c r="A1781" t="s">
        <v>1785</v>
      </c>
      <c r="B1781">
        <v>0.99930955844802105</v>
      </c>
      <c r="C1781">
        <v>1.0212879747741199</v>
      </c>
      <c r="D1781">
        <v>0.90608405053310703</v>
      </c>
      <c r="E1781">
        <v>0.86044892392574102</v>
      </c>
      <c r="F1781">
        <v>0.79438386768624603</v>
      </c>
      <c r="G1781">
        <v>0.67690805426969902</v>
      </c>
      <c r="H1781">
        <v>0.59324491446904204</v>
      </c>
      <c r="I1781">
        <v>0.60430042412219098</v>
      </c>
      <c r="J1781">
        <v>0.54484713633888104</v>
      </c>
      <c r="K1781">
        <v>0.30072716210192801</v>
      </c>
      <c r="L1781">
        <v>402.12818716395401</v>
      </c>
      <c r="M1781">
        <v>6.1463151387943604</v>
      </c>
      <c r="N1781">
        <v>65.425897960960896</v>
      </c>
      <c r="O1781">
        <v>59.516435217777001</v>
      </c>
      <c r="P1781">
        <v>-2.5894427487565999E-2</v>
      </c>
      <c r="Q1781">
        <v>0</v>
      </c>
      <c r="R1781">
        <v>0.94020941533789104</v>
      </c>
      <c r="S1781" t="s">
        <v>8398</v>
      </c>
      <c r="T1781" t="s">
        <v>13232</v>
      </c>
      <c r="U1781" t="s">
        <v>13232</v>
      </c>
      <c r="V1781" t="s">
        <v>13232</v>
      </c>
      <c r="W1781" t="s">
        <v>14965</v>
      </c>
      <c r="X1781">
        <v>24</v>
      </c>
      <c r="Y1781" t="s">
        <v>21474</v>
      </c>
      <c r="Z1781" t="s">
        <v>27912</v>
      </c>
      <c r="AA1781">
        <v>0.73603695640141598</v>
      </c>
      <c r="AB1781" t="str">
        <f>HYPERLINK("Melting_Curves/meltCurve_P09622_DLD.pdf", "Melting_Curves/meltCurve_P09622_DLD.pdf")</f>
        <v>Melting_Curves/meltCurve_P09622_DLD.pdf</v>
      </c>
    </row>
    <row r="1782" spans="1:28" x14ac:dyDescent="0.25">
      <c r="A1782" t="s">
        <v>1786</v>
      </c>
      <c r="B1782">
        <v>0.99930955844802105</v>
      </c>
      <c r="C1782">
        <v>1.0476967408898401</v>
      </c>
      <c r="D1782">
        <v>1.0473333904112101</v>
      </c>
      <c r="E1782">
        <v>1.0172211165498599</v>
      </c>
      <c r="F1782">
        <v>0.67917445226220996</v>
      </c>
      <c r="G1782">
        <v>0.32304095755024498</v>
      </c>
      <c r="H1782">
        <v>0.166698230333576</v>
      </c>
      <c r="I1782">
        <v>0.13612224260018699</v>
      </c>
      <c r="J1782">
        <v>0.117021742554342</v>
      </c>
      <c r="K1782">
        <v>9.22718397467783E-2</v>
      </c>
      <c r="L1782">
        <v>1609.7112108236399</v>
      </c>
      <c r="M1782">
        <v>29.587409367174299</v>
      </c>
      <c r="N1782">
        <v>54.904749563532498</v>
      </c>
      <c r="O1782">
        <v>54.158562630235103</v>
      </c>
      <c r="P1782">
        <v>-0.12046383609662201</v>
      </c>
      <c r="Q1782">
        <v>0.117989258048962</v>
      </c>
      <c r="R1782">
        <v>0.99145586315573697</v>
      </c>
      <c r="S1782" t="s">
        <v>8399</v>
      </c>
      <c r="T1782" t="s">
        <v>13232</v>
      </c>
      <c r="U1782" t="s">
        <v>13232</v>
      </c>
      <c r="V1782" t="s">
        <v>13232</v>
      </c>
      <c r="W1782" t="s">
        <v>14966</v>
      </c>
      <c r="X1782">
        <v>24</v>
      </c>
      <c r="Y1782" t="s">
        <v>21475</v>
      </c>
      <c r="Z1782" t="s">
        <v>27913</v>
      </c>
      <c r="AA1782">
        <v>0.54748481305329355</v>
      </c>
      <c r="AB1782" t="str">
        <f>HYPERLINK("Melting_Curves/meltCurve_P09651_3_HNRNPA1.pdf", "Melting_Curves/meltCurve_P09651_3_HNRNPA1.pdf")</f>
        <v>Melting_Curves/meltCurve_P09651_3_HNRNPA1.pdf</v>
      </c>
    </row>
    <row r="1783" spans="1:28" x14ac:dyDescent="0.25">
      <c r="A1783" t="s">
        <v>1787</v>
      </c>
      <c r="B1783">
        <v>0.99930955844802105</v>
      </c>
      <c r="C1783">
        <v>0.84468739069992405</v>
      </c>
      <c r="D1783">
        <v>0.95064515602196697</v>
      </c>
      <c r="E1783">
        <v>1.12143135354997</v>
      </c>
      <c r="F1783">
        <v>1.18525039989349</v>
      </c>
      <c r="G1783">
        <v>0.77432128413659995</v>
      </c>
      <c r="H1783">
        <v>0.28830319365025697</v>
      </c>
      <c r="I1783">
        <v>0.23792013908649801</v>
      </c>
      <c r="J1783">
        <v>0.20787842321070399</v>
      </c>
      <c r="K1783">
        <v>0.17367663635776501</v>
      </c>
      <c r="L1783">
        <v>3000.68795062557</v>
      </c>
      <c r="M1783">
        <v>51.635380725011103</v>
      </c>
      <c r="N1783">
        <v>58.725515659787703</v>
      </c>
      <c r="O1783">
        <v>58.026054516479199</v>
      </c>
      <c r="P1783">
        <v>-0.17614859904879801</v>
      </c>
      <c r="Q1783">
        <v>0.20820179591749699</v>
      </c>
      <c r="R1783">
        <v>0.946354795194704</v>
      </c>
      <c r="S1783" t="s">
        <v>8400</v>
      </c>
      <c r="T1783" t="s">
        <v>13232</v>
      </c>
      <c r="U1783" t="s">
        <v>13232</v>
      </c>
      <c r="V1783" t="s">
        <v>13232</v>
      </c>
      <c r="W1783" t="s">
        <v>14967</v>
      </c>
      <c r="X1783">
        <v>19</v>
      </c>
      <c r="Y1783" t="s">
        <v>21476</v>
      </c>
      <c r="Z1783" t="s">
        <v>27914</v>
      </c>
      <c r="AA1783">
        <v>0.68815915282860263</v>
      </c>
      <c r="AB1783" t="str">
        <f>HYPERLINK("Melting_Curves/meltCurve_P09661_SNRPA1.pdf", "Melting_Curves/meltCurve_P09661_SNRPA1.pdf")</f>
        <v>Melting_Curves/meltCurve_P09661_SNRPA1.pdf</v>
      </c>
    </row>
    <row r="1784" spans="1:28" x14ac:dyDescent="0.25">
      <c r="A1784" t="s">
        <v>1788</v>
      </c>
      <c r="B1784">
        <v>0.99930955844802105</v>
      </c>
      <c r="C1784">
        <v>1.0705741747936799</v>
      </c>
      <c r="D1784">
        <v>1.06671838322752</v>
      </c>
      <c r="E1784">
        <v>1.0578276973062399</v>
      </c>
      <c r="F1784">
        <v>0.97930115886285796</v>
      </c>
      <c r="G1784">
        <v>0.86772191939343601</v>
      </c>
      <c r="H1784">
        <v>0.86470485120889495</v>
      </c>
      <c r="I1784">
        <v>0.83008185044641003</v>
      </c>
      <c r="J1784">
        <v>0.70333733564037204</v>
      </c>
      <c r="K1784">
        <v>0.38232948331065197</v>
      </c>
      <c r="L1784">
        <v>1237.02995813299</v>
      </c>
      <c r="M1784">
        <v>17.9158739211389</v>
      </c>
      <c r="N1784">
        <v>69.046587638489797</v>
      </c>
      <c r="O1784">
        <v>68.203590077075802</v>
      </c>
      <c r="P1784">
        <v>-6.5673867530502195E-2</v>
      </c>
      <c r="Q1784">
        <v>0</v>
      </c>
      <c r="R1784">
        <v>0.91059308891544999</v>
      </c>
      <c r="S1784" t="s">
        <v>8401</v>
      </c>
      <c r="T1784" t="s">
        <v>13232</v>
      </c>
      <c r="U1784" t="s">
        <v>13232</v>
      </c>
      <c r="V1784" t="s">
        <v>13232</v>
      </c>
      <c r="W1784" t="s">
        <v>14968</v>
      </c>
      <c r="X1784">
        <v>8</v>
      </c>
      <c r="Y1784" t="s">
        <v>21477</v>
      </c>
      <c r="Z1784" t="s">
        <v>27915</v>
      </c>
      <c r="AA1784">
        <v>0.90412177241838299</v>
      </c>
      <c r="AB1784" t="str">
        <f>HYPERLINK("Melting_Curves/meltCurve_P09668_CTSH.pdf", "Melting_Curves/meltCurve_P09668_CTSH.pdf")</f>
        <v>Melting_Curves/meltCurve_P09668_CTSH.pdf</v>
      </c>
    </row>
    <row r="1785" spans="1:28" x14ac:dyDescent="0.25">
      <c r="A1785" t="s">
        <v>1789</v>
      </c>
      <c r="B1785">
        <v>0.99930955844802105</v>
      </c>
      <c r="C1785">
        <v>0.93824096886015895</v>
      </c>
      <c r="D1785">
        <v>0.82513272886817401</v>
      </c>
      <c r="E1785">
        <v>0.66109266078065998</v>
      </c>
      <c r="F1785">
        <v>0.236054764468655</v>
      </c>
      <c r="G1785">
        <v>0.15938617046530901</v>
      </c>
      <c r="H1785">
        <v>0.10387118319479299</v>
      </c>
      <c r="I1785">
        <v>9.4757137710754696E-2</v>
      </c>
      <c r="J1785">
        <v>8.5136153549806096E-2</v>
      </c>
      <c r="K1785">
        <v>6.90516245621281E-2</v>
      </c>
      <c r="L1785">
        <v>1045.3707740416301</v>
      </c>
      <c r="M1785">
        <v>20.753484612670501</v>
      </c>
      <c r="N1785">
        <v>50.756308141458298</v>
      </c>
      <c r="O1785">
        <v>49.9101724984301</v>
      </c>
      <c r="P1785">
        <v>-9.6377935924183297E-2</v>
      </c>
      <c r="Q1785">
        <v>7.2906695474807104E-2</v>
      </c>
      <c r="R1785">
        <v>0.98536978517156104</v>
      </c>
      <c r="S1785" t="s">
        <v>8402</v>
      </c>
      <c r="T1785" t="s">
        <v>13232</v>
      </c>
      <c r="U1785" t="s">
        <v>13232</v>
      </c>
      <c r="V1785" t="s">
        <v>13232</v>
      </c>
      <c r="W1785" t="s">
        <v>14969</v>
      </c>
      <c r="X1785">
        <v>46</v>
      </c>
      <c r="Y1785" t="s">
        <v>21478</v>
      </c>
      <c r="Z1785" t="s">
        <v>27916</v>
      </c>
      <c r="AA1785">
        <v>0.4054009382414302</v>
      </c>
      <c r="AB1785" t="str">
        <f>HYPERLINK("Melting_Curves/meltCurve_P09874_PARP1.pdf", "Melting_Curves/meltCurve_P09874_PARP1.pdf")</f>
        <v>Melting_Curves/meltCurve_P09874_PARP1.pdf</v>
      </c>
    </row>
    <row r="1786" spans="1:28" x14ac:dyDescent="0.25">
      <c r="A1786" t="s">
        <v>1790</v>
      </c>
      <c r="B1786">
        <v>0.99930955844802105</v>
      </c>
      <c r="C1786">
        <v>0.71695928874265102</v>
      </c>
      <c r="D1786">
        <v>0.77448936195152296</v>
      </c>
      <c r="E1786">
        <v>0.80464052471486502</v>
      </c>
      <c r="F1786">
        <v>0.244151238537199</v>
      </c>
      <c r="G1786">
        <v>0.15761632207620399</v>
      </c>
      <c r="H1786">
        <v>9.68733031628988E-2</v>
      </c>
      <c r="I1786">
        <v>9.0745754462561598E-2</v>
      </c>
      <c r="J1786">
        <v>8.0063680393507697E-2</v>
      </c>
      <c r="K1786">
        <v>5.8759411999526001E-2</v>
      </c>
      <c r="L1786">
        <v>637.18292702530005</v>
      </c>
      <c r="M1786">
        <v>12.4994768694442</v>
      </c>
      <c r="N1786">
        <v>51.0065884920743</v>
      </c>
      <c r="O1786">
        <v>49.724740052173203</v>
      </c>
      <c r="P1786">
        <v>-6.26273212062817E-2</v>
      </c>
      <c r="Q1786">
        <v>3.6425879069761002E-3</v>
      </c>
      <c r="R1786">
        <v>0.90128939187148205</v>
      </c>
      <c r="S1786" t="s">
        <v>8403</v>
      </c>
      <c r="T1786" t="s">
        <v>13232</v>
      </c>
      <c r="U1786" t="s">
        <v>13232</v>
      </c>
      <c r="V1786" t="s">
        <v>13232</v>
      </c>
      <c r="W1786" t="s">
        <v>14970</v>
      </c>
      <c r="X1786">
        <v>24</v>
      </c>
      <c r="Y1786" t="s">
        <v>21479</v>
      </c>
      <c r="Z1786" t="s">
        <v>27917</v>
      </c>
      <c r="AA1786">
        <v>0.39886846585471658</v>
      </c>
      <c r="AB1786" t="str">
        <f>HYPERLINK("Melting_Curves/meltCurve_P09884_POLA1.pdf", "Melting_Curves/meltCurve_P09884_POLA1.pdf")</f>
        <v>Melting_Curves/meltCurve_P09884_POLA1.pdf</v>
      </c>
    </row>
    <row r="1787" spans="1:28" x14ac:dyDescent="0.25">
      <c r="A1787" t="s">
        <v>1791</v>
      </c>
      <c r="B1787">
        <v>0.99930955844802105</v>
      </c>
      <c r="C1787">
        <v>0.96687310651745095</v>
      </c>
      <c r="D1787">
        <v>0.92236747626086801</v>
      </c>
      <c r="E1787">
        <v>0.89710180333341805</v>
      </c>
      <c r="F1787">
        <v>0.75323515180265099</v>
      </c>
      <c r="G1787">
        <v>0.51178063382468797</v>
      </c>
      <c r="H1787">
        <v>0.27459274022484298</v>
      </c>
      <c r="I1787">
        <v>9.3813416350186002E-2</v>
      </c>
      <c r="J1787">
        <v>5.6362186123214503E-2</v>
      </c>
      <c r="K1787">
        <v>5.1735821286588601E-2</v>
      </c>
      <c r="L1787">
        <v>918.15723432490995</v>
      </c>
      <c r="M1787">
        <v>16.154314544942501</v>
      </c>
      <c r="N1787">
        <v>56.836657023838399</v>
      </c>
      <c r="O1787">
        <v>55.987098715875803</v>
      </c>
      <c r="P1787">
        <v>-7.2139552666492898E-2</v>
      </c>
      <c r="Q1787">
        <v>0</v>
      </c>
      <c r="R1787">
        <v>0.99450982204358396</v>
      </c>
      <c r="S1787" t="s">
        <v>8404</v>
      </c>
      <c r="T1787" t="s">
        <v>13232</v>
      </c>
      <c r="U1787" t="s">
        <v>13232</v>
      </c>
      <c r="V1787" t="s">
        <v>13232</v>
      </c>
      <c r="W1787" t="s">
        <v>14971</v>
      </c>
      <c r="X1787">
        <v>4</v>
      </c>
      <c r="Y1787" t="s">
        <v>21480</v>
      </c>
      <c r="Z1787" t="s">
        <v>27918</v>
      </c>
      <c r="AA1787">
        <v>0.57656058340020988</v>
      </c>
      <c r="AB1787" t="str">
        <f>HYPERLINK("Melting_Curves/meltCurve_P09917_ALOX5.pdf", "Melting_Curves/meltCurve_P09917_ALOX5.pdf")</f>
        <v>Melting_Curves/meltCurve_P09917_ALOX5.pdf</v>
      </c>
    </row>
    <row r="1788" spans="1:28" x14ac:dyDescent="0.25">
      <c r="A1788" t="s">
        <v>1792</v>
      </c>
      <c r="B1788">
        <v>0.99930955844802105</v>
      </c>
      <c r="C1788">
        <v>1.1013460727533599</v>
      </c>
      <c r="D1788">
        <v>1.1186553864574</v>
      </c>
      <c r="E1788">
        <v>1.0655097970262899</v>
      </c>
      <c r="F1788">
        <v>0.97225413084273604</v>
      </c>
      <c r="G1788">
        <v>0.74996924648230701</v>
      </c>
      <c r="H1788">
        <v>0.34577553417794399</v>
      </c>
      <c r="I1788">
        <v>0.11936035918383001</v>
      </c>
      <c r="J1788">
        <v>8.7597726778112894E-2</v>
      </c>
      <c r="K1788">
        <v>6.6830303760487694E-2</v>
      </c>
      <c r="L1788">
        <v>1733.73441819749</v>
      </c>
      <c r="M1788">
        <v>29.316797068262002</v>
      </c>
      <c r="N1788">
        <v>59.358631167141702</v>
      </c>
      <c r="O1788">
        <v>58.864831201653203</v>
      </c>
      <c r="P1788">
        <v>-0.118080453563678</v>
      </c>
      <c r="Q1788">
        <v>5.1638059419808799E-2</v>
      </c>
      <c r="R1788">
        <v>0.98359983674447105</v>
      </c>
      <c r="S1788" t="s">
        <v>8405</v>
      </c>
      <c r="T1788" t="s">
        <v>13232</v>
      </c>
      <c r="U1788" t="s">
        <v>13232</v>
      </c>
      <c r="V1788" t="s">
        <v>13232</v>
      </c>
      <c r="W1788" t="s">
        <v>14972</v>
      </c>
      <c r="X1788">
        <v>36</v>
      </c>
      <c r="Y1788" t="s">
        <v>21481</v>
      </c>
      <c r="Z1788" t="s">
        <v>27919</v>
      </c>
      <c r="AA1788">
        <v>0.66287552390059246</v>
      </c>
      <c r="AB1788" t="str">
        <f>HYPERLINK("Melting_Curves/meltCurve_P09960_LTA4H.pdf", "Melting_Curves/meltCurve_P09960_LTA4H.pdf")</f>
        <v>Melting_Curves/meltCurve_P09960_LTA4H.pdf</v>
      </c>
    </row>
    <row r="1789" spans="1:28" x14ac:dyDescent="0.25">
      <c r="A1789" t="s">
        <v>1793</v>
      </c>
      <c r="B1789">
        <v>0.99930955844802105</v>
      </c>
      <c r="C1789">
        <v>1.0207599508879499</v>
      </c>
      <c r="D1789">
        <v>1.00047630302121</v>
      </c>
      <c r="E1789">
        <v>1.0324319877144199</v>
      </c>
      <c r="F1789">
        <v>1.1061031774780301</v>
      </c>
      <c r="G1789">
        <v>0.88060596713080397</v>
      </c>
      <c r="H1789">
        <v>0.48739592279493099</v>
      </c>
      <c r="I1789">
        <v>0.27252038873866502</v>
      </c>
      <c r="J1789">
        <v>0.128424206853432</v>
      </c>
      <c r="K1789">
        <v>9.4265296411487107E-2</v>
      </c>
      <c r="L1789">
        <v>1867.5016008739799</v>
      </c>
      <c r="M1789">
        <v>30.790459289481401</v>
      </c>
      <c r="N1789">
        <v>61.042903434390901</v>
      </c>
      <c r="O1789">
        <v>60.397840337103197</v>
      </c>
      <c r="P1789">
        <v>-0.1160441499335</v>
      </c>
      <c r="Q1789">
        <v>8.9487453929271904E-2</v>
      </c>
      <c r="R1789">
        <v>0.98895826320175795</v>
      </c>
      <c r="S1789" t="s">
        <v>8406</v>
      </c>
      <c r="T1789" t="s">
        <v>13232</v>
      </c>
      <c r="U1789" t="s">
        <v>13232</v>
      </c>
      <c r="V1789" t="s">
        <v>13232</v>
      </c>
      <c r="W1789" t="s">
        <v>14973</v>
      </c>
      <c r="X1789">
        <v>32</v>
      </c>
      <c r="Y1789" t="s">
        <v>21482</v>
      </c>
      <c r="Z1789" t="s">
        <v>27920</v>
      </c>
      <c r="AA1789">
        <v>0.72136319249498704</v>
      </c>
      <c r="AB1789" t="str">
        <f>HYPERLINK("Melting_Curves/meltCurve_P09972_ALDOC.pdf", "Melting_Curves/meltCurve_P09972_ALDOC.pdf")</f>
        <v>Melting_Curves/meltCurve_P09972_ALDOC.pdf</v>
      </c>
    </row>
    <row r="1790" spans="1:28" x14ac:dyDescent="0.25">
      <c r="A1790" t="s">
        <v>1794</v>
      </c>
      <c r="B1790">
        <v>0.99930955844802105</v>
      </c>
      <c r="C1790">
        <v>1.1740883908689399</v>
      </c>
      <c r="D1790">
        <v>1.08392004008578</v>
      </c>
      <c r="E1790">
        <v>0.95740940068739899</v>
      </c>
      <c r="F1790">
        <v>0.81944396785762796</v>
      </c>
      <c r="G1790">
        <v>0.79511376566301595</v>
      </c>
      <c r="H1790">
        <v>0.86278487725699005</v>
      </c>
      <c r="I1790">
        <v>1.0072011345153</v>
      </c>
      <c r="J1790">
        <v>0.99156792055154697</v>
      </c>
      <c r="K1790">
        <v>0.845976462068881</v>
      </c>
      <c r="L1790">
        <v>12525.1236349635</v>
      </c>
      <c r="M1790">
        <v>250</v>
      </c>
      <c r="O1790">
        <v>50.097287660694498</v>
      </c>
      <c r="P1790">
        <v>-0.14095735611462601</v>
      </c>
      <c r="Q1790">
        <v>0.88701469889861195</v>
      </c>
      <c r="R1790">
        <v>0.42199794396722601</v>
      </c>
      <c r="S1790" t="s">
        <v>8407</v>
      </c>
      <c r="T1790" t="s">
        <v>13232</v>
      </c>
      <c r="U1790" t="s">
        <v>13232</v>
      </c>
      <c r="V1790" t="s">
        <v>13232</v>
      </c>
      <c r="W1790" t="s">
        <v>14974</v>
      </c>
      <c r="X1790">
        <v>2</v>
      </c>
      <c r="Y1790" t="s">
        <v>21483</v>
      </c>
      <c r="Z1790" t="s">
        <v>27921</v>
      </c>
      <c r="AA1790">
        <v>0.92506488042627799</v>
      </c>
      <c r="AB1790" t="str">
        <f>HYPERLINK("Melting_Curves/meltCurve_P0C7T5_ATXN1L.pdf", "Melting_Curves/meltCurve_P0C7T5_ATXN1L.pdf")</f>
        <v>Melting_Curves/meltCurve_P0C7T5_ATXN1L.pdf</v>
      </c>
    </row>
    <row r="1791" spans="1:28" x14ac:dyDescent="0.25">
      <c r="A1791" t="s">
        <v>1795</v>
      </c>
      <c r="B1791">
        <v>0.99930955844802105</v>
      </c>
      <c r="C1791">
        <v>0.84630958957976699</v>
      </c>
      <c r="D1791">
        <v>0.89317710766809799</v>
      </c>
      <c r="E1791">
        <v>0.80908986228109203</v>
      </c>
      <c r="F1791">
        <v>0.82780581745800197</v>
      </c>
      <c r="G1791">
        <v>0.60679508900782098</v>
      </c>
      <c r="H1791">
        <v>0.55376368180152202</v>
      </c>
      <c r="I1791">
        <v>0.58685062527711995</v>
      </c>
      <c r="J1791">
        <v>0.54781973702089903</v>
      </c>
      <c r="K1791">
        <v>0.44654885727832</v>
      </c>
      <c r="L1791">
        <v>335.85307791728098</v>
      </c>
      <c r="M1791">
        <v>5.6409098127412802</v>
      </c>
      <c r="N1791">
        <v>67.710346273103497</v>
      </c>
      <c r="O1791">
        <v>53.321053207176902</v>
      </c>
      <c r="P1791">
        <v>-1.99985457356937E-2</v>
      </c>
      <c r="Q1791">
        <v>0.24688537108585801</v>
      </c>
      <c r="R1791">
        <v>0.92167025097336197</v>
      </c>
      <c r="S1791" t="s">
        <v>8408</v>
      </c>
      <c r="T1791" t="s">
        <v>13232</v>
      </c>
      <c r="U1791" t="s">
        <v>13232</v>
      </c>
      <c r="V1791" t="s">
        <v>13232</v>
      </c>
      <c r="W1791" t="s">
        <v>14975</v>
      </c>
      <c r="X1791">
        <v>12</v>
      </c>
      <c r="Y1791" t="s">
        <v>21484</v>
      </c>
      <c r="Z1791" t="s">
        <v>27922</v>
      </c>
      <c r="AA1791">
        <v>0.71324578368577807</v>
      </c>
      <c r="AB1791" t="str">
        <f>HYPERLINK("Melting_Curves/meltCurve_P0CAP2_POLR2M.pdf", "Melting_Curves/meltCurve_P0CAP2_POLR2M.pdf")</f>
        <v>Melting_Curves/meltCurve_P0CAP2_POLR2M.pdf</v>
      </c>
    </row>
    <row r="1792" spans="1:28" x14ac:dyDescent="0.25">
      <c r="A1792" t="s">
        <v>1796</v>
      </c>
      <c r="B1792">
        <v>0.99930955844802105</v>
      </c>
      <c r="C1792">
        <v>1.03975114337418</v>
      </c>
      <c r="D1792">
        <v>1.04703167709175</v>
      </c>
      <c r="E1792">
        <v>1.02517786820044</v>
      </c>
      <c r="F1792">
        <v>0.95864652531199102</v>
      </c>
      <c r="G1792">
        <v>0.85542589320501405</v>
      </c>
      <c r="H1792">
        <v>0.82322975736513404</v>
      </c>
      <c r="I1792">
        <v>0.91524329266203097</v>
      </c>
      <c r="J1792">
        <v>0.88471606854164397</v>
      </c>
      <c r="K1792">
        <v>0.709077593567913</v>
      </c>
      <c r="L1792">
        <v>453.72312988965399</v>
      </c>
      <c r="M1792">
        <v>5.3229716685726798</v>
      </c>
      <c r="Q1792">
        <v>0</v>
      </c>
      <c r="R1792">
        <v>0.71776991214073704</v>
      </c>
      <c r="S1792" t="s">
        <v>8409</v>
      </c>
      <c r="T1792" t="s">
        <v>13232</v>
      </c>
      <c r="U1792" t="s">
        <v>13232</v>
      </c>
      <c r="V1792" t="s">
        <v>13232</v>
      </c>
      <c r="W1792" t="s">
        <v>14976</v>
      </c>
      <c r="X1792">
        <v>11</v>
      </c>
      <c r="Y1792" t="s">
        <v>21485</v>
      </c>
      <c r="Z1792" t="s">
        <v>27923</v>
      </c>
      <c r="AA1792">
        <v>0.92456410262947597</v>
      </c>
      <c r="AB1792" t="str">
        <f>HYPERLINK("Melting_Curves/meltCurve_P0CG12_CHTF8.pdf", "Melting_Curves/meltCurve_P0CG12_CHTF8.pdf")</f>
        <v>Melting_Curves/meltCurve_P0CG12_CHTF8.pdf</v>
      </c>
    </row>
    <row r="1793" spans="1:28" x14ac:dyDescent="0.25">
      <c r="A1793" t="s">
        <v>1797</v>
      </c>
      <c r="B1793">
        <v>0.99930955844802105</v>
      </c>
      <c r="C1793">
        <v>0.97547676344933199</v>
      </c>
      <c r="D1793">
        <v>0.79382320969664</v>
      </c>
      <c r="E1793">
        <v>0.28880575358953597</v>
      </c>
      <c r="F1793">
        <v>0.216376886323975</v>
      </c>
      <c r="G1793">
        <v>0.14088986254765501</v>
      </c>
      <c r="H1793">
        <v>8.8251755624515996E-2</v>
      </c>
      <c r="I1793">
        <v>8.0162368275995696E-2</v>
      </c>
      <c r="J1793">
        <v>9.9402232459337603E-2</v>
      </c>
      <c r="K1793">
        <v>6.7254089575470605E-2</v>
      </c>
      <c r="L1793">
        <v>1295.2182978347601</v>
      </c>
      <c r="M1793">
        <v>27.005144952959601</v>
      </c>
      <c r="N1793">
        <v>48.349951438449203</v>
      </c>
      <c r="O1793">
        <v>47.701235342603702</v>
      </c>
      <c r="P1793">
        <v>-0.12774474606092701</v>
      </c>
      <c r="Q1793">
        <v>9.7428233739045494E-2</v>
      </c>
      <c r="R1793">
        <v>0.99500639963147297</v>
      </c>
      <c r="S1793" t="s">
        <v>8410</v>
      </c>
      <c r="T1793" t="s">
        <v>13232</v>
      </c>
      <c r="U1793" t="s">
        <v>13232</v>
      </c>
      <c r="V1793" t="s">
        <v>13232</v>
      </c>
      <c r="W1793" t="s">
        <v>14977</v>
      </c>
      <c r="X1793">
        <v>3</v>
      </c>
      <c r="Y1793" t="s">
        <v>21485</v>
      </c>
      <c r="Z1793" t="s">
        <v>27924</v>
      </c>
      <c r="AA1793">
        <v>0.34374232762916779</v>
      </c>
      <c r="AB1793" t="str">
        <f>HYPERLINK("Melting_Curves/meltCurve_P0CG13_CHTF8.pdf", "Melting_Curves/meltCurve_P0CG13_CHTF8.pdf")</f>
        <v>Melting_Curves/meltCurve_P0CG13_CHTF8.pdf</v>
      </c>
    </row>
    <row r="1794" spans="1:28" x14ac:dyDescent="0.25">
      <c r="A1794" t="s">
        <v>1798</v>
      </c>
      <c r="B1794">
        <v>0.99930955844802105</v>
      </c>
      <c r="C1794">
        <v>1.01096208288599</v>
      </c>
      <c r="D1794">
        <v>0.77876684423539599</v>
      </c>
      <c r="E1794">
        <v>0.77550147925214696</v>
      </c>
      <c r="F1794">
        <v>0.67640335183962697</v>
      </c>
      <c r="G1794">
        <v>0.68031165022606499</v>
      </c>
      <c r="H1794">
        <v>0.74042175897937501</v>
      </c>
      <c r="I1794">
        <v>0.91722067067596202</v>
      </c>
      <c r="J1794">
        <v>1.2657112154705501</v>
      </c>
      <c r="K1794">
        <v>0.83742831002122597</v>
      </c>
      <c r="L1794">
        <v>11065.404683213301</v>
      </c>
      <c r="M1794">
        <v>250</v>
      </c>
      <c r="O1794">
        <v>44.258787475012397</v>
      </c>
      <c r="P1794">
        <v>-0.234459009875324</v>
      </c>
      <c r="Q1794">
        <v>0.83397006083024094</v>
      </c>
      <c r="R1794">
        <v>0.15404404207231201</v>
      </c>
      <c r="S1794" t="s">
        <v>8411</v>
      </c>
      <c r="T1794" t="s">
        <v>13232</v>
      </c>
      <c r="U1794" t="s">
        <v>13232</v>
      </c>
      <c r="V1794" t="s">
        <v>13232</v>
      </c>
      <c r="W1794" t="s">
        <v>14978</v>
      </c>
      <c r="X1794">
        <v>4</v>
      </c>
      <c r="Y1794" t="s">
        <v>21486</v>
      </c>
      <c r="Z1794" t="s">
        <v>27925</v>
      </c>
      <c r="AA1794">
        <v>0.85756816774491651</v>
      </c>
      <c r="AB1794" t="str">
        <f>HYPERLINK("Melting_Curves/meltCurve_P0CJ79_ZNF888.pdf", "Melting_Curves/meltCurve_P0CJ79_ZNF888.pdf")</f>
        <v>Melting_Curves/meltCurve_P0CJ79_ZNF888.pdf</v>
      </c>
    </row>
    <row r="1795" spans="1:28" x14ac:dyDescent="0.25">
      <c r="A1795" t="s">
        <v>1799</v>
      </c>
      <c r="B1795">
        <v>0.99930955844802105</v>
      </c>
      <c r="C1795">
        <v>0.94026308039080997</v>
      </c>
      <c r="D1795">
        <v>0.89826701480534499</v>
      </c>
      <c r="E1795">
        <v>0.851683791656905</v>
      </c>
      <c r="F1795">
        <v>0.76923591479453601</v>
      </c>
      <c r="G1795">
        <v>0.52776267065058002</v>
      </c>
      <c r="H1795">
        <v>0.41469628031572398</v>
      </c>
      <c r="I1795">
        <v>0.44453383298184601</v>
      </c>
      <c r="J1795">
        <v>0.36530439073903398</v>
      </c>
      <c r="K1795">
        <v>0.29798856252352302</v>
      </c>
      <c r="L1795">
        <v>625.423306993604</v>
      </c>
      <c r="M1795">
        <v>11.2786204172053</v>
      </c>
      <c r="N1795">
        <v>59.229264535345898</v>
      </c>
      <c r="O1795">
        <v>53.794632593276198</v>
      </c>
      <c r="P1795">
        <v>-3.8985619721786997E-2</v>
      </c>
      <c r="Q1795">
        <v>0.25644283457408601</v>
      </c>
      <c r="R1795">
        <v>0.98134976290732501</v>
      </c>
      <c r="S1795" t="s">
        <v>8412</v>
      </c>
      <c r="T1795" t="s">
        <v>13232</v>
      </c>
      <c r="U1795" t="s">
        <v>13232</v>
      </c>
      <c r="V1795" t="s">
        <v>13232</v>
      </c>
      <c r="W1795" t="s">
        <v>14979</v>
      </c>
      <c r="X1795">
        <v>4</v>
      </c>
      <c r="Y1795" t="s">
        <v>21487</v>
      </c>
      <c r="Z1795" t="s">
        <v>27926</v>
      </c>
      <c r="AA1795">
        <v>0.656399483575408</v>
      </c>
      <c r="AB1795" t="str">
        <f>HYPERLINK("Melting_Curves/meltCurve_P0CL82_GAGE12I.pdf", "Melting_Curves/meltCurve_P0CL82_GAGE12I.pdf")</f>
        <v>Melting_Curves/meltCurve_P0CL82_GAGE12I.pdf</v>
      </c>
    </row>
    <row r="1796" spans="1:28" x14ac:dyDescent="0.25">
      <c r="A1796" t="s">
        <v>1800</v>
      </c>
      <c r="B1796">
        <v>0.99930955844802105</v>
      </c>
      <c r="C1796">
        <v>0.82970460333666995</v>
      </c>
      <c r="D1796">
        <v>0.80629356519911299</v>
      </c>
      <c r="E1796">
        <v>0.73066818149149304</v>
      </c>
      <c r="F1796">
        <v>0.65323941865101098</v>
      </c>
      <c r="G1796">
        <v>0.494191364498066</v>
      </c>
      <c r="H1796">
        <v>0.17413271676102299</v>
      </c>
      <c r="I1796">
        <v>0.14965598634517599</v>
      </c>
      <c r="J1796">
        <v>0.122639217647937</v>
      </c>
      <c r="K1796">
        <v>9.5669002833299294E-2</v>
      </c>
      <c r="L1796">
        <v>553.29140825203206</v>
      </c>
      <c r="M1796">
        <v>10.0937178559158</v>
      </c>
      <c r="N1796">
        <v>54.815422408191502</v>
      </c>
      <c r="O1796">
        <v>52.794352505472297</v>
      </c>
      <c r="P1796">
        <v>-4.7819792753539501E-2</v>
      </c>
      <c r="Q1796">
        <v>0</v>
      </c>
      <c r="R1796">
        <v>0.96185447488662301</v>
      </c>
      <c r="S1796" t="s">
        <v>8413</v>
      </c>
      <c r="T1796" t="s">
        <v>13232</v>
      </c>
      <c r="U1796" t="s">
        <v>13232</v>
      </c>
      <c r="V1796" t="s">
        <v>13232</v>
      </c>
      <c r="W1796" t="s">
        <v>14980</v>
      </c>
      <c r="X1796">
        <v>7</v>
      </c>
      <c r="Y1796" t="s">
        <v>21488</v>
      </c>
      <c r="Z1796" t="s">
        <v>27927</v>
      </c>
      <c r="AA1796">
        <v>0.52043623481504353</v>
      </c>
      <c r="AB1796" t="str">
        <f>HYPERLINK("Melting_Curves/meltCurve_P0CW22_RPS17L.pdf", "Melting_Curves/meltCurve_P0CW22_RPS17L.pdf")</f>
        <v>Melting_Curves/meltCurve_P0CW22_RPS17L.pdf</v>
      </c>
    </row>
    <row r="1797" spans="1:28" x14ac:dyDescent="0.25">
      <c r="A1797" t="s">
        <v>1801</v>
      </c>
      <c r="B1797">
        <v>0.99930955844802105</v>
      </c>
      <c r="C1797">
        <v>0.63164162401971202</v>
      </c>
      <c r="D1797">
        <v>0.56959272517305504</v>
      </c>
      <c r="E1797">
        <v>0.40163016401699603</v>
      </c>
      <c r="F1797">
        <v>0.193973072003151</v>
      </c>
      <c r="G1797">
        <v>0.11279976769887599</v>
      </c>
      <c r="H1797">
        <v>6.4098209264743397E-2</v>
      </c>
      <c r="I1797">
        <v>4.24023122127953E-2</v>
      </c>
      <c r="J1797">
        <v>3.20657924187875E-2</v>
      </c>
      <c r="K1797">
        <v>1.87443414525807E-2</v>
      </c>
      <c r="L1797">
        <v>534.98509789620005</v>
      </c>
      <c r="M1797">
        <v>11.370910457915899</v>
      </c>
      <c r="N1797">
        <v>47.048574703139401</v>
      </c>
      <c r="O1797">
        <v>45.663893212376202</v>
      </c>
      <c r="P1797">
        <v>-6.2271743672440899E-2</v>
      </c>
      <c r="Q1797">
        <v>0</v>
      </c>
      <c r="R1797">
        <v>0.96726015181105995</v>
      </c>
      <c r="S1797" t="s">
        <v>8414</v>
      </c>
      <c r="T1797" t="s">
        <v>13232</v>
      </c>
      <c r="U1797" t="s">
        <v>13232</v>
      </c>
      <c r="V1797" t="s">
        <v>13232</v>
      </c>
      <c r="W1797" t="s">
        <v>14981</v>
      </c>
      <c r="X1797">
        <v>4</v>
      </c>
      <c r="Y1797" t="s">
        <v>21489</v>
      </c>
      <c r="Z1797" t="s">
        <v>27928</v>
      </c>
      <c r="AA1797">
        <v>0.28103051744638052</v>
      </c>
      <c r="AB1797" t="str">
        <f>HYPERLINK("Melting_Curves/meltCurve_P0DI82_TRAPPC2P1.pdf", "Melting_Curves/meltCurve_P0DI82_TRAPPC2P1.pdf")</f>
        <v>Melting_Curves/meltCurve_P0DI82_TRAPPC2P1.pdf</v>
      </c>
    </row>
    <row r="1798" spans="1:28" x14ac:dyDescent="0.25">
      <c r="A1798" t="s">
        <v>1802</v>
      </c>
      <c r="B1798">
        <v>0.99930955844802105</v>
      </c>
      <c r="C1798">
        <v>0.80204771966307598</v>
      </c>
      <c r="D1798">
        <v>0.64486933895146203</v>
      </c>
      <c r="E1798">
        <v>0.58187264439375497</v>
      </c>
      <c r="F1798">
        <v>0.44806356543812698</v>
      </c>
      <c r="G1798">
        <v>0.28055425491613301</v>
      </c>
      <c r="H1798">
        <v>0.21144119372971501</v>
      </c>
      <c r="I1798">
        <v>0</v>
      </c>
      <c r="J1798">
        <v>0.16845696740347901</v>
      </c>
      <c r="K1798">
        <v>0</v>
      </c>
      <c r="L1798">
        <v>472.00751003532901</v>
      </c>
      <c r="M1798">
        <v>9.2913952280242906</v>
      </c>
      <c r="N1798">
        <v>50.800521551510997</v>
      </c>
      <c r="O1798">
        <v>48.6137136141177</v>
      </c>
      <c r="P1798">
        <v>-4.7812512112744399E-2</v>
      </c>
      <c r="Q1798">
        <v>0</v>
      </c>
      <c r="R1798">
        <v>0.95524341753074604</v>
      </c>
      <c r="S1798" t="s">
        <v>8415</v>
      </c>
      <c r="T1798" t="s">
        <v>13232</v>
      </c>
      <c r="U1798" t="s">
        <v>13232</v>
      </c>
      <c r="V1798" t="s">
        <v>13232</v>
      </c>
      <c r="W1798" t="s">
        <v>14982</v>
      </c>
      <c r="X1798">
        <v>1</v>
      </c>
      <c r="Y1798" t="s">
        <v>21490</v>
      </c>
      <c r="Z1798" t="s">
        <v>27929</v>
      </c>
      <c r="AA1798">
        <v>0.40630826348173538</v>
      </c>
      <c r="AB1798" t="str">
        <f>HYPERLINK("Melting_Curves/meltCurve_P10073_ZSCAN22.pdf", "Melting_Curves/meltCurve_P10073_ZSCAN22.pdf")</f>
        <v>Melting_Curves/meltCurve_P10073_ZSCAN22.pdf</v>
      </c>
    </row>
    <row r="1799" spans="1:28" x14ac:dyDescent="0.25">
      <c r="A1799" t="s">
        <v>1803</v>
      </c>
      <c r="B1799">
        <v>0.99930955844802105</v>
      </c>
      <c r="C1799">
        <v>1.2135123397404399</v>
      </c>
      <c r="D1799">
        <v>1.2143745080502599</v>
      </c>
      <c r="E1799">
        <v>1.1445840978513799</v>
      </c>
      <c r="F1799">
        <v>1.0657723339515901</v>
      </c>
      <c r="G1799">
        <v>0.98114983838743997</v>
      </c>
      <c r="H1799">
        <v>1.04912335445538</v>
      </c>
      <c r="I1799">
        <v>1.1359392456733901</v>
      </c>
      <c r="J1799">
        <v>1.1566438194291699</v>
      </c>
      <c r="K1799">
        <v>0.90256552146436797</v>
      </c>
      <c r="L1799">
        <v>10249.702861400599</v>
      </c>
      <c r="M1799">
        <v>250</v>
      </c>
      <c r="O1799">
        <v>40.996183070288602</v>
      </c>
      <c r="P1799">
        <v>0.14629799063945001</v>
      </c>
      <c r="Q1799">
        <v>1.09596255827681</v>
      </c>
      <c r="R1799">
        <v>8.6149275339891501E-2</v>
      </c>
      <c r="S1799" t="s">
        <v>8416</v>
      </c>
      <c r="T1799" t="s">
        <v>13232</v>
      </c>
      <c r="U1799" t="s">
        <v>13232</v>
      </c>
      <c r="V1799" t="s">
        <v>13232</v>
      </c>
      <c r="W1799" t="s">
        <v>14983</v>
      </c>
      <c r="X1799">
        <v>6</v>
      </c>
      <c r="Y1799" t="s">
        <v>21491</v>
      </c>
      <c r="Z1799" t="s">
        <v>27930</v>
      </c>
      <c r="AA1799">
        <v>1.0927597408077909</v>
      </c>
      <c r="AB1799" t="str">
        <f>HYPERLINK("Melting_Curves/meltCurve_P10109_FDX1.pdf", "Melting_Curves/meltCurve_P10109_FDX1.pdf")</f>
        <v>Melting_Curves/meltCurve_P10109_FDX1.pdf</v>
      </c>
    </row>
    <row r="1800" spans="1:28" x14ac:dyDescent="0.25">
      <c r="A1800" t="s">
        <v>1804</v>
      </c>
      <c r="B1800">
        <v>0.99930955844802105</v>
      </c>
      <c r="C1800">
        <v>0.90887812452593097</v>
      </c>
      <c r="D1800">
        <v>0.90472301787644505</v>
      </c>
      <c r="E1800">
        <v>0.88739664399788298</v>
      </c>
      <c r="F1800">
        <v>0.80974533282553396</v>
      </c>
      <c r="G1800">
        <v>0.68191948123342805</v>
      </c>
      <c r="H1800">
        <v>0.44174691370014901</v>
      </c>
      <c r="I1800">
        <v>0.359943024030209</v>
      </c>
      <c r="J1800">
        <v>0.115288210011623</v>
      </c>
      <c r="K1800">
        <v>5.5608140011511202E-2</v>
      </c>
      <c r="L1800">
        <v>785.52822935200504</v>
      </c>
      <c r="M1800">
        <v>13.1799934428309</v>
      </c>
      <c r="N1800">
        <v>59.600047175028003</v>
      </c>
      <c r="O1800">
        <v>58.278107022405301</v>
      </c>
      <c r="P1800">
        <v>-5.6548682275122698E-2</v>
      </c>
      <c r="Q1800">
        <v>0</v>
      </c>
      <c r="R1800">
        <v>0.970605436058116</v>
      </c>
      <c r="S1800" t="s">
        <v>8417</v>
      </c>
      <c r="T1800" t="s">
        <v>13232</v>
      </c>
      <c r="U1800" t="s">
        <v>13232</v>
      </c>
      <c r="V1800" t="s">
        <v>13232</v>
      </c>
      <c r="W1800" t="s">
        <v>14984</v>
      </c>
      <c r="X1800">
        <v>31</v>
      </c>
      <c r="Y1800" t="s">
        <v>21492</v>
      </c>
      <c r="Z1800" t="s">
        <v>27931</v>
      </c>
      <c r="AA1800">
        <v>0.65998612894095365</v>
      </c>
      <c r="AB1800" t="str">
        <f>HYPERLINK("Melting_Curves/meltCurve_P10155_TROVE2.pdf", "Melting_Curves/meltCurve_P10155_TROVE2.pdf")</f>
        <v>Melting_Curves/meltCurve_P10155_TROVE2.pdf</v>
      </c>
    </row>
    <row r="1801" spans="1:28" x14ac:dyDescent="0.25">
      <c r="A1801" t="s">
        <v>1805</v>
      </c>
      <c r="B1801">
        <v>0.99930955844802105</v>
      </c>
      <c r="C1801">
        <v>0.99523546454679701</v>
      </c>
      <c r="D1801">
        <v>1.03586080235578</v>
      </c>
      <c r="E1801">
        <v>0.86270160809154195</v>
      </c>
      <c r="F1801">
        <v>0.77763379436973801</v>
      </c>
      <c r="G1801">
        <v>0.67940467613643896</v>
      </c>
      <c r="H1801">
        <v>0.48318695736936401</v>
      </c>
      <c r="I1801">
        <v>0.29224629085485199</v>
      </c>
      <c r="J1801">
        <v>0.18897361144761499</v>
      </c>
      <c r="K1801">
        <v>0.14873030694681899</v>
      </c>
      <c r="L1801">
        <v>712.08694769702095</v>
      </c>
      <c r="M1801">
        <v>11.9061482556956</v>
      </c>
      <c r="N1801">
        <v>59.808338762352797</v>
      </c>
      <c r="O1801">
        <v>58.196004215920198</v>
      </c>
      <c r="P1801">
        <v>-5.1159470671789102E-2</v>
      </c>
      <c r="Q1801">
        <v>0</v>
      </c>
      <c r="R1801">
        <v>0.98810578496516499</v>
      </c>
      <c r="S1801" t="s">
        <v>8418</v>
      </c>
      <c r="T1801" t="s">
        <v>13232</v>
      </c>
      <c r="U1801" t="s">
        <v>13232</v>
      </c>
      <c r="V1801" t="s">
        <v>13232</v>
      </c>
      <c r="W1801" t="s">
        <v>14985</v>
      </c>
      <c r="X1801">
        <v>5</v>
      </c>
      <c r="Y1801" t="s">
        <v>21493</v>
      </c>
      <c r="Z1801" t="s">
        <v>27932</v>
      </c>
      <c r="AA1801">
        <v>0.66356525260390409</v>
      </c>
      <c r="AB1801" t="str">
        <f>HYPERLINK("Melting_Curves/meltCurve_P10242_11_MYB.pdf", "Melting_Curves/meltCurve_P10242_11_MYB.pdf")</f>
        <v>Melting_Curves/meltCurve_P10242_11_MYB.pdf</v>
      </c>
    </row>
    <row r="1802" spans="1:28" x14ac:dyDescent="0.25">
      <c r="A1802" t="s">
        <v>1806</v>
      </c>
      <c r="B1802">
        <v>0.99930955844802105</v>
      </c>
      <c r="C1802">
        <v>1.0375714832965399</v>
      </c>
      <c r="D1802">
        <v>0.99359389887677796</v>
      </c>
      <c r="E1802">
        <v>0.82812864532436703</v>
      </c>
      <c r="F1802">
        <v>0.70721592370253294</v>
      </c>
      <c r="G1802">
        <v>0.58570426978208001</v>
      </c>
      <c r="H1802">
        <v>0.54410531062926504</v>
      </c>
      <c r="I1802">
        <v>0.55862953157522199</v>
      </c>
      <c r="J1802">
        <v>0.54425859624290696</v>
      </c>
      <c r="K1802">
        <v>0.45098797100059101</v>
      </c>
      <c r="L1802">
        <v>1058.6101978649299</v>
      </c>
      <c r="M1802">
        <v>20.401813253576499</v>
      </c>
      <c r="O1802">
        <v>51.397259554012699</v>
      </c>
      <c r="P1802">
        <v>-4.8168997402602803E-2</v>
      </c>
      <c r="Q1802">
        <v>0.51461584756661805</v>
      </c>
      <c r="R1802">
        <v>0.97920766267306802</v>
      </c>
      <c r="S1802" t="s">
        <v>8419</v>
      </c>
      <c r="T1802" t="s">
        <v>13232</v>
      </c>
      <c r="U1802" t="s">
        <v>13232</v>
      </c>
      <c r="V1802" t="s">
        <v>13232</v>
      </c>
      <c r="W1802" t="s">
        <v>14986</v>
      </c>
      <c r="X1802">
        <v>10</v>
      </c>
      <c r="Y1802" t="s">
        <v>21494</v>
      </c>
      <c r="Z1802" t="s">
        <v>27933</v>
      </c>
      <c r="AA1802">
        <v>0.71344081951025162</v>
      </c>
      <c r="AB1802" t="str">
        <f>HYPERLINK("Melting_Curves/meltCurve_P10244_MYBL2.pdf", "Melting_Curves/meltCurve_P10244_MYBL2.pdf")</f>
        <v>Melting_Curves/meltCurve_P10244_MYBL2.pdf</v>
      </c>
    </row>
    <row r="1803" spans="1:28" x14ac:dyDescent="0.25">
      <c r="A1803" t="s">
        <v>1807</v>
      </c>
      <c r="B1803">
        <v>0.99930955844802105</v>
      </c>
      <c r="C1803">
        <v>0.88741224653907902</v>
      </c>
      <c r="D1803">
        <v>0.829503200791745</v>
      </c>
      <c r="E1803">
        <v>0.80617578296062098</v>
      </c>
      <c r="F1803">
        <v>0.72517906392435305</v>
      </c>
      <c r="G1803">
        <v>0.50418859634687496</v>
      </c>
      <c r="H1803">
        <v>0.30769396934063498</v>
      </c>
      <c r="I1803">
        <v>0.19859613504973</v>
      </c>
      <c r="J1803">
        <v>0.110410565026084</v>
      </c>
      <c r="K1803">
        <v>8.2011573474565905E-2</v>
      </c>
      <c r="L1803">
        <v>622.50093652700104</v>
      </c>
      <c r="M1803">
        <v>11.022602865139801</v>
      </c>
      <c r="N1803">
        <v>56.474949626085703</v>
      </c>
      <c r="O1803">
        <v>54.711636385606901</v>
      </c>
      <c r="P1803">
        <v>-5.03836711977345E-2</v>
      </c>
      <c r="Q1803">
        <v>0</v>
      </c>
      <c r="R1803">
        <v>0.97966763380538002</v>
      </c>
      <c r="S1803" t="s">
        <v>8420</v>
      </c>
      <c r="T1803" t="s">
        <v>13232</v>
      </c>
      <c r="U1803" t="s">
        <v>13232</v>
      </c>
      <c r="V1803" t="s">
        <v>13232</v>
      </c>
      <c r="W1803" t="s">
        <v>14987</v>
      </c>
      <c r="X1803">
        <v>16</v>
      </c>
      <c r="Y1803" t="s">
        <v>21495</v>
      </c>
      <c r="Z1803" t="s">
        <v>27934</v>
      </c>
      <c r="AA1803">
        <v>0.56808664313304424</v>
      </c>
      <c r="AB1803" t="str">
        <f>HYPERLINK("Melting_Curves/meltCurve_P10253_GAA.pdf", "Melting_Curves/meltCurve_P10253_GAA.pdf")</f>
        <v>Melting_Curves/meltCurve_P10253_GAA.pdf</v>
      </c>
    </row>
    <row r="1804" spans="1:28" x14ac:dyDescent="0.25">
      <c r="A1804" t="s">
        <v>1808</v>
      </c>
      <c r="B1804">
        <v>0.99930955844802105</v>
      </c>
      <c r="C1804">
        <v>0.80394390761831602</v>
      </c>
      <c r="D1804">
        <v>0.65921359297549598</v>
      </c>
      <c r="E1804">
        <v>0.46410484074386898</v>
      </c>
      <c r="F1804">
        <v>0.325951352081634</v>
      </c>
      <c r="G1804">
        <v>0.24397045715872401</v>
      </c>
      <c r="H1804">
        <v>0.17546111640477299</v>
      </c>
      <c r="I1804">
        <v>0.16716071114976599</v>
      </c>
      <c r="J1804">
        <v>0.14911894579653701</v>
      </c>
      <c r="K1804">
        <v>0.120111663261631</v>
      </c>
      <c r="L1804">
        <v>594.37544781193901</v>
      </c>
      <c r="M1804">
        <v>12.388406747489199</v>
      </c>
      <c r="N1804">
        <v>49.0769563494434</v>
      </c>
      <c r="O1804">
        <v>46.779625912939402</v>
      </c>
      <c r="P1804">
        <v>-5.8201633595192898E-2</v>
      </c>
      <c r="Q1804">
        <v>0.12109095346952101</v>
      </c>
      <c r="R1804">
        <v>0.99240096018652102</v>
      </c>
      <c r="S1804" t="s">
        <v>8421</v>
      </c>
      <c r="T1804" t="s">
        <v>13232</v>
      </c>
      <c r="U1804" t="s">
        <v>13232</v>
      </c>
      <c r="V1804" t="s">
        <v>13232</v>
      </c>
      <c r="W1804" t="s">
        <v>14988</v>
      </c>
      <c r="X1804">
        <v>12</v>
      </c>
      <c r="Y1804" t="s">
        <v>21496</v>
      </c>
      <c r="Z1804" t="s">
        <v>27935</v>
      </c>
      <c r="AA1804">
        <v>0.38737234424488048</v>
      </c>
      <c r="AB1804" t="str">
        <f>HYPERLINK("Melting_Curves/meltCurve_P10398_ARAF.pdf", "Melting_Curves/meltCurve_P10398_ARAF.pdf")</f>
        <v>Melting_Curves/meltCurve_P10398_ARAF.pdf</v>
      </c>
    </row>
    <row r="1805" spans="1:28" x14ac:dyDescent="0.25">
      <c r="A1805" t="s">
        <v>1809</v>
      </c>
      <c r="B1805">
        <v>0.99930955844802105</v>
      </c>
      <c r="C1805">
        <v>0.77947766333282797</v>
      </c>
      <c r="D1805">
        <v>0.79462136056227395</v>
      </c>
      <c r="E1805">
        <v>0.94242624575515699</v>
      </c>
      <c r="F1805">
        <v>0.83487693487216796</v>
      </c>
      <c r="G1805">
        <v>0.51749938126658401</v>
      </c>
      <c r="H1805">
        <v>0.37325083198931602</v>
      </c>
      <c r="I1805">
        <v>0.290265021237886</v>
      </c>
      <c r="J1805">
        <v>0.22169378099708401</v>
      </c>
      <c r="K1805">
        <v>0.17667601979686101</v>
      </c>
      <c r="L1805">
        <v>578.68279010440403</v>
      </c>
      <c r="M1805">
        <v>9.8898276821166409</v>
      </c>
      <c r="N1805">
        <v>58.512927636859601</v>
      </c>
      <c r="O1805">
        <v>56.271246656521598</v>
      </c>
      <c r="P1805">
        <v>-4.3960476587128199E-2</v>
      </c>
      <c r="Q1805">
        <v>0</v>
      </c>
      <c r="R1805">
        <v>0.90829493444524001</v>
      </c>
      <c r="S1805" t="s">
        <v>8422</v>
      </c>
      <c r="T1805" t="s">
        <v>13232</v>
      </c>
      <c r="U1805" t="s">
        <v>13232</v>
      </c>
      <c r="V1805" t="s">
        <v>13232</v>
      </c>
      <c r="W1805" t="s">
        <v>14989</v>
      </c>
      <c r="X1805">
        <v>8</v>
      </c>
      <c r="Y1805" t="s">
        <v>21497</v>
      </c>
      <c r="Z1805" t="s">
        <v>27936</v>
      </c>
      <c r="AA1805">
        <v>0.62343034502872741</v>
      </c>
      <c r="AB1805" t="str">
        <f>HYPERLINK("Melting_Curves/meltCurve_P10515_DLAT.pdf", "Melting_Curves/meltCurve_P10515_DLAT.pdf")</f>
        <v>Melting_Curves/meltCurve_P10515_DLAT.pdf</v>
      </c>
    </row>
    <row r="1806" spans="1:28" x14ac:dyDescent="0.25">
      <c r="A1806" t="s">
        <v>1810</v>
      </c>
      <c r="B1806">
        <v>0.99930955844802105</v>
      </c>
      <c r="C1806">
        <v>0.69940642215405302</v>
      </c>
      <c r="D1806">
        <v>0.75406070763199795</v>
      </c>
      <c r="E1806">
        <v>0.46353586308729</v>
      </c>
      <c r="F1806">
        <v>0.28383321364007902</v>
      </c>
      <c r="G1806">
        <v>0.20492327664932899</v>
      </c>
      <c r="H1806">
        <v>8.5542826957423101E-2</v>
      </c>
      <c r="I1806">
        <v>4.5207056177921402E-2</v>
      </c>
      <c r="J1806">
        <v>4.3568900959334599E-2</v>
      </c>
      <c r="K1806">
        <v>0</v>
      </c>
      <c r="L1806">
        <v>554.00538943084598</v>
      </c>
      <c r="M1806">
        <v>11.2751352415351</v>
      </c>
      <c r="N1806">
        <v>49.135145394835</v>
      </c>
      <c r="O1806">
        <v>47.665618110296897</v>
      </c>
      <c r="P1806">
        <v>-5.9154765278121503E-2</v>
      </c>
      <c r="Q1806">
        <v>0</v>
      </c>
      <c r="R1806">
        <v>0.97118129962697197</v>
      </c>
      <c r="S1806" t="s">
        <v>8423</v>
      </c>
      <c r="T1806" t="s">
        <v>13232</v>
      </c>
      <c r="U1806" t="s">
        <v>13232</v>
      </c>
      <c r="V1806" t="s">
        <v>13232</v>
      </c>
      <c r="W1806" t="s">
        <v>14990</v>
      </c>
      <c r="X1806">
        <v>2</v>
      </c>
      <c r="Y1806" t="s">
        <v>21498</v>
      </c>
      <c r="Z1806" t="s">
        <v>27937</v>
      </c>
      <c r="AA1806">
        <v>0.34483031762444838</v>
      </c>
      <c r="AB1806" t="str">
        <f>HYPERLINK("Melting_Curves/meltCurve_P10588_NR2F6.pdf", "Melting_Curves/meltCurve_P10588_NR2F6.pdf")</f>
        <v>Melting_Curves/meltCurve_P10588_NR2F6.pdf</v>
      </c>
    </row>
    <row r="1807" spans="1:28" x14ac:dyDescent="0.25">
      <c r="A1807" t="s">
        <v>1811</v>
      </c>
      <c r="B1807">
        <v>0.99930955844802105</v>
      </c>
      <c r="C1807">
        <v>1.0395881598972201</v>
      </c>
      <c r="D1807">
        <v>1.0527130751734699</v>
      </c>
      <c r="E1807">
        <v>0.99452071770591899</v>
      </c>
      <c r="F1807">
        <v>0.84279761508659801</v>
      </c>
      <c r="G1807">
        <v>0.825879374864809</v>
      </c>
      <c r="H1807">
        <v>0.92924256652936799</v>
      </c>
      <c r="I1807">
        <v>1.12677438413358</v>
      </c>
      <c r="J1807">
        <v>1.39214665294108</v>
      </c>
      <c r="K1807">
        <v>0.98300119034704903</v>
      </c>
      <c r="L1807">
        <v>15000</v>
      </c>
      <c r="M1807">
        <v>235.11001268693801</v>
      </c>
      <c r="O1807">
        <v>63.795285105364997</v>
      </c>
      <c r="P1807">
        <v>0.17281778444426499</v>
      </c>
      <c r="Q1807">
        <v>1.18757113619125</v>
      </c>
      <c r="R1807">
        <v>0.35907154850164302</v>
      </c>
      <c r="S1807" t="s">
        <v>8424</v>
      </c>
      <c r="T1807" t="s">
        <v>13232</v>
      </c>
      <c r="U1807" t="s">
        <v>13232</v>
      </c>
      <c r="V1807" t="s">
        <v>13232</v>
      </c>
      <c r="W1807" t="s">
        <v>14991</v>
      </c>
      <c r="X1807">
        <v>8</v>
      </c>
      <c r="Y1807" t="s">
        <v>21499</v>
      </c>
      <c r="Z1807" t="s">
        <v>27938</v>
      </c>
      <c r="AA1807">
        <v>1.0387414546338689</v>
      </c>
      <c r="AB1807" t="str">
        <f>HYPERLINK("Melting_Curves/meltCurve_P10599_TXN.pdf", "Melting_Curves/meltCurve_P10599_TXN.pdf")</f>
        <v>Melting_Curves/meltCurve_P10599_TXN.pdf</v>
      </c>
    </row>
    <row r="1808" spans="1:28" x14ac:dyDescent="0.25">
      <c r="A1808" t="s">
        <v>1812</v>
      </c>
      <c r="B1808">
        <v>0.99930955844802105</v>
      </c>
      <c r="C1808">
        <v>0.90460333728585696</v>
      </c>
      <c r="D1808">
        <v>0.948891657080283</v>
      </c>
      <c r="E1808">
        <v>0.80582642213953104</v>
      </c>
      <c r="F1808">
        <v>0.52870626093283701</v>
      </c>
      <c r="G1808">
        <v>0.39167015759246498</v>
      </c>
      <c r="H1808">
        <v>0.27593700870635302</v>
      </c>
      <c r="I1808">
        <v>0.278021754364074</v>
      </c>
      <c r="J1808">
        <v>0.25202976074443201</v>
      </c>
      <c r="K1808">
        <v>0.204356655229566</v>
      </c>
      <c r="L1808">
        <v>930.21864649636802</v>
      </c>
      <c r="M1808">
        <v>17.7635725516751</v>
      </c>
      <c r="N1808">
        <v>54.192047888465098</v>
      </c>
      <c r="O1808">
        <v>51.716508448854498</v>
      </c>
      <c r="P1808">
        <v>-6.6540580636659505E-2</v>
      </c>
      <c r="Q1808">
        <v>0.22514063295568401</v>
      </c>
      <c r="R1808">
        <v>0.98727896904974999</v>
      </c>
      <c r="S1808" t="s">
        <v>8425</v>
      </c>
      <c r="T1808" t="s">
        <v>13232</v>
      </c>
      <c r="U1808" t="s">
        <v>13232</v>
      </c>
      <c r="V1808" t="s">
        <v>13232</v>
      </c>
      <c r="W1808" t="s">
        <v>14992</v>
      </c>
      <c r="X1808">
        <v>3</v>
      </c>
      <c r="Y1808" t="s">
        <v>21500</v>
      </c>
      <c r="Z1808" t="s">
        <v>27939</v>
      </c>
      <c r="AA1808">
        <v>0.55766502122499639</v>
      </c>
      <c r="AB1808" t="str">
        <f>HYPERLINK("Melting_Curves/meltCurve_P10606_COX5B.pdf", "Melting_Curves/meltCurve_P10606_COX5B.pdf")</f>
        <v>Melting_Curves/meltCurve_P10606_COX5B.pdf</v>
      </c>
    </row>
    <row r="1809" spans="1:28" x14ac:dyDescent="0.25">
      <c r="A1809" t="s">
        <v>1813</v>
      </c>
      <c r="B1809">
        <v>0.99930955844802105</v>
      </c>
      <c r="C1809">
        <v>0.833192659448735</v>
      </c>
      <c r="D1809">
        <v>0.84524552513388396</v>
      </c>
      <c r="E1809">
        <v>0.680186473402004</v>
      </c>
      <c r="F1809">
        <v>0.263795723497872</v>
      </c>
      <c r="G1809">
        <v>0.13491934206963499</v>
      </c>
      <c r="H1809">
        <v>7.7101417328044805E-2</v>
      </c>
      <c r="I1809">
        <v>5.6334557981255598E-2</v>
      </c>
      <c r="J1809">
        <v>5.5292228945424203E-2</v>
      </c>
      <c r="K1809">
        <v>4.4077094934147798E-2</v>
      </c>
      <c r="L1809">
        <v>915.88414341613498</v>
      </c>
      <c r="M1809">
        <v>18.0447708928045</v>
      </c>
      <c r="N1809">
        <v>50.929647048937603</v>
      </c>
      <c r="O1809">
        <v>50.145165854691797</v>
      </c>
      <c r="P1809">
        <v>-8.72860048971143E-2</v>
      </c>
      <c r="Q1809">
        <v>2.9800406876095701E-2</v>
      </c>
      <c r="R1809">
        <v>0.97533067649662597</v>
      </c>
      <c r="S1809" t="s">
        <v>8426</v>
      </c>
      <c r="T1809" t="s">
        <v>13232</v>
      </c>
      <c r="U1809" t="s">
        <v>13232</v>
      </c>
      <c r="V1809" t="s">
        <v>13232</v>
      </c>
      <c r="W1809" t="s">
        <v>14993</v>
      </c>
      <c r="X1809">
        <v>5</v>
      </c>
      <c r="Y1809" t="s">
        <v>21501</v>
      </c>
      <c r="Z1809" t="s">
        <v>27940</v>
      </c>
      <c r="AA1809">
        <v>0.39397546806631117</v>
      </c>
      <c r="AB1809" t="str">
        <f>HYPERLINK("Melting_Curves/meltCurve_P10619_CTSA.pdf", "Melting_Curves/meltCurve_P10619_CTSA.pdf")</f>
        <v>Melting_Curves/meltCurve_P10619_CTSA.pdf</v>
      </c>
    </row>
    <row r="1810" spans="1:28" x14ac:dyDescent="0.25">
      <c r="A1810" t="s">
        <v>1814</v>
      </c>
      <c r="B1810">
        <v>0.99930955844802105</v>
      </c>
      <c r="C1810">
        <v>1.0847550233850201</v>
      </c>
      <c r="D1810">
        <v>1.04478698028892</v>
      </c>
      <c r="E1810">
        <v>1.02154629773424</v>
      </c>
      <c r="F1810">
        <v>0.92077419215256995</v>
      </c>
      <c r="G1810">
        <v>0.88319206647729098</v>
      </c>
      <c r="H1810">
        <v>0.88212528533604395</v>
      </c>
      <c r="I1810">
        <v>1.1232953919102999</v>
      </c>
      <c r="J1810">
        <v>1.03231921733409</v>
      </c>
      <c r="K1810">
        <v>0.67690595320956404</v>
      </c>
      <c r="L1810">
        <v>15000</v>
      </c>
      <c r="M1810">
        <v>213.54610340858801</v>
      </c>
      <c r="Q1810">
        <v>0</v>
      </c>
      <c r="R1810">
        <v>0.61007045995420095</v>
      </c>
      <c r="S1810" t="s">
        <v>8427</v>
      </c>
      <c r="T1810" t="s">
        <v>13232</v>
      </c>
      <c r="U1810" t="s">
        <v>13232</v>
      </c>
      <c r="V1810" t="s">
        <v>13232</v>
      </c>
      <c r="W1810" t="s">
        <v>14994</v>
      </c>
      <c r="X1810">
        <v>12</v>
      </c>
      <c r="Y1810" t="s">
        <v>21502</v>
      </c>
      <c r="Z1810" t="s">
        <v>27941</v>
      </c>
      <c r="AA1810">
        <v>0.99579404554126538</v>
      </c>
      <c r="AB1810" t="str">
        <f>HYPERLINK("Melting_Curves/meltCurve_P10636_2_MAPT.pdf", "Melting_Curves/meltCurve_P10636_2_MAPT.pdf")</f>
        <v>Melting_Curves/meltCurve_P10636_2_MAPT.pdf</v>
      </c>
    </row>
    <row r="1811" spans="1:28" x14ac:dyDescent="0.25">
      <c r="A1811" t="s">
        <v>1815</v>
      </c>
      <c r="B1811">
        <v>0.99930955844802105</v>
      </c>
      <c r="C1811">
        <v>0.82147733553692404</v>
      </c>
      <c r="D1811">
        <v>0.64863799741780004</v>
      </c>
      <c r="E1811">
        <v>0.39202563091989001</v>
      </c>
      <c r="F1811">
        <v>0.23263846676394601</v>
      </c>
      <c r="G1811">
        <v>0.16782473360368499</v>
      </c>
      <c r="H1811">
        <v>0.14542042264580299</v>
      </c>
      <c r="I1811">
        <v>0.139658387079376</v>
      </c>
      <c r="J1811">
        <v>0.14392335173814999</v>
      </c>
      <c r="K1811">
        <v>0.116648967590761</v>
      </c>
      <c r="L1811">
        <v>761.24112388966296</v>
      </c>
      <c r="M1811">
        <v>16.148868913529299</v>
      </c>
      <c r="N1811">
        <v>47.977968554616702</v>
      </c>
      <c r="O1811">
        <v>46.433925040254401</v>
      </c>
      <c r="P1811">
        <v>-7.62559870862035E-2</v>
      </c>
      <c r="Q1811">
        <v>0.123010979959922</v>
      </c>
      <c r="R1811">
        <v>0.99575363880423695</v>
      </c>
      <c r="S1811" t="s">
        <v>8428</v>
      </c>
      <c r="T1811" t="s">
        <v>13232</v>
      </c>
      <c r="U1811" t="s">
        <v>13232</v>
      </c>
      <c r="V1811" t="s">
        <v>13232</v>
      </c>
      <c r="W1811" t="s">
        <v>14995</v>
      </c>
      <c r="X1811">
        <v>18</v>
      </c>
      <c r="Y1811" t="s">
        <v>21503</v>
      </c>
      <c r="Z1811" t="s">
        <v>27942</v>
      </c>
      <c r="AA1811">
        <v>0.35197235621924672</v>
      </c>
      <c r="AB1811" t="str">
        <f>HYPERLINK("Melting_Curves/meltCurve_P10644_PRKAR1A.pdf", "Melting_Curves/meltCurve_P10644_PRKAR1A.pdf")</f>
        <v>Melting_Curves/meltCurve_P10644_PRKAR1A.pdf</v>
      </c>
    </row>
    <row r="1812" spans="1:28" x14ac:dyDescent="0.25">
      <c r="A1812" t="s">
        <v>1816</v>
      </c>
      <c r="B1812">
        <v>0.99930955844802105</v>
      </c>
      <c r="C1812">
        <v>0.88051021852213895</v>
      </c>
      <c r="D1812">
        <v>0.79686983522774801</v>
      </c>
      <c r="E1812">
        <v>0.76060238554640802</v>
      </c>
      <c r="F1812">
        <v>0.56299214210975801</v>
      </c>
      <c r="G1812">
        <v>0.54621516308817997</v>
      </c>
      <c r="H1812">
        <v>0.46295124017381201</v>
      </c>
      <c r="I1812">
        <v>0.488533743932833</v>
      </c>
      <c r="J1812">
        <v>0.43748355250615201</v>
      </c>
      <c r="K1812">
        <v>0.35711896710545299</v>
      </c>
      <c r="L1812">
        <v>462.68231706981101</v>
      </c>
      <c r="M1812">
        <v>9.0737243615120207</v>
      </c>
      <c r="N1812">
        <v>58.948935365112803</v>
      </c>
      <c r="O1812">
        <v>48.697678388465199</v>
      </c>
      <c r="P1812">
        <v>-3.0155045428838099E-2</v>
      </c>
      <c r="Q1812">
        <v>0.35310028825483297</v>
      </c>
      <c r="R1812">
        <v>0.96392025828781702</v>
      </c>
      <c r="S1812" t="s">
        <v>8429</v>
      </c>
      <c r="T1812" t="s">
        <v>13232</v>
      </c>
      <c r="U1812" t="s">
        <v>13232</v>
      </c>
      <c r="V1812" t="s">
        <v>13232</v>
      </c>
      <c r="W1812" t="s">
        <v>14996</v>
      </c>
      <c r="X1812">
        <v>3</v>
      </c>
      <c r="Y1812" t="s">
        <v>21504</v>
      </c>
      <c r="Z1812" t="s">
        <v>27943</v>
      </c>
      <c r="AA1812">
        <v>0.62032557346539541</v>
      </c>
      <c r="AB1812" t="str">
        <f>HYPERLINK("Melting_Curves/meltCurve_P10646_2_TFPI.pdf", "Melting_Curves/meltCurve_P10646_2_TFPI.pdf")</f>
        <v>Melting_Curves/meltCurve_P10646_2_TFPI.pdf</v>
      </c>
    </row>
    <row r="1813" spans="1:28" x14ac:dyDescent="0.25">
      <c r="A1813" t="s">
        <v>1817</v>
      </c>
      <c r="B1813">
        <v>0.99930955844802105</v>
      </c>
      <c r="C1813">
        <v>1.03508568093467</v>
      </c>
      <c r="D1813">
        <v>1.0315808441537899</v>
      </c>
      <c r="E1813">
        <v>0.80719144903329698</v>
      </c>
      <c r="F1813">
        <v>0.26789602077557501</v>
      </c>
      <c r="G1813">
        <v>0.14923331349129401</v>
      </c>
      <c r="H1813">
        <v>8.69903847275207E-2</v>
      </c>
      <c r="I1813">
        <v>7.2317398957866402E-2</v>
      </c>
      <c r="J1813">
        <v>6.2954013061554098E-2</v>
      </c>
      <c r="K1813">
        <v>4.8974422478180603E-2</v>
      </c>
      <c r="L1813">
        <v>2318.83757969003</v>
      </c>
      <c r="M1813">
        <v>45.064531073280897</v>
      </c>
      <c r="N1813">
        <v>51.657000609716903</v>
      </c>
      <c r="O1813">
        <v>51.354917183565497</v>
      </c>
      <c r="P1813">
        <v>-0.20173139395249401</v>
      </c>
      <c r="Q1813">
        <v>8.04399647424546E-2</v>
      </c>
      <c r="R1813">
        <v>0.99598917883087101</v>
      </c>
      <c r="S1813" t="s">
        <v>8430</v>
      </c>
      <c r="T1813" t="s">
        <v>13232</v>
      </c>
      <c r="U1813" t="s">
        <v>13232</v>
      </c>
      <c r="V1813" t="s">
        <v>13232</v>
      </c>
      <c r="W1813" t="s">
        <v>14997</v>
      </c>
      <c r="X1813">
        <v>8</v>
      </c>
      <c r="Y1813" t="s">
        <v>21505</v>
      </c>
      <c r="Z1813" t="s">
        <v>27944</v>
      </c>
      <c r="AA1813">
        <v>0.43415962689467941</v>
      </c>
      <c r="AB1813" t="str">
        <f>HYPERLINK("Melting_Curves/meltCurve_P10746_UROS.pdf", "Melting_Curves/meltCurve_P10746_UROS.pdf")</f>
        <v>Melting_Curves/meltCurve_P10746_UROS.pdf</v>
      </c>
    </row>
    <row r="1814" spans="1:28" x14ac:dyDescent="0.25">
      <c r="A1814" t="s">
        <v>1818</v>
      </c>
      <c r="B1814">
        <v>0.99930955844802105</v>
      </c>
      <c r="C1814">
        <v>1.12354018008552</v>
      </c>
      <c r="D1814">
        <v>1.12910679703574</v>
      </c>
      <c r="E1814">
        <v>1.0488691507505701</v>
      </c>
      <c r="F1814">
        <v>0.90864658596164005</v>
      </c>
      <c r="G1814">
        <v>0.41472203835507299</v>
      </c>
      <c r="H1814">
        <v>0.11901371377795</v>
      </c>
      <c r="I1814">
        <v>8.6729922897825107E-2</v>
      </c>
      <c r="J1814">
        <v>7.0017185988459296E-2</v>
      </c>
      <c r="K1814">
        <v>5.4314791474865398E-2</v>
      </c>
      <c r="L1814">
        <v>2143.0087964991599</v>
      </c>
      <c r="M1814">
        <v>38.115946769561802</v>
      </c>
      <c r="N1814">
        <v>56.440317623426097</v>
      </c>
      <c r="O1814">
        <v>56.069326894010104</v>
      </c>
      <c r="P1814">
        <v>-0.15837207226427399</v>
      </c>
      <c r="Q1814">
        <v>6.8128282693014006E-2</v>
      </c>
      <c r="R1814">
        <v>0.98318150989552799</v>
      </c>
      <c r="S1814" t="s">
        <v>8431</v>
      </c>
      <c r="T1814" t="s">
        <v>13232</v>
      </c>
      <c r="U1814" t="s">
        <v>13232</v>
      </c>
      <c r="V1814" t="s">
        <v>13232</v>
      </c>
      <c r="W1814" t="s">
        <v>14998</v>
      </c>
      <c r="X1814">
        <v>13</v>
      </c>
      <c r="Y1814" t="s">
        <v>21506</v>
      </c>
      <c r="Z1814" t="s">
        <v>27945</v>
      </c>
      <c r="AA1814">
        <v>0.57601754788555237</v>
      </c>
      <c r="AB1814" t="str">
        <f>HYPERLINK("Melting_Curves/meltCurve_P10768_ESD.pdf", "Melting_Curves/meltCurve_P10768_ESD.pdf")</f>
        <v>Melting_Curves/meltCurve_P10768_ESD.pdf</v>
      </c>
    </row>
    <row r="1815" spans="1:28" x14ac:dyDescent="0.25">
      <c r="A1815" t="s">
        <v>1819</v>
      </c>
      <c r="B1815">
        <v>0.99930955844802105</v>
      </c>
      <c r="C1815">
        <v>0.89568760559557103</v>
      </c>
      <c r="D1815">
        <v>0.68771659387046102</v>
      </c>
      <c r="E1815">
        <v>0.46748175454634899</v>
      </c>
      <c r="F1815">
        <v>0.27962272328252702</v>
      </c>
      <c r="G1815">
        <v>0.19632153277699299</v>
      </c>
      <c r="H1815">
        <v>0.14143253654999799</v>
      </c>
      <c r="I1815">
        <v>0.13415995514807499</v>
      </c>
      <c r="J1815">
        <v>0.127369815133866</v>
      </c>
      <c r="K1815">
        <v>0.104208212279253</v>
      </c>
      <c r="L1815">
        <v>735.86608390619801</v>
      </c>
      <c r="M1815">
        <v>15.227703675567501</v>
      </c>
      <c r="N1815">
        <v>49.114120938865298</v>
      </c>
      <c r="O1815">
        <v>47.513769720934299</v>
      </c>
      <c r="P1815">
        <v>-7.1426650416800699E-2</v>
      </c>
      <c r="Q1815">
        <v>0.10861773557094</v>
      </c>
      <c r="R1815">
        <v>0.99685322889943795</v>
      </c>
      <c r="S1815" t="s">
        <v>8432</v>
      </c>
      <c r="T1815" t="s">
        <v>13232</v>
      </c>
      <c r="U1815" t="s">
        <v>13232</v>
      </c>
      <c r="V1815" t="s">
        <v>13232</v>
      </c>
      <c r="W1815" t="s">
        <v>14999</v>
      </c>
      <c r="X1815">
        <v>50</v>
      </c>
      <c r="Y1815" t="s">
        <v>21507</v>
      </c>
      <c r="Z1815" t="s">
        <v>27946</v>
      </c>
      <c r="AA1815">
        <v>0.3779001059066785</v>
      </c>
      <c r="AB1815" t="str">
        <f>HYPERLINK("Melting_Curves/meltCurve_P10809_HSPD1.pdf", "Melting_Curves/meltCurve_P10809_HSPD1.pdf")</f>
        <v>Melting_Curves/meltCurve_P10809_HSPD1.pdf</v>
      </c>
    </row>
    <row r="1816" spans="1:28" x14ac:dyDescent="0.25">
      <c r="A1816" t="s">
        <v>1820</v>
      </c>
      <c r="B1816">
        <v>0.99930955844802105</v>
      </c>
      <c r="C1816">
        <v>1.0140726772567501</v>
      </c>
      <c r="D1816">
        <v>1.0198892777414299</v>
      </c>
      <c r="E1816">
        <v>0.94496378094729705</v>
      </c>
      <c r="F1816">
        <v>0.72001514302585601</v>
      </c>
      <c r="G1816">
        <v>0.33416177081299903</v>
      </c>
      <c r="H1816">
        <v>0.148270579641019</v>
      </c>
      <c r="I1816">
        <v>9.8064968035551994E-2</v>
      </c>
      <c r="J1816">
        <v>7.7823736816758499E-2</v>
      </c>
      <c r="K1816">
        <v>5.7077352186222598E-2</v>
      </c>
      <c r="L1816">
        <v>1376.7474184016601</v>
      </c>
      <c r="M1816">
        <v>25.068582744790799</v>
      </c>
      <c r="N1816">
        <v>55.236117402396602</v>
      </c>
      <c r="O1816">
        <v>54.573322031927397</v>
      </c>
      <c r="P1816">
        <v>-0.107148966468315</v>
      </c>
      <c r="Q1816">
        <v>6.6975749580503299E-2</v>
      </c>
      <c r="R1816">
        <v>0.99896946655042296</v>
      </c>
      <c r="S1816" t="s">
        <v>8433</v>
      </c>
      <c r="T1816" t="s">
        <v>13232</v>
      </c>
      <c r="U1816" t="s">
        <v>13232</v>
      </c>
      <c r="V1816" t="s">
        <v>13232</v>
      </c>
      <c r="W1816" t="s">
        <v>15000</v>
      </c>
      <c r="X1816">
        <v>43</v>
      </c>
      <c r="Y1816" t="s">
        <v>21508</v>
      </c>
      <c r="Z1816" t="s">
        <v>27947</v>
      </c>
      <c r="AA1816">
        <v>0.53956893475094347</v>
      </c>
      <c r="AB1816" t="str">
        <f>HYPERLINK("Melting_Curves/meltCurve_P11021_HSPA5.pdf", "Melting_Curves/meltCurve_P11021_HSPA5.pdf")</f>
        <v>Melting_Curves/meltCurve_P11021_HSPA5.pdf</v>
      </c>
    </row>
    <row r="1817" spans="1:28" x14ac:dyDescent="0.25">
      <c r="A1817" t="s">
        <v>1821</v>
      </c>
      <c r="B1817">
        <v>0.99930955844802105</v>
      </c>
      <c r="C1817">
        <v>1.11300164459936</v>
      </c>
      <c r="D1817">
        <v>1.1071832636310499</v>
      </c>
      <c r="E1817">
        <v>0.97509973568335295</v>
      </c>
      <c r="F1817">
        <v>0.55113742847147795</v>
      </c>
      <c r="G1817">
        <v>0.22540558209189299</v>
      </c>
      <c r="H1817">
        <v>0.129906932219925</v>
      </c>
      <c r="I1817">
        <v>0.11742391374149801</v>
      </c>
      <c r="J1817">
        <v>0.10158252438529</v>
      </c>
      <c r="K1817">
        <v>8.3666602503799897E-2</v>
      </c>
      <c r="L1817">
        <v>2112.6659654565901</v>
      </c>
      <c r="M1817">
        <v>39.776297500575097</v>
      </c>
      <c r="N1817">
        <v>53.471549276810102</v>
      </c>
      <c r="O1817">
        <v>52.979983858182798</v>
      </c>
      <c r="P1817">
        <v>-0.165761664601423</v>
      </c>
      <c r="Q1817">
        <v>0.116858000201586</v>
      </c>
      <c r="R1817">
        <v>0.98337350408843405</v>
      </c>
      <c r="S1817" t="s">
        <v>8434</v>
      </c>
      <c r="T1817" t="s">
        <v>13232</v>
      </c>
      <c r="U1817" t="s">
        <v>13232</v>
      </c>
      <c r="V1817" t="s">
        <v>13232</v>
      </c>
      <c r="W1817" t="s">
        <v>15001</v>
      </c>
      <c r="X1817">
        <v>6</v>
      </c>
      <c r="Y1817" t="s">
        <v>21509</v>
      </c>
      <c r="Z1817" t="s">
        <v>27948</v>
      </c>
      <c r="AA1817">
        <v>0.50617495025886994</v>
      </c>
      <c r="AB1817" t="str">
        <f>HYPERLINK("Melting_Curves/meltCurve_P11086_PNMT.pdf", "Melting_Curves/meltCurve_P11086_PNMT.pdf")</f>
        <v>Melting_Curves/meltCurve_P11086_PNMT.pdf</v>
      </c>
    </row>
    <row r="1818" spans="1:28" x14ac:dyDescent="0.25">
      <c r="A1818" t="s">
        <v>1822</v>
      </c>
      <c r="B1818">
        <v>0.99930955844802105</v>
      </c>
      <c r="C1818">
        <v>0.47980319310952102</v>
      </c>
      <c r="D1818">
        <v>0.418299012613502</v>
      </c>
      <c r="E1818">
        <v>0.83737487419364998</v>
      </c>
      <c r="F1818">
        <v>0.58858480762070697</v>
      </c>
      <c r="G1818">
        <v>0.30107837721498099</v>
      </c>
      <c r="H1818">
        <v>1.0564017029013399</v>
      </c>
      <c r="I1818">
        <v>0.223102640365023</v>
      </c>
      <c r="J1818">
        <v>0.19048147682533401</v>
      </c>
      <c r="K1818">
        <v>0.140270880526423</v>
      </c>
      <c r="L1818">
        <v>197.29195711104299</v>
      </c>
      <c r="M1818">
        <v>3.5716674321831601</v>
      </c>
      <c r="N1818">
        <v>55.238053611235301</v>
      </c>
      <c r="O1818">
        <v>43.630954081768898</v>
      </c>
      <c r="P1818">
        <v>-2.08409432723679E-2</v>
      </c>
      <c r="Q1818">
        <v>0</v>
      </c>
      <c r="R1818">
        <v>0.26245193623346103</v>
      </c>
      <c r="S1818" t="s">
        <v>8435</v>
      </c>
      <c r="T1818" t="s">
        <v>13232</v>
      </c>
      <c r="U1818" t="s">
        <v>13232</v>
      </c>
      <c r="V1818" t="s">
        <v>13232</v>
      </c>
      <c r="W1818" t="s">
        <v>15002</v>
      </c>
      <c r="X1818">
        <v>3</v>
      </c>
      <c r="Y1818" t="s">
        <v>21510</v>
      </c>
      <c r="Z1818" t="s">
        <v>27949</v>
      </c>
      <c r="AA1818">
        <v>0.52348185470214537</v>
      </c>
      <c r="AB1818" t="str">
        <f>HYPERLINK("Melting_Curves/meltCurve_P11137_3_MAP2.pdf", "Melting_Curves/meltCurve_P11137_3_MAP2.pdf")</f>
        <v>Melting_Curves/meltCurve_P11137_3_MAP2.pdf</v>
      </c>
    </row>
    <row r="1819" spans="1:28" x14ac:dyDescent="0.25">
      <c r="A1819" t="s">
        <v>1823</v>
      </c>
      <c r="B1819">
        <v>0.99930955844802105</v>
      </c>
      <c r="C1819">
        <v>0.99199562645723904</v>
      </c>
      <c r="D1819">
        <v>1.03299154939879</v>
      </c>
      <c r="E1819">
        <v>0.94394709897902096</v>
      </c>
      <c r="F1819">
        <v>0.75981809387838595</v>
      </c>
      <c r="G1819">
        <v>0.21616154242893099</v>
      </c>
      <c r="H1819">
        <v>0.100638908240122</v>
      </c>
      <c r="I1819">
        <v>7.6782105877507306E-2</v>
      </c>
      <c r="J1819">
        <v>6.6335257345892601E-2</v>
      </c>
      <c r="K1819">
        <v>5.0664742638548803E-2</v>
      </c>
      <c r="L1819">
        <v>1964.99862076253</v>
      </c>
      <c r="M1819">
        <v>36.058919674530699</v>
      </c>
      <c r="N1819">
        <v>54.708072196275999</v>
      </c>
      <c r="O1819">
        <v>54.3273183459835</v>
      </c>
      <c r="P1819">
        <v>-0.15502103437696099</v>
      </c>
      <c r="Q1819">
        <v>6.5767819648906295E-2</v>
      </c>
      <c r="R1819">
        <v>0.998740475881009</v>
      </c>
      <c r="S1819" t="s">
        <v>8436</v>
      </c>
      <c r="T1819" t="s">
        <v>13232</v>
      </c>
      <c r="U1819" t="s">
        <v>13232</v>
      </c>
      <c r="V1819" t="s">
        <v>13232</v>
      </c>
      <c r="W1819" t="s">
        <v>15003</v>
      </c>
      <c r="X1819">
        <v>61</v>
      </c>
      <c r="Y1819" t="s">
        <v>21511</v>
      </c>
      <c r="Z1819" t="s">
        <v>27950</v>
      </c>
      <c r="AA1819">
        <v>0.52144193699150532</v>
      </c>
      <c r="AB1819" t="str">
        <f>HYPERLINK("Melting_Curves/meltCurve_P11142_HSPA8.pdf", "Melting_Curves/meltCurve_P11142_HSPA8.pdf")</f>
        <v>Melting_Curves/meltCurve_P11142_HSPA8.pdf</v>
      </c>
    </row>
    <row r="1820" spans="1:28" x14ac:dyDescent="0.25">
      <c r="A1820" t="s">
        <v>1824</v>
      </c>
      <c r="B1820">
        <v>0.99930955844802105</v>
      </c>
      <c r="C1820">
        <v>0.92896400676524604</v>
      </c>
      <c r="D1820">
        <v>0.80523720647012398</v>
      </c>
      <c r="E1820">
        <v>0.98498994449047395</v>
      </c>
      <c r="F1820">
        <v>0.72186753821441296</v>
      </c>
      <c r="G1820">
        <v>0.68121430318993803</v>
      </c>
      <c r="H1820">
        <v>0.66923220475393497</v>
      </c>
      <c r="I1820">
        <v>0.72984458502142602</v>
      </c>
      <c r="J1820">
        <v>0.71343796318575303</v>
      </c>
      <c r="K1820">
        <v>0.54021149026313298</v>
      </c>
      <c r="L1820">
        <v>355.44183946265701</v>
      </c>
      <c r="M1820">
        <v>6.4803419673121399</v>
      </c>
      <c r="O1820">
        <v>50.327218673498102</v>
      </c>
      <c r="P1820">
        <v>-1.52241067993931E-2</v>
      </c>
      <c r="Q1820">
        <v>0.528228457089015</v>
      </c>
      <c r="R1820">
        <v>0.72154023571562498</v>
      </c>
      <c r="S1820" t="s">
        <v>8437</v>
      </c>
      <c r="T1820" t="s">
        <v>13232</v>
      </c>
      <c r="U1820" t="s">
        <v>13232</v>
      </c>
      <c r="V1820" t="s">
        <v>13232</v>
      </c>
      <c r="W1820" t="s">
        <v>15004</v>
      </c>
      <c r="X1820">
        <v>41</v>
      </c>
      <c r="Y1820" t="s">
        <v>21512</v>
      </c>
      <c r="Z1820" t="s">
        <v>27951</v>
      </c>
      <c r="AA1820">
        <v>0.77503363053040397</v>
      </c>
      <c r="AB1820" t="str">
        <f>HYPERLINK("Melting_Curves/meltCurve_P11171_EPB41.pdf", "Melting_Curves/meltCurve_P11171_EPB41.pdf")</f>
        <v>Melting_Curves/meltCurve_P11171_EPB41.pdf</v>
      </c>
    </row>
    <row r="1821" spans="1:28" x14ac:dyDescent="0.25">
      <c r="A1821" t="s">
        <v>1825</v>
      </c>
      <c r="B1821">
        <v>0.99930955844802105</v>
      </c>
      <c r="C1821">
        <v>1.0573940090601599</v>
      </c>
      <c r="D1821">
        <v>1.0307887498374699</v>
      </c>
      <c r="E1821">
        <v>0.97976187337508103</v>
      </c>
      <c r="F1821">
        <v>0.66848244914120403</v>
      </c>
      <c r="G1821">
        <v>0.57023663348262499</v>
      </c>
      <c r="H1821">
        <v>0.53491654786052401</v>
      </c>
      <c r="I1821">
        <v>0.55879940855889698</v>
      </c>
      <c r="J1821">
        <v>0.54117885560012502</v>
      </c>
      <c r="K1821">
        <v>0.43859979151814799</v>
      </c>
      <c r="L1821">
        <v>3280.2085146262598</v>
      </c>
      <c r="M1821">
        <v>62.725897886056202</v>
      </c>
      <c r="O1821">
        <v>52.241259926226398</v>
      </c>
      <c r="P1821">
        <v>-0.14171283106670099</v>
      </c>
      <c r="Q1821">
        <v>0.52789815555713404</v>
      </c>
      <c r="R1821">
        <v>0.97267557092338597</v>
      </c>
      <c r="S1821" t="s">
        <v>8438</v>
      </c>
      <c r="T1821" t="s">
        <v>13232</v>
      </c>
      <c r="U1821" t="s">
        <v>13232</v>
      </c>
      <c r="V1821" t="s">
        <v>13232</v>
      </c>
      <c r="W1821" t="s">
        <v>15005</v>
      </c>
      <c r="X1821">
        <v>41</v>
      </c>
      <c r="Y1821" t="s">
        <v>21512</v>
      </c>
      <c r="Z1821" t="s">
        <v>27952</v>
      </c>
      <c r="AA1821">
        <v>0.72206114829566015</v>
      </c>
      <c r="AB1821" t="str">
        <f>HYPERLINK("Melting_Curves/meltCurve_P11171_2_EPB41.pdf", "Melting_Curves/meltCurve_P11171_2_EPB41.pdf")</f>
        <v>Melting_Curves/meltCurve_P11171_2_EPB41.pdf</v>
      </c>
    </row>
    <row r="1822" spans="1:28" x14ac:dyDescent="0.25">
      <c r="A1822" t="s">
        <v>1826</v>
      </c>
      <c r="B1822">
        <v>0.99930955844802105</v>
      </c>
      <c r="C1822">
        <v>1.0516028806623401</v>
      </c>
      <c r="D1822">
        <v>1.0423079147165799</v>
      </c>
      <c r="E1822">
        <v>0.94022000864741095</v>
      </c>
      <c r="F1822">
        <v>0.79330703736913299</v>
      </c>
      <c r="G1822">
        <v>0.72312545891700297</v>
      </c>
      <c r="H1822">
        <v>0.69075709143339803</v>
      </c>
      <c r="I1822">
        <v>0.77715091871110897</v>
      </c>
      <c r="J1822">
        <v>0.73080333197207104</v>
      </c>
      <c r="K1822">
        <v>0.58493249308138395</v>
      </c>
      <c r="L1822">
        <v>1925.01204558723</v>
      </c>
      <c r="M1822">
        <v>37.058565801266901</v>
      </c>
      <c r="O1822">
        <v>51.794543540039797</v>
      </c>
      <c r="P1822">
        <v>-5.3949944280904397E-2</v>
      </c>
      <c r="Q1822">
        <v>0.69839026513657798</v>
      </c>
      <c r="R1822">
        <v>0.89551981415593396</v>
      </c>
      <c r="S1822" t="s">
        <v>8439</v>
      </c>
      <c r="T1822" t="s">
        <v>13232</v>
      </c>
      <c r="U1822" t="s">
        <v>13232</v>
      </c>
      <c r="V1822" t="s">
        <v>13232</v>
      </c>
      <c r="W1822" t="s">
        <v>15006</v>
      </c>
      <c r="X1822">
        <v>35</v>
      </c>
      <c r="Y1822" t="s">
        <v>21512</v>
      </c>
      <c r="Z1822" t="s">
        <v>27953</v>
      </c>
      <c r="AA1822">
        <v>0.81974461556372158</v>
      </c>
      <c r="AB1822" t="str">
        <f>HYPERLINK("Melting_Curves/meltCurve_P11171_4_EPB41.pdf", "Melting_Curves/meltCurve_P11171_4_EPB41.pdf")</f>
        <v>Melting_Curves/meltCurve_P11171_4_EPB41.pdf</v>
      </c>
    </row>
    <row r="1823" spans="1:28" x14ac:dyDescent="0.25">
      <c r="A1823" t="s">
        <v>1827</v>
      </c>
      <c r="B1823">
        <v>0.99930955844802105</v>
      </c>
      <c r="C1823">
        <v>1.05846821700769</v>
      </c>
      <c r="D1823">
        <v>1.00781285603106</v>
      </c>
      <c r="E1823">
        <v>0.80450821285556595</v>
      </c>
      <c r="F1823">
        <v>0.46016597052129399</v>
      </c>
      <c r="G1823">
        <v>0.20111819203521999</v>
      </c>
      <c r="H1823">
        <v>9.2988543230473203E-2</v>
      </c>
      <c r="I1823">
        <v>6.2231148111512799E-2</v>
      </c>
      <c r="J1823">
        <v>5.2273490851406999E-2</v>
      </c>
      <c r="K1823">
        <v>3.9551875301418099E-2</v>
      </c>
      <c r="L1823">
        <v>1322.70343361906</v>
      </c>
      <c r="M1823">
        <v>25.1481066049836</v>
      </c>
      <c r="N1823">
        <v>52.837577189856297</v>
      </c>
      <c r="O1823">
        <v>52.267322396592299</v>
      </c>
      <c r="P1823">
        <v>-0.11376923187172</v>
      </c>
      <c r="Q1823">
        <v>5.4189279656202703E-2</v>
      </c>
      <c r="R1823">
        <v>0.99625728258988999</v>
      </c>
      <c r="S1823" t="s">
        <v>8440</v>
      </c>
      <c r="T1823" t="s">
        <v>13232</v>
      </c>
      <c r="U1823" t="s">
        <v>13232</v>
      </c>
      <c r="V1823" t="s">
        <v>13232</v>
      </c>
      <c r="W1823" t="s">
        <v>15007</v>
      </c>
      <c r="X1823">
        <v>30</v>
      </c>
      <c r="Y1823" t="s">
        <v>21513</v>
      </c>
      <c r="Z1823" t="s">
        <v>27954</v>
      </c>
      <c r="AA1823">
        <v>0.45990514621084527</v>
      </c>
      <c r="AB1823" t="str">
        <f>HYPERLINK("Melting_Curves/meltCurve_P11172_UMPS.pdf", "Melting_Curves/meltCurve_P11172_UMPS.pdf")</f>
        <v>Melting_Curves/meltCurve_P11172_UMPS.pdf</v>
      </c>
    </row>
    <row r="1824" spans="1:28" x14ac:dyDescent="0.25">
      <c r="A1824" t="s">
        <v>1828</v>
      </c>
      <c r="B1824">
        <v>0.99930955844802105</v>
      </c>
      <c r="C1824">
        <v>0.61889074649082498</v>
      </c>
      <c r="D1824">
        <v>0.48801792909421599</v>
      </c>
      <c r="E1824">
        <v>0.46919380960048102</v>
      </c>
      <c r="F1824">
        <v>0.29902522825481798</v>
      </c>
      <c r="G1824">
        <v>0.20218799812470101</v>
      </c>
      <c r="H1824">
        <v>0.119105874954158</v>
      </c>
      <c r="I1824">
        <v>8.2475807501170895E-2</v>
      </c>
      <c r="J1824">
        <v>6.0685105645549201E-2</v>
      </c>
      <c r="K1824">
        <v>5.5190597217987102E-2</v>
      </c>
      <c r="L1824">
        <v>425.81350007930303</v>
      </c>
      <c r="M1824">
        <v>8.9702435829571794</v>
      </c>
      <c r="N1824">
        <v>47.522745575497602</v>
      </c>
      <c r="O1824">
        <v>45.288351175610799</v>
      </c>
      <c r="P1824">
        <v>-4.9306279451006803E-2</v>
      </c>
      <c r="Q1824">
        <v>4.9945272750564597E-3</v>
      </c>
      <c r="R1824">
        <v>0.94154101740831397</v>
      </c>
      <c r="S1824" t="s">
        <v>8441</v>
      </c>
      <c r="T1824" t="s">
        <v>13232</v>
      </c>
      <c r="U1824" t="s">
        <v>13232</v>
      </c>
      <c r="V1824" t="s">
        <v>13232</v>
      </c>
      <c r="W1824" t="s">
        <v>15008</v>
      </c>
      <c r="X1824">
        <v>4</v>
      </c>
      <c r="Y1824" t="s">
        <v>21514</v>
      </c>
      <c r="Z1824" t="s">
        <v>27955</v>
      </c>
      <c r="AA1824">
        <v>0.31758602548499931</v>
      </c>
      <c r="AB1824" t="str">
        <f>HYPERLINK("Melting_Curves/meltCurve_P11177_3_PDHB.pdf", "Melting_Curves/meltCurve_P11177_3_PDHB.pdf")</f>
        <v>Melting_Curves/meltCurve_P11177_3_PDHB.pdf</v>
      </c>
    </row>
    <row r="1825" spans="1:28" x14ac:dyDescent="0.25">
      <c r="A1825" t="s">
        <v>1829</v>
      </c>
      <c r="B1825">
        <v>0.99930955844802105</v>
      </c>
      <c r="C1825">
        <v>0.92195221100648905</v>
      </c>
      <c r="D1825">
        <v>0.89835524667758204</v>
      </c>
      <c r="E1825">
        <v>0.78498729829473302</v>
      </c>
      <c r="F1825">
        <v>0.459613807354324</v>
      </c>
      <c r="G1825">
        <v>0.26383286422844598</v>
      </c>
      <c r="H1825">
        <v>0.146927716219972</v>
      </c>
      <c r="I1825">
        <v>0.11722062048097801</v>
      </c>
      <c r="J1825">
        <v>0.102669508329517</v>
      </c>
      <c r="K1825">
        <v>0.101413795635605</v>
      </c>
      <c r="L1825">
        <v>960.95297795598901</v>
      </c>
      <c r="M1825">
        <v>18.343877234388099</v>
      </c>
      <c r="N1825">
        <v>52.935827452764698</v>
      </c>
      <c r="O1825">
        <v>51.774823841307402</v>
      </c>
      <c r="P1825">
        <v>-8.0889444828302404E-2</v>
      </c>
      <c r="Q1825">
        <v>8.6813327103330201E-2</v>
      </c>
      <c r="R1825">
        <v>0.992812516433213</v>
      </c>
      <c r="S1825" t="s">
        <v>8442</v>
      </c>
      <c r="T1825" t="s">
        <v>13232</v>
      </c>
      <c r="U1825" t="s">
        <v>13232</v>
      </c>
      <c r="V1825" t="s">
        <v>13232</v>
      </c>
      <c r="W1825" t="s">
        <v>15009</v>
      </c>
      <c r="X1825">
        <v>4</v>
      </c>
      <c r="Y1825" t="s">
        <v>21515</v>
      </c>
      <c r="Z1825" t="s">
        <v>27956</v>
      </c>
      <c r="AA1825">
        <v>0.47846157652263571</v>
      </c>
      <c r="AB1825" t="str">
        <f>HYPERLINK("Melting_Curves/meltCurve_P11216_PYGB.pdf", "Melting_Curves/meltCurve_P11216_PYGB.pdf")</f>
        <v>Melting_Curves/meltCurve_P11216_PYGB.pdf</v>
      </c>
    </row>
    <row r="1826" spans="1:28" x14ac:dyDescent="0.25">
      <c r="A1826" t="s">
        <v>1830</v>
      </c>
      <c r="B1826">
        <v>0.99930955844802105</v>
      </c>
      <c r="C1826">
        <v>0.73122366017833895</v>
      </c>
      <c r="D1826">
        <v>0.59877711452850102</v>
      </c>
      <c r="E1826">
        <v>0.65497159021988305</v>
      </c>
      <c r="F1826">
        <v>0.38564022113066199</v>
      </c>
      <c r="G1826">
        <v>0.21157464094851</v>
      </c>
      <c r="H1826">
        <v>0.11339767046721</v>
      </c>
      <c r="I1826">
        <v>7.2207337120476806E-2</v>
      </c>
      <c r="J1826">
        <v>6.1918551824389198E-2</v>
      </c>
      <c r="K1826">
        <v>3.8289264528244202E-2</v>
      </c>
      <c r="L1826">
        <v>480.77035697421002</v>
      </c>
      <c r="M1826">
        <v>9.6177451236082199</v>
      </c>
      <c r="N1826">
        <v>49.987845475368204</v>
      </c>
      <c r="O1826">
        <v>47.970140219683998</v>
      </c>
      <c r="P1826">
        <v>-5.0151893157170099E-2</v>
      </c>
      <c r="Q1826">
        <v>0</v>
      </c>
      <c r="R1826">
        <v>0.94736921430416399</v>
      </c>
      <c r="S1826" t="s">
        <v>8443</v>
      </c>
      <c r="T1826" t="s">
        <v>13232</v>
      </c>
      <c r="U1826" t="s">
        <v>13232</v>
      </c>
      <c r="V1826" t="s">
        <v>13232</v>
      </c>
      <c r="W1826" t="s">
        <v>15010</v>
      </c>
      <c r="X1826">
        <v>3</v>
      </c>
      <c r="Y1826" t="s">
        <v>21516</v>
      </c>
      <c r="Z1826" t="s">
        <v>27957</v>
      </c>
      <c r="AA1826">
        <v>0.38061282901124899</v>
      </c>
      <c r="AB1826" t="str">
        <f>HYPERLINK("Melting_Curves/meltCurve_P11233_RALA.pdf", "Melting_Curves/meltCurve_P11233_RALA.pdf")</f>
        <v>Melting_Curves/meltCurve_P11233_RALA.pdf</v>
      </c>
    </row>
    <row r="1827" spans="1:28" x14ac:dyDescent="0.25">
      <c r="A1827" t="s">
        <v>1831</v>
      </c>
      <c r="B1827">
        <v>0.99930955844802105</v>
      </c>
      <c r="C1827">
        <v>0.83852092666759104</v>
      </c>
      <c r="D1827">
        <v>0.83857321796266604</v>
      </c>
      <c r="E1827">
        <v>0.73412769431727398</v>
      </c>
      <c r="F1827">
        <v>0.47937138091444498</v>
      </c>
      <c r="G1827">
        <v>0.28454556707866502</v>
      </c>
      <c r="H1827">
        <v>0.16301273157039001</v>
      </c>
      <c r="I1827">
        <v>0.14828466673252899</v>
      </c>
      <c r="J1827">
        <v>0.13181001874051501</v>
      </c>
      <c r="K1827">
        <v>0.10374426421516</v>
      </c>
      <c r="L1827">
        <v>631.91513766212904</v>
      </c>
      <c r="M1827">
        <v>12.057409480612399</v>
      </c>
      <c r="N1827">
        <v>52.851895237049</v>
      </c>
      <c r="O1827">
        <v>51.029706802905999</v>
      </c>
      <c r="P1827">
        <v>-5.6244579914113003E-2</v>
      </c>
      <c r="Q1827">
        <v>4.8065664446763003E-2</v>
      </c>
      <c r="R1827">
        <v>0.98305898829464</v>
      </c>
      <c r="S1827" t="s">
        <v>8444</v>
      </c>
      <c r="T1827" t="s">
        <v>13232</v>
      </c>
      <c r="U1827" t="s">
        <v>13232</v>
      </c>
      <c r="V1827" t="s">
        <v>13232</v>
      </c>
      <c r="W1827" t="s">
        <v>15011</v>
      </c>
      <c r="X1827">
        <v>2</v>
      </c>
      <c r="Y1827" t="s">
        <v>21517</v>
      </c>
      <c r="Z1827" t="s">
        <v>27958</v>
      </c>
      <c r="AA1827">
        <v>0.46997059918720319</v>
      </c>
      <c r="AB1827" t="str">
        <f>HYPERLINK("Melting_Curves/meltCurve_P11234_RALB.pdf", "Melting_Curves/meltCurve_P11234_RALB.pdf")</f>
        <v>Melting_Curves/meltCurve_P11234_RALB.pdf</v>
      </c>
    </row>
    <row r="1828" spans="1:28" x14ac:dyDescent="0.25">
      <c r="A1828" t="s">
        <v>1832</v>
      </c>
      <c r="B1828">
        <v>0.99930955844802105</v>
      </c>
      <c r="C1828">
        <v>0.96880099348033499</v>
      </c>
      <c r="D1828">
        <v>0.73403095619540404</v>
      </c>
      <c r="E1828">
        <v>0.555680798151021</v>
      </c>
      <c r="F1828">
        <v>0.40556370862187402</v>
      </c>
      <c r="G1828">
        <v>0.32793341530487102</v>
      </c>
      <c r="H1828">
        <v>0.29881271621165001</v>
      </c>
      <c r="I1828">
        <v>0.291438430308047</v>
      </c>
      <c r="J1828">
        <v>0.274969909460616</v>
      </c>
      <c r="K1828">
        <v>0.21684581779183401</v>
      </c>
      <c r="L1828">
        <v>778.46201009552396</v>
      </c>
      <c r="M1828">
        <v>16.052753821650999</v>
      </c>
      <c r="N1828">
        <v>50.789875455344401</v>
      </c>
      <c r="O1828">
        <v>47.760150547529399</v>
      </c>
      <c r="P1828">
        <v>-6.2354129117402797E-2</v>
      </c>
      <c r="Q1828">
        <v>0.25799347106034598</v>
      </c>
      <c r="R1828">
        <v>0.98932504027386103</v>
      </c>
      <c r="S1828" t="s">
        <v>8445</v>
      </c>
      <c r="T1828" t="s">
        <v>13232</v>
      </c>
      <c r="U1828" t="s">
        <v>13232</v>
      </c>
      <c r="V1828" t="s">
        <v>13232</v>
      </c>
      <c r="W1828" t="s">
        <v>15012</v>
      </c>
      <c r="X1828">
        <v>34</v>
      </c>
      <c r="Y1828" t="s">
        <v>21518</v>
      </c>
      <c r="Z1828" t="s">
        <v>27959</v>
      </c>
      <c r="AA1828">
        <v>0.48443868777270022</v>
      </c>
      <c r="AB1828" t="str">
        <f>HYPERLINK("Melting_Curves/meltCurve_P11274_BCR.pdf", "Melting_Curves/meltCurve_P11274_BCR.pdf")</f>
        <v>Melting_Curves/meltCurve_P11274_BCR.pdf</v>
      </c>
    </row>
    <row r="1829" spans="1:28" x14ac:dyDescent="0.25">
      <c r="A1829" t="s">
        <v>1833</v>
      </c>
      <c r="B1829">
        <v>0.99930955844802105</v>
      </c>
      <c r="C1829">
        <v>0.80150165187496802</v>
      </c>
      <c r="D1829">
        <v>0.63559827265993696</v>
      </c>
      <c r="E1829">
        <v>0.32051054855848898</v>
      </c>
      <c r="F1829">
        <v>0.19574590515981499</v>
      </c>
      <c r="G1829">
        <v>0.16289801022296399</v>
      </c>
      <c r="H1829">
        <v>0.137711147951422</v>
      </c>
      <c r="I1829">
        <v>0.13604675891325499</v>
      </c>
      <c r="J1829">
        <v>0.12409473622893299</v>
      </c>
      <c r="K1829">
        <v>0.102328280941339</v>
      </c>
      <c r="L1829">
        <v>824.99244824782397</v>
      </c>
      <c r="M1829">
        <v>17.690099320866199</v>
      </c>
      <c r="N1829">
        <v>47.355338532696898</v>
      </c>
      <c r="O1829">
        <v>46.052127994246703</v>
      </c>
      <c r="P1829">
        <v>-8.4720534429370803E-2</v>
      </c>
      <c r="Q1829">
        <v>0.11784453510876999</v>
      </c>
      <c r="R1829">
        <v>0.99466317503080204</v>
      </c>
      <c r="S1829" t="s">
        <v>8446</v>
      </c>
      <c r="T1829" t="s">
        <v>13232</v>
      </c>
      <c r="U1829" t="s">
        <v>13232</v>
      </c>
      <c r="V1829" t="s">
        <v>13232</v>
      </c>
      <c r="W1829" t="s">
        <v>15013</v>
      </c>
      <c r="X1829">
        <v>26</v>
      </c>
      <c r="Y1829" t="s">
        <v>21519</v>
      </c>
      <c r="Z1829" t="s">
        <v>27960</v>
      </c>
      <c r="AA1829">
        <v>0.33021426419615979</v>
      </c>
      <c r="AB1829" t="str">
        <f>HYPERLINK("Melting_Curves/meltCurve_P11277_3_SPTB.pdf", "Melting_Curves/meltCurve_P11277_3_SPTB.pdf")</f>
        <v>Melting_Curves/meltCurve_P11277_3_SPTB.pdf</v>
      </c>
    </row>
    <row r="1830" spans="1:28" x14ac:dyDescent="0.25">
      <c r="A1830" t="s">
        <v>1834</v>
      </c>
      <c r="B1830">
        <v>0.99930955844802105</v>
      </c>
      <c r="C1830">
        <v>0.99181205340600598</v>
      </c>
      <c r="D1830">
        <v>0.94079297906468595</v>
      </c>
      <c r="E1830">
        <v>0.85501178915498299</v>
      </c>
      <c r="F1830">
        <v>0.82215996461798402</v>
      </c>
      <c r="G1830">
        <v>0.64674437256080697</v>
      </c>
      <c r="H1830">
        <v>0.59734476779951895</v>
      </c>
      <c r="I1830">
        <v>0.54108453575438398</v>
      </c>
      <c r="J1830">
        <v>0.56261085835329505</v>
      </c>
      <c r="K1830">
        <v>0.43502996670557698</v>
      </c>
      <c r="L1830">
        <v>576.88342714877695</v>
      </c>
      <c r="M1830">
        <v>10.283693308331101</v>
      </c>
      <c r="N1830">
        <v>67.578680081974696</v>
      </c>
      <c r="O1830">
        <v>54.099868935994898</v>
      </c>
      <c r="P1830">
        <v>-2.79136009533432E-2</v>
      </c>
      <c r="Q1830">
        <v>0.41287143452367697</v>
      </c>
      <c r="R1830">
        <v>0.97900468736428403</v>
      </c>
      <c r="S1830" t="s">
        <v>8447</v>
      </c>
      <c r="T1830" t="s">
        <v>13232</v>
      </c>
      <c r="U1830" t="s">
        <v>13232</v>
      </c>
      <c r="V1830" t="s">
        <v>13232</v>
      </c>
      <c r="W1830" t="s">
        <v>15014</v>
      </c>
      <c r="X1830">
        <v>2</v>
      </c>
      <c r="Y1830" t="s">
        <v>21520</v>
      </c>
      <c r="Z1830" t="s">
        <v>27961</v>
      </c>
      <c r="AA1830">
        <v>0.74001484404277018</v>
      </c>
      <c r="AB1830" t="str">
        <f>HYPERLINK("Melting_Curves/meltCurve_P11279_LAMP1.pdf", "Melting_Curves/meltCurve_P11279_LAMP1.pdf")</f>
        <v>Melting_Curves/meltCurve_P11279_LAMP1.pdf</v>
      </c>
    </row>
    <row r="1831" spans="1:28" x14ac:dyDescent="0.25">
      <c r="A1831" t="s">
        <v>1835</v>
      </c>
      <c r="B1831">
        <v>0.99930955844802105</v>
      </c>
      <c r="C1831">
        <v>0.83997285231883201</v>
      </c>
      <c r="D1831">
        <v>0.69516299286754102</v>
      </c>
      <c r="E1831">
        <v>0.61896515228253202</v>
      </c>
      <c r="F1831">
        <v>0.288488535476004</v>
      </c>
      <c r="G1831">
        <v>0.13947311067812199</v>
      </c>
      <c r="H1831">
        <v>7.1750135522978695E-2</v>
      </c>
      <c r="I1831">
        <v>5.7686151653571903E-2</v>
      </c>
      <c r="J1831">
        <v>4.7695747731074198E-2</v>
      </c>
      <c r="K1831">
        <v>3.7739587430121797E-2</v>
      </c>
      <c r="L1831">
        <v>632.01618107093304</v>
      </c>
      <c r="M1831">
        <v>12.6352180889031</v>
      </c>
      <c r="N1831">
        <v>50.020203430598301</v>
      </c>
      <c r="O1831">
        <v>48.816886469419501</v>
      </c>
      <c r="P1831">
        <v>-6.4719979637736597E-2</v>
      </c>
      <c r="Q1831">
        <v>0</v>
      </c>
      <c r="R1831">
        <v>0.98008956194992003</v>
      </c>
      <c r="S1831" t="s">
        <v>8448</v>
      </c>
      <c r="T1831" t="s">
        <v>13232</v>
      </c>
      <c r="U1831" t="s">
        <v>13232</v>
      </c>
      <c r="V1831" t="s">
        <v>13232</v>
      </c>
      <c r="W1831" t="s">
        <v>15015</v>
      </c>
      <c r="X1831">
        <v>17</v>
      </c>
      <c r="Y1831" t="s">
        <v>21521</v>
      </c>
      <c r="Z1831" t="s">
        <v>27962</v>
      </c>
      <c r="AA1831">
        <v>0.36586735884062771</v>
      </c>
      <c r="AB1831" t="str">
        <f>HYPERLINK("Melting_Curves/meltCurve_P11310_ACADM.pdf", "Melting_Curves/meltCurve_P11310_ACADM.pdf")</f>
        <v>Melting_Curves/meltCurve_P11310_ACADM.pdf</v>
      </c>
    </row>
    <row r="1832" spans="1:28" x14ac:dyDescent="0.25">
      <c r="A1832" t="s">
        <v>1836</v>
      </c>
      <c r="B1832">
        <v>0.99930955844802105</v>
      </c>
      <c r="C1832">
        <v>0.86354565925471205</v>
      </c>
      <c r="D1832">
        <v>0.51769224644450795</v>
      </c>
      <c r="E1832">
        <v>0.33099714344408698</v>
      </c>
      <c r="F1832">
        <v>0.22698710905134001</v>
      </c>
      <c r="G1832">
        <v>0.170307161513367</v>
      </c>
      <c r="H1832">
        <v>0.137951041859906</v>
      </c>
      <c r="I1832">
        <v>0.134903452034767</v>
      </c>
      <c r="J1832">
        <v>0.13133003027342199</v>
      </c>
      <c r="K1832">
        <v>9.8876656625430007E-2</v>
      </c>
      <c r="L1832">
        <v>870.560900151802</v>
      </c>
      <c r="M1832">
        <v>18.875901846004599</v>
      </c>
      <c r="N1832">
        <v>46.888210366611801</v>
      </c>
      <c r="O1832">
        <v>45.6119431248773</v>
      </c>
      <c r="P1832">
        <v>-8.9706031004877701E-2</v>
      </c>
      <c r="Q1832">
        <v>0.13296879139699899</v>
      </c>
      <c r="R1832">
        <v>0.98959158548235704</v>
      </c>
      <c r="S1832" t="s">
        <v>8449</v>
      </c>
      <c r="T1832" t="s">
        <v>13232</v>
      </c>
      <c r="U1832" t="s">
        <v>13232</v>
      </c>
      <c r="V1832" t="s">
        <v>13232</v>
      </c>
      <c r="W1832" t="s">
        <v>15016</v>
      </c>
      <c r="X1832">
        <v>11</v>
      </c>
      <c r="Y1832" t="s">
        <v>21522</v>
      </c>
      <c r="Z1832" t="s">
        <v>27963</v>
      </c>
      <c r="AA1832">
        <v>0.3250098874869457</v>
      </c>
      <c r="AB1832" t="str">
        <f>HYPERLINK("Melting_Curves/meltCurve_P11387_TOP1.pdf", "Melting_Curves/meltCurve_P11387_TOP1.pdf")</f>
        <v>Melting_Curves/meltCurve_P11387_TOP1.pdf</v>
      </c>
    </row>
    <row r="1833" spans="1:28" x14ac:dyDescent="0.25">
      <c r="A1833" t="s">
        <v>1837</v>
      </c>
      <c r="B1833">
        <v>0.99930955844802105</v>
      </c>
      <c r="C1833">
        <v>1.02766068530648</v>
      </c>
      <c r="D1833">
        <v>0.97928377962739599</v>
      </c>
      <c r="E1833">
        <v>0.62621659855169998</v>
      </c>
      <c r="F1833">
        <v>0.26528496476066299</v>
      </c>
      <c r="G1833">
        <v>0.175522552923462</v>
      </c>
      <c r="H1833">
        <v>0.123960568446579</v>
      </c>
      <c r="I1833">
        <v>0.10909702937434999</v>
      </c>
      <c r="J1833">
        <v>9.7741645662625401E-2</v>
      </c>
      <c r="K1833">
        <v>8.2063403566642198E-2</v>
      </c>
      <c r="L1833">
        <v>1621.8945400458199</v>
      </c>
      <c r="M1833">
        <v>32.103259837248302</v>
      </c>
      <c r="N1833">
        <v>50.9178557490294</v>
      </c>
      <c r="O1833">
        <v>50.3263631029319</v>
      </c>
      <c r="P1833">
        <v>-0.14183170356924199</v>
      </c>
      <c r="Q1833">
        <v>0.11064016447462301</v>
      </c>
      <c r="R1833">
        <v>0.99731020549883498</v>
      </c>
      <c r="S1833" t="s">
        <v>8450</v>
      </c>
      <c r="T1833" t="s">
        <v>13232</v>
      </c>
      <c r="U1833" t="s">
        <v>13232</v>
      </c>
      <c r="V1833" t="s">
        <v>13232</v>
      </c>
      <c r="W1833" t="s">
        <v>15017</v>
      </c>
      <c r="X1833">
        <v>18</v>
      </c>
      <c r="Y1833" t="s">
        <v>21523</v>
      </c>
      <c r="Z1833" t="s">
        <v>27964</v>
      </c>
      <c r="AA1833">
        <v>0.42738403491428772</v>
      </c>
      <c r="AB1833" t="str">
        <f>HYPERLINK("Melting_Curves/meltCurve_P11388_TOP2A.pdf", "Melting_Curves/meltCurve_P11388_TOP2A.pdf")</f>
        <v>Melting_Curves/meltCurve_P11388_TOP2A.pdf</v>
      </c>
    </row>
    <row r="1834" spans="1:28" x14ac:dyDescent="0.25">
      <c r="A1834" t="s">
        <v>1838</v>
      </c>
      <c r="B1834">
        <v>0.99930955844802105</v>
      </c>
      <c r="C1834">
        <v>1.0253458612197699</v>
      </c>
      <c r="D1834">
        <v>0.92072447123024603</v>
      </c>
      <c r="E1834">
        <v>0.862064788308189</v>
      </c>
      <c r="F1834">
        <v>0.38433562185640402</v>
      </c>
      <c r="G1834">
        <v>0.13574969289161901</v>
      </c>
      <c r="H1834">
        <v>7.6618997653368298E-2</v>
      </c>
      <c r="I1834">
        <v>6.2702398426713796E-2</v>
      </c>
      <c r="J1834">
        <v>5.2307749896212799E-2</v>
      </c>
      <c r="K1834">
        <v>4.1067559626233097E-2</v>
      </c>
      <c r="L1834">
        <v>1907.7033832503</v>
      </c>
      <c r="M1834">
        <v>36.565439130960499</v>
      </c>
      <c r="N1834">
        <v>52.363683205077301</v>
      </c>
      <c r="O1834">
        <v>52.017015379018602</v>
      </c>
      <c r="P1834">
        <v>-0.16474676879967401</v>
      </c>
      <c r="Q1834">
        <v>6.2545697039873199E-2</v>
      </c>
      <c r="R1834">
        <v>0.99520448359640101</v>
      </c>
      <c r="S1834" t="s">
        <v>8451</v>
      </c>
      <c r="T1834" t="s">
        <v>13232</v>
      </c>
      <c r="U1834" t="s">
        <v>13232</v>
      </c>
      <c r="V1834" t="s">
        <v>13232</v>
      </c>
      <c r="W1834" t="s">
        <v>15018</v>
      </c>
      <c r="X1834">
        <v>40</v>
      </c>
      <c r="Y1834" t="s">
        <v>20175</v>
      </c>
      <c r="Z1834" t="s">
        <v>27965</v>
      </c>
      <c r="AA1834">
        <v>0.4469582895063946</v>
      </c>
      <c r="AB1834" t="str">
        <f>HYPERLINK("Melting_Curves/meltCurve_P11413_G6PD.pdf", "Melting_Curves/meltCurve_P11413_G6PD.pdf")</f>
        <v>Melting_Curves/meltCurve_P11413_G6PD.pdf</v>
      </c>
    </row>
    <row r="1835" spans="1:28" x14ac:dyDescent="0.25">
      <c r="A1835" t="s">
        <v>1839</v>
      </c>
      <c r="B1835">
        <v>0.99930955844802105</v>
      </c>
      <c r="C1835">
        <v>0.98410919700356303</v>
      </c>
      <c r="D1835">
        <v>1.00613953310751</v>
      </c>
      <c r="E1835">
        <v>0.91361048548295898</v>
      </c>
      <c r="F1835">
        <v>0.71700059876284306</v>
      </c>
      <c r="G1835">
        <v>0.439059817892616</v>
      </c>
      <c r="H1835">
        <v>0.26677307157309199</v>
      </c>
      <c r="I1835">
        <v>0.22358238741716899</v>
      </c>
      <c r="J1835">
        <v>0.19064436173382801</v>
      </c>
      <c r="K1835">
        <v>0.144086231540654</v>
      </c>
      <c r="L1835">
        <v>1086.72723472963</v>
      </c>
      <c r="M1835">
        <v>19.747980641919401</v>
      </c>
      <c r="N1835">
        <v>56.1013424248994</v>
      </c>
      <c r="O1835">
        <v>54.474821164391599</v>
      </c>
      <c r="P1835">
        <v>-7.6393035061770198E-2</v>
      </c>
      <c r="Q1835">
        <v>0.15710785965956001</v>
      </c>
      <c r="R1835">
        <v>0.99827089969906602</v>
      </c>
      <c r="S1835" t="s">
        <v>8452</v>
      </c>
      <c r="T1835" t="s">
        <v>13232</v>
      </c>
      <c r="U1835" t="s">
        <v>13232</v>
      </c>
      <c r="V1835" t="s">
        <v>13232</v>
      </c>
      <c r="W1835" t="s">
        <v>15019</v>
      </c>
      <c r="X1835">
        <v>9</v>
      </c>
      <c r="Y1835" t="s">
        <v>21524</v>
      </c>
      <c r="Z1835" t="s">
        <v>27966</v>
      </c>
      <c r="AA1835">
        <v>0.59081808004675529</v>
      </c>
      <c r="AB1835" t="str">
        <f>HYPERLINK("Melting_Curves/meltCurve_P11441_UBL4A.pdf", "Melting_Curves/meltCurve_P11441_UBL4A.pdf")</f>
        <v>Melting_Curves/meltCurve_P11441_UBL4A.pdf</v>
      </c>
    </row>
    <row r="1836" spans="1:28" x14ac:dyDescent="0.25">
      <c r="A1836" t="s">
        <v>1840</v>
      </c>
      <c r="B1836">
        <v>0.99930955844802105</v>
      </c>
      <c r="C1836">
        <v>0.62152490907779101</v>
      </c>
      <c r="D1836">
        <v>0.28032661805999298</v>
      </c>
      <c r="E1836">
        <v>0.16448508044094001</v>
      </c>
      <c r="F1836">
        <v>0.100137902644437</v>
      </c>
      <c r="G1836">
        <v>6.7776539771508396E-2</v>
      </c>
      <c r="H1836">
        <v>3.33402648917639E-2</v>
      </c>
      <c r="I1836">
        <v>3.3870828715483997E-2</v>
      </c>
      <c r="J1836">
        <v>1.37128432202958E-2</v>
      </c>
      <c r="K1836">
        <v>1.2858448757767999E-2</v>
      </c>
      <c r="L1836">
        <v>1057.5373154207</v>
      </c>
      <c r="M1836">
        <v>24.071535712529599</v>
      </c>
      <c r="N1836">
        <v>44.120044419565502</v>
      </c>
      <c r="O1836">
        <v>43.633265479490703</v>
      </c>
      <c r="P1836">
        <v>-0.131235414414759</v>
      </c>
      <c r="Q1836">
        <v>4.8479381816438002E-2</v>
      </c>
      <c r="R1836">
        <v>0.98231826857252302</v>
      </c>
      <c r="S1836" t="s">
        <v>8453</v>
      </c>
      <c r="T1836" t="s">
        <v>13232</v>
      </c>
      <c r="U1836" t="s">
        <v>13232</v>
      </c>
      <c r="V1836" t="s">
        <v>13232</v>
      </c>
      <c r="W1836" t="s">
        <v>15020</v>
      </c>
      <c r="X1836">
        <v>8</v>
      </c>
      <c r="Y1836" t="s">
        <v>21525</v>
      </c>
      <c r="Z1836" t="s">
        <v>27967</v>
      </c>
      <c r="AA1836">
        <v>0.1853182972240271</v>
      </c>
      <c r="AB1836" t="str">
        <f>HYPERLINK("Melting_Curves/meltCurve_P11498_PC.pdf", "Melting_Curves/meltCurve_P11498_PC.pdf")</f>
        <v>Melting_Curves/meltCurve_P11498_PC.pdf</v>
      </c>
    </row>
    <row r="1837" spans="1:28" x14ac:dyDescent="0.25">
      <c r="A1837" t="s">
        <v>1841</v>
      </c>
      <c r="B1837">
        <v>0.99930955844802105</v>
      </c>
      <c r="C1837">
        <v>1.0025280146743201</v>
      </c>
      <c r="D1837">
        <v>0.96062206015326401</v>
      </c>
      <c r="E1837">
        <v>0.90195368550378197</v>
      </c>
      <c r="F1837">
        <v>0.65923109784248601</v>
      </c>
      <c r="G1837">
        <v>0.412623646666813</v>
      </c>
      <c r="H1837">
        <v>0.30966441162275898</v>
      </c>
      <c r="I1837">
        <v>0.29245686268919602</v>
      </c>
      <c r="J1837">
        <v>0.26557452593487102</v>
      </c>
      <c r="K1837">
        <v>0.22254482489053801</v>
      </c>
      <c r="L1837">
        <v>1181.28512400362</v>
      </c>
      <c r="M1837">
        <v>22.0121894694059</v>
      </c>
      <c r="N1837">
        <v>55.413907648800198</v>
      </c>
      <c r="O1837">
        <v>53.2280000212847</v>
      </c>
      <c r="P1837">
        <v>-7.75012093822703E-2</v>
      </c>
      <c r="Q1837">
        <v>0.250389102324311</v>
      </c>
      <c r="R1837">
        <v>0.99696348116650502</v>
      </c>
      <c r="S1837" t="s">
        <v>8454</v>
      </c>
      <c r="T1837" t="s">
        <v>13232</v>
      </c>
      <c r="U1837" t="s">
        <v>13232</v>
      </c>
      <c r="V1837" t="s">
        <v>13232</v>
      </c>
      <c r="W1837" t="s">
        <v>15021</v>
      </c>
      <c r="X1837">
        <v>29</v>
      </c>
      <c r="Y1837" t="s">
        <v>20382</v>
      </c>
      <c r="Z1837" t="s">
        <v>27968</v>
      </c>
      <c r="AA1837">
        <v>0.60054175781188524</v>
      </c>
      <c r="AB1837" t="str">
        <f>HYPERLINK("Melting_Curves/meltCurve_P11532_3_DMD.pdf", "Melting_Curves/meltCurve_P11532_3_DMD.pdf")</f>
        <v>Melting_Curves/meltCurve_P11532_3_DMD.pdf</v>
      </c>
    </row>
    <row r="1838" spans="1:28" x14ac:dyDescent="0.25">
      <c r="A1838" t="s">
        <v>1842</v>
      </c>
      <c r="B1838">
        <v>0.99930955844802105</v>
      </c>
      <c r="C1838">
        <v>0.89327194773094398</v>
      </c>
      <c r="D1838">
        <v>0.82024930687783704</v>
      </c>
      <c r="E1838">
        <v>0.83698064138174499</v>
      </c>
      <c r="F1838">
        <v>0.75655976168685002</v>
      </c>
      <c r="G1838">
        <v>0.65936950268332595</v>
      </c>
      <c r="H1838">
        <v>0.58781066485213596</v>
      </c>
      <c r="I1838">
        <v>0.60287018410253601</v>
      </c>
      <c r="J1838">
        <v>0.56027433067916499</v>
      </c>
      <c r="K1838">
        <v>0.41921777097697999</v>
      </c>
      <c r="L1838">
        <v>271.48124155624498</v>
      </c>
      <c r="M1838">
        <v>3.9984636346507498</v>
      </c>
      <c r="N1838">
        <v>67.896403486510806</v>
      </c>
      <c r="O1838">
        <v>55.733124306169998</v>
      </c>
      <c r="P1838">
        <v>-1.8166591605557499E-2</v>
      </c>
      <c r="Q1838">
        <v>0</v>
      </c>
      <c r="R1838">
        <v>0.94836660952260399</v>
      </c>
      <c r="S1838" t="s">
        <v>8455</v>
      </c>
      <c r="T1838" t="s">
        <v>13232</v>
      </c>
      <c r="U1838" t="s">
        <v>13232</v>
      </c>
      <c r="V1838" t="s">
        <v>13232</v>
      </c>
      <c r="W1838" t="s">
        <v>15022</v>
      </c>
      <c r="X1838">
        <v>15</v>
      </c>
      <c r="Y1838" t="s">
        <v>21526</v>
      </c>
      <c r="Z1838" t="s">
        <v>27969</v>
      </c>
      <c r="AA1838">
        <v>0.71516676962481085</v>
      </c>
      <c r="AB1838" t="str">
        <f>HYPERLINK("Melting_Curves/meltCurve_P11717_IGF2R.pdf", "Melting_Curves/meltCurve_P11717_IGF2R.pdf")</f>
        <v>Melting_Curves/meltCurve_P11717_IGF2R.pdf</v>
      </c>
    </row>
    <row r="1839" spans="1:28" x14ac:dyDescent="0.25">
      <c r="A1839" t="s">
        <v>1843</v>
      </c>
      <c r="B1839">
        <v>0.99930955844802105</v>
      </c>
      <c r="C1839">
        <v>1.1120421253283499</v>
      </c>
      <c r="D1839">
        <v>1.0988406318972399</v>
      </c>
      <c r="E1839">
        <v>1.0594086607045601</v>
      </c>
      <c r="F1839">
        <v>1.0941277292159199</v>
      </c>
      <c r="G1839">
        <v>0.88956439903261697</v>
      </c>
      <c r="H1839">
        <v>0.62650742388314196</v>
      </c>
      <c r="I1839">
        <v>0.26729990183256702</v>
      </c>
      <c r="J1839">
        <v>7.4855083929123406E-2</v>
      </c>
      <c r="K1839">
        <v>5.6201582304032598E-2</v>
      </c>
      <c r="L1839">
        <v>1925.0606528523001</v>
      </c>
      <c r="M1839">
        <v>31.129351053770701</v>
      </c>
      <c r="N1839">
        <v>61.894980085321798</v>
      </c>
      <c r="O1839">
        <v>61.587169780056897</v>
      </c>
      <c r="P1839">
        <v>-0.124661978488008</v>
      </c>
      <c r="Q1839">
        <v>1.34667254419345E-2</v>
      </c>
      <c r="R1839">
        <v>0.97753362061294502</v>
      </c>
      <c r="S1839" t="s">
        <v>8456</v>
      </c>
      <c r="T1839" t="s">
        <v>13232</v>
      </c>
      <c r="U1839" t="s">
        <v>13232</v>
      </c>
      <c r="V1839" t="s">
        <v>13232</v>
      </c>
      <c r="W1839" t="s">
        <v>15023</v>
      </c>
      <c r="X1839">
        <v>18</v>
      </c>
      <c r="Y1839" t="s">
        <v>21527</v>
      </c>
      <c r="Z1839" t="s">
        <v>27970</v>
      </c>
      <c r="AA1839">
        <v>0.73631641908578893</v>
      </c>
      <c r="AB1839" t="str">
        <f>HYPERLINK("Melting_Curves/meltCurve_P11766_ADH5.pdf", "Melting_Curves/meltCurve_P11766_ADH5.pdf")</f>
        <v>Melting_Curves/meltCurve_P11766_ADH5.pdf</v>
      </c>
    </row>
    <row r="1840" spans="1:28" x14ac:dyDescent="0.25">
      <c r="A1840" t="s">
        <v>1844</v>
      </c>
      <c r="B1840">
        <v>0.99930955844802105</v>
      </c>
      <c r="C1840">
        <v>0.76839056706860698</v>
      </c>
      <c r="D1840">
        <v>0.64965205494659395</v>
      </c>
      <c r="E1840">
        <v>0.46429363430968901</v>
      </c>
      <c r="F1840">
        <v>0.30164174142127598</v>
      </c>
      <c r="G1840">
        <v>0.22972366928221799</v>
      </c>
      <c r="H1840">
        <v>0.17063403198654101</v>
      </c>
      <c r="I1840">
        <v>0.17196930380351</v>
      </c>
      <c r="J1840">
        <v>0.152962784972101</v>
      </c>
      <c r="K1840">
        <v>0.11828205924113699</v>
      </c>
      <c r="L1840">
        <v>587.77142098360605</v>
      </c>
      <c r="M1840">
        <v>12.3350605974401</v>
      </c>
      <c r="N1840">
        <v>48.7476935854354</v>
      </c>
      <c r="O1840">
        <v>46.4500344074293</v>
      </c>
      <c r="P1840">
        <v>-5.8354090204629998E-2</v>
      </c>
      <c r="Q1840">
        <v>0.121216358975664</v>
      </c>
      <c r="R1840">
        <v>0.98786854720203299</v>
      </c>
      <c r="S1840" t="s">
        <v>8457</v>
      </c>
      <c r="T1840" t="s">
        <v>13232</v>
      </c>
      <c r="U1840" t="s">
        <v>13232</v>
      </c>
      <c r="V1840" t="s">
        <v>13232</v>
      </c>
      <c r="W1840" t="s">
        <v>15024</v>
      </c>
      <c r="X1840">
        <v>13</v>
      </c>
      <c r="Y1840" t="s">
        <v>21528</v>
      </c>
      <c r="Z1840" t="s">
        <v>27971</v>
      </c>
      <c r="AA1840">
        <v>0.37882031494119112</v>
      </c>
      <c r="AB1840" t="str">
        <f>HYPERLINK("Melting_Curves/meltCurve_P11802_CDK4.pdf", "Melting_Curves/meltCurve_P11802_CDK4.pdf")</f>
        <v>Melting_Curves/meltCurve_P11802_CDK4.pdf</v>
      </c>
    </row>
    <row r="1841" spans="1:28" x14ac:dyDescent="0.25">
      <c r="A1841" t="s">
        <v>1845</v>
      </c>
      <c r="B1841">
        <v>0.99930955844802105</v>
      </c>
      <c r="C1841">
        <v>0.85515772552801095</v>
      </c>
      <c r="D1841">
        <v>0.96519537030894398</v>
      </c>
      <c r="E1841">
        <v>0.78280811634012504</v>
      </c>
      <c r="F1841">
        <v>0.52301032397216596</v>
      </c>
      <c r="G1841">
        <v>0.221019422727397</v>
      </c>
      <c r="H1841">
        <v>0.104487742520603</v>
      </c>
      <c r="I1841">
        <v>5.1886377536279102E-2</v>
      </c>
      <c r="J1841">
        <v>4.4303093314680402E-2</v>
      </c>
      <c r="K1841">
        <v>3.7887173295501501E-2</v>
      </c>
      <c r="L1841">
        <v>1010.80219545698</v>
      </c>
      <c r="M1841">
        <v>19.029850047457799</v>
      </c>
      <c r="N1841">
        <v>53.245130275476299</v>
      </c>
      <c r="O1841">
        <v>52.5405355489087</v>
      </c>
      <c r="P1841">
        <v>-8.8520241231289404E-2</v>
      </c>
      <c r="Q1841">
        <v>2.2437522983137399E-2</v>
      </c>
      <c r="R1841">
        <v>0.98765307856807805</v>
      </c>
      <c r="S1841" t="s">
        <v>8458</v>
      </c>
      <c r="T1841" t="s">
        <v>13232</v>
      </c>
      <c r="U1841" t="s">
        <v>13232</v>
      </c>
      <c r="V1841" t="s">
        <v>13232</v>
      </c>
      <c r="W1841" t="s">
        <v>15025</v>
      </c>
      <c r="X1841">
        <v>11</v>
      </c>
      <c r="Y1841" t="s">
        <v>21529</v>
      </c>
      <c r="Z1841" t="s">
        <v>27972</v>
      </c>
      <c r="AA1841">
        <v>0.46444502350218231</v>
      </c>
      <c r="AB1841" t="str">
        <f>HYPERLINK("Melting_Curves/meltCurve_P11908_PRPS2.pdf", "Melting_Curves/meltCurve_P11908_PRPS2.pdf")</f>
        <v>Melting_Curves/meltCurve_P11908_PRPS2.pdf</v>
      </c>
    </row>
    <row r="1842" spans="1:28" x14ac:dyDescent="0.25">
      <c r="A1842" t="s">
        <v>1846</v>
      </c>
      <c r="B1842">
        <v>0.99930955844802105</v>
      </c>
      <c r="C1842">
        <v>0.92007674334360001</v>
      </c>
      <c r="D1842">
        <v>0.90728707048869095</v>
      </c>
      <c r="E1842">
        <v>0.72511211924046304</v>
      </c>
      <c r="F1842">
        <v>0.29510249838637098</v>
      </c>
      <c r="G1842">
        <v>0.17739470237621499</v>
      </c>
      <c r="H1842">
        <v>0.103343694818284</v>
      </c>
      <c r="I1842">
        <v>9.4208682382424705E-2</v>
      </c>
      <c r="J1842">
        <v>8.2441850087315097E-2</v>
      </c>
      <c r="K1842">
        <v>6.4034078360111005E-2</v>
      </c>
      <c r="L1842">
        <v>1387.7327031146899</v>
      </c>
      <c r="M1842">
        <v>27.126604855996</v>
      </c>
      <c r="N1842">
        <v>51.513344401304799</v>
      </c>
      <c r="O1842">
        <v>50.882033376158198</v>
      </c>
      <c r="P1842">
        <v>-0.121899364539195</v>
      </c>
      <c r="Q1842">
        <v>8.5410470547321496E-2</v>
      </c>
      <c r="R1842">
        <v>0.99000237763101595</v>
      </c>
      <c r="S1842" t="s">
        <v>8459</v>
      </c>
      <c r="T1842" t="s">
        <v>13232</v>
      </c>
      <c r="U1842" t="s">
        <v>13232</v>
      </c>
      <c r="V1842" t="s">
        <v>13232</v>
      </c>
      <c r="W1842" t="s">
        <v>15026</v>
      </c>
      <c r="X1842">
        <v>34</v>
      </c>
      <c r="Y1842" t="s">
        <v>21530</v>
      </c>
      <c r="Z1842" t="s">
        <v>27973</v>
      </c>
      <c r="AA1842">
        <v>0.43261102538012153</v>
      </c>
      <c r="AB1842" t="str">
        <f>HYPERLINK("Melting_Curves/meltCurve_P11940_PABPC1.pdf", "Melting_Curves/meltCurve_P11940_PABPC1.pdf")</f>
        <v>Melting_Curves/meltCurve_P11940_PABPC1.pdf</v>
      </c>
    </row>
    <row r="1843" spans="1:28" x14ac:dyDescent="0.25">
      <c r="A1843" t="s">
        <v>1847</v>
      </c>
      <c r="B1843">
        <v>0.99930955844802105</v>
      </c>
      <c r="C1843">
        <v>1.1752604436446401</v>
      </c>
      <c r="D1843">
        <v>0.93275967289607997</v>
      </c>
      <c r="E1843">
        <v>0.99066299816622605</v>
      </c>
      <c r="F1843">
        <v>0.74682975550205</v>
      </c>
      <c r="G1843">
        <v>0.39461552968263502</v>
      </c>
      <c r="H1843">
        <v>0.152381757332375</v>
      </c>
      <c r="I1843">
        <v>9.3492742483502103E-2</v>
      </c>
      <c r="J1843">
        <v>7.5666960519943705E-2</v>
      </c>
      <c r="K1843">
        <v>5.7720180941165301E-2</v>
      </c>
      <c r="L1843">
        <v>1350.64122049761</v>
      </c>
      <c r="M1843">
        <v>24.327790185633098</v>
      </c>
      <c r="N1843">
        <v>55.799311660669403</v>
      </c>
      <c r="O1843">
        <v>55.147401551257502</v>
      </c>
      <c r="P1843">
        <v>-0.10393147708511399</v>
      </c>
      <c r="Q1843">
        <v>5.7626751950907502E-2</v>
      </c>
      <c r="R1843">
        <v>0.979107614841769</v>
      </c>
      <c r="S1843" t="s">
        <v>8460</v>
      </c>
      <c r="T1843" t="s">
        <v>13232</v>
      </c>
      <c r="U1843" t="s">
        <v>13232</v>
      </c>
      <c r="V1843" t="s">
        <v>13232</v>
      </c>
      <c r="W1843" t="s">
        <v>15027</v>
      </c>
      <c r="X1843">
        <v>16</v>
      </c>
      <c r="Y1843" t="s">
        <v>21531</v>
      </c>
      <c r="Z1843" t="s">
        <v>27974</v>
      </c>
      <c r="AA1843">
        <v>0.55420292000338989</v>
      </c>
      <c r="AB1843" t="str">
        <f>HYPERLINK("Melting_Curves/meltCurve_P12004_PCNA.pdf", "Melting_Curves/meltCurve_P12004_PCNA.pdf")</f>
        <v>Melting_Curves/meltCurve_P12004_PCNA.pdf</v>
      </c>
    </row>
    <row r="1844" spans="1:28" x14ac:dyDescent="0.25">
      <c r="A1844" t="s">
        <v>1848</v>
      </c>
      <c r="B1844">
        <v>0.99930955844802105</v>
      </c>
      <c r="C1844">
        <v>1.1257094387173101</v>
      </c>
      <c r="D1844">
        <v>1.03766548392129</v>
      </c>
      <c r="E1844">
        <v>0.86586158228638599</v>
      </c>
      <c r="F1844">
        <v>0.698320830190018</v>
      </c>
      <c r="G1844">
        <v>0.49742845482335402</v>
      </c>
      <c r="H1844">
        <v>0.39752380268318799</v>
      </c>
      <c r="I1844">
        <v>0.36272225949040399</v>
      </c>
      <c r="J1844">
        <v>0.35326118519276201</v>
      </c>
      <c r="K1844">
        <v>0.31603597556023</v>
      </c>
      <c r="L1844">
        <v>1132.1274890649199</v>
      </c>
      <c r="M1844">
        <v>21.1099135446708</v>
      </c>
      <c r="N1844">
        <v>56.642260916149802</v>
      </c>
      <c r="O1844">
        <v>53.155824861286902</v>
      </c>
      <c r="P1844">
        <v>-6.5798559246945901E-2</v>
      </c>
      <c r="Q1844">
        <v>0.33728108630214898</v>
      </c>
      <c r="R1844">
        <v>0.97664052035956805</v>
      </c>
      <c r="S1844" t="s">
        <v>8461</v>
      </c>
      <c r="T1844" t="s">
        <v>13232</v>
      </c>
      <c r="U1844" t="s">
        <v>13232</v>
      </c>
      <c r="V1844" t="s">
        <v>13232</v>
      </c>
      <c r="W1844" t="s">
        <v>15028</v>
      </c>
      <c r="X1844">
        <v>12</v>
      </c>
      <c r="Y1844" t="s">
        <v>21532</v>
      </c>
      <c r="Z1844" t="s">
        <v>27975</v>
      </c>
      <c r="AA1844">
        <v>0.64665058190155011</v>
      </c>
      <c r="AB1844" t="str">
        <f>HYPERLINK("Melting_Curves/meltCurve_P12036_NEFH.pdf", "Melting_Curves/meltCurve_P12036_NEFH.pdf")</f>
        <v>Melting_Curves/meltCurve_P12036_NEFH.pdf</v>
      </c>
    </row>
    <row r="1845" spans="1:28" x14ac:dyDescent="0.25">
      <c r="A1845" t="s">
        <v>1849</v>
      </c>
      <c r="B1845">
        <v>0.99930955844802105</v>
      </c>
      <c r="C1845">
        <v>0.965552502617543</v>
      </c>
      <c r="D1845">
        <v>0.82867021608036495</v>
      </c>
      <c r="E1845">
        <v>0.68369024645075605</v>
      </c>
      <c r="F1845">
        <v>0.39121729749884598</v>
      </c>
      <c r="G1845">
        <v>0.181451165483073</v>
      </c>
      <c r="H1845">
        <v>7.8031400245977697E-2</v>
      </c>
      <c r="I1845">
        <v>6.19665371182887E-2</v>
      </c>
      <c r="J1845">
        <v>5.1778884901794803E-2</v>
      </c>
      <c r="K1845">
        <v>3.7682406302994201E-2</v>
      </c>
      <c r="L1845">
        <v>838.94785126640795</v>
      </c>
      <c r="M1845">
        <v>16.2527609723276</v>
      </c>
      <c r="N1845">
        <v>51.735561196171602</v>
      </c>
      <c r="O1845">
        <v>50.856328610664498</v>
      </c>
      <c r="P1845">
        <v>-7.8462404450556494E-2</v>
      </c>
      <c r="Q1845">
        <v>1.8009554046206799E-2</v>
      </c>
      <c r="R1845">
        <v>0.99593186568588199</v>
      </c>
      <c r="S1845" t="s">
        <v>8462</v>
      </c>
      <c r="T1845" t="s">
        <v>13232</v>
      </c>
      <c r="U1845" t="s">
        <v>13232</v>
      </c>
      <c r="V1845" t="s">
        <v>13232</v>
      </c>
      <c r="W1845" t="s">
        <v>15029</v>
      </c>
      <c r="X1845">
        <v>37</v>
      </c>
      <c r="Y1845" t="s">
        <v>21533</v>
      </c>
      <c r="Z1845" t="s">
        <v>27976</v>
      </c>
      <c r="AA1845">
        <v>0.41786385377359608</v>
      </c>
      <c r="AB1845" t="str">
        <f>HYPERLINK("Melting_Curves/meltCurve_P12081_HARS.pdf", "Melting_Curves/meltCurve_P12081_HARS.pdf")</f>
        <v>Melting_Curves/meltCurve_P12081_HARS.pdf</v>
      </c>
    </row>
    <row r="1846" spans="1:28" x14ac:dyDescent="0.25">
      <c r="A1846" t="s">
        <v>1850</v>
      </c>
      <c r="B1846">
        <v>0.99930955844802105</v>
      </c>
      <c r="C1846">
        <v>0.63407741627556502</v>
      </c>
      <c r="D1846">
        <v>0.55273014073445104</v>
      </c>
      <c r="E1846">
        <v>0.65844347165575201</v>
      </c>
      <c r="F1846">
        <v>0.40893895228021698</v>
      </c>
      <c r="G1846">
        <v>0.23184959388791401</v>
      </c>
      <c r="H1846">
        <v>0.18642805833494899</v>
      </c>
      <c r="I1846">
        <v>0.19010305662632099</v>
      </c>
      <c r="J1846">
        <v>0.17192080023244899</v>
      </c>
      <c r="K1846">
        <v>0.138869197115561</v>
      </c>
      <c r="L1846">
        <v>368.56631619895097</v>
      </c>
      <c r="M1846">
        <v>7.4543745789453801</v>
      </c>
      <c r="N1846">
        <v>49.901342968706402</v>
      </c>
      <c r="O1846">
        <v>46.259388662161797</v>
      </c>
      <c r="P1846">
        <v>-3.9009909273815598E-2</v>
      </c>
      <c r="Q1846">
        <v>3.3091480329812302E-2</v>
      </c>
      <c r="R1846">
        <v>0.89399553308276702</v>
      </c>
      <c r="S1846" t="s">
        <v>8463</v>
      </c>
      <c r="T1846" t="s">
        <v>13232</v>
      </c>
      <c r="U1846" t="s">
        <v>13232</v>
      </c>
      <c r="V1846" t="s">
        <v>13232</v>
      </c>
      <c r="W1846" t="s">
        <v>15030</v>
      </c>
      <c r="X1846">
        <v>7</v>
      </c>
      <c r="Y1846" t="s">
        <v>21534</v>
      </c>
      <c r="Z1846" t="s">
        <v>27977</v>
      </c>
      <c r="AA1846">
        <v>0.40361671508066771</v>
      </c>
      <c r="AB1846" t="str">
        <f>HYPERLINK("Melting_Curves/meltCurve_P12236_SLC25A6.pdf", "Melting_Curves/meltCurve_P12236_SLC25A6.pdf")</f>
        <v>Melting_Curves/meltCurve_P12236_SLC25A6.pdf</v>
      </c>
    </row>
    <row r="1847" spans="1:28" x14ac:dyDescent="0.25">
      <c r="A1847" t="s">
        <v>1851</v>
      </c>
      <c r="B1847">
        <v>0.99930955844802105</v>
      </c>
      <c r="C1847">
        <v>1.0576741281740301</v>
      </c>
      <c r="D1847">
        <v>1.03724235968495</v>
      </c>
      <c r="E1847">
        <v>0.99218705839567101</v>
      </c>
      <c r="F1847">
        <v>0.87211273966694602</v>
      </c>
      <c r="G1847">
        <v>0.60859934449830699</v>
      </c>
      <c r="H1847">
        <v>0.27080045963107202</v>
      </c>
      <c r="I1847">
        <v>0.178763274910098</v>
      </c>
      <c r="J1847">
        <v>0.15577402073969501</v>
      </c>
      <c r="K1847">
        <v>0.113968219607157</v>
      </c>
      <c r="L1847">
        <v>1388.2235916587799</v>
      </c>
      <c r="M1847">
        <v>24.1830485250245</v>
      </c>
      <c r="N1847">
        <v>58.012890578406598</v>
      </c>
      <c r="O1847">
        <v>57.016619326463903</v>
      </c>
      <c r="P1847">
        <v>-9.4165751525819394E-2</v>
      </c>
      <c r="Q1847">
        <v>0.111951615566961</v>
      </c>
      <c r="R1847">
        <v>0.99568953529762605</v>
      </c>
      <c r="S1847" t="s">
        <v>8464</v>
      </c>
      <c r="T1847" t="s">
        <v>13232</v>
      </c>
      <c r="U1847" t="s">
        <v>13232</v>
      </c>
      <c r="V1847" t="s">
        <v>13232</v>
      </c>
      <c r="W1847" t="s">
        <v>15031</v>
      </c>
      <c r="X1847">
        <v>146</v>
      </c>
      <c r="Y1847" t="s">
        <v>21535</v>
      </c>
      <c r="Z1847" t="s">
        <v>27978</v>
      </c>
      <c r="AA1847">
        <v>0.63546193582805688</v>
      </c>
      <c r="AB1847" t="str">
        <f>HYPERLINK("Melting_Curves/meltCurve_P12270_TPR.pdf", "Melting_Curves/meltCurve_P12270_TPR.pdf")</f>
        <v>Melting_Curves/meltCurve_P12270_TPR.pdf</v>
      </c>
    </row>
    <row r="1848" spans="1:28" x14ac:dyDescent="0.25">
      <c r="A1848" t="s">
        <v>1852</v>
      </c>
      <c r="B1848">
        <v>0.99930955844802105</v>
      </c>
      <c r="C1848">
        <v>1.0241955900216999</v>
      </c>
      <c r="D1848">
        <v>0.82551189760451005</v>
      </c>
      <c r="E1848">
        <v>0.46414421098464198</v>
      </c>
      <c r="F1848">
        <v>0.17815006686141099</v>
      </c>
      <c r="G1848">
        <v>0.12599701742244701</v>
      </c>
      <c r="H1848">
        <v>7.5703058797614103E-2</v>
      </c>
      <c r="I1848">
        <v>6.1743713456893397E-2</v>
      </c>
      <c r="J1848">
        <v>5.2347982866874601E-2</v>
      </c>
      <c r="K1848">
        <v>4.0061974647802701E-2</v>
      </c>
      <c r="L1848">
        <v>1166.99296291612</v>
      </c>
      <c r="M1848">
        <v>23.694259233301199</v>
      </c>
      <c r="N1848">
        <v>49.506621697217597</v>
      </c>
      <c r="O1848">
        <v>48.905347091797204</v>
      </c>
      <c r="P1848">
        <v>-0.11418027893396</v>
      </c>
      <c r="Q1848">
        <v>5.73358431398771E-2</v>
      </c>
      <c r="R1848">
        <v>0.99610410628343704</v>
      </c>
      <c r="S1848" t="s">
        <v>8465</v>
      </c>
      <c r="T1848" t="s">
        <v>13232</v>
      </c>
      <c r="U1848" t="s">
        <v>13232</v>
      </c>
      <c r="V1848" t="s">
        <v>13232</v>
      </c>
      <c r="W1848" t="s">
        <v>15032</v>
      </c>
      <c r="X1848">
        <v>23</v>
      </c>
      <c r="Y1848" t="s">
        <v>21536</v>
      </c>
      <c r="Z1848" t="s">
        <v>27979</v>
      </c>
      <c r="AA1848">
        <v>0.35739674193077298</v>
      </c>
      <c r="AB1848" t="str">
        <f>HYPERLINK("Melting_Curves/meltCurve_P12277_CKB.pdf", "Melting_Curves/meltCurve_P12277_CKB.pdf")</f>
        <v>Melting_Curves/meltCurve_P12277_CKB.pdf</v>
      </c>
    </row>
    <row r="1849" spans="1:28" x14ac:dyDescent="0.25">
      <c r="A1849" t="s">
        <v>1853</v>
      </c>
      <c r="B1849">
        <v>0.99930955844802105</v>
      </c>
      <c r="C1849">
        <v>0.98652382312715603</v>
      </c>
      <c r="D1849">
        <v>0.97309253928627104</v>
      </c>
      <c r="E1849">
        <v>0.83425972486814404</v>
      </c>
      <c r="F1849">
        <v>0.21082262619467601</v>
      </c>
      <c r="G1849">
        <v>0.12548951682031101</v>
      </c>
      <c r="H1849">
        <v>6.1927418026939497E-2</v>
      </c>
      <c r="I1849">
        <v>4.4594247902595703E-2</v>
      </c>
      <c r="J1849">
        <v>3.8957414223270197E-2</v>
      </c>
      <c r="K1849">
        <v>2.7576816011169399E-2</v>
      </c>
      <c r="L1849">
        <v>2753.2095699270699</v>
      </c>
      <c r="M1849">
        <v>53.544590611439098</v>
      </c>
      <c r="N1849">
        <v>51.5372147220763</v>
      </c>
      <c r="O1849">
        <v>51.347434183819402</v>
      </c>
      <c r="P1849">
        <v>-0.24563309082472601</v>
      </c>
      <c r="Q1849">
        <v>5.7785645715485903E-2</v>
      </c>
      <c r="R1849">
        <v>0.99658592449960604</v>
      </c>
      <c r="S1849" t="s">
        <v>8466</v>
      </c>
      <c r="T1849" t="s">
        <v>13232</v>
      </c>
      <c r="U1849" t="s">
        <v>13232</v>
      </c>
      <c r="V1849" t="s">
        <v>13232</v>
      </c>
      <c r="W1849" t="s">
        <v>15033</v>
      </c>
      <c r="X1849">
        <v>22</v>
      </c>
      <c r="Y1849" t="s">
        <v>21537</v>
      </c>
      <c r="Z1849" t="s">
        <v>27980</v>
      </c>
      <c r="AA1849">
        <v>0.41828608868572459</v>
      </c>
      <c r="AB1849" t="str">
        <f>HYPERLINK("Melting_Curves/meltCurve_P12429_ANXA3.pdf", "Melting_Curves/meltCurve_P12429_ANXA3.pdf")</f>
        <v>Melting_Curves/meltCurve_P12429_ANXA3.pdf</v>
      </c>
    </row>
    <row r="1850" spans="1:28" x14ac:dyDescent="0.25">
      <c r="A1850" t="s">
        <v>1854</v>
      </c>
      <c r="B1850">
        <v>0.99930955844802105</v>
      </c>
      <c r="C1850">
        <v>0.98264111418659195</v>
      </c>
      <c r="D1850">
        <v>0.90356376363661295</v>
      </c>
      <c r="E1850">
        <v>0.59620836980693503</v>
      </c>
      <c r="F1850">
        <v>0.25968053091375398</v>
      </c>
      <c r="G1850">
        <v>0.18483202073497701</v>
      </c>
      <c r="H1850">
        <v>9.8871172742641705E-2</v>
      </c>
      <c r="I1850">
        <v>8.24248367112803E-2</v>
      </c>
      <c r="J1850">
        <v>7.3956857275794999E-2</v>
      </c>
      <c r="K1850">
        <v>6.0962707414655801E-2</v>
      </c>
      <c r="L1850">
        <v>1175.96014513404</v>
      </c>
      <c r="M1850">
        <v>23.352528991719002</v>
      </c>
      <c r="N1850">
        <v>50.729569723302802</v>
      </c>
      <c r="O1850">
        <v>49.991957738701799</v>
      </c>
      <c r="P1850">
        <v>-0.10757760814014999</v>
      </c>
      <c r="Q1850">
        <v>7.8828617996571204E-2</v>
      </c>
      <c r="R1850">
        <v>0.99678093846665305</v>
      </c>
      <c r="S1850" t="s">
        <v>8467</v>
      </c>
      <c r="T1850" t="s">
        <v>13232</v>
      </c>
      <c r="U1850" t="s">
        <v>13232</v>
      </c>
      <c r="V1850" t="s">
        <v>13232</v>
      </c>
      <c r="W1850" t="s">
        <v>15034</v>
      </c>
      <c r="X1850">
        <v>10</v>
      </c>
      <c r="Y1850" t="s">
        <v>21538</v>
      </c>
      <c r="Z1850" t="s">
        <v>27981</v>
      </c>
      <c r="AA1850">
        <v>0.40630650985324518</v>
      </c>
      <c r="AB1850" t="str">
        <f>HYPERLINK("Melting_Curves/meltCurve_P12532_CKMT1A.pdf", "Melting_Curves/meltCurve_P12532_CKMT1A.pdf")</f>
        <v>Melting_Curves/meltCurve_P12532_CKMT1A.pdf</v>
      </c>
    </row>
    <row r="1851" spans="1:28" x14ac:dyDescent="0.25">
      <c r="A1851" t="s">
        <v>1855</v>
      </c>
      <c r="B1851">
        <v>0.99930955844802105</v>
      </c>
      <c r="C1851">
        <v>0.80124241283559805</v>
      </c>
      <c r="D1851">
        <v>0.65895641832031204</v>
      </c>
      <c r="E1851">
        <v>0.434899905391331</v>
      </c>
      <c r="F1851">
        <v>0.33297091301633103</v>
      </c>
      <c r="G1851">
        <v>0.221907923626431</v>
      </c>
      <c r="H1851">
        <v>0.11726281572413701</v>
      </c>
      <c r="I1851">
        <v>0.125756742087475</v>
      </c>
      <c r="J1851">
        <v>9.4385984864798697E-2</v>
      </c>
      <c r="K1851">
        <v>6.9635879811591306E-2</v>
      </c>
      <c r="L1851">
        <v>564.23245325497101</v>
      </c>
      <c r="M1851">
        <v>11.6359858540541</v>
      </c>
      <c r="N1851">
        <v>49.017427601115003</v>
      </c>
      <c r="O1851">
        <v>47.1245209209671</v>
      </c>
      <c r="P1851">
        <v>-5.8115537630095401E-2</v>
      </c>
      <c r="Q1851">
        <v>5.8808373195482003E-2</v>
      </c>
      <c r="R1851">
        <v>0.99161817533101204</v>
      </c>
      <c r="S1851" t="s">
        <v>8468</v>
      </c>
      <c r="T1851" t="s">
        <v>13232</v>
      </c>
      <c r="U1851" t="s">
        <v>13232</v>
      </c>
      <c r="V1851" t="s">
        <v>13232</v>
      </c>
      <c r="W1851" t="s">
        <v>15035</v>
      </c>
      <c r="X1851">
        <v>3</v>
      </c>
      <c r="Y1851" t="s">
        <v>21539</v>
      </c>
      <c r="Z1851" t="s">
        <v>27982</v>
      </c>
      <c r="AA1851">
        <v>0.36278548060107502</v>
      </c>
      <c r="AB1851" t="str">
        <f>HYPERLINK("Melting_Curves/meltCurve_P12694_BCKDHA.pdf", "Melting_Curves/meltCurve_P12694_BCKDHA.pdf")</f>
        <v>Melting_Curves/meltCurve_P12694_BCKDHA.pdf</v>
      </c>
    </row>
    <row r="1852" spans="1:28" x14ac:dyDescent="0.25">
      <c r="A1852" t="s">
        <v>1856</v>
      </c>
      <c r="B1852">
        <v>0.99930955844802105</v>
      </c>
      <c r="C1852">
        <v>1.1589326458537399</v>
      </c>
      <c r="D1852">
        <v>1.01233584815307</v>
      </c>
      <c r="E1852">
        <v>1.1623928491453399</v>
      </c>
      <c r="F1852">
        <v>1.03264525650831</v>
      </c>
      <c r="G1852">
        <v>0.98715019733625897</v>
      </c>
      <c r="H1852">
        <v>1.0534655591840001</v>
      </c>
      <c r="I1852">
        <v>1.09463493488823</v>
      </c>
      <c r="J1852">
        <v>1.3202675629142999</v>
      </c>
      <c r="K1852">
        <v>0.99338475346358601</v>
      </c>
      <c r="L1852">
        <v>87.396758298425894</v>
      </c>
      <c r="M1852">
        <v>1.0000000000000001E-5</v>
      </c>
      <c r="Q1852">
        <v>1.4881123188374299</v>
      </c>
      <c r="R1852">
        <v>3.59074631967123E-2</v>
      </c>
      <c r="S1852" t="s">
        <v>8469</v>
      </c>
      <c r="T1852" t="s">
        <v>13232</v>
      </c>
      <c r="U1852" t="s">
        <v>13232</v>
      </c>
      <c r="V1852" t="s">
        <v>13232</v>
      </c>
      <c r="W1852" t="s">
        <v>15036</v>
      </c>
      <c r="X1852">
        <v>6</v>
      </c>
      <c r="Y1852" t="s">
        <v>21540</v>
      </c>
      <c r="Z1852" t="s">
        <v>27983</v>
      </c>
      <c r="AA1852">
        <v>1.0814993854114341</v>
      </c>
      <c r="AB1852" t="str">
        <f>HYPERLINK("Melting_Curves/meltCurve_P12757_3_SKIL.pdf", "Melting_Curves/meltCurve_P12757_3_SKIL.pdf")</f>
        <v>Melting_Curves/meltCurve_P12757_3_SKIL.pdf</v>
      </c>
    </row>
    <row r="1853" spans="1:28" x14ac:dyDescent="0.25">
      <c r="A1853" t="s">
        <v>1857</v>
      </c>
      <c r="B1853">
        <v>0.99930955844802105</v>
      </c>
      <c r="C1853">
        <v>0.93809380192456004</v>
      </c>
      <c r="D1853">
        <v>0.82698195420535903</v>
      </c>
      <c r="E1853">
        <v>0.96144951158108805</v>
      </c>
      <c r="F1853">
        <v>1.23401408406998</v>
      </c>
      <c r="G1853">
        <v>1.0658478041848001</v>
      </c>
      <c r="H1853">
        <v>0.42899179322009101</v>
      </c>
      <c r="I1853">
        <v>0.10792174281507801</v>
      </c>
      <c r="J1853">
        <v>7.0285916534426507E-2</v>
      </c>
      <c r="K1853">
        <v>5.8092354034689299E-2</v>
      </c>
      <c r="L1853">
        <v>6102.2843958242402</v>
      </c>
      <c r="M1853">
        <v>100.51589062207501</v>
      </c>
      <c r="N1853">
        <v>60.810504737608802</v>
      </c>
      <c r="O1853">
        <v>60.685635592378503</v>
      </c>
      <c r="P1853">
        <v>-0.38229486776036398</v>
      </c>
      <c r="Q1853">
        <v>7.6770718203287999E-2</v>
      </c>
      <c r="R1853">
        <v>0.94895653856384798</v>
      </c>
      <c r="S1853" t="s">
        <v>8470</v>
      </c>
      <c r="T1853" t="s">
        <v>13232</v>
      </c>
      <c r="U1853" t="s">
        <v>13232</v>
      </c>
      <c r="V1853" t="s">
        <v>13232</v>
      </c>
      <c r="W1853" t="s">
        <v>15037</v>
      </c>
      <c r="X1853">
        <v>63</v>
      </c>
      <c r="Y1853" t="s">
        <v>21541</v>
      </c>
      <c r="Z1853" t="s">
        <v>27984</v>
      </c>
      <c r="AA1853">
        <v>0.7147049969321071</v>
      </c>
      <c r="AB1853" t="str">
        <f>HYPERLINK("Melting_Curves/meltCurve_P12814_ACTN1.pdf", "Melting_Curves/meltCurve_P12814_ACTN1.pdf")</f>
        <v>Melting_Curves/meltCurve_P12814_ACTN1.pdf</v>
      </c>
    </row>
    <row r="1854" spans="1:28" x14ac:dyDescent="0.25">
      <c r="A1854" t="s">
        <v>1858</v>
      </c>
      <c r="B1854">
        <v>0.99930955844802105</v>
      </c>
      <c r="C1854">
        <v>1.2440137666842299</v>
      </c>
      <c r="D1854">
        <v>1.1747155277536201</v>
      </c>
      <c r="E1854">
        <v>1.03438771355995</v>
      </c>
      <c r="F1854">
        <v>0.67596683421336701</v>
      </c>
      <c r="G1854">
        <v>0.50939303157921501</v>
      </c>
      <c r="H1854">
        <v>0.37752877898070197</v>
      </c>
      <c r="I1854">
        <v>0.38887737540580503</v>
      </c>
      <c r="J1854">
        <v>0.40413223432154199</v>
      </c>
      <c r="K1854">
        <v>0.36015797098311098</v>
      </c>
      <c r="L1854">
        <v>13239.927407192899</v>
      </c>
      <c r="M1854">
        <v>250</v>
      </c>
      <c r="N1854">
        <v>53.320811778593303</v>
      </c>
      <c r="O1854">
        <v>52.9563190539684</v>
      </c>
      <c r="P1854">
        <v>-0.69866793421760298</v>
      </c>
      <c r="Q1854">
        <v>0.40801787127091099</v>
      </c>
      <c r="R1854">
        <v>0.909417148568749</v>
      </c>
      <c r="S1854" t="s">
        <v>8471</v>
      </c>
      <c r="T1854" t="s">
        <v>13232</v>
      </c>
      <c r="U1854" t="s">
        <v>13232</v>
      </c>
      <c r="V1854" t="s">
        <v>13232</v>
      </c>
      <c r="W1854" t="s">
        <v>15038</v>
      </c>
      <c r="X1854">
        <v>2</v>
      </c>
      <c r="Y1854" t="s">
        <v>21542</v>
      </c>
      <c r="Z1854" t="s">
        <v>27985</v>
      </c>
      <c r="AA1854">
        <v>0.66380344193356533</v>
      </c>
      <c r="AB1854" t="str">
        <f>HYPERLINK("Melting_Curves/meltCurve_P12882_MYH1.pdf", "Melting_Curves/meltCurve_P12882_MYH1.pdf")</f>
        <v>Melting_Curves/meltCurve_P12882_MYH1.pdf</v>
      </c>
    </row>
    <row r="1855" spans="1:28" x14ac:dyDescent="0.25">
      <c r="A1855" t="s">
        <v>1859</v>
      </c>
      <c r="B1855">
        <v>0.99930955844802105</v>
      </c>
      <c r="C1855">
        <v>1.0543727600117201</v>
      </c>
      <c r="D1855">
        <v>1.0169747623799701</v>
      </c>
      <c r="E1855">
        <v>0.98001772116500796</v>
      </c>
      <c r="F1855">
        <v>0.85324036510920598</v>
      </c>
      <c r="G1855">
        <v>0.45606112869042298</v>
      </c>
      <c r="H1855">
        <v>0.19834819379117899</v>
      </c>
      <c r="I1855">
        <v>0.121239630148054</v>
      </c>
      <c r="J1855">
        <v>9.3739359952739701E-2</v>
      </c>
      <c r="K1855">
        <v>7.3455600685755101E-2</v>
      </c>
      <c r="L1855">
        <v>1491.30502080867</v>
      </c>
      <c r="M1855">
        <v>26.4933053212538</v>
      </c>
      <c r="N1855">
        <v>56.664076362599502</v>
      </c>
      <c r="O1855">
        <v>55.9720950339808</v>
      </c>
      <c r="P1855">
        <v>-0.108837292201981</v>
      </c>
      <c r="Q1855">
        <v>8.0252539109078799E-2</v>
      </c>
      <c r="R1855">
        <v>0.99768917787984002</v>
      </c>
      <c r="S1855" t="s">
        <v>8472</v>
      </c>
      <c r="T1855" t="s">
        <v>13232</v>
      </c>
      <c r="U1855" t="s">
        <v>13232</v>
      </c>
      <c r="V1855" t="s">
        <v>13232</v>
      </c>
      <c r="W1855" t="s">
        <v>15039</v>
      </c>
      <c r="X1855">
        <v>16</v>
      </c>
      <c r="Y1855" t="s">
        <v>21543</v>
      </c>
      <c r="Z1855" t="s">
        <v>27986</v>
      </c>
      <c r="AA1855">
        <v>0.58730592061064624</v>
      </c>
      <c r="AB1855" t="str">
        <f>HYPERLINK("Melting_Curves/meltCurve_P12955_PEPD.pdf", "Melting_Curves/meltCurve_P12955_PEPD.pdf")</f>
        <v>Melting_Curves/meltCurve_P12955_PEPD.pdf</v>
      </c>
    </row>
    <row r="1856" spans="1:28" x14ac:dyDescent="0.25">
      <c r="A1856" t="s">
        <v>1860</v>
      </c>
      <c r="B1856">
        <v>0.99930955844802105</v>
      </c>
      <c r="C1856">
        <v>0.90648154317474305</v>
      </c>
      <c r="D1856">
        <v>0.69041649352517398</v>
      </c>
      <c r="E1856">
        <v>0.43545656602968602</v>
      </c>
      <c r="F1856">
        <v>0.20049244681134101</v>
      </c>
      <c r="G1856">
        <v>0.12695403416936801</v>
      </c>
      <c r="H1856">
        <v>7.0171573817689903E-2</v>
      </c>
      <c r="I1856">
        <v>5.8509686409133801E-2</v>
      </c>
      <c r="J1856">
        <v>4.8262669322444003E-2</v>
      </c>
      <c r="K1856">
        <v>3.6403772242815401E-2</v>
      </c>
      <c r="L1856">
        <v>790.30854339249402</v>
      </c>
      <c r="M1856">
        <v>16.297030504805601</v>
      </c>
      <c r="N1856">
        <v>48.722825104875398</v>
      </c>
      <c r="O1856">
        <v>47.7814999036638</v>
      </c>
      <c r="P1856">
        <v>-8.2133400692153705E-2</v>
      </c>
      <c r="Q1856">
        <v>3.68380612086932E-2</v>
      </c>
      <c r="R1856">
        <v>0.99700764426167199</v>
      </c>
      <c r="S1856" t="s">
        <v>8473</v>
      </c>
      <c r="T1856" t="s">
        <v>13232</v>
      </c>
      <c r="U1856" t="s">
        <v>13232</v>
      </c>
      <c r="V1856" t="s">
        <v>13232</v>
      </c>
      <c r="W1856" t="s">
        <v>15040</v>
      </c>
      <c r="X1856">
        <v>38</v>
      </c>
      <c r="Y1856" t="s">
        <v>21544</v>
      </c>
      <c r="Z1856" t="s">
        <v>27987</v>
      </c>
      <c r="AA1856">
        <v>0.33014927739616179</v>
      </c>
      <c r="AB1856" t="str">
        <f>HYPERLINK("Melting_Curves/meltCurve_P12956_XRCC6.pdf", "Melting_Curves/meltCurve_P12956_XRCC6.pdf")</f>
        <v>Melting_Curves/meltCurve_P12956_XRCC6.pdf</v>
      </c>
    </row>
    <row r="1857" spans="1:28" x14ac:dyDescent="0.25">
      <c r="A1857" t="s">
        <v>1861</v>
      </c>
      <c r="B1857">
        <v>0.99930955844802105</v>
      </c>
      <c r="C1857">
        <v>1.0733591067632899</v>
      </c>
      <c r="D1857">
        <v>1.0294646940499199</v>
      </c>
      <c r="E1857">
        <v>1.08884566449142</v>
      </c>
      <c r="F1857">
        <v>0.95784426759688002</v>
      </c>
      <c r="G1857">
        <v>0.99714236103939902</v>
      </c>
      <c r="H1857">
        <v>0.95999314663574797</v>
      </c>
      <c r="I1857">
        <v>1.1054615220722099</v>
      </c>
      <c r="J1857">
        <v>1.0413166625564401</v>
      </c>
      <c r="K1857">
        <v>0.81973433517078298</v>
      </c>
      <c r="L1857">
        <v>15000</v>
      </c>
      <c r="M1857">
        <v>212.77113732035301</v>
      </c>
      <c r="Q1857">
        <v>0</v>
      </c>
      <c r="R1857">
        <v>0.51290927129478503</v>
      </c>
      <c r="S1857" t="s">
        <v>8474</v>
      </c>
      <c r="T1857" t="s">
        <v>13232</v>
      </c>
      <c r="U1857" t="s">
        <v>13232</v>
      </c>
      <c r="V1857" t="s">
        <v>13232</v>
      </c>
      <c r="W1857" t="s">
        <v>15041</v>
      </c>
      <c r="X1857">
        <v>3</v>
      </c>
      <c r="Y1857" t="s">
        <v>21545</v>
      </c>
      <c r="Z1857" t="s">
        <v>27988</v>
      </c>
      <c r="AA1857">
        <v>0.99785654477308283</v>
      </c>
      <c r="AB1857" t="str">
        <f>HYPERLINK("Melting_Curves/meltCurve_P12980_LYL1.pdf", "Melting_Curves/meltCurve_P12980_LYL1.pdf")</f>
        <v>Melting_Curves/meltCurve_P12980_LYL1.pdf</v>
      </c>
    </row>
    <row r="1858" spans="1:28" x14ac:dyDescent="0.25">
      <c r="A1858" t="s">
        <v>1862</v>
      </c>
      <c r="B1858">
        <v>0.99930955844802105</v>
      </c>
      <c r="C1858">
        <v>0.85701272996464195</v>
      </c>
      <c r="D1858">
        <v>0.40965417563474099</v>
      </c>
      <c r="E1858">
        <v>0.31581140493830701</v>
      </c>
      <c r="F1858">
        <v>0.223265581976586</v>
      </c>
      <c r="G1858">
        <v>0.187503155301705</v>
      </c>
      <c r="H1858">
        <v>0.15343244429889599</v>
      </c>
      <c r="I1858">
        <v>0.143120166298906</v>
      </c>
      <c r="J1858">
        <v>0.12633079222122301</v>
      </c>
      <c r="K1858">
        <v>8.5423694693906496E-2</v>
      </c>
      <c r="L1858">
        <v>1120.93744866823</v>
      </c>
      <c r="M1858">
        <v>24.852908983419599</v>
      </c>
      <c r="N1858">
        <v>45.797368224161801</v>
      </c>
      <c r="O1858">
        <v>44.813914983151903</v>
      </c>
      <c r="P1858">
        <v>-0.11687906406957201</v>
      </c>
      <c r="Q1858">
        <v>0.15700265432209301</v>
      </c>
      <c r="R1858">
        <v>0.97318818715473798</v>
      </c>
      <c r="S1858" t="s">
        <v>8475</v>
      </c>
      <c r="T1858" t="s">
        <v>13232</v>
      </c>
      <c r="U1858" t="s">
        <v>13232</v>
      </c>
      <c r="V1858" t="s">
        <v>13232</v>
      </c>
      <c r="W1858" t="s">
        <v>15042</v>
      </c>
      <c r="X1858">
        <v>46</v>
      </c>
      <c r="Y1858" t="s">
        <v>21546</v>
      </c>
      <c r="Z1858" t="s">
        <v>27989</v>
      </c>
      <c r="AA1858">
        <v>0.3088238608813238</v>
      </c>
      <c r="AB1858" t="str">
        <f>HYPERLINK("Melting_Curves/meltCurve_P13010_XRCC5.pdf", "Melting_Curves/meltCurve_P13010_XRCC5.pdf")</f>
        <v>Melting_Curves/meltCurve_P13010_XRCC5.pdf</v>
      </c>
    </row>
    <row r="1859" spans="1:28" x14ac:dyDescent="0.25">
      <c r="A1859" t="s">
        <v>1863</v>
      </c>
      <c r="B1859">
        <v>0.99930955844802105</v>
      </c>
      <c r="C1859">
        <v>0.916611410651896</v>
      </c>
      <c r="D1859">
        <v>0.83941794111719603</v>
      </c>
      <c r="E1859">
        <v>0.80450190522563503</v>
      </c>
      <c r="F1859">
        <v>0.72229616757693804</v>
      </c>
      <c r="G1859">
        <v>0.60210555680212996</v>
      </c>
      <c r="H1859">
        <v>0.58760215529347903</v>
      </c>
      <c r="I1859">
        <v>0.61395022556031698</v>
      </c>
      <c r="J1859">
        <v>0.58477209768409499</v>
      </c>
      <c r="K1859">
        <v>0.47921956273289501</v>
      </c>
      <c r="L1859">
        <v>451.41269816124901</v>
      </c>
      <c r="M1859">
        <v>8.7453374184878001</v>
      </c>
      <c r="O1859">
        <v>49.1318739328674</v>
      </c>
      <c r="P1859">
        <v>-2.2858658245263199E-2</v>
      </c>
      <c r="Q1859">
        <v>0.48672977475887202</v>
      </c>
      <c r="R1859">
        <v>0.95601588562986195</v>
      </c>
      <c r="S1859" t="s">
        <v>8476</v>
      </c>
      <c r="T1859" t="s">
        <v>13232</v>
      </c>
      <c r="U1859" t="s">
        <v>13232</v>
      </c>
      <c r="V1859" t="s">
        <v>13232</v>
      </c>
      <c r="W1859" t="s">
        <v>15043</v>
      </c>
      <c r="X1859">
        <v>9</v>
      </c>
      <c r="Y1859" t="s">
        <v>21547</v>
      </c>
      <c r="Z1859" t="s">
        <v>27990</v>
      </c>
      <c r="AA1859">
        <v>0.7088262816162908</v>
      </c>
      <c r="AB1859" t="str">
        <f>HYPERLINK("Melting_Curves/meltCurve_P13073_COX4I1.pdf", "Melting_Curves/meltCurve_P13073_COX4I1.pdf")</f>
        <v>Melting_Curves/meltCurve_P13073_COX4I1.pdf</v>
      </c>
    </row>
    <row r="1860" spans="1:28" x14ac:dyDescent="0.25">
      <c r="A1860" t="s">
        <v>1864</v>
      </c>
      <c r="B1860">
        <v>0.99930955844802105</v>
      </c>
      <c r="C1860">
        <v>4.53443634271063</v>
      </c>
      <c r="D1860">
        <v>4.3298983795660204</v>
      </c>
      <c r="E1860">
        <v>3.5621337034568401</v>
      </c>
      <c r="F1860">
        <v>3.2000997828840498</v>
      </c>
      <c r="G1860">
        <v>2.1951520283177199</v>
      </c>
      <c r="H1860">
        <v>1.1512919895032401</v>
      </c>
      <c r="I1860">
        <v>0.85622940681799498</v>
      </c>
      <c r="J1860">
        <v>0.77350401071936403</v>
      </c>
      <c r="K1860">
        <v>0.61588519411626996</v>
      </c>
      <c r="L1860">
        <v>3046.4504831045501</v>
      </c>
      <c r="M1860">
        <v>46.0875979233222</v>
      </c>
      <c r="O1860">
        <v>65.977226048206404</v>
      </c>
      <c r="P1860">
        <v>-6.9699192231987103E-2</v>
      </c>
      <c r="Q1860">
        <v>0.60088583768236004</v>
      </c>
      <c r="R1860">
        <v>-0.67735728695783903</v>
      </c>
      <c r="S1860" t="s">
        <v>8477</v>
      </c>
      <c r="T1860" t="s">
        <v>13232</v>
      </c>
      <c r="U1860" t="s">
        <v>13232</v>
      </c>
      <c r="V1860" t="s">
        <v>13232</v>
      </c>
      <c r="W1860" t="s">
        <v>15044</v>
      </c>
      <c r="X1860">
        <v>3</v>
      </c>
      <c r="Y1860" t="s">
        <v>21548</v>
      </c>
      <c r="Z1860" t="s">
        <v>27991</v>
      </c>
      <c r="AA1860">
        <v>0.9478409812043207</v>
      </c>
      <c r="AB1860" t="str">
        <f>HYPERLINK("Melting_Curves/meltCurve_P13284_IFI30.pdf", "Melting_Curves/meltCurve_P13284_IFI30.pdf")</f>
        <v>Melting_Curves/meltCurve_P13284_IFI30.pdf</v>
      </c>
    </row>
    <row r="1861" spans="1:28" x14ac:dyDescent="0.25">
      <c r="A1861" t="s">
        <v>1865</v>
      </c>
      <c r="B1861">
        <v>0.99930955844802105</v>
      </c>
      <c r="C1861">
        <v>0.90761505628349604</v>
      </c>
      <c r="D1861">
        <v>0.957305883495009</v>
      </c>
      <c r="E1861">
        <v>0.92563804394129501</v>
      </c>
      <c r="F1861">
        <v>0.771049502696602</v>
      </c>
      <c r="G1861">
        <v>0.23296381816932801</v>
      </c>
      <c r="H1861">
        <v>0.121319310111579</v>
      </c>
      <c r="I1861">
        <v>9.50101330348192E-2</v>
      </c>
      <c r="J1861">
        <v>8.7372525943669996E-2</v>
      </c>
      <c r="K1861">
        <v>6.4319676626487896E-2</v>
      </c>
      <c r="L1861">
        <v>1900.95015062521</v>
      </c>
      <c r="M1861">
        <v>34.861569264445698</v>
      </c>
      <c r="N1861">
        <v>54.8110192910896</v>
      </c>
      <c r="O1861">
        <v>54.3500396838471</v>
      </c>
      <c r="P1861">
        <v>-0.147171304680662</v>
      </c>
      <c r="Q1861">
        <v>8.2228622233115806E-2</v>
      </c>
      <c r="R1861">
        <v>0.99207969522049999</v>
      </c>
      <c r="S1861" t="s">
        <v>8478</v>
      </c>
      <c r="T1861" t="s">
        <v>13232</v>
      </c>
      <c r="U1861" t="s">
        <v>13232</v>
      </c>
      <c r="V1861" t="s">
        <v>13232</v>
      </c>
      <c r="W1861" t="s">
        <v>15045</v>
      </c>
      <c r="X1861">
        <v>26</v>
      </c>
      <c r="Y1861" t="s">
        <v>21549</v>
      </c>
      <c r="Z1861" t="s">
        <v>27992</v>
      </c>
      <c r="AA1861">
        <v>0.53122093716913799</v>
      </c>
      <c r="AB1861" t="str">
        <f>HYPERLINK("Melting_Curves/meltCurve_P13489_RNH1.pdf", "Melting_Curves/meltCurve_P13489_RNH1.pdf")</f>
        <v>Melting_Curves/meltCurve_P13489_RNH1.pdf</v>
      </c>
    </row>
    <row r="1862" spans="1:28" x14ac:dyDescent="0.25">
      <c r="A1862" t="s">
        <v>1866</v>
      </c>
      <c r="B1862">
        <v>0.99930955844802105</v>
      </c>
      <c r="C1862">
        <v>0.91416063948600002</v>
      </c>
      <c r="D1862">
        <v>0.73163369885640495</v>
      </c>
      <c r="E1862">
        <v>0.77553316911410897</v>
      </c>
      <c r="F1862">
        <v>0.64329783573085797</v>
      </c>
      <c r="G1862">
        <v>0.48668911638204498</v>
      </c>
      <c r="H1862">
        <v>0.37715170128057801</v>
      </c>
      <c r="I1862">
        <v>0.455311741585328</v>
      </c>
      <c r="J1862">
        <v>0.41468866078702898</v>
      </c>
      <c r="K1862">
        <v>0.37742490599516099</v>
      </c>
      <c r="L1862">
        <v>483.11964353146902</v>
      </c>
      <c r="M1862">
        <v>9.4263998557664106</v>
      </c>
      <c r="N1862">
        <v>57.792591470114303</v>
      </c>
      <c r="O1862">
        <v>49.104013763956601</v>
      </c>
      <c r="P1862">
        <v>-3.22723974606835E-2</v>
      </c>
      <c r="Q1862">
        <v>0.327955860457885</v>
      </c>
      <c r="R1862">
        <v>0.94577017030883503</v>
      </c>
      <c r="S1862" t="s">
        <v>8479</v>
      </c>
      <c r="T1862" t="s">
        <v>13232</v>
      </c>
      <c r="U1862" t="s">
        <v>13232</v>
      </c>
      <c r="V1862" t="s">
        <v>13232</v>
      </c>
      <c r="W1862" t="s">
        <v>15046</v>
      </c>
      <c r="X1862">
        <v>1</v>
      </c>
      <c r="Y1862" t="s">
        <v>21550</v>
      </c>
      <c r="Z1862" t="s">
        <v>27993</v>
      </c>
      <c r="AA1862">
        <v>0.60930750104191589</v>
      </c>
      <c r="AB1862" t="str">
        <f>HYPERLINK("Melting_Curves/meltCurve_P13498_CYBA.pdf", "Melting_Curves/meltCurve_P13498_CYBA.pdf")</f>
        <v>Melting_Curves/meltCurve_P13498_CYBA.pdf</v>
      </c>
    </row>
    <row r="1863" spans="1:28" x14ac:dyDescent="0.25">
      <c r="A1863" t="s">
        <v>1867</v>
      </c>
      <c r="B1863">
        <v>0.99930955844802105</v>
      </c>
      <c r="C1863">
        <v>1.0805492567789201</v>
      </c>
      <c r="D1863">
        <v>1.1097465149491399</v>
      </c>
      <c r="E1863">
        <v>1.0302299226260501</v>
      </c>
      <c r="F1863">
        <v>0.99787243679350401</v>
      </c>
      <c r="G1863">
        <v>0.63485180988958401</v>
      </c>
      <c r="H1863">
        <v>0.19109026191256001</v>
      </c>
      <c r="I1863">
        <v>0.10149142389570801</v>
      </c>
      <c r="J1863">
        <v>7.7099357217815995E-2</v>
      </c>
      <c r="K1863">
        <v>6.05014848067131E-2</v>
      </c>
      <c r="L1863">
        <v>2176.9903639295399</v>
      </c>
      <c r="M1863">
        <v>37.716741517565701</v>
      </c>
      <c r="N1863">
        <v>57.959974602522003</v>
      </c>
      <c r="O1863">
        <v>57.557940404253003</v>
      </c>
      <c r="P1863">
        <v>-0.15195461409949099</v>
      </c>
      <c r="Q1863">
        <v>7.2436307563835803E-2</v>
      </c>
      <c r="R1863">
        <v>0.989370813968104</v>
      </c>
      <c r="S1863" t="s">
        <v>8480</v>
      </c>
      <c r="T1863" t="s">
        <v>13232</v>
      </c>
      <c r="U1863" t="s">
        <v>13232</v>
      </c>
      <c r="V1863" t="s">
        <v>13232</v>
      </c>
      <c r="W1863" t="s">
        <v>15047</v>
      </c>
      <c r="X1863">
        <v>68</v>
      </c>
      <c r="Y1863" t="s">
        <v>21551</v>
      </c>
      <c r="Z1863" t="s">
        <v>27994</v>
      </c>
      <c r="AA1863">
        <v>0.62436942832995002</v>
      </c>
      <c r="AB1863" t="str">
        <f>HYPERLINK("Melting_Curves/meltCurve_P13639_EEF2.pdf", "Melting_Curves/meltCurve_P13639_EEF2.pdf")</f>
        <v>Melting_Curves/meltCurve_P13639_EEF2.pdf</v>
      </c>
    </row>
    <row r="1864" spans="1:28" x14ac:dyDescent="0.25">
      <c r="A1864" t="s">
        <v>1868</v>
      </c>
      <c r="B1864">
        <v>0.99930955844802105</v>
      </c>
      <c r="C1864">
        <v>1.0512010183017999</v>
      </c>
      <c r="D1864">
        <v>0.73481679426369295</v>
      </c>
      <c r="E1864">
        <v>0.75327983172010704</v>
      </c>
      <c r="F1864">
        <v>2.2635988828608302</v>
      </c>
      <c r="G1864">
        <v>0.51898874636645498</v>
      </c>
      <c r="H1864">
        <v>0.63296524006033505</v>
      </c>
      <c r="I1864">
        <v>0.793335249228588</v>
      </c>
      <c r="J1864">
        <v>0.79745429648339805</v>
      </c>
      <c r="K1864">
        <v>0.266603394529626</v>
      </c>
      <c r="L1864">
        <v>999.82193505349005</v>
      </c>
      <c r="M1864">
        <v>14.630830195865</v>
      </c>
      <c r="N1864">
        <v>68.336651433986006</v>
      </c>
      <c r="O1864">
        <v>67.098090476338299</v>
      </c>
      <c r="P1864">
        <v>-5.4518913069147197E-2</v>
      </c>
      <c r="Q1864">
        <v>0</v>
      </c>
      <c r="R1864">
        <v>0.195412287897445</v>
      </c>
      <c r="S1864" t="s">
        <v>8481</v>
      </c>
      <c r="T1864" t="s">
        <v>13232</v>
      </c>
      <c r="U1864" t="s">
        <v>13232</v>
      </c>
      <c r="V1864" t="s">
        <v>13232</v>
      </c>
      <c r="W1864" t="s">
        <v>15048</v>
      </c>
      <c r="X1864">
        <v>35</v>
      </c>
      <c r="Y1864" t="s">
        <v>21552</v>
      </c>
      <c r="Z1864" t="s">
        <v>27995</v>
      </c>
      <c r="AA1864">
        <v>0.87636196045618675</v>
      </c>
      <c r="AB1864" t="str">
        <f>HYPERLINK("Melting_Curves/meltCurve_P13645_KRT10.pdf", "Melting_Curves/meltCurve_P13645_KRT10.pdf")</f>
        <v>Melting_Curves/meltCurve_P13645_KRT10.pdf</v>
      </c>
    </row>
    <row r="1865" spans="1:28" x14ac:dyDescent="0.25">
      <c r="A1865" t="s">
        <v>1869</v>
      </c>
      <c r="B1865">
        <v>0.99930955844802105</v>
      </c>
      <c r="C1865">
        <v>1.8848172533226499</v>
      </c>
      <c r="D1865">
        <v>1.15693310857816</v>
      </c>
      <c r="E1865">
        <v>0.73255736607715405</v>
      </c>
      <c r="F1865">
        <v>0.92601182368138601</v>
      </c>
      <c r="G1865">
        <v>0.354165503939883</v>
      </c>
      <c r="H1865">
        <v>0.38919489475389102</v>
      </c>
      <c r="I1865">
        <v>1.7434912044520601</v>
      </c>
      <c r="J1865">
        <v>0.87002006481716898</v>
      </c>
      <c r="K1865">
        <v>0.21164300988656901</v>
      </c>
      <c r="L1865">
        <v>12038.185011429199</v>
      </c>
      <c r="M1865">
        <v>250</v>
      </c>
      <c r="O1865">
        <v>48.1496586228794</v>
      </c>
      <c r="P1865">
        <v>-0.32876255286182698</v>
      </c>
      <c r="Q1865">
        <v>0.74672312545864095</v>
      </c>
      <c r="R1865">
        <v>0.14061997510694901</v>
      </c>
      <c r="S1865" t="s">
        <v>8482</v>
      </c>
      <c r="T1865" t="s">
        <v>13232</v>
      </c>
      <c r="U1865" t="s">
        <v>13232</v>
      </c>
      <c r="V1865" t="s">
        <v>13232</v>
      </c>
      <c r="W1865" t="s">
        <v>15049</v>
      </c>
      <c r="X1865">
        <v>26</v>
      </c>
      <c r="Y1865" t="s">
        <v>21553</v>
      </c>
      <c r="Z1865" t="s">
        <v>27996</v>
      </c>
      <c r="AA1865">
        <v>0.81557454646340866</v>
      </c>
      <c r="AB1865" t="str">
        <f>HYPERLINK("Melting_Curves/meltCurve_P13647_KRT5.pdf", "Melting_Curves/meltCurve_P13647_KRT5.pdf")</f>
        <v>Melting_Curves/meltCurve_P13647_KRT5.pdf</v>
      </c>
    </row>
    <row r="1866" spans="1:28" x14ac:dyDescent="0.25">
      <c r="A1866" t="s">
        <v>1870</v>
      </c>
      <c r="B1866">
        <v>0.99930955844802105</v>
      </c>
      <c r="C1866">
        <v>1.0528119749051701</v>
      </c>
      <c r="D1866">
        <v>0.96556121841839204</v>
      </c>
      <c r="E1866">
        <v>0.84081644473221395</v>
      </c>
      <c r="F1866">
        <v>0.43138355515291599</v>
      </c>
      <c r="G1866">
        <v>0.21703622577986501</v>
      </c>
      <c r="H1866">
        <v>0.103152609087902</v>
      </c>
      <c r="I1866">
        <v>7.1209748833532704E-2</v>
      </c>
      <c r="J1866">
        <v>6.2068627576011698E-2</v>
      </c>
      <c r="K1866">
        <v>4.5679972921643899E-2</v>
      </c>
      <c r="L1866">
        <v>1402.75491543674</v>
      </c>
      <c r="M1866">
        <v>26.725872534415998</v>
      </c>
      <c r="N1866">
        <v>52.778457218223501</v>
      </c>
      <c r="O1866">
        <v>52.195579159781303</v>
      </c>
      <c r="P1866">
        <v>-0.119221144107059</v>
      </c>
      <c r="Q1866">
        <v>6.8655263133640607E-2</v>
      </c>
      <c r="R1866">
        <v>0.994415990171157</v>
      </c>
      <c r="S1866" t="s">
        <v>8483</v>
      </c>
      <c r="T1866" t="s">
        <v>13232</v>
      </c>
      <c r="U1866" t="s">
        <v>13232</v>
      </c>
      <c r="V1866" t="s">
        <v>13232</v>
      </c>
      <c r="W1866" t="s">
        <v>15050</v>
      </c>
      <c r="X1866">
        <v>46</v>
      </c>
      <c r="Y1866" t="s">
        <v>21554</v>
      </c>
      <c r="Z1866" t="s">
        <v>27997</v>
      </c>
      <c r="AA1866">
        <v>0.46381893477129471</v>
      </c>
      <c r="AB1866" t="str">
        <f>HYPERLINK("Melting_Curves/meltCurve_P13667_PDIA4.pdf", "Melting_Curves/meltCurve_P13667_PDIA4.pdf")</f>
        <v>Melting_Curves/meltCurve_P13667_PDIA4.pdf</v>
      </c>
    </row>
    <row r="1867" spans="1:28" x14ac:dyDescent="0.25">
      <c r="A1867" t="s">
        <v>1871</v>
      </c>
      <c r="B1867">
        <v>0.99930955844802105</v>
      </c>
      <c r="C1867">
        <v>0.76924595939714002</v>
      </c>
      <c r="D1867">
        <v>0.59106585100450204</v>
      </c>
      <c r="E1867">
        <v>0.49139050098398201</v>
      </c>
      <c r="F1867">
        <v>0.28590691362005199</v>
      </c>
      <c r="G1867">
        <v>0.21180480290967599</v>
      </c>
      <c r="H1867">
        <v>8.6333539614558696E-2</v>
      </c>
      <c r="I1867">
        <v>7.1710949292020598E-2</v>
      </c>
      <c r="J1867">
        <v>5.1317215030821803E-2</v>
      </c>
      <c r="K1867">
        <v>4.8228550476863002E-2</v>
      </c>
      <c r="L1867">
        <v>506.675716248551</v>
      </c>
      <c r="M1867">
        <v>10.390518051573901</v>
      </c>
      <c r="N1867">
        <v>48.7632776691852</v>
      </c>
      <c r="O1867">
        <v>47.060807319168902</v>
      </c>
      <c r="P1867">
        <v>-5.5220500460939098E-2</v>
      </c>
      <c r="Q1867">
        <v>0</v>
      </c>
      <c r="R1867">
        <v>0.98204783067442702</v>
      </c>
      <c r="S1867" t="s">
        <v>8484</v>
      </c>
      <c r="T1867" t="s">
        <v>13232</v>
      </c>
      <c r="U1867" t="s">
        <v>13232</v>
      </c>
      <c r="V1867" t="s">
        <v>13232</v>
      </c>
      <c r="W1867" t="s">
        <v>15051</v>
      </c>
      <c r="X1867">
        <v>6</v>
      </c>
      <c r="Y1867" t="s">
        <v>21555</v>
      </c>
      <c r="Z1867" t="s">
        <v>27998</v>
      </c>
      <c r="AA1867">
        <v>0.33916593001100998</v>
      </c>
      <c r="AB1867" t="str">
        <f>HYPERLINK("Melting_Curves/meltCurve_P13674_2_P4HA1.pdf", "Melting_Curves/meltCurve_P13674_2_P4HA1.pdf")</f>
        <v>Melting_Curves/meltCurve_P13674_2_P4HA1.pdf</v>
      </c>
    </row>
    <row r="1868" spans="1:28" x14ac:dyDescent="0.25">
      <c r="A1868" t="s">
        <v>1872</v>
      </c>
      <c r="B1868">
        <v>0.99930955844802105</v>
      </c>
      <c r="C1868">
        <v>1.0283982258209301</v>
      </c>
      <c r="D1868">
        <v>1.0915456136175301</v>
      </c>
      <c r="E1868">
        <v>1.1941134735837999</v>
      </c>
      <c r="F1868">
        <v>1.0696202652834601</v>
      </c>
      <c r="G1868">
        <v>1.0670718356670099</v>
      </c>
      <c r="H1868">
        <v>1.1387770400289701</v>
      </c>
      <c r="I1868">
        <v>1.19303115547526</v>
      </c>
      <c r="J1868">
        <v>1.1403671609630499</v>
      </c>
      <c r="K1868">
        <v>0.95794408442044698</v>
      </c>
      <c r="L1868">
        <v>2099.7326272240898</v>
      </c>
      <c r="M1868">
        <v>47.838477450252903</v>
      </c>
      <c r="O1868">
        <v>43.815634935732298</v>
      </c>
      <c r="P1868">
        <v>2.94914038714023E-2</v>
      </c>
      <c r="Q1868">
        <v>1.1080455180873601</v>
      </c>
      <c r="R1868">
        <v>0.25275576642068798</v>
      </c>
      <c r="S1868" t="s">
        <v>8485</v>
      </c>
      <c r="T1868" t="s">
        <v>13232</v>
      </c>
      <c r="U1868" t="s">
        <v>13232</v>
      </c>
      <c r="V1868" t="s">
        <v>13232</v>
      </c>
      <c r="W1868" t="s">
        <v>15052</v>
      </c>
      <c r="X1868">
        <v>4</v>
      </c>
      <c r="Y1868" t="s">
        <v>21556</v>
      </c>
      <c r="Z1868" t="s">
        <v>27999</v>
      </c>
      <c r="AA1868">
        <v>1.0937742604225791</v>
      </c>
      <c r="AB1868" t="str">
        <f>HYPERLINK("Melting_Curves/meltCurve_P13682_ZNF35.pdf", "Melting_Curves/meltCurve_P13682_ZNF35.pdf")</f>
        <v>Melting_Curves/meltCurve_P13682_ZNF35.pdf</v>
      </c>
    </row>
    <row r="1869" spans="1:28" x14ac:dyDescent="0.25">
      <c r="A1869" t="s">
        <v>1873</v>
      </c>
      <c r="B1869">
        <v>0.99930955844802105</v>
      </c>
      <c r="C1869">
        <v>1.0217443017790699</v>
      </c>
      <c r="D1869">
        <v>1.03759443882644</v>
      </c>
      <c r="E1869">
        <v>0.86628320240057499</v>
      </c>
      <c r="F1869">
        <v>0.44577297112743802</v>
      </c>
      <c r="G1869">
        <v>0.23198985690687099</v>
      </c>
      <c r="H1869">
        <v>0.14389062986561499</v>
      </c>
      <c r="I1869">
        <v>0.13773010473050801</v>
      </c>
      <c r="J1869">
        <v>0.13285332961104601</v>
      </c>
      <c r="K1869">
        <v>0.107861011445407</v>
      </c>
      <c r="L1869">
        <v>1834.3137008245601</v>
      </c>
      <c r="M1869">
        <v>35.100894797904502</v>
      </c>
      <c r="N1869">
        <v>52.7441608625101</v>
      </c>
      <c r="O1869">
        <v>52.089569927263</v>
      </c>
      <c r="P1869">
        <v>-0.14519440878239701</v>
      </c>
      <c r="Q1869">
        <v>0.13813160831518001</v>
      </c>
      <c r="R1869">
        <v>0.99585917177610295</v>
      </c>
      <c r="S1869" t="s">
        <v>8486</v>
      </c>
      <c r="T1869" t="s">
        <v>13232</v>
      </c>
      <c r="U1869" t="s">
        <v>13232</v>
      </c>
      <c r="V1869" t="s">
        <v>13232</v>
      </c>
      <c r="W1869" t="s">
        <v>15053</v>
      </c>
      <c r="X1869">
        <v>12</v>
      </c>
      <c r="Y1869" t="s">
        <v>21557</v>
      </c>
      <c r="Z1869" t="s">
        <v>28000</v>
      </c>
      <c r="AA1869">
        <v>0.49434422850820059</v>
      </c>
      <c r="AB1869" t="str">
        <f>HYPERLINK("Melting_Curves/meltCurve_P13693_TPT1.pdf", "Melting_Curves/meltCurve_P13693_TPT1.pdf")</f>
        <v>Melting_Curves/meltCurve_P13693_TPT1.pdf</v>
      </c>
    </row>
    <row r="1870" spans="1:28" x14ac:dyDescent="0.25">
      <c r="A1870" t="s">
        <v>1874</v>
      </c>
      <c r="B1870">
        <v>0.99930955844802105</v>
      </c>
      <c r="C1870">
        <v>1.1235729501193801</v>
      </c>
      <c r="D1870">
        <v>1.0958998417024799</v>
      </c>
      <c r="E1870">
        <v>1.1126250675918801</v>
      </c>
      <c r="F1870">
        <v>1.0770571672915601</v>
      </c>
      <c r="G1870">
        <v>0.92082821374010604</v>
      </c>
      <c r="H1870">
        <v>0.94165904647964305</v>
      </c>
      <c r="I1870">
        <v>0.89149613304357</v>
      </c>
      <c r="J1870">
        <v>0.88518271924882497</v>
      </c>
      <c r="K1870">
        <v>0.215440373669643</v>
      </c>
      <c r="L1870">
        <v>5064.1158559059404</v>
      </c>
      <c r="M1870">
        <v>73.620674534796507</v>
      </c>
      <c r="N1870">
        <v>68.786599575367305</v>
      </c>
      <c r="O1870">
        <v>68.735897183102594</v>
      </c>
      <c r="P1870">
        <v>-0.26776652085743402</v>
      </c>
      <c r="Q1870">
        <v>0</v>
      </c>
      <c r="R1870">
        <v>0.900241576700618</v>
      </c>
      <c r="S1870" t="s">
        <v>8487</v>
      </c>
      <c r="T1870" t="s">
        <v>13232</v>
      </c>
      <c r="U1870" t="s">
        <v>13232</v>
      </c>
      <c r="V1870" t="s">
        <v>13232</v>
      </c>
      <c r="W1870" t="s">
        <v>15054</v>
      </c>
      <c r="X1870">
        <v>50</v>
      </c>
      <c r="Y1870" t="s">
        <v>21558</v>
      </c>
      <c r="Z1870" t="s">
        <v>28001</v>
      </c>
      <c r="AA1870">
        <v>0.9527652064393618</v>
      </c>
      <c r="AB1870" t="str">
        <f>HYPERLINK("Melting_Curves/meltCurve_P13796_LCP1.pdf", "Melting_Curves/meltCurve_P13796_LCP1.pdf")</f>
        <v>Melting_Curves/meltCurve_P13796_LCP1.pdf</v>
      </c>
    </row>
    <row r="1871" spans="1:28" x14ac:dyDescent="0.25">
      <c r="A1871" t="s">
        <v>1875</v>
      </c>
      <c r="B1871">
        <v>0.99930955844802105</v>
      </c>
      <c r="C1871">
        <v>0.83434948593147995</v>
      </c>
      <c r="D1871">
        <v>0.84759222158377701</v>
      </c>
      <c r="E1871">
        <v>0.97768113707547299</v>
      </c>
      <c r="F1871">
        <v>0.94652332953405605</v>
      </c>
      <c r="G1871">
        <v>0.82171082286918296</v>
      </c>
      <c r="H1871">
        <v>0.331625272020943</v>
      </c>
      <c r="I1871">
        <v>0.31885565486387801</v>
      </c>
      <c r="J1871">
        <v>0.13690473245040799</v>
      </c>
      <c r="K1871">
        <v>6.705358363609E-2</v>
      </c>
      <c r="L1871">
        <v>1464.1813226696599</v>
      </c>
      <c r="M1871">
        <v>24.5608904844715</v>
      </c>
      <c r="N1871">
        <v>60.043558601314999</v>
      </c>
      <c r="O1871">
        <v>59.223373106971998</v>
      </c>
      <c r="P1871">
        <v>-9.5333101430818398E-2</v>
      </c>
      <c r="Q1871">
        <v>8.0511336409963996E-2</v>
      </c>
      <c r="R1871">
        <v>0.94285539433382204</v>
      </c>
      <c r="S1871" t="s">
        <v>8488</v>
      </c>
      <c r="T1871" t="s">
        <v>13232</v>
      </c>
      <c r="U1871" t="s">
        <v>13232</v>
      </c>
      <c r="V1871" t="s">
        <v>13232</v>
      </c>
      <c r="W1871" t="s">
        <v>15055</v>
      </c>
      <c r="X1871">
        <v>25</v>
      </c>
      <c r="Y1871" t="s">
        <v>21559</v>
      </c>
      <c r="Z1871" t="s">
        <v>28002</v>
      </c>
      <c r="AA1871">
        <v>0.68894142994009266</v>
      </c>
      <c r="AB1871" t="str">
        <f>HYPERLINK("Melting_Curves/meltCurve_P13798_APEH.pdf", "Melting_Curves/meltCurve_P13798_APEH.pdf")</f>
        <v>Melting_Curves/meltCurve_P13798_APEH.pdf</v>
      </c>
    </row>
    <row r="1872" spans="1:28" x14ac:dyDescent="0.25">
      <c r="A1872" t="s">
        <v>1876</v>
      </c>
      <c r="B1872">
        <v>0.99930955844802105</v>
      </c>
      <c r="C1872">
        <v>0.853430007397594</v>
      </c>
      <c r="D1872">
        <v>0.52058376753527602</v>
      </c>
      <c r="E1872">
        <v>0.32947953844244998</v>
      </c>
      <c r="F1872">
        <v>0.189652058516147</v>
      </c>
      <c r="G1872">
        <v>0.110309009525431</v>
      </c>
      <c r="H1872">
        <v>5.8686124653574201E-2</v>
      </c>
      <c r="I1872">
        <v>4.2539294735263099E-2</v>
      </c>
      <c r="J1872">
        <v>4.2286401190167501E-2</v>
      </c>
      <c r="K1872">
        <v>3.1431684865144603E-2</v>
      </c>
      <c r="L1872">
        <v>747.82686941353995</v>
      </c>
      <c r="M1872">
        <v>15.960178863297701</v>
      </c>
      <c r="N1872">
        <v>47.1043203478783</v>
      </c>
      <c r="O1872">
        <v>46.138712398697301</v>
      </c>
      <c r="P1872">
        <v>-8.2993913451523904E-2</v>
      </c>
      <c r="Q1872">
        <v>4.0379476602634502E-2</v>
      </c>
      <c r="R1872">
        <v>0.99014255347103997</v>
      </c>
      <c r="S1872" t="s">
        <v>8489</v>
      </c>
      <c r="T1872" t="s">
        <v>13232</v>
      </c>
      <c r="U1872" t="s">
        <v>13232</v>
      </c>
      <c r="V1872" t="s">
        <v>13232</v>
      </c>
      <c r="W1872" t="s">
        <v>15056</v>
      </c>
      <c r="X1872">
        <v>16</v>
      </c>
      <c r="Y1872" t="s">
        <v>21560</v>
      </c>
      <c r="Z1872" t="s">
        <v>28003</v>
      </c>
      <c r="AA1872">
        <v>0.28278830169257591</v>
      </c>
      <c r="AB1872" t="str">
        <f>HYPERLINK("Melting_Curves/meltCurve_P13804_ETFA.pdf", "Melting_Curves/meltCurve_P13804_ETFA.pdf")</f>
        <v>Melting_Curves/meltCurve_P13804_ETFA.pdf</v>
      </c>
    </row>
    <row r="1873" spans="1:28" x14ac:dyDescent="0.25">
      <c r="A1873" t="s">
        <v>1877</v>
      </c>
      <c r="B1873">
        <v>0.99930955844802105</v>
      </c>
      <c r="C1873">
        <v>1.06557774583025</v>
      </c>
      <c r="D1873">
        <v>1.01477634436835</v>
      </c>
      <c r="E1873">
        <v>0.73466266679690795</v>
      </c>
      <c r="F1873">
        <v>0.41218429879275598</v>
      </c>
      <c r="G1873">
        <v>0.198752765288467</v>
      </c>
      <c r="H1873">
        <v>0.100577281212452</v>
      </c>
      <c r="I1873">
        <v>7.6153073732447701E-2</v>
      </c>
      <c r="J1873">
        <v>6.4680948322718396E-2</v>
      </c>
      <c r="K1873">
        <v>4.88508611261496E-2</v>
      </c>
      <c r="L1873">
        <v>1285.41314737056</v>
      </c>
      <c r="M1873">
        <v>24.7263183991749</v>
      </c>
      <c r="N1873">
        <v>52.297994723506399</v>
      </c>
      <c r="O1873">
        <v>51.649174956253397</v>
      </c>
      <c r="P1873">
        <v>-0.11146942337934</v>
      </c>
      <c r="Q1873">
        <v>6.8648587942311004E-2</v>
      </c>
      <c r="R1873">
        <v>0.99434212819199597</v>
      </c>
      <c r="S1873" t="s">
        <v>8490</v>
      </c>
      <c r="T1873" t="s">
        <v>13232</v>
      </c>
      <c r="U1873" t="s">
        <v>13232</v>
      </c>
      <c r="V1873" t="s">
        <v>13232</v>
      </c>
      <c r="W1873" t="s">
        <v>15057</v>
      </c>
      <c r="X1873">
        <v>22</v>
      </c>
      <c r="Y1873" t="s">
        <v>21561</v>
      </c>
      <c r="Z1873" t="s">
        <v>28004</v>
      </c>
      <c r="AA1873">
        <v>0.44942590958179029</v>
      </c>
      <c r="AB1873" t="str">
        <f>HYPERLINK("Melting_Curves/meltCurve_P13861_PRKAR2A.pdf", "Melting_Curves/meltCurve_P13861_PRKAR2A.pdf")</f>
        <v>Melting_Curves/meltCurve_P13861_PRKAR2A.pdf</v>
      </c>
    </row>
    <row r="1874" spans="1:28" x14ac:dyDescent="0.25">
      <c r="A1874" t="s">
        <v>1878</v>
      </c>
      <c r="B1874">
        <v>0.99930955844802105</v>
      </c>
      <c r="C1874">
        <v>1.0583714880011501</v>
      </c>
      <c r="D1874">
        <v>0.98812584445454998</v>
      </c>
      <c r="E1874">
        <v>0.90142638960287302</v>
      </c>
      <c r="F1874">
        <v>0.87215060979960302</v>
      </c>
      <c r="G1874">
        <v>0.71719241453599403</v>
      </c>
      <c r="H1874">
        <v>0.52094251049291196</v>
      </c>
      <c r="I1874">
        <v>0.24589537358576299</v>
      </c>
      <c r="J1874">
        <v>0.138356911901755</v>
      </c>
      <c r="K1874">
        <v>0.103564451093574</v>
      </c>
      <c r="L1874">
        <v>952.73384101075499</v>
      </c>
      <c r="M1874">
        <v>15.8000991940266</v>
      </c>
      <c r="N1874">
        <v>60.299231682732497</v>
      </c>
      <c r="O1874">
        <v>59.358100444284403</v>
      </c>
      <c r="P1874">
        <v>-6.6551160697592607E-2</v>
      </c>
      <c r="Q1874">
        <v>0</v>
      </c>
      <c r="R1874">
        <v>0.98798173644966802</v>
      </c>
      <c r="S1874" t="s">
        <v>8491</v>
      </c>
      <c r="T1874" t="s">
        <v>13232</v>
      </c>
      <c r="U1874" t="s">
        <v>13232</v>
      </c>
      <c r="V1874" t="s">
        <v>13232</v>
      </c>
      <c r="W1874" t="s">
        <v>15058</v>
      </c>
      <c r="X1874">
        <v>10</v>
      </c>
      <c r="Y1874" t="s">
        <v>21562</v>
      </c>
      <c r="Z1874" t="s">
        <v>28005</v>
      </c>
      <c r="AA1874">
        <v>0.6829940823472852</v>
      </c>
      <c r="AB1874" t="str">
        <f>HYPERLINK("Melting_Curves/meltCurve_P13929_3_ENO3.pdf", "Melting_Curves/meltCurve_P13929_3_ENO3.pdf")</f>
        <v>Melting_Curves/meltCurve_P13929_3_ENO3.pdf</v>
      </c>
    </row>
    <row r="1875" spans="1:28" x14ac:dyDescent="0.25">
      <c r="A1875" t="s">
        <v>1879</v>
      </c>
      <c r="B1875">
        <v>0.99930955844802105</v>
      </c>
      <c r="C1875">
        <v>1.2256687535242701</v>
      </c>
      <c r="D1875">
        <v>1.19388384112567</v>
      </c>
      <c r="E1875">
        <v>1.1587567588802301</v>
      </c>
      <c r="F1875">
        <v>0.97075876068285505</v>
      </c>
      <c r="G1875">
        <v>0.63720491808755098</v>
      </c>
      <c r="H1875">
        <v>0.432478102241041</v>
      </c>
      <c r="I1875">
        <v>0.36202964911720698</v>
      </c>
      <c r="J1875">
        <v>0.29600008939876199</v>
      </c>
      <c r="K1875">
        <v>0.24284292341045399</v>
      </c>
      <c r="L1875">
        <v>1733.38309087484</v>
      </c>
      <c r="M1875">
        <v>30.232799528129799</v>
      </c>
      <c r="N1875">
        <v>59.057464418084798</v>
      </c>
      <c r="O1875">
        <v>57.085425104911302</v>
      </c>
      <c r="P1875">
        <v>-9.3605217585217906E-2</v>
      </c>
      <c r="Q1875">
        <v>0.29302479578236401</v>
      </c>
      <c r="R1875">
        <v>0.91249978527630105</v>
      </c>
      <c r="S1875" t="s">
        <v>8492</v>
      </c>
      <c r="T1875" t="s">
        <v>13232</v>
      </c>
      <c r="U1875" t="s">
        <v>13232</v>
      </c>
      <c r="V1875" t="s">
        <v>13232</v>
      </c>
      <c r="W1875" t="s">
        <v>15059</v>
      </c>
      <c r="X1875">
        <v>15</v>
      </c>
      <c r="Y1875" t="s">
        <v>21563</v>
      </c>
      <c r="Z1875" t="s">
        <v>28006</v>
      </c>
      <c r="AA1875">
        <v>0.70616095049830718</v>
      </c>
      <c r="AB1875" t="str">
        <f>HYPERLINK("Melting_Curves/meltCurve_P13984_GTF2F2.pdf", "Melting_Curves/meltCurve_P13984_GTF2F2.pdf")</f>
        <v>Melting_Curves/meltCurve_P13984_GTF2F2.pdf</v>
      </c>
    </row>
    <row r="1876" spans="1:28" x14ac:dyDescent="0.25">
      <c r="A1876" t="s">
        <v>1880</v>
      </c>
      <c r="B1876">
        <v>0.99930955844802105</v>
      </c>
      <c r="C1876">
        <v>0.92195476830278</v>
      </c>
      <c r="D1876">
        <v>0.75061226134496795</v>
      </c>
      <c r="E1876">
        <v>0.53529854199279703</v>
      </c>
      <c r="F1876">
        <v>0.29566564709610699</v>
      </c>
      <c r="G1876">
        <v>0.19279203226212499</v>
      </c>
      <c r="H1876">
        <v>0.177657891432244</v>
      </c>
      <c r="I1876">
        <v>0.18295062705618401</v>
      </c>
      <c r="J1876">
        <v>0.20366803244946499</v>
      </c>
      <c r="K1876">
        <v>0.17696623395616601</v>
      </c>
      <c r="L1876">
        <v>862.29936310769995</v>
      </c>
      <c r="M1876">
        <v>17.730697314363699</v>
      </c>
      <c r="N1876">
        <v>49.775177237518299</v>
      </c>
      <c r="O1876">
        <v>48.027156453931298</v>
      </c>
      <c r="P1876">
        <v>-7.6875197697041694E-2</v>
      </c>
      <c r="Q1876">
        <v>0.16711592986649201</v>
      </c>
      <c r="R1876">
        <v>0.99335089068438998</v>
      </c>
      <c r="S1876" t="s">
        <v>8493</v>
      </c>
      <c r="T1876" t="s">
        <v>13232</v>
      </c>
      <c r="U1876" t="s">
        <v>13232</v>
      </c>
      <c r="V1876" t="s">
        <v>13232</v>
      </c>
      <c r="W1876" t="s">
        <v>15060</v>
      </c>
      <c r="X1876">
        <v>5</v>
      </c>
      <c r="Y1876" t="s">
        <v>21564</v>
      </c>
      <c r="Z1876" t="s">
        <v>28007</v>
      </c>
      <c r="AA1876">
        <v>0.42178179189107817</v>
      </c>
      <c r="AB1876" t="str">
        <f>HYPERLINK("Melting_Curves/meltCurve_P13995_MTHFD2.pdf", "Melting_Curves/meltCurve_P13995_MTHFD2.pdf")</f>
        <v>Melting_Curves/meltCurve_P13995_MTHFD2.pdf</v>
      </c>
    </row>
    <row r="1877" spans="1:28" x14ac:dyDescent="0.25">
      <c r="A1877" t="s">
        <v>1881</v>
      </c>
      <c r="B1877">
        <v>0.99930955844802105</v>
      </c>
      <c r="C1877">
        <v>0.98350042690776496</v>
      </c>
      <c r="D1877">
        <v>1.0550920554126799</v>
      </c>
      <c r="E1877">
        <v>0.948798748017739</v>
      </c>
      <c r="F1877">
        <v>0.88607797128396104</v>
      </c>
      <c r="G1877">
        <v>0.70804008517759898</v>
      </c>
      <c r="H1877">
        <v>0.64722146479347098</v>
      </c>
      <c r="I1877">
        <v>0.66260045085580999</v>
      </c>
      <c r="J1877">
        <v>0.883020676319901</v>
      </c>
      <c r="K1877">
        <v>0.61139741953973903</v>
      </c>
      <c r="L1877">
        <v>2186.2681829196299</v>
      </c>
      <c r="M1877">
        <v>40.916374930929898</v>
      </c>
      <c r="O1877">
        <v>53.305453978887499</v>
      </c>
      <c r="P1877">
        <v>-5.7851399881333899E-2</v>
      </c>
      <c r="Q1877">
        <v>0.69852770228780803</v>
      </c>
      <c r="R1877">
        <v>0.79479451764529396</v>
      </c>
      <c r="S1877" t="s">
        <v>8494</v>
      </c>
      <c r="T1877" t="s">
        <v>13232</v>
      </c>
      <c r="U1877" t="s">
        <v>13232</v>
      </c>
      <c r="V1877" t="s">
        <v>13232</v>
      </c>
      <c r="W1877" t="s">
        <v>15061</v>
      </c>
      <c r="X1877">
        <v>8</v>
      </c>
      <c r="Y1877" t="s">
        <v>21565</v>
      </c>
      <c r="Z1877" t="s">
        <v>28008</v>
      </c>
      <c r="AA1877">
        <v>0.83457543905502374</v>
      </c>
      <c r="AB1877" t="str">
        <f>HYPERLINK("Melting_Curves/meltCurve_P14174_MIF.pdf", "Melting_Curves/meltCurve_P14174_MIF.pdf")</f>
        <v>Melting_Curves/meltCurve_P14174_MIF.pdf</v>
      </c>
    </row>
    <row r="1878" spans="1:28" x14ac:dyDescent="0.25">
      <c r="A1878" t="s">
        <v>1882</v>
      </c>
      <c r="B1878">
        <v>0.99930955844802105</v>
      </c>
      <c r="C1878">
        <v>1.2395772426459699</v>
      </c>
      <c r="D1878">
        <v>1.10446566000468</v>
      </c>
      <c r="E1878">
        <v>1.16011171554472</v>
      </c>
      <c r="F1878">
        <v>1.04762193266782</v>
      </c>
      <c r="G1878">
        <v>1.15789073602939</v>
      </c>
      <c r="H1878">
        <v>1.1214153676771099</v>
      </c>
      <c r="I1878">
        <v>1.40042269281346</v>
      </c>
      <c r="J1878">
        <v>1.6894674551308899</v>
      </c>
      <c r="K1878">
        <v>0.966487313661615</v>
      </c>
      <c r="L1878">
        <v>217.75637540035899</v>
      </c>
      <c r="M1878">
        <v>3.4951943995477399</v>
      </c>
      <c r="O1878">
        <v>48.8185069369543</v>
      </c>
      <c r="P1878">
        <v>9.1250604063829906E-3</v>
      </c>
      <c r="Q1878">
        <v>1.5</v>
      </c>
      <c r="R1878">
        <v>0.142495292182237</v>
      </c>
      <c r="S1878" t="s">
        <v>8495</v>
      </c>
      <c r="T1878" t="s">
        <v>13232</v>
      </c>
      <c r="U1878" t="s">
        <v>13232</v>
      </c>
      <c r="V1878" t="s">
        <v>13232</v>
      </c>
      <c r="W1878" t="s">
        <v>15062</v>
      </c>
      <c r="X1878">
        <v>2</v>
      </c>
      <c r="Y1878" t="s">
        <v>21566</v>
      </c>
      <c r="Z1878" t="s">
        <v>28009</v>
      </c>
      <c r="AA1878">
        <v>1.1878803096605</v>
      </c>
      <c r="AB1878" t="str">
        <f>HYPERLINK("Melting_Curves/meltCurve_P14209_3_CD99.pdf", "Melting_Curves/meltCurve_P14209_3_CD99.pdf")</f>
        <v>Melting_Curves/meltCurve_P14209_3_CD99.pdf</v>
      </c>
    </row>
    <row r="1879" spans="1:28" x14ac:dyDescent="0.25">
      <c r="A1879" t="s">
        <v>1883</v>
      </c>
      <c r="B1879">
        <v>0.99930955844802105</v>
      </c>
      <c r="C1879">
        <v>1.0576738663268099</v>
      </c>
      <c r="D1879">
        <v>1.00881993418489</v>
      </c>
      <c r="E1879">
        <v>0.97027105743487596</v>
      </c>
      <c r="F1879">
        <v>0.80979228153607696</v>
      </c>
      <c r="G1879">
        <v>0.67255101444755605</v>
      </c>
      <c r="H1879">
        <v>0.63529162224616198</v>
      </c>
      <c r="I1879">
        <v>0.69929605442721399</v>
      </c>
      <c r="J1879">
        <v>0.92166441786069797</v>
      </c>
      <c r="K1879">
        <v>0.71410694638682604</v>
      </c>
      <c r="L1879">
        <v>2974.92526316568</v>
      </c>
      <c r="M1879">
        <v>57.076419432317003</v>
      </c>
      <c r="O1879">
        <v>52.057924955397802</v>
      </c>
      <c r="P1879">
        <v>-7.4319344732203793E-2</v>
      </c>
      <c r="Q1879">
        <v>0.72886113346804504</v>
      </c>
      <c r="R1879">
        <v>0.76615760721468196</v>
      </c>
      <c r="S1879" t="s">
        <v>8496</v>
      </c>
      <c r="T1879" t="s">
        <v>13232</v>
      </c>
      <c r="U1879" t="s">
        <v>13232</v>
      </c>
      <c r="V1879" t="s">
        <v>13232</v>
      </c>
      <c r="W1879" t="s">
        <v>15063</v>
      </c>
      <c r="X1879">
        <v>18</v>
      </c>
      <c r="Y1879" t="s">
        <v>21567</v>
      </c>
      <c r="Z1879" t="s">
        <v>28010</v>
      </c>
      <c r="AA1879">
        <v>0.8388951859183108</v>
      </c>
      <c r="AB1879" t="str">
        <f>HYPERLINK("Melting_Curves/meltCurve_P14314_2_PRKCSH.pdf", "Melting_Curves/meltCurve_P14314_2_PRKCSH.pdf")</f>
        <v>Melting_Curves/meltCurve_P14314_2_PRKCSH.pdf</v>
      </c>
    </row>
    <row r="1880" spans="1:28" x14ac:dyDescent="0.25">
      <c r="A1880" t="s">
        <v>1884</v>
      </c>
      <c r="B1880">
        <v>0.99930955844802105</v>
      </c>
      <c r="C1880">
        <v>1.1299713186074301</v>
      </c>
      <c r="D1880">
        <v>1.0969578989575399</v>
      </c>
      <c r="E1880">
        <v>1.07386468037889</v>
      </c>
      <c r="F1880">
        <v>0.97735058643372297</v>
      </c>
      <c r="G1880">
        <v>0.95343978922669104</v>
      </c>
      <c r="H1880">
        <v>1.0313809886893299</v>
      </c>
      <c r="I1880">
        <v>1.1662379714067499</v>
      </c>
      <c r="J1880">
        <v>1.1161266866810899</v>
      </c>
      <c r="K1880">
        <v>0.89521980395315803</v>
      </c>
      <c r="L1880">
        <v>10254.895407886301</v>
      </c>
      <c r="M1880">
        <v>250</v>
      </c>
      <c r="O1880">
        <v>41.0169477934814</v>
      </c>
      <c r="P1880">
        <v>7.4587689862162396E-2</v>
      </c>
      <c r="Q1880">
        <v>1.0489497606460301</v>
      </c>
      <c r="R1880">
        <v>3.2523210714972002E-2</v>
      </c>
      <c r="S1880" t="s">
        <v>8497</v>
      </c>
      <c r="T1880" t="s">
        <v>13232</v>
      </c>
      <c r="U1880" t="s">
        <v>13232</v>
      </c>
      <c r="V1880" t="s">
        <v>13232</v>
      </c>
      <c r="W1880" t="s">
        <v>15064</v>
      </c>
      <c r="X1880">
        <v>15</v>
      </c>
      <c r="Y1880" t="s">
        <v>21568</v>
      </c>
      <c r="Z1880" t="s">
        <v>28011</v>
      </c>
      <c r="AA1880">
        <v>1.0472821964734169</v>
      </c>
      <c r="AB1880" t="str">
        <f>HYPERLINK("Melting_Curves/meltCurve_P14317_HCLS1.pdf", "Melting_Curves/meltCurve_P14317_HCLS1.pdf")</f>
        <v>Melting_Curves/meltCurve_P14317_HCLS1.pdf</v>
      </c>
    </row>
    <row r="1881" spans="1:28" x14ac:dyDescent="0.25">
      <c r="A1881" t="s">
        <v>1885</v>
      </c>
      <c r="B1881">
        <v>0.99930955844802105</v>
      </c>
      <c r="C1881">
        <v>1.0812403356909099</v>
      </c>
      <c r="D1881">
        <v>1.02470598862092</v>
      </c>
      <c r="E1881">
        <v>0.43163897751359798</v>
      </c>
      <c r="F1881">
        <v>0.26588770146853202</v>
      </c>
      <c r="G1881">
        <v>0.19802337068765399</v>
      </c>
      <c r="H1881">
        <v>0.136607063697573</v>
      </c>
      <c r="I1881">
        <v>0.121492168892432</v>
      </c>
      <c r="J1881">
        <v>0.10381802002200199</v>
      </c>
      <c r="K1881">
        <v>8.24502299191361E-2</v>
      </c>
      <c r="L1881">
        <v>2056.0263688967498</v>
      </c>
      <c r="M1881">
        <v>41.630824816464397</v>
      </c>
      <c r="N1881">
        <v>49.777840841604799</v>
      </c>
      <c r="O1881">
        <v>49.273568133609203</v>
      </c>
      <c r="P1881">
        <v>-0.181783545114926</v>
      </c>
      <c r="Q1881">
        <v>0.139377307299206</v>
      </c>
      <c r="R1881">
        <v>0.98370072681616005</v>
      </c>
      <c r="S1881" t="s">
        <v>8498</v>
      </c>
      <c r="T1881" t="s">
        <v>13232</v>
      </c>
      <c r="U1881" t="s">
        <v>13232</v>
      </c>
      <c r="V1881" t="s">
        <v>13232</v>
      </c>
      <c r="W1881" t="s">
        <v>15065</v>
      </c>
      <c r="X1881">
        <v>12</v>
      </c>
      <c r="Y1881" t="s">
        <v>21569</v>
      </c>
      <c r="Z1881" t="s">
        <v>28012</v>
      </c>
      <c r="AA1881">
        <v>0.41138158186320889</v>
      </c>
      <c r="AB1881" t="str">
        <f>HYPERLINK("Melting_Curves/meltCurve_P14324_2_FDPS.pdf", "Melting_Curves/meltCurve_P14324_2_FDPS.pdf")</f>
        <v>Melting_Curves/meltCurve_P14324_2_FDPS.pdf</v>
      </c>
    </row>
    <row r="1882" spans="1:28" x14ac:dyDescent="0.25">
      <c r="A1882" t="s">
        <v>1886</v>
      </c>
      <c r="B1882">
        <v>0.99930955844802105</v>
      </c>
      <c r="C1882">
        <v>1.05703239344092</v>
      </c>
      <c r="D1882">
        <v>1.0651179115126299</v>
      </c>
      <c r="E1882">
        <v>0.79861341476780401</v>
      </c>
      <c r="F1882">
        <v>0.21937195078513</v>
      </c>
      <c r="G1882">
        <v>0.16896042027337799</v>
      </c>
      <c r="H1882">
        <v>9.6177040417972898E-2</v>
      </c>
      <c r="I1882">
        <v>8.2366656874241106E-2</v>
      </c>
      <c r="J1882">
        <v>7.2069669182684107E-2</v>
      </c>
      <c r="K1882">
        <v>5.4939094622444701E-2</v>
      </c>
      <c r="L1882">
        <v>2690.7776599275398</v>
      </c>
      <c r="M1882">
        <v>52.559676934486298</v>
      </c>
      <c r="N1882">
        <v>51.396746840284699</v>
      </c>
      <c r="O1882">
        <v>51.120765481428599</v>
      </c>
      <c r="P1882">
        <v>-0.23304770966531399</v>
      </c>
      <c r="Q1882">
        <v>9.3330119522688507E-2</v>
      </c>
      <c r="R1882">
        <v>0.99195058413889603</v>
      </c>
      <c r="S1882" t="s">
        <v>8499</v>
      </c>
      <c r="T1882" t="s">
        <v>13232</v>
      </c>
      <c r="U1882" t="s">
        <v>13232</v>
      </c>
      <c r="V1882" t="s">
        <v>13232</v>
      </c>
      <c r="W1882" t="s">
        <v>15066</v>
      </c>
      <c r="X1882">
        <v>25</v>
      </c>
      <c r="Y1882" t="s">
        <v>21570</v>
      </c>
      <c r="Z1882" t="s">
        <v>28013</v>
      </c>
      <c r="AA1882">
        <v>0.43351233701680159</v>
      </c>
      <c r="AB1882" t="str">
        <f>HYPERLINK("Melting_Curves/meltCurve_P14550_AKR1A1.pdf", "Melting_Curves/meltCurve_P14550_AKR1A1.pdf")</f>
        <v>Melting_Curves/meltCurve_P14550_AKR1A1.pdf</v>
      </c>
    </row>
    <row r="1883" spans="1:28" x14ac:dyDescent="0.25">
      <c r="A1883" t="s">
        <v>1887</v>
      </c>
      <c r="B1883">
        <v>0.99930955844802105</v>
      </c>
      <c r="C1883">
        <v>0.939425191665341</v>
      </c>
      <c r="D1883">
        <v>0.98466370723106</v>
      </c>
      <c r="E1883">
        <v>0.85544187811230399</v>
      </c>
      <c r="F1883">
        <v>0.83442602491129902</v>
      </c>
      <c r="G1883">
        <v>0.71202068218112202</v>
      </c>
      <c r="H1883">
        <v>0.281936027449947</v>
      </c>
      <c r="I1883">
        <v>8.8801731511219104E-2</v>
      </c>
      <c r="J1883">
        <v>5.95367632161867E-2</v>
      </c>
      <c r="K1883">
        <v>4.9037547462408203E-2</v>
      </c>
      <c r="L1883">
        <v>1214.07223780868</v>
      </c>
      <c r="M1883">
        <v>20.7617980433611</v>
      </c>
      <c r="N1883">
        <v>58.4762589207511</v>
      </c>
      <c r="O1883">
        <v>57.941864391610601</v>
      </c>
      <c r="P1883">
        <v>-8.9582812188213998E-2</v>
      </c>
      <c r="Q1883">
        <v>0</v>
      </c>
      <c r="R1883">
        <v>0.97954546102378903</v>
      </c>
      <c r="S1883" t="s">
        <v>8500</v>
      </c>
      <c r="T1883" t="s">
        <v>13232</v>
      </c>
      <c r="U1883" t="s">
        <v>13232</v>
      </c>
      <c r="V1883" t="s">
        <v>13232</v>
      </c>
      <c r="W1883" t="s">
        <v>15067</v>
      </c>
      <c r="X1883">
        <v>47</v>
      </c>
      <c r="Y1883" t="s">
        <v>21571</v>
      </c>
      <c r="Z1883" t="s">
        <v>28014</v>
      </c>
      <c r="AA1883">
        <v>0.62631092913571618</v>
      </c>
      <c r="AB1883" t="str">
        <f>HYPERLINK("Melting_Curves/meltCurve_P14618_PKM.pdf", "Melting_Curves/meltCurve_P14618_PKM.pdf")</f>
        <v>Melting_Curves/meltCurve_P14618_PKM.pdf</v>
      </c>
    </row>
    <row r="1884" spans="1:28" x14ac:dyDescent="0.25">
      <c r="A1884" t="s">
        <v>1888</v>
      </c>
      <c r="B1884">
        <v>0.99930955844802105</v>
      </c>
      <c r="C1884">
        <v>0.91843783837630999</v>
      </c>
      <c r="D1884">
        <v>0.93302640384192403</v>
      </c>
      <c r="E1884">
        <v>0.97393546870316205</v>
      </c>
      <c r="F1884">
        <v>1.00059094095532</v>
      </c>
      <c r="G1884">
        <v>0.74259771965605503</v>
      </c>
      <c r="H1884">
        <v>0.27262048562323399</v>
      </c>
      <c r="I1884">
        <v>6.7003621301182495E-2</v>
      </c>
      <c r="J1884">
        <v>3.9033112355336803E-2</v>
      </c>
      <c r="K1884">
        <v>3.0772880434218601E-2</v>
      </c>
      <c r="L1884">
        <v>1917.9222580025801</v>
      </c>
      <c r="M1884">
        <v>32.560125736043801</v>
      </c>
      <c r="N1884">
        <v>58.969382373841398</v>
      </c>
      <c r="O1884">
        <v>58.683161472096899</v>
      </c>
      <c r="P1884">
        <v>-0.13625392039593601</v>
      </c>
      <c r="Q1884">
        <v>1.7722081560210101E-2</v>
      </c>
      <c r="R1884">
        <v>0.99243643429626505</v>
      </c>
      <c r="S1884" t="s">
        <v>8501</v>
      </c>
      <c r="T1884" t="s">
        <v>13232</v>
      </c>
      <c r="U1884" t="s">
        <v>13232</v>
      </c>
      <c r="V1884" t="s">
        <v>13232</v>
      </c>
      <c r="W1884" t="s">
        <v>15068</v>
      </c>
      <c r="X1884">
        <v>46</v>
      </c>
      <c r="Y1884" t="s">
        <v>21571</v>
      </c>
      <c r="Z1884" t="s">
        <v>28015</v>
      </c>
      <c r="AA1884">
        <v>0.64223636712677357</v>
      </c>
      <c r="AB1884" t="str">
        <f>HYPERLINK("Melting_Curves/meltCurve_P14618_2_PKM.pdf", "Melting_Curves/meltCurve_P14618_2_PKM.pdf")</f>
        <v>Melting_Curves/meltCurve_P14618_2_PKM.pdf</v>
      </c>
    </row>
    <row r="1885" spans="1:28" x14ac:dyDescent="0.25">
      <c r="A1885" t="s">
        <v>1889</v>
      </c>
      <c r="B1885">
        <v>0.99930955844802105</v>
      </c>
      <c r="C1885">
        <v>1.0638037644731499</v>
      </c>
      <c r="D1885">
        <v>1.1389206331564199</v>
      </c>
      <c r="E1885">
        <v>1.0781187441170701</v>
      </c>
      <c r="F1885">
        <v>0.91712592561820505</v>
      </c>
      <c r="G1885">
        <v>0.61042801436164895</v>
      </c>
      <c r="H1885">
        <v>0.24942343903537501</v>
      </c>
      <c r="I1885">
        <v>0.15153863999127201</v>
      </c>
      <c r="J1885">
        <v>0.114178488518455</v>
      </c>
      <c r="K1885">
        <v>9.5300854576587005E-2</v>
      </c>
      <c r="L1885">
        <v>1695.14557122776</v>
      </c>
      <c r="M1885">
        <v>29.451154310218602</v>
      </c>
      <c r="N1885">
        <v>57.998498872897898</v>
      </c>
      <c r="O1885">
        <v>57.2944510363277</v>
      </c>
      <c r="P1885">
        <v>-0.11562615866534</v>
      </c>
      <c r="Q1885">
        <v>0.10024703157208199</v>
      </c>
      <c r="R1885">
        <v>0.98223331942552905</v>
      </c>
      <c r="S1885" t="s">
        <v>8502</v>
      </c>
      <c r="T1885" t="s">
        <v>13232</v>
      </c>
      <c r="U1885" t="s">
        <v>13232</v>
      </c>
      <c r="V1885" t="s">
        <v>13232</v>
      </c>
      <c r="W1885" t="s">
        <v>15069</v>
      </c>
      <c r="X1885">
        <v>9</v>
      </c>
      <c r="Y1885" t="s">
        <v>21572</v>
      </c>
      <c r="Z1885" t="s">
        <v>28016</v>
      </c>
      <c r="AA1885">
        <v>0.63298989064399491</v>
      </c>
      <c r="AB1885" t="str">
        <f>HYPERLINK("Melting_Curves/meltCurve_P14621_ACYP2.pdf", "Melting_Curves/meltCurve_P14621_ACYP2.pdf")</f>
        <v>Melting_Curves/meltCurve_P14621_ACYP2.pdf</v>
      </c>
    </row>
    <row r="1886" spans="1:28" x14ac:dyDescent="0.25">
      <c r="A1886" t="s">
        <v>1890</v>
      </c>
      <c r="B1886">
        <v>0.99930955844802105</v>
      </c>
      <c r="C1886">
        <v>1.0285142036248001</v>
      </c>
      <c r="D1886">
        <v>0.95425225204489705</v>
      </c>
      <c r="E1886">
        <v>0.84386221211648205</v>
      </c>
      <c r="F1886">
        <v>0.35594541257634699</v>
      </c>
      <c r="G1886">
        <v>0.21880371697565301</v>
      </c>
      <c r="H1886">
        <v>9.9567801054815996E-2</v>
      </c>
      <c r="I1886">
        <v>7.1466365995707298E-2</v>
      </c>
      <c r="J1886">
        <v>6.1265728672170602E-2</v>
      </c>
      <c r="K1886">
        <v>4.7576934553729702E-2</v>
      </c>
      <c r="L1886">
        <v>1741.4175213086201</v>
      </c>
      <c r="M1886">
        <v>33.500566017822003</v>
      </c>
      <c r="N1886">
        <v>52.267565059247701</v>
      </c>
      <c r="O1886">
        <v>51.797556981442398</v>
      </c>
      <c r="P1886">
        <v>-0.14815710719532499</v>
      </c>
      <c r="Q1886">
        <v>8.3699785930508794E-2</v>
      </c>
      <c r="R1886">
        <v>0.99089972038760898</v>
      </c>
      <c r="S1886" t="s">
        <v>8503</v>
      </c>
      <c r="T1886" t="s">
        <v>13232</v>
      </c>
      <c r="U1886" t="s">
        <v>13232</v>
      </c>
      <c r="V1886" t="s">
        <v>13232</v>
      </c>
      <c r="W1886" t="s">
        <v>15070</v>
      </c>
      <c r="X1886">
        <v>56</v>
      </c>
      <c r="Y1886" t="s">
        <v>21573</v>
      </c>
      <c r="Z1886" t="s">
        <v>28017</v>
      </c>
      <c r="AA1886">
        <v>0.45435941631168858</v>
      </c>
      <c r="AB1886" t="str">
        <f>HYPERLINK("Melting_Curves/meltCurve_P14625_HSP90B1.pdf", "Melting_Curves/meltCurve_P14625_HSP90B1.pdf")</f>
        <v>Melting_Curves/meltCurve_P14625_HSP90B1.pdf</v>
      </c>
    </row>
    <row r="1887" spans="1:28" x14ac:dyDescent="0.25">
      <c r="A1887" t="s">
        <v>1891</v>
      </c>
      <c r="B1887">
        <v>0.99930955844802105</v>
      </c>
      <c r="C1887">
        <v>1.2939741801081399</v>
      </c>
      <c r="D1887">
        <v>1.2464863158716799</v>
      </c>
      <c r="E1887">
        <v>1.0801148697598499</v>
      </c>
      <c r="F1887">
        <v>0.77807015089878095</v>
      </c>
      <c r="G1887">
        <v>0.415424703616461</v>
      </c>
      <c r="H1887">
        <v>0.32167772645830101</v>
      </c>
      <c r="I1887">
        <v>0.29983486199206799</v>
      </c>
      <c r="J1887">
        <v>0.287951791185864</v>
      </c>
      <c r="K1887">
        <v>0.23360625323576301</v>
      </c>
      <c r="L1887">
        <v>2059.0464795391199</v>
      </c>
      <c r="M1887">
        <v>37.8160541747243</v>
      </c>
      <c r="N1887">
        <v>55.689288697478403</v>
      </c>
      <c r="O1887">
        <v>54.297411238155199</v>
      </c>
      <c r="P1887">
        <v>-0.124558348708614</v>
      </c>
      <c r="Q1887">
        <v>0.28462358457176601</v>
      </c>
      <c r="R1887">
        <v>0.90179136018800699</v>
      </c>
      <c r="S1887" t="s">
        <v>8504</v>
      </c>
      <c r="T1887" t="s">
        <v>13232</v>
      </c>
      <c r="U1887" t="s">
        <v>13232</v>
      </c>
      <c r="V1887" t="s">
        <v>13232</v>
      </c>
      <c r="W1887" t="s">
        <v>15071</v>
      </c>
      <c r="X1887">
        <v>11</v>
      </c>
      <c r="Y1887" t="s">
        <v>21574</v>
      </c>
      <c r="Z1887" t="s">
        <v>28018</v>
      </c>
      <c r="AA1887">
        <v>0.6321755872889282</v>
      </c>
      <c r="AB1887" t="str">
        <f>HYPERLINK("Melting_Curves/meltCurve_P14635_CCNB1.pdf", "Melting_Curves/meltCurve_P14635_CCNB1.pdf")</f>
        <v>Melting_Curves/meltCurve_P14635_CCNB1.pdf</v>
      </c>
    </row>
    <row r="1888" spans="1:28" x14ac:dyDescent="0.25">
      <c r="A1888" t="s">
        <v>1892</v>
      </c>
      <c r="B1888">
        <v>0.99930955844802105</v>
      </c>
      <c r="C1888">
        <v>0.93821164425560299</v>
      </c>
      <c r="D1888">
        <v>0.95938773007489597</v>
      </c>
      <c r="E1888">
        <v>0.95490793811818797</v>
      </c>
      <c r="F1888">
        <v>0.93347082300554796</v>
      </c>
      <c r="G1888">
        <v>0.84633824030907601</v>
      </c>
      <c r="H1888">
        <v>0.81755959262426603</v>
      </c>
      <c r="I1888">
        <v>0.822543314115743</v>
      </c>
      <c r="J1888">
        <v>0.864985796938331</v>
      </c>
      <c r="K1888">
        <v>0.70644734627523098</v>
      </c>
      <c r="L1888">
        <v>267.39017784693903</v>
      </c>
      <c r="M1888">
        <v>2.68756890042041</v>
      </c>
      <c r="O1888">
        <v>69.599388486601399</v>
      </c>
      <c r="P1888">
        <v>-1.0060007338972899E-2</v>
      </c>
      <c r="Q1888">
        <v>0</v>
      </c>
      <c r="R1888">
        <v>0.81782522298415905</v>
      </c>
      <c r="S1888" t="s">
        <v>8505</v>
      </c>
      <c r="T1888" t="s">
        <v>13232</v>
      </c>
      <c r="U1888" t="s">
        <v>13232</v>
      </c>
      <c r="V1888" t="s">
        <v>13232</v>
      </c>
      <c r="W1888" t="s">
        <v>15072</v>
      </c>
      <c r="X1888">
        <v>10</v>
      </c>
      <c r="Y1888" t="s">
        <v>21575</v>
      </c>
      <c r="Z1888" t="s">
        <v>28019</v>
      </c>
      <c r="AA1888">
        <v>0.88801092857821673</v>
      </c>
      <c r="AB1888" t="str">
        <f>HYPERLINK("Melting_Curves/meltCurve_P14649_MYL6B.pdf", "Melting_Curves/meltCurve_P14649_MYL6B.pdf")</f>
        <v>Melting_Curves/meltCurve_P14649_MYL6B.pdf</v>
      </c>
    </row>
    <row r="1889" spans="1:28" x14ac:dyDescent="0.25">
      <c r="A1889" t="s">
        <v>1893</v>
      </c>
      <c r="B1889">
        <v>0.99930955844802105</v>
      </c>
      <c r="C1889">
        <v>0.82147273646297503</v>
      </c>
      <c r="D1889">
        <v>0.84614419978843103</v>
      </c>
      <c r="E1889">
        <v>0.98331656301033099</v>
      </c>
      <c r="F1889">
        <v>0.96475561460739301</v>
      </c>
      <c r="G1889">
        <v>0.85262225390967905</v>
      </c>
      <c r="H1889">
        <v>0.48598252685565901</v>
      </c>
      <c r="I1889">
        <v>0.42357858000830201</v>
      </c>
      <c r="J1889">
        <v>0.34713747039905202</v>
      </c>
      <c r="K1889">
        <v>0.20447988010719301</v>
      </c>
      <c r="L1889">
        <v>1287.00772306771</v>
      </c>
      <c r="M1889">
        <v>21.406662228619499</v>
      </c>
      <c r="N1889">
        <v>61.775897763810399</v>
      </c>
      <c r="O1889">
        <v>59.6045566406505</v>
      </c>
      <c r="P1889">
        <v>-7.02025830221958E-2</v>
      </c>
      <c r="Q1889">
        <v>0.21813340315244101</v>
      </c>
      <c r="R1889">
        <v>0.915111923637975</v>
      </c>
      <c r="S1889" t="s">
        <v>8506</v>
      </c>
      <c r="T1889" t="s">
        <v>13232</v>
      </c>
      <c r="U1889" t="s">
        <v>13232</v>
      </c>
      <c r="V1889" t="s">
        <v>13232</v>
      </c>
      <c r="W1889" t="s">
        <v>15073</v>
      </c>
      <c r="X1889">
        <v>17</v>
      </c>
      <c r="Y1889" t="s">
        <v>21576</v>
      </c>
      <c r="Z1889" t="s">
        <v>28020</v>
      </c>
      <c r="AA1889">
        <v>0.74881286518660195</v>
      </c>
      <c r="AB1889" t="str">
        <f>HYPERLINK("Melting_Curves/meltCurve_P14678_SNRPB.pdf", "Melting_Curves/meltCurve_P14678_SNRPB.pdf")</f>
        <v>Melting_Curves/meltCurve_P14678_SNRPB.pdf</v>
      </c>
    </row>
    <row r="1890" spans="1:28" x14ac:dyDescent="0.25">
      <c r="A1890" t="s">
        <v>1894</v>
      </c>
      <c r="B1890">
        <v>0.99930955844802105</v>
      </c>
      <c r="C1890">
        <v>0.89072477378005899</v>
      </c>
      <c r="D1890">
        <v>0.92102631167831295</v>
      </c>
      <c r="E1890">
        <v>0.646966737764746</v>
      </c>
      <c r="F1890">
        <v>0.32950674873914498</v>
      </c>
      <c r="G1890">
        <v>0.175485768530111</v>
      </c>
      <c r="H1890">
        <v>7.8269914066415605E-2</v>
      </c>
      <c r="I1890">
        <v>6.1947336862913198E-2</v>
      </c>
      <c r="J1890">
        <v>5.0950667091100202E-2</v>
      </c>
      <c r="K1890">
        <v>3.9908183810928401E-2</v>
      </c>
      <c r="L1890">
        <v>992.192733463227</v>
      </c>
      <c r="M1890">
        <v>19.404037760978799</v>
      </c>
      <c r="N1890">
        <v>51.3574957778103</v>
      </c>
      <c r="O1890">
        <v>50.599514272701001</v>
      </c>
      <c r="P1890">
        <v>-9.1981089480314193E-2</v>
      </c>
      <c r="Q1890">
        <v>4.0606334926294299E-2</v>
      </c>
      <c r="R1890">
        <v>0.99313535916666995</v>
      </c>
      <c r="S1890" t="s">
        <v>8507</v>
      </c>
      <c r="T1890" t="s">
        <v>13232</v>
      </c>
      <c r="U1890" t="s">
        <v>13232</v>
      </c>
      <c r="V1890" t="s">
        <v>13232</v>
      </c>
      <c r="W1890" t="s">
        <v>15074</v>
      </c>
      <c r="X1890">
        <v>46</v>
      </c>
      <c r="Y1890" t="s">
        <v>21577</v>
      </c>
      <c r="Z1890" t="s">
        <v>28021</v>
      </c>
      <c r="AA1890">
        <v>0.41072799013564809</v>
      </c>
      <c r="AB1890" t="str">
        <f>HYPERLINK("Melting_Curves/meltCurve_P14735_IDE.pdf", "Melting_Curves/meltCurve_P14735_IDE.pdf")</f>
        <v>Melting_Curves/meltCurve_P14735_IDE.pdf</v>
      </c>
    </row>
    <row r="1891" spans="1:28" x14ac:dyDescent="0.25">
      <c r="A1891" t="s">
        <v>1895</v>
      </c>
      <c r="B1891">
        <v>0.99930955844802105</v>
      </c>
      <c r="C1891">
        <v>0.908344075679832</v>
      </c>
      <c r="D1891">
        <v>0.77048233461889604</v>
      </c>
      <c r="E1891">
        <v>0.64635782863026403</v>
      </c>
      <c r="F1891">
        <v>0.55204734403367295</v>
      </c>
      <c r="G1891">
        <v>0.58606164082790202</v>
      </c>
      <c r="H1891">
        <v>0.631098418320581</v>
      </c>
      <c r="I1891">
        <v>0.64163712917945104</v>
      </c>
      <c r="J1891">
        <v>0.69428906221976106</v>
      </c>
      <c r="K1891">
        <v>0.52564835573095103</v>
      </c>
      <c r="L1891">
        <v>1184.0964220895901</v>
      </c>
      <c r="M1891">
        <v>26.1849154835236</v>
      </c>
      <c r="O1891">
        <v>44.959285473384</v>
      </c>
      <c r="P1891">
        <v>-5.7388529964905198E-2</v>
      </c>
      <c r="Q1891">
        <v>0.60586190705041598</v>
      </c>
      <c r="R1891">
        <v>0.901786236858239</v>
      </c>
      <c r="S1891" t="s">
        <v>8508</v>
      </c>
      <c r="T1891" t="s">
        <v>13232</v>
      </c>
      <c r="U1891" t="s">
        <v>13232</v>
      </c>
      <c r="V1891" t="s">
        <v>13232</v>
      </c>
      <c r="W1891" t="s">
        <v>15075</v>
      </c>
      <c r="X1891">
        <v>10</v>
      </c>
      <c r="Y1891" t="s">
        <v>21578</v>
      </c>
      <c r="Z1891" t="s">
        <v>28022</v>
      </c>
      <c r="AA1891">
        <v>0.6778916241814531</v>
      </c>
      <c r="AB1891" t="str">
        <f>HYPERLINK("Melting_Curves/meltCurve_P14854_COX6B1.pdf", "Melting_Curves/meltCurve_P14854_COX6B1.pdf")</f>
        <v>Melting_Curves/meltCurve_P14854_COX6B1.pdf</v>
      </c>
    </row>
    <row r="1892" spans="1:28" x14ac:dyDescent="0.25">
      <c r="A1892" t="s">
        <v>1896</v>
      </c>
      <c r="B1892">
        <v>0.99930955844802105</v>
      </c>
      <c r="C1892">
        <v>1.01332267758386</v>
      </c>
      <c r="D1892">
        <v>0.96667124928188997</v>
      </c>
      <c r="E1892">
        <v>0.55839913336355396</v>
      </c>
      <c r="F1892">
        <v>0.29344116175920998</v>
      </c>
      <c r="G1892">
        <v>0.18557974383179701</v>
      </c>
      <c r="H1892">
        <v>0.11582079063539601</v>
      </c>
      <c r="I1892">
        <v>9.3633381883900302E-2</v>
      </c>
      <c r="J1892">
        <v>8.4126967282537393E-2</v>
      </c>
      <c r="K1892">
        <v>5.9912932106413297E-2</v>
      </c>
      <c r="L1892">
        <v>1292.79605195615</v>
      </c>
      <c r="M1892">
        <v>25.692896264055499</v>
      </c>
      <c r="N1892">
        <v>50.732478161356099</v>
      </c>
      <c r="O1892">
        <v>50.015408792587102</v>
      </c>
      <c r="P1892">
        <v>-0.116248819133892</v>
      </c>
      <c r="Q1892">
        <v>9.4821920564952894E-2</v>
      </c>
      <c r="R1892">
        <v>0.995478884275802</v>
      </c>
      <c r="S1892" t="s">
        <v>8509</v>
      </c>
      <c r="T1892" t="s">
        <v>13232</v>
      </c>
      <c r="U1892" t="s">
        <v>13232</v>
      </c>
      <c r="V1892" t="s">
        <v>13232</v>
      </c>
      <c r="W1892" t="s">
        <v>15076</v>
      </c>
      <c r="X1892">
        <v>23</v>
      </c>
      <c r="Y1892" t="s">
        <v>21579</v>
      </c>
      <c r="Z1892" t="s">
        <v>28023</v>
      </c>
      <c r="AA1892">
        <v>0.41380567134388568</v>
      </c>
      <c r="AB1892" t="str">
        <f>HYPERLINK("Melting_Curves/meltCurve_P14866_HNRNPL.pdf", "Melting_Curves/meltCurve_P14866_HNRNPL.pdf")</f>
        <v>Melting_Curves/meltCurve_P14866_HNRNPL.pdf</v>
      </c>
    </row>
    <row r="1893" spans="1:28" x14ac:dyDescent="0.25">
      <c r="A1893" t="s">
        <v>1897</v>
      </c>
      <c r="B1893">
        <v>0.99930955844802105</v>
      </c>
      <c r="C1893">
        <v>0.61789135243638804</v>
      </c>
      <c r="D1893">
        <v>0.58792999322320005</v>
      </c>
      <c r="E1893">
        <v>0.28494895484344901</v>
      </c>
      <c r="F1893">
        <v>0.162149606790366</v>
      </c>
      <c r="G1893">
        <v>0.103360155490155</v>
      </c>
      <c r="H1893">
        <v>6.0659455247628898E-2</v>
      </c>
      <c r="I1893">
        <v>4.76733746864016E-2</v>
      </c>
      <c r="J1893">
        <v>4.3383183569829398E-2</v>
      </c>
      <c r="K1893">
        <v>3.41815595243413E-2</v>
      </c>
      <c r="L1893">
        <v>618.02383358504403</v>
      </c>
      <c r="M1893">
        <v>13.375155781888401</v>
      </c>
      <c r="N1893">
        <v>46.391682318227701</v>
      </c>
      <c r="O1893">
        <v>45.210601933460801</v>
      </c>
      <c r="P1893">
        <v>-7.2052631439788697E-2</v>
      </c>
      <c r="Q1893">
        <v>2.5946790682406299E-2</v>
      </c>
      <c r="R1893">
        <v>0.96824604161656702</v>
      </c>
      <c r="S1893" t="s">
        <v>8510</v>
      </c>
      <c r="T1893" t="s">
        <v>13232</v>
      </c>
      <c r="U1893" t="s">
        <v>13232</v>
      </c>
      <c r="V1893" t="s">
        <v>13232</v>
      </c>
      <c r="W1893" t="s">
        <v>15077</v>
      </c>
      <c r="X1893">
        <v>37</v>
      </c>
      <c r="Y1893" t="s">
        <v>21580</v>
      </c>
      <c r="Z1893" t="s">
        <v>28024</v>
      </c>
      <c r="AA1893">
        <v>0.26282875454773591</v>
      </c>
      <c r="AB1893" t="str">
        <f>HYPERLINK("Melting_Curves/meltCurve_P14868_DARS.pdf", "Melting_Curves/meltCurve_P14868_DARS.pdf")</f>
        <v>Melting_Curves/meltCurve_P14868_DARS.pdf</v>
      </c>
    </row>
    <row r="1894" spans="1:28" x14ac:dyDescent="0.25">
      <c r="A1894" t="s">
        <v>1898</v>
      </c>
      <c r="B1894">
        <v>0.99930955844802105</v>
      </c>
      <c r="C1894">
        <v>0.95921843230137904</v>
      </c>
      <c r="D1894">
        <v>0.80367828014523901</v>
      </c>
      <c r="E1894">
        <v>0.61390525087108505</v>
      </c>
      <c r="F1894">
        <v>0.58243107120077997</v>
      </c>
      <c r="G1894">
        <v>0.28593750597084699</v>
      </c>
      <c r="H1894">
        <v>0.17000785849174899</v>
      </c>
      <c r="I1894">
        <v>0.141555243931511</v>
      </c>
      <c r="J1894">
        <v>0.15704543949021699</v>
      </c>
      <c r="K1894">
        <v>8.6019607241751103E-2</v>
      </c>
      <c r="L1894">
        <v>601.24254020086903</v>
      </c>
      <c r="M1894">
        <v>11.451163137205</v>
      </c>
      <c r="N1894">
        <v>52.907441782285801</v>
      </c>
      <c r="O1894">
        <v>50.980229622442302</v>
      </c>
      <c r="P1894">
        <v>-5.3827901683652597E-2</v>
      </c>
      <c r="Q1894">
        <v>4.1715861961205303E-2</v>
      </c>
      <c r="R1894">
        <v>0.98589911276658104</v>
      </c>
      <c r="S1894" t="s">
        <v>8511</v>
      </c>
      <c r="T1894" t="s">
        <v>13232</v>
      </c>
      <c r="U1894" t="s">
        <v>13232</v>
      </c>
      <c r="V1894" t="s">
        <v>13232</v>
      </c>
      <c r="W1894" t="s">
        <v>13745</v>
      </c>
      <c r="X1894">
        <v>18</v>
      </c>
      <c r="Y1894" t="s">
        <v>20285</v>
      </c>
      <c r="Z1894" t="s">
        <v>28025</v>
      </c>
      <c r="AA1894">
        <v>0.47107520654682739</v>
      </c>
      <c r="AB1894" t="str">
        <f>HYPERLINK("Melting_Curves/meltCurve_P14923_JUP.pdf", "Melting_Curves/meltCurve_P14923_JUP.pdf")</f>
        <v>Melting_Curves/meltCurve_P14923_JUP.pdf</v>
      </c>
    </row>
    <row r="1895" spans="1:28" x14ac:dyDescent="0.25">
      <c r="A1895" t="s">
        <v>1899</v>
      </c>
      <c r="B1895">
        <v>0.99930955844802105</v>
      </c>
      <c r="C1895">
        <v>0.89482963706402896</v>
      </c>
      <c r="D1895">
        <v>0.85576291689512096</v>
      </c>
      <c r="E1895">
        <v>0.72331355092641403</v>
      </c>
      <c r="F1895">
        <v>0.478849638008297</v>
      </c>
      <c r="G1895">
        <v>0.36827914732037698</v>
      </c>
      <c r="H1895">
        <v>0.29143674215852899</v>
      </c>
      <c r="I1895">
        <v>0.33395776859545301</v>
      </c>
      <c r="J1895">
        <v>0.35297927171473997</v>
      </c>
      <c r="K1895">
        <v>0.28686803966991398</v>
      </c>
      <c r="L1895">
        <v>800.25167022369806</v>
      </c>
      <c r="M1895">
        <v>15.908333565695701</v>
      </c>
      <c r="N1895">
        <v>53.233816023493702</v>
      </c>
      <c r="O1895">
        <v>49.529174235944602</v>
      </c>
      <c r="P1895">
        <v>-5.6880571720852202E-2</v>
      </c>
      <c r="Q1895">
        <v>0.29168652649651999</v>
      </c>
      <c r="R1895">
        <v>0.98051984265051695</v>
      </c>
      <c r="S1895" t="s">
        <v>8512</v>
      </c>
      <c r="T1895" t="s">
        <v>13232</v>
      </c>
      <c r="U1895" t="s">
        <v>13232</v>
      </c>
      <c r="V1895" t="s">
        <v>13232</v>
      </c>
      <c r="W1895" t="s">
        <v>15078</v>
      </c>
      <c r="X1895">
        <v>4</v>
      </c>
      <c r="Y1895" t="s">
        <v>21581</v>
      </c>
      <c r="Z1895" t="s">
        <v>28026</v>
      </c>
      <c r="AA1895">
        <v>0.55004970492782101</v>
      </c>
      <c r="AB1895" t="str">
        <f>HYPERLINK("Melting_Curves/meltCurve_P14927_UQCRB.pdf", "Melting_Curves/meltCurve_P14927_UQCRB.pdf")</f>
        <v>Melting_Curves/meltCurve_P14927_UQCRB.pdf</v>
      </c>
    </row>
    <row r="1896" spans="1:28" x14ac:dyDescent="0.25">
      <c r="A1896" t="s">
        <v>1900</v>
      </c>
      <c r="B1896">
        <v>0.99930955844802105</v>
      </c>
      <c r="C1896">
        <v>0.73832323871119299</v>
      </c>
      <c r="D1896">
        <v>0.57121360803390497</v>
      </c>
      <c r="E1896">
        <v>0.40426478911581798</v>
      </c>
      <c r="F1896">
        <v>0.28863935430974302</v>
      </c>
      <c r="G1896">
        <v>0.19811471753662999</v>
      </c>
      <c r="H1896">
        <v>0.14145544506315899</v>
      </c>
      <c r="I1896">
        <v>0.11626060634829501</v>
      </c>
      <c r="J1896">
        <v>0.102429007781771</v>
      </c>
      <c r="K1896">
        <v>7.7637495569054096E-2</v>
      </c>
      <c r="L1896">
        <v>563.66609211195203</v>
      </c>
      <c r="M1896">
        <v>11.963338845610799</v>
      </c>
      <c r="N1896">
        <v>47.816910438343598</v>
      </c>
      <c r="O1896">
        <v>45.857541738400201</v>
      </c>
      <c r="P1896">
        <v>-5.9990383493702899E-2</v>
      </c>
      <c r="Q1896">
        <v>8.0410634878696305E-2</v>
      </c>
      <c r="R1896">
        <v>0.98424994270116395</v>
      </c>
      <c r="S1896" t="s">
        <v>8513</v>
      </c>
      <c r="T1896" t="s">
        <v>13232</v>
      </c>
      <c r="U1896" t="s">
        <v>13232</v>
      </c>
      <c r="V1896" t="s">
        <v>13232</v>
      </c>
      <c r="W1896" t="s">
        <v>15079</v>
      </c>
      <c r="X1896">
        <v>14</v>
      </c>
      <c r="Y1896" t="s">
        <v>21582</v>
      </c>
      <c r="Z1896" t="s">
        <v>28027</v>
      </c>
      <c r="AA1896">
        <v>0.33702920829602973</v>
      </c>
      <c r="AB1896" t="str">
        <f>HYPERLINK("Melting_Curves/meltCurve_P15056_BRAF.pdf", "Melting_Curves/meltCurve_P15056_BRAF.pdf")</f>
        <v>Melting_Curves/meltCurve_P15056_BRAF.pdf</v>
      </c>
    </row>
    <row r="1897" spans="1:28" x14ac:dyDescent="0.25">
      <c r="A1897" t="s">
        <v>1901</v>
      </c>
      <c r="B1897">
        <v>0.99930955844802105</v>
      </c>
      <c r="C1897">
        <v>0.68205600577443304</v>
      </c>
      <c r="D1897">
        <v>0.720279223335208</v>
      </c>
      <c r="E1897">
        <v>0.870267235655384</v>
      </c>
      <c r="F1897">
        <v>0.87519684760564398</v>
      </c>
      <c r="G1897">
        <v>0.42633998504547999</v>
      </c>
      <c r="H1897">
        <v>0.107627963041292</v>
      </c>
      <c r="I1897">
        <v>0.10004703597419</v>
      </c>
      <c r="J1897">
        <v>8.1582924837413098E-2</v>
      </c>
      <c r="K1897">
        <v>6.0599929404382101E-2</v>
      </c>
      <c r="L1897">
        <v>1448.9569225617399</v>
      </c>
      <c r="M1897">
        <v>25.8564591861061</v>
      </c>
      <c r="N1897">
        <v>56.269636387758503</v>
      </c>
      <c r="O1897">
        <v>55.706528777489602</v>
      </c>
      <c r="P1897">
        <v>-0.110193558683872</v>
      </c>
      <c r="Q1897">
        <v>5.0383993468834501E-2</v>
      </c>
      <c r="R1897">
        <v>0.85296513179644795</v>
      </c>
      <c r="S1897" t="s">
        <v>8514</v>
      </c>
      <c r="T1897" t="s">
        <v>13232</v>
      </c>
      <c r="U1897" t="s">
        <v>13232</v>
      </c>
      <c r="V1897" t="s">
        <v>13232</v>
      </c>
      <c r="W1897" t="s">
        <v>15080</v>
      </c>
      <c r="X1897">
        <v>12</v>
      </c>
      <c r="Y1897" t="s">
        <v>21583</v>
      </c>
      <c r="Z1897" t="s">
        <v>28028</v>
      </c>
      <c r="AA1897">
        <v>0.56629869002966493</v>
      </c>
      <c r="AB1897" t="str">
        <f>HYPERLINK("Melting_Curves/meltCurve_P15104_GLUL.pdf", "Melting_Curves/meltCurve_P15104_GLUL.pdf")</f>
        <v>Melting_Curves/meltCurve_P15104_GLUL.pdf</v>
      </c>
    </row>
    <row r="1898" spans="1:28" x14ac:dyDescent="0.25">
      <c r="A1898" t="s">
        <v>1902</v>
      </c>
      <c r="B1898">
        <v>0.99930955844802105</v>
      </c>
      <c r="C1898">
        <v>0.79928477532789</v>
      </c>
      <c r="D1898">
        <v>0.63985637361809</v>
      </c>
      <c r="E1898">
        <v>0.74447700641572601</v>
      </c>
      <c r="F1898">
        <v>0.50299919204160504</v>
      </c>
      <c r="G1898">
        <v>0.32129172249913202</v>
      </c>
      <c r="H1898">
        <v>0.31183671944108798</v>
      </c>
      <c r="I1898">
        <v>0.25839504243978401</v>
      </c>
      <c r="J1898">
        <v>0.21233563936982999</v>
      </c>
      <c r="K1898">
        <v>0.21501498670965</v>
      </c>
      <c r="L1898">
        <v>402.442040673875</v>
      </c>
      <c r="M1898">
        <v>7.7791037166517398</v>
      </c>
      <c r="N1898">
        <v>53.090177992106298</v>
      </c>
      <c r="O1898">
        <v>48.6487352666134</v>
      </c>
      <c r="P1898">
        <v>-3.64187235311801E-2</v>
      </c>
      <c r="Q1898">
        <v>9.0124808310452997E-2</v>
      </c>
      <c r="R1898">
        <v>0.93561286940662602</v>
      </c>
      <c r="S1898" t="s">
        <v>8515</v>
      </c>
      <c r="T1898" t="s">
        <v>13232</v>
      </c>
      <c r="U1898" t="s">
        <v>13232</v>
      </c>
      <c r="V1898" t="s">
        <v>13232</v>
      </c>
      <c r="W1898" t="s">
        <v>15081</v>
      </c>
      <c r="X1898">
        <v>3</v>
      </c>
      <c r="Y1898" t="s">
        <v>21584</v>
      </c>
      <c r="Z1898" t="s">
        <v>28029</v>
      </c>
      <c r="AA1898">
        <v>0.49150685529915378</v>
      </c>
      <c r="AB1898" t="str">
        <f>HYPERLINK("Melting_Curves/meltCurve_P15151_3_PVR.pdf", "Melting_Curves/meltCurve_P15151_3_PVR.pdf")</f>
        <v>Melting_Curves/meltCurve_P15151_3_PVR.pdf</v>
      </c>
    </row>
    <row r="1899" spans="1:28" x14ac:dyDescent="0.25">
      <c r="A1899" t="s">
        <v>1903</v>
      </c>
      <c r="B1899">
        <v>0.99930955844802105</v>
      </c>
      <c r="C1899">
        <v>0.98953671175299196</v>
      </c>
      <c r="D1899">
        <v>0.53748236001968697</v>
      </c>
      <c r="E1899">
        <v>0.35994629668513201</v>
      </c>
      <c r="F1899">
        <v>0.194453436247529</v>
      </c>
      <c r="G1899">
        <v>0.113834247222945</v>
      </c>
      <c r="H1899">
        <v>7.9591630863667995E-2</v>
      </c>
      <c r="I1899">
        <v>8.1000949743639694E-2</v>
      </c>
      <c r="J1899">
        <v>7.5352061678659696E-2</v>
      </c>
      <c r="K1899">
        <v>6.0354070456882201E-2</v>
      </c>
      <c r="L1899">
        <v>909.45516213978101</v>
      </c>
      <c r="M1899">
        <v>19.305570099216201</v>
      </c>
      <c r="N1899">
        <v>47.526337091994201</v>
      </c>
      <c r="O1899">
        <v>46.611710415859001</v>
      </c>
      <c r="P1899">
        <v>-9.5465041597161501E-2</v>
      </c>
      <c r="Q1899">
        <v>7.8064556982012395E-2</v>
      </c>
      <c r="R1899">
        <v>0.97742062752851</v>
      </c>
      <c r="S1899" t="s">
        <v>8516</v>
      </c>
      <c r="T1899" t="s">
        <v>13232</v>
      </c>
      <c r="U1899" t="s">
        <v>13232</v>
      </c>
      <c r="V1899" t="s">
        <v>13232</v>
      </c>
      <c r="W1899" t="s">
        <v>15082</v>
      </c>
      <c r="X1899">
        <v>9</v>
      </c>
      <c r="Y1899" t="s">
        <v>21585</v>
      </c>
      <c r="Z1899" t="s">
        <v>28030</v>
      </c>
      <c r="AA1899">
        <v>0.31103980922377439</v>
      </c>
      <c r="AB1899" t="str">
        <f>HYPERLINK("Melting_Curves/meltCurve_P15153_RAC2.pdf", "Melting_Curves/meltCurve_P15153_RAC2.pdf")</f>
        <v>Melting_Curves/meltCurve_P15153_RAC2.pdf</v>
      </c>
    </row>
    <row r="1900" spans="1:28" x14ac:dyDescent="0.25">
      <c r="A1900" t="s">
        <v>1904</v>
      </c>
      <c r="B1900">
        <v>0.99930955844802105</v>
      </c>
      <c r="C1900">
        <v>1.11470963392554</v>
      </c>
      <c r="D1900">
        <v>1.0111581521009301</v>
      </c>
      <c r="E1900">
        <v>0.95304889265806203</v>
      </c>
      <c r="F1900">
        <v>0.44206715113427397</v>
      </c>
      <c r="G1900">
        <v>0.21526480592869299</v>
      </c>
      <c r="H1900">
        <v>0.10938166084762201</v>
      </c>
      <c r="I1900">
        <v>9.5515596823807697E-2</v>
      </c>
      <c r="J1900">
        <v>8.50028608842512E-2</v>
      </c>
      <c r="K1900">
        <v>6.8113568561396998E-2</v>
      </c>
      <c r="L1900">
        <v>2467.8431327216899</v>
      </c>
      <c r="M1900">
        <v>46.989388654451901</v>
      </c>
      <c r="N1900">
        <v>52.792291406887699</v>
      </c>
      <c r="O1900">
        <v>52.424284679945401</v>
      </c>
      <c r="P1900">
        <v>-0.19990215528904701</v>
      </c>
      <c r="Q1900">
        <v>0.107907579453768</v>
      </c>
      <c r="R1900">
        <v>0.98697154007445498</v>
      </c>
      <c r="S1900" t="s">
        <v>8517</v>
      </c>
      <c r="T1900" t="s">
        <v>13232</v>
      </c>
      <c r="U1900" t="s">
        <v>13232</v>
      </c>
      <c r="V1900" t="s">
        <v>13232</v>
      </c>
      <c r="W1900" t="s">
        <v>15083</v>
      </c>
      <c r="X1900">
        <v>38</v>
      </c>
      <c r="Y1900" t="s">
        <v>21586</v>
      </c>
      <c r="Z1900" t="s">
        <v>28031</v>
      </c>
      <c r="AA1900">
        <v>0.48252366713579348</v>
      </c>
      <c r="AB1900" t="str">
        <f>HYPERLINK("Melting_Curves/meltCurve_P15170_2_GSPT1.pdf", "Melting_Curves/meltCurve_P15170_2_GSPT1.pdf")</f>
        <v>Melting_Curves/meltCurve_P15170_2_GSPT1.pdf</v>
      </c>
    </row>
    <row r="1901" spans="1:28" x14ac:dyDescent="0.25">
      <c r="A1901" t="s">
        <v>1905</v>
      </c>
      <c r="B1901">
        <v>0.99930955844802105</v>
      </c>
      <c r="C1901">
        <v>0.92963200288497205</v>
      </c>
      <c r="D1901">
        <v>0.86814724905451401</v>
      </c>
      <c r="E1901">
        <v>0.84460617814573702</v>
      </c>
      <c r="F1901">
        <v>0.77376218337176506</v>
      </c>
      <c r="G1901">
        <v>0.56754276534328796</v>
      </c>
      <c r="H1901">
        <v>0.44142179555632899</v>
      </c>
      <c r="I1901">
        <v>0.45703140536624198</v>
      </c>
      <c r="J1901">
        <v>0.38138570969729402</v>
      </c>
      <c r="K1901">
        <v>0.21872450061693999</v>
      </c>
      <c r="L1901">
        <v>434.45264080157301</v>
      </c>
      <c r="M1901">
        <v>7.18084792878029</v>
      </c>
      <c r="N1901">
        <v>60.501579354196103</v>
      </c>
      <c r="O1901">
        <v>56.337073208777198</v>
      </c>
      <c r="P1901">
        <v>-3.1919347023378203E-2</v>
      </c>
      <c r="Q1901">
        <v>0</v>
      </c>
      <c r="R1901">
        <v>0.97434649905925597</v>
      </c>
      <c r="S1901" t="s">
        <v>8518</v>
      </c>
      <c r="T1901" t="s">
        <v>13232</v>
      </c>
      <c r="U1901" t="s">
        <v>13232</v>
      </c>
      <c r="V1901" t="s">
        <v>13232</v>
      </c>
      <c r="W1901" t="s">
        <v>15084</v>
      </c>
      <c r="X1901">
        <v>12</v>
      </c>
      <c r="Y1901" t="s">
        <v>21587</v>
      </c>
      <c r="Z1901" t="s">
        <v>28032</v>
      </c>
      <c r="AA1901">
        <v>0.65598733820912114</v>
      </c>
      <c r="AB1901" t="str">
        <f>HYPERLINK("Melting_Curves/meltCurve_P15289_ARSA.pdf", "Melting_Curves/meltCurve_P15289_ARSA.pdf")</f>
        <v>Melting_Curves/meltCurve_P15289_ARSA.pdf</v>
      </c>
    </row>
    <row r="1902" spans="1:28" x14ac:dyDescent="0.25">
      <c r="A1902" t="s">
        <v>1906</v>
      </c>
      <c r="B1902">
        <v>0.99930955844802105</v>
      </c>
      <c r="C1902">
        <v>1.05080448872368</v>
      </c>
      <c r="D1902">
        <v>0.85668979633874798</v>
      </c>
      <c r="E1902">
        <v>0.90492172054354503</v>
      </c>
      <c r="F1902">
        <v>0.75305359351608003</v>
      </c>
      <c r="G1902">
        <v>0.17956050045154301</v>
      </c>
      <c r="H1902">
        <v>0.11634880983361499</v>
      </c>
      <c r="I1902">
        <v>9.1946814381146699E-2</v>
      </c>
      <c r="J1902">
        <v>8.8058356536965601E-2</v>
      </c>
      <c r="K1902">
        <v>6.5339379569328199E-2</v>
      </c>
      <c r="L1902">
        <v>2077.8116428696098</v>
      </c>
      <c r="M1902">
        <v>38.330204308195398</v>
      </c>
      <c r="N1902">
        <v>54.463230058654702</v>
      </c>
      <c r="O1902">
        <v>54.061288133189997</v>
      </c>
      <c r="P1902">
        <v>-0.16269233843429101</v>
      </c>
      <c r="Q1902">
        <v>8.2150913973488393E-2</v>
      </c>
      <c r="R1902">
        <v>0.98310468925643302</v>
      </c>
      <c r="S1902" t="s">
        <v>8519</v>
      </c>
      <c r="T1902" t="s">
        <v>13232</v>
      </c>
      <c r="U1902" t="s">
        <v>13232</v>
      </c>
      <c r="V1902" t="s">
        <v>13232</v>
      </c>
      <c r="W1902" t="s">
        <v>15085</v>
      </c>
      <c r="X1902">
        <v>51</v>
      </c>
      <c r="Y1902" t="s">
        <v>21588</v>
      </c>
      <c r="Z1902" t="s">
        <v>28033</v>
      </c>
      <c r="AA1902">
        <v>0.52058641012197149</v>
      </c>
      <c r="AB1902" t="str">
        <f>HYPERLINK("Melting_Curves/meltCurve_P15311_EZR.pdf", "Melting_Curves/meltCurve_P15311_EZR.pdf")</f>
        <v>Melting_Curves/meltCurve_P15311_EZR.pdf</v>
      </c>
    </row>
    <row r="1903" spans="1:28" x14ac:dyDescent="0.25">
      <c r="A1903" t="s">
        <v>1907</v>
      </c>
      <c r="B1903">
        <v>0.99930955844802105</v>
      </c>
      <c r="C1903">
        <v>1.0561797785023599</v>
      </c>
      <c r="D1903">
        <v>1.0768246887836299</v>
      </c>
      <c r="E1903">
        <v>0.98791967690029903</v>
      </c>
      <c r="F1903">
        <v>0.67497373575541997</v>
      </c>
      <c r="G1903">
        <v>0.31515512955816299</v>
      </c>
      <c r="H1903">
        <v>0.18152724367804801</v>
      </c>
      <c r="I1903">
        <v>0.14965157740193899</v>
      </c>
      <c r="J1903">
        <v>0.125066828320856</v>
      </c>
      <c r="K1903">
        <v>9.5772465830118003E-2</v>
      </c>
      <c r="L1903">
        <v>1594.6121326744701</v>
      </c>
      <c r="M1903">
        <v>29.391245102447701</v>
      </c>
      <c r="N1903">
        <v>54.804829562158197</v>
      </c>
      <c r="O1903">
        <v>54.005361926077597</v>
      </c>
      <c r="P1903">
        <v>-0.11867632877873401</v>
      </c>
      <c r="Q1903">
        <v>0.12775212321528401</v>
      </c>
      <c r="R1903">
        <v>0.99049688241744804</v>
      </c>
      <c r="S1903" t="s">
        <v>8520</v>
      </c>
      <c r="T1903" t="s">
        <v>13232</v>
      </c>
      <c r="U1903" t="s">
        <v>13232</v>
      </c>
      <c r="V1903" t="s">
        <v>13232</v>
      </c>
      <c r="W1903" t="s">
        <v>15086</v>
      </c>
      <c r="X1903">
        <v>19</v>
      </c>
      <c r="Y1903" t="s">
        <v>21589</v>
      </c>
      <c r="Z1903" t="s">
        <v>28034</v>
      </c>
      <c r="AA1903">
        <v>0.54818126687846513</v>
      </c>
      <c r="AB1903" t="str">
        <f>HYPERLINK("Melting_Curves/meltCurve_P15374_UCHL3.pdf", "Melting_Curves/meltCurve_P15374_UCHL3.pdf")</f>
        <v>Melting_Curves/meltCurve_P15374_UCHL3.pdf</v>
      </c>
    </row>
    <row r="1904" spans="1:28" x14ac:dyDescent="0.25">
      <c r="A1904" t="s">
        <v>1908</v>
      </c>
      <c r="B1904">
        <v>0.99930955844802105</v>
      </c>
      <c r="C1904">
        <v>1.16027430839199</v>
      </c>
      <c r="D1904">
        <v>1.1029670622632</v>
      </c>
      <c r="E1904">
        <v>1.0827026881950299</v>
      </c>
      <c r="F1904">
        <v>0.93047134535392395</v>
      </c>
      <c r="G1904">
        <v>0.82131617525156897</v>
      </c>
      <c r="H1904">
        <v>0.70588999273470499</v>
      </c>
      <c r="I1904">
        <v>0.75616982196369897</v>
      </c>
      <c r="J1904">
        <v>0.71729116241561897</v>
      </c>
      <c r="K1904">
        <v>0.58069883702000902</v>
      </c>
      <c r="L1904">
        <v>1387.8992398099699</v>
      </c>
      <c r="M1904">
        <v>24.3631761981338</v>
      </c>
      <c r="O1904">
        <v>56.5874479968776</v>
      </c>
      <c r="P1904">
        <v>-3.5953696440945697E-2</v>
      </c>
      <c r="Q1904">
        <v>0.66597169384239796</v>
      </c>
      <c r="R1904">
        <v>0.82727688510305297</v>
      </c>
      <c r="S1904" t="s">
        <v>8521</v>
      </c>
      <c r="T1904" t="s">
        <v>13232</v>
      </c>
      <c r="U1904" t="s">
        <v>13232</v>
      </c>
      <c r="V1904" t="s">
        <v>13232</v>
      </c>
      <c r="W1904" t="s">
        <v>15087</v>
      </c>
      <c r="X1904">
        <v>2</v>
      </c>
      <c r="Y1904" t="s">
        <v>21590</v>
      </c>
      <c r="Z1904" t="s">
        <v>28035</v>
      </c>
      <c r="AA1904">
        <v>0.85802100213129373</v>
      </c>
      <c r="AB1904" t="str">
        <f>HYPERLINK("Melting_Curves/meltCurve_P15407_FOSL1.pdf", "Melting_Curves/meltCurve_P15407_FOSL1.pdf")</f>
        <v>Melting_Curves/meltCurve_P15407_FOSL1.pdf</v>
      </c>
    </row>
    <row r="1905" spans="1:28" x14ac:dyDescent="0.25">
      <c r="A1905" t="s">
        <v>1909</v>
      </c>
      <c r="B1905">
        <v>0.99930955844802105</v>
      </c>
      <c r="C1905">
        <v>0.94263200479334697</v>
      </c>
      <c r="D1905">
        <v>0.72792591946899199</v>
      </c>
      <c r="E1905">
        <v>0.473910637204778</v>
      </c>
      <c r="F1905">
        <v>0.221868371299587</v>
      </c>
      <c r="G1905">
        <v>0.149707994606224</v>
      </c>
      <c r="H1905">
        <v>9.6755467375427104E-2</v>
      </c>
      <c r="I1905">
        <v>8.2287016863414497E-2</v>
      </c>
      <c r="J1905">
        <v>8.0020302047269995E-2</v>
      </c>
      <c r="K1905">
        <v>6.37684091834924E-2</v>
      </c>
      <c r="L1905">
        <v>850.03720949755598</v>
      </c>
      <c r="M1905">
        <v>17.4162525067686</v>
      </c>
      <c r="N1905">
        <v>49.213172400857196</v>
      </c>
      <c r="O1905">
        <v>48.1772939879855</v>
      </c>
      <c r="P1905">
        <v>-8.4332141032764096E-2</v>
      </c>
      <c r="Q1905">
        <v>6.6925279487644596E-2</v>
      </c>
      <c r="R1905">
        <v>0.99648306139932596</v>
      </c>
      <c r="S1905" t="s">
        <v>8522</v>
      </c>
      <c r="T1905" t="s">
        <v>13232</v>
      </c>
      <c r="U1905" t="s">
        <v>13232</v>
      </c>
      <c r="V1905" t="s">
        <v>13232</v>
      </c>
      <c r="W1905" t="s">
        <v>15088</v>
      </c>
      <c r="X1905">
        <v>28</v>
      </c>
      <c r="Y1905" t="s">
        <v>21591</v>
      </c>
      <c r="Z1905" t="s">
        <v>28036</v>
      </c>
      <c r="AA1905">
        <v>0.35818029552643688</v>
      </c>
      <c r="AB1905" t="str">
        <f>HYPERLINK("Melting_Curves/meltCurve_P15498_VAV1.pdf", "Melting_Curves/meltCurve_P15498_VAV1.pdf")</f>
        <v>Melting_Curves/meltCurve_P15498_VAV1.pdf</v>
      </c>
    </row>
    <row r="1906" spans="1:28" x14ac:dyDescent="0.25">
      <c r="A1906" t="s">
        <v>1910</v>
      </c>
      <c r="B1906">
        <v>0.99930955844802105</v>
      </c>
      <c r="C1906">
        <v>1.2100881552941001</v>
      </c>
      <c r="D1906">
        <v>1.0989909056145399</v>
      </c>
      <c r="E1906">
        <v>0.96266415853104503</v>
      </c>
      <c r="F1906">
        <v>0.74800133115037504</v>
      </c>
      <c r="G1906">
        <v>0.69995347615876702</v>
      </c>
      <c r="H1906">
        <v>0.75210596877802005</v>
      </c>
      <c r="I1906">
        <v>0.750197978318212</v>
      </c>
      <c r="J1906">
        <v>0.73470571335680102</v>
      </c>
      <c r="K1906">
        <v>0.58608232347848499</v>
      </c>
      <c r="L1906">
        <v>3308.4755996472099</v>
      </c>
      <c r="M1906">
        <v>64.201287242249094</v>
      </c>
      <c r="O1906">
        <v>51.482926697168402</v>
      </c>
      <c r="P1906">
        <v>-9.2099561954421802E-2</v>
      </c>
      <c r="Q1906">
        <v>0.70458203625829896</v>
      </c>
      <c r="R1906">
        <v>0.79750027382722599</v>
      </c>
      <c r="S1906" t="s">
        <v>8523</v>
      </c>
      <c r="T1906" t="s">
        <v>13232</v>
      </c>
      <c r="U1906" t="s">
        <v>13232</v>
      </c>
      <c r="V1906" t="s">
        <v>13232</v>
      </c>
      <c r="W1906" t="s">
        <v>15089</v>
      </c>
      <c r="X1906">
        <v>4</v>
      </c>
      <c r="Y1906" t="s">
        <v>21592</v>
      </c>
      <c r="Z1906" t="s">
        <v>28037</v>
      </c>
      <c r="AA1906">
        <v>0.8185555178597963</v>
      </c>
      <c r="AB1906" t="str">
        <f>HYPERLINK("Melting_Curves/meltCurve_P15529_15_CD46.pdf", "Melting_Curves/meltCurve_P15529_15_CD46.pdf")</f>
        <v>Melting_Curves/meltCurve_P15529_15_CD46.pdf</v>
      </c>
    </row>
    <row r="1907" spans="1:28" x14ac:dyDescent="0.25">
      <c r="A1907" t="s">
        <v>1911</v>
      </c>
      <c r="B1907">
        <v>0.99930955844802105</v>
      </c>
      <c r="C1907">
        <v>1.15975959298161</v>
      </c>
      <c r="D1907">
        <v>1.06633329376786</v>
      </c>
      <c r="E1907">
        <v>1.3291103316780799</v>
      </c>
      <c r="F1907">
        <v>1.4330548851165399</v>
      </c>
      <c r="G1907">
        <v>1.10451925623576</v>
      </c>
      <c r="H1907">
        <v>0.76930592625888095</v>
      </c>
      <c r="I1907">
        <v>0.32232307647057601</v>
      </c>
      <c r="J1907">
        <v>0.18824078887248</v>
      </c>
      <c r="K1907">
        <v>0.13885351388421199</v>
      </c>
      <c r="L1907">
        <v>3246.50409889713</v>
      </c>
      <c r="M1907">
        <v>52.167765173494502</v>
      </c>
      <c r="N1907">
        <v>62.673183703198497</v>
      </c>
      <c r="O1907">
        <v>62.140752956289901</v>
      </c>
      <c r="P1907">
        <v>-0.177624305550492</v>
      </c>
      <c r="Q1907">
        <v>0.15367662968217799</v>
      </c>
      <c r="R1907">
        <v>0.832839483406001</v>
      </c>
      <c r="S1907" t="s">
        <v>8524</v>
      </c>
      <c r="T1907" t="s">
        <v>13232</v>
      </c>
      <c r="U1907" t="s">
        <v>13232</v>
      </c>
      <c r="V1907" t="s">
        <v>13232</v>
      </c>
      <c r="W1907" t="s">
        <v>15090</v>
      </c>
      <c r="X1907">
        <v>13</v>
      </c>
      <c r="Y1907" t="s">
        <v>21593</v>
      </c>
      <c r="Z1907" t="s">
        <v>28038</v>
      </c>
      <c r="AA1907">
        <v>0.78285557496590374</v>
      </c>
      <c r="AB1907" t="str">
        <f>HYPERLINK("Melting_Curves/meltCurve_P15531_NME1.pdf", "Melting_Curves/meltCurve_P15531_NME1.pdf")</f>
        <v>Melting_Curves/meltCurve_P15531_NME1.pdf</v>
      </c>
    </row>
    <row r="1908" spans="1:28" x14ac:dyDescent="0.25">
      <c r="A1908" t="s">
        <v>1912</v>
      </c>
      <c r="B1908">
        <v>0.99930955844802105</v>
      </c>
      <c r="C1908">
        <v>0.87269827134821998</v>
      </c>
      <c r="D1908">
        <v>0.79712134947673696</v>
      </c>
      <c r="E1908">
        <v>0.609299845342411</v>
      </c>
      <c r="F1908">
        <v>0.416566490605213</v>
      </c>
      <c r="G1908">
        <v>0.33331530630435802</v>
      </c>
      <c r="H1908">
        <v>0.289969848201586</v>
      </c>
      <c r="I1908">
        <v>0.25471256923284902</v>
      </c>
      <c r="J1908">
        <v>0.24209117972756</v>
      </c>
      <c r="K1908">
        <v>0.12771739442168301</v>
      </c>
      <c r="L1908">
        <v>587.18478713056595</v>
      </c>
      <c r="M1908">
        <v>11.699865105949799</v>
      </c>
      <c r="N1908">
        <v>51.992095805850198</v>
      </c>
      <c r="O1908">
        <v>48.788427319182603</v>
      </c>
      <c r="P1908">
        <v>-4.9959997456610901E-2</v>
      </c>
      <c r="Q1908">
        <v>0.16688905849281199</v>
      </c>
      <c r="R1908">
        <v>0.98583504969048896</v>
      </c>
      <c r="S1908" t="s">
        <v>8525</v>
      </c>
      <c r="T1908" t="s">
        <v>13232</v>
      </c>
      <c r="U1908" t="s">
        <v>13232</v>
      </c>
      <c r="V1908" t="s">
        <v>13232</v>
      </c>
      <c r="W1908" t="s">
        <v>15091</v>
      </c>
      <c r="X1908">
        <v>1</v>
      </c>
      <c r="Y1908" t="s">
        <v>21594</v>
      </c>
      <c r="Z1908" t="s">
        <v>28039</v>
      </c>
      <c r="AA1908">
        <v>0.47944037698473702</v>
      </c>
      <c r="AB1908" t="str">
        <f>HYPERLINK("Melting_Curves/meltCurve_P15735_2_PHKG2.pdf", "Melting_Curves/meltCurve_P15735_2_PHKG2.pdf")</f>
        <v>Melting_Curves/meltCurve_P15735_2_PHKG2.pdf</v>
      </c>
    </row>
    <row r="1909" spans="1:28" x14ac:dyDescent="0.25">
      <c r="A1909" t="s">
        <v>1913</v>
      </c>
      <c r="B1909">
        <v>0.99930955844802105</v>
      </c>
      <c r="C1909">
        <v>1.2611040857523399</v>
      </c>
      <c r="D1909">
        <v>1.1515314065295901</v>
      </c>
      <c r="E1909">
        <v>1.1496367718912901</v>
      </c>
      <c r="F1909">
        <v>1.1960487747674999</v>
      </c>
      <c r="G1909">
        <v>1.0462995635698</v>
      </c>
      <c r="H1909">
        <v>1.19242835164672</v>
      </c>
      <c r="I1909">
        <v>1.4025207231690799</v>
      </c>
      <c r="J1909">
        <v>1.44716108390635</v>
      </c>
      <c r="K1909">
        <v>1.15625351704902</v>
      </c>
      <c r="L1909">
        <v>174.65737678513099</v>
      </c>
      <c r="M1909">
        <v>2.8271787766787702</v>
      </c>
      <c r="O1909">
        <v>44.277544261883698</v>
      </c>
      <c r="P1909">
        <v>8.2732711485346399E-3</v>
      </c>
      <c r="Q1909">
        <v>1.5</v>
      </c>
      <c r="R1909">
        <v>0.26023882617886601</v>
      </c>
      <c r="S1909" t="s">
        <v>8526</v>
      </c>
      <c r="T1909" t="s">
        <v>13232</v>
      </c>
      <c r="U1909" t="s">
        <v>13232</v>
      </c>
      <c r="V1909" t="s">
        <v>13232</v>
      </c>
      <c r="W1909" t="s">
        <v>15092</v>
      </c>
      <c r="X1909">
        <v>15</v>
      </c>
      <c r="Y1909" t="s">
        <v>21595</v>
      </c>
      <c r="Z1909" t="s">
        <v>28040</v>
      </c>
      <c r="AA1909">
        <v>1.2006772127743499</v>
      </c>
      <c r="AB1909" t="str">
        <f>HYPERLINK("Melting_Curves/meltCurve_P15822_HIVEP1.pdf", "Melting_Curves/meltCurve_P15822_HIVEP1.pdf")</f>
        <v>Melting_Curves/meltCurve_P15822_HIVEP1.pdf</v>
      </c>
    </row>
    <row r="1910" spans="1:28" x14ac:dyDescent="0.25">
      <c r="A1910" t="s">
        <v>1914</v>
      </c>
      <c r="B1910">
        <v>0.99930955844802105</v>
      </c>
      <c r="C1910">
        <v>0.94401767380231505</v>
      </c>
      <c r="D1910">
        <v>0.88531413732414199</v>
      </c>
      <c r="E1910">
        <v>0.83309733900789895</v>
      </c>
      <c r="F1910">
        <v>0.64752000554171096</v>
      </c>
      <c r="G1910">
        <v>0.51833706910281097</v>
      </c>
      <c r="H1910">
        <v>0.40648284687368602</v>
      </c>
      <c r="I1910">
        <v>0.38630646689722498</v>
      </c>
      <c r="J1910">
        <v>0.23989321160489599</v>
      </c>
      <c r="K1910">
        <v>0.196133474062851</v>
      </c>
      <c r="L1910">
        <v>478.09515383591298</v>
      </c>
      <c r="M1910">
        <v>8.2790429007404995</v>
      </c>
      <c r="N1910">
        <v>58.118631571297698</v>
      </c>
      <c r="O1910">
        <v>54.672574127541402</v>
      </c>
      <c r="P1910">
        <v>-3.6919717575294698E-2</v>
      </c>
      <c r="Q1910">
        <v>2.57376480150503E-2</v>
      </c>
      <c r="R1910">
        <v>0.98890361865822496</v>
      </c>
      <c r="S1910" t="s">
        <v>8527</v>
      </c>
      <c r="T1910" t="s">
        <v>13232</v>
      </c>
      <c r="U1910" t="s">
        <v>13232</v>
      </c>
      <c r="V1910" t="s">
        <v>13232</v>
      </c>
      <c r="W1910" t="s">
        <v>15093</v>
      </c>
      <c r="X1910">
        <v>7</v>
      </c>
      <c r="Y1910" t="s">
        <v>21596</v>
      </c>
      <c r="Z1910" t="s">
        <v>28041</v>
      </c>
      <c r="AA1910">
        <v>0.60875828549486366</v>
      </c>
      <c r="AB1910" t="str">
        <f>HYPERLINK("Melting_Curves/meltCurve_P15848_ARSB.pdf", "Melting_Curves/meltCurve_P15848_ARSB.pdf")</f>
        <v>Melting_Curves/meltCurve_P15848_ARSB.pdf</v>
      </c>
    </row>
    <row r="1911" spans="1:28" x14ac:dyDescent="0.25">
      <c r="A1911" t="s">
        <v>1915</v>
      </c>
      <c r="B1911">
        <v>0.99930955844802105</v>
      </c>
      <c r="C1911">
        <v>0.95524922644862298</v>
      </c>
      <c r="D1911">
        <v>0.86205485742393195</v>
      </c>
      <c r="E1911">
        <v>0.73014739707319498</v>
      </c>
      <c r="F1911">
        <v>0.30690587675396702</v>
      </c>
      <c r="G1911">
        <v>0.15590858258895801</v>
      </c>
      <c r="H1911">
        <v>9.4720915785434595E-2</v>
      </c>
      <c r="I1911">
        <v>7.7949380838005594E-2</v>
      </c>
      <c r="J1911">
        <v>8.1384826265682095E-2</v>
      </c>
      <c r="K1911">
        <v>5.5923278998803901E-2</v>
      </c>
      <c r="L1911">
        <v>1222.73241000542</v>
      </c>
      <c r="M1911">
        <v>23.869625585688301</v>
      </c>
      <c r="N1911">
        <v>51.539805815955503</v>
      </c>
      <c r="O1911">
        <v>50.869977266361403</v>
      </c>
      <c r="P1911">
        <v>-0.10936171466530301</v>
      </c>
      <c r="Q1911">
        <v>6.7746071681603001E-2</v>
      </c>
      <c r="R1911">
        <v>0.98996616497922796</v>
      </c>
      <c r="S1911" t="s">
        <v>8528</v>
      </c>
      <c r="T1911" t="s">
        <v>13232</v>
      </c>
      <c r="U1911" t="s">
        <v>13232</v>
      </c>
      <c r="V1911" t="s">
        <v>13232</v>
      </c>
      <c r="W1911" t="s">
        <v>15094</v>
      </c>
      <c r="X1911">
        <v>12</v>
      </c>
      <c r="Y1911" t="s">
        <v>21597</v>
      </c>
      <c r="Z1911" t="s">
        <v>28042</v>
      </c>
      <c r="AA1911">
        <v>0.42581832924938462</v>
      </c>
      <c r="AB1911" t="str">
        <f>HYPERLINK("Melting_Curves/meltCurve_P15880_RPS2.pdf", "Melting_Curves/meltCurve_P15880_RPS2.pdf")</f>
        <v>Melting_Curves/meltCurve_P15880_RPS2.pdf</v>
      </c>
    </row>
    <row r="1912" spans="1:28" x14ac:dyDescent="0.25">
      <c r="A1912" t="s">
        <v>1916</v>
      </c>
      <c r="B1912">
        <v>0.99930955844802105</v>
      </c>
      <c r="C1912">
        <v>2.0482237468490001</v>
      </c>
      <c r="D1912">
        <v>1.8657395097759399</v>
      </c>
      <c r="E1912">
        <v>1.6517961582080201</v>
      </c>
      <c r="F1912">
        <v>1.4989496936838</v>
      </c>
      <c r="G1912">
        <v>1.0775206948913101</v>
      </c>
      <c r="H1912">
        <v>1.337563676901</v>
      </c>
      <c r="I1912">
        <v>1.5094072148506601</v>
      </c>
      <c r="J1912">
        <v>1.4872864810880799</v>
      </c>
      <c r="K1912">
        <v>1.2172580579074399</v>
      </c>
      <c r="L1912">
        <v>10235.6512829474</v>
      </c>
      <c r="M1912">
        <v>250</v>
      </c>
      <c r="O1912">
        <v>40.939985972088699</v>
      </c>
      <c r="P1912">
        <v>0.76331244327297598</v>
      </c>
      <c r="Q1912">
        <v>1.5</v>
      </c>
      <c r="R1912">
        <v>0.245258017697048</v>
      </c>
      <c r="S1912" t="s">
        <v>8529</v>
      </c>
      <c r="T1912" t="s">
        <v>13232</v>
      </c>
      <c r="U1912" t="s">
        <v>13232</v>
      </c>
      <c r="V1912" t="s">
        <v>13232</v>
      </c>
      <c r="W1912" t="s">
        <v>15095</v>
      </c>
      <c r="X1912">
        <v>7</v>
      </c>
      <c r="Y1912" t="s">
        <v>21598</v>
      </c>
      <c r="Z1912" t="s">
        <v>28043</v>
      </c>
      <c r="AA1912">
        <v>1.4842468536705049</v>
      </c>
      <c r="AB1912" t="str">
        <f>HYPERLINK("Melting_Curves/meltCurve_P15884_5_TCF4.pdf", "Melting_Curves/meltCurve_P15884_5_TCF4.pdf")</f>
        <v>Melting_Curves/meltCurve_P15884_5_TCF4.pdf</v>
      </c>
    </row>
    <row r="1913" spans="1:28" x14ac:dyDescent="0.25">
      <c r="A1913" t="s">
        <v>1917</v>
      </c>
      <c r="B1913">
        <v>0.99930955844802105</v>
      </c>
      <c r="C1913">
        <v>1.22715179235875</v>
      </c>
      <c r="D1913">
        <v>1.16079352730675</v>
      </c>
      <c r="E1913">
        <v>1.0947162533291801</v>
      </c>
      <c r="F1913">
        <v>1.0171972921854899</v>
      </c>
      <c r="G1913">
        <v>0.95029676420418796</v>
      </c>
      <c r="H1913">
        <v>1.1699835029267001</v>
      </c>
      <c r="I1913">
        <v>1.35940614474508</v>
      </c>
      <c r="J1913">
        <v>1.5892575269245699</v>
      </c>
      <c r="K1913">
        <v>1.2013036519121201</v>
      </c>
      <c r="L1913">
        <v>5083.8068528681497</v>
      </c>
      <c r="M1913">
        <v>83.079389412295598</v>
      </c>
      <c r="O1913">
        <v>61.156726808881501</v>
      </c>
      <c r="P1913">
        <v>0.131435533022845</v>
      </c>
      <c r="Q1913">
        <v>1.3870113201490799</v>
      </c>
      <c r="R1913">
        <v>0.48715023246647199</v>
      </c>
      <c r="S1913" t="s">
        <v>8530</v>
      </c>
      <c r="T1913" t="s">
        <v>13232</v>
      </c>
      <c r="U1913" t="s">
        <v>13232</v>
      </c>
      <c r="V1913" t="s">
        <v>13232</v>
      </c>
      <c r="W1913" t="s">
        <v>15096</v>
      </c>
      <c r="X1913">
        <v>9</v>
      </c>
      <c r="Y1913" t="s">
        <v>21599</v>
      </c>
      <c r="Z1913" t="s">
        <v>28044</v>
      </c>
      <c r="AA1913">
        <v>1.113247877902533</v>
      </c>
      <c r="AB1913" t="str">
        <f>HYPERLINK("Melting_Curves/meltCurve_P15923_2_TCF3.pdf", "Melting_Curves/meltCurve_P15923_2_TCF3.pdf")</f>
        <v>Melting_Curves/meltCurve_P15923_2_TCF3.pdf</v>
      </c>
    </row>
    <row r="1914" spans="1:28" x14ac:dyDescent="0.25">
      <c r="A1914" t="s">
        <v>1918</v>
      </c>
      <c r="B1914">
        <v>0.99930955844802105</v>
      </c>
      <c r="C1914">
        <v>1.03677464117149</v>
      </c>
      <c r="D1914">
        <v>0.83874939560591999</v>
      </c>
      <c r="E1914">
        <v>0.88244451055666995</v>
      </c>
      <c r="F1914">
        <v>1.47563542182483</v>
      </c>
      <c r="G1914">
        <v>0.36250458187859003</v>
      </c>
      <c r="H1914">
        <v>0.36899252256442699</v>
      </c>
      <c r="I1914">
        <v>0.39587465081425299</v>
      </c>
      <c r="J1914">
        <v>0.39440951207177199</v>
      </c>
      <c r="K1914">
        <v>0.17380308991922999</v>
      </c>
      <c r="L1914">
        <v>14074.3203544758</v>
      </c>
      <c r="M1914">
        <v>250</v>
      </c>
      <c r="N1914">
        <v>56.545679796494198</v>
      </c>
      <c r="O1914">
        <v>56.293657563215199</v>
      </c>
      <c r="P1914">
        <v>-0.740236919230843</v>
      </c>
      <c r="Q1914">
        <v>0.33326944983963003</v>
      </c>
      <c r="R1914">
        <v>0.80441238362599499</v>
      </c>
      <c r="S1914" t="s">
        <v>8531</v>
      </c>
      <c r="T1914" t="s">
        <v>13232</v>
      </c>
      <c r="U1914" t="s">
        <v>13232</v>
      </c>
      <c r="V1914" t="s">
        <v>13232</v>
      </c>
      <c r="W1914" t="s">
        <v>15097</v>
      </c>
      <c r="X1914">
        <v>12</v>
      </c>
      <c r="Y1914" t="s">
        <v>21600</v>
      </c>
      <c r="Z1914" t="s">
        <v>28045</v>
      </c>
      <c r="AA1914">
        <v>0.69553183691574572</v>
      </c>
      <c r="AB1914" t="str">
        <f>HYPERLINK("Melting_Curves/meltCurve_P15924_DSP.pdf", "Melting_Curves/meltCurve_P15924_DSP.pdf")</f>
        <v>Melting_Curves/meltCurve_P15924_DSP.pdf</v>
      </c>
    </row>
    <row r="1915" spans="1:28" x14ac:dyDescent="0.25">
      <c r="A1915" t="s">
        <v>1919</v>
      </c>
      <c r="B1915">
        <v>0.99930955844802105</v>
      </c>
      <c r="C1915">
        <v>1.06065348947851</v>
      </c>
      <c r="D1915">
        <v>1.0427690982546201</v>
      </c>
      <c r="E1915">
        <v>0.89565398935224805</v>
      </c>
      <c r="F1915">
        <v>0.64171979910563204</v>
      </c>
      <c r="G1915">
        <v>0.35128659676351398</v>
      </c>
      <c r="H1915">
        <v>0.14279115290779801</v>
      </c>
      <c r="I1915">
        <v>0.120711015767205</v>
      </c>
      <c r="J1915">
        <v>0.102524193090855</v>
      </c>
      <c r="K1915">
        <v>7.6047465402368702E-2</v>
      </c>
      <c r="L1915">
        <v>1208.1431865975001</v>
      </c>
      <c r="M1915">
        <v>22.2162899323679</v>
      </c>
      <c r="N1915">
        <v>54.8219309263486</v>
      </c>
      <c r="O1915">
        <v>53.946100017245897</v>
      </c>
      <c r="P1915">
        <v>-9.4534022357901107E-2</v>
      </c>
      <c r="Q1915">
        <v>8.18210517137552E-2</v>
      </c>
      <c r="R1915">
        <v>0.99424805918049697</v>
      </c>
      <c r="S1915" t="s">
        <v>8532</v>
      </c>
      <c r="T1915" t="s">
        <v>13232</v>
      </c>
      <c r="U1915" t="s">
        <v>13232</v>
      </c>
      <c r="V1915" t="s">
        <v>13232</v>
      </c>
      <c r="W1915" t="s">
        <v>15098</v>
      </c>
      <c r="X1915">
        <v>10</v>
      </c>
      <c r="Y1915" t="s">
        <v>21601</v>
      </c>
      <c r="Z1915" t="s">
        <v>28046</v>
      </c>
      <c r="AA1915">
        <v>0.5324096700994454</v>
      </c>
      <c r="AB1915" t="str">
        <f>HYPERLINK("Melting_Curves/meltCurve_P15927_RPA2.pdf", "Melting_Curves/meltCurve_P15927_RPA2.pdf")</f>
        <v>Melting_Curves/meltCurve_P15927_RPA2.pdf</v>
      </c>
    </row>
    <row r="1916" spans="1:28" x14ac:dyDescent="0.25">
      <c r="A1916" t="s">
        <v>1920</v>
      </c>
      <c r="B1916">
        <v>0.99930955844802105</v>
      </c>
      <c r="C1916">
        <v>1.07499268894603</v>
      </c>
      <c r="D1916">
        <v>1.0429326318901799</v>
      </c>
      <c r="E1916">
        <v>1.1014489891247501</v>
      </c>
      <c r="F1916">
        <v>0.98812862131602197</v>
      </c>
      <c r="G1916">
        <v>0.77468065567145705</v>
      </c>
      <c r="H1916">
        <v>0.82618814196215296</v>
      </c>
      <c r="I1916">
        <v>0.81523743466940102</v>
      </c>
      <c r="J1916">
        <v>0.83462555135124905</v>
      </c>
      <c r="K1916">
        <v>0.70913416093468795</v>
      </c>
      <c r="L1916">
        <v>13398.6528713399</v>
      </c>
      <c r="M1916">
        <v>250</v>
      </c>
      <c r="O1916">
        <v>53.5911817402529</v>
      </c>
      <c r="P1916">
        <v>-0.24260850353551899</v>
      </c>
      <c r="Q1916">
        <v>0.79197317759213703</v>
      </c>
      <c r="R1916">
        <v>0.83790484106403496</v>
      </c>
      <c r="S1916" t="s">
        <v>8533</v>
      </c>
      <c r="T1916" t="s">
        <v>13232</v>
      </c>
      <c r="U1916" t="s">
        <v>13232</v>
      </c>
      <c r="V1916" t="s">
        <v>13232</v>
      </c>
      <c r="W1916" t="s">
        <v>15099</v>
      </c>
      <c r="X1916">
        <v>5</v>
      </c>
      <c r="Y1916" t="s">
        <v>21602</v>
      </c>
      <c r="Z1916" t="s">
        <v>28047</v>
      </c>
      <c r="AA1916">
        <v>0.88626087175743151</v>
      </c>
      <c r="AB1916" t="str">
        <f>HYPERLINK("Melting_Curves/meltCurve_P15976_3_GATA1.pdf", "Melting_Curves/meltCurve_P15976_3_GATA1.pdf")</f>
        <v>Melting_Curves/meltCurve_P15976_3_GATA1.pdf</v>
      </c>
    </row>
    <row r="1917" spans="1:28" x14ac:dyDescent="0.25">
      <c r="A1917" t="s">
        <v>1921</v>
      </c>
      <c r="B1917">
        <v>0.99930955844802105</v>
      </c>
      <c r="C1917">
        <v>0.99606605911453805</v>
      </c>
      <c r="D1917">
        <v>0.98864398582941704</v>
      </c>
      <c r="E1917">
        <v>0.94638245418034295</v>
      </c>
      <c r="F1917">
        <v>0.90133697976573901</v>
      </c>
      <c r="G1917">
        <v>0.73346631228236203</v>
      </c>
      <c r="H1917">
        <v>0.50550283206751101</v>
      </c>
      <c r="I1917">
        <v>0.322430068512085</v>
      </c>
      <c r="J1917">
        <v>0.169734635572662</v>
      </c>
      <c r="K1917">
        <v>7.6452774661325704E-2</v>
      </c>
      <c r="L1917">
        <v>974.45467628229699</v>
      </c>
      <c r="M1917">
        <v>16.0368813452612</v>
      </c>
      <c r="N1917">
        <v>60.763345828675803</v>
      </c>
      <c r="O1917">
        <v>59.842076256379997</v>
      </c>
      <c r="P1917">
        <v>-6.7001885828682203E-2</v>
      </c>
      <c r="Q1917">
        <v>0</v>
      </c>
      <c r="R1917">
        <v>0.99783858420421501</v>
      </c>
      <c r="S1917" t="s">
        <v>8534</v>
      </c>
      <c r="T1917" t="s">
        <v>13232</v>
      </c>
      <c r="U1917" t="s">
        <v>13232</v>
      </c>
      <c r="V1917" t="s">
        <v>13232</v>
      </c>
      <c r="W1917" t="s">
        <v>15100</v>
      </c>
      <c r="X1917">
        <v>15</v>
      </c>
      <c r="Y1917" t="s">
        <v>21603</v>
      </c>
      <c r="Z1917" t="s">
        <v>28048</v>
      </c>
      <c r="AA1917">
        <v>0.69684289261847687</v>
      </c>
      <c r="AB1917" t="str">
        <f>HYPERLINK("Melting_Curves/meltCurve_P16083_NQO2.pdf", "Melting_Curves/meltCurve_P16083_NQO2.pdf")</f>
        <v>Melting_Curves/meltCurve_P16083_NQO2.pdf</v>
      </c>
    </row>
    <row r="1918" spans="1:28" x14ac:dyDescent="0.25">
      <c r="A1918" t="s">
        <v>1922</v>
      </c>
      <c r="B1918">
        <v>0.99930955844802105</v>
      </c>
      <c r="C1918">
        <v>1.0766721541056901</v>
      </c>
      <c r="D1918">
        <v>1.0374197646185399</v>
      </c>
      <c r="E1918">
        <v>1.1260583817500101</v>
      </c>
      <c r="F1918">
        <v>1.08289078039596</v>
      </c>
      <c r="G1918">
        <v>1.0683510459002701</v>
      </c>
      <c r="H1918">
        <v>1.1569284953480501</v>
      </c>
      <c r="I1918">
        <v>1.2311141000408901</v>
      </c>
      <c r="J1918">
        <v>1.27612613105677</v>
      </c>
      <c r="K1918">
        <v>1.01177853290557</v>
      </c>
      <c r="L1918">
        <v>421.62936822801902</v>
      </c>
      <c r="M1918">
        <v>8.5437416958308301</v>
      </c>
      <c r="O1918">
        <v>46.868857291143399</v>
      </c>
      <c r="P1918">
        <v>7.9017544232954807E-3</v>
      </c>
      <c r="Q1918">
        <v>1.1732352013934799</v>
      </c>
      <c r="R1918">
        <v>0.31951293488957699</v>
      </c>
      <c r="S1918" t="s">
        <v>8535</v>
      </c>
      <c r="T1918" t="s">
        <v>13232</v>
      </c>
      <c r="U1918" t="s">
        <v>13232</v>
      </c>
      <c r="V1918" t="s">
        <v>13232</v>
      </c>
      <c r="W1918" t="s">
        <v>15101</v>
      </c>
      <c r="X1918">
        <v>2</v>
      </c>
      <c r="Y1918" t="s">
        <v>21604</v>
      </c>
      <c r="Z1918" t="s">
        <v>28049</v>
      </c>
      <c r="AA1918">
        <v>1.109051286081433</v>
      </c>
      <c r="AB1918" t="str">
        <f>HYPERLINK("Melting_Curves/meltCurve_P16150_SPN.pdf", "Melting_Curves/meltCurve_P16150_SPN.pdf")</f>
        <v>Melting_Curves/meltCurve_P16150_SPN.pdf</v>
      </c>
    </row>
    <row r="1919" spans="1:28" x14ac:dyDescent="0.25">
      <c r="A1919" t="s">
        <v>1923</v>
      </c>
      <c r="B1919">
        <v>0.99930955844802105</v>
      </c>
      <c r="C1919">
        <v>1.0492901662113501</v>
      </c>
      <c r="D1919">
        <v>1.08838784199299</v>
      </c>
      <c r="E1919">
        <v>0.94586676921753499</v>
      </c>
      <c r="F1919">
        <v>0.60477227522862897</v>
      </c>
      <c r="G1919">
        <v>0.219729445263107</v>
      </c>
      <c r="H1919">
        <v>0.12346249295922</v>
      </c>
      <c r="I1919">
        <v>9.8964943283220697E-2</v>
      </c>
      <c r="J1919">
        <v>8.5623551731965897E-2</v>
      </c>
      <c r="K1919">
        <v>6.0974487085398703E-2</v>
      </c>
      <c r="L1919">
        <v>1760.8244278331199</v>
      </c>
      <c r="M1919">
        <v>32.868153877982799</v>
      </c>
      <c r="N1919">
        <v>53.895682949890698</v>
      </c>
      <c r="O1919">
        <v>53.375205923123403</v>
      </c>
      <c r="P1919">
        <v>-0.14017400715561201</v>
      </c>
      <c r="Q1919">
        <v>8.9479304510888993E-2</v>
      </c>
      <c r="R1919">
        <v>0.99262111061574898</v>
      </c>
      <c r="S1919" t="s">
        <v>8536</v>
      </c>
      <c r="T1919" t="s">
        <v>13232</v>
      </c>
      <c r="U1919" t="s">
        <v>13232</v>
      </c>
      <c r="V1919" t="s">
        <v>13232</v>
      </c>
      <c r="W1919" t="s">
        <v>15102</v>
      </c>
      <c r="X1919">
        <v>19</v>
      </c>
      <c r="Y1919" t="s">
        <v>21605</v>
      </c>
      <c r="Z1919" t="s">
        <v>28050</v>
      </c>
      <c r="AA1919">
        <v>0.50638565629244625</v>
      </c>
      <c r="AB1919" t="str">
        <f>HYPERLINK("Melting_Curves/meltCurve_P16152_CBR1.pdf", "Melting_Curves/meltCurve_P16152_CBR1.pdf")</f>
        <v>Melting_Curves/meltCurve_P16152_CBR1.pdf</v>
      </c>
    </row>
    <row r="1920" spans="1:28" x14ac:dyDescent="0.25">
      <c r="A1920" t="s">
        <v>1924</v>
      </c>
      <c r="B1920">
        <v>0.99930955844802105</v>
      </c>
      <c r="C1920">
        <v>0.64444561441609804</v>
      </c>
      <c r="D1920">
        <v>0.444689855160803</v>
      </c>
      <c r="E1920">
        <v>0.34692908598433803</v>
      </c>
      <c r="F1920">
        <v>0.25979507024250098</v>
      </c>
      <c r="G1920">
        <v>0.19119315909107701</v>
      </c>
      <c r="H1920">
        <v>0.140172601734632</v>
      </c>
      <c r="I1920">
        <v>0.13390687015359001</v>
      </c>
      <c r="J1920">
        <v>0.12891846834475701</v>
      </c>
      <c r="K1920">
        <v>9.5471857356706699E-2</v>
      </c>
      <c r="L1920">
        <v>655.64042383606204</v>
      </c>
      <c r="M1920">
        <v>14.585076578822999</v>
      </c>
      <c r="N1920">
        <v>45.914168923475401</v>
      </c>
      <c r="O1920">
        <v>44.133104564953499</v>
      </c>
      <c r="P1920">
        <v>-7.1756892839243303E-2</v>
      </c>
      <c r="Q1920">
        <v>0.131578528499805</v>
      </c>
      <c r="R1920">
        <v>0.96169492358235498</v>
      </c>
      <c r="S1920" t="s">
        <v>8537</v>
      </c>
      <c r="T1920" t="s">
        <v>13232</v>
      </c>
      <c r="U1920" t="s">
        <v>13232</v>
      </c>
      <c r="V1920" t="s">
        <v>13232</v>
      </c>
      <c r="W1920" t="s">
        <v>15103</v>
      </c>
      <c r="X1920">
        <v>37</v>
      </c>
      <c r="Y1920" t="s">
        <v>21606</v>
      </c>
      <c r="Z1920" t="s">
        <v>28051</v>
      </c>
      <c r="AA1920">
        <v>0.30467652430965159</v>
      </c>
      <c r="AB1920" t="str">
        <f>HYPERLINK("Melting_Curves/meltCurve_P16157_10_ANK1.pdf", "Melting_Curves/meltCurve_P16157_10_ANK1.pdf")</f>
        <v>Melting_Curves/meltCurve_P16157_10_ANK1.pdf</v>
      </c>
    </row>
    <row r="1921" spans="1:28" x14ac:dyDescent="0.25">
      <c r="A1921" t="s">
        <v>1925</v>
      </c>
      <c r="B1921">
        <v>0.99930955844802105</v>
      </c>
      <c r="C1921">
        <v>0.84562664840134905</v>
      </c>
      <c r="D1921">
        <v>0.75850935473458703</v>
      </c>
      <c r="E1921">
        <v>0.47689018302444403</v>
      </c>
      <c r="F1921">
        <v>0.32607050940767401</v>
      </c>
      <c r="G1921">
        <v>0.222559495679643</v>
      </c>
      <c r="H1921">
        <v>0.109815819614884</v>
      </c>
      <c r="I1921">
        <v>9.73856515900378E-2</v>
      </c>
      <c r="J1921">
        <v>7.7887639916863094E-2</v>
      </c>
      <c r="K1921">
        <v>5.3895797434788902E-2</v>
      </c>
      <c r="L1921">
        <v>627.26268833391998</v>
      </c>
      <c r="M1921">
        <v>12.662791862384699</v>
      </c>
      <c r="N1921">
        <v>49.872847771360298</v>
      </c>
      <c r="O1921">
        <v>48.349205256936301</v>
      </c>
      <c r="P1921">
        <v>-6.2803610029025597E-2</v>
      </c>
      <c r="Q1921">
        <v>4.0998035797152603E-2</v>
      </c>
      <c r="R1921">
        <v>0.99553317852428602</v>
      </c>
      <c r="S1921" t="s">
        <v>8538</v>
      </c>
      <c r="T1921" t="s">
        <v>13232</v>
      </c>
      <c r="U1921" t="s">
        <v>13232</v>
      </c>
      <c r="V1921" t="s">
        <v>13232</v>
      </c>
      <c r="W1921" t="s">
        <v>15104</v>
      </c>
      <c r="X1921">
        <v>8</v>
      </c>
      <c r="Y1921" t="s">
        <v>21607</v>
      </c>
      <c r="Z1921" t="s">
        <v>28052</v>
      </c>
      <c r="AA1921">
        <v>0.3770629233320888</v>
      </c>
      <c r="AB1921" t="str">
        <f>HYPERLINK("Melting_Curves/meltCurve_P16219_ACADS.pdf", "Melting_Curves/meltCurve_P16219_ACADS.pdf")</f>
        <v>Melting_Curves/meltCurve_P16219_ACADS.pdf</v>
      </c>
    </row>
    <row r="1922" spans="1:28" x14ac:dyDescent="0.25">
      <c r="A1922" t="s">
        <v>1926</v>
      </c>
      <c r="B1922">
        <v>0.99930955844802105</v>
      </c>
      <c r="C1922">
        <v>0.93700390853576498</v>
      </c>
      <c r="D1922">
        <v>0.89136301206044299</v>
      </c>
      <c r="E1922">
        <v>0.62536839038915504</v>
      </c>
      <c r="F1922">
        <v>0.326355275313094</v>
      </c>
      <c r="G1922">
        <v>0.226031935967588</v>
      </c>
      <c r="H1922">
        <v>0.12389341614048401</v>
      </c>
      <c r="I1922">
        <v>9.1405365215087006E-2</v>
      </c>
      <c r="J1922">
        <v>7.7893780892389602E-2</v>
      </c>
      <c r="K1922">
        <v>5.5718013543277101E-2</v>
      </c>
      <c r="L1922">
        <v>906.98866243073996</v>
      </c>
      <c r="M1922">
        <v>17.8330532930134</v>
      </c>
      <c r="N1922">
        <v>51.280360316766398</v>
      </c>
      <c r="O1922">
        <v>50.233378720646201</v>
      </c>
      <c r="P1922">
        <v>-8.2719881603206799E-2</v>
      </c>
      <c r="Q1922">
        <v>6.8003733951053899E-2</v>
      </c>
      <c r="R1922">
        <v>0.99575134370845697</v>
      </c>
      <c r="S1922" t="s">
        <v>8539</v>
      </c>
      <c r="T1922" t="s">
        <v>13232</v>
      </c>
      <c r="U1922" t="s">
        <v>13232</v>
      </c>
      <c r="V1922" t="s">
        <v>13232</v>
      </c>
      <c r="W1922" t="s">
        <v>15105</v>
      </c>
      <c r="X1922">
        <v>14</v>
      </c>
      <c r="Y1922" t="s">
        <v>21608</v>
      </c>
      <c r="Z1922" t="s">
        <v>28053</v>
      </c>
      <c r="AA1922">
        <v>0.4213829001649812</v>
      </c>
      <c r="AB1922" t="str">
        <f>HYPERLINK("Melting_Curves/meltCurve_P16278_3_GLB1.pdf", "Melting_Curves/meltCurve_P16278_3_GLB1.pdf")</f>
        <v>Melting_Curves/meltCurve_P16278_3_GLB1.pdf</v>
      </c>
    </row>
    <row r="1923" spans="1:28" x14ac:dyDescent="0.25">
      <c r="A1923" t="s">
        <v>1927</v>
      </c>
      <c r="B1923">
        <v>0.99930955844802105</v>
      </c>
      <c r="C1923">
        <v>1.0276060129353599</v>
      </c>
      <c r="D1923">
        <v>0.87567533893382798</v>
      </c>
      <c r="E1923">
        <v>0.59006569388167796</v>
      </c>
      <c r="F1923">
        <v>0.36355337168887603</v>
      </c>
      <c r="G1923">
        <v>0.22573119691872401</v>
      </c>
      <c r="H1923">
        <v>0.141629180131156</v>
      </c>
      <c r="I1923">
        <v>0.119565136750517</v>
      </c>
      <c r="J1923">
        <v>0.11562961654324901</v>
      </c>
      <c r="K1923">
        <v>8.6720629487546594E-2</v>
      </c>
      <c r="L1923">
        <v>958.917299509754</v>
      </c>
      <c r="M1923">
        <v>18.961681147236</v>
      </c>
      <c r="N1923">
        <v>51.202877092309102</v>
      </c>
      <c r="O1923">
        <v>50.018922777309101</v>
      </c>
      <c r="P1923">
        <v>-8.4893895141219394E-2</v>
      </c>
      <c r="Q1923">
        <v>0.104271284612609</v>
      </c>
      <c r="R1923">
        <v>0.99651629084218096</v>
      </c>
      <c r="S1923" t="s">
        <v>8540</v>
      </c>
      <c r="T1923" t="s">
        <v>13232</v>
      </c>
      <c r="U1923" t="s">
        <v>13232</v>
      </c>
      <c r="V1923" t="s">
        <v>13232</v>
      </c>
      <c r="W1923" t="s">
        <v>15106</v>
      </c>
      <c r="X1923">
        <v>14</v>
      </c>
      <c r="Y1923" t="s">
        <v>21609</v>
      </c>
      <c r="Z1923" t="s">
        <v>28054</v>
      </c>
      <c r="AA1923">
        <v>0.43367382994546771</v>
      </c>
      <c r="AB1923" t="str">
        <f>HYPERLINK("Melting_Curves/meltCurve_P16298_PPP3CB.pdf", "Melting_Curves/meltCurve_P16298_PPP3CB.pdf")</f>
        <v>Melting_Curves/meltCurve_P16298_PPP3CB.pdf</v>
      </c>
    </row>
    <row r="1924" spans="1:28" x14ac:dyDescent="0.25">
      <c r="A1924" t="s">
        <v>1928</v>
      </c>
      <c r="B1924">
        <v>0.99930955844802105</v>
      </c>
      <c r="C1924">
        <v>1.08568993987018</v>
      </c>
      <c r="D1924">
        <v>1.0764507612613099</v>
      </c>
      <c r="E1924">
        <v>0.77883384097276198</v>
      </c>
      <c r="F1924">
        <v>0.34321872594592301</v>
      </c>
      <c r="G1924">
        <v>0.262592349711609</v>
      </c>
      <c r="H1924">
        <v>0.21094966111968499</v>
      </c>
      <c r="I1924">
        <v>0.196310038725378</v>
      </c>
      <c r="J1924">
        <v>0.182972128595279</v>
      </c>
      <c r="K1924">
        <v>0.14813556004700501</v>
      </c>
      <c r="L1924">
        <v>2190.1027752783798</v>
      </c>
      <c r="M1924">
        <v>42.804421484120702</v>
      </c>
      <c r="N1924">
        <v>51.772365687412602</v>
      </c>
      <c r="O1924">
        <v>51.054044163498702</v>
      </c>
      <c r="P1924">
        <v>-0.168248554026275</v>
      </c>
      <c r="Q1924">
        <v>0.19730204656422901</v>
      </c>
      <c r="R1924">
        <v>0.98634177085274599</v>
      </c>
      <c r="S1924" t="s">
        <v>8541</v>
      </c>
      <c r="T1924" t="s">
        <v>13232</v>
      </c>
      <c r="U1924" t="s">
        <v>13232</v>
      </c>
      <c r="V1924" t="s">
        <v>13232</v>
      </c>
      <c r="W1924" t="s">
        <v>15107</v>
      </c>
      <c r="X1924">
        <v>8</v>
      </c>
      <c r="Y1924" t="s">
        <v>21610</v>
      </c>
      <c r="Z1924" t="s">
        <v>28055</v>
      </c>
      <c r="AA1924">
        <v>0.49852505881976439</v>
      </c>
      <c r="AB1924" t="str">
        <f>HYPERLINK("Melting_Curves/meltCurve_P16333_NCK1.pdf", "Melting_Curves/meltCurve_P16333_NCK1.pdf")</f>
        <v>Melting_Curves/meltCurve_P16333_NCK1.pdf</v>
      </c>
    </row>
    <row r="1925" spans="1:28" x14ac:dyDescent="0.25">
      <c r="A1925" t="s">
        <v>1929</v>
      </c>
      <c r="B1925">
        <v>0.99930955844802105</v>
      </c>
      <c r="C1925">
        <v>0.955873570643336</v>
      </c>
      <c r="D1925">
        <v>0.74282032995984904</v>
      </c>
      <c r="E1925">
        <v>0.43681401034171802</v>
      </c>
      <c r="F1925">
        <v>0.31851441768649702</v>
      </c>
      <c r="G1925">
        <v>0.24475959943963799</v>
      </c>
      <c r="H1925">
        <v>0.19078874498204401</v>
      </c>
      <c r="I1925">
        <v>0.17458322351880201</v>
      </c>
      <c r="J1925">
        <v>0.14787704881981201</v>
      </c>
      <c r="K1925">
        <v>0.123495504040147</v>
      </c>
      <c r="L1925">
        <v>855.34845289267503</v>
      </c>
      <c r="M1925">
        <v>17.689115670141302</v>
      </c>
      <c r="N1925">
        <v>49.401006349950102</v>
      </c>
      <c r="O1925">
        <v>47.749224114963397</v>
      </c>
      <c r="P1925">
        <v>-7.8146842343242706E-2</v>
      </c>
      <c r="Q1925">
        <v>0.15625993544200001</v>
      </c>
      <c r="R1925">
        <v>0.99465644157070798</v>
      </c>
      <c r="S1925" t="s">
        <v>8542</v>
      </c>
      <c r="T1925" t="s">
        <v>13232</v>
      </c>
      <c r="U1925" t="s">
        <v>13232</v>
      </c>
      <c r="V1925" t="s">
        <v>13232</v>
      </c>
      <c r="W1925" t="s">
        <v>15108</v>
      </c>
      <c r="X1925">
        <v>13</v>
      </c>
      <c r="Y1925" t="s">
        <v>21611</v>
      </c>
      <c r="Z1925" t="s">
        <v>28056</v>
      </c>
      <c r="AA1925">
        <v>0.4065900201519117</v>
      </c>
      <c r="AB1925" t="str">
        <f>HYPERLINK("Melting_Curves/meltCurve_P16383_GCFC2.pdf", "Melting_Curves/meltCurve_P16383_GCFC2.pdf")</f>
        <v>Melting_Curves/meltCurve_P16383_GCFC2.pdf</v>
      </c>
    </row>
    <row r="1926" spans="1:28" x14ac:dyDescent="0.25">
      <c r="A1926" t="s">
        <v>1930</v>
      </c>
      <c r="B1926">
        <v>0.99930955844802105</v>
      </c>
      <c r="C1926">
        <v>0.936377645524196</v>
      </c>
      <c r="D1926">
        <v>0.92103402325962602</v>
      </c>
      <c r="E1926">
        <v>0.87751517703179704</v>
      </c>
      <c r="F1926">
        <v>0.85169702679818804</v>
      </c>
      <c r="G1926">
        <v>0.713816974969537</v>
      </c>
      <c r="H1926">
        <v>0.58182137633505204</v>
      </c>
      <c r="I1926">
        <v>0.58938315537540997</v>
      </c>
      <c r="J1926">
        <v>0.56531670851025495</v>
      </c>
      <c r="K1926">
        <v>0.47482639015615002</v>
      </c>
      <c r="L1926">
        <v>464.70793072605699</v>
      </c>
      <c r="M1926">
        <v>7.8598731345015604</v>
      </c>
      <c r="N1926">
        <v>69.332651777680695</v>
      </c>
      <c r="O1926">
        <v>55.663668029431399</v>
      </c>
      <c r="P1926">
        <v>-2.3226551551205201E-2</v>
      </c>
      <c r="Q1926">
        <v>0.34283158384444801</v>
      </c>
      <c r="R1926">
        <v>0.97664681346513504</v>
      </c>
      <c r="S1926" t="s">
        <v>8543</v>
      </c>
      <c r="T1926" t="s">
        <v>13232</v>
      </c>
      <c r="U1926" t="s">
        <v>13232</v>
      </c>
      <c r="V1926" t="s">
        <v>13232</v>
      </c>
      <c r="W1926" t="s">
        <v>15109</v>
      </c>
      <c r="X1926">
        <v>8</v>
      </c>
      <c r="Y1926" t="s">
        <v>21612</v>
      </c>
      <c r="Z1926" t="s">
        <v>28057</v>
      </c>
      <c r="AA1926">
        <v>0.7568642634709758</v>
      </c>
      <c r="AB1926" t="str">
        <f>HYPERLINK("Melting_Curves/meltCurve_P16401_HIST1H1B.pdf", "Melting_Curves/meltCurve_P16401_HIST1H1B.pdf")</f>
        <v>Melting_Curves/meltCurve_P16401_HIST1H1B.pdf</v>
      </c>
    </row>
    <row r="1927" spans="1:28" x14ac:dyDescent="0.25">
      <c r="A1927" t="s">
        <v>1931</v>
      </c>
      <c r="B1927">
        <v>0.99930955844802105</v>
      </c>
      <c r="C1927">
        <v>1.04014201645708</v>
      </c>
      <c r="D1927">
        <v>1.05359269034211</v>
      </c>
      <c r="E1927">
        <v>1.0232312033542901</v>
      </c>
      <c r="F1927">
        <v>0.98620864282138099</v>
      </c>
      <c r="G1927">
        <v>0.80923177455759498</v>
      </c>
      <c r="H1927">
        <v>0.71783887825669701</v>
      </c>
      <c r="I1927">
        <v>0.651264277491303</v>
      </c>
      <c r="J1927">
        <v>0.71100130603644196</v>
      </c>
      <c r="K1927">
        <v>0.57028197249172297</v>
      </c>
      <c r="L1927">
        <v>1534.1734454049399</v>
      </c>
      <c r="M1927">
        <v>26.748066951333001</v>
      </c>
      <c r="O1927">
        <v>57.038710178111003</v>
      </c>
      <c r="P1927">
        <v>-4.2634061278436698E-2</v>
      </c>
      <c r="Q1927">
        <v>0.63634503092748596</v>
      </c>
      <c r="R1927">
        <v>0.94660369450210502</v>
      </c>
      <c r="S1927" t="s">
        <v>8544</v>
      </c>
      <c r="T1927" t="s">
        <v>13232</v>
      </c>
      <c r="U1927" t="s">
        <v>13232</v>
      </c>
      <c r="V1927" t="s">
        <v>13232</v>
      </c>
      <c r="W1927" t="s">
        <v>15110</v>
      </c>
      <c r="X1927">
        <v>10</v>
      </c>
      <c r="Y1927" t="s">
        <v>21613</v>
      </c>
      <c r="Z1927" t="s">
        <v>28058</v>
      </c>
      <c r="AA1927">
        <v>0.84965799858037838</v>
      </c>
      <c r="AB1927" t="str">
        <f>HYPERLINK("Melting_Curves/meltCurve_P16403_HIST1H1C.pdf", "Melting_Curves/meltCurve_P16403_HIST1H1C.pdf")</f>
        <v>Melting_Curves/meltCurve_P16403_HIST1H1C.pdf</v>
      </c>
    </row>
    <row r="1928" spans="1:28" x14ac:dyDescent="0.25">
      <c r="A1928" t="s">
        <v>1932</v>
      </c>
      <c r="B1928">
        <v>0.99930955844802105</v>
      </c>
      <c r="C1928">
        <v>1.04187419085059</v>
      </c>
      <c r="D1928">
        <v>0.79894405640857202</v>
      </c>
      <c r="E1928">
        <v>0.64457768902451595</v>
      </c>
      <c r="F1928">
        <v>0.332700674226386</v>
      </c>
      <c r="G1928">
        <v>0.28693154393909098</v>
      </c>
      <c r="H1928">
        <v>0.24926889727475099</v>
      </c>
      <c r="I1928">
        <v>0.24325661311209601</v>
      </c>
      <c r="J1928">
        <v>0.37328062839697301</v>
      </c>
      <c r="K1928">
        <v>0.24359883980392699</v>
      </c>
      <c r="L1928">
        <v>1106.43443520342</v>
      </c>
      <c r="M1928">
        <v>22.461719473949799</v>
      </c>
      <c r="N1928">
        <v>50.982927257052701</v>
      </c>
      <c r="O1928">
        <v>48.873211360859202</v>
      </c>
      <c r="P1928">
        <v>-8.4326568445026104E-2</v>
      </c>
      <c r="Q1928">
        <v>0.26608889983247702</v>
      </c>
      <c r="R1928">
        <v>0.96544087376545895</v>
      </c>
      <c r="S1928" t="s">
        <v>8545</v>
      </c>
      <c r="T1928" t="s">
        <v>13232</v>
      </c>
      <c r="U1928" t="s">
        <v>13232</v>
      </c>
      <c r="V1928" t="s">
        <v>13232</v>
      </c>
      <c r="W1928" t="s">
        <v>15111</v>
      </c>
      <c r="X1928">
        <v>9</v>
      </c>
      <c r="Y1928" t="s">
        <v>21614</v>
      </c>
      <c r="Z1928" t="s">
        <v>28059</v>
      </c>
      <c r="AA1928">
        <v>0.50069878091148123</v>
      </c>
      <c r="AB1928" t="str">
        <f>HYPERLINK("Melting_Curves/meltCurve_P16591_FER.pdf", "Melting_Curves/meltCurve_P16591_FER.pdf")</f>
        <v>Melting_Curves/meltCurve_P16591_FER.pdf</v>
      </c>
    </row>
    <row r="1929" spans="1:28" x14ac:dyDescent="0.25">
      <c r="A1929" t="s">
        <v>1933</v>
      </c>
      <c r="B1929">
        <v>0.99930955844802105</v>
      </c>
      <c r="C1929">
        <v>0.83590912583829702</v>
      </c>
      <c r="D1929">
        <v>0.63150360411750095</v>
      </c>
      <c r="E1929">
        <v>0.79382349354135195</v>
      </c>
      <c r="F1929">
        <v>0.39800941588149802</v>
      </c>
      <c r="G1929">
        <v>0.17903281467552501</v>
      </c>
      <c r="H1929">
        <v>0.11753263668719301</v>
      </c>
      <c r="I1929">
        <v>0.109862999074141</v>
      </c>
      <c r="J1929">
        <v>0.105042710337762</v>
      </c>
      <c r="K1929">
        <v>7.9136600595310497E-2</v>
      </c>
      <c r="L1929">
        <v>543.59054729418301</v>
      </c>
      <c r="M1929">
        <v>10.569261087857299</v>
      </c>
      <c r="N1929">
        <v>51.431255352420003</v>
      </c>
      <c r="O1929">
        <v>49.692527230635598</v>
      </c>
      <c r="P1929">
        <v>-5.3194212325899999E-2</v>
      </c>
      <c r="Q1929">
        <v>0</v>
      </c>
      <c r="R1929">
        <v>0.92663097686815099</v>
      </c>
      <c r="S1929" t="s">
        <v>8546</v>
      </c>
      <c r="T1929" t="s">
        <v>13232</v>
      </c>
      <c r="U1929" t="s">
        <v>13232</v>
      </c>
      <c r="V1929" t="s">
        <v>13232</v>
      </c>
      <c r="W1929" t="s">
        <v>15112</v>
      </c>
      <c r="X1929">
        <v>12</v>
      </c>
      <c r="Y1929" t="s">
        <v>21615</v>
      </c>
      <c r="Z1929" t="s">
        <v>28060</v>
      </c>
      <c r="AA1929">
        <v>0.41850041208490169</v>
      </c>
      <c r="AB1929" t="str">
        <f>HYPERLINK("Melting_Curves/meltCurve_P16615_ATP2A2.pdf", "Melting_Curves/meltCurve_P16615_ATP2A2.pdf")</f>
        <v>Melting_Curves/meltCurve_P16615_ATP2A2.pdf</v>
      </c>
    </row>
    <row r="1930" spans="1:28" x14ac:dyDescent="0.25">
      <c r="A1930" t="s">
        <v>1934</v>
      </c>
      <c r="B1930">
        <v>0.99930955844802105</v>
      </c>
      <c r="C1930">
        <v>0.88778777384016705</v>
      </c>
      <c r="D1930">
        <v>0.69494652347643904</v>
      </c>
      <c r="E1930">
        <v>0.274356592136202</v>
      </c>
      <c r="F1930">
        <v>0.180706009506615</v>
      </c>
      <c r="G1930">
        <v>0.13262280683317201</v>
      </c>
      <c r="H1930">
        <v>8.8074825034181903E-2</v>
      </c>
      <c r="I1930">
        <v>7.7546739533108505E-2</v>
      </c>
      <c r="J1930">
        <v>6.8605798398359397E-2</v>
      </c>
      <c r="K1930">
        <v>5.1288723394478097E-2</v>
      </c>
      <c r="L1930">
        <v>998.55028204394398</v>
      </c>
      <c r="M1930">
        <v>21.0901790155547</v>
      </c>
      <c r="N1930">
        <v>47.715793164116697</v>
      </c>
      <c r="O1930">
        <v>46.927185126075003</v>
      </c>
      <c r="P1930">
        <v>-0.103902707207799</v>
      </c>
      <c r="Q1930">
        <v>7.52600218628591E-2</v>
      </c>
      <c r="R1930">
        <v>0.99680703768317902</v>
      </c>
      <c r="S1930" t="s">
        <v>8547</v>
      </c>
      <c r="T1930" t="s">
        <v>13232</v>
      </c>
      <c r="U1930" t="s">
        <v>13232</v>
      </c>
      <c r="V1930" t="s">
        <v>13232</v>
      </c>
      <c r="W1930" t="s">
        <v>15113</v>
      </c>
      <c r="X1930">
        <v>19</v>
      </c>
      <c r="Y1930" t="s">
        <v>21616</v>
      </c>
      <c r="Z1930" t="s">
        <v>28061</v>
      </c>
      <c r="AA1930">
        <v>0.31362522014623789</v>
      </c>
      <c r="AB1930" t="str">
        <f>HYPERLINK("Melting_Curves/meltCurve_P16885_PLCG2.pdf", "Melting_Curves/meltCurve_P16885_PLCG2.pdf")</f>
        <v>Melting_Curves/meltCurve_P16885_PLCG2.pdf</v>
      </c>
    </row>
    <row r="1931" spans="1:28" x14ac:dyDescent="0.25">
      <c r="A1931" t="s">
        <v>1935</v>
      </c>
      <c r="B1931">
        <v>0.99930955844802105</v>
      </c>
      <c r="C1931">
        <v>1.01683458534754</v>
      </c>
      <c r="D1931">
        <v>0.98824449519004798</v>
      </c>
      <c r="E1931">
        <v>0.977974763998396</v>
      </c>
      <c r="F1931">
        <v>0.94272758725322503</v>
      </c>
      <c r="G1931">
        <v>0.81068760712908505</v>
      </c>
      <c r="H1931">
        <v>0.72091244004995103</v>
      </c>
      <c r="I1931">
        <v>0.701525159471166</v>
      </c>
      <c r="J1931">
        <v>0.61970205258704503</v>
      </c>
      <c r="K1931">
        <v>0.29462296390786802</v>
      </c>
      <c r="L1931">
        <v>710.47717543298199</v>
      </c>
      <c r="M1931">
        <v>10.5314363599954</v>
      </c>
      <c r="N1931">
        <v>67.462513419663907</v>
      </c>
      <c r="O1931">
        <v>65.166291607548004</v>
      </c>
      <c r="P1931">
        <v>-4.0418272267434503E-2</v>
      </c>
      <c r="Q1931">
        <v>0</v>
      </c>
      <c r="R1931">
        <v>0.93300127890818996</v>
      </c>
      <c r="S1931" t="s">
        <v>8548</v>
      </c>
      <c r="T1931" t="s">
        <v>13232</v>
      </c>
      <c r="U1931" t="s">
        <v>13232</v>
      </c>
      <c r="V1931" t="s">
        <v>13232</v>
      </c>
      <c r="W1931" t="s">
        <v>15114</v>
      </c>
      <c r="X1931">
        <v>24</v>
      </c>
      <c r="Y1931" t="s">
        <v>21617</v>
      </c>
      <c r="Z1931" t="s">
        <v>28062</v>
      </c>
      <c r="AA1931">
        <v>0.8314735694663038</v>
      </c>
      <c r="AB1931" t="str">
        <f>HYPERLINK("Melting_Curves/meltCurve_P16930_FAH.pdf", "Melting_Curves/meltCurve_P16930_FAH.pdf")</f>
        <v>Melting_Curves/meltCurve_P16930_FAH.pdf</v>
      </c>
    </row>
    <row r="1932" spans="1:28" x14ac:dyDescent="0.25">
      <c r="A1932" t="s">
        <v>1936</v>
      </c>
      <c r="B1932">
        <v>0.99930955844802105</v>
      </c>
      <c r="C1932">
        <v>1.0181185774170001</v>
      </c>
      <c r="D1932">
        <v>1.04181332342799</v>
      </c>
      <c r="E1932">
        <v>1.0361989850384199</v>
      </c>
      <c r="F1932">
        <v>0.91961775815646496</v>
      </c>
      <c r="G1932">
        <v>0.89779626379446698</v>
      </c>
      <c r="H1932">
        <v>1.00731011153651</v>
      </c>
      <c r="I1932">
        <v>1.0702495617129799</v>
      </c>
      <c r="J1932">
        <v>1.2839108865873701</v>
      </c>
      <c r="K1932">
        <v>0.90324593950574805</v>
      </c>
      <c r="L1932">
        <v>15000</v>
      </c>
      <c r="M1932">
        <v>235.47814701340499</v>
      </c>
      <c r="O1932">
        <v>63.695587661790803</v>
      </c>
      <c r="P1932">
        <v>8.6484265867137006E-2</v>
      </c>
      <c r="Q1932">
        <v>1.0935741320285199</v>
      </c>
      <c r="R1932">
        <v>0.17213223903932701</v>
      </c>
      <c r="S1932" t="s">
        <v>8549</v>
      </c>
      <c r="T1932" t="s">
        <v>13232</v>
      </c>
      <c r="U1932" t="s">
        <v>13232</v>
      </c>
      <c r="V1932" t="s">
        <v>13232</v>
      </c>
      <c r="W1932" t="s">
        <v>13434</v>
      </c>
      <c r="X1932">
        <v>24</v>
      </c>
      <c r="Y1932" t="s">
        <v>21618</v>
      </c>
      <c r="Z1932" t="s">
        <v>28063</v>
      </c>
      <c r="AA1932">
        <v>1.0196382196545191</v>
      </c>
      <c r="AB1932" t="str">
        <f>HYPERLINK("Melting_Curves/meltCurve_P16949_STMN1.pdf", "Melting_Curves/meltCurve_P16949_STMN1.pdf")</f>
        <v>Melting_Curves/meltCurve_P16949_STMN1.pdf</v>
      </c>
    </row>
    <row r="1933" spans="1:28" x14ac:dyDescent="0.25">
      <c r="A1933" t="s">
        <v>1937</v>
      </c>
      <c r="B1933">
        <v>0.99930955844802105</v>
      </c>
      <c r="C1933">
        <v>1.23462687664745</v>
      </c>
      <c r="D1933">
        <v>1.2060325977636599</v>
      </c>
      <c r="E1933">
        <v>1.35664505458296</v>
      </c>
      <c r="F1933">
        <v>1.37589778102411</v>
      </c>
      <c r="G1933">
        <v>1.2506609256197101</v>
      </c>
      <c r="H1933">
        <v>1.36578755699835</v>
      </c>
      <c r="I1933">
        <v>1.54669246717991</v>
      </c>
      <c r="J1933">
        <v>1.54585788410851</v>
      </c>
      <c r="K1933">
        <v>1.3612203395792699</v>
      </c>
      <c r="L1933">
        <v>430.56817067766502</v>
      </c>
      <c r="M1933">
        <v>9.3116228495276392</v>
      </c>
      <c r="O1933">
        <v>44.2574224285067</v>
      </c>
      <c r="P1933">
        <v>2.4438878890165001E-2</v>
      </c>
      <c r="Q1933">
        <v>1.46432812373736</v>
      </c>
      <c r="R1933">
        <v>0.69209353319937905</v>
      </c>
      <c r="S1933" t="s">
        <v>8550</v>
      </c>
      <c r="T1933" t="s">
        <v>13232</v>
      </c>
      <c r="U1933" t="s">
        <v>13232</v>
      </c>
      <c r="V1933" t="s">
        <v>13232</v>
      </c>
      <c r="W1933" t="s">
        <v>15115</v>
      </c>
      <c r="X1933">
        <v>16</v>
      </c>
      <c r="Y1933" t="s">
        <v>21619</v>
      </c>
      <c r="Z1933" t="s">
        <v>28064</v>
      </c>
      <c r="AA1933">
        <v>1.335900903929957</v>
      </c>
      <c r="AB1933" t="str">
        <f>HYPERLINK("Melting_Curves/meltCurve_P16989_YBX3.pdf", "Melting_Curves/meltCurve_P16989_YBX3.pdf")</f>
        <v>Melting_Curves/meltCurve_P16989_YBX3.pdf</v>
      </c>
    </row>
    <row r="1934" spans="1:28" x14ac:dyDescent="0.25">
      <c r="A1934" t="s">
        <v>1938</v>
      </c>
      <c r="B1934">
        <v>0.99930955844802105</v>
      </c>
      <c r="C1934">
        <v>1.0829151681787299</v>
      </c>
      <c r="D1934">
        <v>1.2131201602262001</v>
      </c>
      <c r="E1934">
        <v>1.4366441116423301</v>
      </c>
      <c r="F1934">
        <v>1.3167502953182599</v>
      </c>
      <c r="G1934">
        <v>1.16861741476207</v>
      </c>
      <c r="H1934">
        <v>1.06805390014943</v>
      </c>
      <c r="I1934">
        <v>1.11793030306123</v>
      </c>
      <c r="J1934">
        <v>1.23590275830601</v>
      </c>
      <c r="K1934">
        <v>1.0694488488132601</v>
      </c>
      <c r="L1934">
        <v>10740.999378156101</v>
      </c>
      <c r="M1934">
        <v>250</v>
      </c>
      <c r="O1934">
        <v>42.961248024965798</v>
      </c>
      <c r="P1934">
        <v>0.29577305825564698</v>
      </c>
      <c r="Q1934">
        <v>1.20330847556229</v>
      </c>
      <c r="R1934">
        <v>0.287131817546114</v>
      </c>
      <c r="S1934" t="s">
        <v>8551</v>
      </c>
      <c r="T1934" t="s">
        <v>13232</v>
      </c>
      <c r="U1934" t="s">
        <v>13232</v>
      </c>
      <c r="V1934" t="s">
        <v>13232</v>
      </c>
      <c r="W1934" t="s">
        <v>15116</v>
      </c>
      <c r="X1934">
        <v>2</v>
      </c>
      <c r="Y1934" t="s">
        <v>21620</v>
      </c>
      <c r="Z1934" t="s">
        <v>28065</v>
      </c>
      <c r="AA1934">
        <v>1.18320628533228</v>
      </c>
      <c r="AB1934" t="str">
        <f>HYPERLINK("Melting_Curves/meltCurve_P17017_ZNF14.pdf", "Melting_Curves/meltCurve_P17017_ZNF14.pdf")</f>
        <v>Melting_Curves/meltCurve_P17017_ZNF14.pdf</v>
      </c>
    </row>
    <row r="1935" spans="1:28" x14ac:dyDescent="0.25">
      <c r="A1935" t="s">
        <v>1939</v>
      </c>
      <c r="B1935">
        <v>0.99930955844802105</v>
      </c>
      <c r="C1935">
        <v>1.10424426839002</v>
      </c>
      <c r="D1935">
        <v>0.876064641759567</v>
      </c>
      <c r="E1935">
        <v>0.88581910825807197</v>
      </c>
      <c r="F1935">
        <v>0.72841828397721198</v>
      </c>
      <c r="G1935">
        <v>0.77232216773555296</v>
      </c>
      <c r="H1935">
        <v>0.69251147535929503</v>
      </c>
      <c r="I1935">
        <v>0.67057492000683705</v>
      </c>
      <c r="J1935">
        <v>0.98437491755988005</v>
      </c>
      <c r="K1935">
        <v>0.58557001015886301</v>
      </c>
      <c r="L1935">
        <v>1114.08811320468</v>
      </c>
      <c r="M1935">
        <v>22.7835113895384</v>
      </c>
      <c r="O1935">
        <v>48.526853245289701</v>
      </c>
      <c r="P1935">
        <v>-3.1138038145960001E-2</v>
      </c>
      <c r="Q1935">
        <v>0.73472021999387405</v>
      </c>
      <c r="R1935">
        <v>0.54287655503110099</v>
      </c>
      <c r="S1935" t="s">
        <v>8552</v>
      </c>
      <c r="T1935" t="s">
        <v>13232</v>
      </c>
      <c r="U1935" t="s">
        <v>13232</v>
      </c>
      <c r="V1935" t="s">
        <v>13232</v>
      </c>
      <c r="W1935" t="s">
        <v>15117</v>
      </c>
      <c r="X1935">
        <v>1</v>
      </c>
      <c r="Y1935" t="s">
        <v>21621</v>
      </c>
      <c r="Z1935" t="s">
        <v>28066</v>
      </c>
      <c r="AA1935">
        <v>0.81625590240787538</v>
      </c>
      <c r="AB1935" t="str">
        <f>HYPERLINK("Melting_Curves/meltCurve_P17026_ZNF22.pdf", "Melting_Curves/meltCurve_P17026_ZNF22.pdf")</f>
        <v>Melting_Curves/meltCurve_P17026_ZNF22.pdf</v>
      </c>
    </row>
    <row r="1936" spans="1:28" x14ac:dyDescent="0.25">
      <c r="A1936" t="s">
        <v>1940</v>
      </c>
      <c r="B1936">
        <v>0.99930955844802105</v>
      </c>
      <c r="C1936">
        <v>1.06047232073689</v>
      </c>
      <c r="D1936">
        <v>0.96967401140982701</v>
      </c>
      <c r="E1936">
        <v>0.92795987018501103</v>
      </c>
      <c r="F1936">
        <v>0.83610698140744399</v>
      </c>
      <c r="G1936">
        <v>0.56674896594385604</v>
      </c>
      <c r="H1936">
        <v>0.372160403828873</v>
      </c>
      <c r="I1936">
        <v>0.34121790499683002</v>
      </c>
      <c r="J1936">
        <v>0.342383067084572</v>
      </c>
      <c r="K1936">
        <v>0.28618067139318298</v>
      </c>
      <c r="L1936">
        <v>1207.51308911658</v>
      </c>
      <c r="M1936">
        <v>21.676278923503901</v>
      </c>
      <c r="N1936">
        <v>58.122389319903</v>
      </c>
      <c r="O1936">
        <v>55.2390423511291</v>
      </c>
      <c r="P1936">
        <v>-6.8976922347797606E-2</v>
      </c>
      <c r="Q1936">
        <v>0.29690352487433802</v>
      </c>
      <c r="R1936">
        <v>0.99314283288081995</v>
      </c>
      <c r="S1936" t="s">
        <v>8553</v>
      </c>
      <c r="T1936" t="s">
        <v>13232</v>
      </c>
      <c r="U1936" t="s">
        <v>13232</v>
      </c>
      <c r="V1936" t="s">
        <v>13232</v>
      </c>
      <c r="W1936" t="s">
        <v>15118</v>
      </c>
      <c r="X1936">
        <v>10</v>
      </c>
      <c r="Y1936" t="s">
        <v>21622</v>
      </c>
      <c r="Z1936" t="s">
        <v>28067</v>
      </c>
      <c r="AA1936">
        <v>0.67315703338359867</v>
      </c>
      <c r="AB1936" t="str">
        <f>HYPERLINK("Melting_Curves/meltCurve_P17028_ZNF24.pdf", "Melting_Curves/meltCurve_P17028_ZNF24.pdf")</f>
        <v>Melting_Curves/meltCurve_P17028_ZNF24.pdf</v>
      </c>
    </row>
    <row r="1937" spans="1:28" x14ac:dyDescent="0.25">
      <c r="A1937" t="s">
        <v>1941</v>
      </c>
      <c r="B1937">
        <v>0.99930955844802105</v>
      </c>
      <c r="C1937">
        <v>1.0415115353452999</v>
      </c>
      <c r="D1937">
        <v>0.93161616167597605</v>
      </c>
      <c r="E1937">
        <v>0.93442197881142497</v>
      </c>
      <c r="F1937">
        <v>0.74234386216002102</v>
      </c>
      <c r="G1937">
        <v>0.511254898041832</v>
      </c>
      <c r="H1937">
        <v>0.49076056091238301</v>
      </c>
      <c r="I1937">
        <v>0.45781761999267301</v>
      </c>
      <c r="J1937">
        <v>0.44816104947448299</v>
      </c>
      <c r="K1937">
        <v>0.39440987235723302</v>
      </c>
      <c r="L1937">
        <v>1369.1167850654299</v>
      </c>
      <c r="M1937">
        <v>25.6416693521615</v>
      </c>
      <c r="N1937">
        <v>58.0259822654738</v>
      </c>
      <c r="O1937">
        <v>53.072635882172101</v>
      </c>
      <c r="P1937">
        <v>-6.8193478698174895E-2</v>
      </c>
      <c r="Q1937">
        <v>0.43542464450081803</v>
      </c>
      <c r="R1937">
        <v>0.98497886689279901</v>
      </c>
      <c r="S1937" t="s">
        <v>8554</v>
      </c>
      <c r="T1937" t="s">
        <v>13232</v>
      </c>
      <c r="U1937" t="s">
        <v>13232</v>
      </c>
      <c r="V1937" t="s">
        <v>13232</v>
      </c>
      <c r="W1937" t="s">
        <v>15119</v>
      </c>
      <c r="X1937">
        <v>14</v>
      </c>
      <c r="Y1937" t="s">
        <v>21623</v>
      </c>
      <c r="Z1937" t="s">
        <v>28068</v>
      </c>
      <c r="AA1937">
        <v>0.69246335669027492</v>
      </c>
      <c r="AB1937" t="str">
        <f>HYPERLINK("Melting_Curves/meltCurve_P17029_ZKSCAN1.pdf", "Melting_Curves/meltCurve_P17029_ZKSCAN1.pdf")</f>
        <v>Melting_Curves/meltCurve_P17029_ZKSCAN1.pdf</v>
      </c>
    </row>
    <row r="1938" spans="1:28" x14ac:dyDescent="0.25">
      <c r="A1938" t="s">
        <v>1942</v>
      </c>
      <c r="B1938">
        <v>0.99930955844802105</v>
      </c>
      <c r="C1938">
        <v>1.04033261570379</v>
      </c>
      <c r="D1938">
        <v>1.02775793219851</v>
      </c>
      <c r="E1938">
        <v>0.96787597518785096</v>
      </c>
      <c r="F1938">
        <v>0.77383820078602095</v>
      </c>
      <c r="G1938">
        <v>0.45253292727641498</v>
      </c>
      <c r="H1938">
        <v>0.261030468682449</v>
      </c>
      <c r="I1938">
        <v>0.147580949834971</v>
      </c>
      <c r="J1938">
        <v>0.113974824312843</v>
      </c>
      <c r="K1938">
        <v>9.5637918875431993E-2</v>
      </c>
      <c r="L1938">
        <v>1184.4365355971399</v>
      </c>
      <c r="M1938">
        <v>21.137411272657001</v>
      </c>
      <c r="N1938">
        <v>56.575152926649999</v>
      </c>
      <c r="O1938">
        <v>55.5407742025331</v>
      </c>
      <c r="P1938">
        <v>-8.6453331535332398E-2</v>
      </c>
      <c r="Q1938">
        <v>9.1362877877323195E-2</v>
      </c>
      <c r="R1938">
        <v>0.99620037356894198</v>
      </c>
      <c r="S1938" t="s">
        <v>8555</v>
      </c>
      <c r="T1938" t="s">
        <v>13232</v>
      </c>
      <c r="U1938" t="s">
        <v>13232</v>
      </c>
      <c r="V1938" t="s">
        <v>13232</v>
      </c>
      <c r="W1938" t="s">
        <v>15120</v>
      </c>
      <c r="X1938">
        <v>10</v>
      </c>
      <c r="Y1938" t="s">
        <v>21624</v>
      </c>
      <c r="Z1938" t="s">
        <v>28069</v>
      </c>
      <c r="AA1938">
        <v>0.58785090540332796</v>
      </c>
      <c r="AB1938" t="str">
        <f>HYPERLINK("Melting_Curves/meltCurve_P17050_NAGA.pdf", "Melting_Curves/meltCurve_P17050_NAGA.pdf")</f>
        <v>Melting_Curves/meltCurve_P17050_NAGA.pdf</v>
      </c>
    </row>
    <row r="1939" spans="1:28" x14ac:dyDescent="0.25">
      <c r="A1939" t="s">
        <v>1943</v>
      </c>
      <c r="B1939">
        <v>0.99930955844802105</v>
      </c>
      <c r="C1939">
        <v>0.96431129816104999</v>
      </c>
      <c r="D1939">
        <v>0.95287726388719896</v>
      </c>
      <c r="E1939">
        <v>0.87949082794186095</v>
      </c>
      <c r="F1939">
        <v>0.70429682111129899</v>
      </c>
      <c r="G1939">
        <v>0.22184432625650899</v>
      </c>
      <c r="H1939">
        <v>0.111123639424794</v>
      </c>
      <c r="I1939">
        <v>8.9490184189159799E-2</v>
      </c>
      <c r="J1939">
        <v>0.104134237821821</v>
      </c>
      <c r="K1939">
        <v>7.2288212490093998E-2</v>
      </c>
      <c r="L1939">
        <v>1590.9010173322199</v>
      </c>
      <c r="M1939">
        <v>29.420872698366502</v>
      </c>
      <c r="N1939">
        <v>54.395079692190102</v>
      </c>
      <c r="O1939">
        <v>53.825914244765301</v>
      </c>
      <c r="P1939">
        <v>-0.12575343160276001</v>
      </c>
      <c r="Q1939">
        <v>7.97355554156126E-2</v>
      </c>
      <c r="R1939">
        <v>0.99559771953676202</v>
      </c>
      <c r="S1939" t="s">
        <v>8556</v>
      </c>
      <c r="T1939" t="s">
        <v>13232</v>
      </c>
      <c r="U1939" t="s">
        <v>13232</v>
      </c>
      <c r="V1939" t="s">
        <v>13232</v>
      </c>
      <c r="W1939" t="s">
        <v>15121</v>
      </c>
      <c r="X1939">
        <v>13</v>
      </c>
      <c r="Y1939" t="s">
        <v>21625</v>
      </c>
      <c r="Z1939" t="s">
        <v>28070</v>
      </c>
      <c r="AA1939">
        <v>0.51773987659231202</v>
      </c>
      <c r="AB1939" t="str">
        <f>HYPERLINK("Melting_Curves/meltCurve_P17066_HSPA6.pdf", "Melting_Curves/meltCurve_P17066_HSPA6.pdf")</f>
        <v>Melting_Curves/meltCurve_P17066_HSPA6.pdf</v>
      </c>
    </row>
    <row r="1940" spans="1:28" x14ac:dyDescent="0.25">
      <c r="A1940" t="s">
        <v>1944</v>
      </c>
      <c r="B1940">
        <v>0.99930955844802105</v>
      </c>
      <c r="C1940">
        <v>1.37220524281747</v>
      </c>
      <c r="D1940">
        <v>1.2009381116720801</v>
      </c>
      <c r="E1940">
        <v>1.25676956763346</v>
      </c>
      <c r="F1940">
        <v>1.3310326625067901</v>
      </c>
      <c r="G1940">
        <v>1.2170709068047401</v>
      </c>
      <c r="H1940">
        <v>1.2124344151992199</v>
      </c>
      <c r="I1940">
        <v>1.4035181392682501</v>
      </c>
      <c r="J1940">
        <v>1.4217310200442499</v>
      </c>
      <c r="K1940">
        <v>1.2267474582448199</v>
      </c>
      <c r="L1940">
        <v>10262.734444883001</v>
      </c>
      <c r="M1940">
        <v>250</v>
      </c>
      <c r="O1940">
        <v>41.048300296531899</v>
      </c>
      <c r="P1940">
        <v>0.447042768929095</v>
      </c>
      <c r="Q1940">
        <v>1.29360560821589</v>
      </c>
      <c r="R1940">
        <v>0.55326523194470201</v>
      </c>
      <c r="S1940" t="s">
        <v>8557</v>
      </c>
      <c r="T1940" t="s">
        <v>13232</v>
      </c>
      <c r="U1940" t="s">
        <v>13232</v>
      </c>
      <c r="V1940" t="s">
        <v>13232</v>
      </c>
      <c r="W1940" t="s">
        <v>15122</v>
      </c>
      <c r="X1940">
        <v>3</v>
      </c>
      <c r="Y1940" t="s">
        <v>21626</v>
      </c>
      <c r="Z1940" t="s">
        <v>28071</v>
      </c>
      <c r="AA1940">
        <v>1.283296957188691</v>
      </c>
      <c r="AB1940" t="str">
        <f>HYPERLINK("Melting_Curves/meltCurve_P17096_2_HMGA1.pdf", "Melting_Curves/meltCurve_P17096_2_HMGA1.pdf")</f>
        <v>Melting_Curves/meltCurve_P17096_2_HMGA1.pdf</v>
      </c>
    </row>
    <row r="1941" spans="1:28" x14ac:dyDescent="0.25">
      <c r="A1941" t="s">
        <v>1945</v>
      </c>
      <c r="B1941">
        <v>0.99930955844802105</v>
      </c>
      <c r="C1941">
        <v>1.08485537510837</v>
      </c>
      <c r="D1941">
        <v>0.98513537751297597</v>
      </c>
      <c r="E1941">
        <v>0.90090054019530397</v>
      </c>
      <c r="F1941">
        <v>0.81621331782020101</v>
      </c>
      <c r="G1941">
        <v>0.77614229026850701</v>
      </c>
      <c r="H1941">
        <v>0.83811842620377897</v>
      </c>
      <c r="I1941">
        <v>0.55384418981639305</v>
      </c>
      <c r="J1941">
        <v>0.93667403787723702</v>
      </c>
      <c r="K1941">
        <v>0.73211701731350498</v>
      </c>
      <c r="L1941">
        <v>1518.8473154544899</v>
      </c>
      <c r="M1941">
        <v>30.005174839344299</v>
      </c>
      <c r="O1941">
        <v>50.396261501309603</v>
      </c>
      <c r="P1941">
        <v>-3.4907118398404803E-2</v>
      </c>
      <c r="Q1941">
        <v>0.76548352568074896</v>
      </c>
      <c r="R1941">
        <v>0.58688817663578496</v>
      </c>
      <c r="S1941" t="s">
        <v>8558</v>
      </c>
      <c r="T1941" t="s">
        <v>13232</v>
      </c>
      <c r="U1941" t="s">
        <v>13232</v>
      </c>
      <c r="V1941" t="s">
        <v>13232</v>
      </c>
      <c r="W1941" t="s">
        <v>15123</v>
      </c>
      <c r="X1941">
        <v>6</v>
      </c>
      <c r="Y1941" t="s">
        <v>21627</v>
      </c>
      <c r="Z1941" t="s">
        <v>28072</v>
      </c>
      <c r="AA1941">
        <v>0.84996334495348413</v>
      </c>
      <c r="AB1941" t="str">
        <f>HYPERLINK("Melting_Curves/meltCurve_P17098_ZNF8.pdf", "Melting_Curves/meltCurve_P17098_ZNF8.pdf")</f>
        <v>Melting_Curves/meltCurve_P17098_ZNF8.pdf</v>
      </c>
    </row>
    <row r="1942" spans="1:28" x14ac:dyDescent="0.25">
      <c r="A1942" t="s">
        <v>1946</v>
      </c>
      <c r="B1942">
        <v>0.99930955844802105</v>
      </c>
      <c r="C1942">
        <v>0.85529274576840597</v>
      </c>
      <c r="D1942">
        <v>0.79439774482152503</v>
      </c>
      <c r="E1942">
        <v>0.82065290829445203</v>
      </c>
      <c r="F1942">
        <v>0.45015696373749903</v>
      </c>
      <c r="G1942">
        <v>0.31035821418895598</v>
      </c>
      <c r="H1942">
        <v>0.22103934294080699</v>
      </c>
      <c r="I1942">
        <v>0.20302270913790299</v>
      </c>
      <c r="J1942">
        <v>0.16149914257203299</v>
      </c>
      <c r="K1942">
        <v>0.12721880592423401</v>
      </c>
      <c r="L1942">
        <v>611.82746998722496</v>
      </c>
      <c r="M1942">
        <v>11.6509704268625</v>
      </c>
      <c r="N1942">
        <v>53.3211926462306</v>
      </c>
      <c r="O1942">
        <v>51.037557456922599</v>
      </c>
      <c r="P1942">
        <v>-5.2465483261845899E-2</v>
      </c>
      <c r="Q1942">
        <v>8.0939717518604404E-2</v>
      </c>
      <c r="R1942">
        <v>0.96191215363309401</v>
      </c>
      <c r="S1942" t="s">
        <v>8559</v>
      </c>
      <c r="T1942" t="s">
        <v>13232</v>
      </c>
      <c r="U1942" t="s">
        <v>13232</v>
      </c>
      <c r="V1942" t="s">
        <v>13232</v>
      </c>
      <c r="W1942" t="s">
        <v>15124</v>
      </c>
      <c r="X1942">
        <v>1</v>
      </c>
      <c r="Y1942" t="s">
        <v>21628</v>
      </c>
      <c r="Z1942" t="s">
        <v>28073</v>
      </c>
      <c r="AA1942">
        <v>0.4923857342689073</v>
      </c>
      <c r="AB1942" t="str">
        <f>HYPERLINK("Melting_Curves/meltCurve_P17152_TMEM11.pdf", "Melting_Curves/meltCurve_P17152_TMEM11.pdf")</f>
        <v>Melting_Curves/meltCurve_P17152_TMEM11.pdf</v>
      </c>
    </row>
    <row r="1943" spans="1:28" x14ac:dyDescent="0.25">
      <c r="A1943" t="s">
        <v>1947</v>
      </c>
      <c r="B1943">
        <v>0.99930955844802105</v>
      </c>
      <c r="C1943">
        <v>1.03714279499451</v>
      </c>
      <c r="D1943">
        <v>1.05651255630716</v>
      </c>
      <c r="E1943">
        <v>0.99214655274323804</v>
      </c>
      <c r="F1943">
        <v>0.98048140950308904</v>
      </c>
      <c r="G1943">
        <v>0.82602180834656602</v>
      </c>
      <c r="H1943">
        <v>0.79299172626677406</v>
      </c>
      <c r="I1943">
        <v>0.83304362474173199</v>
      </c>
      <c r="J1943">
        <v>0.85013690821927901</v>
      </c>
      <c r="K1943">
        <v>0.48044392380871598</v>
      </c>
      <c r="L1943">
        <v>653.66751942109795</v>
      </c>
      <c r="M1943">
        <v>8.9387294611274903</v>
      </c>
      <c r="O1943">
        <v>69.745471114905001</v>
      </c>
      <c r="P1943">
        <v>-3.2064414739821502E-2</v>
      </c>
      <c r="Q1943">
        <v>0</v>
      </c>
      <c r="R1943">
        <v>0.77223734516214404</v>
      </c>
      <c r="S1943" t="s">
        <v>8560</v>
      </c>
      <c r="T1943" t="s">
        <v>13232</v>
      </c>
      <c r="U1943" t="s">
        <v>13232</v>
      </c>
      <c r="V1943" t="s">
        <v>13232</v>
      </c>
      <c r="W1943" t="s">
        <v>15125</v>
      </c>
      <c r="X1943">
        <v>27</v>
      </c>
      <c r="Y1943" t="s">
        <v>21629</v>
      </c>
      <c r="Z1943" t="s">
        <v>28074</v>
      </c>
      <c r="AA1943">
        <v>0.89541591004599863</v>
      </c>
      <c r="AB1943" t="str">
        <f>HYPERLINK("Melting_Curves/meltCurve_P17174_GOT1.pdf", "Melting_Curves/meltCurve_P17174_GOT1.pdf")</f>
        <v>Melting_Curves/meltCurve_P17174_GOT1.pdf</v>
      </c>
    </row>
    <row r="1944" spans="1:28" x14ac:dyDescent="0.25">
      <c r="A1944" t="s">
        <v>1948</v>
      </c>
      <c r="B1944">
        <v>0.99930955844802105</v>
      </c>
      <c r="C1944">
        <v>0.88940612108904205</v>
      </c>
      <c r="D1944">
        <v>0.69085440978652801</v>
      </c>
      <c r="E1944">
        <v>0.302289084040749</v>
      </c>
      <c r="F1944">
        <v>0.19162807695780301</v>
      </c>
      <c r="G1944">
        <v>0.143993760296735</v>
      </c>
      <c r="H1944">
        <v>0.105171958601202</v>
      </c>
      <c r="I1944">
        <v>9.6301317694786101E-2</v>
      </c>
      <c r="J1944">
        <v>9.2590131754529598E-2</v>
      </c>
      <c r="K1944">
        <v>6.7556973468622494E-2</v>
      </c>
      <c r="L1944">
        <v>972.24523458665897</v>
      </c>
      <c r="M1944">
        <v>20.5336268261842</v>
      </c>
      <c r="N1944">
        <v>47.820427238100997</v>
      </c>
      <c r="O1944">
        <v>46.906705428655201</v>
      </c>
      <c r="P1944">
        <v>-9.94123852050319E-2</v>
      </c>
      <c r="Q1944">
        <v>9.1642069191949393E-2</v>
      </c>
      <c r="R1944">
        <v>0.99792038884783196</v>
      </c>
      <c r="S1944" t="s">
        <v>8561</v>
      </c>
      <c r="T1944" t="s">
        <v>13232</v>
      </c>
      <c r="U1944" t="s">
        <v>13232</v>
      </c>
      <c r="V1944" t="s">
        <v>13232</v>
      </c>
      <c r="W1944" t="s">
        <v>15126</v>
      </c>
      <c r="X1944">
        <v>21</v>
      </c>
      <c r="Y1944" t="s">
        <v>21630</v>
      </c>
      <c r="Z1944" t="s">
        <v>28075</v>
      </c>
      <c r="AA1944">
        <v>0.32655522665447773</v>
      </c>
      <c r="AB1944" t="str">
        <f>HYPERLINK("Melting_Curves/meltCurve_P17252_PRKCA.pdf", "Melting_Curves/meltCurve_P17252_PRKCA.pdf")</f>
        <v>Melting_Curves/meltCurve_P17252_PRKCA.pdf</v>
      </c>
    </row>
    <row r="1945" spans="1:28" x14ac:dyDescent="0.25">
      <c r="A1945" t="s">
        <v>1949</v>
      </c>
      <c r="B1945">
        <v>0.99930955844802105</v>
      </c>
      <c r="C1945">
        <v>1.06444305454324</v>
      </c>
      <c r="D1945">
        <v>1.0465346263337101</v>
      </c>
      <c r="E1945">
        <v>1.0544904807141799</v>
      </c>
      <c r="F1945">
        <v>0.98243461433548096</v>
      </c>
      <c r="G1945">
        <v>0.89472774588620196</v>
      </c>
      <c r="H1945">
        <v>0.83200520650158105</v>
      </c>
      <c r="I1945">
        <v>0.87108508389214001</v>
      </c>
      <c r="J1945">
        <v>0.86935709549040097</v>
      </c>
      <c r="K1945">
        <v>0.67422159005150595</v>
      </c>
      <c r="L1945">
        <v>589.50055268788503</v>
      </c>
      <c r="M1945">
        <v>7.4821833035450203</v>
      </c>
      <c r="Q1945">
        <v>0</v>
      </c>
      <c r="R1945">
        <v>0.79910667017699499</v>
      </c>
      <c r="S1945" t="s">
        <v>8562</v>
      </c>
      <c r="T1945" t="s">
        <v>13232</v>
      </c>
      <c r="U1945" t="s">
        <v>13232</v>
      </c>
      <c r="V1945" t="s">
        <v>13232</v>
      </c>
      <c r="W1945" t="s">
        <v>15127</v>
      </c>
      <c r="X1945">
        <v>3</v>
      </c>
      <c r="Y1945" t="s">
        <v>21631</v>
      </c>
      <c r="Z1945" t="s">
        <v>28076</v>
      </c>
      <c r="AA1945">
        <v>0.9261667679390897</v>
      </c>
      <c r="AB1945" t="str">
        <f>HYPERLINK("Melting_Curves/meltCurve_P17275_JUNB.pdf", "Melting_Curves/meltCurve_P17275_JUNB.pdf")</f>
        <v>Melting_Curves/meltCurve_P17275_JUNB.pdf</v>
      </c>
    </row>
    <row r="1946" spans="1:28" x14ac:dyDescent="0.25">
      <c r="A1946" t="s">
        <v>1950</v>
      </c>
      <c r="B1946">
        <v>0.99930955844802105</v>
      </c>
      <c r="C1946">
        <v>0.98779043469292804</v>
      </c>
      <c r="D1946">
        <v>0.94809393607785097</v>
      </c>
      <c r="E1946">
        <v>0.81025381724452294</v>
      </c>
      <c r="F1946">
        <v>0.59704459509527197</v>
      </c>
      <c r="G1946">
        <v>0.491098235677626</v>
      </c>
      <c r="H1946">
        <v>0.42715421894563399</v>
      </c>
      <c r="I1946">
        <v>0.40904734282591698</v>
      </c>
      <c r="J1946">
        <v>0.39771652087817499</v>
      </c>
      <c r="K1946">
        <v>0.327752921449455</v>
      </c>
      <c r="L1946">
        <v>933.59003115580299</v>
      </c>
      <c r="M1946">
        <v>17.969479925711301</v>
      </c>
      <c r="N1946">
        <v>56.169650975777998</v>
      </c>
      <c r="O1946">
        <v>51.323593150571298</v>
      </c>
      <c r="P1946">
        <v>-5.5129652933869601E-2</v>
      </c>
      <c r="Q1946">
        <v>0.370196276932029</v>
      </c>
      <c r="R1946">
        <v>0.99253182608232304</v>
      </c>
      <c r="S1946" t="s">
        <v>8563</v>
      </c>
      <c r="T1946" t="s">
        <v>13232</v>
      </c>
      <c r="U1946" t="s">
        <v>13232</v>
      </c>
      <c r="V1946" t="s">
        <v>13232</v>
      </c>
      <c r="W1946" t="s">
        <v>15128</v>
      </c>
      <c r="X1946">
        <v>18</v>
      </c>
      <c r="Y1946" t="s">
        <v>21632</v>
      </c>
      <c r="Z1946" t="s">
        <v>28077</v>
      </c>
      <c r="AA1946">
        <v>0.6316738870204428</v>
      </c>
      <c r="AB1946" t="str">
        <f>HYPERLINK("Melting_Curves/meltCurve_P17480_2_UBTF.pdf", "Melting_Curves/meltCurve_P17480_2_UBTF.pdf")</f>
        <v>Melting_Curves/meltCurve_P17480_2_UBTF.pdf</v>
      </c>
    </row>
    <row r="1947" spans="1:28" x14ac:dyDescent="0.25">
      <c r="A1947" t="s">
        <v>1951</v>
      </c>
      <c r="B1947">
        <v>0.99930955844802105</v>
      </c>
      <c r="C1947">
        <v>1.0321582618873</v>
      </c>
      <c r="D1947">
        <v>1.01532675346984</v>
      </c>
      <c r="E1947">
        <v>0.96912579752731798</v>
      </c>
      <c r="F1947">
        <v>0.88916132348858901</v>
      </c>
      <c r="G1947">
        <v>0.85435181134362603</v>
      </c>
      <c r="H1947">
        <v>0.98224056911767099</v>
      </c>
      <c r="I1947">
        <v>1.0686999953625</v>
      </c>
      <c r="J1947">
        <v>1.0651353295874399</v>
      </c>
      <c r="K1947">
        <v>0.82577839328263403</v>
      </c>
      <c r="L1947">
        <v>15000</v>
      </c>
      <c r="M1947">
        <v>212.729670720212</v>
      </c>
      <c r="Q1947">
        <v>0</v>
      </c>
      <c r="R1947">
        <v>0.32257435667360301</v>
      </c>
      <c r="S1947" t="s">
        <v>8564</v>
      </c>
      <c r="T1947" t="s">
        <v>13232</v>
      </c>
      <c r="U1947" t="s">
        <v>13232</v>
      </c>
      <c r="V1947" t="s">
        <v>13232</v>
      </c>
      <c r="W1947" t="s">
        <v>15129</v>
      </c>
      <c r="X1947">
        <v>7</v>
      </c>
      <c r="Y1947" t="s">
        <v>21633</v>
      </c>
      <c r="Z1947" t="s">
        <v>28078</v>
      </c>
      <c r="AA1947">
        <v>0.99793575600476747</v>
      </c>
      <c r="AB1947" t="str">
        <f>HYPERLINK("Melting_Curves/meltCurve_P17482_HOXB9.pdf", "Melting_Curves/meltCurve_P17482_HOXB9.pdf")</f>
        <v>Melting_Curves/meltCurve_P17482_HOXB9.pdf</v>
      </c>
    </row>
    <row r="1948" spans="1:28" x14ac:dyDescent="0.25">
      <c r="A1948" t="s">
        <v>1952</v>
      </c>
      <c r="B1948">
        <v>0.99930955844802105</v>
      </c>
      <c r="C1948">
        <v>0.97490488448391599</v>
      </c>
      <c r="D1948">
        <v>1.03711411440143</v>
      </c>
      <c r="E1948">
        <v>0.99892948040431895</v>
      </c>
      <c r="F1948">
        <v>1.00452841178912</v>
      </c>
      <c r="G1948">
        <v>0.794047779081685</v>
      </c>
      <c r="H1948">
        <v>0.676906199910289</v>
      </c>
      <c r="I1948">
        <v>0.73951626895296696</v>
      </c>
      <c r="J1948">
        <v>0.73134411410418898</v>
      </c>
      <c r="K1948">
        <v>0.58754858138579602</v>
      </c>
      <c r="L1948">
        <v>14214.365024843501</v>
      </c>
      <c r="M1948">
        <v>250</v>
      </c>
      <c r="O1948">
        <v>56.853821612310199</v>
      </c>
      <c r="P1948">
        <v>-0.34757031662065402</v>
      </c>
      <c r="Q1948">
        <v>0.68382878798215296</v>
      </c>
      <c r="R1948">
        <v>0.93237252791751302</v>
      </c>
      <c r="S1948" t="s">
        <v>8565</v>
      </c>
      <c r="T1948" t="s">
        <v>13232</v>
      </c>
      <c r="U1948" t="s">
        <v>13232</v>
      </c>
      <c r="V1948" t="s">
        <v>13232</v>
      </c>
      <c r="W1948" t="s">
        <v>15130</v>
      </c>
      <c r="X1948">
        <v>4</v>
      </c>
      <c r="Y1948" t="s">
        <v>21634</v>
      </c>
      <c r="Z1948" t="s">
        <v>28079</v>
      </c>
      <c r="AA1948">
        <v>0.86152178983567917</v>
      </c>
      <c r="AB1948" t="str">
        <f>HYPERLINK("Melting_Curves/meltCurve_P17483_HOXB4.pdf", "Melting_Curves/meltCurve_P17483_HOXB4.pdf")</f>
        <v>Melting_Curves/meltCurve_P17483_HOXB4.pdf</v>
      </c>
    </row>
    <row r="1949" spans="1:28" x14ac:dyDescent="0.25">
      <c r="A1949" t="s">
        <v>1953</v>
      </c>
      <c r="B1949">
        <v>0.99930955844802105</v>
      </c>
      <c r="C1949">
        <v>0.99814761883580405</v>
      </c>
      <c r="D1949">
        <v>1.00773379428998</v>
      </c>
      <c r="E1949">
        <v>0.96076986009480903</v>
      </c>
      <c r="F1949">
        <v>0.79779299965433303</v>
      </c>
      <c r="G1949">
        <v>0.73968495712157301</v>
      </c>
      <c r="H1949">
        <v>0.70280637542148605</v>
      </c>
      <c r="I1949">
        <v>0.72735415957683003</v>
      </c>
      <c r="J1949">
        <v>0.68249973598934099</v>
      </c>
      <c r="K1949">
        <v>0.58202078359784604</v>
      </c>
      <c r="L1949">
        <v>1094.7046235165001</v>
      </c>
      <c r="M1949">
        <v>20.574087889380301</v>
      </c>
      <c r="O1949">
        <v>52.712907144649101</v>
      </c>
      <c r="P1949">
        <v>-3.2990478993482203E-2</v>
      </c>
      <c r="Q1949">
        <v>0.66190997639154003</v>
      </c>
      <c r="R1949">
        <v>0.93948860207058904</v>
      </c>
      <c r="S1949" t="s">
        <v>8566</v>
      </c>
      <c r="T1949" t="s">
        <v>13232</v>
      </c>
      <c r="U1949" t="s">
        <v>13232</v>
      </c>
      <c r="V1949" t="s">
        <v>13232</v>
      </c>
      <c r="W1949" t="s">
        <v>15131</v>
      </c>
      <c r="X1949">
        <v>5</v>
      </c>
      <c r="Y1949" t="s">
        <v>21635</v>
      </c>
      <c r="Z1949" t="s">
        <v>28080</v>
      </c>
      <c r="AA1949">
        <v>0.81518195721103159</v>
      </c>
      <c r="AB1949" t="str">
        <f>HYPERLINK("Melting_Curves/meltCurve_P17535_JUND.pdf", "Melting_Curves/meltCurve_P17535_JUND.pdf")</f>
        <v>Melting_Curves/meltCurve_P17535_JUND.pdf</v>
      </c>
    </row>
    <row r="1950" spans="1:28" x14ac:dyDescent="0.25">
      <c r="A1950" t="s">
        <v>1954</v>
      </c>
      <c r="B1950">
        <v>0.99930955844802105</v>
      </c>
      <c r="C1950">
        <v>0.95926042323086103</v>
      </c>
      <c r="D1950">
        <v>0.91955694469409599</v>
      </c>
      <c r="E1950">
        <v>0.80926853831912604</v>
      </c>
      <c r="F1950">
        <v>0.63989103088369803</v>
      </c>
      <c r="G1950">
        <v>0.45304245932700299</v>
      </c>
      <c r="H1950">
        <v>0.331567597973211</v>
      </c>
      <c r="I1950">
        <v>0.298891609623331</v>
      </c>
      <c r="J1950">
        <v>0.29777813617468801</v>
      </c>
      <c r="K1950">
        <v>0.218717585707324</v>
      </c>
      <c r="L1950">
        <v>741.11353898643404</v>
      </c>
      <c r="M1950">
        <v>13.8021776913713</v>
      </c>
      <c r="N1950">
        <v>55.990002824953301</v>
      </c>
      <c r="O1950">
        <v>52.605856109972898</v>
      </c>
      <c r="P1950">
        <v>-5.14313274319467E-2</v>
      </c>
      <c r="Q1950">
        <v>0.216004422311804</v>
      </c>
      <c r="R1950">
        <v>0.99667964944223797</v>
      </c>
      <c r="S1950" t="s">
        <v>8567</v>
      </c>
      <c r="T1950" t="s">
        <v>13232</v>
      </c>
      <c r="U1950" t="s">
        <v>13232</v>
      </c>
      <c r="V1950" t="s">
        <v>13232</v>
      </c>
      <c r="W1950" t="s">
        <v>15132</v>
      </c>
      <c r="X1950">
        <v>6</v>
      </c>
      <c r="Y1950" t="s">
        <v>21636</v>
      </c>
      <c r="Z1950" t="s">
        <v>28081</v>
      </c>
      <c r="AA1950">
        <v>0.59201502568355346</v>
      </c>
      <c r="AB1950" t="str">
        <f>HYPERLINK("Melting_Curves/meltCurve_P17542_TAL1.pdf", "Melting_Curves/meltCurve_P17542_TAL1.pdf")</f>
        <v>Melting_Curves/meltCurve_P17542_TAL1.pdf</v>
      </c>
    </row>
    <row r="1951" spans="1:28" x14ac:dyDescent="0.25">
      <c r="A1951" t="s">
        <v>1955</v>
      </c>
      <c r="B1951">
        <v>0.99930955844802105</v>
      </c>
      <c r="C1951">
        <v>1.1971908109768701</v>
      </c>
      <c r="D1951">
        <v>1.1376584804393499</v>
      </c>
      <c r="E1951">
        <v>1.09239869745129</v>
      </c>
      <c r="F1951">
        <v>1.02217631297712</v>
      </c>
      <c r="G1951">
        <v>0.85782494591687097</v>
      </c>
      <c r="H1951">
        <v>0.804091310994973</v>
      </c>
      <c r="I1951">
        <v>0.83085855080637105</v>
      </c>
      <c r="J1951">
        <v>0.83434700916122495</v>
      </c>
      <c r="K1951">
        <v>0.64511980532728197</v>
      </c>
      <c r="L1951">
        <v>1057.5301000306899</v>
      </c>
      <c r="M1951">
        <v>17.6067589329285</v>
      </c>
      <c r="O1951">
        <v>59.3051140833769</v>
      </c>
      <c r="P1951">
        <v>-2.15203235510152E-2</v>
      </c>
      <c r="Q1951">
        <v>0.710066676858222</v>
      </c>
      <c r="R1951">
        <v>0.66322021909060203</v>
      </c>
      <c r="S1951" t="s">
        <v>8568</v>
      </c>
      <c r="T1951" t="s">
        <v>13232</v>
      </c>
      <c r="U1951" t="s">
        <v>13232</v>
      </c>
      <c r="V1951" t="s">
        <v>13232</v>
      </c>
      <c r="W1951" t="s">
        <v>15133</v>
      </c>
      <c r="X1951">
        <v>9</v>
      </c>
      <c r="Y1951" t="s">
        <v>21637</v>
      </c>
      <c r="Z1951" t="s">
        <v>28082</v>
      </c>
      <c r="AA1951">
        <v>0.9062955486681884</v>
      </c>
      <c r="AB1951" t="str">
        <f>HYPERLINK("Melting_Curves/meltCurve_P17544_4_ATF7.pdf", "Melting_Curves/meltCurve_P17544_4_ATF7.pdf")</f>
        <v>Melting_Curves/meltCurve_P17544_4_ATF7.pdf</v>
      </c>
    </row>
    <row r="1952" spans="1:28" x14ac:dyDescent="0.25">
      <c r="A1952" t="s">
        <v>1956</v>
      </c>
      <c r="B1952">
        <v>0.99930955844802105</v>
      </c>
      <c r="C1952">
        <v>1.0377988074093401</v>
      </c>
      <c r="D1952">
        <v>0.98456058374594002</v>
      </c>
      <c r="E1952">
        <v>0.79903075130816004</v>
      </c>
      <c r="F1952">
        <v>0.44404707393034398</v>
      </c>
      <c r="G1952">
        <v>0.26110749274174799</v>
      </c>
      <c r="H1952">
        <v>0.154367509748741</v>
      </c>
      <c r="I1952">
        <v>0.12762820674196401</v>
      </c>
      <c r="J1952">
        <v>0.101824879163101</v>
      </c>
      <c r="K1952">
        <v>7.8703913327274194E-2</v>
      </c>
      <c r="L1952">
        <v>1253.6415313725499</v>
      </c>
      <c r="M1952">
        <v>23.970784729684802</v>
      </c>
      <c r="N1952">
        <v>52.842191386563201</v>
      </c>
      <c r="O1952">
        <v>51.938799918700802</v>
      </c>
      <c r="P1952">
        <v>-0.102776201026195</v>
      </c>
      <c r="Q1952">
        <v>0.10925065079877699</v>
      </c>
      <c r="R1952">
        <v>0.994980505443541</v>
      </c>
      <c r="S1952" t="s">
        <v>8569</v>
      </c>
      <c r="T1952" t="s">
        <v>13232</v>
      </c>
      <c r="U1952" t="s">
        <v>13232</v>
      </c>
      <c r="V1952" t="s">
        <v>13232</v>
      </c>
      <c r="W1952" t="s">
        <v>15134</v>
      </c>
      <c r="X1952">
        <v>17</v>
      </c>
      <c r="Y1952" t="s">
        <v>21638</v>
      </c>
      <c r="Z1952" t="s">
        <v>28083</v>
      </c>
      <c r="AA1952">
        <v>0.48325308589842381</v>
      </c>
      <c r="AB1952" t="str">
        <f>HYPERLINK("Melting_Curves/meltCurve_P17612_PRKACA.pdf", "Melting_Curves/meltCurve_P17612_PRKACA.pdf")</f>
        <v>Melting_Curves/meltCurve_P17612_PRKACA.pdf</v>
      </c>
    </row>
    <row r="1953" spans="1:28" x14ac:dyDescent="0.25">
      <c r="A1953" t="s">
        <v>1957</v>
      </c>
      <c r="B1953">
        <v>0.99930955844802105</v>
      </c>
      <c r="C1953">
        <v>1.05607342929315</v>
      </c>
      <c r="D1953">
        <v>1.0388935315055901</v>
      </c>
      <c r="E1953">
        <v>1.0102535143211999</v>
      </c>
      <c r="F1953">
        <v>0.97495146942511401</v>
      </c>
      <c r="G1953">
        <v>0.48534255983942798</v>
      </c>
      <c r="H1953">
        <v>0.13596828931721999</v>
      </c>
      <c r="I1953">
        <v>0.11269605318003</v>
      </c>
      <c r="J1953">
        <v>9.7143388765893193E-2</v>
      </c>
      <c r="K1953">
        <v>7.5761934494414304E-2</v>
      </c>
      <c r="L1953">
        <v>2668.0645004101002</v>
      </c>
      <c r="M1953">
        <v>47.075082178134501</v>
      </c>
      <c r="N1953">
        <v>56.934694731707097</v>
      </c>
      <c r="O1953">
        <v>56.574774086637397</v>
      </c>
      <c r="P1953">
        <v>-0.18804732173408201</v>
      </c>
      <c r="Q1953">
        <v>9.6020528349457096E-2</v>
      </c>
      <c r="R1953">
        <v>0.99703227911319103</v>
      </c>
      <c r="S1953" t="s">
        <v>8570</v>
      </c>
      <c r="T1953" t="s">
        <v>13232</v>
      </c>
      <c r="U1953" t="s">
        <v>13232</v>
      </c>
      <c r="V1953" t="s">
        <v>13232</v>
      </c>
      <c r="W1953" t="s">
        <v>15135</v>
      </c>
      <c r="X1953">
        <v>26</v>
      </c>
      <c r="Y1953" t="s">
        <v>21639</v>
      </c>
      <c r="Z1953" t="s">
        <v>28084</v>
      </c>
      <c r="AA1953">
        <v>0.60108023700538549</v>
      </c>
      <c r="AB1953" t="str">
        <f>HYPERLINK("Melting_Curves/meltCurve_P17655_CAPN2.pdf", "Melting_Curves/meltCurve_P17655_CAPN2.pdf")</f>
        <v>Melting_Curves/meltCurve_P17655_CAPN2.pdf</v>
      </c>
    </row>
    <row r="1954" spans="1:28" x14ac:dyDescent="0.25">
      <c r="A1954" t="s">
        <v>1958</v>
      </c>
      <c r="B1954">
        <v>0.99930955844802105</v>
      </c>
      <c r="C1954">
        <v>1.0927678968348</v>
      </c>
      <c r="D1954">
        <v>0.65471361512633897</v>
      </c>
      <c r="E1954">
        <v>0.69570147819068695</v>
      </c>
      <c r="F1954">
        <v>0.57552869466867096</v>
      </c>
      <c r="G1954">
        <v>0.24129083126502801</v>
      </c>
      <c r="H1954">
        <v>0.13840974082469201</v>
      </c>
      <c r="I1954">
        <v>0.110607778441738</v>
      </c>
      <c r="J1954">
        <v>0.103009958750628</v>
      </c>
      <c r="K1954">
        <v>8.0628585131186606E-2</v>
      </c>
      <c r="L1954">
        <v>628.35841788171899</v>
      </c>
      <c r="M1954">
        <v>11.929468034497299</v>
      </c>
      <c r="N1954">
        <v>52.7786810924786</v>
      </c>
      <c r="O1954">
        <v>51.258109873926699</v>
      </c>
      <c r="P1954">
        <v>-5.7509594286881099E-2</v>
      </c>
      <c r="Q1954">
        <v>1.1822815222726799E-2</v>
      </c>
      <c r="R1954">
        <v>0.94259520638019001</v>
      </c>
      <c r="S1954" t="s">
        <v>8571</v>
      </c>
      <c r="T1954" t="s">
        <v>13232</v>
      </c>
      <c r="U1954" t="s">
        <v>13232</v>
      </c>
      <c r="V1954" t="s">
        <v>13232</v>
      </c>
      <c r="W1954" t="s">
        <v>15136</v>
      </c>
      <c r="X1954">
        <v>8</v>
      </c>
      <c r="Y1954" t="s">
        <v>21640</v>
      </c>
      <c r="Z1954" t="s">
        <v>28085</v>
      </c>
      <c r="AA1954">
        <v>0.45829798217980799</v>
      </c>
      <c r="AB1954" t="str">
        <f>HYPERLINK("Melting_Curves/meltCurve_P17661_DES.pdf", "Melting_Curves/meltCurve_P17661_DES.pdf")</f>
        <v>Melting_Curves/meltCurve_P17661_DES.pdf</v>
      </c>
    </row>
    <row r="1955" spans="1:28" x14ac:dyDescent="0.25">
      <c r="A1955" t="s">
        <v>1959</v>
      </c>
      <c r="B1955">
        <v>0.99930955844802105</v>
      </c>
      <c r="C1955">
        <v>1.2332671503311301</v>
      </c>
      <c r="D1955">
        <v>1.2297547618043101</v>
      </c>
      <c r="E1955">
        <v>1.2987014536888899</v>
      </c>
      <c r="F1955">
        <v>1.20646223983639</v>
      </c>
      <c r="G1955">
        <v>1.0975386747062501</v>
      </c>
      <c r="H1955">
        <v>1.25184708044384</v>
      </c>
      <c r="I1955">
        <v>1.2114125908794999</v>
      </c>
      <c r="J1955">
        <v>1.27968719094865</v>
      </c>
      <c r="K1955">
        <v>0.98839359391317605</v>
      </c>
      <c r="L1955">
        <v>10276.022954899499</v>
      </c>
      <c r="M1955">
        <v>250</v>
      </c>
      <c r="O1955">
        <v>41.1014651810803</v>
      </c>
      <c r="P1955">
        <v>0.30363014947950701</v>
      </c>
      <c r="Q1955">
        <v>1.19967428583865</v>
      </c>
      <c r="R1955">
        <v>0.321584838934658</v>
      </c>
      <c r="S1955" t="s">
        <v>8572</v>
      </c>
      <c r="T1955" t="s">
        <v>13232</v>
      </c>
      <c r="U1955" t="s">
        <v>13232</v>
      </c>
      <c r="V1955" t="s">
        <v>13232</v>
      </c>
      <c r="W1955" t="s">
        <v>15137</v>
      </c>
      <c r="X1955">
        <v>6</v>
      </c>
      <c r="Y1955" t="s">
        <v>21641</v>
      </c>
      <c r="Z1955" t="s">
        <v>28086</v>
      </c>
      <c r="AA1955">
        <v>1.192310221836042</v>
      </c>
      <c r="AB1955" t="str">
        <f>HYPERLINK("Melting_Curves/meltCurve_P17676_CEBPB.pdf", "Melting_Curves/meltCurve_P17676_CEBPB.pdf")</f>
        <v>Melting_Curves/meltCurve_P17676_CEBPB.pdf</v>
      </c>
    </row>
    <row r="1956" spans="1:28" x14ac:dyDescent="0.25">
      <c r="A1956" t="s">
        <v>1960</v>
      </c>
      <c r="B1956">
        <v>0.99930955844802105</v>
      </c>
      <c r="C1956">
        <v>1.14741383377804</v>
      </c>
      <c r="D1956">
        <v>1.05013983480526</v>
      </c>
      <c r="E1956">
        <v>0.650383655992819</v>
      </c>
      <c r="F1956">
        <v>0.28210364711706498</v>
      </c>
      <c r="G1956">
        <v>0.20672027880362001</v>
      </c>
      <c r="H1956">
        <v>0.138358512850557</v>
      </c>
      <c r="I1956">
        <v>0.137554502241335</v>
      </c>
      <c r="J1956">
        <v>0.119811083839942</v>
      </c>
      <c r="K1956">
        <v>8.9779671121566498E-2</v>
      </c>
      <c r="L1956">
        <v>1876.41211335804</v>
      </c>
      <c r="M1956">
        <v>37.063813588039999</v>
      </c>
      <c r="N1956">
        <v>51.062665202060003</v>
      </c>
      <c r="O1956">
        <v>50.4798246648282</v>
      </c>
      <c r="P1956">
        <v>-0.15865326616922101</v>
      </c>
      <c r="Q1956">
        <v>0.13567810595251201</v>
      </c>
      <c r="R1956">
        <v>0.98056423225884803</v>
      </c>
      <c r="S1956" t="s">
        <v>8573</v>
      </c>
      <c r="T1956" t="s">
        <v>13232</v>
      </c>
      <c r="U1956" t="s">
        <v>13232</v>
      </c>
      <c r="V1956" t="s">
        <v>13232</v>
      </c>
      <c r="W1956" t="s">
        <v>15138</v>
      </c>
      <c r="X1956">
        <v>15</v>
      </c>
      <c r="Y1956" t="s">
        <v>21642</v>
      </c>
      <c r="Z1956" t="s">
        <v>28087</v>
      </c>
      <c r="AA1956">
        <v>0.44536352024801901</v>
      </c>
      <c r="AB1956" t="str">
        <f>HYPERLINK("Melting_Curves/meltCurve_P17706_2_PTPN2.pdf", "Melting_Curves/meltCurve_P17706_2_PTPN2.pdf")</f>
        <v>Melting_Curves/meltCurve_P17706_2_PTPN2.pdf</v>
      </c>
    </row>
    <row r="1957" spans="1:28" x14ac:dyDescent="0.25">
      <c r="A1957" t="s">
        <v>1961</v>
      </c>
      <c r="B1957">
        <v>0.99930955844802105</v>
      </c>
      <c r="C1957">
        <v>0.94628913332265696</v>
      </c>
      <c r="D1957">
        <v>0.90914273021206005</v>
      </c>
      <c r="E1957">
        <v>0.68292559382321705</v>
      </c>
      <c r="F1957">
        <v>0.45760670968713502</v>
      </c>
      <c r="G1957">
        <v>0.21094136399715199</v>
      </c>
      <c r="H1957">
        <v>0.15298428794409</v>
      </c>
      <c r="I1957">
        <v>0.175492089073365</v>
      </c>
      <c r="J1957">
        <v>0.14300823142761299</v>
      </c>
      <c r="K1957">
        <v>0.119478704780353</v>
      </c>
      <c r="L1957">
        <v>980.69804454492703</v>
      </c>
      <c r="M1957">
        <v>19.0698007367996</v>
      </c>
      <c r="N1957">
        <v>52.208743975517997</v>
      </c>
      <c r="O1957">
        <v>50.871251935407102</v>
      </c>
      <c r="P1957">
        <v>-8.2076969716225801E-2</v>
      </c>
      <c r="Q1957">
        <v>0.12422908012639799</v>
      </c>
      <c r="R1957">
        <v>0.99691548299781596</v>
      </c>
      <c r="S1957" t="s">
        <v>8574</v>
      </c>
      <c r="T1957" t="s">
        <v>13232</v>
      </c>
      <c r="U1957" t="s">
        <v>13232</v>
      </c>
      <c r="V1957" t="s">
        <v>13232</v>
      </c>
      <c r="W1957" t="s">
        <v>15139</v>
      </c>
      <c r="X1957">
        <v>2</v>
      </c>
      <c r="Y1957" t="s">
        <v>21643</v>
      </c>
      <c r="Z1957" t="s">
        <v>28088</v>
      </c>
      <c r="AA1957">
        <v>0.47104763937567501</v>
      </c>
      <c r="AB1957" t="str">
        <f>HYPERLINK("Melting_Curves/meltCurve_P17707_AMD1.pdf", "Melting_Curves/meltCurve_P17707_AMD1.pdf")</f>
        <v>Melting_Curves/meltCurve_P17707_AMD1.pdf</v>
      </c>
    </row>
    <row r="1958" spans="1:28" x14ac:dyDescent="0.25">
      <c r="A1958" t="s">
        <v>1962</v>
      </c>
      <c r="B1958">
        <v>0.99930955844802105</v>
      </c>
      <c r="C1958">
        <v>0.90554362584259895</v>
      </c>
      <c r="D1958">
        <v>0.78379161074751702</v>
      </c>
      <c r="E1958">
        <v>0.60583658892778802</v>
      </c>
      <c r="F1958">
        <v>0.31967151646340702</v>
      </c>
      <c r="G1958">
        <v>0.19003032299215999</v>
      </c>
      <c r="H1958">
        <v>0.100321108616622</v>
      </c>
      <c r="I1958">
        <v>7.7306831017932107E-2</v>
      </c>
      <c r="J1958">
        <v>6.9073918700495507E-2</v>
      </c>
      <c r="K1958">
        <v>5.2683872434454E-2</v>
      </c>
      <c r="L1958">
        <v>724.32797293703197</v>
      </c>
      <c r="M1958">
        <v>14.3450822651309</v>
      </c>
      <c r="N1958">
        <v>50.728927531907999</v>
      </c>
      <c r="O1958">
        <v>49.542264028416099</v>
      </c>
      <c r="P1958">
        <v>-7.0061745879399395E-2</v>
      </c>
      <c r="Q1958">
        <v>3.2253303057455801E-2</v>
      </c>
      <c r="R1958">
        <v>0.99504064954796201</v>
      </c>
      <c r="S1958" t="s">
        <v>8575</v>
      </c>
      <c r="T1958" t="s">
        <v>13232</v>
      </c>
      <c r="U1958" t="s">
        <v>13232</v>
      </c>
      <c r="V1958" t="s">
        <v>13232</v>
      </c>
      <c r="W1958" t="s">
        <v>15140</v>
      </c>
      <c r="X1958">
        <v>32</v>
      </c>
      <c r="Y1958" t="s">
        <v>21644</v>
      </c>
      <c r="Z1958" t="s">
        <v>28089</v>
      </c>
      <c r="AA1958">
        <v>0.39524661269376582</v>
      </c>
      <c r="AB1958" t="str">
        <f>HYPERLINK("Melting_Curves/meltCurve_P17812_CTPS1.pdf", "Melting_Curves/meltCurve_P17812_CTPS1.pdf")</f>
        <v>Melting_Curves/meltCurve_P17812_CTPS1.pdf</v>
      </c>
    </row>
    <row r="1959" spans="1:28" x14ac:dyDescent="0.25">
      <c r="A1959" t="s">
        <v>1963</v>
      </c>
      <c r="B1959">
        <v>0.99930955844802105</v>
      </c>
      <c r="C1959">
        <v>1.0743124857040101</v>
      </c>
      <c r="D1959">
        <v>0.96241631731627098</v>
      </c>
      <c r="E1959">
        <v>0.78210463891426696</v>
      </c>
      <c r="F1959">
        <v>0.22907742422456301</v>
      </c>
      <c r="G1959">
        <v>0.131062270085226</v>
      </c>
      <c r="H1959">
        <v>6.5666820082042901E-2</v>
      </c>
      <c r="I1959">
        <v>5.5391931018486398E-2</v>
      </c>
      <c r="J1959">
        <v>4.8773685189626402E-2</v>
      </c>
      <c r="K1959">
        <v>3.6468895899498303E-2</v>
      </c>
      <c r="L1959">
        <v>2317.8164947774399</v>
      </c>
      <c r="M1959">
        <v>45.199625736386601</v>
      </c>
      <c r="N1959">
        <v>51.434912862632501</v>
      </c>
      <c r="O1959">
        <v>51.1794869833872</v>
      </c>
      <c r="P1959">
        <v>-0.20670179418704701</v>
      </c>
      <c r="Q1959">
        <v>6.3808511324768502E-2</v>
      </c>
      <c r="R1959">
        <v>0.99401437557940897</v>
      </c>
      <c r="S1959" t="s">
        <v>8576</v>
      </c>
      <c r="T1959" t="s">
        <v>13232</v>
      </c>
      <c r="U1959" t="s">
        <v>13232</v>
      </c>
      <c r="V1959" t="s">
        <v>13232</v>
      </c>
      <c r="W1959" t="s">
        <v>15141</v>
      </c>
      <c r="X1959">
        <v>43</v>
      </c>
      <c r="Y1959" t="s">
        <v>21645</v>
      </c>
      <c r="Z1959" t="s">
        <v>28090</v>
      </c>
      <c r="AA1959">
        <v>0.41839674725932602</v>
      </c>
      <c r="AB1959" t="str">
        <f>HYPERLINK("Melting_Curves/meltCurve_P17844_DDX5.pdf", "Melting_Curves/meltCurve_P17844_DDX5.pdf")</f>
        <v>Melting_Curves/meltCurve_P17844_DDX5.pdf</v>
      </c>
    </row>
    <row r="1960" spans="1:28" x14ac:dyDescent="0.25">
      <c r="A1960" t="s">
        <v>1964</v>
      </c>
      <c r="B1960">
        <v>0.99930955844802105</v>
      </c>
      <c r="C1960">
        <v>0.36355052985799002</v>
      </c>
      <c r="D1960">
        <v>0.33864999889762798</v>
      </c>
      <c r="E1960">
        <v>0.43867669070058801</v>
      </c>
      <c r="F1960">
        <v>0.53365206364129103</v>
      </c>
      <c r="G1960">
        <v>0.43997926416064298</v>
      </c>
      <c r="H1960">
        <v>0.10771646312965601</v>
      </c>
      <c r="I1960">
        <v>4.9729033345587703E-2</v>
      </c>
      <c r="J1960">
        <v>3.3618579322207499E-2</v>
      </c>
      <c r="K1960">
        <v>2.8388952657735601E-2</v>
      </c>
      <c r="L1960">
        <v>299.07067645969602</v>
      </c>
      <c r="M1960">
        <v>6.4315712767445996</v>
      </c>
      <c r="N1960">
        <v>46.500406394826797</v>
      </c>
      <c r="O1960">
        <v>42.616127232164899</v>
      </c>
      <c r="P1960">
        <v>-3.7824888583189199E-2</v>
      </c>
      <c r="Q1960">
        <v>0</v>
      </c>
      <c r="R1960">
        <v>0.64329952842053195</v>
      </c>
      <c r="S1960" t="s">
        <v>8577</v>
      </c>
      <c r="T1960" t="s">
        <v>13232</v>
      </c>
      <c r="U1960" t="s">
        <v>13232</v>
      </c>
      <c r="V1960" t="s">
        <v>13232</v>
      </c>
      <c r="W1960" t="s">
        <v>15142</v>
      </c>
      <c r="X1960">
        <v>20</v>
      </c>
      <c r="Y1960" t="s">
        <v>21646</v>
      </c>
      <c r="Z1960" t="s">
        <v>28091</v>
      </c>
      <c r="AA1960">
        <v>0.32507212985608941</v>
      </c>
      <c r="AB1960" t="str">
        <f>HYPERLINK("Melting_Curves/meltCurve_P17858_PFKL.pdf", "Melting_Curves/meltCurve_P17858_PFKL.pdf")</f>
        <v>Melting_Curves/meltCurve_P17858_PFKL.pdf</v>
      </c>
    </row>
    <row r="1961" spans="1:28" x14ac:dyDescent="0.25">
      <c r="A1961" t="s">
        <v>1965</v>
      </c>
      <c r="B1961">
        <v>0.99930955844802105</v>
      </c>
      <c r="C1961">
        <v>0.92580032440596804</v>
      </c>
      <c r="D1961">
        <v>0.95470066636022899</v>
      </c>
      <c r="E1961">
        <v>0.65883572397217405</v>
      </c>
      <c r="F1961">
        <v>0.57900424616830604</v>
      </c>
      <c r="G1961">
        <v>0.34930578706516902</v>
      </c>
      <c r="H1961">
        <v>0.37123085478696399</v>
      </c>
      <c r="I1961">
        <v>0.34771838638687103</v>
      </c>
      <c r="J1961">
        <v>0.38179287912486098</v>
      </c>
      <c r="K1961">
        <v>0.284785630026479</v>
      </c>
      <c r="L1961">
        <v>945.546350764669</v>
      </c>
      <c r="M1961">
        <v>18.6931045854774</v>
      </c>
      <c r="N1961">
        <v>53.635834937355</v>
      </c>
      <c r="O1961">
        <v>50.014410876179099</v>
      </c>
      <c r="P1961">
        <v>-6.2841811339261894E-2</v>
      </c>
      <c r="Q1961">
        <v>0.32748194695236099</v>
      </c>
      <c r="R1961">
        <v>0.97727385467921601</v>
      </c>
      <c r="S1961" t="s">
        <v>8578</v>
      </c>
      <c r="T1961" t="s">
        <v>13232</v>
      </c>
      <c r="U1961" t="s">
        <v>13232</v>
      </c>
      <c r="V1961" t="s">
        <v>13232</v>
      </c>
      <c r="W1961" t="s">
        <v>15143</v>
      </c>
      <c r="X1961">
        <v>2</v>
      </c>
      <c r="Y1961" t="s">
        <v>21647</v>
      </c>
      <c r="Z1961" t="s">
        <v>28092</v>
      </c>
      <c r="AA1961">
        <v>0.5753314473607315</v>
      </c>
      <c r="AB1961" t="str">
        <f>HYPERLINK("Melting_Curves/meltCurve_P17861_XBP1.pdf", "Melting_Curves/meltCurve_P17861_XBP1.pdf")</f>
        <v>Melting_Curves/meltCurve_P17861_XBP1.pdf</v>
      </c>
    </row>
    <row r="1962" spans="1:28" x14ac:dyDescent="0.25">
      <c r="A1962" t="s">
        <v>1966</v>
      </c>
      <c r="B1962">
        <v>0.99930955844802105</v>
      </c>
      <c r="C1962">
        <v>1.1594466512152199</v>
      </c>
      <c r="D1962">
        <v>1.2228665555758</v>
      </c>
      <c r="E1962">
        <v>1.0817618206087201</v>
      </c>
      <c r="F1962">
        <v>0.93714587133739202</v>
      </c>
      <c r="G1962">
        <v>0.90019452083814699</v>
      </c>
      <c r="H1962">
        <v>0.86709697771571403</v>
      </c>
      <c r="I1962">
        <v>0.82678601517934802</v>
      </c>
      <c r="J1962">
        <v>0.64983756455286301</v>
      </c>
      <c r="K1962">
        <v>0.56458416302663195</v>
      </c>
      <c r="L1962">
        <v>849.45664022202595</v>
      </c>
      <c r="M1962">
        <v>12.160654330298801</v>
      </c>
      <c r="O1962">
        <v>68.0444457240567</v>
      </c>
      <c r="P1962">
        <v>-3.8866874592799201E-2</v>
      </c>
      <c r="Q1962">
        <v>0.13028726601211699</v>
      </c>
      <c r="R1962">
        <v>0.76966708572049203</v>
      </c>
      <c r="S1962" t="s">
        <v>8579</v>
      </c>
      <c r="T1962" t="s">
        <v>13232</v>
      </c>
      <c r="U1962" t="s">
        <v>13232</v>
      </c>
      <c r="V1962" t="s">
        <v>13232</v>
      </c>
      <c r="W1962" t="s">
        <v>15144</v>
      </c>
      <c r="X1962">
        <v>6</v>
      </c>
      <c r="Y1962" t="s">
        <v>21648</v>
      </c>
      <c r="Z1962" t="s">
        <v>28093</v>
      </c>
      <c r="AA1962">
        <v>0.90036935455653155</v>
      </c>
      <c r="AB1962" t="str">
        <f>HYPERLINK("Melting_Curves/meltCurve_P17900_GM2A.pdf", "Melting_Curves/meltCurve_P17900_GM2A.pdf")</f>
        <v>Melting_Curves/meltCurve_P17900_GM2A.pdf</v>
      </c>
    </row>
    <row r="1963" spans="1:28" x14ac:dyDescent="0.25">
      <c r="A1963" t="s">
        <v>1967</v>
      </c>
      <c r="B1963">
        <v>0.99930955844802105</v>
      </c>
      <c r="C1963">
        <v>0.86055024825557103</v>
      </c>
      <c r="D1963">
        <v>0.86484041349124596</v>
      </c>
      <c r="E1963">
        <v>0.73501687290093898</v>
      </c>
      <c r="F1963">
        <v>0.59964125927231304</v>
      </c>
      <c r="G1963">
        <v>0.32654029766831499</v>
      </c>
      <c r="H1963">
        <v>0.17858683461694799</v>
      </c>
      <c r="I1963">
        <v>0.23164630010050399</v>
      </c>
      <c r="J1963">
        <v>0.16004477107776</v>
      </c>
      <c r="K1963">
        <v>0.19771061382551899</v>
      </c>
      <c r="L1963">
        <v>680.54668431944594</v>
      </c>
      <c r="M1963">
        <v>12.903406238393099</v>
      </c>
      <c r="N1963">
        <v>53.878220335263102</v>
      </c>
      <c r="O1963">
        <v>51.523051549883803</v>
      </c>
      <c r="P1963">
        <v>-5.5159897765451001E-2</v>
      </c>
      <c r="Q1963">
        <v>0.119150562427058</v>
      </c>
      <c r="R1963">
        <v>0.97704003603646306</v>
      </c>
      <c r="S1963" t="s">
        <v>8580</v>
      </c>
      <c r="T1963" t="s">
        <v>13232</v>
      </c>
      <c r="U1963" t="s">
        <v>13232</v>
      </c>
      <c r="V1963" t="s">
        <v>13232</v>
      </c>
      <c r="W1963" t="s">
        <v>15145</v>
      </c>
      <c r="X1963">
        <v>3</v>
      </c>
      <c r="Y1963" t="s">
        <v>21649</v>
      </c>
      <c r="Z1963" t="s">
        <v>28094</v>
      </c>
      <c r="AA1963">
        <v>0.51670192147936378</v>
      </c>
      <c r="AB1963" t="str">
        <f>HYPERLINK("Melting_Curves/meltCurve_P17931_LGALS3.pdf", "Melting_Curves/meltCurve_P17931_LGALS3.pdf")</f>
        <v>Melting_Curves/meltCurve_P17931_LGALS3.pdf</v>
      </c>
    </row>
    <row r="1964" spans="1:28" x14ac:dyDescent="0.25">
      <c r="A1964" t="s">
        <v>1968</v>
      </c>
      <c r="B1964">
        <v>0.99930955844802105</v>
      </c>
      <c r="C1964">
        <v>0.468978306830166</v>
      </c>
      <c r="D1964">
        <v>0.54099307958794896</v>
      </c>
      <c r="E1964">
        <v>0.98716466761408805</v>
      </c>
      <c r="F1964">
        <v>1.26020997742555</v>
      </c>
      <c r="G1964">
        <v>0.37538018083402602</v>
      </c>
      <c r="H1964">
        <v>0.120224881311499</v>
      </c>
      <c r="I1964">
        <v>8.5112783505749398E-2</v>
      </c>
      <c r="J1964">
        <v>7.1901057489810294E-2</v>
      </c>
      <c r="K1964">
        <v>5.4480606482585701E-2</v>
      </c>
      <c r="L1964">
        <v>14206.745658154499</v>
      </c>
      <c r="M1964">
        <v>250</v>
      </c>
      <c r="N1964">
        <v>56.868243580100597</v>
      </c>
      <c r="O1964">
        <v>56.823347480299397</v>
      </c>
      <c r="P1964">
        <v>-1.00868551966055</v>
      </c>
      <c r="Q1964">
        <v>8.2929819110662106E-2</v>
      </c>
      <c r="R1964">
        <v>0.68390679332816995</v>
      </c>
      <c r="S1964" t="s">
        <v>8581</v>
      </c>
      <c r="T1964" t="s">
        <v>13232</v>
      </c>
      <c r="U1964" t="s">
        <v>13232</v>
      </c>
      <c r="V1964" t="s">
        <v>13232</v>
      </c>
      <c r="W1964" t="s">
        <v>15146</v>
      </c>
      <c r="X1964">
        <v>32</v>
      </c>
      <c r="Y1964" t="s">
        <v>21650</v>
      </c>
      <c r="Z1964" t="s">
        <v>28095</v>
      </c>
      <c r="AA1964">
        <v>0.59740541250813839</v>
      </c>
      <c r="AB1964" t="str">
        <f>HYPERLINK("Melting_Curves/meltCurve_P17987_TCP1.pdf", "Melting_Curves/meltCurve_P17987_TCP1.pdf")</f>
        <v>Melting_Curves/meltCurve_P17987_TCP1.pdf</v>
      </c>
    </row>
    <row r="1965" spans="1:28" x14ac:dyDescent="0.25">
      <c r="A1965" t="s">
        <v>1969</v>
      </c>
      <c r="B1965">
        <v>0.99930955844802105</v>
      </c>
      <c r="C1965">
        <v>1.0739972623063501</v>
      </c>
      <c r="D1965">
        <v>1.0317942168183301</v>
      </c>
      <c r="E1965">
        <v>0.63496440843162805</v>
      </c>
      <c r="F1965">
        <v>0.261001579213895</v>
      </c>
      <c r="G1965">
        <v>0.18337331519838901</v>
      </c>
      <c r="H1965">
        <v>0.111522105344543</v>
      </c>
      <c r="I1965">
        <v>8.7465483659598206E-2</v>
      </c>
      <c r="J1965">
        <v>7.9704668518294997E-2</v>
      </c>
      <c r="K1965">
        <v>5.9417237649196902E-2</v>
      </c>
      <c r="L1965">
        <v>1740.69799337892</v>
      </c>
      <c r="M1965">
        <v>34.3647131425138</v>
      </c>
      <c r="N1965">
        <v>50.980399339441298</v>
      </c>
      <c r="O1965">
        <v>50.483044785453501</v>
      </c>
      <c r="P1965">
        <v>-0.1533591261483</v>
      </c>
      <c r="Q1965">
        <v>9.8842477211344801E-2</v>
      </c>
      <c r="R1965">
        <v>0.99071176892929103</v>
      </c>
      <c r="S1965" t="s">
        <v>8582</v>
      </c>
      <c r="T1965" t="s">
        <v>13232</v>
      </c>
      <c r="U1965" t="s">
        <v>13232</v>
      </c>
      <c r="V1965" t="s">
        <v>13232</v>
      </c>
      <c r="W1965" t="s">
        <v>15147</v>
      </c>
      <c r="X1965">
        <v>21</v>
      </c>
      <c r="Y1965" t="s">
        <v>21651</v>
      </c>
      <c r="Z1965" t="s">
        <v>28096</v>
      </c>
      <c r="AA1965">
        <v>0.4231485482255663</v>
      </c>
      <c r="AB1965" t="str">
        <f>HYPERLINK("Melting_Curves/meltCurve_P18031_PTPN1.pdf", "Melting_Curves/meltCurve_P18031_PTPN1.pdf")</f>
        <v>Melting_Curves/meltCurve_P18031_PTPN1.pdf</v>
      </c>
    </row>
    <row r="1966" spans="1:28" x14ac:dyDescent="0.25">
      <c r="A1966" t="s">
        <v>1970</v>
      </c>
      <c r="B1966">
        <v>0.99930955844802105</v>
      </c>
      <c r="C1966">
        <v>1.62528440107754</v>
      </c>
      <c r="D1966">
        <v>1.1820971138879801</v>
      </c>
      <c r="E1966">
        <v>1.3576534153228601</v>
      </c>
      <c r="F1966">
        <v>1.2400298635351099</v>
      </c>
      <c r="G1966">
        <v>1.5065391827397101</v>
      </c>
      <c r="H1966">
        <v>1.8774312063363701</v>
      </c>
      <c r="I1966">
        <v>2.0501827276645699</v>
      </c>
      <c r="J1966">
        <v>2.0824128205267698</v>
      </c>
      <c r="K1966">
        <v>1.7612684826079399</v>
      </c>
      <c r="L1966">
        <v>667.62598333968504</v>
      </c>
      <c r="M1966">
        <v>15.963320396528699</v>
      </c>
      <c r="O1966">
        <v>41.182700509242103</v>
      </c>
      <c r="P1966">
        <v>4.8456594802848398E-2</v>
      </c>
      <c r="Q1966">
        <v>1.5</v>
      </c>
      <c r="R1966">
        <v>0.11780702301429601</v>
      </c>
      <c r="S1966" t="s">
        <v>8583</v>
      </c>
      <c r="T1966" t="s">
        <v>13232</v>
      </c>
      <c r="U1966" t="s">
        <v>13232</v>
      </c>
      <c r="V1966" t="s">
        <v>13232</v>
      </c>
      <c r="W1966" t="s">
        <v>15148</v>
      </c>
      <c r="X1966">
        <v>1</v>
      </c>
      <c r="Y1966" t="s">
        <v>21652</v>
      </c>
      <c r="Z1966" t="s">
        <v>28097</v>
      </c>
      <c r="AA1966">
        <v>1.446338246706947</v>
      </c>
      <c r="AB1966" t="str">
        <f>HYPERLINK("Melting_Curves/meltCurve_P18065_IGFBP2.pdf", "Melting_Curves/meltCurve_P18065_IGFBP2.pdf")</f>
        <v>Melting_Curves/meltCurve_P18065_IGFBP2.pdf</v>
      </c>
    </row>
    <row r="1967" spans="1:28" x14ac:dyDescent="0.25">
      <c r="A1967" t="s">
        <v>1971</v>
      </c>
      <c r="B1967">
        <v>0.99930955844802105</v>
      </c>
      <c r="C1967">
        <v>1.1726731872218501</v>
      </c>
      <c r="D1967">
        <v>1.08230165760025</v>
      </c>
      <c r="E1967">
        <v>0.81363216857587095</v>
      </c>
      <c r="F1967">
        <v>0.32635332030188002</v>
      </c>
      <c r="G1967">
        <v>0.170373269433859</v>
      </c>
      <c r="H1967">
        <v>9.8148513963532205E-2</v>
      </c>
      <c r="I1967">
        <v>7.5604477358061195E-2</v>
      </c>
      <c r="J1967">
        <v>6.0038548925259103E-2</v>
      </c>
      <c r="K1967">
        <v>4.1260503362657602E-2</v>
      </c>
      <c r="L1967">
        <v>2041.6646338230601</v>
      </c>
      <c r="M1967">
        <v>39.469675679762197</v>
      </c>
      <c r="N1967">
        <v>51.963098980340597</v>
      </c>
      <c r="O1967">
        <v>51.595172444665899</v>
      </c>
      <c r="P1967">
        <v>-0.17557421794329001</v>
      </c>
      <c r="Q1967">
        <v>8.1952201055107504E-2</v>
      </c>
      <c r="R1967">
        <v>0.97792805825088602</v>
      </c>
      <c r="S1967" t="s">
        <v>8584</v>
      </c>
      <c r="T1967" t="s">
        <v>13232</v>
      </c>
      <c r="U1967" t="s">
        <v>13232</v>
      </c>
      <c r="V1967" t="s">
        <v>13232</v>
      </c>
      <c r="W1967" t="s">
        <v>15149</v>
      </c>
      <c r="X1967">
        <v>10</v>
      </c>
      <c r="Y1967" t="s">
        <v>21653</v>
      </c>
      <c r="Z1967" t="s">
        <v>28098</v>
      </c>
      <c r="AA1967">
        <v>0.44420072668912219</v>
      </c>
      <c r="AB1967" t="str">
        <f>HYPERLINK("Melting_Curves/meltCurve_P18085_ARF4.pdf", "Melting_Curves/meltCurve_P18085_ARF4.pdf")</f>
        <v>Melting_Curves/meltCurve_P18085_ARF4.pdf</v>
      </c>
    </row>
    <row r="1968" spans="1:28" x14ac:dyDescent="0.25">
      <c r="A1968" t="s">
        <v>1972</v>
      </c>
      <c r="B1968">
        <v>0.99930955844802105</v>
      </c>
      <c r="C1968">
        <v>0.61856141049616897</v>
      </c>
      <c r="D1968">
        <v>0.46604618937485598</v>
      </c>
      <c r="E1968">
        <v>0.46181176632168103</v>
      </c>
      <c r="F1968">
        <v>0.36127758922415898</v>
      </c>
      <c r="G1968">
        <v>0.198718826491837</v>
      </c>
      <c r="H1968">
        <v>9.3131248885233706E-2</v>
      </c>
      <c r="I1968">
        <v>7.82595963117374E-2</v>
      </c>
      <c r="J1968">
        <v>6.6690444461968507E-2</v>
      </c>
      <c r="K1968">
        <v>5.3905625745542599E-2</v>
      </c>
      <c r="L1968">
        <v>414.49157730859702</v>
      </c>
      <c r="M1968">
        <v>8.7128365603329101</v>
      </c>
      <c r="N1968">
        <v>47.572519095868998</v>
      </c>
      <c r="O1968">
        <v>45.265901571202399</v>
      </c>
      <c r="P1968">
        <v>-4.8159834822265102E-2</v>
      </c>
      <c r="Q1968">
        <v>0</v>
      </c>
      <c r="R1968">
        <v>0.93066564978562105</v>
      </c>
      <c r="S1968" t="s">
        <v>8585</v>
      </c>
      <c r="T1968" t="s">
        <v>13232</v>
      </c>
      <c r="U1968" t="s">
        <v>13232</v>
      </c>
      <c r="V1968" t="s">
        <v>13232</v>
      </c>
      <c r="W1968" t="s">
        <v>15150</v>
      </c>
      <c r="X1968">
        <v>6</v>
      </c>
      <c r="Y1968" t="s">
        <v>21654</v>
      </c>
      <c r="Z1968" t="s">
        <v>28099</v>
      </c>
      <c r="AA1968">
        <v>0.31974844134466529</v>
      </c>
      <c r="AB1968" t="str">
        <f>HYPERLINK("Melting_Curves/meltCurve_P18124_RPL7.pdf", "Melting_Curves/meltCurve_P18124_RPL7.pdf")</f>
        <v>Melting_Curves/meltCurve_P18124_RPL7.pdf</v>
      </c>
    </row>
    <row r="1969" spans="1:28" x14ac:dyDescent="0.25">
      <c r="A1969" t="s">
        <v>1973</v>
      </c>
      <c r="B1969">
        <v>0.99930955844802105</v>
      </c>
      <c r="C1969">
        <v>1.04501696494597</v>
      </c>
      <c r="D1969">
        <v>1.00592295030585</v>
      </c>
      <c r="E1969">
        <v>0.91266045637665805</v>
      </c>
      <c r="F1969">
        <v>0.65192907966001501</v>
      </c>
      <c r="G1969">
        <v>0.52107206406300299</v>
      </c>
      <c r="H1969">
        <v>0.42002374687397198</v>
      </c>
      <c r="I1969">
        <v>0.42442163111095199</v>
      </c>
      <c r="J1969">
        <v>0.359823548707009</v>
      </c>
      <c r="K1969">
        <v>0.32747665027429901</v>
      </c>
      <c r="L1969">
        <v>1159.87989726059</v>
      </c>
      <c r="M1969">
        <v>21.77175052246</v>
      </c>
      <c r="N1969">
        <v>56.757439053543898</v>
      </c>
      <c r="O1969">
        <v>52.831192263205203</v>
      </c>
      <c r="P1969">
        <v>-6.5056219343558305E-2</v>
      </c>
      <c r="Q1969">
        <v>0.36855464763611501</v>
      </c>
      <c r="R1969">
        <v>0.98508525260671798</v>
      </c>
      <c r="S1969" t="s">
        <v>8586</v>
      </c>
      <c r="T1969" t="s">
        <v>13232</v>
      </c>
      <c r="U1969" t="s">
        <v>13232</v>
      </c>
      <c r="V1969" t="s">
        <v>13232</v>
      </c>
      <c r="W1969" t="s">
        <v>15151</v>
      </c>
      <c r="X1969">
        <v>2</v>
      </c>
      <c r="Y1969" t="s">
        <v>21655</v>
      </c>
      <c r="Z1969" t="s">
        <v>28100</v>
      </c>
      <c r="AA1969">
        <v>0.65544417118757281</v>
      </c>
      <c r="AB1969" t="str">
        <f>HYPERLINK("Melting_Curves/meltCurve_P18146_EGR1.pdf", "Melting_Curves/meltCurve_P18146_EGR1.pdf")</f>
        <v>Melting_Curves/meltCurve_P18146_EGR1.pdf</v>
      </c>
    </row>
    <row r="1970" spans="1:28" x14ac:dyDescent="0.25">
      <c r="A1970" t="s">
        <v>1974</v>
      </c>
      <c r="B1970">
        <v>0.99930955844802105</v>
      </c>
      <c r="C1970">
        <v>1.0810239633312</v>
      </c>
      <c r="D1970">
        <v>1.0543180489394299</v>
      </c>
      <c r="E1970">
        <v>1.03565169526066</v>
      </c>
      <c r="F1970">
        <v>1.06344262944121</v>
      </c>
      <c r="G1970">
        <v>0.87667772534528199</v>
      </c>
      <c r="H1970">
        <v>0.76992303806208495</v>
      </c>
      <c r="I1970">
        <v>0.70964501656267498</v>
      </c>
      <c r="J1970">
        <v>0.39372733441932001</v>
      </c>
      <c r="K1970">
        <v>8.5397455790114304E-2</v>
      </c>
      <c r="L1970">
        <v>1568.2673957028601</v>
      </c>
      <c r="M1970">
        <v>23.966486379536999</v>
      </c>
      <c r="N1970">
        <v>65.435849259424103</v>
      </c>
      <c r="O1970">
        <v>64.985380896607197</v>
      </c>
      <c r="P1970">
        <v>-9.2200995598742896E-2</v>
      </c>
      <c r="Q1970">
        <v>0</v>
      </c>
      <c r="R1970">
        <v>0.95416819259224495</v>
      </c>
      <c r="S1970" t="s">
        <v>8587</v>
      </c>
      <c r="T1970" t="s">
        <v>13232</v>
      </c>
      <c r="U1970" t="s">
        <v>13232</v>
      </c>
      <c r="V1970" t="s">
        <v>13232</v>
      </c>
      <c r="W1970" t="s">
        <v>15152</v>
      </c>
      <c r="X1970">
        <v>107</v>
      </c>
      <c r="Y1970" t="s">
        <v>21656</v>
      </c>
      <c r="Z1970" t="s">
        <v>28101</v>
      </c>
      <c r="AA1970">
        <v>0.83868700424209974</v>
      </c>
      <c r="AB1970" t="str">
        <f>HYPERLINK("Melting_Curves/meltCurve_P18206_2_VCL.pdf", "Melting_Curves/meltCurve_P18206_2_VCL.pdf")</f>
        <v>Melting_Curves/meltCurve_P18206_2_VCL.pdf</v>
      </c>
    </row>
    <row r="1971" spans="1:28" x14ac:dyDescent="0.25">
      <c r="A1971" t="s">
        <v>1975</v>
      </c>
      <c r="B1971">
        <v>0.99930955844802105</v>
      </c>
      <c r="C1971">
        <v>0.69019898582128103</v>
      </c>
      <c r="D1971">
        <v>0.61221820332974297</v>
      </c>
      <c r="E1971">
        <v>0.44525023117832901</v>
      </c>
      <c r="F1971">
        <v>0.31617907955568803</v>
      </c>
      <c r="G1971">
        <v>0.215125363932131</v>
      </c>
      <c r="H1971">
        <v>0.119035582488069</v>
      </c>
      <c r="I1971">
        <v>0.119163474652926</v>
      </c>
      <c r="J1971">
        <v>9.32045082143938E-2</v>
      </c>
      <c r="K1971">
        <v>8.2160725104702098E-2</v>
      </c>
      <c r="L1971">
        <v>491.10275157505799</v>
      </c>
      <c r="M1971">
        <v>10.2502615956522</v>
      </c>
      <c r="N1971">
        <v>48.375921390235597</v>
      </c>
      <c r="O1971">
        <v>46.195117742836999</v>
      </c>
      <c r="P1971">
        <v>-5.28952905147307E-2</v>
      </c>
      <c r="Q1971">
        <v>4.6883489112382201E-2</v>
      </c>
      <c r="R1971">
        <v>0.97547417354171895</v>
      </c>
      <c r="S1971" t="s">
        <v>8588</v>
      </c>
      <c r="T1971" t="s">
        <v>13232</v>
      </c>
      <c r="U1971" t="s">
        <v>13232</v>
      </c>
      <c r="V1971" t="s">
        <v>13232</v>
      </c>
      <c r="W1971" t="s">
        <v>15153</v>
      </c>
      <c r="X1971">
        <v>2</v>
      </c>
      <c r="Y1971" t="s">
        <v>21657</v>
      </c>
      <c r="Z1971" t="s">
        <v>28102</v>
      </c>
      <c r="AA1971">
        <v>0.34713297062570497</v>
      </c>
      <c r="AB1971" t="str">
        <f>HYPERLINK("Melting_Curves/meltCurve_P18440_NAT1.pdf", "Melting_Curves/meltCurve_P18440_NAT1.pdf")</f>
        <v>Melting_Curves/meltCurve_P18440_NAT1.pdf</v>
      </c>
    </row>
    <row r="1972" spans="1:28" x14ac:dyDescent="0.25">
      <c r="A1972" t="s">
        <v>1976</v>
      </c>
      <c r="B1972">
        <v>0.99930955844802105</v>
      </c>
      <c r="C1972">
        <v>1.0249326390767299</v>
      </c>
      <c r="D1972">
        <v>0.99887911184037304</v>
      </c>
      <c r="E1972">
        <v>0.96147084703568197</v>
      </c>
      <c r="F1972">
        <v>0.84883417220510404</v>
      </c>
      <c r="G1972">
        <v>0.68852165473193405</v>
      </c>
      <c r="H1972">
        <v>0.65396873693010005</v>
      </c>
      <c r="I1972">
        <v>0.65775004350031596</v>
      </c>
      <c r="J1972">
        <v>0.65736708543761702</v>
      </c>
      <c r="K1972">
        <v>0.55046539915427894</v>
      </c>
      <c r="L1972">
        <v>1337.6343759732499</v>
      </c>
      <c r="M1972">
        <v>24.793110781022001</v>
      </c>
      <c r="O1972">
        <v>53.604545936873301</v>
      </c>
      <c r="P1972">
        <v>-4.4015329052160601E-2</v>
      </c>
      <c r="Q1972">
        <v>0.61934770160641395</v>
      </c>
      <c r="R1972">
        <v>0.972317240683786</v>
      </c>
      <c r="S1972" t="s">
        <v>8589</v>
      </c>
      <c r="T1972" t="s">
        <v>13232</v>
      </c>
      <c r="U1972" t="s">
        <v>13232</v>
      </c>
      <c r="V1972" t="s">
        <v>13232</v>
      </c>
      <c r="W1972" t="s">
        <v>15154</v>
      </c>
      <c r="X1972">
        <v>31</v>
      </c>
      <c r="Y1972" t="s">
        <v>21658</v>
      </c>
      <c r="Z1972" t="s">
        <v>28103</v>
      </c>
      <c r="AA1972">
        <v>0.79995025457686131</v>
      </c>
      <c r="AB1972" t="str">
        <f>HYPERLINK("Melting_Curves/meltCurve_P18583_7_SON.pdf", "Melting_Curves/meltCurve_P18583_7_SON.pdf")</f>
        <v>Melting_Curves/meltCurve_P18583_7_SON.pdf</v>
      </c>
    </row>
    <row r="1973" spans="1:28" x14ac:dyDescent="0.25">
      <c r="A1973" t="s">
        <v>1977</v>
      </c>
      <c r="B1973">
        <v>0.99930955844802105</v>
      </c>
      <c r="C1973">
        <v>1.07343939580578</v>
      </c>
      <c r="D1973">
        <v>1.07340607954361</v>
      </c>
      <c r="E1973">
        <v>1.00148801153055</v>
      </c>
      <c r="F1973">
        <v>0.88834161232836795</v>
      </c>
      <c r="G1973">
        <v>0.75929579808643599</v>
      </c>
      <c r="H1973">
        <v>0.75299637214449699</v>
      </c>
      <c r="I1973">
        <v>0.80749424056519503</v>
      </c>
      <c r="J1973">
        <v>0.82718064560354398</v>
      </c>
      <c r="K1973">
        <v>0.67257910939466004</v>
      </c>
      <c r="L1973">
        <v>13255.7408731183</v>
      </c>
      <c r="M1973">
        <v>250</v>
      </c>
      <c r="O1973">
        <v>53.019570431480901</v>
      </c>
      <c r="P1973">
        <v>-0.27830615977849799</v>
      </c>
      <c r="Q1973">
        <v>0.76390923189218796</v>
      </c>
      <c r="R1973">
        <v>0.86420826293800901</v>
      </c>
      <c r="S1973" t="s">
        <v>8590</v>
      </c>
      <c r="T1973" t="s">
        <v>13232</v>
      </c>
      <c r="U1973" t="s">
        <v>13232</v>
      </c>
      <c r="V1973" t="s">
        <v>13232</v>
      </c>
      <c r="W1973" t="s">
        <v>15155</v>
      </c>
      <c r="X1973">
        <v>23</v>
      </c>
      <c r="Y1973" t="s">
        <v>21659</v>
      </c>
      <c r="Z1973" t="s">
        <v>28104</v>
      </c>
      <c r="AA1973">
        <v>0.86641791632743381</v>
      </c>
      <c r="AB1973" t="str">
        <f>HYPERLINK("Melting_Curves/meltCurve_P18615_NELFE.pdf", "Melting_Curves/meltCurve_P18615_NELFE.pdf")</f>
        <v>Melting_Curves/meltCurve_P18615_NELFE.pdf</v>
      </c>
    </row>
    <row r="1974" spans="1:28" x14ac:dyDescent="0.25">
      <c r="A1974" t="s">
        <v>1978</v>
      </c>
      <c r="B1974">
        <v>0.99930955844802105</v>
      </c>
      <c r="C1974">
        <v>0.98417588956110302</v>
      </c>
      <c r="D1974">
        <v>0.98529580725688604</v>
      </c>
      <c r="E1974">
        <v>0.90606776399831002</v>
      </c>
      <c r="F1974">
        <v>0.84484628289110497</v>
      </c>
      <c r="G1974">
        <v>0.77179316282252297</v>
      </c>
      <c r="H1974">
        <v>0.61687289995214301</v>
      </c>
      <c r="I1974">
        <v>0.25031258423200903</v>
      </c>
      <c r="J1974">
        <v>8.8619777647233194E-2</v>
      </c>
      <c r="K1974">
        <v>7.1947247462863101E-2</v>
      </c>
      <c r="L1974">
        <v>1161.16497162466</v>
      </c>
      <c r="M1974">
        <v>19.021673257134399</v>
      </c>
      <c r="N1974">
        <v>61.0443157386769</v>
      </c>
      <c r="O1974">
        <v>60.381622181831403</v>
      </c>
      <c r="P1974">
        <v>-7.8759158830384604E-2</v>
      </c>
      <c r="Q1974">
        <v>0</v>
      </c>
      <c r="R1974">
        <v>0.97101413481897902</v>
      </c>
      <c r="S1974" t="s">
        <v>8591</v>
      </c>
      <c r="T1974" t="s">
        <v>13232</v>
      </c>
      <c r="U1974" t="s">
        <v>13232</v>
      </c>
      <c r="V1974" t="s">
        <v>13232</v>
      </c>
      <c r="W1974" t="s">
        <v>15156</v>
      </c>
      <c r="X1974">
        <v>19</v>
      </c>
      <c r="Y1974" t="s">
        <v>21660</v>
      </c>
      <c r="Z1974" t="s">
        <v>28105</v>
      </c>
      <c r="AA1974">
        <v>0.70711380632178755</v>
      </c>
      <c r="AB1974" t="str">
        <f>HYPERLINK("Melting_Curves/meltCurve_P18669_PGAM1.pdf", "Melting_Curves/meltCurve_P18669_PGAM1.pdf")</f>
        <v>Melting_Curves/meltCurve_P18669_PGAM1.pdf</v>
      </c>
    </row>
    <row r="1975" spans="1:28" x14ac:dyDescent="0.25">
      <c r="A1975" t="s">
        <v>1979</v>
      </c>
      <c r="B1975">
        <v>0.99930955844802105</v>
      </c>
      <c r="C1975">
        <v>0.90530971362911705</v>
      </c>
      <c r="D1975">
        <v>0.37477076801541898</v>
      </c>
      <c r="E1975">
        <v>0.232162090165032</v>
      </c>
      <c r="F1975">
        <v>0.15305274245755199</v>
      </c>
      <c r="G1975">
        <v>0.11743158332850499</v>
      </c>
      <c r="H1975">
        <v>7.2676622553227002E-2</v>
      </c>
      <c r="I1975">
        <v>6.5830521841432801E-2</v>
      </c>
      <c r="J1975">
        <v>5.9972759187469402E-2</v>
      </c>
      <c r="K1975">
        <v>5.0818441648991901E-2</v>
      </c>
      <c r="L1975">
        <v>1556.2434666860399</v>
      </c>
      <c r="M1975">
        <v>34.475531666842997</v>
      </c>
      <c r="N1975">
        <v>45.431561126005597</v>
      </c>
      <c r="O1975">
        <v>44.989459258402803</v>
      </c>
      <c r="P1975">
        <v>-0.17259435408878601</v>
      </c>
      <c r="Q1975">
        <v>9.9083222069499904E-2</v>
      </c>
      <c r="R1975">
        <v>0.98147386350114996</v>
      </c>
      <c r="S1975" t="s">
        <v>8592</v>
      </c>
      <c r="T1975" t="s">
        <v>13232</v>
      </c>
      <c r="U1975" t="s">
        <v>13232</v>
      </c>
      <c r="V1975" t="s">
        <v>13232</v>
      </c>
      <c r="W1975" t="s">
        <v>15157</v>
      </c>
      <c r="X1975">
        <v>16</v>
      </c>
      <c r="Y1975" t="s">
        <v>20021</v>
      </c>
      <c r="Z1975" t="s">
        <v>28106</v>
      </c>
      <c r="AA1975">
        <v>0.25760043629629897</v>
      </c>
      <c r="AB1975" t="str">
        <f>HYPERLINK("Melting_Curves/meltCurve_P18754_RCC1.pdf", "Melting_Curves/meltCurve_P18754_RCC1.pdf")</f>
        <v>Melting_Curves/meltCurve_P18754_RCC1.pdf</v>
      </c>
    </row>
    <row r="1976" spans="1:28" x14ac:dyDescent="0.25">
      <c r="A1976" t="s">
        <v>1980</v>
      </c>
      <c r="B1976">
        <v>0.99930955844802105</v>
      </c>
      <c r="C1976">
        <v>0.97365342182773895</v>
      </c>
      <c r="D1976">
        <v>0.91305564448637599</v>
      </c>
      <c r="E1976">
        <v>0.82771997966531297</v>
      </c>
      <c r="F1976">
        <v>0.77077857230675695</v>
      </c>
      <c r="G1976">
        <v>0.60534375147400199</v>
      </c>
      <c r="H1976">
        <v>0.414017504258401</v>
      </c>
      <c r="I1976">
        <v>0.45214278912661399</v>
      </c>
      <c r="J1976">
        <v>0.33787233778627401</v>
      </c>
      <c r="K1976">
        <v>0.36307428353808502</v>
      </c>
      <c r="L1976">
        <v>629.38737671313902</v>
      </c>
      <c r="M1976">
        <v>11.3062998802042</v>
      </c>
      <c r="N1976">
        <v>59.910211335634102</v>
      </c>
      <c r="O1976">
        <v>54.010802201108703</v>
      </c>
      <c r="P1976">
        <v>-3.7926488331389001E-2</v>
      </c>
      <c r="Q1976">
        <v>0.275512376808702</v>
      </c>
      <c r="R1976">
        <v>0.98577924605713196</v>
      </c>
      <c r="S1976" t="s">
        <v>8593</v>
      </c>
      <c r="T1976" t="s">
        <v>13232</v>
      </c>
      <c r="U1976" t="s">
        <v>13232</v>
      </c>
      <c r="V1976" t="s">
        <v>13232</v>
      </c>
      <c r="W1976" t="s">
        <v>15158</v>
      </c>
      <c r="X1976">
        <v>2</v>
      </c>
      <c r="Y1976" t="s">
        <v>21661</v>
      </c>
      <c r="Z1976" t="s">
        <v>28107</v>
      </c>
      <c r="AA1976">
        <v>0.66982089438827697</v>
      </c>
      <c r="AB1976" t="str">
        <f>HYPERLINK("Melting_Curves/meltCurve_P18846_ATF1.pdf", "Melting_Curves/meltCurve_P18846_ATF1.pdf")</f>
        <v>Melting_Curves/meltCurve_P18846_ATF1.pdf</v>
      </c>
    </row>
    <row r="1977" spans="1:28" x14ac:dyDescent="0.25">
      <c r="A1977" t="s">
        <v>1981</v>
      </c>
      <c r="B1977">
        <v>0.99930955844802105</v>
      </c>
      <c r="C1977">
        <v>1.05871772421406</v>
      </c>
      <c r="D1977">
        <v>0.99319489455311205</v>
      </c>
      <c r="E1977">
        <v>0.95041809970739499</v>
      </c>
      <c r="F1977">
        <v>0.90343191368837406</v>
      </c>
      <c r="G1977">
        <v>0.80570283047129099</v>
      </c>
      <c r="H1977">
        <v>0.77987217208055504</v>
      </c>
      <c r="I1977">
        <v>0.87999106435555696</v>
      </c>
      <c r="J1977">
        <v>0.96298970648325599</v>
      </c>
      <c r="K1977">
        <v>0.67873942542041199</v>
      </c>
      <c r="L1977">
        <v>1652.26278214533</v>
      </c>
      <c r="M1977">
        <v>31.697036407416299</v>
      </c>
      <c r="O1977">
        <v>51.920563581436298</v>
      </c>
      <c r="P1977">
        <v>-2.7383623162888299E-2</v>
      </c>
      <c r="Q1977">
        <v>0.82058061501138402</v>
      </c>
      <c r="R1977">
        <v>0.59137932045165797</v>
      </c>
      <c r="S1977" t="s">
        <v>8594</v>
      </c>
      <c r="T1977" t="s">
        <v>13232</v>
      </c>
      <c r="U1977" t="s">
        <v>13232</v>
      </c>
      <c r="V1977" t="s">
        <v>13232</v>
      </c>
      <c r="W1977" t="s">
        <v>15159</v>
      </c>
      <c r="X1977">
        <v>3</v>
      </c>
      <c r="Y1977" t="s">
        <v>21662</v>
      </c>
      <c r="Z1977" t="s">
        <v>28108</v>
      </c>
      <c r="AA1977">
        <v>0.89413602720615726</v>
      </c>
      <c r="AB1977" t="str">
        <f>HYPERLINK("Melting_Curves/meltCurve_P18850_ATF6.pdf", "Melting_Curves/meltCurve_P18850_ATF6.pdf")</f>
        <v>Melting_Curves/meltCurve_P18850_ATF6.pdf</v>
      </c>
    </row>
    <row r="1978" spans="1:28" x14ac:dyDescent="0.25">
      <c r="A1978" t="s">
        <v>1982</v>
      </c>
      <c r="B1978">
        <v>0.99930955844802105</v>
      </c>
      <c r="C1978">
        <v>0.87523860715586599</v>
      </c>
      <c r="D1978">
        <v>0.75327301522911805</v>
      </c>
      <c r="E1978">
        <v>0.76721369933355699</v>
      </c>
      <c r="F1978">
        <v>0.58949785457453596</v>
      </c>
      <c r="G1978">
        <v>0.427993283191894</v>
      </c>
      <c r="H1978">
        <v>0.46345406961737201</v>
      </c>
      <c r="I1978">
        <v>0.532809453615808</v>
      </c>
      <c r="J1978">
        <v>0.54387837608074097</v>
      </c>
      <c r="K1978">
        <v>0.45890002393516299</v>
      </c>
      <c r="L1978">
        <v>607.04481447560897</v>
      </c>
      <c r="M1978">
        <v>12.652917663437</v>
      </c>
      <c r="N1978">
        <v>61.176504427242499</v>
      </c>
      <c r="O1978">
        <v>46.825609444411803</v>
      </c>
      <c r="P1978">
        <v>-3.59864927585569E-2</v>
      </c>
      <c r="Q1978">
        <v>0.46739279368497799</v>
      </c>
      <c r="R1978">
        <v>0.90451144248035498</v>
      </c>
      <c r="S1978" t="s">
        <v>8595</v>
      </c>
      <c r="T1978" t="s">
        <v>13232</v>
      </c>
      <c r="U1978" t="s">
        <v>13232</v>
      </c>
      <c r="V1978" t="s">
        <v>13232</v>
      </c>
      <c r="W1978" t="s">
        <v>15160</v>
      </c>
      <c r="X1978">
        <v>3</v>
      </c>
      <c r="Y1978" t="s">
        <v>21663</v>
      </c>
      <c r="Z1978" t="s">
        <v>28109</v>
      </c>
      <c r="AA1978">
        <v>0.62798662070715183</v>
      </c>
      <c r="AB1978" t="str">
        <f>HYPERLINK("Melting_Curves/meltCurve_P18859_ATP5J.pdf", "Melting_Curves/meltCurve_P18859_ATP5J.pdf")</f>
        <v>Melting_Curves/meltCurve_P18859_ATP5J.pdf</v>
      </c>
    </row>
    <row r="1979" spans="1:28" x14ac:dyDescent="0.25">
      <c r="A1979" t="s">
        <v>1983</v>
      </c>
      <c r="B1979">
        <v>0.99930955844802105</v>
      </c>
      <c r="C1979">
        <v>1.1392309522923501</v>
      </c>
      <c r="D1979">
        <v>1.0367952958195601</v>
      </c>
      <c r="E1979">
        <v>0.91685575000562203</v>
      </c>
      <c r="F1979">
        <v>0.59837512711070096</v>
      </c>
      <c r="G1979">
        <v>0.44372155579615802</v>
      </c>
      <c r="H1979">
        <v>0.455256568883316</v>
      </c>
      <c r="I1979">
        <v>0.51810150668198596</v>
      </c>
      <c r="J1979">
        <v>0.51834712043199105</v>
      </c>
      <c r="K1979">
        <v>0.39636943865462698</v>
      </c>
      <c r="L1979">
        <v>2565.2901173713399</v>
      </c>
      <c r="M1979">
        <v>49.551462632301501</v>
      </c>
      <c r="N1979">
        <v>54.731123218506902</v>
      </c>
      <c r="O1979">
        <v>51.686112578301497</v>
      </c>
      <c r="P1979">
        <v>-0.12804838686707701</v>
      </c>
      <c r="Q1979">
        <v>0.46574193725510699</v>
      </c>
      <c r="R1979">
        <v>0.95651018431729296</v>
      </c>
      <c r="S1979" t="s">
        <v>8596</v>
      </c>
      <c r="T1979" t="s">
        <v>13232</v>
      </c>
      <c r="U1979" t="s">
        <v>13232</v>
      </c>
      <c r="V1979" t="s">
        <v>13232</v>
      </c>
      <c r="W1979" t="s">
        <v>15161</v>
      </c>
      <c r="X1979">
        <v>21</v>
      </c>
      <c r="Y1979" t="s">
        <v>21664</v>
      </c>
      <c r="Z1979" t="s">
        <v>28110</v>
      </c>
      <c r="AA1979">
        <v>0.67659536608598936</v>
      </c>
      <c r="AB1979" t="str">
        <f>HYPERLINK("Melting_Curves/meltCurve_P18887_XRCC1.pdf", "Melting_Curves/meltCurve_P18887_XRCC1.pdf")</f>
        <v>Melting_Curves/meltCurve_P18887_XRCC1.pdf</v>
      </c>
    </row>
    <row r="1980" spans="1:28" x14ac:dyDescent="0.25">
      <c r="A1980" t="s">
        <v>1984</v>
      </c>
      <c r="B1980">
        <v>0.99930955844802105</v>
      </c>
      <c r="C1980">
        <v>0.71928957192156096</v>
      </c>
      <c r="D1980">
        <v>0.75464974712224697</v>
      </c>
      <c r="E1980">
        <v>0.81343566350878205</v>
      </c>
      <c r="F1980">
        <v>0.42043218442067598</v>
      </c>
      <c r="G1980">
        <v>0.245902383725778</v>
      </c>
      <c r="H1980">
        <v>0.15287484969843501</v>
      </c>
      <c r="I1980">
        <v>0.13278471423524099</v>
      </c>
      <c r="J1980">
        <v>0.121671995546985</v>
      </c>
      <c r="K1980">
        <v>0.10956502229263</v>
      </c>
      <c r="L1980">
        <v>510.08718679561002</v>
      </c>
      <c r="M1980">
        <v>9.7627371930834101</v>
      </c>
      <c r="N1980">
        <v>52.248373690344202</v>
      </c>
      <c r="O1980">
        <v>50.197625665270301</v>
      </c>
      <c r="P1980">
        <v>-4.8647434426307201E-2</v>
      </c>
      <c r="Q1980">
        <v>0</v>
      </c>
      <c r="R1980">
        <v>0.91913262675976504</v>
      </c>
      <c r="S1980" t="s">
        <v>8597</v>
      </c>
      <c r="T1980" t="s">
        <v>13232</v>
      </c>
      <c r="U1980" t="s">
        <v>13232</v>
      </c>
      <c r="V1980" t="s">
        <v>13232</v>
      </c>
      <c r="W1980" t="s">
        <v>15162</v>
      </c>
      <c r="X1980">
        <v>10</v>
      </c>
      <c r="Y1980" t="s">
        <v>21665</v>
      </c>
      <c r="Z1980" t="s">
        <v>28111</v>
      </c>
      <c r="AA1980">
        <v>0.44625495085043287</v>
      </c>
      <c r="AB1980" t="str">
        <f>HYPERLINK("Melting_Curves/meltCurve_P19105_MYL12A.pdf", "Melting_Curves/meltCurve_P19105_MYL12A.pdf")</f>
        <v>Melting_Curves/meltCurve_P19105_MYL12A.pdf</v>
      </c>
    </row>
    <row r="1981" spans="1:28" x14ac:dyDescent="0.25">
      <c r="A1981" t="s">
        <v>1985</v>
      </c>
      <c r="B1981">
        <v>0.99930955844802105</v>
      </c>
      <c r="C1981">
        <v>1.0945228700578</v>
      </c>
      <c r="D1981">
        <v>1.00174061136499</v>
      </c>
      <c r="E1981">
        <v>0.48255859205379997</v>
      </c>
      <c r="F1981">
        <v>0.24317027661732701</v>
      </c>
      <c r="G1981">
        <v>0.168994533698787</v>
      </c>
      <c r="H1981">
        <v>0.107879552434844</v>
      </c>
      <c r="I1981">
        <v>0.10368806970036901</v>
      </c>
      <c r="J1981">
        <v>9.7174337003221201E-2</v>
      </c>
      <c r="K1981">
        <v>7.0210904509993705E-2</v>
      </c>
      <c r="L1981">
        <v>1768.5945599730901</v>
      </c>
      <c r="M1981">
        <v>35.574730979590797</v>
      </c>
      <c r="N1981">
        <v>50.073331053712899</v>
      </c>
      <c r="O1981">
        <v>49.558603477475103</v>
      </c>
      <c r="P1981">
        <v>-0.159286909456406</v>
      </c>
      <c r="Q1981">
        <v>0.112402521250969</v>
      </c>
      <c r="R1981">
        <v>0.98849220292525497</v>
      </c>
      <c r="S1981" t="s">
        <v>8598</v>
      </c>
      <c r="T1981" t="s">
        <v>13232</v>
      </c>
      <c r="U1981" t="s">
        <v>13232</v>
      </c>
      <c r="V1981" t="s">
        <v>13232</v>
      </c>
      <c r="W1981" t="s">
        <v>15163</v>
      </c>
      <c r="X1981">
        <v>22</v>
      </c>
      <c r="Y1981" t="s">
        <v>21666</v>
      </c>
      <c r="Z1981" t="s">
        <v>28112</v>
      </c>
      <c r="AA1981">
        <v>0.40370153524909602</v>
      </c>
      <c r="AB1981" t="str">
        <f>HYPERLINK("Melting_Curves/meltCurve_P19174_2_PLCG1.pdf", "Melting_Curves/meltCurve_P19174_2_PLCG1.pdf")</f>
        <v>Melting_Curves/meltCurve_P19174_2_PLCG1.pdf</v>
      </c>
    </row>
    <row r="1982" spans="1:28" x14ac:dyDescent="0.25">
      <c r="A1982" t="s">
        <v>1986</v>
      </c>
      <c r="B1982">
        <v>0.99930955844802105</v>
      </c>
      <c r="C1982">
        <v>0.958754554380158</v>
      </c>
      <c r="D1982">
        <v>0.99573852764576898</v>
      </c>
      <c r="E1982">
        <v>0.96042557030815101</v>
      </c>
      <c r="F1982">
        <v>0.81509637079249997</v>
      </c>
      <c r="G1982">
        <v>0.55764474003550102</v>
      </c>
      <c r="H1982">
        <v>0.33505536228709798</v>
      </c>
      <c r="I1982">
        <v>0.34180410265231098</v>
      </c>
      <c r="J1982">
        <v>0.36249065361954702</v>
      </c>
      <c r="K1982">
        <v>0.30998366992378901</v>
      </c>
      <c r="L1982">
        <v>1399.7113369080801</v>
      </c>
      <c r="M1982">
        <v>25.3247667385338</v>
      </c>
      <c r="N1982">
        <v>57.5783511037286</v>
      </c>
      <c r="O1982">
        <v>54.929288735381903</v>
      </c>
      <c r="P1982">
        <v>-7.8515112977057003E-2</v>
      </c>
      <c r="Q1982">
        <v>0.31881333544152102</v>
      </c>
      <c r="R1982">
        <v>0.99356771138679201</v>
      </c>
      <c r="S1982" t="s">
        <v>8599</v>
      </c>
      <c r="T1982" t="s">
        <v>13232</v>
      </c>
      <c r="U1982" t="s">
        <v>13232</v>
      </c>
      <c r="V1982" t="s">
        <v>13232</v>
      </c>
      <c r="W1982" t="s">
        <v>15164</v>
      </c>
      <c r="X1982">
        <v>50</v>
      </c>
      <c r="Y1982" t="s">
        <v>21667</v>
      </c>
      <c r="Z1982" t="s">
        <v>28113</v>
      </c>
      <c r="AA1982">
        <v>0.67170255101860277</v>
      </c>
      <c r="AB1982" t="str">
        <f>HYPERLINK("Melting_Curves/meltCurve_P19338_NCL.pdf", "Melting_Curves/meltCurve_P19338_NCL.pdf")</f>
        <v>Melting_Curves/meltCurve_P19338_NCL.pdf</v>
      </c>
    </row>
    <row r="1983" spans="1:28" x14ac:dyDescent="0.25">
      <c r="A1983" t="s">
        <v>1987</v>
      </c>
      <c r="B1983">
        <v>0.99930955844802105</v>
      </c>
      <c r="C1983">
        <v>1.0265652712642099</v>
      </c>
      <c r="D1983">
        <v>0.79268758333879696</v>
      </c>
      <c r="E1983">
        <v>0.57201282035296397</v>
      </c>
      <c r="F1983">
        <v>0.164620200473129</v>
      </c>
      <c r="G1983">
        <v>0.112757987545446</v>
      </c>
      <c r="H1983">
        <v>6.5467496804943598E-2</v>
      </c>
      <c r="I1983">
        <v>5.50308046335155E-2</v>
      </c>
      <c r="J1983">
        <v>4.8561803904164903E-2</v>
      </c>
      <c r="K1983">
        <v>3.6555236581108097E-2</v>
      </c>
      <c r="L1983">
        <v>1107.54347135938</v>
      </c>
      <c r="M1983">
        <v>22.246601356654999</v>
      </c>
      <c r="N1983">
        <v>49.978928086487798</v>
      </c>
      <c r="O1983">
        <v>49.387802861745698</v>
      </c>
      <c r="P1983">
        <v>-0.107953906661249</v>
      </c>
      <c r="Q1983">
        <v>4.1383034548164097E-2</v>
      </c>
      <c r="R1983">
        <v>0.98723778727808897</v>
      </c>
      <c r="S1983" t="s">
        <v>8600</v>
      </c>
      <c r="T1983" t="s">
        <v>13232</v>
      </c>
      <c r="U1983" t="s">
        <v>13232</v>
      </c>
      <c r="V1983" t="s">
        <v>13232</v>
      </c>
      <c r="W1983" t="s">
        <v>15165</v>
      </c>
      <c r="X1983">
        <v>39</v>
      </c>
      <c r="Y1983" t="s">
        <v>21668</v>
      </c>
      <c r="Z1983" t="s">
        <v>28114</v>
      </c>
      <c r="AA1983">
        <v>0.36485896031565301</v>
      </c>
      <c r="AB1983" t="str">
        <f>HYPERLINK("Melting_Curves/meltCurve_P19367_2_HK1.pdf", "Melting_Curves/meltCurve_P19367_2_HK1.pdf")</f>
        <v>Melting_Curves/meltCurve_P19367_2_HK1.pdf</v>
      </c>
    </row>
    <row r="1984" spans="1:28" x14ac:dyDescent="0.25">
      <c r="A1984" t="s">
        <v>1988</v>
      </c>
      <c r="B1984">
        <v>0.99930955844802105</v>
      </c>
      <c r="C1984">
        <v>0.94247005779718795</v>
      </c>
      <c r="D1984">
        <v>0.96302368901573598</v>
      </c>
      <c r="E1984">
        <v>0.811125314731722</v>
      </c>
      <c r="F1984">
        <v>0.58891176572591597</v>
      </c>
      <c r="G1984">
        <v>0.43038196112942001</v>
      </c>
      <c r="H1984">
        <v>0.30012497979830899</v>
      </c>
      <c r="I1984">
        <v>0.25560741652034702</v>
      </c>
      <c r="J1984">
        <v>0.242805582716975</v>
      </c>
      <c r="K1984">
        <v>0.16872949328365</v>
      </c>
      <c r="L1984">
        <v>795.25122145132104</v>
      </c>
      <c r="M1984">
        <v>14.8332676248036</v>
      </c>
      <c r="N1984">
        <v>55.258525562442202</v>
      </c>
      <c r="O1984">
        <v>52.666555862016899</v>
      </c>
      <c r="P1984">
        <v>-5.78446638696275E-2</v>
      </c>
      <c r="Q1984">
        <v>0.17856057849548501</v>
      </c>
      <c r="R1984">
        <v>0.99405363117401901</v>
      </c>
      <c r="S1984" t="s">
        <v>8601</v>
      </c>
      <c r="T1984" t="s">
        <v>13232</v>
      </c>
      <c r="U1984" t="s">
        <v>13232</v>
      </c>
      <c r="V1984" t="s">
        <v>13232</v>
      </c>
      <c r="W1984" t="s">
        <v>15166</v>
      </c>
      <c r="X1984">
        <v>39</v>
      </c>
      <c r="Y1984" t="s">
        <v>21668</v>
      </c>
      <c r="Z1984" t="s">
        <v>28115</v>
      </c>
      <c r="AA1984">
        <v>0.56873608180600888</v>
      </c>
      <c r="AB1984" t="str">
        <f>HYPERLINK("Melting_Curves/meltCurve_P19367_4_HK1.pdf", "Melting_Curves/meltCurve_P19367_4_HK1.pdf")</f>
        <v>Melting_Curves/meltCurve_P19367_4_HK1.pdf</v>
      </c>
    </row>
    <row r="1985" spans="1:28" x14ac:dyDescent="0.25">
      <c r="A1985" t="s">
        <v>1989</v>
      </c>
      <c r="B1985">
        <v>0.99930955844802105</v>
      </c>
      <c r="C1985">
        <v>0.56900221211930302</v>
      </c>
      <c r="D1985">
        <v>0.49054301244805298</v>
      </c>
      <c r="E1985">
        <v>0.381177826331275</v>
      </c>
      <c r="F1985">
        <v>0.235269349710308</v>
      </c>
      <c r="G1985">
        <v>0.171763235951256</v>
      </c>
      <c r="H1985">
        <v>0.10261281357952801</v>
      </c>
      <c r="I1985">
        <v>9.4618636430246095E-2</v>
      </c>
      <c r="J1985">
        <v>8.4756343607415893E-2</v>
      </c>
      <c r="K1985">
        <v>5.9208204358918798E-2</v>
      </c>
      <c r="L1985">
        <v>518.84314582591105</v>
      </c>
      <c r="M1985">
        <v>11.343995789203801</v>
      </c>
      <c r="N1985">
        <v>46.283866881725402</v>
      </c>
      <c r="O1985">
        <v>44.385079084780998</v>
      </c>
      <c r="P1985">
        <v>-5.9907405956865403E-2</v>
      </c>
      <c r="Q1985">
        <v>6.2693696382398398E-2</v>
      </c>
      <c r="R1985">
        <v>0.94319347147508004</v>
      </c>
      <c r="S1985" t="s">
        <v>8602</v>
      </c>
      <c r="T1985" t="s">
        <v>13232</v>
      </c>
      <c r="U1985" t="s">
        <v>13232</v>
      </c>
      <c r="V1985" t="s">
        <v>13232</v>
      </c>
      <c r="W1985" t="s">
        <v>15167</v>
      </c>
      <c r="X1985">
        <v>5</v>
      </c>
      <c r="Y1985" t="s">
        <v>21669</v>
      </c>
      <c r="Z1985" t="s">
        <v>28116</v>
      </c>
      <c r="AA1985">
        <v>0.29031947466789942</v>
      </c>
      <c r="AB1985" t="str">
        <f>HYPERLINK("Melting_Curves/meltCurve_P19387_POLR2C.pdf", "Melting_Curves/meltCurve_P19387_POLR2C.pdf")</f>
        <v>Melting_Curves/meltCurve_P19387_POLR2C.pdf</v>
      </c>
    </row>
    <row r="1986" spans="1:28" x14ac:dyDescent="0.25">
      <c r="A1986" t="s">
        <v>1990</v>
      </c>
      <c r="B1986">
        <v>0.99930955844802105</v>
      </c>
      <c r="C1986">
        <v>0.73081763921460396</v>
      </c>
      <c r="D1986">
        <v>0.55245147969819897</v>
      </c>
      <c r="E1986">
        <v>0.43762924391865399</v>
      </c>
      <c r="F1986">
        <v>0.255283272101682</v>
      </c>
      <c r="G1986">
        <v>0.162087333066992</v>
      </c>
      <c r="H1986">
        <v>0.102151332526872</v>
      </c>
      <c r="I1986">
        <v>9.4816586897351798E-2</v>
      </c>
      <c r="J1986">
        <v>9.5685366368208305E-2</v>
      </c>
      <c r="K1986">
        <v>6.8859187250310705E-2</v>
      </c>
      <c r="L1986">
        <v>561.13922532052197</v>
      </c>
      <c r="M1986">
        <v>11.8852045769393</v>
      </c>
      <c r="N1986">
        <v>47.697042079716397</v>
      </c>
      <c r="O1986">
        <v>45.936183390365102</v>
      </c>
      <c r="P1986">
        <v>-6.1025483252583203E-2</v>
      </c>
      <c r="Q1986">
        <v>5.6784907347578899E-2</v>
      </c>
      <c r="R1986">
        <v>0.97997411160869197</v>
      </c>
      <c r="S1986" t="s">
        <v>8603</v>
      </c>
      <c r="T1986" t="s">
        <v>13232</v>
      </c>
      <c r="U1986" t="s">
        <v>13232</v>
      </c>
      <c r="V1986" t="s">
        <v>13232</v>
      </c>
      <c r="W1986" t="s">
        <v>15168</v>
      </c>
      <c r="X1986">
        <v>8</v>
      </c>
      <c r="Y1986" t="s">
        <v>21670</v>
      </c>
      <c r="Z1986" t="s">
        <v>28117</v>
      </c>
      <c r="AA1986">
        <v>0.32323799206693882</v>
      </c>
      <c r="AB1986" t="str">
        <f>HYPERLINK("Melting_Curves/meltCurve_P19388_POLR2E.pdf", "Melting_Curves/meltCurve_P19388_POLR2E.pdf")</f>
        <v>Melting_Curves/meltCurve_P19388_POLR2E.pdf</v>
      </c>
    </row>
    <row r="1987" spans="1:28" x14ac:dyDescent="0.25">
      <c r="A1987" t="s">
        <v>1991</v>
      </c>
      <c r="B1987">
        <v>0.99930955844802105</v>
      </c>
      <c r="C1987">
        <v>0.990218295102124</v>
      </c>
      <c r="D1987">
        <v>0.95113212509360501</v>
      </c>
      <c r="E1987">
        <v>0.83206152899233599</v>
      </c>
      <c r="F1987">
        <v>0.60453672213680198</v>
      </c>
      <c r="G1987">
        <v>0.46099151027951402</v>
      </c>
      <c r="H1987">
        <v>0.317553015994893</v>
      </c>
      <c r="I1987">
        <v>0.23104379854377299</v>
      </c>
      <c r="J1987">
        <v>0.13512364394739901</v>
      </c>
      <c r="K1987">
        <v>7.3671786219678195E-2</v>
      </c>
      <c r="L1987">
        <v>632.78092955002603</v>
      </c>
      <c r="M1987">
        <v>11.252868502813801</v>
      </c>
      <c r="N1987">
        <v>56.232857977071198</v>
      </c>
      <c r="O1987">
        <v>54.544714707346202</v>
      </c>
      <c r="P1987">
        <v>-5.15922846964844E-2</v>
      </c>
      <c r="Q1987">
        <v>0</v>
      </c>
      <c r="R1987">
        <v>0.99354940695823801</v>
      </c>
      <c r="S1987" t="s">
        <v>8604</v>
      </c>
      <c r="T1987" t="s">
        <v>13232</v>
      </c>
      <c r="U1987" t="s">
        <v>13232</v>
      </c>
      <c r="V1987" t="s">
        <v>13232</v>
      </c>
      <c r="W1987" t="s">
        <v>15169</v>
      </c>
      <c r="X1987">
        <v>6</v>
      </c>
      <c r="Y1987" t="s">
        <v>21671</v>
      </c>
      <c r="Z1987" t="s">
        <v>28118</v>
      </c>
      <c r="AA1987">
        <v>0.56098989805191857</v>
      </c>
      <c r="AB1987" t="str">
        <f>HYPERLINK("Melting_Curves/meltCurve_P19404_NDUFV2.pdf", "Melting_Curves/meltCurve_P19404_NDUFV2.pdf")</f>
        <v>Melting_Curves/meltCurve_P19404_NDUFV2.pdf</v>
      </c>
    </row>
    <row r="1988" spans="1:28" x14ac:dyDescent="0.25">
      <c r="A1988" t="s">
        <v>1992</v>
      </c>
      <c r="B1988">
        <v>0.99930955844802105</v>
      </c>
      <c r="C1988">
        <v>0.68246866023210495</v>
      </c>
      <c r="D1988">
        <v>0.55947214066454298</v>
      </c>
      <c r="E1988">
        <v>0.34154458930974202</v>
      </c>
      <c r="F1988">
        <v>0.18947534954451201</v>
      </c>
      <c r="G1988">
        <v>0.12704944279169</v>
      </c>
      <c r="H1988">
        <v>7.0816205724179904E-2</v>
      </c>
      <c r="I1988">
        <v>6.7875677628830705E-2</v>
      </c>
      <c r="J1988">
        <v>5.1655980125617701E-2</v>
      </c>
      <c r="K1988">
        <v>4.5954536932379803E-2</v>
      </c>
      <c r="L1988">
        <v>612.96064485768102</v>
      </c>
      <c r="M1988">
        <v>13.173593435360599</v>
      </c>
      <c r="N1988">
        <v>46.816615864796098</v>
      </c>
      <c r="O1988">
        <v>45.496495258839403</v>
      </c>
      <c r="P1988">
        <v>-6.9590446922051505E-2</v>
      </c>
      <c r="Q1988">
        <v>3.8807340112385499E-2</v>
      </c>
      <c r="R1988">
        <v>0.98218013455725295</v>
      </c>
      <c r="S1988" t="s">
        <v>8605</v>
      </c>
      <c r="T1988" t="s">
        <v>13232</v>
      </c>
      <c r="U1988" t="s">
        <v>13232</v>
      </c>
      <c r="V1988" t="s">
        <v>13232</v>
      </c>
      <c r="W1988" t="s">
        <v>15170</v>
      </c>
      <c r="X1988">
        <v>14</v>
      </c>
      <c r="Y1988" t="s">
        <v>21672</v>
      </c>
      <c r="Z1988" t="s">
        <v>28119</v>
      </c>
      <c r="AA1988">
        <v>0.28305137564852401</v>
      </c>
      <c r="AB1988" t="str">
        <f>HYPERLINK("Melting_Curves/meltCurve_P19447_ERCC3.pdf", "Melting_Curves/meltCurve_P19447_ERCC3.pdf")</f>
        <v>Melting_Curves/meltCurve_P19447_ERCC3.pdf</v>
      </c>
    </row>
    <row r="1989" spans="1:28" x14ac:dyDescent="0.25">
      <c r="A1989" t="s">
        <v>1993</v>
      </c>
      <c r="B1989">
        <v>0.99930955844802105</v>
      </c>
      <c r="C1989">
        <v>0.65320809056235096</v>
      </c>
      <c r="D1989">
        <v>0.44820907865999698</v>
      </c>
      <c r="E1989">
        <v>0.40666534958281902</v>
      </c>
      <c r="F1989">
        <v>0.28939338713441098</v>
      </c>
      <c r="G1989">
        <v>0.21518180374467999</v>
      </c>
      <c r="H1989">
        <v>0.15274117877839499</v>
      </c>
      <c r="I1989">
        <v>0.13751503257335601</v>
      </c>
      <c r="J1989">
        <v>0.128103345335393</v>
      </c>
      <c r="K1989">
        <v>0.102539179838569</v>
      </c>
      <c r="L1989">
        <v>564.06860827568505</v>
      </c>
      <c r="M1989">
        <v>12.398887628973</v>
      </c>
      <c r="N1989">
        <v>46.561211350117702</v>
      </c>
      <c r="O1989">
        <v>44.358653637130899</v>
      </c>
      <c r="P1989">
        <v>-6.1244827958746799E-2</v>
      </c>
      <c r="Q1989">
        <v>0.12373987313859</v>
      </c>
      <c r="R1989">
        <v>0.94996202200136104</v>
      </c>
      <c r="S1989" t="s">
        <v>8606</v>
      </c>
      <c r="T1989" t="s">
        <v>13232</v>
      </c>
      <c r="U1989" t="s">
        <v>13232</v>
      </c>
      <c r="V1989" t="s">
        <v>13232</v>
      </c>
      <c r="W1989" t="s">
        <v>15171</v>
      </c>
      <c r="X1989">
        <v>12</v>
      </c>
      <c r="Y1989" t="s">
        <v>21673</v>
      </c>
      <c r="Z1989" t="s">
        <v>28120</v>
      </c>
      <c r="AA1989">
        <v>0.32343759991626703</v>
      </c>
      <c r="AB1989" t="str">
        <f>HYPERLINK("Melting_Curves/meltCurve_P19525_EIF2AK2.pdf", "Melting_Curves/meltCurve_P19525_EIF2AK2.pdf")</f>
        <v>Melting_Curves/meltCurve_P19525_EIF2AK2.pdf</v>
      </c>
    </row>
    <row r="1990" spans="1:28" x14ac:dyDescent="0.25">
      <c r="A1990" t="s">
        <v>1994</v>
      </c>
      <c r="B1990">
        <v>0.99930955844802105</v>
      </c>
      <c r="C1990">
        <v>0.96276016843964196</v>
      </c>
      <c r="D1990">
        <v>1.02288350805782</v>
      </c>
      <c r="E1990">
        <v>0.95856412131315305</v>
      </c>
      <c r="F1990">
        <v>0.78342099228199003</v>
      </c>
      <c r="G1990">
        <v>0.66849815827915404</v>
      </c>
      <c r="H1990">
        <v>0.58536315982068798</v>
      </c>
      <c r="I1990">
        <v>0.63001517725453404</v>
      </c>
      <c r="J1990">
        <v>0.59325024648523905</v>
      </c>
      <c r="K1990">
        <v>0.46990732196667101</v>
      </c>
      <c r="L1990">
        <v>1126.00881504166</v>
      </c>
      <c r="M1990">
        <v>20.8844537780619</v>
      </c>
      <c r="O1990">
        <v>53.429090510042599</v>
      </c>
      <c r="P1990">
        <v>-4.3714642027002801E-2</v>
      </c>
      <c r="Q1990">
        <v>0.55266831061024402</v>
      </c>
      <c r="R1990">
        <v>0.95488773464236099</v>
      </c>
      <c r="S1990" t="s">
        <v>8607</v>
      </c>
      <c r="T1990" t="s">
        <v>13232</v>
      </c>
      <c r="U1990" t="s">
        <v>13232</v>
      </c>
      <c r="V1990" t="s">
        <v>13232</v>
      </c>
      <c r="W1990" t="s">
        <v>15172</v>
      </c>
      <c r="X1990">
        <v>5</v>
      </c>
      <c r="Y1990" t="s">
        <v>21674</v>
      </c>
      <c r="Z1990" t="s">
        <v>28121</v>
      </c>
      <c r="AA1990">
        <v>0.7658424492563749</v>
      </c>
      <c r="AB1990" t="str">
        <f>HYPERLINK("Melting_Curves/meltCurve_P19532_TFE3.pdf", "Melting_Curves/meltCurve_P19532_TFE3.pdf")</f>
        <v>Melting_Curves/meltCurve_P19532_TFE3.pdf</v>
      </c>
    </row>
    <row r="1991" spans="1:28" x14ac:dyDescent="0.25">
      <c r="A1991" t="s">
        <v>1995</v>
      </c>
      <c r="B1991">
        <v>0.99930955844802105</v>
      </c>
      <c r="C1991">
        <v>0.84419838013135495</v>
      </c>
      <c r="D1991">
        <v>0.78770708229828001</v>
      </c>
      <c r="E1991">
        <v>0.77281697110338199</v>
      </c>
      <c r="F1991">
        <v>0.70286610322466003</v>
      </c>
      <c r="G1991">
        <v>0.53541954050666496</v>
      </c>
      <c r="H1991">
        <v>0.50054447328276497</v>
      </c>
      <c r="I1991">
        <v>0.65946485463882298</v>
      </c>
      <c r="J1991">
        <v>0.47682259896450702</v>
      </c>
      <c r="K1991">
        <v>0.46769055387828801</v>
      </c>
      <c r="L1991">
        <v>400.135164823933</v>
      </c>
      <c r="M1991">
        <v>7.91469063480959</v>
      </c>
      <c r="N1991">
        <v>68.557294615569703</v>
      </c>
      <c r="O1991">
        <v>47.634077311921999</v>
      </c>
      <c r="P1991">
        <v>-2.3396476026086702E-2</v>
      </c>
      <c r="Q1991">
        <v>0.43742124625967599</v>
      </c>
      <c r="R1991">
        <v>0.87473468455018499</v>
      </c>
      <c r="S1991" t="s">
        <v>8608</v>
      </c>
      <c r="T1991" t="s">
        <v>13232</v>
      </c>
      <c r="U1991" t="s">
        <v>13232</v>
      </c>
      <c r="V1991" t="s">
        <v>13232</v>
      </c>
      <c r="W1991" t="s">
        <v>15173</v>
      </c>
      <c r="X1991">
        <v>3</v>
      </c>
      <c r="Y1991" t="s">
        <v>21675</v>
      </c>
      <c r="Z1991" t="s">
        <v>28122</v>
      </c>
      <c r="AA1991">
        <v>0.66732407289021201</v>
      </c>
      <c r="AB1991" t="str">
        <f>HYPERLINK("Melting_Curves/meltCurve_P19544_2_WT1.pdf", "Melting_Curves/meltCurve_P19544_2_WT1.pdf")</f>
        <v>Melting_Curves/meltCurve_P19544_2_WT1.pdf</v>
      </c>
    </row>
    <row r="1992" spans="1:28" x14ac:dyDescent="0.25">
      <c r="A1992" t="s">
        <v>1996</v>
      </c>
      <c r="B1992">
        <v>0.99930955844802105</v>
      </c>
      <c r="C1992">
        <v>1.0328757802003099</v>
      </c>
      <c r="D1992">
        <v>1.0428809802611601</v>
      </c>
      <c r="E1992">
        <v>0.923043791471715</v>
      </c>
      <c r="F1992">
        <v>0.352642461154486</v>
      </c>
      <c r="G1992">
        <v>0.17538126646409599</v>
      </c>
      <c r="H1992">
        <v>9.9042135695819003E-2</v>
      </c>
      <c r="I1992">
        <v>9.4412427420389397E-2</v>
      </c>
      <c r="J1992">
        <v>7.1858424988152397E-2</v>
      </c>
      <c r="K1992">
        <v>5.4979981045207002E-2</v>
      </c>
      <c r="L1992">
        <v>2777.5545375765701</v>
      </c>
      <c r="M1992">
        <v>53.293669651018099</v>
      </c>
      <c r="N1992">
        <v>52.327696503462398</v>
      </c>
      <c r="O1992">
        <v>52.044680155521903</v>
      </c>
      <c r="P1992">
        <v>-0.23137551197638101</v>
      </c>
      <c r="Q1992">
        <v>9.6188613110182106E-2</v>
      </c>
      <c r="R1992">
        <v>0.99439939058125904</v>
      </c>
      <c r="S1992" t="s">
        <v>8609</v>
      </c>
      <c r="T1992" t="s">
        <v>13232</v>
      </c>
      <c r="U1992" t="s">
        <v>13232</v>
      </c>
      <c r="V1992" t="s">
        <v>13232</v>
      </c>
      <c r="W1992" t="s">
        <v>15174</v>
      </c>
      <c r="X1992">
        <v>16</v>
      </c>
      <c r="Y1992" t="s">
        <v>21676</v>
      </c>
      <c r="Z1992" t="s">
        <v>28123</v>
      </c>
      <c r="AA1992">
        <v>0.46309298926505932</v>
      </c>
      <c r="AB1992" t="str">
        <f>HYPERLINK("Melting_Curves/meltCurve_P19623_SRM.pdf", "Melting_Curves/meltCurve_P19623_SRM.pdf")</f>
        <v>Melting_Curves/meltCurve_P19623_SRM.pdf</v>
      </c>
    </row>
    <row r="1993" spans="1:28" x14ac:dyDescent="0.25">
      <c r="A1993" t="s">
        <v>1997</v>
      </c>
      <c r="B1993">
        <v>0.99930955844802105</v>
      </c>
      <c r="C1993">
        <v>0.77854476407362805</v>
      </c>
      <c r="D1993">
        <v>0.77761261433936302</v>
      </c>
      <c r="E1993">
        <v>0.55937714539908201</v>
      </c>
      <c r="F1993">
        <v>0.25022046930826902</v>
      </c>
      <c r="G1993">
        <v>0.15513714501731499</v>
      </c>
      <c r="H1993">
        <v>8.5732602020699905E-2</v>
      </c>
      <c r="I1993">
        <v>6.6572254992379801E-2</v>
      </c>
      <c r="J1993">
        <v>5.4926361465345103E-2</v>
      </c>
      <c r="K1993">
        <v>3.94036983469346E-2</v>
      </c>
      <c r="L1993">
        <v>645.82307184316198</v>
      </c>
      <c r="M1993">
        <v>12.9876107540793</v>
      </c>
      <c r="N1993">
        <v>49.795196696836399</v>
      </c>
      <c r="O1993">
        <v>48.5914838865706</v>
      </c>
      <c r="P1993">
        <v>-6.6235336457833E-2</v>
      </c>
      <c r="Q1993">
        <v>8.9317922642909598E-3</v>
      </c>
      <c r="R1993">
        <v>0.97940741488533301</v>
      </c>
      <c r="S1993" t="s">
        <v>8610</v>
      </c>
      <c r="T1993" t="s">
        <v>13232</v>
      </c>
      <c r="U1993" t="s">
        <v>13232</v>
      </c>
      <c r="V1993" t="s">
        <v>13232</v>
      </c>
      <c r="W1993" t="s">
        <v>13634</v>
      </c>
      <c r="X1993">
        <v>20</v>
      </c>
      <c r="Y1993" t="s">
        <v>21677</v>
      </c>
      <c r="Z1993" t="s">
        <v>28124</v>
      </c>
      <c r="AA1993">
        <v>0.36087717580471301</v>
      </c>
      <c r="AB1993" t="str">
        <f>HYPERLINK("Melting_Curves/meltCurve_P19784_CSNK2A2.pdf", "Melting_Curves/meltCurve_P19784_CSNK2A2.pdf")</f>
        <v>Melting_Curves/meltCurve_P19784_CSNK2A2.pdf</v>
      </c>
    </row>
    <row r="1994" spans="1:28" x14ac:dyDescent="0.25">
      <c r="A1994" t="s">
        <v>1998</v>
      </c>
      <c r="B1994">
        <v>0.99930955844802105</v>
      </c>
      <c r="C1994">
        <v>1.04243243277265</v>
      </c>
      <c r="D1994">
        <v>0.90221285130516304</v>
      </c>
      <c r="E1994">
        <v>0.58979619824421103</v>
      </c>
      <c r="F1994">
        <v>0.27570037206008502</v>
      </c>
      <c r="G1994">
        <v>0.17189754140909899</v>
      </c>
      <c r="H1994">
        <v>0.123860259578215</v>
      </c>
      <c r="I1994">
        <v>9.4941377873475299E-2</v>
      </c>
      <c r="J1994">
        <v>8.8255035433274107E-2</v>
      </c>
      <c r="K1994">
        <v>6.7088491006779993E-2</v>
      </c>
      <c r="L1994">
        <v>1232.5021523590201</v>
      </c>
      <c r="M1994">
        <v>24.497496818543699</v>
      </c>
      <c r="N1994">
        <v>50.736175192614397</v>
      </c>
      <c r="O1994">
        <v>49.979692738428703</v>
      </c>
      <c r="P1994">
        <v>-0.111176547590213</v>
      </c>
      <c r="Q1994">
        <v>9.2725506386648393E-2</v>
      </c>
      <c r="R1994">
        <v>0.99609079731397798</v>
      </c>
      <c r="S1994" t="s">
        <v>8611</v>
      </c>
      <c r="T1994" t="s">
        <v>13232</v>
      </c>
      <c r="U1994" t="s">
        <v>13232</v>
      </c>
      <c r="V1994" t="s">
        <v>13232</v>
      </c>
      <c r="W1994" t="s">
        <v>15175</v>
      </c>
      <c r="X1994">
        <v>15</v>
      </c>
      <c r="Y1994" t="s">
        <v>21678</v>
      </c>
      <c r="Z1994" t="s">
        <v>28125</v>
      </c>
      <c r="AA1994">
        <v>0.4130379392315805</v>
      </c>
      <c r="AB1994" t="str">
        <f>HYPERLINK("Melting_Curves/meltCurve_P19838_NFKB1.pdf", "Melting_Curves/meltCurve_P19838_NFKB1.pdf")</f>
        <v>Melting_Curves/meltCurve_P19838_NFKB1.pdf</v>
      </c>
    </row>
    <row r="1995" spans="1:28" x14ac:dyDescent="0.25">
      <c r="A1995" t="s">
        <v>1999</v>
      </c>
      <c r="B1995">
        <v>0.99930955844802105</v>
      </c>
      <c r="C1995">
        <v>0.93510209493081398</v>
      </c>
      <c r="D1995">
        <v>0.96233597299155904</v>
      </c>
      <c r="E1995">
        <v>0.90474522008852798</v>
      </c>
      <c r="F1995">
        <v>0.57900089301278301</v>
      </c>
      <c r="G1995">
        <v>0.37435857974451697</v>
      </c>
      <c r="H1995">
        <v>0.31416542891754601</v>
      </c>
      <c r="I1995">
        <v>0.30942825894148801</v>
      </c>
      <c r="J1995">
        <v>0.29220266314065302</v>
      </c>
      <c r="K1995">
        <v>0.238890583949426</v>
      </c>
      <c r="L1995">
        <v>1583.16325802857</v>
      </c>
      <c r="M1995">
        <v>30.103693878160101</v>
      </c>
      <c r="N1995">
        <v>54.131331301469899</v>
      </c>
      <c r="O1995">
        <v>52.359910134194102</v>
      </c>
      <c r="P1995">
        <v>-0.102371023434377</v>
      </c>
      <c r="Q1995">
        <v>0.28778150279084602</v>
      </c>
      <c r="R1995">
        <v>0.98951180858123799</v>
      </c>
      <c r="S1995" t="s">
        <v>8612</v>
      </c>
      <c r="T1995" t="s">
        <v>13232</v>
      </c>
      <c r="U1995" t="s">
        <v>13232</v>
      </c>
      <c r="V1995" t="s">
        <v>13232</v>
      </c>
      <c r="W1995" t="s">
        <v>15176</v>
      </c>
      <c r="X1995">
        <v>23</v>
      </c>
      <c r="Y1995" t="s">
        <v>21679</v>
      </c>
      <c r="Z1995" t="s">
        <v>28126</v>
      </c>
      <c r="AA1995">
        <v>0.59124425569289751</v>
      </c>
      <c r="AB1995" t="str">
        <f>HYPERLINK("Melting_Curves/meltCurve_P20042_EIF2S2.pdf", "Melting_Curves/meltCurve_P20042_EIF2S2.pdf")</f>
        <v>Melting_Curves/meltCurve_P20042_EIF2S2.pdf</v>
      </c>
    </row>
    <row r="1996" spans="1:28" x14ac:dyDescent="0.25">
      <c r="A1996" t="s">
        <v>2000</v>
      </c>
      <c r="B1996">
        <v>0.99930955844802105</v>
      </c>
      <c r="C1996">
        <v>1.1071689052370199</v>
      </c>
      <c r="D1996">
        <v>1.0193390182730699</v>
      </c>
      <c r="E1996">
        <v>1.1933158180136001</v>
      </c>
      <c r="F1996">
        <v>0.95006292050957097</v>
      </c>
      <c r="G1996">
        <v>1.1085419836466099</v>
      </c>
      <c r="H1996">
        <v>1.09615664264167</v>
      </c>
      <c r="I1996">
        <v>1.1415285686641301</v>
      </c>
      <c r="J1996">
        <v>1.24975261131634</v>
      </c>
      <c r="K1996">
        <v>0.95867593167901299</v>
      </c>
      <c r="L1996">
        <v>522.29258956841602</v>
      </c>
      <c r="M1996">
        <v>12.228378785851699</v>
      </c>
      <c r="O1996">
        <v>41.617443875112897</v>
      </c>
      <c r="P1996">
        <v>7.4426479032161999E-3</v>
      </c>
      <c r="Q1996">
        <v>1.1012970221903899</v>
      </c>
      <c r="R1996">
        <v>6.9059591061468001E-2</v>
      </c>
      <c r="S1996" t="s">
        <v>8613</v>
      </c>
      <c r="T1996" t="s">
        <v>13232</v>
      </c>
      <c r="U1996" t="s">
        <v>13232</v>
      </c>
      <c r="V1996" t="s">
        <v>13232</v>
      </c>
      <c r="W1996" t="s">
        <v>15177</v>
      </c>
      <c r="X1996">
        <v>1</v>
      </c>
      <c r="Y1996" t="s">
        <v>21680</v>
      </c>
      <c r="Z1996" t="s">
        <v>28127</v>
      </c>
      <c r="AA1996">
        <v>1.0857439589119779</v>
      </c>
      <c r="AB1996" t="str">
        <f>HYPERLINK("Melting_Curves/meltCurve_P20138_3_CD33.pdf", "Melting_Curves/meltCurve_P20138_3_CD33.pdf")</f>
        <v>Melting_Curves/meltCurve_P20138_3_CD33.pdf</v>
      </c>
    </row>
    <row r="1997" spans="1:28" x14ac:dyDescent="0.25">
      <c r="A1997" t="s">
        <v>2001</v>
      </c>
      <c r="B1997">
        <v>0.99930955844802105</v>
      </c>
      <c r="C1997">
        <v>0.85271911358186603</v>
      </c>
      <c r="D1997">
        <v>0.68211680710992495</v>
      </c>
      <c r="E1997">
        <v>0.55344838754116998</v>
      </c>
      <c r="F1997">
        <v>0.34353459009301901</v>
      </c>
      <c r="G1997">
        <v>0.182027236324599</v>
      </c>
      <c r="H1997">
        <v>9.7277951760996101E-2</v>
      </c>
      <c r="I1997">
        <v>7.1919039763787704E-2</v>
      </c>
      <c r="J1997">
        <v>6.4041433874677797E-2</v>
      </c>
      <c r="K1997">
        <v>4.6335393063709603E-2</v>
      </c>
      <c r="L1997">
        <v>571.18424463445001</v>
      </c>
      <c r="M1997">
        <v>11.416686285869201</v>
      </c>
      <c r="N1997">
        <v>50.0306507651594</v>
      </c>
      <c r="O1997">
        <v>48.569449935745901</v>
      </c>
      <c r="P1997">
        <v>-5.8781929474410702E-2</v>
      </c>
      <c r="Q1997">
        <v>0</v>
      </c>
      <c r="R1997">
        <v>0.99221273514550601</v>
      </c>
      <c r="S1997" t="s">
        <v>8614</v>
      </c>
      <c r="T1997" t="s">
        <v>13232</v>
      </c>
      <c r="U1997" t="s">
        <v>13232</v>
      </c>
      <c r="V1997" t="s">
        <v>13232</v>
      </c>
      <c r="W1997" t="s">
        <v>15178</v>
      </c>
      <c r="X1997">
        <v>2</v>
      </c>
      <c r="Y1997" t="s">
        <v>21681</v>
      </c>
      <c r="Z1997" t="s">
        <v>28128</v>
      </c>
      <c r="AA1997">
        <v>0.37164890724950322</v>
      </c>
      <c r="AB1997" t="str">
        <f>HYPERLINK("Melting_Curves/meltCurve_P20226_2_TBP.pdf", "Melting_Curves/meltCurve_P20226_2_TBP.pdf")</f>
        <v>Melting_Curves/meltCurve_P20226_2_TBP.pdf</v>
      </c>
    </row>
    <row r="1998" spans="1:28" x14ac:dyDescent="0.25">
      <c r="A1998" t="s">
        <v>2002</v>
      </c>
      <c r="B1998">
        <v>0.99930955844802105</v>
      </c>
      <c r="C1998">
        <v>1.09967073020519</v>
      </c>
      <c r="D1998">
        <v>1.04683158872074</v>
      </c>
      <c r="E1998">
        <v>0.99723552896471102</v>
      </c>
      <c r="F1998">
        <v>0.89447832704128905</v>
      </c>
      <c r="G1998">
        <v>0.62639608394788504</v>
      </c>
      <c r="H1998">
        <v>0.41588419462912102</v>
      </c>
      <c r="I1998">
        <v>0.30854526224457202</v>
      </c>
      <c r="J1998">
        <v>0.26724076119790602</v>
      </c>
      <c r="K1998">
        <v>0.179069065129217</v>
      </c>
      <c r="L1998">
        <v>1155.0481914013701</v>
      </c>
      <c r="M1998">
        <v>19.973504835409699</v>
      </c>
      <c r="N1998">
        <v>59.267706803761897</v>
      </c>
      <c r="O1998">
        <v>57.258700425821097</v>
      </c>
      <c r="P1998">
        <v>-7.0456836638769102E-2</v>
      </c>
      <c r="Q1998">
        <v>0.192102754583129</v>
      </c>
      <c r="R1998">
        <v>0.98576422103614902</v>
      </c>
      <c r="S1998" t="s">
        <v>8615</v>
      </c>
      <c r="T1998" t="s">
        <v>13232</v>
      </c>
      <c r="U1998" t="s">
        <v>13232</v>
      </c>
      <c r="V1998" t="s">
        <v>13232</v>
      </c>
      <c r="W1998" t="s">
        <v>15179</v>
      </c>
      <c r="X1998">
        <v>9</v>
      </c>
      <c r="Y1998" t="s">
        <v>21682</v>
      </c>
      <c r="Z1998" t="s">
        <v>28129</v>
      </c>
      <c r="AA1998">
        <v>0.68154633231006101</v>
      </c>
      <c r="AB1998" t="str">
        <f>HYPERLINK("Melting_Curves/meltCurve_P20248_CCNA2.pdf", "Melting_Curves/meltCurve_P20248_CCNA2.pdf")</f>
        <v>Melting_Curves/meltCurve_P20248_CCNA2.pdf</v>
      </c>
    </row>
    <row r="1999" spans="1:28" x14ac:dyDescent="0.25">
      <c r="A1999" t="s">
        <v>2003</v>
      </c>
      <c r="B1999">
        <v>0.99930955844802105</v>
      </c>
      <c r="C1999">
        <v>1.016476740641</v>
      </c>
      <c r="D1999">
        <v>1.03474661526717</v>
      </c>
      <c r="E1999">
        <v>0.92089295262913595</v>
      </c>
      <c r="F1999">
        <v>0.75841336309221596</v>
      </c>
      <c r="G1999">
        <v>0.67634564936150299</v>
      </c>
      <c r="H1999">
        <v>0.63071784848530199</v>
      </c>
      <c r="I1999">
        <v>0.65657760657071995</v>
      </c>
      <c r="J1999">
        <v>0.57948157873283701</v>
      </c>
      <c r="K1999">
        <v>0.41779460975559701</v>
      </c>
      <c r="L1999">
        <v>644.58878666806004</v>
      </c>
      <c r="M1999">
        <v>11.454657236772</v>
      </c>
      <c r="O1999">
        <v>54.639914642081003</v>
      </c>
      <c r="P1999">
        <v>-2.82136607102687E-2</v>
      </c>
      <c r="Q1999">
        <v>0.46182684094570797</v>
      </c>
      <c r="R1999">
        <v>0.924024955894589</v>
      </c>
      <c r="S1999" t="s">
        <v>8616</v>
      </c>
      <c r="T1999" t="s">
        <v>13232</v>
      </c>
      <c r="U1999" t="s">
        <v>13232</v>
      </c>
      <c r="V1999" t="s">
        <v>13232</v>
      </c>
      <c r="W1999" t="s">
        <v>15180</v>
      </c>
      <c r="X1999">
        <v>9</v>
      </c>
      <c r="Y1999" t="s">
        <v>21683</v>
      </c>
      <c r="Z1999" t="s">
        <v>28130</v>
      </c>
      <c r="AA1999">
        <v>0.76434200717158418</v>
      </c>
      <c r="AB1999" t="str">
        <f>HYPERLINK("Melting_Curves/meltCurve_P20290_BTF3.pdf", "Melting_Curves/meltCurve_P20290_BTF3.pdf")</f>
        <v>Melting_Curves/meltCurve_P20290_BTF3.pdf</v>
      </c>
    </row>
    <row r="2000" spans="1:28" x14ac:dyDescent="0.25">
      <c r="A2000" t="s">
        <v>2004</v>
      </c>
      <c r="B2000">
        <v>0.99930955844802105</v>
      </c>
      <c r="C2000">
        <v>1.5155964196498199</v>
      </c>
      <c r="D2000">
        <v>1.3996278595659599</v>
      </c>
      <c r="E2000">
        <v>1.3128405576195401</v>
      </c>
      <c r="F2000">
        <v>1.3179110313967199</v>
      </c>
      <c r="G2000">
        <v>1.24276040121612</v>
      </c>
      <c r="H2000">
        <v>1.2722237456821801</v>
      </c>
      <c r="I2000">
        <v>1.48025671613496</v>
      </c>
      <c r="J2000">
        <v>1.2427204741628</v>
      </c>
      <c r="K2000">
        <v>1.1730672037066701</v>
      </c>
      <c r="L2000">
        <v>10248.9368970918</v>
      </c>
      <c r="M2000">
        <v>250</v>
      </c>
      <c r="O2000">
        <v>40.993125336085598</v>
      </c>
      <c r="P2000">
        <v>0.50093155292232705</v>
      </c>
      <c r="Q2000">
        <v>1.3285559889120699</v>
      </c>
      <c r="R2000">
        <v>0.48046831377500598</v>
      </c>
      <c r="S2000" t="s">
        <v>8617</v>
      </c>
      <c r="T2000" t="s">
        <v>13232</v>
      </c>
      <c r="U2000" t="s">
        <v>13232</v>
      </c>
      <c r="V2000" t="s">
        <v>13232</v>
      </c>
      <c r="W2000" t="s">
        <v>15181</v>
      </c>
      <c r="X2000">
        <v>2</v>
      </c>
      <c r="Y2000" t="s">
        <v>21684</v>
      </c>
      <c r="Z2000" t="s">
        <v>28131</v>
      </c>
      <c r="AA2000">
        <v>1.317623695902475</v>
      </c>
      <c r="AB2000" t="str">
        <f>HYPERLINK("Melting_Curves/meltCurve_P20333_TNFRSF1B.pdf", "Melting_Curves/meltCurve_P20333_TNFRSF1B.pdf")</f>
        <v>Melting_Curves/meltCurve_P20333_TNFRSF1B.pdf</v>
      </c>
    </row>
    <row r="2001" spans="1:28" x14ac:dyDescent="0.25">
      <c r="A2001" t="s">
        <v>2005</v>
      </c>
      <c r="B2001">
        <v>0.99930955844802105</v>
      </c>
      <c r="C2001">
        <v>1.1756449840299199</v>
      </c>
      <c r="D2001">
        <v>1.0669436150877301</v>
      </c>
      <c r="E2001">
        <v>0.80764510299196901</v>
      </c>
      <c r="F2001">
        <v>0.56901603063358197</v>
      </c>
      <c r="G2001">
        <v>0.24210731866363699</v>
      </c>
      <c r="H2001">
        <v>0.109227541190331</v>
      </c>
      <c r="I2001">
        <v>7.3887626878663501E-2</v>
      </c>
      <c r="J2001">
        <v>6.05547188456316E-2</v>
      </c>
      <c r="K2001">
        <v>5.19318019703673E-2</v>
      </c>
      <c r="L2001">
        <v>1255.94845993374</v>
      </c>
      <c r="M2001">
        <v>23.5251569489762</v>
      </c>
      <c r="N2001">
        <v>53.659708011797903</v>
      </c>
      <c r="O2001">
        <v>53.006184719727699</v>
      </c>
      <c r="P2001">
        <v>-0.104714919274888</v>
      </c>
      <c r="Q2001">
        <v>5.6253981879387099E-2</v>
      </c>
      <c r="R2001">
        <v>0.97862756803459305</v>
      </c>
      <c r="S2001" t="s">
        <v>8618</v>
      </c>
      <c r="T2001" t="s">
        <v>13232</v>
      </c>
      <c r="U2001" t="s">
        <v>13232</v>
      </c>
      <c r="V2001" t="s">
        <v>13232</v>
      </c>
      <c r="W2001" t="s">
        <v>15182</v>
      </c>
      <c r="X2001">
        <v>3</v>
      </c>
      <c r="Y2001" t="s">
        <v>21685</v>
      </c>
      <c r="Z2001" t="s">
        <v>28132</v>
      </c>
      <c r="AA2001">
        <v>0.48713900603280053</v>
      </c>
      <c r="AB2001" t="str">
        <f>HYPERLINK("Melting_Curves/meltCurve_P20337_RAB3B.pdf", "Melting_Curves/meltCurve_P20337_RAB3B.pdf")</f>
        <v>Melting_Curves/meltCurve_P20337_RAB3B.pdf</v>
      </c>
    </row>
    <row r="2002" spans="1:28" x14ac:dyDescent="0.25">
      <c r="A2002" t="s">
        <v>2006</v>
      </c>
      <c r="B2002">
        <v>0.99930955844802105</v>
      </c>
      <c r="C2002">
        <v>0.99890266799735905</v>
      </c>
      <c r="D2002">
        <v>0.99820766644703096</v>
      </c>
      <c r="E2002">
        <v>0.94422402826874396</v>
      </c>
      <c r="F2002">
        <v>0.87403828055155697</v>
      </c>
      <c r="G2002">
        <v>0.56957369275592296</v>
      </c>
      <c r="H2002">
        <v>0.172131051572609</v>
      </c>
      <c r="I2002">
        <v>0.13246414027451101</v>
      </c>
      <c r="J2002">
        <v>0.113014843256333</v>
      </c>
      <c r="K2002">
        <v>7.6013392712972999E-2</v>
      </c>
      <c r="L2002">
        <v>1517.71566718792</v>
      </c>
      <c r="M2002">
        <v>26.6112941758578</v>
      </c>
      <c r="N2002">
        <v>57.381656150278999</v>
      </c>
      <c r="O2002">
        <v>56.713618820321301</v>
      </c>
      <c r="P2002">
        <v>-0.108544473536089</v>
      </c>
      <c r="Q2002">
        <v>7.4695841577403804E-2</v>
      </c>
      <c r="R2002">
        <v>0.99707157561070603</v>
      </c>
      <c r="S2002" t="s">
        <v>8619</v>
      </c>
      <c r="T2002" t="s">
        <v>13232</v>
      </c>
      <c r="U2002" t="s">
        <v>13232</v>
      </c>
      <c r="V2002" t="s">
        <v>13232</v>
      </c>
      <c r="W2002" t="s">
        <v>15183</v>
      </c>
      <c r="X2002">
        <v>11</v>
      </c>
      <c r="Y2002" t="s">
        <v>21686</v>
      </c>
      <c r="Z2002" t="s">
        <v>28133</v>
      </c>
      <c r="AA2002">
        <v>0.60759004865708077</v>
      </c>
      <c r="AB2002" t="str">
        <f>HYPERLINK("Melting_Curves/meltCurve_P20338_RAB4A.pdf", "Melting_Curves/meltCurve_P20338_RAB4A.pdf")</f>
        <v>Melting_Curves/meltCurve_P20338_RAB4A.pdf</v>
      </c>
    </row>
    <row r="2003" spans="1:28" x14ac:dyDescent="0.25">
      <c r="A2003" t="s">
        <v>2007</v>
      </c>
      <c r="B2003">
        <v>0.99930955844802105</v>
      </c>
      <c r="C2003">
        <v>1.08394074617272</v>
      </c>
      <c r="D2003">
        <v>1.02783366632125</v>
      </c>
      <c r="E2003">
        <v>0.982682344974105</v>
      </c>
      <c r="F2003">
        <v>0.82709241634779895</v>
      </c>
      <c r="G2003">
        <v>0.43551005295227202</v>
      </c>
      <c r="H2003">
        <v>0.14911507408941799</v>
      </c>
      <c r="I2003">
        <v>0.111285279464212</v>
      </c>
      <c r="J2003">
        <v>8.2508250030840793E-2</v>
      </c>
      <c r="K2003">
        <v>6.0018659469930798E-2</v>
      </c>
      <c r="L2003">
        <v>1521.60528849258</v>
      </c>
      <c r="M2003">
        <v>27.1475355794588</v>
      </c>
      <c r="N2003">
        <v>56.346978079332203</v>
      </c>
      <c r="O2003">
        <v>55.747996399149699</v>
      </c>
      <c r="P2003">
        <v>-0.113614356427721</v>
      </c>
      <c r="Q2003">
        <v>6.6771809958394296E-2</v>
      </c>
      <c r="R2003">
        <v>0.99506718280643502</v>
      </c>
      <c r="S2003" t="s">
        <v>8620</v>
      </c>
      <c r="T2003" t="s">
        <v>13232</v>
      </c>
      <c r="U2003" t="s">
        <v>13232</v>
      </c>
      <c r="V2003" t="s">
        <v>13232</v>
      </c>
      <c r="W2003" t="s">
        <v>15184</v>
      </c>
      <c r="X2003">
        <v>13</v>
      </c>
      <c r="Y2003" t="s">
        <v>21687</v>
      </c>
      <c r="Z2003" t="s">
        <v>28134</v>
      </c>
      <c r="AA2003">
        <v>0.57347410938767718</v>
      </c>
      <c r="AB2003" t="str">
        <f>HYPERLINK("Melting_Curves/meltCurve_P20340_2_RAB6A.pdf", "Melting_Curves/meltCurve_P20340_2_RAB6A.pdf")</f>
        <v>Melting_Curves/meltCurve_P20340_2_RAB6A.pdf</v>
      </c>
    </row>
    <row r="2004" spans="1:28" x14ac:dyDescent="0.25">
      <c r="A2004" t="s">
        <v>2008</v>
      </c>
      <c r="B2004">
        <v>0.99930955844802105</v>
      </c>
      <c r="C2004">
        <v>0.91972634186408198</v>
      </c>
      <c r="D2004">
        <v>0.91736998809147696</v>
      </c>
      <c r="E2004">
        <v>0.75923602571548598</v>
      </c>
      <c r="F2004">
        <v>0.27206431851093699</v>
      </c>
      <c r="G2004">
        <v>0.20056255810375601</v>
      </c>
      <c r="H2004">
        <v>0.13220962347916801</v>
      </c>
      <c r="I2004">
        <v>0.116928743825836</v>
      </c>
      <c r="J2004">
        <v>0.10902776905874299</v>
      </c>
      <c r="K2004">
        <v>8.2610362688608593E-2</v>
      </c>
      <c r="L2004">
        <v>2001.25279764175</v>
      </c>
      <c r="M2004">
        <v>39.151616403218199</v>
      </c>
      <c r="N2004">
        <v>51.481789302977198</v>
      </c>
      <c r="O2004">
        <v>50.982625831261402</v>
      </c>
      <c r="P2004">
        <v>-0.16864387160540001</v>
      </c>
      <c r="Q2004">
        <v>0.12157989009449099</v>
      </c>
      <c r="R2004">
        <v>0.98690083741361501</v>
      </c>
      <c r="S2004" t="s">
        <v>8621</v>
      </c>
      <c r="T2004" t="s">
        <v>13232</v>
      </c>
      <c r="U2004" t="s">
        <v>13232</v>
      </c>
      <c r="V2004" t="s">
        <v>13232</v>
      </c>
      <c r="W2004" t="s">
        <v>15185</v>
      </c>
      <c r="X2004">
        <v>29</v>
      </c>
      <c r="Y2004" t="s">
        <v>21688</v>
      </c>
      <c r="Z2004" t="s">
        <v>28135</v>
      </c>
      <c r="AA2004">
        <v>0.45028821186906798</v>
      </c>
      <c r="AB2004" t="str">
        <f>HYPERLINK("Melting_Curves/meltCurve_P20585_MSH3.pdf", "Melting_Curves/meltCurve_P20585_MSH3.pdf")</f>
        <v>Melting_Curves/meltCurve_P20585_MSH3.pdf</v>
      </c>
    </row>
    <row r="2005" spans="1:28" x14ac:dyDescent="0.25">
      <c r="A2005" t="s">
        <v>2009</v>
      </c>
      <c r="B2005">
        <v>0.99930955844802105</v>
      </c>
      <c r="C2005">
        <v>0.65795669378443</v>
      </c>
      <c r="D2005">
        <v>0.70703275380697705</v>
      </c>
      <c r="E2005">
        <v>0.926600785890064</v>
      </c>
      <c r="F2005">
        <v>1.1569605015698801</v>
      </c>
      <c r="G2005">
        <v>1.0250511137945699</v>
      </c>
      <c r="H2005">
        <v>0.29504868616476299</v>
      </c>
      <c r="I2005">
        <v>0.30982108357274302</v>
      </c>
      <c r="J2005">
        <v>0.29987428782400199</v>
      </c>
      <c r="K2005">
        <v>0.20189844068127299</v>
      </c>
      <c r="L2005">
        <v>15000</v>
      </c>
      <c r="M2005">
        <v>249.26031888758001</v>
      </c>
      <c r="N2005">
        <v>60.3666660620434</v>
      </c>
      <c r="O2005">
        <v>60.174152108661801</v>
      </c>
      <c r="P2005">
        <v>-0.75542254479138005</v>
      </c>
      <c r="Q2005">
        <v>0.270530829459452</v>
      </c>
      <c r="R2005">
        <v>0.79330266302268504</v>
      </c>
      <c r="S2005" t="s">
        <v>8622</v>
      </c>
      <c r="T2005" t="s">
        <v>13232</v>
      </c>
      <c r="U2005" t="s">
        <v>13232</v>
      </c>
      <c r="V2005" t="s">
        <v>13232</v>
      </c>
      <c r="W2005" t="s">
        <v>15186</v>
      </c>
      <c r="X2005">
        <v>15</v>
      </c>
      <c r="Y2005" t="s">
        <v>21689</v>
      </c>
      <c r="Z2005" t="s">
        <v>28136</v>
      </c>
      <c r="AA2005">
        <v>0.76125051425898271</v>
      </c>
      <c r="AB2005" t="str">
        <f>HYPERLINK("Melting_Curves/meltCurve_P20618_PSMB1.pdf", "Melting_Curves/meltCurve_P20618_PSMB1.pdf")</f>
        <v>Melting_Curves/meltCurve_P20618_PSMB1.pdf</v>
      </c>
    </row>
    <row r="2006" spans="1:28" x14ac:dyDescent="0.25">
      <c r="A2006" t="s">
        <v>2010</v>
      </c>
      <c r="B2006">
        <v>0.99930955844802105</v>
      </c>
      <c r="C2006">
        <v>1.0263295916394799</v>
      </c>
      <c r="D2006">
        <v>1.0528345784029001</v>
      </c>
      <c r="E2006">
        <v>0.98326844650601197</v>
      </c>
      <c r="F2006">
        <v>0.84219799474108104</v>
      </c>
      <c r="G2006">
        <v>0.68825646172713195</v>
      </c>
      <c r="H2006">
        <v>0.62591231202455999</v>
      </c>
      <c r="I2006">
        <v>0.62473478195549603</v>
      </c>
      <c r="J2006">
        <v>0.60025483590454098</v>
      </c>
      <c r="K2006">
        <v>0.49125704702259498</v>
      </c>
      <c r="L2006">
        <v>1194.11489036785</v>
      </c>
      <c r="M2006">
        <v>21.739795299952402</v>
      </c>
      <c r="O2006">
        <v>54.469179197403697</v>
      </c>
      <c r="P2006">
        <v>-4.3616851882669297E-2</v>
      </c>
      <c r="Q2006">
        <v>0.56288116136194399</v>
      </c>
      <c r="R2006">
        <v>0.96392311741912096</v>
      </c>
      <c r="S2006" t="s">
        <v>8623</v>
      </c>
      <c r="T2006" t="s">
        <v>13232</v>
      </c>
      <c r="U2006" t="s">
        <v>13232</v>
      </c>
      <c r="V2006" t="s">
        <v>13232</v>
      </c>
      <c r="W2006" t="s">
        <v>15187</v>
      </c>
      <c r="X2006">
        <v>7</v>
      </c>
      <c r="Y2006" t="s">
        <v>21690</v>
      </c>
      <c r="Z2006" t="s">
        <v>28137</v>
      </c>
      <c r="AA2006">
        <v>0.78550566103261033</v>
      </c>
      <c r="AB2006" t="str">
        <f>HYPERLINK("Melting_Curves/meltCurve_P20674_COX5A.pdf", "Melting_Curves/meltCurve_P20674_COX5A.pdf")</f>
        <v>Melting_Curves/meltCurve_P20674_COX5A.pdf</v>
      </c>
    </row>
    <row r="2007" spans="1:28" x14ac:dyDescent="0.25">
      <c r="A2007" t="s">
        <v>2011</v>
      </c>
      <c r="B2007">
        <v>0.99930955844802105</v>
      </c>
      <c r="C2007">
        <v>1.1180503154294601</v>
      </c>
      <c r="D2007">
        <v>1.09278978453925</v>
      </c>
      <c r="E2007">
        <v>0.99983147793798899</v>
      </c>
      <c r="F2007">
        <v>0.88933495009433206</v>
      </c>
      <c r="G2007">
        <v>0.74047493194460801</v>
      </c>
      <c r="H2007">
        <v>0.64232474443934695</v>
      </c>
      <c r="I2007">
        <v>0.582812911867022</v>
      </c>
      <c r="J2007">
        <v>0.53988196045508097</v>
      </c>
      <c r="K2007">
        <v>0.44145200302403897</v>
      </c>
      <c r="L2007">
        <v>941.768767792311</v>
      </c>
      <c r="M2007">
        <v>16.1710446481984</v>
      </c>
      <c r="N2007">
        <v>68.1646334987187</v>
      </c>
      <c r="O2007">
        <v>57.369227256837597</v>
      </c>
      <c r="P2007">
        <v>-3.8581186860159399E-2</v>
      </c>
      <c r="Q2007">
        <v>0.45255095220573299</v>
      </c>
      <c r="R2007">
        <v>0.94366117411709305</v>
      </c>
      <c r="S2007" t="s">
        <v>8624</v>
      </c>
      <c r="T2007" t="s">
        <v>13232</v>
      </c>
      <c r="U2007" t="s">
        <v>13232</v>
      </c>
      <c r="V2007" t="s">
        <v>13232</v>
      </c>
      <c r="W2007" t="s">
        <v>15188</v>
      </c>
      <c r="X2007">
        <v>44</v>
      </c>
      <c r="Y2007" t="s">
        <v>21691</v>
      </c>
      <c r="Z2007" t="s">
        <v>28138</v>
      </c>
      <c r="AA2007">
        <v>0.79226527622216492</v>
      </c>
      <c r="AB2007" t="str">
        <f>HYPERLINK("Melting_Curves/meltCurve_P20700_LMNB1.pdf", "Melting_Curves/meltCurve_P20700_LMNB1.pdf")</f>
        <v>Melting_Curves/meltCurve_P20700_LMNB1.pdf</v>
      </c>
    </row>
    <row r="2008" spans="1:28" x14ac:dyDescent="0.25">
      <c r="A2008" t="s">
        <v>2012</v>
      </c>
      <c r="B2008">
        <v>0.99930955844802105</v>
      </c>
      <c r="C2008">
        <v>0.89388076475867995</v>
      </c>
      <c r="D2008">
        <v>0.626751546493723</v>
      </c>
      <c r="E2008">
        <v>0.30614407477205302</v>
      </c>
      <c r="F2008">
        <v>0.177397392968973</v>
      </c>
      <c r="G2008">
        <v>0.162446906743233</v>
      </c>
      <c r="H2008">
        <v>7.5323062565018695E-2</v>
      </c>
      <c r="I2008">
        <v>7.9765492533270393E-2</v>
      </c>
      <c r="J2008">
        <v>5.73525531818029E-2</v>
      </c>
      <c r="K2008">
        <v>1.6098570881944E-2</v>
      </c>
      <c r="L2008">
        <v>865.30260312576002</v>
      </c>
      <c r="M2008">
        <v>18.312079691441799</v>
      </c>
      <c r="N2008">
        <v>47.6005503066961</v>
      </c>
      <c r="O2008">
        <v>46.700402142372198</v>
      </c>
      <c r="P2008">
        <v>-9.1901314775509405E-2</v>
      </c>
      <c r="Q2008">
        <v>6.2557491068639295E-2</v>
      </c>
      <c r="R2008">
        <v>0.99326709996580298</v>
      </c>
      <c r="S2008" t="s">
        <v>8625</v>
      </c>
      <c r="T2008" t="s">
        <v>13232</v>
      </c>
      <c r="U2008" t="s">
        <v>13232</v>
      </c>
      <c r="V2008" t="s">
        <v>13232</v>
      </c>
      <c r="W2008" t="s">
        <v>15189</v>
      </c>
      <c r="X2008">
        <v>2</v>
      </c>
      <c r="Y2008" t="s">
        <v>21692</v>
      </c>
      <c r="Z2008" t="s">
        <v>28139</v>
      </c>
      <c r="AA2008">
        <v>0.30567406161501581</v>
      </c>
      <c r="AB2008" t="str">
        <f>HYPERLINK("Melting_Curves/meltCurve_P20749_BCL3.pdf", "Melting_Curves/meltCurve_P20749_BCL3.pdf")</f>
        <v>Melting_Curves/meltCurve_P20749_BCL3.pdf</v>
      </c>
    </row>
    <row r="2009" spans="1:28" x14ac:dyDescent="0.25">
      <c r="A2009" t="s">
        <v>2013</v>
      </c>
      <c r="B2009">
        <v>0.99930955844802105</v>
      </c>
      <c r="C2009">
        <v>0.77214025090322003</v>
      </c>
      <c r="D2009">
        <v>0.92210708198875802</v>
      </c>
      <c r="E2009">
        <v>0.68830637118813098</v>
      </c>
      <c r="F2009">
        <v>0.61657714890473303</v>
      </c>
      <c r="G2009">
        <v>0.58547386624423103</v>
      </c>
      <c r="H2009">
        <v>0.50796195392856103</v>
      </c>
      <c r="I2009">
        <v>0.55597147385523904</v>
      </c>
      <c r="J2009">
        <v>0.26583925712793299</v>
      </c>
      <c r="K2009">
        <v>0.180974707154332</v>
      </c>
      <c r="L2009">
        <v>338.54548106518399</v>
      </c>
      <c r="M2009">
        <v>5.7132927025559299</v>
      </c>
      <c r="N2009">
        <v>59.255773737598197</v>
      </c>
      <c r="O2009">
        <v>53.198174611918297</v>
      </c>
      <c r="P2009">
        <v>-2.6952556961756299E-2</v>
      </c>
      <c r="Q2009">
        <v>0</v>
      </c>
      <c r="R2009">
        <v>0.86835476563589098</v>
      </c>
      <c r="S2009" t="s">
        <v>8626</v>
      </c>
      <c r="T2009" t="s">
        <v>13232</v>
      </c>
      <c r="U2009" t="s">
        <v>13232</v>
      </c>
      <c r="V2009" t="s">
        <v>13232</v>
      </c>
      <c r="W2009" t="s">
        <v>15190</v>
      </c>
      <c r="X2009">
        <v>6</v>
      </c>
      <c r="Y2009" t="s">
        <v>21693</v>
      </c>
      <c r="Z2009" t="s">
        <v>28140</v>
      </c>
      <c r="AA2009">
        <v>0.61448313129240262</v>
      </c>
      <c r="AB2009" t="str">
        <f>HYPERLINK("Melting_Curves/meltCurve_P20933_AGA.pdf", "Melting_Curves/meltCurve_P20933_AGA.pdf")</f>
        <v>Melting_Curves/meltCurve_P20933_AGA.pdf</v>
      </c>
    </row>
    <row r="2010" spans="1:28" x14ac:dyDescent="0.25">
      <c r="A2010" t="s">
        <v>2014</v>
      </c>
      <c r="B2010">
        <v>0.99930955844802105</v>
      </c>
      <c r="C2010">
        <v>1.0067167812428599</v>
      </c>
      <c r="D2010">
        <v>0.923739524717337</v>
      </c>
      <c r="E2010">
        <v>0.56242233197973701</v>
      </c>
      <c r="F2010">
        <v>0.19729361710731499</v>
      </c>
      <c r="G2010">
        <v>0.133685668052862</v>
      </c>
      <c r="H2010">
        <v>7.4848008742132793E-2</v>
      </c>
      <c r="I2010">
        <v>7.0965848093557396E-2</v>
      </c>
      <c r="J2010">
        <v>6.0579566329402097E-2</v>
      </c>
      <c r="K2010">
        <v>4.50293343862836E-2</v>
      </c>
      <c r="L2010">
        <v>1482.8805053332901</v>
      </c>
      <c r="M2010">
        <v>29.5891220426507</v>
      </c>
      <c r="N2010">
        <v>50.361260276796799</v>
      </c>
      <c r="O2010">
        <v>49.8884891362177</v>
      </c>
      <c r="P2010">
        <v>-0.13831792064336501</v>
      </c>
      <c r="Q2010">
        <v>6.7167271368520506E-2</v>
      </c>
      <c r="R2010">
        <v>0.99784475876928103</v>
      </c>
      <c r="S2010" t="s">
        <v>8627</v>
      </c>
      <c r="T2010" t="s">
        <v>13232</v>
      </c>
      <c r="U2010" t="s">
        <v>13232</v>
      </c>
      <c r="V2010" t="s">
        <v>13232</v>
      </c>
      <c r="W2010" t="s">
        <v>15191</v>
      </c>
      <c r="X2010">
        <v>24</v>
      </c>
      <c r="Y2010" t="s">
        <v>21694</v>
      </c>
      <c r="Z2010" t="s">
        <v>28141</v>
      </c>
      <c r="AA2010">
        <v>0.38765405849338141</v>
      </c>
      <c r="AB2010" t="str">
        <f>HYPERLINK("Melting_Curves/meltCurve_P20936_2_RASA1.pdf", "Melting_Curves/meltCurve_P20936_2_RASA1.pdf")</f>
        <v>Melting_Curves/meltCurve_P20936_2_RASA1.pdf</v>
      </c>
    </row>
    <row r="2011" spans="1:28" x14ac:dyDescent="0.25">
      <c r="A2011" t="s">
        <v>2015</v>
      </c>
      <c r="B2011">
        <v>0.99930955844802105</v>
      </c>
      <c r="C2011">
        <v>1.1628017934938799</v>
      </c>
      <c r="D2011">
        <v>1.2402116355047399</v>
      </c>
      <c r="E2011">
        <v>1.26389141895317</v>
      </c>
      <c r="F2011">
        <v>1.05699040907638</v>
      </c>
      <c r="G2011">
        <v>1.2965689369203</v>
      </c>
      <c r="H2011">
        <v>1.6502616185435699</v>
      </c>
      <c r="I2011">
        <v>1.8615184364688799</v>
      </c>
      <c r="J2011">
        <v>2.33850177107107</v>
      </c>
      <c r="K2011">
        <v>1.6672929489924899</v>
      </c>
      <c r="L2011">
        <v>14228.5136915126</v>
      </c>
      <c r="M2011">
        <v>250</v>
      </c>
      <c r="O2011">
        <v>56.9104120728868</v>
      </c>
      <c r="P2011">
        <v>0.54910865313935697</v>
      </c>
      <c r="Q2011">
        <v>1.5</v>
      </c>
      <c r="R2011">
        <v>0.34427015852252202</v>
      </c>
      <c r="S2011" t="s">
        <v>8628</v>
      </c>
      <c r="T2011" t="s">
        <v>13232</v>
      </c>
      <c r="U2011" t="s">
        <v>13232</v>
      </c>
      <c r="V2011" t="s">
        <v>13232</v>
      </c>
      <c r="W2011" t="s">
        <v>15192</v>
      </c>
      <c r="X2011">
        <v>6</v>
      </c>
      <c r="Y2011" t="s">
        <v>21695</v>
      </c>
      <c r="Z2011" t="s">
        <v>28142</v>
      </c>
      <c r="AA2011">
        <v>1.218049145592325</v>
      </c>
      <c r="AB2011" t="str">
        <f>HYPERLINK("Melting_Curves/meltCurve_P20962_PTMS.pdf", "Melting_Curves/meltCurve_P20962_PTMS.pdf")</f>
        <v>Melting_Curves/meltCurve_P20962_PTMS.pdf</v>
      </c>
    </row>
    <row r="2012" spans="1:28" x14ac:dyDescent="0.25">
      <c r="A2012" t="s">
        <v>2016</v>
      </c>
      <c r="B2012">
        <v>0.99930955844802105</v>
      </c>
      <c r="C2012">
        <v>0.73232712131212097</v>
      </c>
      <c r="D2012">
        <v>0.45159847422175198</v>
      </c>
      <c r="E2012">
        <v>0.31696130037324399</v>
      </c>
      <c r="F2012">
        <v>0.227291388181591</v>
      </c>
      <c r="G2012">
        <v>0.17118004225900499</v>
      </c>
      <c r="H2012">
        <v>0.13160906337942699</v>
      </c>
      <c r="I2012">
        <v>0.13117309300494601</v>
      </c>
      <c r="J2012">
        <v>0.13247569337125001</v>
      </c>
      <c r="K2012">
        <v>0.106529571192924</v>
      </c>
      <c r="L2012">
        <v>789.08532982067504</v>
      </c>
      <c r="M2012">
        <v>17.479165733415901</v>
      </c>
      <c r="N2012">
        <v>45.974732991422201</v>
      </c>
      <c r="O2012">
        <v>44.565870479562697</v>
      </c>
      <c r="P2012">
        <v>-8.4784322938838905E-2</v>
      </c>
      <c r="Q2012">
        <v>0.13536425727117099</v>
      </c>
      <c r="R2012">
        <v>0.98312987316782796</v>
      </c>
      <c r="S2012" t="s">
        <v>8629</v>
      </c>
      <c r="T2012" t="s">
        <v>13232</v>
      </c>
      <c r="U2012" t="s">
        <v>13232</v>
      </c>
      <c r="V2012" t="s">
        <v>13232</v>
      </c>
      <c r="W2012" t="s">
        <v>15193</v>
      </c>
      <c r="X2012">
        <v>31</v>
      </c>
      <c r="Y2012" t="s">
        <v>21696</v>
      </c>
      <c r="Z2012" t="s">
        <v>28143</v>
      </c>
      <c r="AA2012">
        <v>0.30323943047653951</v>
      </c>
      <c r="AB2012" t="str">
        <f>HYPERLINK("Melting_Curves/meltCurve_P21127_CDK11B.pdf", "Melting_Curves/meltCurve_P21127_CDK11B.pdf")</f>
        <v>Melting_Curves/meltCurve_P21127_CDK11B.pdf</v>
      </c>
    </row>
    <row r="2013" spans="1:28" x14ac:dyDescent="0.25">
      <c r="A2013" t="s">
        <v>2017</v>
      </c>
      <c r="B2013">
        <v>0.99930955844802105</v>
      </c>
      <c r="C2013">
        <v>1.1099812254857899</v>
      </c>
      <c r="D2013">
        <v>0.7267760125753</v>
      </c>
      <c r="E2013">
        <v>0.35924094390696898</v>
      </c>
      <c r="F2013">
        <v>0.19969958065994001</v>
      </c>
      <c r="G2013">
        <v>0.13640922023150601</v>
      </c>
      <c r="H2013">
        <v>9.1293017166739696E-2</v>
      </c>
      <c r="I2013">
        <v>8.6032978586376402E-2</v>
      </c>
      <c r="J2013">
        <v>7.1916251559842395E-2</v>
      </c>
      <c r="K2013">
        <v>4.5996021792203599E-2</v>
      </c>
      <c r="L2013">
        <v>1177.76153249551</v>
      </c>
      <c r="M2013">
        <v>24.421440581798901</v>
      </c>
      <c r="N2013">
        <v>48.591763482619797</v>
      </c>
      <c r="O2013">
        <v>47.906660712226902</v>
      </c>
      <c r="P2013">
        <v>-0.116758778038016</v>
      </c>
      <c r="Q2013">
        <v>8.3847562444514703E-2</v>
      </c>
      <c r="R2013">
        <v>0.98019143580097301</v>
      </c>
      <c r="S2013" t="s">
        <v>8630</v>
      </c>
      <c r="T2013" t="s">
        <v>13232</v>
      </c>
      <c r="U2013" t="s">
        <v>13232</v>
      </c>
      <c r="V2013" t="s">
        <v>13232</v>
      </c>
      <c r="W2013" t="s">
        <v>15194</v>
      </c>
      <c r="X2013">
        <v>9</v>
      </c>
      <c r="Y2013" t="s">
        <v>21697</v>
      </c>
      <c r="Z2013" t="s">
        <v>28144</v>
      </c>
      <c r="AA2013">
        <v>0.34357846161439543</v>
      </c>
      <c r="AB2013" t="str">
        <f>HYPERLINK("Melting_Curves/meltCurve_P21266_GSTM3.pdf", "Melting_Curves/meltCurve_P21266_GSTM3.pdf")</f>
        <v>Melting_Curves/meltCurve_P21266_GSTM3.pdf</v>
      </c>
    </row>
    <row r="2014" spans="1:28" x14ac:dyDescent="0.25">
      <c r="A2014" t="s">
        <v>2018</v>
      </c>
      <c r="B2014">
        <v>0.99930955844802105</v>
      </c>
      <c r="C2014">
        <v>0.85395772649965695</v>
      </c>
      <c r="D2014">
        <v>0.853796963900881</v>
      </c>
      <c r="E2014">
        <v>0.82743279086217203</v>
      </c>
      <c r="F2014">
        <v>0.63240775323318799</v>
      </c>
      <c r="G2014">
        <v>0.424973794500902</v>
      </c>
      <c r="H2014">
        <v>0.19038203061025799</v>
      </c>
      <c r="I2014">
        <v>0.120565457755672</v>
      </c>
      <c r="J2014">
        <v>9.0224207600138606E-2</v>
      </c>
      <c r="K2014">
        <v>7.6172820635941801E-2</v>
      </c>
      <c r="L2014">
        <v>687.10660675522001</v>
      </c>
      <c r="M2014">
        <v>12.478840899792401</v>
      </c>
      <c r="N2014">
        <v>55.061733074102499</v>
      </c>
      <c r="O2014">
        <v>53.7050725729543</v>
      </c>
      <c r="P2014">
        <v>-5.81016962879796E-2</v>
      </c>
      <c r="Q2014">
        <v>0</v>
      </c>
      <c r="R2014">
        <v>0.98005005109177901</v>
      </c>
      <c r="S2014" t="s">
        <v>8631</v>
      </c>
      <c r="T2014" t="s">
        <v>13232</v>
      </c>
      <c r="U2014" t="s">
        <v>13232</v>
      </c>
      <c r="V2014" t="s">
        <v>13232</v>
      </c>
      <c r="W2014" t="s">
        <v>15195</v>
      </c>
      <c r="X2014">
        <v>27</v>
      </c>
      <c r="Y2014" t="s">
        <v>21698</v>
      </c>
      <c r="Z2014" t="s">
        <v>28145</v>
      </c>
      <c r="AA2014">
        <v>0.52469728894113143</v>
      </c>
      <c r="AB2014" t="str">
        <f>HYPERLINK("Melting_Curves/meltCurve_P21281_ATP6V1B2.pdf", "Melting_Curves/meltCurve_P21281_ATP6V1B2.pdf")</f>
        <v>Melting_Curves/meltCurve_P21281_ATP6V1B2.pdf</v>
      </c>
    </row>
    <row r="2015" spans="1:28" x14ac:dyDescent="0.25">
      <c r="A2015" t="s">
        <v>2019</v>
      </c>
      <c r="B2015">
        <v>0.99930955844802105</v>
      </c>
      <c r="C2015">
        <v>1.00383108704644</v>
      </c>
      <c r="D2015">
        <v>0.93460945191627298</v>
      </c>
      <c r="E2015">
        <v>0.70263920162068305</v>
      </c>
      <c r="F2015">
        <v>0.37273812600682399</v>
      </c>
      <c r="G2015">
        <v>0.178637899263347</v>
      </c>
      <c r="H2015">
        <v>0.10191527763809299</v>
      </c>
      <c r="I2015">
        <v>8.9742988106514404E-2</v>
      </c>
      <c r="J2015">
        <v>8.1299597537885293E-2</v>
      </c>
      <c r="K2015">
        <v>6.8023245606569305E-2</v>
      </c>
      <c r="L2015">
        <v>1202.1766339313899</v>
      </c>
      <c r="M2015">
        <v>23.358888447225301</v>
      </c>
      <c r="N2015">
        <v>51.837697312815102</v>
      </c>
      <c r="O2015">
        <v>51.092766299476402</v>
      </c>
      <c r="P2015">
        <v>-0.105473491911761</v>
      </c>
      <c r="Q2015">
        <v>7.7210243423265199E-2</v>
      </c>
      <c r="R2015">
        <v>0.99932732458981999</v>
      </c>
      <c r="S2015" t="s">
        <v>8632</v>
      </c>
      <c r="T2015" t="s">
        <v>13232</v>
      </c>
      <c r="U2015" t="s">
        <v>13232</v>
      </c>
      <c r="V2015" t="s">
        <v>13232</v>
      </c>
      <c r="W2015" t="s">
        <v>15196</v>
      </c>
      <c r="X2015">
        <v>20</v>
      </c>
      <c r="Y2015" t="s">
        <v>21699</v>
      </c>
      <c r="Z2015" t="s">
        <v>28146</v>
      </c>
      <c r="AA2015">
        <v>0.43943935923072741</v>
      </c>
      <c r="AB2015" t="str">
        <f>HYPERLINK("Melting_Curves/meltCurve_P21283_ATP6V1C1.pdf", "Melting_Curves/meltCurve_P21283_ATP6V1C1.pdf")</f>
        <v>Melting_Curves/meltCurve_P21283_ATP6V1C1.pdf</v>
      </c>
    </row>
    <row r="2016" spans="1:28" x14ac:dyDescent="0.25">
      <c r="A2016" t="s">
        <v>2020</v>
      </c>
      <c r="B2016">
        <v>0.99930955844802105</v>
      </c>
      <c r="C2016">
        <v>1.01967806619337</v>
      </c>
      <c r="D2016">
        <v>1.0800007283719699</v>
      </c>
      <c r="E2016">
        <v>1.00664250161086</v>
      </c>
      <c r="F2016">
        <v>0.78443793940406503</v>
      </c>
      <c r="G2016">
        <v>0.69260635592450503</v>
      </c>
      <c r="H2016">
        <v>0.63116999700991905</v>
      </c>
      <c r="I2016">
        <v>0.57498653414566603</v>
      </c>
      <c r="J2016">
        <v>0.46598348847719501</v>
      </c>
      <c r="K2016">
        <v>0.31225171191781198</v>
      </c>
      <c r="L2016">
        <v>584.455953160749</v>
      </c>
      <c r="M2016">
        <v>9.2666942146481794</v>
      </c>
      <c r="N2016">
        <v>64.692916020923306</v>
      </c>
      <c r="O2016">
        <v>60.342157292825597</v>
      </c>
      <c r="P2016">
        <v>-3.44341930103075E-2</v>
      </c>
      <c r="Q2016">
        <v>0.10367883967559099</v>
      </c>
      <c r="R2016">
        <v>0.94231356503389696</v>
      </c>
      <c r="S2016" t="s">
        <v>8633</v>
      </c>
      <c r="T2016" t="s">
        <v>13232</v>
      </c>
      <c r="U2016" t="s">
        <v>13232</v>
      </c>
      <c r="V2016" t="s">
        <v>13232</v>
      </c>
      <c r="W2016" t="s">
        <v>15197</v>
      </c>
      <c r="X2016">
        <v>8</v>
      </c>
      <c r="Y2016" t="s">
        <v>21700</v>
      </c>
      <c r="Z2016" t="s">
        <v>28147</v>
      </c>
      <c r="AA2016">
        <v>0.75925865483192712</v>
      </c>
      <c r="AB2016" t="str">
        <f>HYPERLINK("Melting_Curves/meltCurve_P21291_CSRP1.pdf", "Melting_Curves/meltCurve_P21291_CSRP1.pdf")</f>
        <v>Melting_Curves/meltCurve_P21291_CSRP1.pdf</v>
      </c>
    </row>
    <row r="2017" spans="1:28" x14ac:dyDescent="0.25">
      <c r="A2017" t="s">
        <v>2021</v>
      </c>
      <c r="B2017">
        <v>0.99930955844802105</v>
      </c>
      <c r="C2017">
        <v>1.0177795740484601</v>
      </c>
      <c r="D2017">
        <v>0.96548223308164705</v>
      </c>
      <c r="E2017">
        <v>0.91409457213314005</v>
      </c>
      <c r="F2017">
        <v>0.41668702140356501</v>
      </c>
      <c r="G2017">
        <v>0.27499245405363998</v>
      </c>
      <c r="H2017">
        <v>0.182861138712857</v>
      </c>
      <c r="I2017">
        <v>0.150640518211166</v>
      </c>
      <c r="J2017">
        <v>0.12684100630305001</v>
      </c>
      <c r="K2017">
        <v>8.6463529729764593E-2</v>
      </c>
      <c r="L2017">
        <v>2244.75707157341</v>
      </c>
      <c r="M2017">
        <v>43.028587190096701</v>
      </c>
      <c r="N2017">
        <v>52.628581048092499</v>
      </c>
      <c r="O2017">
        <v>52.056665436456903</v>
      </c>
      <c r="P2017">
        <v>-0.17427868275978201</v>
      </c>
      <c r="Q2017">
        <v>0.15662087967618701</v>
      </c>
      <c r="R2017">
        <v>0.98760090991528804</v>
      </c>
      <c r="S2017" t="s">
        <v>8634</v>
      </c>
      <c r="T2017" t="s">
        <v>13232</v>
      </c>
      <c r="U2017" t="s">
        <v>13232</v>
      </c>
      <c r="V2017" t="s">
        <v>13232</v>
      </c>
      <c r="W2017" t="s">
        <v>15198</v>
      </c>
      <c r="X2017">
        <v>133</v>
      </c>
      <c r="Y2017" t="s">
        <v>21701</v>
      </c>
      <c r="Z2017" t="s">
        <v>28148</v>
      </c>
      <c r="AA2017">
        <v>0.50134742847271441</v>
      </c>
      <c r="AB2017" t="str">
        <f>HYPERLINK("Melting_Curves/meltCurve_P21333_2_FLNA.pdf", "Melting_Curves/meltCurve_P21333_2_FLNA.pdf")</f>
        <v>Melting_Curves/meltCurve_P21333_2_FLNA.pdf</v>
      </c>
    </row>
    <row r="2018" spans="1:28" x14ac:dyDescent="0.25">
      <c r="A2018" t="s">
        <v>2022</v>
      </c>
      <c r="B2018">
        <v>0.99930955844802105</v>
      </c>
      <c r="C2018">
        <v>0.59681827796467202</v>
      </c>
      <c r="D2018">
        <v>0.63290066665172495</v>
      </c>
      <c r="E2018">
        <v>0.56882423303154195</v>
      </c>
      <c r="F2018">
        <v>0.33525553525362101</v>
      </c>
      <c r="G2018">
        <v>0.27641318363195</v>
      </c>
      <c r="H2018">
        <v>0.135793641602</v>
      </c>
      <c r="I2018">
        <v>0.146858101446011</v>
      </c>
      <c r="J2018">
        <v>0.13057498888512001</v>
      </c>
      <c r="K2018">
        <v>9.7029198471089095E-2</v>
      </c>
      <c r="L2018">
        <v>383.48299920843402</v>
      </c>
      <c r="M2018">
        <v>7.7774999256438999</v>
      </c>
      <c r="N2018">
        <v>49.323043367562299</v>
      </c>
      <c r="O2018">
        <v>46.365357022308501</v>
      </c>
      <c r="P2018">
        <v>-4.1934657415230399E-2</v>
      </c>
      <c r="Q2018">
        <v>1.2854269006109501E-3</v>
      </c>
      <c r="R2018">
        <v>0.92490060388217699</v>
      </c>
      <c r="S2018" t="s">
        <v>8635</v>
      </c>
      <c r="T2018" t="s">
        <v>13232</v>
      </c>
      <c r="U2018" t="s">
        <v>13232</v>
      </c>
      <c r="V2018" t="s">
        <v>13232</v>
      </c>
      <c r="W2018" t="s">
        <v>15199</v>
      </c>
      <c r="X2018">
        <v>17</v>
      </c>
      <c r="Y2018" t="s">
        <v>21702</v>
      </c>
      <c r="Z2018" t="s">
        <v>28149</v>
      </c>
      <c r="AA2018">
        <v>0.37721214279240289</v>
      </c>
      <c r="AB2018" t="str">
        <f>HYPERLINK("Melting_Curves/meltCurve_P21359_2_NF1.pdf", "Melting_Curves/meltCurve_P21359_2_NF1.pdf")</f>
        <v>Melting_Curves/meltCurve_P21359_2_NF1.pdf</v>
      </c>
    </row>
    <row r="2019" spans="1:28" x14ac:dyDescent="0.25">
      <c r="A2019" t="s">
        <v>2023</v>
      </c>
      <c r="B2019">
        <v>0.99930955844802105</v>
      </c>
      <c r="C2019">
        <v>1.01219404463439</v>
      </c>
      <c r="D2019">
        <v>0.61883279491064702</v>
      </c>
      <c r="E2019">
        <v>0.248752360883538</v>
      </c>
      <c r="F2019">
        <v>0.14828155576645899</v>
      </c>
      <c r="G2019">
        <v>0.113441639846311</v>
      </c>
      <c r="H2019">
        <v>6.5918925833642505E-2</v>
      </c>
      <c r="I2019">
        <v>5.7075406677091003E-2</v>
      </c>
      <c r="J2019">
        <v>5.2557761320053097E-2</v>
      </c>
      <c r="K2019">
        <v>3.7246840384002097E-2</v>
      </c>
      <c r="L2019">
        <v>1216.75886083153</v>
      </c>
      <c r="M2019">
        <v>25.8827747415693</v>
      </c>
      <c r="N2019">
        <v>47.282480852759299</v>
      </c>
      <c r="O2019">
        <v>46.732431091830598</v>
      </c>
      <c r="P2019">
        <v>-0.12888305429981101</v>
      </c>
      <c r="Q2019">
        <v>6.9195770651833605E-2</v>
      </c>
      <c r="R2019">
        <v>0.99055443739828597</v>
      </c>
      <c r="S2019" t="s">
        <v>8636</v>
      </c>
      <c r="T2019" t="s">
        <v>13232</v>
      </c>
      <c r="U2019" t="s">
        <v>13232</v>
      </c>
      <c r="V2019" t="s">
        <v>13232</v>
      </c>
      <c r="W2019" t="s">
        <v>15200</v>
      </c>
      <c r="X2019">
        <v>32</v>
      </c>
      <c r="Y2019" t="s">
        <v>21703</v>
      </c>
      <c r="Z2019" t="s">
        <v>28150</v>
      </c>
      <c r="AA2019">
        <v>0.29440305054484539</v>
      </c>
      <c r="AB2019" t="str">
        <f>HYPERLINK("Melting_Curves/meltCurve_P21399_ACO1.pdf", "Melting_Curves/meltCurve_P21399_ACO1.pdf")</f>
        <v>Melting_Curves/meltCurve_P21399_ACO1.pdf</v>
      </c>
    </row>
    <row r="2020" spans="1:28" x14ac:dyDescent="0.25">
      <c r="A2020" t="s">
        <v>2024</v>
      </c>
      <c r="B2020">
        <v>0.99930955844802105</v>
      </c>
      <c r="C2020">
        <v>1.01012518613867</v>
      </c>
      <c r="D2020">
        <v>0.88845117017779895</v>
      </c>
      <c r="E2020">
        <v>0.56852838678734396</v>
      </c>
      <c r="F2020">
        <v>0.38877276809830602</v>
      </c>
      <c r="G2020">
        <v>0.30021140345576602</v>
      </c>
      <c r="H2020">
        <v>0.210347844251799</v>
      </c>
      <c r="I2020">
        <v>0.20468604820161901</v>
      </c>
      <c r="J2020">
        <v>0.19920515538855799</v>
      </c>
      <c r="K2020">
        <v>0.14669456660642799</v>
      </c>
      <c r="L2020">
        <v>980.48318193371404</v>
      </c>
      <c r="M2020">
        <v>19.606377244885</v>
      </c>
      <c r="N2020">
        <v>51.236834726999</v>
      </c>
      <c r="O2020">
        <v>49.496883554799702</v>
      </c>
      <c r="P2020">
        <v>-8.04609589865833E-2</v>
      </c>
      <c r="Q2020">
        <v>0.18752457756641899</v>
      </c>
      <c r="R2020">
        <v>0.99404690086521397</v>
      </c>
      <c r="S2020" t="s">
        <v>8637</v>
      </c>
      <c r="T2020" t="s">
        <v>13232</v>
      </c>
      <c r="U2020" t="s">
        <v>13232</v>
      </c>
      <c r="V2020" t="s">
        <v>13232</v>
      </c>
      <c r="W2020" t="s">
        <v>15201</v>
      </c>
      <c r="X2020">
        <v>16</v>
      </c>
      <c r="Y2020" t="s">
        <v>21704</v>
      </c>
      <c r="Z2020" t="s">
        <v>28151</v>
      </c>
      <c r="AA2020">
        <v>0.4703330832074078</v>
      </c>
      <c r="AB2020" t="str">
        <f>HYPERLINK("Melting_Curves/meltCurve_P21675_TAF1.pdf", "Melting_Curves/meltCurve_P21675_TAF1.pdf")</f>
        <v>Melting_Curves/meltCurve_P21675_TAF1.pdf</v>
      </c>
    </row>
    <row r="2021" spans="1:28" x14ac:dyDescent="0.25">
      <c r="A2021" t="s">
        <v>2025</v>
      </c>
      <c r="B2021">
        <v>0.99930955844802105</v>
      </c>
      <c r="C2021">
        <v>0.76281899688245902</v>
      </c>
      <c r="D2021">
        <v>0.575698212649708</v>
      </c>
      <c r="E2021">
        <v>0.77569891746467701</v>
      </c>
      <c r="F2021">
        <v>0.292760189689308</v>
      </c>
      <c r="G2021">
        <v>0.10416911188404</v>
      </c>
      <c r="H2021">
        <v>5.40593629028501E-2</v>
      </c>
      <c r="I2021">
        <v>4.6108534885786201E-2</v>
      </c>
      <c r="J2021">
        <v>3.6715353134293402E-2</v>
      </c>
      <c r="K2021">
        <v>3.1011320037468801E-2</v>
      </c>
      <c r="L2021">
        <v>572.62338574445903</v>
      </c>
      <c r="M2021">
        <v>11.480116675024799</v>
      </c>
      <c r="N2021">
        <v>49.879578913064897</v>
      </c>
      <c r="O2021">
        <v>48.4380825471086</v>
      </c>
      <c r="P2021">
        <v>-5.92684583204941E-2</v>
      </c>
      <c r="Q2021">
        <v>0</v>
      </c>
      <c r="R2021">
        <v>0.89750041851722595</v>
      </c>
      <c r="S2021" t="s">
        <v>8638</v>
      </c>
      <c r="T2021" t="s">
        <v>13232</v>
      </c>
      <c r="U2021" t="s">
        <v>13232</v>
      </c>
      <c r="V2021" t="s">
        <v>13232</v>
      </c>
      <c r="W2021" t="s">
        <v>15202</v>
      </c>
      <c r="X2021">
        <v>9</v>
      </c>
      <c r="Y2021" t="s">
        <v>21705</v>
      </c>
      <c r="Z2021" t="s">
        <v>28152</v>
      </c>
      <c r="AA2021">
        <v>0.36666358244270009</v>
      </c>
      <c r="AB2021" t="str">
        <f>HYPERLINK("Melting_Curves/meltCurve_P21796_VDAC1.pdf", "Melting_Curves/meltCurve_P21796_VDAC1.pdf")</f>
        <v>Melting_Curves/meltCurve_P21796_VDAC1.pdf</v>
      </c>
    </row>
    <row r="2022" spans="1:28" x14ac:dyDescent="0.25">
      <c r="A2022" t="s">
        <v>2026</v>
      </c>
      <c r="B2022">
        <v>0.99930955844802105</v>
      </c>
      <c r="C2022">
        <v>0.96959744771233902</v>
      </c>
      <c r="D2022">
        <v>0.79325277557631102</v>
      </c>
      <c r="E2022">
        <v>0.49720275479397802</v>
      </c>
      <c r="F2022">
        <v>0.21037645897868701</v>
      </c>
      <c r="G2022">
        <v>0.13208225121866499</v>
      </c>
      <c r="H2022">
        <v>8.1836442867002396E-2</v>
      </c>
      <c r="I2022">
        <v>7.5155755425191401E-2</v>
      </c>
      <c r="J2022">
        <v>6.18637729900543E-2</v>
      </c>
      <c r="K2022">
        <v>4.8155135986383102E-2</v>
      </c>
      <c r="L2022">
        <v>978.91290450913596</v>
      </c>
      <c r="M2022">
        <v>19.848669820957799</v>
      </c>
      <c r="N2022">
        <v>49.620710440767802</v>
      </c>
      <c r="O2022">
        <v>48.8263905506006</v>
      </c>
      <c r="P2022">
        <v>-9.5851714249167996E-2</v>
      </c>
      <c r="Q2022">
        <v>5.6876590820500901E-2</v>
      </c>
      <c r="R2022">
        <v>0.99734428101533601</v>
      </c>
      <c r="S2022" t="s">
        <v>8639</v>
      </c>
      <c r="T2022" t="s">
        <v>13232</v>
      </c>
      <c r="U2022" t="s">
        <v>13232</v>
      </c>
      <c r="V2022" t="s">
        <v>13232</v>
      </c>
      <c r="W2022" t="s">
        <v>15203</v>
      </c>
      <c r="X2022">
        <v>19</v>
      </c>
      <c r="Y2022" t="s">
        <v>21706</v>
      </c>
      <c r="Z2022" t="s">
        <v>28153</v>
      </c>
      <c r="AA2022">
        <v>0.36321530358599369</v>
      </c>
      <c r="AB2022" t="str">
        <f>HYPERLINK("Melting_Curves/meltCurve_P21964_2_COMT.pdf", "Melting_Curves/meltCurve_P21964_2_COMT.pdf")</f>
        <v>Melting_Curves/meltCurve_P21964_2_COMT.pdf</v>
      </c>
    </row>
    <row r="2023" spans="1:28" x14ac:dyDescent="0.25">
      <c r="A2023" t="s">
        <v>2027</v>
      </c>
      <c r="B2023">
        <v>0.99930955844802105</v>
      </c>
      <c r="C2023">
        <v>1.02958750342853</v>
      </c>
      <c r="D2023">
        <v>0.96322045050997596</v>
      </c>
      <c r="E2023">
        <v>0.74721624074830195</v>
      </c>
      <c r="F2023">
        <v>0.33892645774576602</v>
      </c>
      <c r="G2023">
        <v>0.17252411418414801</v>
      </c>
      <c r="H2023">
        <v>9.7657751309016605E-2</v>
      </c>
      <c r="I2023">
        <v>7.48655131234017E-2</v>
      </c>
      <c r="J2023">
        <v>6.6577039019709405E-2</v>
      </c>
      <c r="K2023">
        <v>5.0234462543936799E-2</v>
      </c>
      <c r="L2023">
        <v>1483.6658549547301</v>
      </c>
      <c r="M2023">
        <v>28.7788976923778</v>
      </c>
      <c r="N2023">
        <v>51.846412964741802</v>
      </c>
      <c r="O2023">
        <v>51.306944270004998</v>
      </c>
      <c r="P2023">
        <v>-0.12972350883488801</v>
      </c>
      <c r="Q2023">
        <v>7.4924053773868196E-2</v>
      </c>
      <c r="R2023">
        <v>0.99716191860823</v>
      </c>
      <c r="S2023" t="s">
        <v>8640</v>
      </c>
      <c r="T2023" t="s">
        <v>13232</v>
      </c>
      <c r="U2023" t="s">
        <v>13232</v>
      </c>
      <c r="V2023" t="s">
        <v>13232</v>
      </c>
      <c r="W2023" t="s">
        <v>15204</v>
      </c>
      <c r="X2023">
        <v>33</v>
      </c>
      <c r="Y2023" t="s">
        <v>21707</v>
      </c>
      <c r="Z2023" t="s">
        <v>28154</v>
      </c>
      <c r="AA2023">
        <v>0.43757456351882068</v>
      </c>
      <c r="AB2023" t="str">
        <f>HYPERLINK("Melting_Curves/meltCurve_P21980_TGM2.pdf", "Melting_Curves/meltCurve_P21980_TGM2.pdf")</f>
        <v>Melting_Curves/meltCurve_P21980_TGM2.pdf</v>
      </c>
    </row>
    <row r="2024" spans="1:28" x14ac:dyDescent="0.25">
      <c r="A2024" t="s">
        <v>2028</v>
      </c>
      <c r="B2024">
        <v>0.99930955844802105</v>
      </c>
      <c r="C2024">
        <v>1.02093577855359</v>
      </c>
      <c r="D2024">
        <v>1.0087640706526599</v>
      </c>
      <c r="E2024">
        <v>0.90593307574853399</v>
      </c>
      <c r="F2024">
        <v>0.47365256470283601</v>
      </c>
      <c r="G2024">
        <v>0.28001251824123902</v>
      </c>
      <c r="H2024">
        <v>0.16412081696497799</v>
      </c>
      <c r="I2024">
        <v>0.122449482224797</v>
      </c>
      <c r="J2024">
        <v>9.7438003098875597E-2</v>
      </c>
      <c r="K2024">
        <v>8.0031921371824202E-2</v>
      </c>
      <c r="L2024">
        <v>1525.3168901182801</v>
      </c>
      <c r="M2024">
        <v>28.9034431240107</v>
      </c>
      <c r="N2024">
        <v>53.2752754166074</v>
      </c>
      <c r="O2024">
        <v>52.522163377779698</v>
      </c>
      <c r="P2024">
        <v>-0.121165257832832</v>
      </c>
      <c r="Q2024">
        <v>0.119300333970248</v>
      </c>
      <c r="R2024">
        <v>0.99064430272088499</v>
      </c>
      <c r="S2024" t="s">
        <v>8641</v>
      </c>
      <c r="T2024" t="s">
        <v>13232</v>
      </c>
      <c r="U2024" t="s">
        <v>13232</v>
      </c>
      <c r="V2024" t="s">
        <v>13232</v>
      </c>
      <c r="W2024" t="s">
        <v>15205</v>
      </c>
      <c r="X2024">
        <v>18</v>
      </c>
      <c r="Y2024" t="s">
        <v>21708</v>
      </c>
      <c r="Z2024" t="s">
        <v>28155</v>
      </c>
      <c r="AA2024">
        <v>0.50039207244532669</v>
      </c>
      <c r="AB2024" t="str">
        <f>HYPERLINK("Melting_Curves/meltCurve_P22033_MUT.pdf", "Melting_Curves/meltCurve_P22033_MUT.pdf")</f>
        <v>Melting_Curves/meltCurve_P22033_MUT.pdf</v>
      </c>
    </row>
    <row r="2025" spans="1:28" x14ac:dyDescent="0.25">
      <c r="A2025" t="s">
        <v>2029</v>
      </c>
      <c r="B2025">
        <v>0.99930955844802105</v>
      </c>
      <c r="C2025">
        <v>0.937356366160364</v>
      </c>
      <c r="D2025">
        <v>0.91461807441639398</v>
      </c>
      <c r="E2025">
        <v>0.88021971974902402</v>
      </c>
      <c r="F2025">
        <v>0.72923572640664502</v>
      </c>
      <c r="G2025">
        <v>0.39813902199791301</v>
      </c>
      <c r="H2025">
        <v>0.13143428030571699</v>
      </c>
      <c r="I2025">
        <v>0.104902504721789</v>
      </c>
      <c r="J2025">
        <v>8.9383632663723095E-2</v>
      </c>
      <c r="K2025">
        <v>6.9579283370678105E-2</v>
      </c>
      <c r="L2025">
        <v>1079.33674746771</v>
      </c>
      <c r="M2025">
        <v>19.528317027154301</v>
      </c>
      <c r="N2025">
        <v>55.527136261129101</v>
      </c>
      <c r="O2025">
        <v>54.700555528314297</v>
      </c>
      <c r="P2025">
        <v>-8.5400220286893994E-2</v>
      </c>
      <c r="Q2025">
        <v>4.31798192151642E-2</v>
      </c>
      <c r="R2025">
        <v>0.99249959348982397</v>
      </c>
      <c r="S2025" t="s">
        <v>8642</v>
      </c>
      <c r="T2025" t="s">
        <v>13232</v>
      </c>
      <c r="U2025" t="s">
        <v>13232</v>
      </c>
      <c r="V2025" t="s">
        <v>13232</v>
      </c>
      <c r="W2025" t="s">
        <v>15206</v>
      </c>
      <c r="X2025">
        <v>36</v>
      </c>
      <c r="Y2025" t="s">
        <v>21709</v>
      </c>
      <c r="Z2025" t="s">
        <v>28156</v>
      </c>
      <c r="AA2025">
        <v>0.5433003531612407</v>
      </c>
      <c r="AB2025" t="str">
        <f>HYPERLINK("Melting_Curves/meltCurve_P22059_OSBP.pdf", "Melting_Curves/meltCurve_P22059_OSBP.pdf")</f>
        <v>Melting_Curves/meltCurve_P22059_OSBP.pdf</v>
      </c>
    </row>
    <row r="2026" spans="1:28" x14ac:dyDescent="0.25">
      <c r="A2026" t="s">
        <v>2030</v>
      </c>
      <c r="B2026">
        <v>0.99930955844802105</v>
      </c>
      <c r="C2026">
        <v>1.0956550436603001</v>
      </c>
      <c r="D2026">
        <v>1.0073252361549001</v>
      </c>
      <c r="E2026">
        <v>1.01441805307613</v>
      </c>
      <c r="F2026">
        <v>0.48875669569476499</v>
      </c>
      <c r="G2026">
        <v>0.15181936735169299</v>
      </c>
      <c r="H2026">
        <v>8.6273107991594197E-2</v>
      </c>
      <c r="I2026">
        <v>7.1318257914525104E-2</v>
      </c>
      <c r="J2026">
        <v>6.4113858915174404E-2</v>
      </c>
      <c r="K2026">
        <v>5.1502205442136101E-2</v>
      </c>
      <c r="L2026">
        <v>4787.9339042641896</v>
      </c>
      <c r="M2026">
        <v>90.5699863165393</v>
      </c>
      <c r="N2026">
        <v>52.9729691730914</v>
      </c>
      <c r="O2026">
        <v>52.838729748715998</v>
      </c>
      <c r="P2026">
        <v>-0.39224189554987898</v>
      </c>
      <c r="Q2026">
        <v>8.4661302591720597E-2</v>
      </c>
      <c r="R2026">
        <v>0.99216084765223</v>
      </c>
      <c r="S2026" t="s">
        <v>8643</v>
      </c>
      <c r="T2026" t="s">
        <v>13232</v>
      </c>
      <c r="U2026" t="s">
        <v>13232</v>
      </c>
      <c r="V2026" t="s">
        <v>13232</v>
      </c>
      <c r="W2026" t="s">
        <v>15207</v>
      </c>
      <c r="X2026">
        <v>16</v>
      </c>
      <c r="Y2026" t="s">
        <v>21710</v>
      </c>
      <c r="Z2026" t="s">
        <v>28157</v>
      </c>
      <c r="AA2026">
        <v>0.47782072435368861</v>
      </c>
      <c r="AB2026" t="str">
        <f>HYPERLINK("Melting_Curves/meltCurve_P22061_2_PCMT1.pdf", "Melting_Curves/meltCurve_P22061_2_PCMT1.pdf")</f>
        <v>Melting_Curves/meltCurve_P22061_2_PCMT1.pdf</v>
      </c>
    </row>
    <row r="2027" spans="1:28" x14ac:dyDescent="0.25">
      <c r="A2027" t="s">
        <v>2031</v>
      </c>
      <c r="B2027">
        <v>0.99930955844802105</v>
      </c>
      <c r="C2027">
        <v>1.0478684427461999</v>
      </c>
      <c r="D2027">
        <v>0.85181948913557903</v>
      </c>
      <c r="E2027">
        <v>0.57205179722921495</v>
      </c>
      <c r="F2027">
        <v>0.20707350587773199</v>
      </c>
      <c r="G2027">
        <v>0.11804435883214499</v>
      </c>
      <c r="H2027">
        <v>6.6298949335828805E-2</v>
      </c>
      <c r="I2027">
        <v>5.69718813600378E-2</v>
      </c>
      <c r="J2027">
        <v>5.2460268368773599E-2</v>
      </c>
      <c r="K2027">
        <v>3.8971270623227597E-2</v>
      </c>
      <c r="L2027">
        <v>1222.0940601536399</v>
      </c>
      <c r="M2027">
        <v>24.3964019999509</v>
      </c>
      <c r="N2027">
        <v>50.3077914237915</v>
      </c>
      <c r="O2027">
        <v>49.760274306073697</v>
      </c>
      <c r="P2027">
        <v>-0.116514675678297</v>
      </c>
      <c r="Q2027">
        <v>4.9414515395309097E-2</v>
      </c>
      <c r="R2027">
        <v>0.99367644213510298</v>
      </c>
      <c r="S2027" t="s">
        <v>8644</v>
      </c>
      <c r="T2027" t="s">
        <v>13232</v>
      </c>
      <c r="U2027" t="s">
        <v>13232</v>
      </c>
      <c r="V2027" t="s">
        <v>13232</v>
      </c>
      <c r="W2027" t="s">
        <v>15208</v>
      </c>
      <c r="X2027">
        <v>50</v>
      </c>
      <c r="Y2027" t="s">
        <v>21711</v>
      </c>
      <c r="Z2027" t="s">
        <v>28158</v>
      </c>
      <c r="AA2027">
        <v>0.37816098315867119</v>
      </c>
      <c r="AB2027" t="str">
        <f>HYPERLINK("Melting_Curves/meltCurve_P22102_GART.pdf", "Melting_Curves/meltCurve_P22102_GART.pdf")</f>
        <v>Melting_Curves/meltCurve_P22102_GART.pdf</v>
      </c>
    </row>
    <row r="2028" spans="1:28" x14ac:dyDescent="0.25">
      <c r="A2028" t="s">
        <v>2032</v>
      </c>
      <c r="B2028">
        <v>0.99930955844802105</v>
      </c>
      <c r="C2028">
        <v>0.75818176490966205</v>
      </c>
      <c r="D2028">
        <v>0.84683313703149399</v>
      </c>
      <c r="E2028">
        <v>0.91649258696954194</v>
      </c>
      <c r="F2028">
        <v>1.13513976512071</v>
      </c>
      <c r="G2028">
        <v>0.97754610697450495</v>
      </c>
      <c r="H2028">
        <v>0.33945685748907301</v>
      </c>
      <c r="I2028">
        <v>0.338757815533206</v>
      </c>
      <c r="J2028">
        <v>0.30318344288190002</v>
      </c>
      <c r="K2028">
        <v>0.13417602688359601</v>
      </c>
      <c r="L2028">
        <v>4563.4653218158001</v>
      </c>
      <c r="M2028">
        <v>76.8141229950525</v>
      </c>
      <c r="N2028">
        <v>59.969728181457803</v>
      </c>
      <c r="O2028">
        <v>59.368962626195902</v>
      </c>
      <c r="P2028">
        <v>-0.24061293848903501</v>
      </c>
      <c r="Q2028">
        <v>0.25612952805952599</v>
      </c>
      <c r="R2028">
        <v>0.88731855304343399</v>
      </c>
      <c r="S2028" t="s">
        <v>8645</v>
      </c>
      <c r="T2028" t="s">
        <v>13232</v>
      </c>
      <c r="U2028" t="s">
        <v>13232</v>
      </c>
      <c r="V2028" t="s">
        <v>13232</v>
      </c>
      <c r="W2028" t="s">
        <v>15209</v>
      </c>
      <c r="X2028">
        <v>29</v>
      </c>
      <c r="Y2028" t="s">
        <v>21712</v>
      </c>
      <c r="Z2028" t="s">
        <v>28159</v>
      </c>
      <c r="AA2028">
        <v>0.73821683149496786</v>
      </c>
      <c r="AB2028" t="str">
        <f>HYPERLINK("Melting_Curves/meltCurve_P22234_PAICS.pdf", "Melting_Curves/meltCurve_P22234_PAICS.pdf")</f>
        <v>Melting_Curves/meltCurve_P22234_PAICS.pdf</v>
      </c>
    </row>
    <row r="2029" spans="1:28" x14ac:dyDescent="0.25">
      <c r="A2029" t="s">
        <v>2033</v>
      </c>
      <c r="B2029">
        <v>0.99930955844802105</v>
      </c>
      <c r="C2029">
        <v>0.952760038735468</v>
      </c>
      <c r="D2029">
        <v>0.95119686044298701</v>
      </c>
      <c r="E2029">
        <v>0.87143095287078298</v>
      </c>
      <c r="F2029">
        <v>0.71233186277876603</v>
      </c>
      <c r="G2029">
        <v>0.50779606349561301</v>
      </c>
      <c r="H2029">
        <v>0.40358230484086299</v>
      </c>
      <c r="I2029">
        <v>0.36199292623073798</v>
      </c>
      <c r="J2029">
        <v>0.284716668341291</v>
      </c>
      <c r="K2029">
        <v>0.21166655942492199</v>
      </c>
      <c r="L2029">
        <v>679.91691925075997</v>
      </c>
      <c r="M2029">
        <v>12.1649344512113</v>
      </c>
      <c r="N2029">
        <v>57.998955015626102</v>
      </c>
      <c r="O2029">
        <v>54.445521469461497</v>
      </c>
      <c r="P2029">
        <v>-4.5890754737504098E-2</v>
      </c>
      <c r="Q2029">
        <v>0.17863102453419599</v>
      </c>
      <c r="R2029">
        <v>0.99343064454640595</v>
      </c>
      <c r="S2029" t="s">
        <v>8646</v>
      </c>
      <c r="T2029" t="s">
        <v>13232</v>
      </c>
      <c r="U2029" t="s">
        <v>13232</v>
      </c>
      <c r="V2029" t="s">
        <v>13232</v>
      </c>
      <c r="W2029" t="s">
        <v>15210</v>
      </c>
      <c r="X2029">
        <v>6</v>
      </c>
      <c r="Y2029" t="s">
        <v>21713</v>
      </c>
      <c r="Z2029" t="s">
        <v>28160</v>
      </c>
      <c r="AA2029">
        <v>0.63065729579759955</v>
      </c>
      <c r="AB2029" t="str">
        <f>HYPERLINK("Melting_Curves/meltCurve_P22307_6_SCP2.pdf", "Melting_Curves/meltCurve_P22307_6_SCP2.pdf")</f>
        <v>Melting_Curves/meltCurve_P22307_6_SCP2.pdf</v>
      </c>
    </row>
    <row r="2030" spans="1:28" x14ac:dyDescent="0.25">
      <c r="A2030" t="s">
        <v>2034</v>
      </c>
      <c r="B2030">
        <v>0.99930955844802105</v>
      </c>
      <c r="C2030">
        <v>1.0137863909757501</v>
      </c>
      <c r="D2030">
        <v>0.70141006993064003</v>
      </c>
      <c r="E2030">
        <v>0.35549854834574102</v>
      </c>
      <c r="F2030">
        <v>0.17163710025287399</v>
      </c>
      <c r="G2030">
        <v>0.106718804637966</v>
      </c>
      <c r="H2030">
        <v>6.7327107773367895E-2</v>
      </c>
      <c r="I2030">
        <v>5.1930811305385301E-2</v>
      </c>
      <c r="J2030">
        <v>4.7953830104754701E-2</v>
      </c>
      <c r="K2030">
        <v>3.3828551137423203E-2</v>
      </c>
      <c r="L2030">
        <v>1036.5244865565801</v>
      </c>
      <c r="M2030">
        <v>21.536941081208099</v>
      </c>
      <c r="N2030">
        <v>48.376480718386198</v>
      </c>
      <c r="O2030">
        <v>47.718578774122697</v>
      </c>
      <c r="P2030">
        <v>-0.106922351335612</v>
      </c>
      <c r="Q2030">
        <v>5.2407905245190803E-2</v>
      </c>
      <c r="R2030">
        <v>0.99363694936995794</v>
      </c>
      <c r="S2030" t="s">
        <v>8647</v>
      </c>
      <c r="T2030" t="s">
        <v>13232</v>
      </c>
      <c r="U2030" t="s">
        <v>13232</v>
      </c>
      <c r="V2030" t="s">
        <v>13232</v>
      </c>
      <c r="W2030" t="s">
        <v>15211</v>
      </c>
      <c r="X2030">
        <v>45</v>
      </c>
      <c r="Y2030" t="s">
        <v>21714</v>
      </c>
      <c r="Z2030" t="s">
        <v>28161</v>
      </c>
      <c r="AA2030">
        <v>0.32061996190232778</v>
      </c>
      <c r="AB2030" t="str">
        <f>HYPERLINK("Melting_Curves/meltCurve_P22314_UBA1.pdf", "Melting_Curves/meltCurve_P22314_UBA1.pdf")</f>
        <v>Melting_Curves/meltCurve_P22314_UBA1.pdf</v>
      </c>
    </row>
    <row r="2031" spans="1:28" x14ac:dyDescent="0.25">
      <c r="A2031" t="s">
        <v>2035</v>
      </c>
      <c r="B2031">
        <v>0.99930955844802105</v>
      </c>
      <c r="C2031">
        <v>1.03710840973181</v>
      </c>
      <c r="D2031">
        <v>1.0480352052787201</v>
      </c>
      <c r="E2031">
        <v>0.95126081477594304</v>
      </c>
      <c r="F2031">
        <v>1.0765082510561399</v>
      </c>
      <c r="G2031">
        <v>0.86547764263914295</v>
      </c>
      <c r="H2031">
        <v>0.52850427373192399</v>
      </c>
      <c r="I2031">
        <v>0.20337082998789199</v>
      </c>
      <c r="J2031">
        <v>7.0042822171410196E-2</v>
      </c>
      <c r="K2031">
        <v>5.2671040425260801E-2</v>
      </c>
      <c r="L2031">
        <v>1853.96329706346</v>
      </c>
      <c r="M2031">
        <v>30.383171292724398</v>
      </c>
      <c r="N2031">
        <v>61.103920473406802</v>
      </c>
      <c r="O2031">
        <v>60.756907312674997</v>
      </c>
      <c r="P2031">
        <v>-0.122447934092657</v>
      </c>
      <c r="Q2031">
        <v>2.0574698295265901E-2</v>
      </c>
      <c r="R2031">
        <v>0.99087786627565799</v>
      </c>
      <c r="S2031" t="s">
        <v>8648</v>
      </c>
      <c r="T2031" t="s">
        <v>13232</v>
      </c>
      <c r="U2031" t="s">
        <v>13232</v>
      </c>
      <c r="V2031" t="s">
        <v>13232</v>
      </c>
      <c r="W2031" t="s">
        <v>15212</v>
      </c>
      <c r="X2031">
        <v>21</v>
      </c>
      <c r="Y2031" t="s">
        <v>20368</v>
      </c>
      <c r="Z2031" t="s">
        <v>28162</v>
      </c>
      <c r="AA2031">
        <v>0.71213399165292757</v>
      </c>
      <c r="AB2031" t="str">
        <f>HYPERLINK("Melting_Curves/meltCurve_P22392_2_NME2.pdf", "Melting_Curves/meltCurve_P22392_2_NME2.pdf")</f>
        <v>Melting_Curves/meltCurve_P22392_2_NME2.pdf</v>
      </c>
    </row>
    <row r="2032" spans="1:28" x14ac:dyDescent="0.25">
      <c r="A2032" t="s">
        <v>2036</v>
      </c>
      <c r="B2032">
        <v>0.99930955844802105</v>
      </c>
      <c r="C2032">
        <v>1.2517603368705399</v>
      </c>
      <c r="D2032">
        <v>1.3606522609573299</v>
      </c>
      <c r="E2032">
        <v>1.3717458022637401</v>
      </c>
      <c r="F2032">
        <v>1.3701470343356701</v>
      </c>
      <c r="G2032">
        <v>1.4063695660656801</v>
      </c>
      <c r="H2032">
        <v>1.6714324716043401</v>
      </c>
      <c r="I2032">
        <v>1.8233590182911401</v>
      </c>
      <c r="J2032">
        <v>2.0142157704044199</v>
      </c>
      <c r="K2032">
        <v>1.54824102804283</v>
      </c>
      <c r="L2032">
        <v>768.91888031998803</v>
      </c>
      <c r="M2032">
        <v>17.457567811929898</v>
      </c>
      <c r="O2032">
        <v>43.479254740380398</v>
      </c>
      <c r="P2032">
        <v>5.0192135406122398E-2</v>
      </c>
      <c r="Q2032">
        <v>1.5</v>
      </c>
      <c r="R2032">
        <v>0.43251475347290602</v>
      </c>
      <c r="S2032" t="s">
        <v>8649</v>
      </c>
      <c r="T2032" t="s">
        <v>13232</v>
      </c>
      <c r="U2032" t="s">
        <v>13232</v>
      </c>
      <c r="V2032" t="s">
        <v>13232</v>
      </c>
      <c r="W2032" t="s">
        <v>15213</v>
      </c>
      <c r="X2032">
        <v>4</v>
      </c>
      <c r="Y2032" t="s">
        <v>21715</v>
      </c>
      <c r="Z2032" t="s">
        <v>28163</v>
      </c>
      <c r="AA2032">
        <v>1.4194966111641041</v>
      </c>
      <c r="AB2032" t="str">
        <f>HYPERLINK("Melting_Curves/meltCurve_P22532_SPRR2D.pdf", "Melting_Curves/meltCurve_P22532_SPRR2D.pdf")</f>
        <v>Melting_Curves/meltCurve_P22532_SPRR2D.pdf</v>
      </c>
    </row>
    <row r="2033" spans="1:28" x14ac:dyDescent="0.25">
      <c r="A2033" t="s">
        <v>2037</v>
      </c>
      <c r="B2033">
        <v>0.99930955844802105</v>
      </c>
      <c r="C2033">
        <v>0.85278767673119504</v>
      </c>
      <c r="D2033">
        <v>0.47074498823269101</v>
      </c>
      <c r="E2033">
        <v>0.23623917411026499</v>
      </c>
      <c r="F2033">
        <v>0.149591856790004</v>
      </c>
      <c r="G2033">
        <v>0.10647457857896001</v>
      </c>
      <c r="H2033">
        <v>6.6983751542738806E-2</v>
      </c>
      <c r="I2033">
        <v>6.4396910177502598E-2</v>
      </c>
      <c r="J2033">
        <v>5.6975546800672301E-2</v>
      </c>
      <c r="K2033">
        <v>4.3918673653965498E-2</v>
      </c>
      <c r="L2033">
        <v>980.87288656548401</v>
      </c>
      <c r="M2033">
        <v>21.404432558844199</v>
      </c>
      <c r="N2033">
        <v>46.156202682663803</v>
      </c>
      <c r="O2033">
        <v>45.431321764574001</v>
      </c>
      <c r="P2033">
        <v>-0.109418981814699</v>
      </c>
      <c r="Q2033">
        <v>7.1047495054778004E-2</v>
      </c>
      <c r="R2033">
        <v>0.99294036170939304</v>
      </c>
      <c r="S2033" t="s">
        <v>8650</v>
      </c>
      <c r="T2033" t="s">
        <v>13232</v>
      </c>
      <c r="U2033" t="s">
        <v>13232</v>
      </c>
      <c r="V2033" t="s">
        <v>13232</v>
      </c>
      <c r="W2033" t="s">
        <v>15214</v>
      </c>
      <c r="X2033">
        <v>20</v>
      </c>
      <c r="Y2033" t="s">
        <v>21716</v>
      </c>
      <c r="Z2033" t="s">
        <v>28164</v>
      </c>
      <c r="AA2033">
        <v>0.26387522658803508</v>
      </c>
      <c r="AB2033" t="str">
        <f>HYPERLINK("Melting_Curves/meltCurve_P22570_FDXR.pdf", "Melting_Curves/meltCurve_P22570_FDXR.pdf")</f>
        <v>Melting_Curves/meltCurve_P22570_FDXR.pdf</v>
      </c>
    </row>
    <row r="2034" spans="1:28" x14ac:dyDescent="0.25">
      <c r="A2034" t="s">
        <v>2038</v>
      </c>
      <c r="B2034">
        <v>0.99930955844802105</v>
      </c>
      <c r="C2034">
        <v>1.0170195843271399</v>
      </c>
      <c r="D2034">
        <v>1.0386069793531501</v>
      </c>
      <c r="E2034">
        <v>0.93292035640440596</v>
      </c>
      <c r="F2034">
        <v>0.54607593589853998</v>
      </c>
      <c r="G2034">
        <v>0.29244541697599002</v>
      </c>
      <c r="H2034">
        <v>0.17139662654437501</v>
      </c>
      <c r="I2034">
        <v>0.15501071899810201</v>
      </c>
      <c r="J2034">
        <v>0.15349694671554201</v>
      </c>
      <c r="K2034">
        <v>0.136508803760652</v>
      </c>
      <c r="L2034">
        <v>1691.4432092412301</v>
      </c>
      <c r="M2034">
        <v>31.895262102795201</v>
      </c>
      <c r="N2034">
        <v>53.670825773549701</v>
      </c>
      <c r="O2034">
        <v>52.824015059414997</v>
      </c>
      <c r="P2034">
        <v>-0.12708390352677901</v>
      </c>
      <c r="Q2034">
        <v>0.158113487333986</v>
      </c>
      <c r="R2034">
        <v>0.99433462080328205</v>
      </c>
      <c r="S2034" t="s">
        <v>8651</v>
      </c>
      <c r="T2034" t="s">
        <v>13232</v>
      </c>
      <c r="U2034" t="s">
        <v>13232</v>
      </c>
      <c r="V2034" t="s">
        <v>13232</v>
      </c>
      <c r="W2034" t="s">
        <v>15215</v>
      </c>
      <c r="X2034">
        <v>24</v>
      </c>
      <c r="Y2034" t="s">
        <v>21717</v>
      </c>
      <c r="Z2034" t="s">
        <v>28165</v>
      </c>
      <c r="AA2034">
        <v>0.52864775880800585</v>
      </c>
      <c r="AB2034" t="str">
        <f>HYPERLINK("Melting_Curves/meltCurve_P22626_HNRNPA2B1.pdf", "Melting_Curves/meltCurve_P22626_HNRNPA2B1.pdf")</f>
        <v>Melting_Curves/meltCurve_P22626_HNRNPA2B1.pdf</v>
      </c>
    </row>
    <row r="2035" spans="1:28" x14ac:dyDescent="0.25">
      <c r="A2035" t="s">
        <v>2039</v>
      </c>
      <c r="B2035">
        <v>0.99930955844802105</v>
      </c>
      <c r="C2035">
        <v>0.91225094705714305</v>
      </c>
      <c r="D2035">
        <v>0.87281078012733004</v>
      </c>
      <c r="E2035">
        <v>0.73766491591447403</v>
      </c>
      <c r="F2035">
        <v>0.57883579172805899</v>
      </c>
      <c r="G2035">
        <v>0.404475458134888</v>
      </c>
      <c r="H2035">
        <v>0.229279905847177</v>
      </c>
      <c r="I2035">
        <v>0.19168396112900801</v>
      </c>
      <c r="J2035">
        <v>0.176607763581896</v>
      </c>
      <c r="K2035">
        <v>0.135598028228334</v>
      </c>
      <c r="L2035">
        <v>605.13494446793698</v>
      </c>
      <c r="M2035">
        <v>11.2379408175621</v>
      </c>
      <c r="N2035">
        <v>54.5269338794471</v>
      </c>
      <c r="O2035">
        <v>52.226880919238702</v>
      </c>
      <c r="P2035">
        <v>-5.0294846400763801E-2</v>
      </c>
      <c r="Q2035">
        <v>6.5335118233806305E-2</v>
      </c>
      <c r="R2035">
        <v>0.99637535672542799</v>
      </c>
      <c r="S2035" t="s">
        <v>8652</v>
      </c>
      <c r="T2035" t="s">
        <v>13232</v>
      </c>
      <c r="U2035" t="s">
        <v>13232</v>
      </c>
      <c r="V2035" t="s">
        <v>13232</v>
      </c>
      <c r="W2035" t="s">
        <v>15216</v>
      </c>
      <c r="X2035">
        <v>6</v>
      </c>
      <c r="Y2035" t="s">
        <v>21718</v>
      </c>
      <c r="Z2035" t="s">
        <v>28166</v>
      </c>
      <c r="AA2035">
        <v>0.52304833559770381</v>
      </c>
      <c r="AB2035" t="str">
        <f>HYPERLINK("Melting_Curves/meltCurve_P22670_RFX1.pdf", "Melting_Curves/meltCurve_P22670_RFX1.pdf")</f>
        <v>Melting_Curves/meltCurve_P22670_RFX1.pdf</v>
      </c>
    </row>
    <row r="2036" spans="1:28" x14ac:dyDescent="0.25">
      <c r="A2036" t="s">
        <v>2040</v>
      </c>
      <c r="B2036">
        <v>0.99930955844802105</v>
      </c>
      <c r="C2036">
        <v>1.03408619126935</v>
      </c>
      <c r="D2036">
        <v>1.02338542759593</v>
      </c>
      <c r="E2036">
        <v>0.94527496272336897</v>
      </c>
      <c r="F2036">
        <v>0.84360186420211902</v>
      </c>
      <c r="G2036">
        <v>0.57333709720585602</v>
      </c>
      <c r="H2036">
        <v>0.36522351662643698</v>
      </c>
      <c r="I2036">
        <v>0.32750417398909099</v>
      </c>
      <c r="J2036">
        <v>0.30548638146454898</v>
      </c>
      <c r="K2036">
        <v>0.25401328381257998</v>
      </c>
      <c r="L2036">
        <v>1229.4367699859299</v>
      </c>
      <c r="M2036">
        <v>21.905721650572801</v>
      </c>
      <c r="N2036">
        <v>58.1533346728609</v>
      </c>
      <c r="O2036">
        <v>55.662563696677097</v>
      </c>
      <c r="P2036">
        <v>-7.2098952240400999E-2</v>
      </c>
      <c r="Q2036">
        <v>0.26720124372142001</v>
      </c>
      <c r="R2036">
        <v>0.99671424071544601</v>
      </c>
      <c r="S2036" t="s">
        <v>8653</v>
      </c>
      <c r="T2036" t="s">
        <v>13232</v>
      </c>
      <c r="U2036" t="s">
        <v>13232</v>
      </c>
      <c r="V2036" t="s">
        <v>13232</v>
      </c>
      <c r="W2036" t="s">
        <v>15217</v>
      </c>
      <c r="X2036">
        <v>29</v>
      </c>
      <c r="Y2036" t="s">
        <v>21719</v>
      </c>
      <c r="Z2036" t="s">
        <v>28167</v>
      </c>
      <c r="AA2036">
        <v>0.66931580863320383</v>
      </c>
      <c r="AB2036" t="str">
        <f>HYPERLINK("Melting_Curves/meltCurve_P22681_CBL.pdf", "Melting_Curves/meltCurve_P22681_CBL.pdf")</f>
        <v>Melting_Curves/meltCurve_P22681_CBL.pdf</v>
      </c>
    </row>
    <row r="2037" spans="1:28" x14ac:dyDescent="0.25">
      <c r="A2037" t="s">
        <v>2041</v>
      </c>
      <c r="B2037">
        <v>0.99930955844802105</v>
      </c>
      <c r="C2037">
        <v>1.09942139842624</v>
      </c>
      <c r="D2037">
        <v>0.97296205572930705</v>
      </c>
      <c r="E2037">
        <v>0.70072944104613</v>
      </c>
      <c r="F2037">
        <v>0.36023067592487401</v>
      </c>
      <c r="G2037">
        <v>0.220937393120687</v>
      </c>
      <c r="H2037">
        <v>0.147325698913602</v>
      </c>
      <c r="I2037">
        <v>0.12623048215263599</v>
      </c>
      <c r="J2037">
        <v>0.115966820249984</v>
      </c>
      <c r="K2037">
        <v>8.30794484895509E-2</v>
      </c>
      <c r="L2037">
        <v>1370.6678932360301</v>
      </c>
      <c r="M2037">
        <v>26.746274542906399</v>
      </c>
      <c r="N2037">
        <v>51.7833738654789</v>
      </c>
      <c r="O2037">
        <v>50.963149399743898</v>
      </c>
      <c r="P2037">
        <v>-0.115332629135766</v>
      </c>
      <c r="Q2037">
        <v>0.120976114165218</v>
      </c>
      <c r="R2037">
        <v>0.99029862215411102</v>
      </c>
      <c r="S2037" t="s">
        <v>8654</v>
      </c>
      <c r="T2037" t="s">
        <v>13232</v>
      </c>
      <c r="U2037" t="s">
        <v>13232</v>
      </c>
      <c r="V2037" t="s">
        <v>13232</v>
      </c>
      <c r="W2037" t="s">
        <v>15218</v>
      </c>
      <c r="X2037">
        <v>13</v>
      </c>
      <c r="Y2037" t="s">
        <v>21720</v>
      </c>
      <c r="Z2037" t="s">
        <v>28168</v>
      </c>
      <c r="AA2037">
        <v>0.45749590701857318</v>
      </c>
      <c r="AB2037" t="str">
        <f>HYPERLINK("Melting_Curves/meltCurve_P22694_4_PRKACB.pdf", "Melting_Curves/meltCurve_P22694_4_PRKACB.pdf")</f>
        <v>Melting_Curves/meltCurve_P22694_4_PRKACB.pdf</v>
      </c>
    </row>
    <row r="2038" spans="1:28" x14ac:dyDescent="0.25">
      <c r="A2038" t="s">
        <v>2042</v>
      </c>
      <c r="B2038">
        <v>0.99930955844802105</v>
      </c>
      <c r="C2038">
        <v>0.91975409201004599</v>
      </c>
      <c r="D2038">
        <v>0.82698246015071397</v>
      </c>
      <c r="E2038">
        <v>0.59326116202982804</v>
      </c>
      <c r="F2038">
        <v>0.273510026194829</v>
      </c>
      <c r="G2038">
        <v>0.14968161926010801</v>
      </c>
      <c r="H2038">
        <v>7.5416308172366095E-2</v>
      </c>
      <c r="I2038">
        <v>6.6350762768001004E-2</v>
      </c>
      <c r="J2038">
        <v>5.8070310044324898E-2</v>
      </c>
      <c r="K2038">
        <v>3.8889832887699399E-2</v>
      </c>
      <c r="L2038">
        <v>881.67434153552301</v>
      </c>
      <c r="M2038">
        <v>17.5257145233948</v>
      </c>
      <c r="N2038">
        <v>50.5267211779056</v>
      </c>
      <c r="O2038">
        <v>49.666210727879701</v>
      </c>
      <c r="P2038">
        <v>-8.4992100585911098E-2</v>
      </c>
      <c r="Q2038">
        <v>3.6614996088259702E-2</v>
      </c>
      <c r="R2038">
        <v>0.99559043488486199</v>
      </c>
      <c r="S2038" t="s">
        <v>8655</v>
      </c>
      <c r="T2038" t="s">
        <v>13232</v>
      </c>
      <c r="U2038" t="s">
        <v>13232</v>
      </c>
      <c r="V2038" t="s">
        <v>13232</v>
      </c>
      <c r="W2038" t="s">
        <v>15219</v>
      </c>
      <c r="X2038">
        <v>10</v>
      </c>
      <c r="Y2038" t="s">
        <v>21721</v>
      </c>
      <c r="Z2038" t="s">
        <v>28169</v>
      </c>
      <c r="AA2038">
        <v>0.38481652342629802</v>
      </c>
      <c r="AB2038" t="str">
        <f>HYPERLINK("Melting_Curves/meltCurve_P22830_FECH.pdf", "Melting_Curves/meltCurve_P22830_FECH.pdf")</f>
        <v>Melting_Curves/meltCurve_P22830_FECH.pdf</v>
      </c>
    </row>
    <row r="2039" spans="1:28" x14ac:dyDescent="0.25">
      <c r="A2039" t="s">
        <v>2043</v>
      </c>
      <c r="B2039">
        <v>0.99930955844802105</v>
      </c>
      <c r="C2039">
        <v>1.03958683550163</v>
      </c>
      <c r="D2039">
        <v>1.09372735241024</v>
      </c>
      <c r="E2039">
        <v>0.96407434748876497</v>
      </c>
      <c r="F2039">
        <v>0.73611570212141697</v>
      </c>
      <c r="G2039">
        <v>0.57171800845994103</v>
      </c>
      <c r="H2039">
        <v>0.442725133322244</v>
      </c>
      <c r="I2039">
        <v>0.47643366517631902</v>
      </c>
      <c r="J2039">
        <v>0.44362553460531801</v>
      </c>
      <c r="K2039">
        <v>0.35807613519133602</v>
      </c>
      <c r="L2039">
        <v>1361.62980633396</v>
      </c>
      <c r="M2039">
        <v>25.220033671753999</v>
      </c>
      <c r="N2039">
        <v>58.265397131809898</v>
      </c>
      <c r="O2039">
        <v>53.6539910823208</v>
      </c>
      <c r="P2039">
        <v>-6.7990231339373194E-2</v>
      </c>
      <c r="Q2039">
        <v>0.42142823170701998</v>
      </c>
      <c r="R2039">
        <v>0.97041932742218995</v>
      </c>
      <c r="S2039" t="s">
        <v>8656</v>
      </c>
      <c r="T2039" t="s">
        <v>13232</v>
      </c>
      <c r="U2039" t="s">
        <v>13232</v>
      </c>
      <c r="V2039" t="s">
        <v>13232</v>
      </c>
      <c r="W2039" t="s">
        <v>15220</v>
      </c>
      <c r="X2039">
        <v>5</v>
      </c>
      <c r="Y2039" t="s">
        <v>21722</v>
      </c>
      <c r="Z2039" t="s">
        <v>28170</v>
      </c>
      <c r="AA2039">
        <v>0.69650453719558802</v>
      </c>
      <c r="AB2039" t="str">
        <f>HYPERLINK("Melting_Curves/meltCurve_P23025_XPA.pdf", "Melting_Curves/meltCurve_P23025_XPA.pdf")</f>
        <v>Melting_Curves/meltCurve_P23025_XPA.pdf</v>
      </c>
    </row>
    <row r="2040" spans="1:28" x14ac:dyDescent="0.25">
      <c r="A2040" t="s">
        <v>2044</v>
      </c>
      <c r="B2040">
        <v>0.99930955844802105</v>
      </c>
      <c r="C2040">
        <v>0.93530972660688705</v>
      </c>
      <c r="D2040">
        <v>0.77203620303859699</v>
      </c>
      <c r="E2040">
        <v>0.60631863430802202</v>
      </c>
      <c r="F2040">
        <v>0.51178408172988299</v>
      </c>
      <c r="G2040">
        <v>0.44682597318713402</v>
      </c>
      <c r="H2040">
        <v>0.33393421209799601</v>
      </c>
      <c r="I2040">
        <v>0.298624144414387</v>
      </c>
      <c r="J2040">
        <v>0.30580980756293402</v>
      </c>
      <c r="K2040">
        <v>0.25005476161371099</v>
      </c>
      <c r="L2040">
        <v>568.46081133583596</v>
      </c>
      <c r="M2040">
        <v>11.338462875469901</v>
      </c>
      <c r="N2040">
        <v>53.3742593872052</v>
      </c>
      <c r="O2040">
        <v>48.652059921600497</v>
      </c>
      <c r="P2040">
        <v>-4.3785607710246803E-2</v>
      </c>
      <c r="Q2040">
        <v>0.248709206852961</v>
      </c>
      <c r="R2040">
        <v>0.98938739234985396</v>
      </c>
      <c r="S2040" t="s">
        <v>8657</v>
      </c>
      <c r="T2040" t="s">
        <v>13232</v>
      </c>
      <c r="U2040" t="s">
        <v>13232</v>
      </c>
      <c r="V2040" t="s">
        <v>13232</v>
      </c>
      <c r="W2040" t="s">
        <v>15221</v>
      </c>
      <c r="X2040">
        <v>4</v>
      </c>
      <c r="Y2040" t="s">
        <v>21723</v>
      </c>
      <c r="Z2040" t="s">
        <v>28171</v>
      </c>
      <c r="AA2040">
        <v>0.53064983451710013</v>
      </c>
      <c r="AB2040" t="str">
        <f>HYPERLINK("Melting_Curves/meltCurve_P23142_3_FBLN1.pdf", "Melting_Curves/meltCurve_P23142_3_FBLN1.pdf")</f>
        <v>Melting_Curves/meltCurve_P23142_3_FBLN1.pdf</v>
      </c>
    </row>
    <row r="2041" spans="1:28" x14ac:dyDescent="0.25">
      <c r="A2041" t="s">
        <v>2045</v>
      </c>
      <c r="B2041">
        <v>0.99930955844802105</v>
      </c>
      <c r="C2041">
        <v>1.09907593892388</v>
      </c>
      <c r="D2041">
        <v>1.10592695666231</v>
      </c>
      <c r="E2041">
        <v>1.0330606982825099</v>
      </c>
      <c r="F2041">
        <v>0.79509077500164305</v>
      </c>
      <c r="G2041">
        <v>0.54471624936954699</v>
      </c>
      <c r="H2041">
        <v>0.416992287240742</v>
      </c>
      <c r="I2041">
        <v>0.39284709682450197</v>
      </c>
      <c r="J2041">
        <v>0.35697886519258298</v>
      </c>
      <c r="K2041">
        <v>0.27168793084608001</v>
      </c>
      <c r="L2041">
        <v>1415.51442823804</v>
      </c>
      <c r="M2041">
        <v>25.599375099242302</v>
      </c>
      <c r="N2041">
        <v>57.810765267995698</v>
      </c>
      <c r="O2041">
        <v>54.960768253167899</v>
      </c>
      <c r="P2041">
        <v>-7.7332563841638696E-2</v>
      </c>
      <c r="Q2041">
        <v>0.33588926678111702</v>
      </c>
      <c r="R2041">
        <v>0.96532968437702205</v>
      </c>
      <c r="S2041" t="s">
        <v>8658</v>
      </c>
      <c r="T2041" t="s">
        <v>13232</v>
      </c>
      <c r="U2041" t="s">
        <v>13232</v>
      </c>
      <c r="V2041" t="s">
        <v>13232</v>
      </c>
      <c r="W2041" t="s">
        <v>15222</v>
      </c>
      <c r="X2041">
        <v>29</v>
      </c>
      <c r="Y2041" t="s">
        <v>21724</v>
      </c>
      <c r="Z2041" t="s">
        <v>28172</v>
      </c>
      <c r="AA2041">
        <v>0.680360535485944</v>
      </c>
      <c r="AB2041" t="str">
        <f>HYPERLINK("Melting_Curves/meltCurve_P23193_TCEA1.pdf", "Melting_Curves/meltCurve_P23193_TCEA1.pdf")</f>
        <v>Melting_Curves/meltCurve_P23193_TCEA1.pdf</v>
      </c>
    </row>
    <row r="2042" spans="1:28" x14ac:dyDescent="0.25">
      <c r="A2042" t="s">
        <v>2046</v>
      </c>
      <c r="B2042">
        <v>0.99930955844802105</v>
      </c>
      <c r="C2042">
        <v>0.96721136925733497</v>
      </c>
      <c r="D2042">
        <v>0.85302057119427099</v>
      </c>
      <c r="E2042">
        <v>0.62994876147453005</v>
      </c>
      <c r="F2042">
        <v>0.36133204555975301</v>
      </c>
      <c r="G2042">
        <v>0.25718614595928302</v>
      </c>
      <c r="H2042">
        <v>0.19577810216671099</v>
      </c>
      <c r="I2042">
        <v>0.19603153121267999</v>
      </c>
      <c r="J2042">
        <v>0.199209615219645</v>
      </c>
      <c r="K2042">
        <v>0.147264524840655</v>
      </c>
      <c r="L2042">
        <v>948.04197230866805</v>
      </c>
      <c r="M2042">
        <v>18.895812097415298</v>
      </c>
      <c r="N2042">
        <v>51.305013869456097</v>
      </c>
      <c r="O2042">
        <v>49.6202961399716</v>
      </c>
      <c r="P2042">
        <v>-7.8965768139324696E-2</v>
      </c>
      <c r="Q2042">
        <v>0.170579550289544</v>
      </c>
      <c r="R2042">
        <v>0.996490681126736</v>
      </c>
      <c r="S2042" t="s">
        <v>8659</v>
      </c>
      <c r="T2042" t="s">
        <v>13232</v>
      </c>
      <c r="U2042" t="s">
        <v>13232</v>
      </c>
      <c r="V2042" t="s">
        <v>13232</v>
      </c>
      <c r="W2042" t="s">
        <v>15223</v>
      </c>
      <c r="X2042">
        <v>42</v>
      </c>
      <c r="Y2042" t="s">
        <v>21725</v>
      </c>
      <c r="Z2042" t="s">
        <v>28173</v>
      </c>
      <c r="AA2042">
        <v>0.46468189429450729</v>
      </c>
      <c r="AB2042" t="str">
        <f>HYPERLINK("Melting_Curves/meltCurve_P23246_SFPQ.pdf", "Melting_Curves/meltCurve_P23246_SFPQ.pdf")</f>
        <v>Melting_Curves/meltCurve_P23246_SFPQ.pdf</v>
      </c>
    </row>
    <row r="2043" spans="1:28" x14ac:dyDescent="0.25">
      <c r="A2043" t="s">
        <v>2047</v>
      </c>
      <c r="B2043">
        <v>0.99930955844802105</v>
      </c>
      <c r="C2043">
        <v>0.72219064660972798</v>
      </c>
      <c r="D2043">
        <v>0.68951761211557205</v>
      </c>
      <c r="E2043">
        <v>0.59841332230031596</v>
      </c>
      <c r="F2043">
        <v>0.36191741101628899</v>
      </c>
      <c r="G2043">
        <v>0.17153805765926899</v>
      </c>
      <c r="H2043">
        <v>7.7883741888466099E-2</v>
      </c>
      <c r="I2043">
        <v>5.0938407452231202E-2</v>
      </c>
      <c r="J2043">
        <v>4.2266743168269998E-2</v>
      </c>
      <c r="K2043">
        <v>3.1549181419365503E-2</v>
      </c>
      <c r="L2043">
        <v>540.31965769676299</v>
      </c>
      <c r="M2043">
        <v>10.8405376934136</v>
      </c>
      <c r="N2043">
        <v>49.842514547333003</v>
      </c>
      <c r="O2043">
        <v>48.236361015222798</v>
      </c>
      <c r="P2043">
        <v>-5.6204524516383997E-2</v>
      </c>
      <c r="Q2043">
        <v>0</v>
      </c>
      <c r="R2043">
        <v>0.966398338936451</v>
      </c>
      <c r="S2043" t="s">
        <v>8660</v>
      </c>
      <c r="T2043" t="s">
        <v>13232</v>
      </c>
      <c r="U2043" t="s">
        <v>13232</v>
      </c>
      <c r="V2043" t="s">
        <v>13232</v>
      </c>
      <c r="W2043" t="s">
        <v>15224</v>
      </c>
      <c r="X2043">
        <v>12</v>
      </c>
      <c r="Y2043" t="s">
        <v>21726</v>
      </c>
      <c r="Z2043" t="s">
        <v>28174</v>
      </c>
      <c r="AA2043">
        <v>0.36888481602121032</v>
      </c>
      <c r="AB2043" t="str">
        <f>HYPERLINK("Melting_Curves/meltCurve_P23258_TUBG1.pdf", "Melting_Curves/meltCurve_P23258_TUBG1.pdf")</f>
        <v>Melting_Curves/meltCurve_P23258_TUBG1.pdf</v>
      </c>
    </row>
    <row r="2044" spans="1:28" x14ac:dyDescent="0.25">
      <c r="A2044" t="s">
        <v>2048</v>
      </c>
      <c r="B2044">
        <v>0.99930955844802105</v>
      </c>
      <c r="C2044">
        <v>0.97272330001263096</v>
      </c>
      <c r="D2044">
        <v>1.0033926073859301</v>
      </c>
      <c r="E2044">
        <v>0.78205856753606995</v>
      </c>
      <c r="F2044">
        <v>0.20614381143434901</v>
      </c>
      <c r="G2044">
        <v>0.12959199402580701</v>
      </c>
      <c r="H2044">
        <v>7.1828546950825994E-2</v>
      </c>
      <c r="I2044">
        <v>5.8523262018454897E-2</v>
      </c>
      <c r="J2044">
        <v>4.5989452260858099E-2</v>
      </c>
      <c r="K2044">
        <v>3.6881401467831601E-2</v>
      </c>
      <c r="L2044">
        <v>2531.1307569266801</v>
      </c>
      <c r="M2044">
        <v>49.445864124928399</v>
      </c>
      <c r="N2044">
        <v>51.337724352991799</v>
      </c>
      <c r="O2044">
        <v>51.106414288234497</v>
      </c>
      <c r="P2044">
        <v>-0.22583233406518399</v>
      </c>
      <c r="Q2044">
        <v>6.6334767550649404E-2</v>
      </c>
      <c r="R2044">
        <v>0.99692446630808196</v>
      </c>
      <c r="S2044" t="s">
        <v>8661</v>
      </c>
      <c r="T2044" t="s">
        <v>13232</v>
      </c>
      <c r="U2044" t="s">
        <v>13232</v>
      </c>
      <c r="V2044" t="s">
        <v>13232</v>
      </c>
      <c r="W2044" t="s">
        <v>15225</v>
      </c>
      <c r="X2044">
        <v>16</v>
      </c>
      <c r="Y2044" t="s">
        <v>21727</v>
      </c>
      <c r="Z2044" t="s">
        <v>28175</v>
      </c>
      <c r="AA2044">
        <v>0.41674592271442729</v>
      </c>
      <c r="AB2044" t="str">
        <f>HYPERLINK("Melting_Curves/meltCurve_P23284_PPIB.pdf", "Melting_Curves/meltCurve_P23284_PPIB.pdf")</f>
        <v>Melting_Curves/meltCurve_P23284_PPIB.pdf</v>
      </c>
    </row>
    <row r="2045" spans="1:28" x14ac:dyDescent="0.25">
      <c r="A2045" t="s">
        <v>2049</v>
      </c>
      <c r="B2045">
        <v>0.99930955844802105</v>
      </c>
      <c r="C2045">
        <v>1.18472634502207</v>
      </c>
      <c r="D2045">
        <v>1.2879914767385301</v>
      </c>
      <c r="E2045">
        <v>1.1364550549244701</v>
      </c>
      <c r="F2045">
        <v>0.91221257933109001</v>
      </c>
      <c r="G2045">
        <v>0.740816226257207</v>
      </c>
      <c r="H2045">
        <v>0.45876921134382898</v>
      </c>
      <c r="I2045">
        <v>0.39886310693184401</v>
      </c>
      <c r="J2045">
        <v>0.30485884254662599</v>
      </c>
      <c r="K2045">
        <v>0.21775191560167501</v>
      </c>
      <c r="L2045">
        <v>1336.4333783961899</v>
      </c>
      <c r="M2045">
        <v>22.712422110867902</v>
      </c>
      <c r="N2045">
        <v>60.618515808178003</v>
      </c>
      <c r="O2045">
        <v>58.3910820546118</v>
      </c>
      <c r="P2045">
        <v>-7.3607433188448798E-2</v>
      </c>
      <c r="Q2045">
        <v>0.243069425587184</v>
      </c>
      <c r="R2045">
        <v>0.89546916300866297</v>
      </c>
      <c r="S2045" t="s">
        <v>8662</v>
      </c>
      <c r="T2045" t="s">
        <v>13232</v>
      </c>
      <c r="U2045" t="s">
        <v>13232</v>
      </c>
      <c r="V2045" t="s">
        <v>13232</v>
      </c>
      <c r="W2045" t="s">
        <v>15226</v>
      </c>
      <c r="X2045">
        <v>3</v>
      </c>
      <c r="Y2045" t="s">
        <v>21728</v>
      </c>
      <c r="Z2045" t="s">
        <v>28176</v>
      </c>
      <c r="AA2045">
        <v>0.72544601257295427</v>
      </c>
      <c r="AB2045" t="str">
        <f>HYPERLINK("Melting_Curves/meltCurve_P23297_S100A1.pdf", "Melting_Curves/meltCurve_P23297_S100A1.pdf")</f>
        <v>Melting_Curves/meltCurve_P23297_S100A1.pdf</v>
      </c>
    </row>
    <row r="2046" spans="1:28" x14ac:dyDescent="0.25">
      <c r="A2046" t="s">
        <v>2050</v>
      </c>
      <c r="B2046">
        <v>0.99930955844802105</v>
      </c>
      <c r="C2046">
        <v>0.96127016292965795</v>
      </c>
      <c r="D2046">
        <v>0.79711820230671404</v>
      </c>
      <c r="E2046">
        <v>0.70838050030747002</v>
      </c>
      <c r="F2046">
        <v>0.48150100338543</v>
      </c>
      <c r="G2046">
        <v>0.16361650654589599</v>
      </c>
      <c r="H2046">
        <v>8.59706881422342E-2</v>
      </c>
      <c r="I2046">
        <v>6.4634035870898707E-2</v>
      </c>
      <c r="J2046">
        <v>5.9370615235634798E-2</v>
      </c>
      <c r="K2046">
        <v>4.4802623368986501E-2</v>
      </c>
      <c r="L2046">
        <v>788.12577524668802</v>
      </c>
      <c r="M2046">
        <v>15.105051320106099</v>
      </c>
      <c r="N2046">
        <v>52.217261732309602</v>
      </c>
      <c r="O2046">
        <v>51.287451131317098</v>
      </c>
      <c r="P2046">
        <v>-7.3203189763527202E-2</v>
      </c>
      <c r="Q2046">
        <v>5.8860968591869598E-3</v>
      </c>
      <c r="R2046">
        <v>0.98886694967014899</v>
      </c>
      <c r="S2046" t="s">
        <v>8663</v>
      </c>
      <c r="T2046" t="s">
        <v>13232</v>
      </c>
      <c r="U2046" t="s">
        <v>13232</v>
      </c>
      <c r="V2046" t="s">
        <v>13232</v>
      </c>
      <c r="W2046" t="s">
        <v>15227</v>
      </c>
      <c r="X2046">
        <v>21</v>
      </c>
      <c r="Y2046" t="s">
        <v>21729</v>
      </c>
      <c r="Z2046" t="s">
        <v>28177</v>
      </c>
      <c r="AA2046">
        <v>0.43122935797002182</v>
      </c>
      <c r="AB2046" t="str">
        <f>HYPERLINK("Melting_Curves/meltCurve_P23368_ME2.pdf", "Melting_Curves/meltCurve_P23368_ME2.pdf")</f>
        <v>Melting_Curves/meltCurve_P23368_ME2.pdf</v>
      </c>
    </row>
    <row r="2047" spans="1:28" x14ac:dyDescent="0.25">
      <c r="A2047" t="s">
        <v>2051</v>
      </c>
      <c r="B2047">
        <v>0.99930955844802105</v>
      </c>
      <c r="C2047">
        <v>0.97386519016786699</v>
      </c>
      <c r="D2047">
        <v>1.00350655843306</v>
      </c>
      <c r="E2047">
        <v>0.89167479140869699</v>
      </c>
      <c r="F2047">
        <v>0.90817597039703801</v>
      </c>
      <c r="G2047">
        <v>0.77204915347153902</v>
      </c>
      <c r="H2047">
        <v>0.62214199000563897</v>
      </c>
      <c r="I2047">
        <v>0.59500651361721901</v>
      </c>
      <c r="J2047">
        <v>0.56343924037902304</v>
      </c>
      <c r="K2047">
        <v>0.37436264127208801</v>
      </c>
      <c r="L2047">
        <v>494.35524055867597</v>
      </c>
      <c r="M2047">
        <v>7.3950221635973898</v>
      </c>
      <c r="N2047">
        <v>66.849730671666407</v>
      </c>
      <c r="O2047">
        <v>62.483302334739101</v>
      </c>
      <c r="P2047">
        <v>-2.9632813358839001E-2</v>
      </c>
      <c r="Q2047">
        <v>0</v>
      </c>
      <c r="R2047">
        <v>0.97056013213115899</v>
      </c>
      <c r="S2047" t="s">
        <v>8664</v>
      </c>
      <c r="T2047" t="s">
        <v>13232</v>
      </c>
      <c r="U2047" t="s">
        <v>13232</v>
      </c>
      <c r="V2047" t="s">
        <v>13232</v>
      </c>
      <c r="W2047" t="s">
        <v>15228</v>
      </c>
      <c r="X2047">
        <v>37</v>
      </c>
      <c r="Y2047" t="s">
        <v>21730</v>
      </c>
      <c r="Z2047" t="s">
        <v>28178</v>
      </c>
      <c r="AA2047">
        <v>0.78237755844518475</v>
      </c>
      <c r="AB2047" t="str">
        <f>HYPERLINK("Melting_Curves/meltCurve_P23381_WARS.pdf", "Melting_Curves/meltCurve_P23381_WARS.pdf")</f>
        <v>Melting_Curves/meltCurve_P23381_WARS.pdf</v>
      </c>
    </row>
    <row r="2048" spans="1:28" x14ac:dyDescent="0.25">
      <c r="A2048" t="s">
        <v>2052</v>
      </c>
      <c r="B2048">
        <v>0.99930955844802105</v>
      </c>
      <c r="C2048">
        <v>0.60100369523986297</v>
      </c>
      <c r="D2048">
        <v>0.42823030339565399</v>
      </c>
      <c r="E2048">
        <v>0.37448411028696299</v>
      </c>
      <c r="F2048">
        <v>0.240999860020749</v>
      </c>
      <c r="G2048">
        <v>0.14217059410986199</v>
      </c>
      <c r="H2048">
        <v>7.1628057908982495E-2</v>
      </c>
      <c r="I2048">
        <v>5.7278312504200901E-2</v>
      </c>
      <c r="J2048">
        <v>5.1327151948207403E-2</v>
      </c>
      <c r="K2048">
        <v>3.88053029540616E-2</v>
      </c>
      <c r="L2048">
        <v>523.95545340386002</v>
      </c>
      <c r="M2048">
        <v>11.438045782218801</v>
      </c>
      <c r="N2048">
        <v>46.100396890229597</v>
      </c>
      <c r="O2048">
        <v>44.474977411067698</v>
      </c>
      <c r="P2048">
        <v>-6.2064013912030203E-2</v>
      </c>
      <c r="Q2048">
        <v>3.4976311527504599E-2</v>
      </c>
      <c r="R2048">
        <v>0.94709650024832803</v>
      </c>
      <c r="S2048" t="s">
        <v>8665</v>
      </c>
      <c r="T2048" t="s">
        <v>13232</v>
      </c>
      <c r="U2048" t="s">
        <v>13232</v>
      </c>
      <c r="V2048" t="s">
        <v>13232</v>
      </c>
      <c r="W2048" t="s">
        <v>15229</v>
      </c>
      <c r="X2048">
        <v>19</v>
      </c>
      <c r="Y2048" t="s">
        <v>21731</v>
      </c>
      <c r="Z2048" t="s">
        <v>28179</v>
      </c>
      <c r="AA2048">
        <v>0.27056903066801269</v>
      </c>
      <c r="AB2048" t="str">
        <f>HYPERLINK("Melting_Curves/meltCurve_P23396_RPS3.pdf", "Melting_Curves/meltCurve_P23396_RPS3.pdf")</f>
        <v>Melting_Curves/meltCurve_P23396_RPS3.pdf</v>
      </c>
    </row>
    <row r="2049" spans="1:28" x14ac:dyDescent="0.25">
      <c r="A2049" t="s">
        <v>2053</v>
      </c>
      <c r="B2049">
        <v>0.99930955844802105</v>
      </c>
      <c r="C2049">
        <v>1.3094545031632201</v>
      </c>
      <c r="D2049">
        <v>1.1544143040833601</v>
      </c>
      <c r="E2049">
        <v>1.04303218853359</v>
      </c>
      <c r="F2049">
        <v>0.869752456425263</v>
      </c>
      <c r="G2049">
        <v>0.268628844067065</v>
      </c>
      <c r="H2049">
        <v>6.9426232507517394E-2</v>
      </c>
      <c r="I2049">
        <v>3.3623468540590701E-2</v>
      </c>
      <c r="J2049">
        <v>9.7276486072122095E-3</v>
      </c>
      <c r="K2049">
        <v>1.2708904164724401E-2</v>
      </c>
      <c r="L2049">
        <v>2274.7247769035798</v>
      </c>
      <c r="M2049">
        <v>40.9886071657183</v>
      </c>
      <c r="N2049">
        <v>55.561891886662004</v>
      </c>
      <c r="O2049">
        <v>55.364905875016397</v>
      </c>
      <c r="P2049">
        <v>-0.18072559445325301</v>
      </c>
      <c r="Q2049">
        <v>2.3549479854330601E-2</v>
      </c>
      <c r="R2049">
        <v>0.95321806608868198</v>
      </c>
      <c r="S2049" t="s">
        <v>8666</v>
      </c>
      <c r="T2049" t="s">
        <v>13232</v>
      </c>
      <c r="U2049" t="s">
        <v>13232</v>
      </c>
      <c r="V2049" t="s">
        <v>13232</v>
      </c>
      <c r="W2049" t="s">
        <v>15230</v>
      </c>
      <c r="X2049">
        <v>1</v>
      </c>
      <c r="Y2049" t="s">
        <v>21732</v>
      </c>
      <c r="Z2049" t="s">
        <v>28180</v>
      </c>
      <c r="AA2049">
        <v>0.53148682411106207</v>
      </c>
      <c r="AB2049" t="str">
        <f>HYPERLINK("Melting_Curves/meltCurve_P23409_MYF6.pdf", "Melting_Curves/meltCurve_P23409_MYF6.pdf")</f>
        <v>Melting_Curves/meltCurve_P23409_MYF6.pdf</v>
      </c>
    </row>
    <row r="2050" spans="1:28" x14ac:dyDescent="0.25">
      <c r="A2050" t="s">
        <v>2054</v>
      </c>
      <c r="B2050">
        <v>0.99930955844802105</v>
      </c>
      <c r="C2050">
        <v>0.98211373162178806</v>
      </c>
      <c r="D2050">
        <v>1.0202306456246399</v>
      </c>
      <c r="E2050">
        <v>0.959733877237822</v>
      </c>
      <c r="F2050">
        <v>0.78625754038773199</v>
      </c>
      <c r="G2050">
        <v>0.70452302975499304</v>
      </c>
      <c r="H2050">
        <v>0.68083777336849505</v>
      </c>
      <c r="I2050">
        <v>0.72701027605375501</v>
      </c>
      <c r="J2050">
        <v>0.69857286732341695</v>
      </c>
      <c r="K2050">
        <v>0.585451908975264</v>
      </c>
      <c r="L2050">
        <v>2140.3891510334502</v>
      </c>
      <c r="M2050">
        <v>40.978566393018298</v>
      </c>
      <c r="O2050">
        <v>52.107992767896199</v>
      </c>
      <c r="P2050">
        <v>-6.3627746915000394E-2</v>
      </c>
      <c r="Q2050">
        <v>0.67636662505713296</v>
      </c>
      <c r="R2050">
        <v>0.94577727876162498</v>
      </c>
      <c r="S2050" t="s">
        <v>8667</v>
      </c>
      <c r="T2050" t="s">
        <v>13232</v>
      </c>
      <c r="U2050" t="s">
        <v>13232</v>
      </c>
      <c r="V2050" t="s">
        <v>13232</v>
      </c>
      <c r="W2050" t="s">
        <v>15231</v>
      </c>
      <c r="X2050">
        <v>1</v>
      </c>
      <c r="Y2050" t="s">
        <v>21733</v>
      </c>
      <c r="Z2050" t="s">
        <v>28181</v>
      </c>
      <c r="AA2050">
        <v>0.80943425311316231</v>
      </c>
      <c r="AB2050" t="str">
        <f>HYPERLINK("Melting_Curves/meltCurve_P23434_GCSH.pdf", "Melting_Curves/meltCurve_P23434_GCSH.pdf")</f>
        <v>Melting_Curves/meltCurve_P23434_GCSH.pdf</v>
      </c>
    </row>
    <row r="2051" spans="1:28" x14ac:dyDescent="0.25">
      <c r="A2051" t="s">
        <v>2055</v>
      </c>
      <c r="B2051">
        <v>0.99930955844802105</v>
      </c>
      <c r="C2051">
        <v>1.00176477310181</v>
      </c>
      <c r="D2051">
        <v>0.99458431589048302</v>
      </c>
      <c r="E2051">
        <v>0.91673577234593895</v>
      </c>
      <c r="F2051">
        <v>0.80142067709437803</v>
      </c>
      <c r="G2051">
        <v>0.67591736951424197</v>
      </c>
      <c r="H2051">
        <v>0.44218777036239099</v>
      </c>
      <c r="I2051">
        <v>0.207591021799819</v>
      </c>
      <c r="J2051">
        <v>0.14110941848242201</v>
      </c>
      <c r="K2051">
        <v>0.10993940197400801</v>
      </c>
      <c r="L2051">
        <v>856.24436068271405</v>
      </c>
      <c r="M2051">
        <v>14.4400709247984</v>
      </c>
      <c r="N2051">
        <v>59.296409875293797</v>
      </c>
      <c r="O2051">
        <v>58.193993249540497</v>
      </c>
      <c r="P2051">
        <v>-6.2041472256559399E-2</v>
      </c>
      <c r="Q2051">
        <v>0</v>
      </c>
      <c r="R2051">
        <v>0.99319561196874495</v>
      </c>
      <c r="S2051" t="s">
        <v>8668</v>
      </c>
      <c r="T2051" t="s">
        <v>13232</v>
      </c>
      <c r="U2051" t="s">
        <v>13232</v>
      </c>
      <c r="V2051" t="s">
        <v>13232</v>
      </c>
      <c r="W2051" t="s">
        <v>15232</v>
      </c>
      <c r="X2051">
        <v>3</v>
      </c>
      <c r="Y2051" t="s">
        <v>21734</v>
      </c>
      <c r="Z2051" t="s">
        <v>28182</v>
      </c>
      <c r="AA2051">
        <v>0.65238663033072819</v>
      </c>
      <c r="AB2051" t="str">
        <f>HYPERLINK("Melting_Curves/meltCurve_P23470_2_PTPRG.pdf", "Melting_Curves/meltCurve_P23470_2_PTPRG.pdf")</f>
        <v>Melting_Curves/meltCurve_P23470_2_PTPRG.pdf</v>
      </c>
    </row>
    <row r="2052" spans="1:28" x14ac:dyDescent="0.25">
      <c r="A2052" t="s">
        <v>2056</v>
      </c>
      <c r="B2052">
        <v>0.99930955844802105</v>
      </c>
      <c r="C2052">
        <v>1.0230930340162601</v>
      </c>
      <c r="D2052">
        <v>1.02346286718964</v>
      </c>
      <c r="E2052">
        <v>0.93327452604494099</v>
      </c>
      <c r="F2052">
        <v>0.728130688734418</v>
      </c>
      <c r="G2052">
        <v>0.50762487341529905</v>
      </c>
      <c r="H2052">
        <v>0.41273278225006299</v>
      </c>
      <c r="I2052">
        <v>0.39975824702837298</v>
      </c>
      <c r="J2052">
        <v>0.37694068188113899</v>
      </c>
      <c r="K2052">
        <v>0.29614403049117999</v>
      </c>
      <c r="L2052">
        <v>1222.4786333362399</v>
      </c>
      <c r="M2052">
        <v>22.5967286776633</v>
      </c>
      <c r="N2052">
        <v>57.151732332519003</v>
      </c>
      <c r="O2052">
        <v>53.681453689824998</v>
      </c>
      <c r="P2052">
        <v>-6.8361756148604E-2</v>
      </c>
      <c r="Q2052">
        <v>0.35040424349775501</v>
      </c>
      <c r="R2052">
        <v>0.99067411330524702</v>
      </c>
      <c r="S2052" t="s">
        <v>8669</v>
      </c>
      <c r="T2052" t="s">
        <v>13232</v>
      </c>
      <c r="U2052" t="s">
        <v>13232</v>
      </c>
      <c r="V2052" t="s">
        <v>13232</v>
      </c>
      <c r="W2052" t="s">
        <v>15233</v>
      </c>
      <c r="X2052">
        <v>18</v>
      </c>
      <c r="Y2052" t="s">
        <v>21735</v>
      </c>
      <c r="Z2052" t="s">
        <v>28183</v>
      </c>
      <c r="AA2052">
        <v>0.66290269106457067</v>
      </c>
      <c r="AB2052" t="str">
        <f>HYPERLINK("Melting_Curves/meltCurve_P23497_SP100.pdf", "Melting_Curves/meltCurve_P23497_SP100.pdf")</f>
        <v>Melting_Curves/meltCurve_P23497_SP100.pdf</v>
      </c>
    </row>
    <row r="2053" spans="1:28" x14ac:dyDescent="0.25">
      <c r="A2053" t="s">
        <v>2057</v>
      </c>
      <c r="B2053">
        <v>0.99930955844802105</v>
      </c>
      <c r="C2053">
        <v>0.867535786786512</v>
      </c>
      <c r="D2053">
        <v>0.83266793950152496</v>
      </c>
      <c r="E2053">
        <v>0.749043017395705</v>
      </c>
      <c r="F2053">
        <v>0.61589020577921405</v>
      </c>
      <c r="G2053">
        <v>0.51484045886127405</v>
      </c>
      <c r="H2053">
        <v>0.44538971767087798</v>
      </c>
      <c r="I2053">
        <v>0.44145869961220502</v>
      </c>
      <c r="J2053">
        <v>0.44380572324717299</v>
      </c>
      <c r="K2053">
        <v>0.34713126614341699</v>
      </c>
      <c r="L2053">
        <v>472.228605799435</v>
      </c>
      <c r="M2053">
        <v>9.1239535370752805</v>
      </c>
      <c r="N2053">
        <v>58.513266334505502</v>
      </c>
      <c r="O2053">
        <v>49.452520950983001</v>
      </c>
      <c r="P2053">
        <v>-3.1126067477564301E-2</v>
      </c>
      <c r="Q2053">
        <v>0.325642420690262</v>
      </c>
      <c r="R2053">
        <v>0.98044864091484896</v>
      </c>
      <c r="S2053" t="s">
        <v>8670</v>
      </c>
      <c r="T2053" t="s">
        <v>13232</v>
      </c>
      <c r="U2053" t="s">
        <v>13232</v>
      </c>
      <c r="V2053" t="s">
        <v>13232</v>
      </c>
      <c r="W2053" t="s">
        <v>15234</v>
      </c>
      <c r="X2053">
        <v>2</v>
      </c>
      <c r="Y2053" t="s">
        <v>21736</v>
      </c>
      <c r="Z2053" t="s">
        <v>28184</v>
      </c>
      <c r="AA2053">
        <v>0.61883680615968351</v>
      </c>
      <c r="AB2053" t="str">
        <f>HYPERLINK("Melting_Curves/meltCurve_P23511_2_NFYA.pdf", "Melting_Curves/meltCurve_P23511_2_NFYA.pdf")</f>
        <v>Melting_Curves/meltCurve_P23511_2_NFYA.pdf</v>
      </c>
    </row>
    <row r="2054" spans="1:28" x14ac:dyDescent="0.25">
      <c r="A2054" t="s">
        <v>2058</v>
      </c>
      <c r="B2054">
        <v>0.99930955844802105</v>
      </c>
      <c r="C2054">
        <v>0.94164971675010001</v>
      </c>
      <c r="D2054">
        <v>0.96373545553172502</v>
      </c>
      <c r="E2054">
        <v>0.97233421014834398</v>
      </c>
      <c r="F2054">
        <v>1.0534538056871601</v>
      </c>
      <c r="G2054">
        <v>0.85844159785344298</v>
      </c>
      <c r="H2054">
        <v>0.41042084925727201</v>
      </c>
      <c r="I2054">
        <v>0.23601067270558701</v>
      </c>
      <c r="J2054">
        <v>0.10149065463263</v>
      </c>
      <c r="K2054">
        <v>7.1249836127147206E-2</v>
      </c>
      <c r="L2054">
        <v>1868.2077342586499</v>
      </c>
      <c r="M2054">
        <v>31.0834551981999</v>
      </c>
      <c r="N2054">
        <v>60.4152770170829</v>
      </c>
      <c r="O2054">
        <v>59.855838669725699</v>
      </c>
      <c r="P2054">
        <v>-0.120191803732147</v>
      </c>
      <c r="Q2054">
        <v>7.4216108910913306E-2</v>
      </c>
      <c r="R2054">
        <v>0.99161023112653202</v>
      </c>
      <c r="S2054" t="s">
        <v>8671</v>
      </c>
      <c r="T2054" t="s">
        <v>13232</v>
      </c>
      <c r="U2054" t="s">
        <v>13232</v>
      </c>
      <c r="V2054" t="s">
        <v>13232</v>
      </c>
      <c r="W2054" t="s">
        <v>15235</v>
      </c>
      <c r="X2054">
        <v>30</v>
      </c>
      <c r="Y2054" t="s">
        <v>21737</v>
      </c>
      <c r="Z2054" t="s">
        <v>28185</v>
      </c>
      <c r="AA2054">
        <v>0.69991419532498922</v>
      </c>
      <c r="AB2054" t="str">
        <f>HYPERLINK("Melting_Curves/meltCurve_P23526_AHCY.pdf", "Melting_Curves/meltCurve_P23526_AHCY.pdf")</f>
        <v>Melting_Curves/meltCurve_P23526_AHCY.pdf</v>
      </c>
    </row>
    <row r="2055" spans="1:28" x14ac:dyDescent="0.25">
      <c r="A2055" t="s">
        <v>2059</v>
      </c>
      <c r="B2055">
        <v>0.99930955844802105</v>
      </c>
      <c r="C2055">
        <v>1.1036333519388499</v>
      </c>
      <c r="D2055">
        <v>1.25436672599357</v>
      </c>
      <c r="E2055">
        <v>1.2331575378327699</v>
      </c>
      <c r="F2055">
        <v>1.01608591676555</v>
      </c>
      <c r="G2055">
        <v>0.77273391105911704</v>
      </c>
      <c r="H2055">
        <v>0.35870087200025502</v>
      </c>
      <c r="I2055">
        <v>0.235403700311241</v>
      </c>
      <c r="J2055">
        <v>0.22401617615564801</v>
      </c>
      <c r="K2055">
        <v>0.158550108610895</v>
      </c>
      <c r="L2055">
        <v>2098.42839788738</v>
      </c>
      <c r="M2055">
        <v>35.7848805996232</v>
      </c>
      <c r="N2055">
        <v>59.433999428498602</v>
      </c>
      <c r="O2055">
        <v>58.457861304500902</v>
      </c>
      <c r="P2055">
        <v>-0.12396155427182499</v>
      </c>
      <c r="Q2055">
        <v>0.189992664029728</v>
      </c>
      <c r="R2055">
        <v>0.92520027309932196</v>
      </c>
      <c r="S2055" t="s">
        <v>8672</v>
      </c>
      <c r="T2055" t="s">
        <v>13232</v>
      </c>
      <c r="U2055" t="s">
        <v>13232</v>
      </c>
      <c r="V2055" t="s">
        <v>13232</v>
      </c>
      <c r="W2055" t="s">
        <v>15236</v>
      </c>
      <c r="X2055">
        <v>19</v>
      </c>
      <c r="Y2055" t="s">
        <v>21738</v>
      </c>
      <c r="Z2055" t="s">
        <v>28186</v>
      </c>
      <c r="AA2055">
        <v>0.69718882636616475</v>
      </c>
      <c r="AB2055" t="str">
        <f>HYPERLINK("Melting_Curves/meltCurve_P23528_CFL1.pdf", "Melting_Curves/meltCurve_P23528_CFL1.pdf")</f>
        <v>Melting_Curves/meltCurve_P23528_CFL1.pdf</v>
      </c>
    </row>
    <row r="2056" spans="1:28" x14ac:dyDescent="0.25">
      <c r="A2056" t="s">
        <v>2060</v>
      </c>
      <c r="B2056">
        <v>0.99930955844802105</v>
      </c>
      <c r="C2056">
        <v>1.2908372654648701</v>
      </c>
      <c r="D2056">
        <v>1.24625636001235</v>
      </c>
      <c r="E2056">
        <v>1.2485776287975801</v>
      </c>
      <c r="F2056">
        <v>1.2161031264703801</v>
      </c>
      <c r="G2056">
        <v>1.27138353902574</v>
      </c>
      <c r="H2056">
        <v>1.6184279944548099</v>
      </c>
      <c r="I2056">
        <v>1.8810165483697801</v>
      </c>
      <c r="J2056">
        <v>2.09919873499565</v>
      </c>
      <c r="K2056">
        <v>1.60423301452204</v>
      </c>
      <c r="L2056">
        <v>585.82982973878597</v>
      </c>
      <c r="M2056">
        <v>12.5374609602374</v>
      </c>
      <c r="O2056">
        <v>45.585384729016504</v>
      </c>
      <c r="P2056">
        <v>3.4386051090843701E-2</v>
      </c>
      <c r="Q2056">
        <v>1.5</v>
      </c>
      <c r="R2056">
        <v>0.36175118570118903</v>
      </c>
      <c r="S2056" t="s">
        <v>8673</v>
      </c>
      <c r="T2056" t="s">
        <v>13232</v>
      </c>
      <c r="U2056" t="s">
        <v>13232</v>
      </c>
      <c r="V2056" t="s">
        <v>13232</v>
      </c>
      <c r="W2056" t="s">
        <v>15237</v>
      </c>
      <c r="X2056">
        <v>50</v>
      </c>
      <c r="Y2056" t="s">
        <v>20370</v>
      </c>
      <c r="Z2056" t="s">
        <v>28187</v>
      </c>
      <c r="AA2056">
        <v>1.36814410616463</v>
      </c>
      <c r="AB2056" t="str">
        <f>HYPERLINK("Melting_Curves/meltCurve_P23588_EIF4B.pdf", "Melting_Curves/meltCurve_P23588_EIF4B.pdf")</f>
        <v>Melting_Curves/meltCurve_P23588_EIF4B.pdf</v>
      </c>
    </row>
    <row r="2057" spans="1:28" x14ac:dyDescent="0.25">
      <c r="A2057" t="s">
        <v>2061</v>
      </c>
      <c r="B2057">
        <v>0.99930955844802105</v>
      </c>
      <c r="C2057">
        <v>0.61889243972075003</v>
      </c>
      <c r="D2057">
        <v>0.54316432169137396</v>
      </c>
      <c r="E2057">
        <v>0.44852518014951998</v>
      </c>
      <c r="F2057">
        <v>0.30077261617115703</v>
      </c>
      <c r="G2057">
        <v>0.24531105178736401</v>
      </c>
      <c r="H2057">
        <v>0.22324177125838501</v>
      </c>
      <c r="I2057">
        <v>0.21890447149864201</v>
      </c>
      <c r="J2057">
        <v>0.25129072158849403</v>
      </c>
      <c r="K2057">
        <v>0.18633939586722001</v>
      </c>
      <c r="L2057">
        <v>597.20312092528002</v>
      </c>
      <c r="M2057">
        <v>13.2615961511806</v>
      </c>
      <c r="N2057">
        <v>46.970580276630898</v>
      </c>
      <c r="O2057">
        <v>44.0454985170825</v>
      </c>
      <c r="P2057">
        <v>-5.9421010737954902E-2</v>
      </c>
      <c r="Q2057">
        <v>0.21071324113701601</v>
      </c>
      <c r="R2057">
        <v>0.94054732758961801</v>
      </c>
      <c r="S2057" t="s">
        <v>8674</v>
      </c>
      <c r="T2057" t="s">
        <v>13232</v>
      </c>
      <c r="U2057" t="s">
        <v>13232</v>
      </c>
      <c r="V2057" t="s">
        <v>13232</v>
      </c>
      <c r="W2057" t="s">
        <v>15238</v>
      </c>
      <c r="X2057">
        <v>5</v>
      </c>
      <c r="Y2057" t="s">
        <v>21739</v>
      </c>
      <c r="Z2057" t="s">
        <v>28188</v>
      </c>
      <c r="AA2057">
        <v>0.37558224514832428</v>
      </c>
      <c r="AB2057" t="str">
        <f>HYPERLINK("Melting_Curves/meltCurve_P23610_F8A1.pdf", "Melting_Curves/meltCurve_P23610_F8A1.pdf")</f>
        <v>Melting_Curves/meltCurve_P23610_F8A1.pdf</v>
      </c>
    </row>
    <row r="2058" spans="1:28" x14ac:dyDescent="0.25">
      <c r="A2058" t="s">
        <v>2062</v>
      </c>
      <c r="B2058">
        <v>0.99930955844802105</v>
      </c>
      <c r="C2058">
        <v>1.02624631887747</v>
      </c>
      <c r="D2058">
        <v>1.0858905197864599</v>
      </c>
      <c r="E2058">
        <v>0.96956090602436196</v>
      </c>
      <c r="F2058">
        <v>0.81171945057378503</v>
      </c>
      <c r="G2058">
        <v>0.84196228559501696</v>
      </c>
      <c r="H2058">
        <v>0.75322275875976197</v>
      </c>
      <c r="I2058">
        <v>0.80699731898597205</v>
      </c>
      <c r="J2058">
        <v>0.78459892166518597</v>
      </c>
      <c r="K2058">
        <v>0.60957810393204304</v>
      </c>
      <c r="L2058">
        <v>699.56197231866304</v>
      </c>
      <c r="M2058">
        <v>12.4007206367357</v>
      </c>
      <c r="O2058">
        <v>55.006208988445501</v>
      </c>
      <c r="P2058">
        <v>-1.8040230295142099E-2</v>
      </c>
      <c r="Q2058">
        <v>0.67998172952721603</v>
      </c>
      <c r="R2058">
        <v>0.79977129901105604</v>
      </c>
      <c r="S2058" t="s">
        <v>8675</v>
      </c>
      <c r="T2058" t="s">
        <v>13232</v>
      </c>
      <c r="U2058" t="s">
        <v>13232</v>
      </c>
      <c r="V2058" t="s">
        <v>13232</v>
      </c>
      <c r="W2058" t="s">
        <v>15239</v>
      </c>
      <c r="X2058">
        <v>1</v>
      </c>
      <c r="Y2058" t="s">
        <v>21740</v>
      </c>
      <c r="Z2058" t="s">
        <v>28189</v>
      </c>
      <c r="AA2058">
        <v>0.86108371333851885</v>
      </c>
      <c r="AB2058" t="str">
        <f>HYPERLINK("Melting_Curves/meltCurve_P23634_7_ATP2B4.pdf", "Melting_Curves/meltCurve_P23634_7_ATP2B4.pdf")</f>
        <v>Melting_Curves/meltCurve_P23634_7_ATP2B4.pdf</v>
      </c>
    </row>
    <row r="2059" spans="1:28" x14ac:dyDescent="0.25">
      <c r="A2059" t="s">
        <v>2063</v>
      </c>
      <c r="B2059">
        <v>0.99930955844802105</v>
      </c>
      <c r="C2059">
        <v>0.877922588874542</v>
      </c>
      <c r="D2059">
        <v>0.81668091573303403</v>
      </c>
      <c r="E2059">
        <v>0.61761068665572505</v>
      </c>
      <c r="F2059">
        <v>0.55049761624971605</v>
      </c>
      <c r="G2059">
        <v>0.33581335204977097</v>
      </c>
      <c r="H2059">
        <v>0.25327703381592498</v>
      </c>
      <c r="I2059">
        <v>0.30072119072164</v>
      </c>
      <c r="J2059">
        <v>0.29100475248519397</v>
      </c>
      <c r="K2059">
        <v>0.19760331070665599</v>
      </c>
      <c r="L2059">
        <v>587.30818015882505</v>
      </c>
      <c r="M2059">
        <v>11.588045135223901</v>
      </c>
      <c r="N2059">
        <v>53.0096690145295</v>
      </c>
      <c r="O2059">
        <v>49.243419401776698</v>
      </c>
      <c r="P2059">
        <v>-4.7113502958875203E-2</v>
      </c>
      <c r="Q2059">
        <v>0.19938487765744001</v>
      </c>
      <c r="R2059">
        <v>0.98297681847793805</v>
      </c>
      <c r="S2059" t="s">
        <v>8676</v>
      </c>
      <c r="T2059" t="s">
        <v>13232</v>
      </c>
      <c r="U2059" t="s">
        <v>13232</v>
      </c>
      <c r="V2059" t="s">
        <v>13232</v>
      </c>
      <c r="W2059" t="s">
        <v>15240</v>
      </c>
      <c r="X2059">
        <v>3</v>
      </c>
      <c r="Y2059" t="s">
        <v>21741</v>
      </c>
      <c r="Z2059" t="s">
        <v>28190</v>
      </c>
      <c r="AA2059">
        <v>0.51246961138391389</v>
      </c>
      <c r="AB2059" t="str">
        <f>HYPERLINK("Melting_Curves/meltCurve_P23677_ITPKA.pdf", "Melting_Curves/meltCurve_P23677_ITPKA.pdf")</f>
        <v>Melting_Curves/meltCurve_P23677_ITPKA.pdf</v>
      </c>
    </row>
    <row r="2060" spans="1:28" x14ac:dyDescent="0.25">
      <c r="A2060" t="s">
        <v>2064</v>
      </c>
      <c r="B2060">
        <v>0.99930955844802105</v>
      </c>
      <c r="C2060">
        <v>1.14831796442905</v>
      </c>
      <c r="D2060">
        <v>0</v>
      </c>
      <c r="E2060">
        <v>2.5032903714774499</v>
      </c>
      <c r="F2060">
        <v>0</v>
      </c>
      <c r="G2060">
        <v>0.95215022565724206</v>
      </c>
      <c r="H2060">
        <v>0.91430461331183899</v>
      </c>
      <c r="I2060">
        <v>0.99153320567044401</v>
      </c>
      <c r="J2060">
        <v>0.97346552911754802</v>
      </c>
      <c r="K2060">
        <v>0.85027985425230401</v>
      </c>
      <c r="L2060">
        <v>82.898937632940999</v>
      </c>
      <c r="M2060">
        <v>1.0000000000000001E-5</v>
      </c>
      <c r="Q2060">
        <v>0.62561547021957797</v>
      </c>
      <c r="R2060">
        <v>5.1460629839894501E-4</v>
      </c>
      <c r="S2060" t="s">
        <v>8677</v>
      </c>
      <c r="T2060" t="s">
        <v>13232</v>
      </c>
      <c r="U2060" t="s">
        <v>13232</v>
      </c>
      <c r="V2060" t="s">
        <v>13232</v>
      </c>
      <c r="W2060" t="s">
        <v>15241</v>
      </c>
      <c r="X2060">
        <v>3</v>
      </c>
      <c r="Y2060" t="s">
        <v>21742</v>
      </c>
      <c r="Z2060" t="s">
        <v>28191</v>
      </c>
      <c r="AA2060">
        <v>0.93316066070053794</v>
      </c>
      <c r="AB2060" t="str">
        <f>HYPERLINK("Melting_Curves/meltCurve_P23769_2_GATA2.pdf", "Melting_Curves/meltCurve_P23769_2_GATA2.pdf")</f>
        <v>Melting_Curves/meltCurve_P23769_2_GATA2.pdf</v>
      </c>
    </row>
    <row r="2061" spans="1:28" x14ac:dyDescent="0.25">
      <c r="A2061" t="s">
        <v>2065</v>
      </c>
      <c r="B2061">
        <v>0.99930955844802105</v>
      </c>
      <c r="C2061">
        <v>0.59084288673864804</v>
      </c>
      <c r="D2061">
        <v>0.48704620946492</v>
      </c>
      <c r="E2061">
        <v>0.46039368056204599</v>
      </c>
      <c r="F2061">
        <v>0.37595363480969002</v>
      </c>
      <c r="G2061">
        <v>0.299088906989953</v>
      </c>
      <c r="H2061">
        <v>0.242293185487165</v>
      </c>
      <c r="I2061">
        <v>0.24675986817266801</v>
      </c>
      <c r="J2061">
        <v>0.23768866255947099</v>
      </c>
      <c r="K2061">
        <v>0.18497594366609299</v>
      </c>
      <c r="L2061">
        <v>551.93552534504101</v>
      </c>
      <c r="M2061">
        <v>12.3806549874237</v>
      </c>
      <c r="N2061">
        <v>46.917518069370601</v>
      </c>
      <c r="O2061">
        <v>43.465306961224996</v>
      </c>
      <c r="P2061">
        <v>-5.4833476836151897E-2</v>
      </c>
      <c r="Q2061">
        <v>0.230139373001576</v>
      </c>
      <c r="R2061">
        <v>0.90694783997139305</v>
      </c>
      <c r="S2061" t="s">
        <v>8678</v>
      </c>
      <c r="T2061" t="s">
        <v>13232</v>
      </c>
      <c r="U2061" t="s">
        <v>13232</v>
      </c>
      <c r="V2061" t="s">
        <v>13232</v>
      </c>
      <c r="W2061" t="s">
        <v>15242</v>
      </c>
      <c r="X2061">
        <v>5</v>
      </c>
      <c r="Y2061" t="s">
        <v>21743</v>
      </c>
      <c r="Z2061" t="s">
        <v>28192</v>
      </c>
      <c r="AA2061">
        <v>0.38558223906025613</v>
      </c>
      <c r="AB2061" t="str">
        <f>HYPERLINK("Melting_Curves/meltCurve_P23786_CPT2.pdf", "Melting_Curves/meltCurve_P23786_CPT2.pdf")</f>
        <v>Melting_Curves/meltCurve_P23786_CPT2.pdf</v>
      </c>
    </row>
    <row r="2062" spans="1:28" x14ac:dyDescent="0.25">
      <c r="A2062" t="s">
        <v>2066</v>
      </c>
      <c r="B2062">
        <v>0.99930955844802105</v>
      </c>
      <c r="C2062">
        <v>1.01102523528885</v>
      </c>
      <c r="D2062">
        <v>0.65084227415006501</v>
      </c>
      <c r="E2062">
        <v>0.27853674930974398</v>
      </c>
      <c r="F2062">
        <v>0.141356512577579</v>
      </c>
      <c r="G2062">
        <v>9.7286632079181007E-2</v>
      </c>
      <c r="H2062">
        <v>5.49310058806739E-2</v>
      </c>
      <c r="I2062">
        <v>4.3896260440133901E-2</v>
      </c>
      <c r="J2062">
        <v>3.9775540123975703E-2</v>
      </c>
      <c r="K2062">
        <v>2.9446529534943498E-2</v>
      </c>
      <c r="L2062">
        <v>1134.17450309829</v>
      </c>
      <c r="M2062">
        <v>23.911962538565401</v>
      </c>
      <c r="N2062">
        <v>47.648933697690097</v>
      </c>
      <c r="O2062">
        <v>47.103263552193198</v>
      </c>
      <c r="P2062">
        <v>-0.120347788261223</v>
      </c>
      <c r="Q2062">
        <v>5.1741130561440501E-2</v>
      </c>
      <c r="R2062">
        <v>0.99255498036674505</v>
      </c>
      <c r="S2062" t="s">
        <v>8679</v>
      </c>
      <c r="T2062" t="s">
        <v>13232</v>
      </c>
      <c r="U2062" t="s">
        <v>13232</v>
      </c>
      <c r="V2062" t="s">
        <v>13232</v>
      </c>
      <c r="W2062" t="s">
        <v>15243</v>
      </c>
      <c r="X2062">
        <v>17</v>
      </c>
      <c r="Y2062" t="s">
        <v>21744</v>
      </c>
      <c r="Z2062" t="s">
        <v>28193</v>
      </c>
      <c r="AA2062">
        <v>0.29589791409638028</v>
      </c>
      <c r="AB2062" t="str">
        <f>HYPERLINK("Melting_Curves/meltCurve_P23919_DTYMK.pdf", "Melting_Curves/meltCurve_P23919_DTYMK.pdf")</f>
        <v>Melting_Curves/meltCurve_P23919_DTYMK.pdf</v>
      </c>
    </row>
    <row r="2063" spans="1:28" x14ac:dyDescent="0.25">
      <c r="A2063" t="s">
        <v>2067</v>
      </c>
      <c r="B2063">
        <v>0.99930955844802105</v>
      </c>
      <c r="C2063">
        <v>0.92208868825601098</v>
      </c>
      <c r="D2063">
        <v>0.63411155913890005</v>
      </c>
      <c r="E2063">
        <v>0.37802536972462902</v>
      </c>
      <c r="F2063">
        <v>0.207754069080237</v>
      </c>
      <c r="G2063">
        <v>0.13483697830416499</v>
      </c>
      <c r="H2063">
        <v>8.9875508364344395E-2</v>
      </c>
      <c r="I2063">
        <v>8.3222484836191199E-2</v>
      </c>
      <c r="J2063">
        <v>7.3986757269882505E-2</v>
      </c>
      <c r="K2063">
        <v>5.30876588985136E-2</v>
      </c>
      <c r="L2063">
        <v>828.411006737805</v>
      </c>
      <c r="M2063">
        <v>17.366171948692401</v>
      </c>
      <c r="N2063">
        <v>48.113395967518798</v>
      </c>
      <c r="O2063">
        <v>47.083514338522299</v>
      </c>
      <c r="P2063">
        <v>-8.5860364106409501E-2</v>
      </c>
      <c r="Q2063">
        <v>6.8907539508471394E-2</v>
      </c>
      <c r="R2063">
        <v>0.99543145801445698</v>
      </c>
      <c r="S2063" t="s">
        <v>8680</v>
      </c>
      <c r="T2063" t="s">
        <v>13232</v>
      </c>
      <c r="U2063" t="s">
        <v>13232</v>
      </c>
      <c r="V2063" t="s">
        <v>13232</v>
      </c>
      <c r="W2063" t="s">
        <v>15244</v>
      </c>
      <c r="X2063">
        <v>23</v>
      </c>
      <c r="Y2063" t="s">
        <v>21745</v>
      </c>
      <c r="Z2063" t="s">
        <v>28194</v>
      </c>
      <c r="AA2063">
        <v>0.32595819477826571</v>
      </c>
      <c r="AB2063" t="str">
        <f>HYPERLINK("Melting_Curves/meltCurve_P23921_RRM1.pdf", "Melting_Curves/meltCurve_P23921_RRM1.pdf")</f>
        <v>Melting_Curves/meltCurve_P23921_RRM1.pdf</v>
      </c>
    </row>
    <row r="2064" spans="1:28" x14ac:dyDescent="0.25">
      <c r="A2064" t="s">
        <v>2068</v>
      </c>
      <c r="B2064">
        <v>0.99930955844802105</v>
      </c>
      <c r="C2064">
        <v>0.85198425994284199</v>
      </c>
      <c r="D2064">
        <v>0.91693603700469195</v>
      </c>
      <c r="E2064">
        <v>0.88798359449505904</v>
      </c>
      <c r="F2064">
        <v>0.44176141009244702</v>
      </c>
      <c r="G2064">
        <v>0.38775341599239699</v>
      </c>
      <c r="H2064">
        <v>0.49286584567549102</v>
      </c>
      <c r="I2064">
        <v>0.57889370571924703</v>
      </c>
      <c r="J2064">
        <v>0.68673172210292799</v>
      </c>
      <c r="K2064">
        <v>0.58246436871575502</v>
      </c>
      <c r="L2064">
        <v>12558.3128800374</v>
      </c>
      <c r="M2064">
        <v>250</v>
      </c>
      <c r="O2064">
        <v>50.230036949768802</v>
      </c>
      <c r="P2064">
        <v>-0.58678579619851201</v>
      </c>
      <c r="Q2064">
        <v>0.52841164518862604</v>
      </c>
      <c r="R2064">
        <v>0.79454154970570701</v>
      </c>
      <c r="S2064" t="s">
        <v>8681</v>
      </c>
      <c r="T2064" t="s">
        <v>13232</v>
      </c>
      <c r="U2064" t="s">
        <v>13232</v>
      </c>
      <c r="V2064" t="s">
        <v>13232</v>
      </c>
      <c r="W2064" t="s">
        <v>15245</v>
      </c>
      <c r="X2064">
        <v>14</v>
      </c>
      <c r="Y2064" t="s">
        <v>21746</v>
      </c>
      <c r="Z2064" t="s">
        <v>28195</v>
      </c>
      <c r="AA2064">
        <v>0.68931596137106976</v>
      </c>
      <c r="AB2064" t="str">
        <f>HYPERLINK("Melting_Curves/meltCurve_P24534_EEF1B2.pdf", "Melting_Curves/meltCurve_P24534_EEF1B2.pdf")</f>
        <v>Melting_Curves/meltCurve_P24534_EEF1B2.pdf</v>
      </c>
    </row>
    <row r="2065" spans="1:28" x14ac:dyDescent="0.25">
      <c r="A2065" t="s">
        <v>2069</v>
      </c>
      <c r="B2065">
        <v>0.99930955844802105</v>
      </c>
      <c r="C2065">
        <v>0.98040516090240604</v>
      </c>
      <c r="D2065">
        <v>1.0341880382722399</v>
      </c>
      <c r="E2065">
        <v>0.67851461125757995</v>
      </c>
      <c r="F2065">
        <v>0.21913329609451301</v>
      </c>
      <c r="G2065">
        <v>0.140481007018016</v>
      </c>
      <c r="H2065">
        <v>8.4771167901567607E-2</v>
      </c>
      <c r="I2065">
        <v>7.2617349011719207E-2</v>
      </c>
      <c r="J2065">
        <v>6.6560653556249599E-2</v>
      </c>
      <c r="K2065">
        <v>5.3702704762056297E-2</v>
      </c>
      <c r="L2065">
        <v>2080.5651884044</v>
      </c>
      <c r="M2065">
        <v>40.970756160151801</v>
      </c>
      <c r="N2065">
        <v>51.000885189507002</v>
      </c>
      <c r="O2065">
        <v>50.661190848758501</v>
      </c>
      <c r="P2065">
        <v>-0.18586043940424701</v>
      </c>
      <c r="Q2065">
        <v>8.0720715838046395E-2</v>
      </c>
      <c r="R2065">
        <v>0.99645133790446205</v>
      </c>
      <c r="S2065" t="s">
        <v>8682</v>
      </c>
      <c r="T2065" t="s">
        <v>13232</v>
      </c>
      <c r="U2065" t="s">
        <v>13232</v>
      </c>
      <c r="V2065" t="s">
        <v>13232</v>
      </c>
      <c r="W2065" t="s">
        <v>15246</v>
      </c>
      <c r="X2065">
        <v>11</v>
      </c>
      <c r="Y2065" t="s">
        <v>21747</v>
      </c>
      <c r="Z2065" t="s">
        <v>28196</v>
      </c>
      <c r="AA2065">
        <v>0.41417559077115601</v>
      </c>
      <c r="AB2065" t="str">
        <f>HYPERLINK("Melting_Curves/meltCurve_P24666_ACP1.pdf", "Melting_Curves/meltCurve_P24666_ACP1.pdf")</f>
        <v>Melting_Curves/meltCurve_P24666_ACP1.pdf</v>
      </c>
    </row>
    <row r="2066" spans="1:28" x14ac:dyDescent="0.25">
      <c r="A2066" t="s">
        <v>2070</v>
      </c>
      <c r="B2066">
        <v>0.99930955844802105</v>
      </c>
      <c r="C2066">
        <v>0.96492319037801799</v>
      </c>
      <c r="D2066">
        <v>0.95173738707477096</v>
      </c>
      <c r="E2066">
        <v>0.79533008049832499</v>
      </c>
      <c r="F2066">
        <v>0.21227794101257499</v>
      </c>
      <c r="G2066">
        <v>0.150605607910654</v>
      </c>
      <c r="H2066">
        <v>8.8965323046477002E-2</v>
      </c>
      <c r="I2066">
        <v>8.2180543070068196E-2</v>
      </c>
      <c r="J2066">
        <v>7.3720410722908303E-2</v>
      </c>
      <c r="K2066">
        <v>5.6230305260680603E-2</v>
      </c>
      <c r="L2066">
        <v>2652.9146491799802</v>
      </c>
      <c r="M2066">
        <v>51.842680345491303</v>
      </c>
      <c r="N2066">
        <v>51.364983420332997</v>
      </c>
      <c r="O2066">
        <v>51.096432250968498</v>
      </c>
      <c r="P2066">
        <v>-0.231248325670007</v>
      </c>
      <c r="Q2066">
        <v>8.8322116030840905E-2</v>
      </c>
      <c r="R2066">
        <v>0.995145806600232</v>
      </c>
      <c r="S2066" t="s">
        <v>8683</v>
      </c>
      <c r="T2066" t="s">
        <v>13232</v>
      </c>
      <c r="U2066" t="s">
        <v>13232</v>
      </c>
      <c r="V2066" t="s">
        <v>13232</v>
      </c>
      <c r="W2066" t="s">
        <v>15247</v>
      </c>
      <c r="X2066">
        <v>22</v>
      </c>
      <c r="Y2066" t="s">
        <v>21748</v>
      </c>
      <c r="Z2066" t="s">
        <v>28197</v>
      </c>
      <c r="AA2066">
        <v>0.42975666471499019</v>
      </c>
      <c r="AB2066" t="str">
        <f>HYPERLINK("Melting_Curves/meltCurve_P24752_ACAT1.pdf", "Melting_Curves/meltCurve_P24752_ACAT1.pdf")</f>
        <v>Melting_Curves/meltCurve_P24752_ACAT1.pdf</v>
      </c>
    </row>
    <row r="2067" spans="1:28" x14ac:dyDescent="0.25">
      <c r="A2067" t="s">
        <v>2071</v>
      </c>
      <c r="B2067">
        <v>0.99930955844802105</v>
      </c>
      <c r="C2067">
        <v>0.70833563996067705</v>
      </c>
      <c r="D2067">
        <v>0.66579270093669896</v>
      </c>
      <c r="E2067">
        <v>0.626789001607852</v>
      </c>
      <c r="F2067">
        <v>0.51315853043736304</v>
      </c>
      <c r="G2067">
        <v>0.40315313249517198</v>
      </c>
      <c r="H2067">
        <v>0.405701769416831</v>
      </c>
      <c r="I2067">
        <v>0.47752383811032101</v>
      </c>
      <c r="J2067">
        <v>0.50278106136289502</v>
      </c>
      <c r="K2067">
        <v>0.38580156227206303</v>
      </c>
      <c r="L2067">
        <v>574.57062731460906</v>
      </c>
      <c r="M2067">
        <v>12.764921952647599</v>
      </c>
      <c r="N2067">
        <v>53.096549938410497</v>
      </c>
      <c r="O2067">
        <v>43.949895569639203</v>
      </c>
      <c r="P2067">
        <v>-4.1511250849150701E-2</v>
      </c>
      <c r="Q2067">
        <v>0.428411936162712</v>
      </c>
      <c r="R2067">
        <v>0.88487370705578305</v>
      </c>
      <c r="S2067" t="s">
        <v>8684</v>
      </c>
      <c r="T2067" t="s">
        <v>13232</v>
      </c>
      <c r="U2067" t="s">
        <v>13232</v>
      </c>
      <c r="V2067" t="s">
        <v>13232</v>
      </c>
      <c r="W2067" t="s">
        <v>15248</v>
      </c>
      <c r="X2067">
        <v>25</v>
      </c>
      <c r="Y2067" t="s">
        <v>21749</v>
      </c>
      <c r="Z2067" t="s">
        <v>28198</v>
      </c>
      <c r="AA2067">
        <v>0.5492770757425659</v>
      </c>
      <c r="AB2067" t="str">
        <f>HYPERLINK("Melting_Curves/meltCurve_P24928_POLR2A.pdf", "Melting_Curves/meltCurve_P24928_POLR2A.pdf")</f>
        <v>Melting_Curves/meltCurve_P24928_POLR2A.pdf</v>
      </c>
    </row>
    <row r="2068" spans="1:28" x14ac:dyDescent="0.25">
      <c r="A2068" t="s">
        <v>2072</v>
      </c>
      <c r="B2068">
        <v>0.99930955844802105</v>
      </c>
      <c r="C2068">
        <v>1.08825429980003</v>
      </c>
      <c r="D2068">
        <v>1.04138728809295</v>
      </c>
      <c r="E2068">
        <v>0.87603251448415398</v>
      </c>
      <c r="F2068">
        <v>0.59463729298105195</v>
      </c>
      <c r="G2068">
        <v>0.37570880335908702</v>
      </c>
      <c r="H2068">
        <v>0.25279544751843303</v>
      </c>
      <c r="I2068">
        <v>0.21242168188788199</v>
      </c>
      <c r="J2068">
        <v>0.167787503024556</v>
      </c>
      <c r="K2068">
        <v>0.118809291502849</v>
      </c>
      <c r="L2068">
        <v>1126.9745665272701</v>
      </c>
      <c r="M2068">
        <v>20.970558718950901</v>
      </c>
      <c r="N2068">
        <v>54.747605373331503</v>
      </c>
      <c r="O2068">
        <v>53.259266986326097</v>
      </c>
      <c r="P2068">
        <v>-8.2689199693125104E-2</v>
      </c>
      <c r="Q2068">
        <v>0.15999428104802299</v>
      </c>
      <c r="R2068">
        <v>0.98603576059534503</v>
      </c>
      <c r="S2068" t="s">
        <v>8685</v>
      </c>
      <c r="T2068" t="s">
        <v>13232</v>
      </c>
      <c r="U2068" t="s">
        <v>13232</v>
      </c>
      <c r="V2068" t="s">
        <v>13232</v>
      </c>
      <c r="W2068" t="s">
        <v>15249</v>
      </c>
      <c r="X2068">
        <v>17</v>
      </c>
      <c r="Y2068" t="s">
        <v>21750</v>
      </c>
      <c r="Z2068" t="s">
        <v>28199</v>
      </c>
      <c r="AA2068">
        <v>0.55533166301281256</v>
      </c>
      <c r="AB2068" t="str">
        <f>HYPERLINK("Melting_Curves/meltCurve_P24941_CDK2.pdf", "Melting_Curves/meltCurve_P24941_CDK2.pdf")</f>
        <v>Melting_Curves/meltCurve_P24941_CDK2.pdf</v>
      </c>
    </row>
    <row r="2069" spans="1:28" x14ac:dyDescent="0.25">
      <c r="A2069" t="s">
        <v>2073</v>
      </c>
      <c r="B2069">
        <v>0.99930955844802105</v>
      </c>
      <c r="C2069">
        <v>1.03550156915203</v>
      </c>
      <c r="D2069">
        <v>1.0041403651902101</v>
      </c>
      <c r="E2069">
        <v>0.93454670437816501</v>
      </c>
      <c r="F2069">
        <v>0.83476578495687803</v>
      </c>
      <c r="G2069">
        <v>0.68966791071887601</v>
      </c>
      <c r="H2069">
        <v>0.70410872370157496</v>
      </c>
      <c r="I2069">
        <v>0.78925307971500802</v>
      </c>
      <c r="J2069">
        <v>0.87164964322864402</v>
      </c>
      <c r="K2069">
        <v>0.63127580506932601</v>
      </c>
      <c r="L2069">
        <v>1982.89378493455</v>
      </c>
      <c r="M2069">
        <v>38.255527086811902</v>
      </c>
      <c r="O2069">
        <v>51.6918427996265</v>
      </c>
      <c r="P2069">
        <v>-4.8522765968651203E-2</v>
      </c>
      <c r="Q2069">
        <v>0.73773985805898601</v>
      </c>
      <c r="R2069">
        <v>0.79641849752863603</v>
      </c>
      <c r="S2069" t="s">
        <v>8686</v>
      </c>
      <c r="T2069" t="s">
        <v>13232</v>
      </c>
      <c r="U2069" t="s">
        <v>13232</v>
      </c>
      <c r="V2069" t="s">
        <v>13232</v>
      </c>
      <c r="W2069" t="s">
        <v>15250</v>
      </c>
      <c r="X2069">
        <v>15</v>
      </c>
      <c r="Y2069" t="s">
        <v>21751</v>
      </c>
      <c r="Z2069" t="s">
        <v>28200</v>
      </c>
      <c r="AA2069">
        <v>0.84221025143381145</v>
      </c>
      <c r="AB2069" t="str">
        <f>HYPERLINK("Melting_Curves/meltCurve_P25054_2_APC.pdf", "Melting_Curves/meltCurve_P25054_2_APC.pdf")</f>
        <v>Melting_Curves/meltCurve_P25054_2_APC.pdf</v>
      </c>
    </row>
    <row r="2070" spans="1:28" x14ac:dyDescent="0.25">
      <c r="A2070" t="s">
        <v>2074</v>
      </c>
      <c r="B2070">
        <v>0.99930955844802105</v>
      </c>
      <c r="C2070">
        <v>0.97497777708129796</v>
      </c>
      <c r="D2070">
        <v>0.87257330747671102</v>
      </c>
      <c r="E2070">
        <v>0.55184262173443599</v>
      </c>
      <c r="F2070">
        <v>0.202675382307305</v>
      </c>
      <c r="G2070">
        <v>0.14863297559094499</v>
      </c>
      <c r="H2070">
        <v>0.10289215784688401</v>
      </c>
      <c r="I2070">
        <v>9.5544315220120801E-2</v>
      </c>
      <c r="J2070">
        <v>8.7354522441301805E-2</v>
      </c>
      <c r="K2070">
        <v>6.7665583896359904E-2</v>
      </c>
      <c r="L2070">
        <v>1252.1153669471801</v>
      </c>
      <c r="M2070">
        <v>25.148354046572901</v>
      </c>
      <c r="N2070">
        <v>50.162403960919796</v>
      </c>
      <c r="O2070">
        <v>49.477545905237299</v>
      </c>
      <c r="P2070">
        <v>-0.116228506880097</v>
      </c>
      <c r="Q2070">
        <v>8.5327890016738003E-2</v>
      </c>
      <c r="R2070">
        <v>0.99638695458443605</v>
      </c>
      <c r="S2070" t="s">
        <v>8687</v>
      </c>
      <c r="T2070" t="s">
        <v>13232</v>
      </c>
      <c r="U2070" t="s">
        <v>13232</v>
      </c>
      <c r="V2070" t="s">
        <v>13232</v>
      </c>
      <c r="W2070" t="s">
        <v>15251</v>
      </c>
      <c r="X2070">
        <v>27</v>
      </c>
      <c r="Y2070" t="s">
        <v>21752</v>
      </c>
      <c r="Z2070" t="s">
        <v>28201</v>
      </c>
      <c r="AA2070">
        <v>0.39185131660407091</v>
      </c>
      <c r="AB2070" t="str">
        <f>HYPERLINK("Melting_Curves/meltCurve_P25098_ADRBK1.pdf", "Melting_Curves/meltCurve_P25098_ADRBK1.pdf")</f>
        <v>Melting_Curves/meltCurve_P25098_ADRBK1.pdf</v>
      </c>
    </row>
    <row r="2071" spans="1:28" x14ac:dyDescent="0.25">
      <c r="A2071" t="s">
        <v>2075</v>
      </c>
      <c r="B2071">
        <v>0.99930955844802105</v>
      </c>
      <c r="C2071">
        <v>0.72112886034697998</v>
      </c>
      <c r="D2071">
        <v>0.70336459951887997</v>
      </c>
      <c r="E2071">
        <v>0.58942643961248997</v>
      </c>
      <c r="F2071">
        <v>0.34459213685367002</v>
      </c>
      <c r="G2071">
        <v>0.19237094022704501</v>
      </c>
      <c r="H2071">
        <v>0.107346093238193</v>
      </c>
      <c r="I2071">
        <v>9.2342567475683604E-2</v>
      </c>
      <c r="J2071">
        <v>9.1669305792056899E-2</v>
      </c>
      <c r="K2071">
        <v>6.9251839221269595E-2</v>
      </c>
      <c r="L2071">
        <v>499.302075581287</v>
      </c>
      <c r="M2071">
        <v>9.9927289917768807</v>
      </c>
      <c r="N2071">
        <v>49.966546418526796</v>
      </c>
      <c r="O2071">
        <v>48.0891010662722</v>
      </c>
      <c r="P2071">
        <v>-5.1974370321417301E-2</v>
      </c>
      <c r="Q2071">
        <v>0</v>
      </c>
      <c r="R2071">
        <v>0.96967909516713102</v>
      </c>
      <c r="S2071" t="s">
        <v>8688</v>
      </c>
      <c r="T2071" t="s">
        <v>13232</v>
      </c>
      <c r="U2071" t="s">
        <v>13232</v>
      </c>
      <c r="V2071" t="s">
        <v>13232</v>
      </c>
      <c r="W2071" t="s">
        <v>15252</v>
      </c>
      <c r="X2071">
        <v>49</v>
      </c>
      <c r="Y2071" t="s">
        <v>21753</v>
      </c>
      <c r="Z2071" t="s">
        <v>28202</v>
      </c>
      <c r="AA2071">
        <v>0.37759122919523402</v>
      </c>
      <c r="AB2071" t="str">
        <f>HYPERLINK("Melting_Curves/meltCurve_P25205_MCM3.pdf", "Melting_Curves/meltCurve_P25205_MCM3.pdf")</f>
        <v>Melting_Curves/meltCurve_P25205_MCM3.pdf</v>
      </c>
    </row>
    <row r="2072" spans="1:28" x14ac:dyDescent="0.25">
      <c r="A2072" t="s">
        <v>2076</v>
      </c>
      <c r="B2072">
        <v>0.99930955844802105</v>
      </c>
      <c r="C2072">
        <v>0.90814361995400295</v>
      </c>
      <c r="D2072">
        <v>0.87046246895625001</v>
      </c>
      <c r="E2072">
        <v>0.67118912513142004</v>
      </c>
      <c r="F2072">
        <v>0.358820168745769</v>
      </c>
      <c r="G2072">
        <v>0.22713466894345999</v>
      </c>
      <c r="H2072">
        <v>0.161695908221475</v>
      </c>
      <c r="I2072">
        <v>0.139293229724164</v>
      </c>
      <c r="J2072">
        <v>0.12864405930092099</v>
      </c>
      <c r="K2072">
        <v>9.2427550208969894E-2</v>
      </c>
      <c r="L2072">
        <v>880.34926275057705</v>
      </c>
      <c r="M2072">
        <v>17.2933217660695</v>
      </c>
      <c r="N2072">
        <v>51.599896225205903</v>
      </c>
      <c r="O2072">
        <v>50.240810752782799</v>
      </c>
      <c r="P2072">
        <v>-7.71392304753835E-2</v>
      </c>
      <c r="Q2072">
        <v>0.103627964093105</v>
      </c>
      <c r="R2072">
        <v>0.99280945333348702</v>
      </c>
      <c r="S2072" t="s">
        <v>8689</v>
      </c>
      <c r="T2072" t="s">
        <v>13232</v>
      </c>
      <c r="U2072" t="s">
        <v>13232</v>
      </c>
      <c r="V2072" t="s">
        <v>13232</v>
      </c>
      <c r="W2072" t="s">
        <v>15253</v>
      </c>
      <c r="X2072">
        <v>7</v>
      </c>
      <c r="Y2072" t="s">
        <v>21754</v>
      </c>
      <c r="Z2072" t="s">
        <v>28203</v>
      </c>
      <c r="AA2072">
        <v>0.44576448494393489</v>
      </c>
      <c r="AB2072" t="str">
        <f>HYPERLINK("Melting_Curves/meltCurve_P25398_RPS12.pdf", "Melting_Curves/meltCurve_P25398_RPS12.pdf")</f>
        <v>Melting_Curves/meltCurve_P25398_RPS12.pdf</v>
      </c>
    </row>
    <row r="2073" spans="1:28" x14ac:dyDescent="0.25">
      <c r="A2073" t="s">
        <v>2077</v>
      </c>
      <c r="B2073">
        <v>0.99930955844802105</v>
      </c>
      <c r="C2073">
        <v>0.92667462088293995</v>
      </c>
      <c r="D2073">
        <v>0.88147223857304902</v>
      </c>
      <c r="E2073">
        <v>0.75268394814244999</v>
      </c>
      <c r="F2073">
        <v>0.559349227002649</v>
      </c>
      <c r="G2073">
        <v>0.47832688106504501</v>
      </c>
      <c r="H2073">
        <v>0.437866210482797</v>
      </c>
      <c r="I2073">
        <v>0.46172617686591899</v>
      </c>
      <c r="J2073">
        <v>0.45686729095532902</v>
      </c>
      <c r="K2073">
        <v>0.34459205857365999</v>
      </c>
      <c r="L2073">
        <v>747.99708805275804</v>
      </c>
      <c r="M2073">
        <v>14.848323008627901</v>
      </c>
      <c r="N2073">
        <v>56.418669073577298</v>
      </c>
      <c r="O2073">
        <v>49.488625023119603</v>
      </c>
      <c r="P2073">
        <v>-4.5154556537132101E-2</v>
      </c>
      <c r="Q2073">
        <v>0.39807307614148002</v>
      </c>
      <c r="R2073">
        <v>0.97803583768587898</v>
      </c>
      <c r="S2073" t="s">
        <v>8690</v>
      </c>
      <c r="T2073" t="s">
        <v>13232</v>
      </c>
      <c r="U2073" t="s">
        <v>13232</v>
      </c>
      <c r="V2073" t="s">
        <v>13232</v>
      </c>
      <c r="W2073" t="s">
        <v>15254</v>
      </c>
      <c r="X2073">
        <v>13</v>
      </c>
      <c r="Y2073" t="s">
        <v>21755</v>
      </c>
      <c r="Z2073" t="s">
        <v>28204</v>
      </c>
      <c r="AA2073">
        <v>0.62069034366075415</v>
      </c>
      <c r="AB2073" t="str">
        <f>HYPERLINK("Melting_Curves/meltCurve_P25440_BRD2.pdf", "Melting_Curves/meltCurve_P25440_BRD2.pdf")</f>
        <v>Melting_Curves/meltCurve_P25440_BRD2.pdf</v>
      </c>
    </row>
    <row r="2074" spans="1:28" x14ac:dyDescent="0.25">
      <c r="A2074" t="s">
        <v>2078</v>
      </c>
      <c r="B2074">
        <v>0.99930955844802105</v>
      </c>
      <c r="C2074">
        <v>1.01529343485192</v>
      </c>
      <c r="D2074">
        <v>0.89723845308814598</v>
      </c>
      <c r="E2074">
        <v>0.63670049653816296</v>
      </c>
      <c r="F2074">
        <v>0.44094891821686999</v>
      </c>
      <c r="G2074">
        <v>0.34445749016655702</v>
      </c>
      <c r="H2074">
        <v>0.32472998956311999</v>
      </c>
      <c r="I2074">
        <v>0.326196689879164</v>
      </c>
      <c r="J2074">
        <v>0.34908698323711501</v>
      </c>
      <c r="K2074">
        <v>0.26424851397809601</v>
      </c>
      <c r="L2074">
        <v>1159.8107747793499</v>
      </c>
      <c r="M2074">
        <v>23.328297769917299</v>
      </c>
      <c r="N2074">
        <v>51.891137167360696</v>
      </c>
      <c r="O2074">
        <v>49.355895371577603</v>
      </c>
      <c r="P2074">
        <v>-8.1313916281866197E-2</v>
      </c>
      <c r="Q2074">
        <v>0.31186576318765702</v>
      </c>
      <c r="R2074">
        <v>0.99403101939847405</v>
      </c>
      <c r="S2074" t="s">
        <v>8691</v>
      </c>
      <c r="T2074" t="s">
        <v>13232</v>
      </c>
      <c r="U2074" t="s">
        <v>13232</v>
      </c>
      <c r="V2074" t="s">
        <v>13232</v>
      </c>
      <c r="W2074" t="s">
        <v>15255</v>
      </c>
      <c r="X2074">
        <v>26</v>
      </c>
      <c r="Y2074" t="s">
        <v>21756</v>
      </c>
      <c r="Z2074" t="s">
        <v>28205</v>
      </c>
      <c r="AA2074">
        <v>0.54180374708398193</v>
      </c>
      <c r="AB2074" t="str">
        <f>HYPERLINK("Melting_Curves/meltCurve_P25685_DNAJB1.pdf", "Melting_Curves/meltCurve_P25685_DNAJB1.pdf")</f>
        <v>Melting_Curves/meltCurve_P25685_DNAJB1.pdf</v>
      </c>
    </row>
    <row r="2075" spans="1:28" x14ac:dyDescent="0.25">
      <c r="A2075" t="s">
        <v>2079</v>
      </c>
      <c r="B2075">
        <v>0.99930955844802105</v>
      </c>
      <c r="C2075">
        <v>0.61046725564205295</v>
      </c>
      <c r="D2075">
        <v>0.45987147244916499</v>
      </c>
      <c r="E2075">
        <v>0.49455337494260898</v>
      </c>
      <c r="F2075">
        <v>0.323403024027765</v>
      </c>
      <c r="G2075">
        <v>0.22167230080113801</v>
      </c>
      <c r="H2075">
        <v>0.16966437739051099</v>
      </c>
      <c r="I2075">
        <v>0.17277881099626299</v>
      </c>
      <c r="J2075">
        <v>0.15210092322573701</v>
      </c>
      <c r="K2075">
        <v>0.131512823589675</v>
      </c>
      <c r="L2075">
        <v>476.91673965772998</v>
      </c>
      <c r="M2075">
        <v>10.394535283542</v>
      </c>
      <c r="N2075">
        <v>47.193562773846203</v>
      </c>
      <c r="O2075">
        <v>44.280771182572103</v>
      </c>
      <c r="P2075">
        <v>-5.1342476538044898E-2</v>
      </c>
      <c r="Q2075">
        <v>0.12548972599682401</v>
      </c>
      <c r="R2075">
        <v>0.91638183125118</v>
      </c>
      <c r="S2075" t="s">
        <v>8692</v>
      </c>
      <c r="T2075" t="s">
        <v>13232</v>
      </c>
      <c r="U2075" t="s">
        <v>13232</v>
      </c>
      <c r="V2075" t="s">
        <v>13232</v>
      </c>
      <c r="W2075" t="s">
        <v>15256</v>
      </c>
      <c r="X2075">
        <v>16</v>
      </c>
      <c r="Y2075" t="s">
        <v>21757</v>
      </c>
      <c r="Z2075" t="s">
        <v>28206</v>
      </c>
      <c r="AA2075">
        <v>0.3488009160198835</v>
      </c>
      <c r="AB2075" t="str">
        <f>HYPERLINK("Melting_Curves/meltCurve_P25705_ATP5A1.pdf", "Melting_Curves/meltCurve_P25705_ATP5A1.pdf")</f>
        <v>Melting_Curves/meltCurve_P25705_ATP5A1.pdf</v>
      </c>
    </row>
    <row r="2076" spans="1:28" x14ac:dyDescent="0.25">
      <c r="A2076" t="s">
        <v>2080</v>
      </c>
      <c r="B2076">
        <v>0.99930955844802105</v>
      </c>
      <c r="C2076">
        <v>0.93725997952589302</v>
      </c>
      <c r="D2076">
        <v>0.95520569475744399</v>
      </c>
      <c r="E2076">
        <v>0.85380614733148397</v>
      </c>
      <c r="F2076">
        <v>0.76824032339932802</v>
      </c>
      <c r="G2076">
        <v>0.67640390846070597</v>
      </c>
      <c r="H2076">
        <v>0.59354922663210796</v>
      </c>
      <c r="I2076">
        <v>0.62304921359133003</v>
      </c>
      <c r="J2076">
        <v>0.51859302966208798</v>
      </c>
      <c r="K2076">
        <v>0.36231398659046199</v>
      </c>
      <c r="L2076">
        <v>364.98349828113601</v>
      </c>
      <c r="M2076">
        <v>5.5200366751966703</v>
      </c>
      <c r="N2076">
        <v>66.119759660237605</v>
      </c>
      <c r="O2076">
        <v>58.9612797666598</v>
      </c>
      <c r="P2076">
        <v>-2.3507138225355599E-2</v>
      </c>
      <c r="Q2076">
        <v>0</v>
      </c>
      <c r="R2076">
        <v>0.96049806801034798</v>
      </c>
      <c r="S2076" t="s">
        <v>8693</v>
      </c>
      <c r="T2076" t="s">
        <v>13232</v>
      </c>
      <c r="U2076" t="s">
        <v>13232</v>
      </c>
      <c r="V2076" t="s">
        <v>13232</v>
      </c>
      <c r="W2076" t="s">
        <v>15257</v>
      </c>
      <c r="X2076">
        <v>7</v>
      </c>
      <c r="Y2076" t="s">
        <v>21758</v>
      </c>
      <c r="Z2076" t="s">
        <v>28207</v>
      </c>
      <c r="AA2076">
        <v>0.7340042437010581</v>
      </c>
      <c r="AB2076" t="str">
        <f>HYPERLINK("Melting_Curves/meltCurve_P25774_2_CTSS.pdf", "Melting_Curves/meltCurve_P25774_2_CTSS.pdf")</f>
        <v>Melting_Curves/meltCurve_P25774_2_CTSS.pdf</v>
      </c>
    </row>
    <row r="2077" spans="1:28" x14ac:dyDescent="0.25">
      <c r="A2077" t="s">
        <v>2081</v>
      </c>
      <c r="B2077">
        <v>0.99930955844802105</v>
      </c>
      <c r="C2077">
        <v>0.65649382152509195</v>
      </c>
      <c r="D2077">
        <v>0.69746448604065503</v>
      </c>
      <c r="E2077">
        <v>0.72566014558343495</v>
      </c>
      <c r="F2077">
        <v>1.07708139836729</v>
      </c>
      <c r="G2077">
        <v>0.953491247059156</v>
      </c>
      <c r="H2077">
        <v>0.271383726826607</v>
      </c>
      <c r="I2077">
        <v>0.282193782700009</v>
      </c>
      <c r="J2077">
        <v>0.29723942471957499</v>
      </c>
      <c r="K2077">
        <v>0.18462439086131799</v>
      </c>
      <c r="L2077">
        <v>5597.7740205249202</v>
      </c>
      <c r="M2077">
        <v>95.496348288359698</v>
      </c>
      <c r="N2077">
        <v>59.057394919611497</v>
      </c>
      <c r="O2077">
        <v>58.591984342656701</v>
      </c>
      <c r="P2077">
        <v>-0.30379215824252298</v>
      </c>
      <c r="Q2077">
        <v>0.25443079186020401</v>
      </c>
      <c r="R2077">
        <v>0.70521809798831603</v>
      </c>
      <c r="S2077" t="s">
        <v>8694</v>
      </c>
      <c r="T2077" t="s">
        <v>13232</v>
      </c>
      <c r="U2077" t="s">
        <v>13232</v>
      </c>
      <c r="V2077" t="s">
        <v>13232</v>
      </c>
      <c r="W2077" t="s">
        <v>15258</v>
      </c>
      <c r="X2077">
        <v>23</v>
      </c>
      <c r="Y2077" t="s">
        <v>21759</v>
      </c>
      <c r="Z2077" t="s">
        <v>28208</v>
      </c>
      <c r="AA2077">
        <v>0.71764932311501051</v>
      </c>
      <c r="AB2077" t="str">
        <f>HYPERLINK("Melting_Curves/meltCurve_P25786_PSMA1.pdf", "Melting_Curves/meltCurve_P25786_PSMA1.pdf")</f>
        <v>Melting_Curves/meltCurve_P25786_PSMA1.pdf</v>
      </c>
    </row>
    <row r="2078" spans="1:28" x14ac:dyDescent="0.25">
      <c r="A2078" t="s">
        <v>2082</v>
      </c>
      <c r="B2078">
        <v>0.99930955844802105</v>
      </c>
      <c r="C2078">
        <v>0.73307255005708805</v>
      </c>
      <c r="D2078">
        <v>0.76784736630862904</v>
      </c>
      <c r="E2078">
        <v>0.95662867407867402</v>
      </c>
      <c r="F2078">
        <v>1.0848133295712299</v>
      </c>
      <c r="G2078">
        <v>0.92662288310546703</v>
      </c>
      <c r="H2078">
        <v>0.27698536277671099</v>
      </c>
      <c r="I2078">
        <v>0.294308409424138</v>
      </c>
      <c r="J2078">
        <v>0.30109338957005</v>
      </c>
      <c r="K2078">
        <v>0.20225261010333601</v>
      </c>
      <c r="L2078">
        <v>5511.0644894116404</v>
      </c>
      <c r="M2078">
        <v>94.485839173662299</v>
      </c>
      <c r="N2078">
        <v>58.798696429721403</v>
      </c>
      <c r="O2078">
        <v>58.300769573234</v>
      </c>
      <c r="P2078">
        <v>-0.297497028808758</v>
      </c>
      <c r="Q2078">
        <v>0.26573951839136301</v>
      </c>
      <c r="R2078">
        <v>0.87128088761687605</v>
      </c>
      <c r="S2078" t="s">
        <v>8695</v>
      </c>
      <c r="T2078" t="s">
        <v>13232</v>
      </c>
      <c r="U2078" t="s">
        <v>13232</v>
      </c>
      <c r="V2078" t="s">
        <v>13232</v>
      </c>
      <c r="W2078" t="s">
        <v>15259</v>
      </c>
      <c r="X2078">
        <v>15</v>
      </c>
      <c r="Y2078" t="s">
        <v>21760</v>
      </c>
      <c r="Z2078" t="s">
        <v>28209</v>
      </c>
      <c r="AA2078">
        <v>0.71482326657729722</v>
      </c>
      <c r="AB2078" t="str">
        <f>HYPERLINK("Melting_Curves/meltCurve_P25787_PSMA2.pdf", "Melting_Curves/meltCurve_P25787_PSMA2.pdf")</f>
        <v>Melting_Curves/meltCurve_P25787_PSMA2.pdf</v>
      </c>
    </row>
    <row r="2079" spans="1:28" x14ac:dyDescent="0.25">
      <c r="A2079" t="s">
        <v>2083</v>
      </c>
      <c r="B2079">
        <v>0.99930955844802105</v>
      </c>
      <c r="C2079">
        <v>0.64386360271994003</v>
      </c>
      <c r="D2079">
        <v>0.72180504350152697</v>
      </c>
      <c r="E2079">
        <v>0.87160941150183302</v>
      </c>
      <c r="F2079">
        <v>0.98865178926596997</v>
      </c>
      <c r="G2079">
        <v>0.93921899619502303</v>
      </c>
      <c r="H2079">
        <v>0.249028999479462</v>
      </c>
      <c r="I2079">
        <v>0.26221522869882102</v>
      </c>
      <c r="J2079">
        <v>0.277697468528461</v>
      </c>
      <c r="K2079">
        <v>0.184520493030705</v>
      </c>
      <c r="L2079">
        <v>6059.2561665436697</v>
      </c>
      <c r="M2079">
        <v>103.862482263027</v>
      </c>
      <c r="N2079">
        <v>58.7117610745387</v>
      </c>
      <c r="O2079">
        <v>58.317600772282198</v>
      </c>
      <c r="P2079">
        <v>-0.33779639934425998</v>
      </c>
      <c r="Q2079">
        <v>0.241324713239747</v>
      </c>
      <c r="R2079">
        <v>0.78032490992951298</v>
      </c>
      <c r="S2079" t="s">
        <v>8696</v>
      </c>
      <c r="T2079" t="s">
        <v>13232</v>
      </c>
      <c r="U2079" t="s">
        <v>13232</v>
      </c>
      <c r="V2079" t="s">
        <v>13232</v>
      </c>
      <c r="W2079" t="s">
        <v>15260</v>
      </c>
      <c r="X2079">
        <v>14</v>
      </c>
      <c r="Y2079" t="s">
        <v>21761</v>
      </c>
      <c r="Z2079" t="s">
        <v>28210</v>
      </c>
      <c r="AA2079">
        <v>0.70555899011661216</v>
      </c>
      <c r="AB2079" t="str">
        <f>HYPERLINK("Melting_Curves/meltCurve_P25788_2_PSMA3.pdf", "Melting_Curves/meltCurve_P25788_2_PSMA3.pdf")</f>
        <v>Melting_Curves/meltCurve_P25788_2_PSMA3.pdf</v>
      </c>
    </row>
    <row r="2080" spans="1:28" x14ac:dyDescent="0.25">
      <c r="A2080" t="s">
        <v>2084</v>
      </c>
      <c r="B2080">
        <v>0.99930955844802105</v>
      </c>
      <c r="C2080">
        <v>0.64526878300693402</v>
      </c>
      <c r="D2080">
        <v>0.67639591226478202</v>
      </c>
      <c r="E2080">
        <v>0.81850654727493299</v>
      </c>
      <c r="F2080">
        <v>0.99338385342129698</v>
      </c>
      <c r="G2080">
        <v>0.93565568731056303</v>
      </c>
      <c r="H2080">
        <v>0.23928037694909901</v>
      </c>
      <c r="I2080">
        <v>0.25854714372750998</v>
      </c>
      <c r="J2080">
        <v>0.277282147113945</v>
      </c>
      <c r="K2080">
        <v>0.17429006849461201</v>
      </c>
      <c r="L2080">
        <v>6930.1961594600498</v>
      </c>
      <c r="M2080">
        <v>119.197046784538</v>
      </c>
      <c r="N2080">
        <v>58.455052637131601</v>
      </c>
      <c r="O2080">
        <v>58.124309206546101</v>
      </c>
      <c r="P2080">
        <v>-0.39136341093988097</v>
      </c>
      <c r="Q2080">
        <v>0.23663453415934901</v>
      </c>
      <c r="R2080">
        <v>0.734308440847385</v>
      </c>
      <c r="S2080" t="s">
        <v>8697</v>
      </c>
      <c r="T2080" t="s">
        <v>13232</v>
      </c>
      <c r="U2080" t="s">
        <v>13232</v>
      </c>
      <c r="V2080" t="s">
        <v>13232</v>
      </c>
      <c r="W2080" t="s">
        <v>15261</v>
      </c>
      <c r="X2080">
        <v>18</v>
      </c>
      <c r="Y2080" t="s">
        <v>21762</v>
      </c>
      <c r="Z2080" t="s">
        <v>28211</v>
      </c>
      <c r="AA2080">
        <v>0.69857612931025581</v>
      </c>
      <c r="AB2080" t="str">
        <f>HYPERLINK("Melting_Curves/meltCurve_P25789_PSMA4.pdf", "Melting_Curves/meltCurve_P25789_PSMA4.pdf")</f>
        <v>Melting_Curves/meltCurve_P25789_PSMA4.pdf</v>
      </c>
    </row>
    <row r="2081" spans="1:28" x14ac:dyDescent="0.25">
      <c r="A2081" t="s">
        <v>2085</v>
      </c>
      <c r="B2081">
        <v>0.99930955844802105</v>
      </c>
      <c r="C2081">
        <v>0.84705870254762305</v>
      </c>
      <c r="D2081">
        <v>0.68107019953469805</v>
      </c>
      <c r="E2081">
        <v>0.50339816943946103</v>
      </c>
      <c r="F2081">
        <v>0.358515287661265</v>
      </c>
      <c r="G2081">
        <v>0.285410758250846</v>
      </c>
      <c r="H2081">
        <v>0.194887982634809</v>
      </c>
      <c r="I2081">
        <v>0.186418050881789</v>
      </c>
      <c r="J2081">
        <v>0.15046606670660601</v>
      </c>
      <c r="K2081">
        <v>0.128328425243942</v>
      </c>
      <c r="L2081">
        <v>578.91934805865196</v>
      </c>
      <c r="M2081">
        <v>11.8834054934024</v>
      </c>
      <c r="N2081">
        <v>49.921341594515702</v>
      </c>
      <c r="O2081">
        <v>47.398491918803103</v>
      </c>
      <c r="P2081">
        <v>-5.48784751378509E-2</v>
      </c>
      <c r="Q2081">
        <v>0.12465971049145801</v>
      </c>
      <c r="R2081">
        <v>0.99305223662876596</v>
      </c>
      <c r="S2081" t="s">
        <v>8698</v>
      </c>
      <c r="T2081" t="s">
        <v>13232</v>
      </c>
      <c r="U2081" t="s">
        <v>13232</v>
      </c>
      <c r="V2081" t="s">
        <v>13232</v>
      </c>
      <c r="W2081" t="s">
        <v>15262</v>
      </c>
      <c r="X2081">
        <v>1</v>
      </c>
      <c r="Y2081" t="s">
        <v>21763</v>
      </c>
      <c r="Z2081" t="s">
        <v>28212</v>
      </c>
      <c r="AA2081">
        <v>0.4122615488103395</v>
      </c>
      <c r="AB2081" t="str">
        <f>HYPERLINK("Melting_Curves/meltCurve_P25791_LMO2.pdf", "Melting_Curves/meltCurve_P25791_LMO2.pdf")</f>
        <v>Melting_Curves/meltCurve_P25791_LMO2.pdf</v>
      </c>
    </row>
    <row r="2082" spans="1:28" x14ac:dyDescent="0.25">
      <c r="A2082" t="s">
        <v>2086</v>
      </c>
      <c r="B2082">
        <v>0.99930955844802105</v>
      </c>
      <c r="C2082">
        <v>0.96268737545077099</v>
      </c>
      <c r="D2082">
        <v>1.02912161453219</v>
      </c>
      <c r="E2082">
        <v>0.85520199786928697</v>
      </c>
      <c r="F2082">
        <v>0.73673372886923605</v>
      </c>
      <c r="G2082">
        <v>0.72636674115492195</v>
      </c>
      <c r="H2082">
        <v>0.54161341888308701</v>
      </c>
      <c r="I2082">
        <v>0.38808069372151199</v>
      </c>
      <c r="J2082">
        <v>0.21748830243574899</v>
      </c>
      <c r="K2082">
        <v>0.13294386540117301</v>
      </c>
      <c r="L2082">
        <v>661.16071693823096</v>
      </c>
      <c r="M2082">
        <v>10.900707898908299</v>
      </c>
      <c r="N2082">
        <v>60.653007426630197</v>
      </c>
      <c r="O2082">
        <v>58.718894541700998</v>
      </c>
      <c r="P2082">
        <v>-4.6426788446599102E-2</v>
      </c>
      <c r="Q2082">
        <v>0</v>
      </c>
      <c r="R2082">
        <v>0.97031429821439996</v>
      </c>
      <c r="S2082" t="s">
        <v>8699</v>
      </c>
      <c r="T2082" t="s">
        <v>13232</v>
      </c>
      <c r="U2082" t="s">
        <v>13232</v>
      </c>
      <c r="V2082" t="s">
        <v>13232</v>
      </c>
      <c r="W2082" t="s">
        <v>15263</v>
      </c>
      <c r="X2082">
        <v>5</v>
      </c>
      <c r="Y2082" t="s">
        <v>21764</v>
      </c>
      <c r="Z2082" t="s">
        <v>28213</v>
      </c>
      <c r="AA2082">
        <v>0.68309128060207669</v>
      </c>
      <c r="AB2082" t="str">
        <f>HYPERLINK("Melting_Curves/meltCurve_P25815_S100P.pdf", "Melting_Curves/meltCurve_P25815_S100P.pdf")</f>
        <v>Melting_Curves/meltCurve_P25815_S100P.pdf</v>
      </c>
    </row>
    <row r="2083" spans="1:28" x14ac:dyDescent="0.25">
      <c r="A2083" t="s">
        <v>2087</v>
      </c>
      <c r="B2083">
        <v>0.99930955844802105</v>
      </c>
      <c r="C2083">
        <v>1.0350277529849901</v>
      </c>
      <c r="D2083">
        <v>0.91931518054506001</v>
      </c>
      <c r="E2083">
        <v>0.94429206154986101</v>
      </c>
      <c r="F2083">
        <v>0.71554380844791199</v>
      </c>
      <c r="G2083">
        <v>0.170485468900402</v>
      </c>
      <c r="H2083">
        <v>0.10719952619608</v>
      </c>
      <c r="I2083">
        <v>8.0227735487242602E-2</v>
      </c>
      <c r="J2083">
        <v>7.2354086187476796E-2</v>
      </c>
      <c r="K2083">
        <v>5.5032883723886601E-2</v>
      </c>
      <c r="L2083">
        <v>2096.9807002591101</v>
      </c>
      <c r="M2083">
        <v>38.792654538253203</v>
      </c>
      <c r="N2083">
        <v>54.276417864879299</v>
      </c>
      <c r="O2083">
        <v>53.913095889794199</v>
      </c>
      <c r="P2083">
        <v>-0.16678249809290799</v>
      </c>
      <c r="Q2083">
        <v>7.2841297582238201E-2</v>
      </c>
      <c r="R2083">
        <v>0.99492796207285095</v>
      </c>
      <c r="S2083" t="s">
        <v>8700</v>
      </c>
      <c r="T2083" t="s">
        <v>13232</v>
      </c>
      <c r="U2083" t="s">
        <v>13232</v>
      </c>
      <c r="V2083" t="s">
        <v>13232</v>
      </c>
      <c r="W2083" t="s">
        <v>15264</v>
      </c>
      <c r="X2083">
        <v>68</v>
      </c>
      <c r="Y2083" t="s">
        <v>21765</v>
      </c>
      <c r="Z2083" t="s">
        <v>28214</v>
      </c>
      <c r="AA2083">
        <v>0.51092523468568596</v>
      </c>
      <c r="AB2083" t="str">
        <f>HYPERLINK("Melting_Curves/meltCurve_P26038_MSN.pdf", "Melting_Curves/meltCurve_P26038_MSN.pdf")</f>
        <v>Melting_Curves/meltCurve_P26038_MSN.pdf</v>
      </c>
    </row>
    <row r="2084" spans="1:28" x14ac:dyDescent="0.25">
      <c r="A2084" t="s">
        <v>2088</v>
      </c>
      <c r="B2084">
        <v>0.99930955844802105</v>
      </c>
      <c r="C2084">
        <v>1.02708210432813</v>
      </c>
      <c r="D2084">
        <v>0.99640720692955598</v>
      </c>
      <c r="E2084">
        <v>0.84276097129124605</v>
      </c>
      <c r="F2084">
        <v>0.27810369100528798</v>
      </c>
      <c r="G2084">
        <v>0.19595352462342799</v>
      </c>
      <c r="H2084">
        <v>0.14166141926935699</v>
      </c>
      <c r="I2084">
        <v>0.13906188844800499</v>
      </c>
      <c r="J2084">
        <v>0.127065791480509</v>
      </c>
      <c r="K2084">
        <v>0.10024179978525</v>
      </c>
      <c r="L2084">
        <v>2731.2499958682401</v>
      </c>
      <c r="M2084">
        <v>53.143537328913503</v>
      </c>
      <c r="N2084">
        <v>51.7111256854107</v>
      </c>
      <c r="O2084">
        <v>51.321214516788601</v>
      </c>
      <c r="P2084">
        <v>-0.22286028373622799</v>
      </c>
      <c r="Q2084">
        <v>0.139127499262441</v>
      </c>
      <c r="R2084">
        <v>0.99675454412359499</v>
      </c>
      <c r="S2084" t="s">
        <v>8701</v>
      </c>
      <c r="T2084" t="s">
        <v>13232</v>
      </c>
      <c r="U2084" t="s">
        <v>13232</v>
      </c>
      <c r="V2084" t="s">
        <v>13232</v>
      </c>
      <c r="W2084" t="s">
        <v>15265</v>
      </c>
      <c r="X2084">
        <v>27</v>
      </c>
      <c r="Y2084" t="s">
        <v>21766</v>
      </c>
      <c r="Z2084" t="s">
        <v>28215</v>
      </c>
      <c r="AA2084">
        <v>0.46780843302555031</v>
      </c>
      <c r="AB2084" t="str">
        <f>HYPERLINK("Melting_Curves/meltCurve_P26196_DDX6.pdf", "Melting_Curves/meltCurve_P26196_DDX6.pdf")</f>
        <v>Melting_Curves/meltCurve_P26196_DDX6.pdf</v>
      </c>
    </row>
    <row r="2085" spans="1:28" x14ac:dyDescent="0.25">
      <c r="A2085" t="s">
        <v>2089</v>
      </c>
      <c r="B2085">
        <v>0.99930955844802105</v>
      </c>
      <c r="C2085">
        <v>0.95146106793044405</v>
      </c>
      <c r="D2085">
        <v>0.77111143628092405</v>
      </c>
      <c r="E2085">
        <v>0.84090964920132305</v>
      </c>
      <c r="F2085">
        <v>0.53508231646323701</v>
      </c>
      <c r="G2085">
        <v>0.236449578934809</v>
      </c>
      <c r="H2085">
        <v>0.16887910651495799</v>
      </c>
      <c r="I2085">
        <v>0.16872403663723501</v>
      </c>
      <c r="J2085">
        <v>0.150736100175314</v>
      </c>
      <c r="K2085">
        <v>0.122759701690262</v>
      </c>
      <c r="L2085">
        <v>881.15470252462001</v>
      </c>
      <c r="M2085">
        <v>16.735742655030599</v>
      </c>
      <c r="N2085">
        <v>53.398674308474803</v>
      </c>
      <c r="O2085">
        <v>51.916560252095699</v>
      </c>
      <c r="P2085">
        <v>-7.2177503356985598E-2</v>
      </c>
      <c r="Q2085">
        <v>0.104440997062146</v>
      </c>
      <c r="R2085">
        <v>0.96587288408539096</v>
      </c>
      <c r="S2085" t="s">
        <v>8702</v>
      </c>
      <c r="T2085" t="s">
        <v>13232</v>
      </c>
      <c r="U2085" t="s">
        <v>13232</v>
      </c>
      <c r="V2085" t="s">
        <v>13232</v>
      </c>
      <c r="W2085" t="s">
        <v>15266</v>
      </c>
      <c r="X2085">
        <v>69</v>
      </c>
      <c r="Y2085" t="s">
        <v>20291</v>
      </c>
      <c r="Z2085" t="s">
        <v>28216</v>
      </c>
      <c r="AA2085">
        <v>0.49868124742849351</v>
      </c>
      <c r="AB2085" t="str">
        <f>HYPERLINK("Melting_Curves/meltCurve_P26358_DNMT1.pdf", "Melting_Curves/meltCurve_P26358_DNMT1.pdf")</f>
        <v>Melting_Curves/meltCurve_P26358_DNMT1.pdf</v>
      </c>
    </row>
    <row r="2086" spans="1:28" x14ac:dyDescent="0.25">
      <c r="A2086" t="s">
        <v>2090</v>
      </c>
      <c r="B2086">
        <v>0.99930955844802105</v>
      </c>
      <c r="C2086">
        <v>1.2023941746106199</v>
      </c>
      <c r="D2086">
        <v>1.14619125696383</v>
      </c>
      <c r="E2086">
        <v>1.043213314692</v>
      </c>
      <c r="F2086">
        <v>0.87943318770907197</v>
      </c>
      <c r="G2086">
        <v>0.79173695384342901</v>
      </c>
      <c r="H2086">
        <v>0.75551578155959997</v>
      </c>
      <c r="I2086">
        <v>0.800118987212732</v>
      </c>
      <c r="J2086">
        <v>0.83806421884170001</v>
      </c>
      <c r="K2086">
        <v>0.63894364252758395</v>
      </c>
      <c r="L2086">
        <v>13247.2902112543</v>
      </c>
      <c r="M2086">
        <v>250</v>
      </c>
      <c r="O2086">
        <v>52.985755889580602</v>
      </c>
      <c r="P2086">
        <v>-0.27734343628943398</v>
      </c>
      <c r="Q2086">
        <v>0.76487591208609096</v>
      </c>
      <c r="R2086">
        <v>0.70499818767363098</v>
      </c>
      <c r="S2086" t="s">
        <v>8703</v>
      </c>
      <c r="T2086" t="s">
        <v>13232</v>
      </c>
      <c r="U2086" t="s">
        <v>13232</v>
      </c>
      <c r="V2086" t="s">
        <v>13232</v>
      </c>
      <c r="W2086" t="s">
        <v>15267</v>
      </c>
      <c r="X2086">
        <v>68</v>
      </c>
      <c r="Y2086" t="s">
        <v>20291</v>
      </c>
      <c r="Z2086" t="s">
        <v>28217</v>
      </c>
      <c r="AA2086">
        <v>0.86669993070158169</v>
      </c>
      <c r="AB2086" t="str">
        <f>HYPERLINK("Melting_Curves/meltCurve_P26358_2_DNMT1.pdf", "Melting_Curves/meltCurve_P26358_2_DNMT1.pdf")</f>
        <v>Melting_Curves/meltCurve_P26358_2_DNMT1.pdf</v>
      </c>
    </row>
    <row r="2087" spans="1:28" x14ac:dyDescent="0.25">
      <c r="A2087" t="s">
        <v>2091</v>
      </c>
      <c r="B2087">
        <v>0.99930955844802105</v>
      </c>
      <c r="C2087">
        <v>1.15488250423943</v>
      </c>
      <c r="D2087">
        <v>1.1770176594325801</v>
      </c>
      <c r="E2087">
        <v>1.1642465397873101</v>
      </c>
      <c r="F2087">
        <v>0.91511385953162205</v>
      </c>
      <c r="G2087">
        <v>0.43057832760826897</v>
      </c>
      <c r="H2087">
        <v>0.214342702066769</v>
      </c>
      <c r="I2087">
        <v>0.15421753491809401</v>
      </c>
      <c r="J2087">
        <v>0.16232511142332001</v>
      </c>
      <c r="K2087">
        <v>0.102776342107956</v>
      </c>
      <c r="L2087">
        <v>2316.2099073428399</v>
      </c>
      <c r="M2087">
        <v>41.305955890633101</v>
      </c>
      <c r="N2087">
        <v>56.555901674060003</v>
      </c>
      <c r="O2087">
        <v>55.943529941565501</v>
      </c>
      <c r="P2087">
        <v>-0.15722739816961201</v>
      </c>
      <c r="Q2087">
        <v>0.14822557408846099</v>
      </c>
      <c r="R2087">
        <v>0.95620319841510804</v>
      </c>
      <c r="S2087" t="s">
        <v>8704</v>
      </c>
      <c r="T2087" t="s">
        <v>13232</v>
      </c>
      <c r="U2087" t="s">
        <v>13232</v>
      </c>
      <c r="V2087" t="s">
        <v>13232</v>
      </c>
      <c r="W2087" t="s">
        <v>15268</v>
      </c>
      <c r="X2087">
        <v>18</v>
      </c>
      <c r="Y2087" t="s">
        <v>21767</v>
      </c>
      <c r="Z2087" t="s">
        <v>28218</v>
      </c>
      <c r="AA2087">
        <v>0.60769779905352828</v>
      </c>
      <c r="AB2087" t="str">
        <f>HYPERLINK("Melting_Curves/meltCurve_P26368_2_U2AF2.pdf", "Melting_Curves/meltCurve_P26368_2_U2AF2.pdf")</f>
        <v>Melting_Curves/meltCurve_P26368_2_U2AF2.pdf</v>
      </c>
    </row>
    <row r="2088" spans="1:28" x14ac:dyDescent="0.25">
      <c r="A2088" t="s">
        <v>2092</v>
      </c>
      <c r="B2088">
        <v>0.99930955844802105</v>
      </c>
      <c r="C2088">
        <v>1.0533190710006799</v>
      </c>
      <c r="D2088">
        <v>0.94461321850924995</v>
      </c>
      <c r="E2088">
        <v>0.96344716317924095</v>
      </c>
      <c r="F2088">
        <v>0.85641428520644802</v>
      </c>
      <c r="G2088">
        <v>0.67060429662175103</v>
      </c>
      <c r="H2088">
        <v>0.60616708334277403</v>
      </c>
      <c r="I2088">
        <v>0.61607554211724402</v>
      </c>
      <c r="J2088">
        <v>0.65997178676449897</v>
      </c>
      <c r="K2088">
        <v>0.50250076996526705</v>
      </c>
      <c r="L2088">
        <v>1345.0693687615501</v>
      </c>
      <c r="M2088">
        <v>24.7877728800492</v>
      </c>
      <c r="O2088">
        <v>53.913961093359497</v>
      </c>
      <c r="P2088">
        <v>-4.7760780361741702E-2</v>
      </c>
      <c r="Q2088">
        <v>0.58448280536052899</v>
      </c>
      <c r="R2088">
        <v>0.947574742867903</v>
      </c>
      <c r="S2088" t="s">
        <v>8705</v>
      </c>
      <c r="T2088" t="s">
        <v>13232</v>
      </c>
      <c r="U2088" t="s">
        <v>13232</v>
      </c>
      <c r="V2088" t="s">
        <v>13232</v>
      </c>
      <c r="W2088" t="s">
        <v>15269</v>
      </c>
      <c r="X2088">
        <v>8</v>
      </c>
      <c r="Y2088" t="s">
        <v>21768</v>
      </c>
      <c r="Z2088" t="s">
        <v>28219</v>
      </c>
      <c r="AA2088">
        <v>0.78594603095547411</v>
      </c>
      <c r="AB2088" t="str">
        <f>HYPERLINK("Melting_Curves/meltCurve_P26373_RPL13.pdf", "Melting_Curves/meltCurve_P26373_RPL13.pdf")</f>
        <v>Melting_Curves/meltCurve_P26373_RPL13.pdf</v>
      </c>
    </row>
    <row r="2089" spans="1:28" x14ac:dyDescent="0.25">
      <c r="A2089" t="s">
        <v>2093</v>
      </c>
      <c r="B2089">
        <v>0.99930955844802105</v>
      </c>
      <c r="C2089">
        <v>1.0805624979719399</v>
      </c>
      <c r="D2089">
        <v>1.0494333686385799</v>
      </c>
      <c r="E2089">
        <v>0.99025764086629298</v>
      </c>
      <c r="F2089">
        <v>0.801804592803401</v>
      </c>
      <c r="G2089">
        <v>0.32649286830268398</v>
      </c>
      <c r="H2089">
        <v>0.139635013441364</v>
      </c>
      <c r="I2089">
        <v>0.110060617473177</v>
      </c>
      <c r="J2089">
        <v>9.3345540488792594E-2</v>
      </c>
      <c r="K2089">
        <v>7.3382258007934603E-2</v>
      </c>
      <c r="L2089">
        <v>1785.91500931729</v>
      </c>
      <c r="M2089">
        <v>32.374402015209597</v>
      </c>
      <c r="N2089">
        <v>55.505806213408</v>
      </c>
      <c r="O2089">
        <v>54.955215616491799</v>
      </c>
      <c r="P2089">
        <v>-0.13398248777958499</v>
      </c>
      <c r="Q2089">
        <v>9.0268778645945694E-2</v>
      </c>
      <c r="R2089">
        <v>0.994495573673429</v>
      </c>
      <c r="S2089" t="s">
        <v>8706</v>
      </c>
      <c r="T2089" t="s">
        <v>13232</v>
      </c>
      <c r="U2089" t="s">
        <v>13232</v>
      </c>
      <c r="V2089" t="s">
        <v>13232</v>
      </c>
      <c r="W2089" t="s">
        <v>15270</v>
      </c>
      <c r="X2089">
        <v>21</v>
      </c>
      <c r="Y2089" t="s">
        <v>21769</v>
      </c>
      <c r="Z2089" t="s">
        <v>28220</v>
      </c>
      <c r="AA2089">
        <v>0.55534766099195676</v>
      </c>
      <c r="AB2089" t="str">
        <f>HYPERLINK("Melting_Curves/meltCurve_P26374_CHML.pdf", "Melting_Curves/meltCurve_P26374_CHML.pdf")</f>
        <v>Melting_Curves/meltCurve_P26374_CHML.pdf</v>
      </c>
    </row>
    <row r="2090" spans="1:28" x14ac:dyDescent="0.25">
      <c r="A2090" t="s">
        <v>2094</v>
      </c>
      <c r="B2090">
        <v>0.99930955844802105</v>
      </c>
      <c r="C2090">
        <v>1.00954377964224</v>
      </c>
      <c r="D2090">
        <v>1.00276521840356</v>
      </c>
      <c r="E2090">
        <v>0.97221094514468598</v>
      </c>
      <c r="F2090">
        <v>0.81812379817682102</v>
      </c>
      <c r="G2090">
        <v>0.62930812390526503</v>
      </c>
      <c r="H2090">
        <v>0.58682647783290298</v>
      </c>
      <c r="I2090">
        <v>0.64479280079196899</v>
      </c>
      <c r="J2090">
        <v>0.70327393463738896</v>
      </c>
      <c r="K2090">
        <v>0.57185032854511098</v>
      </c>
      <c r="L2090">
        <v>2572.0255748546401</v>
      </c>
      <c r="M2090">
        <v>48.499532215829603</v>
      </c>
      <c r="O2090">
        <v>52.942038845630599</v>
      </c>
      <c r="P2090">
        <v>-8.5919315541703206E-2</v>
      </c>
      <c r="Q2090">
        <v>0.62484261882695802</v>
      </c>
      <c r="R2090">
        <v>0.96469486184147402</v>
      </c>
      <c r="S2090" t="s">
        <v>8707</v>
      </c>
      <c r="T2090" t="s">
        <v>13232</v>
      </c>
      <c r="U2090" t="s">
        <v>13232</v>
      </c>
      <c r="V2090" t="s">
        <v>13232</v>
      </c>
      <c r="W2090" t="s">
        <v>15271</v>
      </c>
      <c r="X2090">
        <v>20</v>
      </c>
      <c r="Y2090" t="s">
        <v>21770</v>
      </c>
      <c r="Z2090" t="s">
        <v>28221</v>
      </c>
      <c r="AA2090">
        <v>0.78874343555657778</v>
      </c>
      <c r="AB2090" t="str">
        <f>HYPERLINK("Melting_Curves/meltCurve_P26583_HMGB2.pdf", "Melting_Curves/meltCurve_P26583_HMGB2.pdf")</f>
        <v>Melting_Curves/meltCurve_P26583_HMGB2.pdf</v>
      </c>
    </row>
    <row r="2091" spans="1:28" x14ac:dyDescent="0.25">
      <c r="A2091" t="s">
        <v>2095</v>
      </c>
      <c r="B2091">
        <v>0.99930955844802105</v>
      </c>
      <c r="C2091">
        <v>1.0259601067553401</v>
      </c>
      <c r="D2091">
        <v>0.95542509283532995</v>
      </c>
      <c r="E2091">
        <v>0.66964267565615498</v>
      </c>
      <c r="F2091">
        <v>0.448981229801589</v>
      </c>
      <c r="G2091">
        <v>0.34367445643559402</v>
      </c>
      <c r="H2091">
        <v>0.234408416648898</v>
      </c>
      <c r="I2091">
        <v>0.20488614180765199</v>
      </c>
      <c r="J2091">
        <v>0.195521286047143</v>
      </c>
      <c r="K2091">
        <v>0.13232153575639499</v>
      </c>
      <c r="L2091">
        <v>957.10171949428695</v>
      </c>
      <c r="M2091">
        <v>18.627435552490802</v>
      </c>
      <c r="N2091">
        <v>52.627490448868997</v>
      </c>
      <c r="O2091">
        <v>50.800103430921297</v>
      </c>
      <c r="P2091">
        <v>-7.5325708777046793E-2</v>
      </c>
      <c r="Q2091">
        <v>0.17833265190604999</v>
      </c>
      <c r="R2091">
        <v>0.99094429666758999</v>
      </c>
      <c r="S2091" t="s">
        <v>8708</v>
      </c>
      <c r="T2091" t="s">
        <v>13232</v>
      </c>
      <c r="U2091" t="s">
        <v>13232</v>
      </c>
      <c r="V2091" t="s">
        <v>13232</v>
      </c>
      <c r="W2091" t="s">
        <v>15272</v>
      </c>
      <c r="X2091">
        <v>21</v>
      </c>
      <c r="Y2091" t="s">
        <v>20703</v>
      </c>
      <c r="Z2091" t="s">
        <v>28222</v>
      </c>
      <c r="AA2091">
        <v>0.50302071307581675</v>
      </c>
      <c r="AB2091" t="str">
        <f>HYPERLINK("Melting_Curves/meltCurve_P26599_PTBP1.pdf", "Melting_Curves/meltCurve_P26599_PTBP1.pdf")</f>
        <v>Melting_Curves/meltCurve_P26599_PTBP1.pdf</v>
      </c>
    </row>
    <row r="2092" spans="1:28" x14ac:dyDescent="0.25">
      <c r="A2092" t="s">
        <v>2096</v>
      </c>
      <c r="B2092">
        <v>0.99930955844802105</v>
      </c>
      <c r="C2092">
        <v>0.87300615673277004</v>
      </c>
      <c r="D2092">
        <v>0.88437874402824201</v>
      </c>
      <c r="E2092">
        <v>0.74822352677443904</v>
      </c>
      <c r="F2092">
        <v>0.340381981232452</v>
      </c>
      <c r="G2092">
        <v>0.166896642404705</v>
      </c>
      <c r="H2092">
        <v>7.9499214025059606E-2</v>
      </c>
      <c r="I2092">
        <v>6.3151531510187195E-2</v>
      </c>
      <c r="J2092">
        <v>5.2521289413154197E-2</v>
      </c>
      <c r="K2092">
        <v>3.9805954785350699E-2</v>
      </c>
      <c r="L2092">
        <v>1085.4896620581701</v>
      </c>
      <c r="M2092">
        <v>21.027296114876801</v>
      </c>
      <c r="N2092">
        <v>51.834830655590203</v>
      </c>
      <c r="O2092">
        <v>51.162785797316502</v>
      </c>
      <c r="P2092">
        <v>-9.8517221283382403E-2</v>
      </c>
      <c r="Q2092">
        <v>4.1192772473288598E-2</v>
      </c>
      <c r="R2092">
        <v>0.98418181605761501</v>
      </c>
      <c r="S2092" t="s">
        <v>8709</v>
      </c>
      <c r="T2092" t="s">
        <v>13232</v>
      </c>
      <c r="U2092" t="s">
        <v>13232</v>
      </c>
      <c r="V2092" t="s">
        <v>13232</v>
      </c>
      <c r="W2092" t="s">
        <v>15273</v>
      </c>
      <c r="X2092">
        <v>52</v>
      </c>
      <c r="Y2092" t="s">
        <v>21771</v>
      </c>
      <c r="Z2092" t="s">
        <v>28223</v>
      </c>
      <c r="AA2092">
        <v>0.42478063286289941</v>
      </c>
      <c r="AB2092" t="str">
        <f>HYPERLINK("Melting_Curves/meltCurve_P26639_TARS.pdf", "Melting_Curves/meltCurve_P26639_TARS.pdf")</f>
        <v>Melting_Curves/meltCurve_P26639_TARS.pdf</v>
      </c>
    </row>
    <row r="2093" spans="1:28" x14ac:dyDescent="0.25">
      <c r="A2093" t="s">
        <v>2097</v>
      </c>
      <c r="B2093">
        <v>0.99930955844802105</v>
      </c>
      <c r="C2093">
        <v>0.83066246694317802</v>
      </c>
      <c r="D2093">
        <v>0.83837455668800898</v>
      </c>
      <c r="E2093">
        <v>0.50478446270646105</v>
      </c>
      <c r="F2093">
        <v>0.241353883259396</v>
      </c>
      <c r="G2093">
        <v>0.14814178112299101</v>
      </c>
      <c r="H2093">
        <v>8.9445316961534405E-2</v>
      </c>
      <c r="I2093">
        <v>7.7879701415546801E-2</v>
      </c>
      <c r="J2093">
        <v>6.8207564249298594E-2</v>
      </c>
      <c r="K2093">
        <v>5.2273862245718603E-2</v>
      </c>
      <c r="L2093">
        <v>830.31035675509497</v>
      </c>
      <c r="M2093">
        <v>16.783472571426401</v>
      </c>
      <c r="N2093">
        <v>49.781546433500303</v>
      </c>
      <c r="O2093">
        <v>48.785576899108001</v>
      </c>
      <c r="P2093">
        <v>-8.1748773033746405E-2</v>
      </c>
      <c r="Q2093">
        <v>4.9564546051851302E-2</v>
      </c>
      <c r="R2093">
        <v>0.987878356716544</v>
      </c>
      <c r="S2093" t="s">
        <v>8710</v>
      </c>
      <c r="T2093" t="s">
        <v>13232</v>
      </c>
      <c r="U2093" t="s">
        <v>13232</v>
      </c>
      <c r="V2093" t="s">
        <v>13232</v>
      </c>
      <c r="W2093" t="s">
        <v>15274</v>
      </c>
      <c r="X2093">
        <v>65</v>
      </c>
      <c r="Y2093" t="s">
        <v>21772</v>
      </c>
      <c r="Z2093" t="s">
        <v>28224</v>
      </c>
      <c r="AA2093">
        <v>0.36833712551581088</v>
      </c>
      <c r="AB2093" t="str">
        <f>HYPERLINK("Melting_Curves/meltCurve_P26640_VARS.pdf", "Melting_Curves/meltCurve_P26640_VARS.pdf")</f>
        <v>Melting_Curves/meltCurve_P26640_VARS.pdf</v>
      </c>
    </row>
    <row r="2094" spans="1:28" x14ac:dyDescent="0.25">
      <c r="A2094" t="s">
        <v>2098</v>
      </c>
      <c r="B2094">
        <v>0.99930955844802105</v>
      </c>
      <c r="C2094">
        <v>0.87203227617037904</v>
      </c>
      <c r="D2094">
        <v>0.90413837737533997</v>
      </c>
      <c r="E2094">
        <v>0.78356189037915003</v>
      </c>
      <c r="F2094">
        <v>0.228590838847817</v>
      </c>
      <c r="G2094">
        <v>0.16044478382125699</v>
      </c>
      <c r="H2094">
        <v>9.2238113884797898E-2</v>
      </c>
      <c r="I2094">
        <v>8.2340239875622001E-2</v>
      </c>
      <c r="J2094">
        <v>8.1406225507926006E-2</v>
      </c>
      <c r="K2094">
        <v>5.7907535791110402E-2</v>
      </c>
      <c r="L2094">
        <v>2404.9423246031301</v>
      </c>
      <c r="M2094">
        <v>46.993719227633598</v>
      </c>
      <c r="N2094">
        <v>51.396486915775903</v>
      </c>
      <c r="O2094">
        <v>51.083416809389902</v>
      </c>
      <c r="P2094">
        <v>-0.20897504986493001</v>
      </c>
      <c r="Q2094">
        <v>9.1355454295195496E-2</v>
      </c>
      <c r="R2094">
        <v>0.97965479659612298</v>
      </c>
      <c r="S2094" t="s">
        <v>8711</v>
      </c>
      <c r="T2094" t="s">
        <v>13232</v>
      </c>
      <c r="U2094" t="s">
        <v>13232</v>
      </c>
      <c r="V2094" t="s">
        <v>13232</v>
      </c>
      <c r="W2094" t="s">
        <v>15275</v>
      </c>
      <c r="X2094">
        <v>29</v>
      </c>
      <c r="Y2094" t="s">
        <v>21773</v>
      </c>
      <c r="Z2094" t="s">
        <v>28225</v>
      </c>
      <c r="AA2094">
        <v>0.43217406714855272</v>
      </c>
      <c r="AB2094" t="str">
        <f>HYPERLINK("Melting_Curves/meltCurve_P26641_EEF1G.pdf", "Melting_Curves/meltCurve_P26641_EEF1G.pdf")</f>
        <v>Melting_Curves/meltCurve_P26641_EEF1G.pdf</v>
      </c>
    </row>
    <row r="2095" spans="1:28" x14ac:dyDescent="0.25">
      <c r="A2095" t="s">
        <v>2099</v>
      </c>
      <c r="B2095">
        <v>0.99930955844802105</v>
      </c>
      <c r="C2095">
        <v>1.0049275422849</v>
      </c>
      <c r="D2095">
        <v>0.94324588365124495</v>
      </c>
      <c r="E2095">
        <v>0.84194439470175697</v>
      </c>
      <c r="F2095">
        <v>0.71452558043158398</v>
      </c>
      <c r="G2095">
        <v>0.52802999998087197</v>
      </c>
      <c r="H2095">
        <v>0.56756060171242395</v>
      </c>
      <c r="I2095">
        <v>0.52968536203988803</v>
      </c>
      <c r="J2095">
        <v>0.68866277639425899</v>
      </c>
      <c r="K2095">
        <v>0.462211957751338</v>
      </c>
      <c r="L2095">
        <v>1247.73769472408</v>
      </c>
      <c r="M2095">
        <v>24.3387473336524</v>
      </c>
      <c r="O2095">
        <v>50.923162045405597</v>
      </c>
      <c r="P2095">
        <v>-5.3878168798562498E-2</v>
      </c>
      <c r="Q2095">
        <v>0.54909664869460295</v>
      </c>
      <c r="R2095">
        <v>0.91670046234870495</v>
      </c>
      <c r="S2095" t="s">
        <v>8712</v>
      </c>
      <c r="T2095" t="s">
        <v>13232</v>
      </c>
      <c r="U2095" t="s">
        <v>13232</v>
      </c>
      <c r="V2095" t="s">
        <v>13232</v>
      </c>
      <c r="W2095" t="s">
        <v>15276</v>
      </c>
      <c r="X2095">
        <v>2</v>
      </c>
      <c r="Y2095" t="s">
        <v>21774</v>
      </c>
      <c r="Z2095" t="s">
        <v>28226</v>
      </c>
      <c r="AA2095">
        <v>0.72272276832266391</v>
      </c>
      <c r="AB2095" t="str">
        <f>HYPERLINK("Melting_Curves/meltCurve_P26651_ZFP36.pdf", "Melting_Curves/meltCurve_P26651_ZFP36.pdf")</f>
        <v>Melting_Curves/meltCurve_P26651_ZFP36.pdf</v>
      </c>
    </row>
    <row r="2096" spans="1:28" x14ac:dyDescent="0.25">
      <c r="A2096" t="s">
        <v>2100</v>
      </c>
      <c r="B2096">
        <v>0.99930955844802105</v>
      </c>
      <c r="C2096">
        <v>0.96308621958407303</v>
      </c>
      <c r="D2096">
        <v>0.97441535754392505</v>
      </c>
      <c r="E2096">
        <v>0.81159476601798897</v>
      </c>
      <c r="F2096">
        <v>0.52484691083109403</v>
      </c>
      <c r="G2096">
        <v>0.38288257893358102</v>
      </c>
      <c r="H2096">
        <v>0.22052843202955699</v>
      </c>
      <c r="I2096">
        <v>0.15116036666504701</v>
      </c>
      <c r="J2096">
        <v>0.11213672520183</v>
      </c>
      <c r="K2096">
        <v>8.6723334058023002E-2</v>
      </c>
      <c r="L2096">
        <v>829.73795089376699</v>
      </c>
      <c r="M2096">
        <v>15.428518931549601</v>
      </c>
      <c r="N2096">
        <v>54.364033484180602</v>
      </c>
      <c r="O2096">
        <v>52.900306574944402</v>
      </c>
      <c r="P2096">
        <v>-6.7346327952958099E-2</v>
      </c>
      <c r="Q2096">
        <v>7.6432636842437104E-2</v>
      </c>
      <c r="R2096">
        <v>0.993366307461505</v>
      </c>
      <c r="S2096" t="s">
        <v>8713</v>
      </c>
      <c r="T2096" t="s">
        <v>13232</v>
      </c>
      <c r="U2096" t="s">
        <v>13232</v>
      </c>
      <c r="V2096" t="s">
        <v>13232</v>
      </c>
      <c r="W2096" t="s">
        <v>15277</v>
      </c>
      <c r="X2096">
        <v>7</v>
      </c>
      <c r="Y2096" t="s">
        <v>21775</v>
      </c>
      <c r="Z2096" t="s">
        <v>28227</v>
      </c>
      <c r="AA2096">
        <v>0.51912577210244826</v>
      </c>
      <c r="AB2096" t="str">
        <f>HYPERLINK("Melting_Curves/meltCurve_P26885_FKBP2.pdf", "Melting_Curves/meltCurve_P26885_FKBP2.pdf")</f>
        <v>Melting_Curves/meltCurve_P26885_FKBP2.pdf</v>
      </c>
    </row>
    <row r="2097" spans="1:28" x14ac:dyDescent="0.25">
      <c r="A2097" t="s">
        <v>2101</v>
      </c>
      <c r="B2097">
        <v>0.99930955844802105</v>
      </c>
      <c r="C2097">
        <v>1.0253852263888199</v>
      </c>
      <c r="D2097">
        <v>0.96244004337858002</v>
      </c>
      <c r="E2097">
        <v>0.74305296770334806</v>
      </c>
      <c r="F2097">
        <v>0.35995685459584797</v>
      </c>
      <c r="G2097">
        <v>0.216500504348284</v>
      </c>
      <c r="H2097">
        <v>0.131337132066948</v>
      </c>
      <c r="I2097">
        <v>0.10535393037113799</v>
      </c>
      <c r="J2097">
        <v>8.5962241159741298E-2</v>
      </c>
      <c r="K2097">
        <v>7.1836299431811898E-2</v>
      </c>
      <c r="L2097">
        <v>1358.2705614489701</v>
      </c>
      <c r="M2097">
        <v>26.3468676281752</v>
      </c>
      <c r="N2097">
        <v>51.992833409827398</v>
      </c>
      <c r="O2097">
        <v>51.2591747728152</v>
      </c>
      <c r="P2097">
        <v>-0.11567364782123001</v>
      </c>
      <c r="Q2097">
        <v>9.9814338801456903E-2</v>
      </c>
      <c r="R2097">
        <v>0.99592853989077001</v>
      </c>
      <c r="S2097" t="s">
        <v>8714</v>
      </c>
      <c r="T2097" t="s">
        <v>13232</v>
      </c>
      <c r="U2097" t="s">
        <v>13232</v>
      </c>
      <c r="V2097" t="s">
        <v>13232</v>
      </c>
      <c r="W2097" t="s">
        <v>15278</v>
      </c>
      <c r="X2097">
        <v>11</v>
      </c>
      <c r="Y2097" t="s">
        <v>21776</v>
      </c>
      <c r="Z2097" t="s">
        <v>28228</v>
      </c>
      <c r="AA2097">
        <v>0.45387154153354048</v>
      </c>
      <c r="AB2097" t="str">
        <f>HYPERLINK("Melting_Curves/meltCurve_P27144_AK4.pdf", "Melting_Curves/meltCurve_P27144_AK4.pdf")</f>
        <v>Melting_Curves/meltCurve_P27144_AK4.pdf</v>
      </c>
    </row>
    <row r="2098" spans="1:28" x14ac:dyDescent="0.25">
      <c r="A2098" t="s">
        <v>2102</v>
      </c>
      <c r="B2098">
        <v>0.99930955844802105</v>
      </c>
      <c r="C2098">
        <v>1.1091548357201699</v>
      </c>
      <c r="D2098">
        <v>1.04613841927451</v>
      </c>
      <c r="E2098">
        <v>1.0174692639395999</v>
      </c>
      <c r="F2098">
        <v>0.69317900828881696</v>
      </c>
      <c r="G2098">
        <v>0.25881732074539299</v>
      </c>
      <c r="H2098">
        <v>0.11344024607802999</v>
      </c>
      <c r="I2098">
        <v>8.2551524690830394E-2</v>
      </c>
      <c r="J2098">
        <v>6.9428257700436799E-2</v>
      </c>
      <c r="K2098">
        <v>5.1215476200368801E-2</v>
      </c>
      <c r="L2098">
        <v>1777.62608100441</v>
      </c>
      <c r="M2098">
        <v>32.680675733089899</v>
      </c>
      <c r="N2098">
        <v>54.654518058327497</v>
      </c>
      <c r="O2098">
        <v>54.191345385785702</v>
      </c>
      <c r="P2098">
        <v>-0.13988408243610401</v>
      </c>
      <c r="Q2098">
        <v>7.2176924782217294E-2</v>
      </c>
      <c r="R2098">
        <v>0.98947419883530396</v>
      </c>
      <c r="S2098" t="s">
        <v>8715</v>
      </c>
      <c r="T2098" t="s">
        <v>13232</v>
      </c>
      <c r="U2098" t="s">
        <v>13232</v>
      </c>
      <c r="V2098" t="s">
        <v>13232</v>
      </c>
      <c r="W2098" t="s">
        <v>15279</v>
      </c>
      <c r="X2098">
        <v>24</v>
      </c>
      <c r="Y2098" t="s">
        <v>21777</v>
      </c>
      <c r="Z2098" t="s">
        <v>28229</v>
      </c>
      <c r="AA2098">
        <v>0.52252779445826492</v>
      </c>
      <c r="AB2098" t="str">
        <f>HYPERLINK("Melting_Curves/meltCurve_P27348_YWHAQ.pdf", "Melting_Curves/meltCurve_P27348_YWHAQ.pdf")</f>
        <v>Melting_Curves/meltCurve_P27348_YWHAQ.pdf</v>
      </c>
    </row>
    <row r="2099" spans="1:28" x14ac:dyDescent="0.25">
      <c r="A2099" t="s">
        <v>2103</v>
      </c>
      <c r="B2099">
        <v>0.99930955844802105</v>
      </c>
      <c r="C2099">
        <v>1.0065376295786199</v>
      </c>
      <c r="D2099">
        <v>0.758099213939321</v>
      </c>
      <c r="E2099">
        <v>0.30673417699939798</v>
      </c>
      <c r="F2099">
        <v>0.14066460494943001</v>
      </c>
      <c r="G2099">
        <v>0.107168122050786</v>
      </c>
      <c r="H2099">
        <v>7.7908489785397397E-2</v>
      </c>
      <c r="I2099">
        <v>7.67070852045484E-2</v>
      </c>
      <c r="J2099">
        <v>7.0122807530386994E-2</v>
      </c>
      <c r="K2099">
        <v>5.49787302200795E-2</v>
      </c>
      <c r="L2099">
        <v>1292.78146098513</v>
      </c>
      <c r="M2099">
        <v>26.974659346117299</v>
      </c>
      <c r="N2099">
        <v>48.213805895037801</v>
      </c>
      <c r="O2099">
        <v>47.664704412874997</v>
      </c>
      <c r="P2099">
        <v>-0.13095428908245199</v>
      </c>
      <c r="Q2099">
        <v>7.4414979030352199E-2</v>
      </c>
      <c r="R2099">
        <v>0.99787101683865598</v>
      </c>
      <c r="S2099" t="s">
        <v>8716</v>
      </c>
      <c r="T2099" t="s">
        <v>13232</v>
      </c>
      <c r="U2099" t="s">
        <v>13232</v>
      </c>
      <c r="V2099" t="s">
        <v>13232</v>
      </c>
      <c r="W2099" t="s">
        <v>15280</v>
      </c>
      <c r="X2099">
        <v>15</v>
      </c>
      <c r="Y2099" t="s">
        <v>21778</v>
      </c>
      <c r="Z2099" t="s">
        <v>28230</v>
      </c>
      <c r="AA2099">
        <v>0.32591067912594551</v>
      </c>
      <c r="AB2099" t="str">
        <f>HYPERLINK("Melting_Curves/meltCurve_P27361_MAPK3.pdf", "Melting_Curves/meltCurve_P27361_MAPK3.pdf")</f>
        <v>Melting_Curves/meltCurve_P27361_MAPK3.pdf</v>
      </c>
    </row>
    <row r="2100" spans="1:28" x14ac:dyDescent="0.25">
      <c r="A2100" t="s">
        <v>2104</v>
      </c>
      <c r="B2100">
        <v>0.99930955844802105</v>
      </c>
      <c r="C2100">
        <v>0.89336999586934496</v>
      </c>
      <c r="D2100">
        <v>0.67881032450660195</v>
      </c>
      <c r="E2100">
        <v>0.479587523207678</v>
      </c>
      <c r="F2100">
        <v>0.40968011343099803</v>
      </c>
      <c r="G2100">
        <v>0.373627673843619</v>
      </c>
      <c r="H2100">
        <v>0.354853329294185</v>
      </c>
      <c r="I2100">
        <v>0.41146040241431198</v>
      </c>
      <c r="J2100">
        <v>0.42865200317754198</v>
      </c>
      <c r="K2100">
        <v>0.342930097113675</v>
      </c>
      <c r="L2100">
        <v>1037.0800184207501</v>
      </c>
      <c r="M2100">
        <v>22.5798016531729</v>
      </c>
      <c r="N2100">
        <v>49.057609654780599</v>
      </c>
      <c r="O2100">
        <v>45.573840188868601</v>
      </c>
      <c r="P2100">
        <v>-7.6610391060403502E-2</v>
      </c>
      <c r="Q2100">
        <v>0.38150741579286002</v>
      </c>
      <c r="R2100">
        <v>0.987662664035172</v>
      </c>
      <c r="S2100" t="s">
        <v>8717</v>
      </c>
      <c r="T2100" t="s">
        <v>13232</v>
      </c>
      <c r="U2100" t="s">
        <v>13232</v>
      </c>
      <c r="V2100" t="s">
        <v>13232</v>
      </c>
      <c r="W2100" t="s">
        <v>15281</v>
      </c>
      <c r="X2100">
        <v>13</v>
      </c>
      <c r="Y2100" t="s">
        <v>21779</v>
      </c>
      <c r="Z2100" t="s">
        <v>28231</v>
      </c>
      <c r="AA2100">
        <v>0.51101490970496333</v>
      </c>
      <c r="AB2100" t="str">
        <f>HYPERLINK("Melting_Curves/meltCurve_P27448_8_MARK3.pdf", "Melting_Curves/meltCurve_P27448_8_MARK3.pdf")</f>
        <v>Melting_Curves/meltCurve_P27448_8_MARK3.pdf</v>
      </c>
    </row>
    <row r="2101" spans="1:28" x14ac:dyDescent="0.25">
      <c r="A2101" t="s">
        <v>2105</v>
      </c>
      <c r="B2101">
        <v>0.99930955844802105</v>
      </c>
      <c r="C2101">
        <v>1.08220241621288</v>
      </c>
      <c r="D2101">
        <v>1.0441348294081501</v>
      </c>
      <c r="E2101">
        <v>0.90695779048957104</v>
      </c>
      <c r="F2101">
        <v>0.70084240823835597</v>
      </c>
      <c r="G2101">
        <v>0.47175913203910902</v>
      </c>
      <c r="H2101">
        <v>0.31232030125557703</v>
      </c>
      <c r="I2101">
        <v>0.25309569558912998</v>
      </c>
      <c r="J2101">
        <v>0.21697919874857</v>
      </c>
      <c r="K2101">
        <v>0.17678037059888199</v>
      </c>
      <c r="L2101">
        <v>1046.0027278237201</v>
      </c>
      <c r="M2101">
        <v>19.0192486599747</v>
      </c>
      <c r="N2101">
        <v>56.402168187538201</v>
      </c>
      <c r="O2101">
        <v>54.399889378969398</v>
      </c>
      <c r="P2101">
        <v>-7.0915364532934802E-2</v>
      </c>
      <c r="Q2101">
        <v>0.18868840814979801</v>
      </c>
      <c r="R2101">
        <v>0.98887862840588603</v>
      </c>
      <c r="S2101" t="s">
        <v>8718</v>
      </c>
      <c r="T2101" t="s">
        <v>13232</v>
      </c>
      <c r="U2101" t="s">
        <v>13232</v>
      </c>
      <c r="V2101" t="s">
        <v>13232</v>
      </c>
      <c r="W2101" t="s">
        <v>15282</v>
      </c>
      <c r="X2101">
        <v>15</v>
      </c>
      <c r="Y2101" t="s">
        <v>21780</v>
      </c>
      <c r="Z2101" t="s">
        <v>28232</v>
      </c>
      <c r="AA2101">
        <v>0.6058925656085653</v>
      </c>
      <c r="AB2101" t="str">
        <f>HYPERLINK("Melting_Curves/meltCurve_P27540_2_ARNT.pdf", "Melting_Curves/meltCurve_P27540_2_ARNT.pdf")</f>
        <v>Melting_Curves/meltCurve_P27540_2_ARNT.pdf</v>
      </c>
    </row>
    <row r="2102" spans="1:28" x14ac:dyDescent="0.25">
      <c r="A2102" t="s">
        <v>2106</v>
      </c>
      <c r="B2102">
        <v>0.99930955844802105</v>
      </c>
      <c r="C2102">
        <v>1.0128712329229701</v>
      </c>
      <c r="D2102">
        <v>0.98673599946512802</v>
      </c>
      <c r="E2102">
        <v>0.83188714428489996</v>
      </c>
      <c r="F2102">
        <v>0.42673896742027601</v>
      </c>
      <c r="G2102">
        <v>0.24149068905492399</v>
      </c>
      <c r="H2102">
        <v>0.114363447971915</v>
      </c>
      <c r="I2102">
        <v>8.2033141502326504E-2</v>
      </c>
      <c r="J2102">
        <v>6.3983387918547199E-2</v>
      </c>
      <c r="K2102">
        <v>4.9311355701305799E-2</v>
      </c>
      <c r="L2102">
        <v>1331.31357614176</v>
      </c>
      <c r="M2102">
        <v>25.369863193300699</v>
      </c>
      <c r="N2102">
        <v>52.812634423552304</v>
      </c>
      <c r="O2102">
        <v>52.1533953632688</v>
      </c>
      <c r="P2102">
        <v>-0.112538638357736</v>
      </c>
      <c r="Q2102">
        <v>7.4618967375128104E-2</v>
      </c>
      <c r="R2102">
        <v>0.99450442028240504</v>
      </c>
      <c r="S2102" t="s">
        <v>8719</v>
      </c>
      <c r="T2102" t="s">
        <v>13232</v>
      </c>
      <c r="U2102" t="s">
        <v>13232</v>
      </c>
      <c r="V2102" t="s">
        <v>13232</v>
      </c>
      <c r="W2102" t="s">
        <v>15283</v>
      </c>
      <c r="X2102">
        <v>29</v>
      </c>
      <c r="Y2102" t="s">
        <v>21781</v>
      </c>
      <c r="Z2102" t="s">
        <v>28233</v>
      </c>
      <c r="AA2102">
        <v>0.46771045670638028</v>
      </c>
      <c r="AB2102" t="str">
        <f>HYPERLINK("Melting_Curves/meltCurve_P27694_RPA1.pdf", "Melting_Curves/meltCurve_P27694_RPA1.pdf")</f>
        <v>Melting_Curves/meltCurve_P27694_RPA1.pdf</v>
      </c>
    </row>
    <row r="2103" spans="1:28" x14ac:dyDescent="0.25">
      <c r="A2103" t="s">
        <v>2107</v>
      </c>
      <c r="B2103">
        <v>0.99930955844802105</v>
      </c>
      <c r="C2103">
        <v>1.0844579981673099</v>
      </c>
      <c r="D2103">
        <v>0.95827455401516304</v>
      </c>
      <c r="E2103">
        <v>0.45303085493825501</v>
      </c>
      <c r="F2103">
        <v>0.18460140765970001</v>
      </c>
      <c r="G2103">
        <v>0.139782455153421</v>
      </c>
      <c r="H2103">
        <v>9.5904460181711795E-2</v>
      </c>
      <c r="I2103">
        <v>7.7690424453738097E-2</v>
      </c>
      <c r="J2103">
        <v>7.2520814602558104E-2</v>
      </c>
      <c r="K2103">
        <v>5.3539384250630102E-2</v>
      </c>
      <c r="L2103">
        <v>1772.97664180262</v>
      </c>
      <c r="M2103">
        <v>35.808733842922102</v>
      </c>
      <c r="N2103">
        <v>49.7813118975671</v>
      </c>
      <c r="O2103">
        <v>49.358753661054202</v>
      </c>
      <c r="P2103">
        <v>-0.16542142788320499</v>
      </c>
      <c r="Q2103">
        <v>8.7935450600990506E-2</v>
      </c>
      <c r="R2103">
        <v>0.99290750318394805</v>
      </c>
      <c r="S2103" t="s">
        <v>8720</v>
      </c>
      <c r="T2103" t="s">
        <v>13232</v>
      </c>
      <c r="U2103" t="s">
        <v>13232</v>
      </c>
      <c r="V2103" t="s">
        <v>13232</v>
      </c>
      <c r="W2103" t="s">
        <v>15284</v>
      </c>
      <c r="X2103">
        <v>22</v>
      </c>
      <c r="Y2103" t="s">
        <v>21782</v>
      </c>
      <c r="Z2103" t="s">
        <v>28234</v>
      </c>
      <c r="AA2103">
        <v>0.38104055068176618</v>
      </c>
      <c r="AB2103" t="str">
        <f>HYPERLINK("Melting_Curves/meltCurve_P27695_APEX1.pdf", "Melting_Curves/meltCurve_P27695_APEX1.pdf")</f>
        <v>Melting_Curves/meltCurve_P27695_APEX1.pdf</v>
      </c>
    </row>
    <row r="2104" spans="1:28" x14ac:dyDescent="0.25">
      <c r="A2104" t="s">
        <v>2108</v>
      </c>
      <c r="B2104">
        <v>0.99930955844802105</v>
      </c>
      <c r="C2104">
        <v>1.0828303788807101</v>
      </c>
      <c r="D2104">
        <v>1.0586687568167099</v>
      </c>
      <c r="E2104">
        <v>0.91278196331929295</v>
      </c>
      <c r="F2104">
        <v>0.491486336421667</v>
      </c>
      <c r="G2104">
        <v>0.208534152800221</v>
      </c>
      <c r="H2104">
        <v>8.9878749193658999E-2</v>
      </c>
      <c r="I2104">
        <v>6.7666170745044205E-2</v>
      </c>
      <c r="J2104">
        <v>6.4953546190202896E-2</v>
      </c>
      <c r="K2104">
        <v>4.8448913853945598E-2</v>
      </c>
      <c r="L2104">
        <v>1723.7077974623401</v>
      </c>
      <c r="M2104">
        <v>32.567901554027699</v>
      </c>
      <c r="N2104">
        <v>53.182457417331101</v>
      </c>
      <c r="O2104">
        <v>52.728235798568598</v>
      </c>
      <c r="P2104">
        <v>-0.14321712254364399</v>
      </c>
      <c r="Q2104">
        <v>7.2516193021151407E-2</v>
      </c>
      <c r="R2104">
        <v>0.99101584945193499</v>
      </c>
      <c r="S2104" t="s">
        <v>8721</v>
      </c>
      <c r="T2104" t="s">
        <v>13232</v>
      </c>
      <c r="U2104" t="s">
        <v>13232</v>
      </c>
      <c r="V2104" t="s">
        <v>13232</v>
      </c>
      <c r="W2104" t="s">
        <v>15285</v>
      </c>
      <c r="X2104">
        <v>12</v>
      </c>
      <c r="Y2104" t="s">
        <v>21783</v>
      </c>
      <c r="Z2104" t="s">
        <v>28235</v>
      </c>
      <c r="AA2104">
        <v>0.47726619572314433</v>
      </c>
      <c r="AB2104" t="str">
        <f>HYPERLINK("Melting_Curves/meltCurve_P27707_DCK.pdf", "Melting_Curves/meltCurve_P27707_DCK.pdf")</f>
        <v>Melting_Curves/meltCurve_P27707_DCK.pdf</v>
      </c>
    </row>
    <row r="2105" spans="1:28" x14ac:dyDescent="0.25">
      <c r="A2105" t="s">
        <v>2109</v>
      </c>
      <c r="B2105">
        <v>0.99930955844802105</v>
      </c>
      <c r="C2105">
        <v>0.97806185565969295</v>
      </c>
      <c r="D2105">
        <v>0.606343008166919</v>
      </c>
      <c r="E2105">
        <v>0.41041485843349601</v>
      </c>
      <c r="F2105">
        <v>0.25214328615784498</v>
      </c>
      <c r="G2105">
        <v>0.18549089935407001</v>
      </c>
      <c r="H2105">
        <v>0.114087834087806</v>
      </c>
      <c r="I2105">
        <v>9.9183003879692797E-2</v>
      </c>
      <c r="J2105">
        <v>0.102520094174937</v>
      </c>
      <c r="K2105">
        <v>8.4668828166746604E-2</v>
      </c>
      <c r="L2105">
        <v>817.76214303078905</v>
      </c>
      <c r="M2105">
        <v>17.120303138234299</v>
      </c>
      <c r="N2105">
        <v>48.394225202776497</v>
      </c>
      <c r="O2105">
        <v>47.128225674409798</v>
      </c>
      <c r="P2105">
        <v>-8.1768734440971505E-2</v>
      </c>
      <c r="Q2105">
        <v>9.9692635189566198E-2</v>
      </c>
      <c r="R2105">
        <v>0.98356485353144996</v>
      </c>
      <c r="S2105" t="s">
        <v>8722</v>
      </c>
      <c r="T2105" t="s">
        <v>13232</v>
      </c>
      <c r="U2105" t="s">
        <v>13232</v>
      </c>
      <c r="V2105" t="s">
        <v>13232</v>
      </c>
      <c r="W2105" t="s">
        <v>15286</v>
      </c>
      <c r="X2105">
        <v>21</v>
      </c>
      <c r="Y2105" t="s">
        <v>21784</v>
      </c>
      <c r="Z2105" t="s">
        <v>28236</v>
      </c>
      <c r="AA2105">
        <v>0.35062055289359828</v>
      </c>
      <c r="AB2105" t="str">
        <f>HYPERLINK("Melting_Curves/meltCurve_P27797_CALR.pdf", "Melting_Curves/meltCurve_P27797_CALR.pdf")</f>
        <v>Melting_Curves/meltCurve_P27797_CALR.pdf</v>
      </c>
    </row>
    <row r="2106" spans="1:28" x14ac:dyDescent="0.25">
      <c r="A2106" t="s">
        <v>2110</v>
      </c>
      <c r="B2106">
        <v>0.99930955844802105</v>
      </c>
      <c r="C2106">
        <v>1.0905885680135701</v>
      </c>
      <c r="D2106">
        <v>1.05062646957119</v>
      </c>
      <c r="E2106">
        <v>0.83122857587132204</v>
      </c>
      <c r="F2106">
        <v>0.55423214386808195</v>
      </c>
      <c r="G2106">
        <v>0.32334574967075702</v>
      </c>
      <c r="H2106">
        <v>0.28698920499909902</v>
      </c>
      <c r="I2106">
        <v>0.30058813864580403</v>
      </c>
      <c r="J2106">
        <v>0.31482597965591902</v>
      </c>
      <c r="K2106">
        <v>0.248879049494247</v>
      </c>
      <c r="L2106">
        <v>1657.71674228548</v>
      </c>
      <c r="M2106">
        <v>31.839307931854499</v>
      </c>
      <c r="N2106">
        <v>53.484649823564197</v>
      </c>
      <c r="O2106">
        <v>51.861003251725201</v>
      </c>
      <c r="P2106">
        <v>-0.10970587669114799</v>
      </c>
      <c r="Q2106">
        <v>0.285232256275056</v>
      </c>
      <c r="R2106">
        <v>0.98678831810673995</v>
      </c>
      <c r="S2106" t="s">
        <v>8723</v>
      </c>
      <c r="T2106" t="s">
        <v>13232</v>
      </c>
      <c r="U2106" t="s">
        <v>13232</v>
      </c>
      <c r="V2106" t="s">
        <v>13232</v>
      </c>
      <c r="W2106" t="s">
        <v>15287</v>
      </c>
      <c r="X2106">
        <v>2</v>
      </c>
      <c r="Y2106" t="s">
        <v>21785</v>
      </c>
      <c r="Z2106" t="s">
        <v>28237</v>
      </c>
      <c r="AA2106">
        <v>0.5767520982808052</v>
      </c>
      <c r="AB2106" t="str">
        <f>HYPERLINK("Melting_Curves/meltCurve_P27815_6_PDE4A.pdf", "Melting_Curves/meltCurve_P27815_6_PDE4A.pdf")</f>
        <v>Melting_Curves/meltCurve_P27815_6_PDE4A.pdf</v>
      </c>
    </row>
    <row r="2107" spans="1:28" x14ac:dyDescent="0.25">
      <c r="A2107" t="s">
        <v>2111</v>
      </c>
      <c r="B2107">
        <v>0.99930955844802105</v>
      </c>
      <c r="C2107">
        <v>1.0244008262997799</v>
      </c>
      <c r="D2107">
        <v>1.02318027468123</v>
      </c>
      <c r="E2107">
        <v>1.4143199317378501</v>
      </c>
      <c r="F2107">
        <v>1.33811719981678</v>
      </c>
      <c r="G2107">
        <v>1.37680730318179</v>
      </c>
      <c r="H2107">
        <v>1.2707586547935501</v>
      </c>
      <c r="I2107">
        <v>1.45365942827908</v>
      </c>
      <c r="J2107">
        <v>1.5133021320215001</v>
      </c>
      <c r="K2107">
        <v>1.21949942693772</v>
      </c>
      <c r="L2107">
        <v>11624.3860741033</v>
      </c>
      <c r="M2107">
        <v>250</v>
      </c>
      <c r="O2107">
        <v>46.494557186121497</v>
      </c>
      <c r="P2107">
        <v>0.496690902606922</v>
      </c>
      <c r="Q2107">
        <v>1.36949486912077</v>
      </c>
      <c r="R2107">
        <v>0.80499190904488505</v>
      </c>
      <c r="S2107" t="s">
        <v>8724</v>
      </c>
      <c r="T2107" t="s">
        <v>13232</v>
      </c>
      <c r="U2107" t="s">
        <v>13232</v>
      </c>
      <c r="V2107" t="s">
        <v>13232</v>
      </c>
      <c r="W2107" t="s">
        <v>15288</v>
      </c>
      <c r="X2107">
        <v>65</v>
      </c>
      <c r="Y2107" t="s">
        <v>20179</v>
      </c>
      <c r="Z2107" t="s">
        <v>28238</v>
      </c>
      <c r="AA2107">
        <v>1.289437741447742</v>
      </c>
      <c r="AB2107" t="str">
        <f>HYPERLINK("Melting_Curves/meltCurve_P27816_MAP4.pdf", "Melting_Curves/meltCurve_P27816_MAP4.pdf")</f>
        <v>Melting_Curves/meltCurve_P27816_MAP4.pdf</v>
      </c>
    </row>
    <row r="2108" spans="1:28" x14ac:dyDescent="0.25">
      <c r="A2108" t="s">
        <v>2112</v>
      </c>
      <c r="B2108">
        <v>0.99930955844802105</v>
      </c>
      <c r="C2108">
        <v>0.78353615699550605</v>
      </c>
      <c r="D2108">
        <v>0.53755502794126198</v>
      </c>
      <c r="E2108">
        <v>0.77121763225178197</v>
      </c>
      <c r="F2108">
        <v>0.389516957367537</v>
      </c>
      <c r="G2108">
        <v>0.161743327786982</v>
      </c>
      <c r="H2108">
        <v>0.101210970356191</v>
      </c>
      <c r="I2108">
        <v>9.8626531317137195E-2</v>
      </c>
      <c r="J2108">
        <v>9.03595622259422E-2</v>
      </c>
      <c r="K2108">
        <v>7.2334121162574899E-2</v>
      </c>
      <c r="L2108">
        <v>488.662100312397</v>
      </c>
      <c r="M2108">
        <v>9.6880081736333992</v>
      </c>
      <c r="N2108">
        <v>50.439869410994497</v>
      </c>
      <c r="O2108">
        <v>48.431453192272301</v>
      </c>
      <c r="P2108">
        <v>-5.0036318750287398E-2</v>
      </c>
      <c r="Q2108">
        <v>0</v>
      </c>
      <c r="R2108">
        <v>0.89565102681217101</v>
      </c>
      <c r="S2108" t="s">
        <v>8725</v>
      </c>
      <c r="T2108" t="s">
        <v>13232</v>
      </c>
      <c r="U2108" t="s">
        <v>13232</v>
      </c>
      <c r="V2108" t="s">
        <v>13232</v>
      </c>
      <c r="W2108" t="s">
        <v>15289</v>
      </c>
      <c r="X2108">
        <v>17</v>
      </c>
      <c r="Y2108" t="s">
        <v>21786</v>
      </c>
      <c r="Z2108" t="s">
        <v>28239</v>
      </c>
      <c r="AA2108">
        <v>0.39343042441843762</v>
      </c>
      <c r="AB2108" t="str">
        <f>HYPERLINK("Melting_Curves/meltCurve_P27824_CANX.pdf", "Melting_Curves/meltCurve_P27824_CANX.pdf")</f>
        <v>Melting_Curves/meltCurve_P27824_CANX.pdf</v>
      </c>
    </row>
    <row r="2109" spans="1:28" x14ac:dyDescent="0.25">
      <c r="A2109" t="s">
        <v>2113</v>
      </c>
      <c r="B2109">
        <v>0.99930955844802105</v>
      </c>
      <c r="C2109">
        <v>1.0016351092821401</v>
      </c>
      <c r="D2109">
        <v>0.939355099420492</v>
      </c>
      <c r="E2109">
        <v>0.78497135587700695</v>
      </c>
      <c r="F2109">
        <v>0.29406440596546202</v>
      </c>
      <c r="G2109">
        <v>0.191960511611244</v>
      </c>
      <c r="H2109">
        <v>0.13283668901853499</v>
      </c>
      <c r="I2109">
        <v>0.12213037696128801</v>
      </c>
      <c r="J2109">
        <v>0.114039403816067</v>
      </c>
      <c r="K2109">
        <v>8.4869528668183106E-2</v>
      </c>
      <c r="L2109">
        <v>2085.16125571981</v>
      </c>
      <c r="M2109">
        <v>40.651365789982798</v>
      </c>
      <c r="N2109">
        <v>51.654862720916299</v>
      </c>
      <c r="O2109">
        <v>51.170097498318</v>
      </c>
      <c r="P2109">
        <v>-0.17404307935246399</v>
      </c>
      <c r="Q2109">
        <v>0.12369153537661701</v>
      </c>
      <c r="R2109">
        <v>0.99486786469317501</v>
      </c>
      <c r="S2109" t="s">
        <v>8726</v>
      </c>
      <c r="T2109" t="s">
        <v>13232</v>
      </c>
      <c r="U2109" t="s">
        <v>13232</v>
      </c>
      <c r="V2109" t="s">
        <v>13232</v>
      </c>
      <c r="W2109" t="s">
        <v>15290</v>
      </c>
      <c r="X2109">
        <v>20</v>
      </c>
      <c r="Y2109" t="s">
        <v>21787</v>
      </c>
      <c r="Z2109" t="s">
        <v>28240</v>
      </c>
      <c r="AA2109">
        <v>0.45659241696490599</v>
      </c>
      <c r="AB2109" t="str">
        <f>HYPERLINK("Melting_Curves/meltCurve_P27986_PIK3R1.pdf", "Melting_Curves/meltCurve_P27986_PIK3R1.pdf")</f>
        <v>Melting_Curves/meltCurve_P27986_PIK3R1.pdf</v>
      </c>
    </row>
    <row r="2110" spans="1:28" x14ac:dyDescent="0.25">
      <c r="A2110" t="s">
        <v>2114</v>
      </c>
      <c r="B2110">
        <v>0.99930955844802105</v>
      </c>
      <c r="C2110">
        <v>0.44746926566158601</v>
      </c>
      <c r="D2110">
        <v>0.49874706546094999</v>
      </c>
      <c r="E2110">
        <v>0.80738888092764205</v>
      </c>
      <c r="F2110">
        <v>1.26188451805251</v>
      </c>
      <c r="G2110">
        <v>0.88463327739658104</v>
      </c>
      <c r="H2110">
        <v>0.194643773523998</v>
      </c>
      <c r="I2110">
        <v>0.25288501530657997</v>
      </c>
      <c r="J2110">
        <v>0.27135247998496098</v>
      </c>
      <c r="K2110">
        <v>0.16352075915401099</v>
      </c>
      <c r="L2110">
        <v>14349.762250650099</v>
      </c>
      <c r="M2110">
        <v>250</v>
      </c>
      <c r="N2110">
        <v>57.5329777506903</v>
      </c>
      <c r="O2110">
        <v>57.395375900435504</v>
      </c>
      <c r="P2110">
        <v>-0.84871772701935999</v>
      </c>
      <c r="Q2110">
        <v>0.22060043406719601</v>
      </c>
      <c r="R2110">
        <v>0.49778583066225801</v>
      </c>
      <c r="S2110" t="s">
        <v>8727</v>
      </c>
      <c r="T2110" t="s">
        <v>13232</v>
      </c>
      <c r="U2110" t="s">
        <v>13232</v>
      </c>
      <c r="V2110" t="s">
        <v>13232</v>
      </c>
      <c r="W2110" t="s">
        <v>15291</v>
      </c>
      <c r="X2110">
        <v>2</v>
      </c>
      <c r="Y2110" t="s">
        <v>21788</v>
      </c>
      <c r="Z2110" t="s">
        <v>28241</v>
      </c>
      <c r="AA2110">
        <v>0.67270598778653745</v>
      </c>
      <c r="AB2110" t="str">
        <f>HYPERLINK("Melting_Curves/meltCurve_P28062_2_PSMB8.pdf", "Melting_Curves/meltCurve_P28062_2_PSMB8.pdf")</f>
        <v>Melting_Curves/meltCurve_P28062_2_PSMB8.pdf</v>
      </c>
    </row>
    <row r="2111" spans="1:28" x14ac:dyDescent="0.25">
      <c r="A2111" t="s">
        <v>2115</v>
      </c>
      <c r="B2111">
        <v>0.99930955844802105</v>
      </c>
      <c r="C2111">
        <v>0.81490286744979301</v>
      </c>
      <c r="D2111">
        <v>0.78866090214968199</v>
      </c>
      <c r="E2111">
        <v>0.82654223728706</v>
      </c>
      <c r="F2111">
        <v>0.80918527673177898</v>
      </c>
      <c r="G2111">
        <v>0.69884775716742897</v>
      </c>
      <c r="H2111">
        <v>0.21278392959145201</v>
      </c>
      <c r="I2111">
        <v>0.21603868367368201</v>
      </c>
      <c r="J2111">
        <v>0.21397448559604901</v>
      </c>
      <c r="K2111">
        <v>0.155636885526547</v>
      </c>
      <c r="L2111">
        <v>624.79680044863505</v>
      </c>
      <c r="M2111">
        <v>10.7848725925439</v>
      </c>
      <c r="N2111">
        <v>57.932697701066601</v>
      </c>
      <c r="O2111">
        <v>56.047550218528698</v>
      </c>
      <c r="P2111">
        <v>-4.8123415150105098E-2</v>
      </c>
      <c r="Q2111">
        <v>0</v>
      </c>
      <c r="R2111">
        <v>0.89009585864422802</v>
      </c>
      <c r="S2111" t="s">
        <v>8728</v>
      </c>
      <c r="T2111" t="s">
        <v>13232</v>
      </c>
      <c r="U2111" t="s">
        <v>13232</v>
      </c>
      <c r="V2111" t="s">
        <v>13232</v>
      </c>
      <c r="W2111" t="s">
        <v>15292</v>
      </c>
      <c r="X2111">
        <v>14</v>
      </c>
      <c r="Y2111" t="s">
        <v>21789</v>
      </c>
      <c r="Z2111" t="s">
        <v>28242</v>
      </c>
      <c r="AA2111">
        <v>0.60945142851771306</v>
      </c>
      <c r="AB2111" t="str">
        <f>HYPERLINK("Melting_Curves/meltCurve_P28066_PSMA5.pdf", "Melting_Curves/meltCurve_P28066_PSMA5.pdf")</f>
        <v>Melting_Curves/meltCurve_P28066_PSMA5.pdf</v>
      </c>
    </row>
    <row r="2112" spans="1:28" x14ac:dyDescent="0.25">
      <c r="A2112" t="s">
        <v>2116</v>
      </c>
      <c r="B2112">
        <v>0.99930955844802105</v>
      </c>
      <c r="C2112">
        <v>0.55909216256471606</v>
      </c>
      <c r="D2112">
        <v>0.64889830388035397</v>
      </c>
      <c r="E2112">
        <v>0.821144714574088</v>
      </c>
      <c r="F2112">
        <v>1.0229767245154</v>
      </c>
      <c r="G2112">
        <v>0.94458130390348505</v>
      </c>
      <c r="H2112">
        <v>0.22938347384237801</v>
      </c>
      <c r="I2112">
        <v>0.26563510778368499</v>
      </c>
      <c r="J2112">
        <v>0.26098150605883302</v>
      </c>
      <c r="K2112">
        <v>0.176840030711297</v>
      </c>
      <c r="L2112">
        <v>14395.479779617701</v>
      </c>
      <c r="M2112">
        <v>250</v>
      </c>
      <c r="N2112">
        <v>57.726957343951803</v>
      </c>
      <c r="O2112">
        <v>57.578238730135503</v>
      </c>
      <c r="P2112">
        <v>-0.83233505872789904</v>
      </c>
      <c r="Q2112">
        <v>0.23320987295113901</v>
      </c>
      <c r="R2112">
        <v>0.662581160200724</v>
      </c>
      <c r="S2112" t="s">
        <v>8729</v>
      </c>
      <c r="T2112" t="s">
        <v>13232</v>
      </c>
      <c r="U2112" t="s">
        <v>13232</v>
      </c>
      <c r="V2112" t="s">
        <v>13232</v>
      </c>
      <c r="W2112" t="s">
        <v>15293</v>
      </c>
      <c r="X2112">
        <v>8</v>
      </c>
      <c r="Y2112" t="s">
        <v>21790</v>
      </c>
      <c r="Z2112" t="s">
        <v>28243</v>
      </c>
      <c r="AA2112">
        <v>0.68267542769974965</v>
      </c>
      <c r="AB2112" t="str">
        <f>HYPERLINK("Melting_Curves/meltCurve_P28070_PSMB4.pdf", "Melting_Curves/meltCurve_P28070_PSMB4.pdf")</f>
        <v>Melting_Curves/meltCurve_P28070_PSMB4.pdf</v>
      </c>
    </row>
    <row r="2113" spans="1:28" x14ac:dyDescent="0.25">
      <c r="A2113" t="s">
        <v>2117</v>
      </c>
      <c r="B2113">
        <v>0.99930955844802105</v>
      </c>
      <c r="C2113">
        <v>0.61778780220009599</v>
      </c>
      <c r="D2113">
        <v>0.70261950447681099</v>
      </c>
      <c r="E2113">
        <v>0.85124695838856002</v>
      </c>
      <c r="F2113">
        <v>1.06876157204981</v>
      </c>
      <c r="G2113">
        <v>1.01348396085635</v>
      </c>
      <c r="H2113">
        <v>0.25908182483834402</v>
      </c>
      <c r="I2113">
        <v>0.28609934190685998</v>
      </c>
      <c r="J2113">
        <v>0.29449679677846402</v>
      </c>
      <c r="K2113">
        <v>0.189941911869905</v>
      </c>
      <c r="L2113">
        <v>14897.949145586699</v>
      </c>
      <c r="M2113">
        <v>250</v>
      </c>
      <c r="N2113">
        <v>59.7641175186561</v>
      </c>
      <c r="O2113">
        <v>59.587982849408398</v>
      </c>
      <c r="P2113">
        <v>-0.77949024011361501</v>
      </c>
      <c r="Q2113">
        <v>0.256827980766001</v>
      </c>
      <c r="R2113">
        <v>0.75437817329733203</v>
      </c>
      <c r="S2113" t="s">
        <v>8730</v>
      </c>
      <c r="T2113" t="s">
        <v>13232</v>
      </c>
      <c r="U2113" t="s">
        <v>13232</v>
      </c>
      <c r="V2113" t="s">
        <v>13232</v>
      </c>
      <c r="W2113" t="s">
        <v>15294</v>
      </c>
      <c r="X2113">
        <v>11</v>
      </c>
      <c r="Y2113" t="s">
        <v>21791</v>
      </c>
      <c r="Z2113" t="s">
        <v>28244</v>
      </c>
      <c r="AA2113">
        <v>0.74224153790164649</v>
      </c>
      <c r="AB2113" t="str">
        <f>HYPERLINK("Melting_Curves/meltCurve_P28072_PSMB6.pdf", "Melting_Curves/meltCurve_P28072_PSMB6.pdf")</f>
        <v>Melting_Curves/meltCurve_P28072_PSMB6.pdf</v>
      </c>
    </row>
    <row r="2114" spans="1:28" x14ac:dyDescent="0.25">
      <c r="A2114" t="s">
        <v>2118</v>
      </c>
      <c r="B2114">
        <v>0.99930955844802105</v>
      </c>
      <c r="C2114">
        <v>0.75567084736416601</v>
      </c>
      <c r="D2114">
        <v>0.78733402428203303</v>
      </c>
      <c r="E2114">
        <v>0.99909165807112799</v>
      </c>
      <c r="F2114">
        <v>1.1535829612172801</v>
      </c>
      <c r="G2114">
        <v>1.10226802416226</v>
      </c>
      <c r="H2114">
        <v>0.37752947853201102</v>
      </c>
      <c r="I2114">
        <v>0.394210414821204</v>
      </c>
      <c r="J2114">
        <v>0.39464466751935301</v>
      </c>
      <c r="K2114">
        <v>0.26699702271979497</v>
      </c>
      <c r="L2114">
        <v>15000</v>
      </c>
      <c r="M2114">
        <v>249.09343410343001</v>
      </c>
      <c r="N2114">
        <v>60.514050974903398</v>
      </c>
      <c r="O2114">
        <v>60.214507659996599</v>
      </c>
      <c r="P2114">
        <v>-0.67020851656589198</v>
      </c>
      <c r="Q2114">
        <v>0.35194981729003699</v>
      </c>
      <c r="R2114">
        <v>0.85459887936703205</v>
      </c>
      <c r="S2114" t="s">
        <v>8731</v>
      </c>
      <c r="T2114" t="s">
        <v>13232</v>
      </c>
      <c r="U2114" t="s">
        <v>13232</v>
      </c>
      <c r="V2114" t="s">
        <v>13232</v>
      </c>
      <c r="W2114" t="s">
        <v>15295</v>
      </c>
      <c r="X2114">
        <v>16</v>
      </c>
      <c r="Y2114" t="s">
        <v>21792</v>
      </c>
      <c r="Z2114" t="s">
        <v>28245</v>
      </c>
      <c r="AA2114">
        <v>0.78876936642851136</v>
      </c>
      <c r="AB2114" t="str">
        <f>HYPERLINK("Melting_Curves/meltCurve_P28074_PSMB5.pdf", "Melting_Curves/meltCurve_P28074_PSMB5.pdf")</f>
        <v>Melting_Curves/meltCurve_P28074_PSMB5.pdf</v>
      </c>
    </row>
    <row r="2115" spans="1:28" x14ac:dyDescent="0.25">
      <c r="A2115" t="s">
        <v>2119</v>
      </c>
      <c r="B2115">
        <v>0.99930955844802105</v>
      </c>
      <c r="C2115">
        <v>0.82540018254495595</v>
      </c>
      <c r="D2115">
        <v>0.748017485119995</v>
      </c>
      <c r="E2115">
        <v>0.57430282076739303</v>
      </c>
      <c r="F2115">
        <v>0.31722535631077697</v>
      </c>
      <c r="G2115">
        <v>0.17387975524364199</v>
      </c>
      <c r="H2115">
        <v>7.6213332198259098E-2</v>
      </c>
      <c r="I2115">
        <v>5.5996412516779698E-2</v>
      </c>
      <c r="J2115">
        <v>4.1935040639630099E-2</v>
      </c>
      <c r="K2115">
        <v>3.09651061989424E-2</v>
      </c>
      <c r="L2115">
        <v>628.69915864780205</v>
      </c>
      <c r="M2115">
        <v>12.525717851429301</v>
      </c>
      <c r="N2115">
        <v>50.192664721798799</v>
      </c>
      <c r="O2115">
        <v>48.964849006304398</v>
      </c>
      <c r="P2115">
        <v>-6.3965655842170496E-2</v>
      </c>
      <c r="Q2115">
        <v>0</v>
      </c>
      <c r="R2115">
        <v>0.99086677052329797</v>
      </c>
      <c r="S2115" t="s">
        <v>8732</v>
      </c>
      <c r="T2115" t="s">
        <v>13232</v>
      </c>
      <c r="U2115" t="s">
        <v>13232</v>
      </c>
      <c r="V2115" t="s">
        <v>13232</v>
      </c>
      <c r="W2115" t="s">
        <v>15296</v>
      </c>
      <c r="X2115">
        <v>6</v>
      </c>
      <c r="Y2115" t="s">
        <v>21793</v>
      </c>
      <c r="Z2115" t="s">
        <v>28246</v>
      </c>
      <c r="AA2115">
        <v>0.37176743185432692</v>
      </c>
      <c r="AB2115" t="str">
        <f>HYPERLINK("Melting_Curves/meltCurve_P28161_2_GSTM2.pdf", "Melting_Curves/meltCurve_P28161_2_GSTM2.pdf")</f>
        <v>Melting_Curves/meltCurve_P28161_2_GSTM2.pdf</v>
      </c>
    </row>
    <row r="2116" spans="1:28" x14ac:dyDescent="0.25">
      <c r="A2116" t="s">
        <v>2120</v>
      </c>
      <c r="B2116">
        <v>0.99930955844802105</v>
      </c>
      <c r="C2116">
        <v>0.88749127514772896</v>
      </c>
      <c r="D2116">
        <v>0.68504212169155099</v>
      </c>
      <c r="E2116">
        <v>0.40930868363240602</v>
      </c>
      <c r="F2116">
        <v>0.23501802663172999</v>
      </c>
      <c r="G2116">
        <v>0.16787179372671701</v>
      </c>
      <c r="H2116">
        <v>0.122384701325969</v>
      </c>
      <c r="I2116">
        <v>0.113120478013205</v>
      </c>
      <c r="J2116">
        <v>0.12780829419015299</v>
      </c>
      <c r="K2116">
        <v>9.2126458283112805E-2</v>
      </c>
      <c r="L2116">
        <v>813.97355041063997</v>
      </c>
      <c r="M2116">
        <v>17.016093979110799</v>
      </c>
      <c r="N2116">
        <v>48.4993761743508</v>
      </c>
      <c r="O2116">
        <v>47.189494460364998</v>
      </c>
      <c r="P2116">
        <v>-8.0787082546103298E-2</v>
      </c>
      <c r="Q2116">
        <v>0.103891286976733</v>
      </c>
      <c r="R2116">
        <v>0.99803544864147997</v>
      </c>
      <c r="S2116" t="s">
        <v>8733</v>
      </c>
      <c r="T2116" t="s">
        <v>13232</v>
      </c>
      <c r="U2116" t="s">
        <v>13232</v>
      </c>
      <c r="V2116" t="s">
        <v>13232</v>
      </c>
      <c r="W2116" t="s">
        <v>15297</v>
      </c>
      <c r="X2116">
        <v>11</v>
      </c>
      <c r="Y2116" t="s">
        <v>21794</v>
      </c>
      <c r="Z2116" t="s">
        <v>28247</v>
      </c>
      <c r="AA2116">
        <v>0.35591568601075191</v>
      </c>
      <c r="AB2116" t="str">
        <f>HYPERLINK("Melting_Curves/meltCurve_P28289_TMOD1.pdf", "Melting_Curves/meltCurve_P28289_TMOD1.pdf")</f>
        <v>Melting_Curves/meltCurve_P28289_TMOD1.pdf</v>
      </c>
    </row>
    <row r="2117" spans="1:28" x14ac:dyDescent="0.25">
      <c r="A2117" t="s">
        <v>2121</v>
      </c>
      <c r="B2117">
        <v>0.99930955844802105</v>
      </c>
      <c r="C2117">
        <v>0.969587675017067</v>
      </c>
      <c r="D2117">
        <v>0.87140411073094903</v>
      </c>
      <c r="E2117">
        <v>0.85428147237082996</v>
      </c>
      <c r="F2117">
        <v>0.56989411398706302</v>
      </c>
      <c r="G2117">
        <v>0.296144749644357</v>
      </c>
      <c r="H2117">
        <v>0.21168629479829101</v>
      </c>
      <c r="I2117">
        <v>0.15561240014137301</v>
      </c>
      <c r="J2117">
        <v>0.12066415762695699</v>
      </c>
      <c r="K2117">
        <v>4.9095860065114301E-2</v>
      </c>
      <c r="L2117">
        <v>868.25382103459401</v>
      </c>
      <c r="M2117">
        <v>16.149284611360699</v>
      </c>
      <c r="N2117">
        <v>54.242233779325403</v>
      </c>
      <c r="O2117">
        <v>52.960098565281797</v>
      </c>
      <c r="P2117">
        <v>-7.1182200053250599E-2</v>
      </c>
      <c r="Q2117">
        <v>6.6328606158505096E-2</v>
      </c>
      <c r="R2117">
        <v>0.98901813309389996</v>
      </c>
      <c r="S2117" t="s">
        <v>8734</v>
      </c>
      <c r="T2117" t="s">
        <v>13232</v>
      </c>
      <c r="U2117" t="s">
        <v>13232</v>
      </c>
      <c r="V2117" t="s">
        <v>13232</v>
      </c>
      <c r="W2117" t="s">
        <v>15298</v>
      </c>
      <c r="X2117">
        <v>6</v>
      </c>
      <c r="Y2117" t="s">
        <v>21795</v>
      </c>
      <c r="Z2117" t="s">
        <v>28248</v>
      </c>
      <c r="AA2117">
        <v>0.51228876192856065</v>
      </c>
      <c r="AB2117" t="str">
        <f>HYPERLINK("Melting_Curves/meltCurve_P28331_4_NDUFS1.pdf", "Melting_Curves/meltCurve_P28331_4_NDUFS1.pdf")</f>
        <v>Melting_Curves/meltCurve_P28331_4_NDUFS1.pdf</v>
      </c>
    </row>
    <row r="2118" spans="1:28" x14ac:dyDescent="0.25">
      <c r="A2118" t="s">
        <v>2122</v>
      </c>
      <c r="B2118">
        <v>0.99930955844802105</v>
      </c>
      <c r="C2118">
        <v>0.647125770820138</v>
      </c>
      <c r="D2118">
        <v>0.49671451807136202</v>
      </c>
      <c r="E2118">
        <v>0.43190448165522</v>
      </c>
      <c r="F2118">
        <v>0.34869421245307503</v>
      </c>
      <c r="G2118">
        <v>0.238750213537363</v>
      </c>
      <c r="H2118">
        <v>0.11095484175930299</v>
      </c>
      <c r="I2118">
        <v>8.3308468822173298E-2</v>
      </c>
      <c r="J2118">
        <v>6.4605644432910503E-2</v>
      </c>
      <c r="K2118">
        <v>5.0357525332943402E-2</v>
      </c>
      <c r="L2118">
        <v>417.756591854916</v>
      </c>
      <c r="M2118">
        <v>8.73565179980538</v>
      </c>
      <c r="N2118">
        <v>47.822029395575001</v>
      </c>
      <c r="O2118">
        <v>45.514446863731202</v>
      </c>
      <c r="P2118">
        <v>-4.8021863558147103E-2</v>
      </c>
      <c r="Q2118">
        <v>0</v>
      </c>
      <c r="R2118">
        <v>0.94805230732161905</v>
      </c>
      <c r="S2118" t="s">
        <v>8735</v>
      </c>
      <c r="T2118" t="s">
        <v>13232</v>
      </c>
      <c r="U2118" t="s">
        <v>13232</v>
      </c>
      <c r="V2118" t="s">
        <v>13232</v>
      </c>
      <c r="W2118" t="s">
        <v>15299</v>
      </c>
      <c r="X2118">
        <v>39</v>
      </c>
      <c r="Y2118" t="s">
        <v>21796</v>
      </c>
      <c r="Z2118" t="s">
        <v>28249</v>
      </c>
      <c r="AA2118">
        <v>0.32635942385159122</v>
      </c>
      <c r="AB2118" t="str">
        <f>HYPERLINK("Melting_Curves/meltCurve_P28340_POLD1.pdf", "Melting_Curves/meltCurve_P28340_POLD1.pdf")</f>
        <v>Melting_Curves/meltCurve_P28340_POLD1.pdf</v>
      </c>
    </row>
    <row r="2119" spans="1:28" x14ac:dyDescent="0.25">
      <c r="A2119" t="s">
        <v>2123</v>
      </c>
      <c r="B2119">
        <v>0.99930955844802105</v>
      </c>
      <c r="C2119">
        <v>0.99442918152453597</v>
      </c>
      <c r="D2119">
        <v>0.984690819884948</v>
      </c>
      <c r="E2119">
        <v>0.870017029543531</v>
      </c>
      <c r="F2119">
        <v>0.65461156221419203</v>
      </c>
      <c r="G2119">
        <v>0.31820749926696601</v>
      </c>
      <c r="H2119">
        <v>0.12732946433860001</v>
      </c>
      <c r="I2119">
        <v>0.10506812283325501</v>
      </c>
      <c r="J2119">
        <v>9.6326928767955594E-2</v>
      </c>
      <c r="K2119">
        <v>6.6315762896199296E-2</v>
      </c>
      <c r="L2119">
        <v>1179.5557614961001</v>
      </c>
      <c r="M2119">
        <v>21.7284451139193</v>
      </c>
      <c r="N2119">
        <v>54.647315761860597</v>
      </c>
      <c r="O2119">
        <v>53.832708279944299</v>
      </c>
      <c r="P2119">
        <v>-9.4162092562007693E-2</v>
      </c>
      <c r="Q2119">
        <v>6.6867135223155003E-2</v>
      </c>
      <c r="R2119">
        <v>0.99955718018958095</v>
      </c>
      <c r="S2119" t="s">
        <v>8736</v>
      </c>
      <c r="T2119" t="s">
        <v>13232</v>
      </c>
      <c r="U2119" t="s">
        <v>13232</v>
      </c>
      <c r="V2119" t="s">
        <v>13232</v>
      </c>
      <c r="W2119" t="s">
        <v>15300</v>
      </c>
      <c r="X2119">
        <v>23</v>
      </c>
      <c r="Y2119" t="s">
        <v>21797</v>
      </c>
      <c r="Z2119" t="s">
        <v>28250</v>
      </c>
      <c r="AA2119">
        <v>0.52226142195334291</v>
      </c>
      <c r="AB2119" t="str">
        <f>HYPERLINK("Melting_Curves/meltCurve_P28482_MAPK1.pdf", "Melting_Curves/meltCurve_P28482_MAPK1.pdf")</f>
        <v>Melting_Curves/meltCurve_P28482_MAPK1.pdf</v>
      </c>
    </row>
    <row r="2120" spans="1:28" x14ac:dyDescent="0.25">
      <c r="A2120" t="s">
        <v>2124</v>
      </c>
      <c r="B2120">
        <v>0.99930955844802105</v>
      </c>
      <c r="C2120">
        <v>0.79289991353508105</v>
      </c>
      <c r="D2120">
        <v>0.42202542342814198</v>
      </c>
      <c r="E2120">
        <v>0.26440865747019399</v>
      </c>
      <c r="F2120">
        <v>0.16812065091983699</v>
      </c>
      <c r="G2120">
        <v>0.131356896969305</v>
      </c>
      <c r="H2120">
        <v>7.8401982797157599E-2</v>
      </c>
      <c r="I2120">
        <v>7.3220597269537599E-2</v>
      </c>
      <c r="J2120">
        <v>7.2671731297062198E-2</v>
      </c>
      <c r="K2120">
        <v>5.11335825970997E-2</v>
      </c>
      <c r="L2120">
        <v>892.79779569095899</v>
      </c>
      <c r="M2120">
        <v>19.675899370895099</v>
      </c>
      <c r="N2120">
        <v>45.811216126736298</v>
      </c>
      <c r="O2120">
        <v>44.914289365809303</v>
      </c>
      <c r="P2120">
        <v>-0.100170763119161</v>
      </c>
      <c r="Q2120">
        <v>8.5390236868685201E-2</v>
      </c>
      <c r="R2120">
        <v>0.98630063862919104</v>
      </c>
      <c r="S2120" t="s">
        <v>8737</v>
      </c>
      <c r="T2120" t="s">
        <v>13232</v>
      </c>
      <c r="U2120" t="s">
        <v>13232</v>
      </c>
      <c r="V2120" t="s">
        <v>13232</v>
      </c>
      <c r="W2120" t="s">
        <v>15301</v>
      </c>
      <c r="X2120">
        <v>3</v>
      </c>
      <c r="Y2120" t="s">
        <v>21798</v>
      </c>
      <c r="Z2120" t="s">
        <v>28251</v>
      </c>
      <c r="AA2120">
        <v>0.2647281029642532</v>
      </c>
      <c r="AB2120" t="str">
        <f>HYPERLINK("Melting_Curves/meltCurve_P28702_RXRB.pdf", "Melting_Curves/meltCurve_P28702_RXRB.pdf")</f>
        <v>Melting_Curves/meltCurve_P28702_RXRB.pdf</v>
      </c>
    </row>
    <row r="2121" spans="1:28" x14ac:dyDescent="0.25">
      <c r="A2121" t="s">
        <v>2125</v>
      </c>
      <c r="B2121">
        <v>0.99930955844802105</v>
      </c>
      <c r="C2121">
        <v>1.0721723297511301</v>
      </c>
      <c r="D2121">
        <v>1.0407753366904999</v>
      </c>
      <c r="E2121">
        <v>1.00261080715966</v>
      </c>
      <c r="F2121">
        <v>0.83555007853354302</v>
      </c>
      <c r="G2121">
        <v>0.68932186409275198</v>
      </c>
      <c r="H2121">
        <v>0.66556612026355999</v>
      </c>
      <c r="I2121">
        <v>0.71691824228902501</v>
      </c>
      <c r="J2121">
        <v>0.68378507824582602</v>
      </c>
      <c r="K2121">
        <v>0.59557008423322599</v>
      </c>
      <c r="L2121">
        <v>3263.5654259749699</v>
      </c>
      <c r="M2121">
        <v>61.543038086016402</v>
      </c>
      <c r="O2121">
        <v>52.973089327184802</v>
      </c>
      <c r="P2121">
        <v>-9.6096151539013699E-2</v>
      </c>
      <c r="Q2121">
        <v>0.66914157721866596</v>
      </c>
      <c r="R2121">
        <v>0.94906503911935602</v>
      </c>
      <c r="S2121" t="s">
        <v>8738</v>
      </c>
      <c r="T2121" t="s">
        <v>13232</v>
      </c>
      <c r="U2121" t="s">
        <v>13232</v>
      </c>
      <c r="V2121" t="s">
        <v>13232</v>
      </c>
      <c r="W2121" t="s">
        <v>15302</v>
      </c>
      <c r="X2121">
        <v>23</v>
      </c>
      <c r="Y2121" t="s">
        <v>21799</v>
      </c>
      <c r="Z2121" t="s">
        <v>28252</v>
      </c>
      <c r="AA2121">
        <v>0.81334318193913235</v>
      </c>
      <c r="AB2121" t="str">
        <f>HYPERLINK("Melting_Curves/meltCurve_P28715_ERCC5.pdf", "Melting_Curves/meltCurve_P28715_ERCC5.pdf")</f>
        <v>Melting_Curves/meltCurve_P28715_ERCC5.pdf</v>
      </c>
    </row>
    <row r="2122" spans="1:28" x14ac:dyDescent="0.25">
      <c r="A2122" t="s">
        <v>2126</v>
      </c>
      <c r="B2122">
        <v>0.99930955844802105</v>
      </c>
      <c r="C2122">
        <v>1.00603247939716</v>
      </c>
      <c r="D2122">
        <v>0.90372596651565396</v>
      </c>
      <c r="E2122">
        <v>0.60278414302634598</v>
      </c>
      <c r="F2122">
        <v>0.29202589079722302</v>
      </c>
      <c r="G2122">
        <v>0.19666796664334199</v>
      </c>
      <c r="H2122">
        <v>0.14381578942684201</v>
      </c>
      <c r="I2122">
        <v>0.13599003351112601</v>
      </c>
      <c r="J2122">
        <v>0.123065205229372</v>
      </c>
      <c r="K2122">
        <v>9.93267006804084E-2</v>
      </c>
      <c r="L2122">
        <v>1227.53154658158</v>
      </c>
      <c r="M2122">
        <v>24.4288846788982</v>
      </c>
      <c r="N2122">
        <v>50.841339322963002</v>
      </c>
      <c r="O2122">
        <v>49.916097873547301</v>
      </c>
      <c r="P2122">
        <v>-0.107202176285944</v>
      </c>
      <c r="Q2122">
        <v>0.123818391752806</v>
      </c>
      <c r="R2122">
        <v>0.99790410409041097</v>
      </c>
      <c r="S2122" t="s">
        <v>8739</v>
      </c>
      <c r="T2122" t="s">
        <v>13232</v>
      </c>
      <c r="U2122" t="s">
        <v>13232</v>
      </c>
      <c r="V2122" t="s">
        <v>13232</v>
      </c>
      <c r="W2122" t="s">
        <v>15303</v>
      </c>
      <c r="X2122">
        <v>11</v>
      </c>
      <c r="Y2122" t="s">
        <v>21800</v>
      </c>
      <c r="Z2122" t="s">
        <v>28253</v>
      </c>
      <c r="AA2122">
        <v>0.4313788771455328</v>
      </c>
      <c r="AB2122" t="str">
        <f>HYPERLINK("Melting_Curves/meltCurve_P28749_RBL1.pdf", "Melting_Curves/meltCurve_P28749_RBL1.pdf")</f>
        <v>Melting_Curves/meltCurve_P28749_RBL1.pdf</v>
      </c>
    </row>
    <row r="2123" spans="1:28" x14ac:dyDescent="0.25">
      <c r="A2123" t="s">
        <v>2127</v>
      </c>
      <c r="B2123">
        <v>0.99930955844802105</v>
      </c>
      <c r="C2123">
        <v>1.0917864749371899</v>
      </c>
      <c r="D2123">
        <v>1.0394283764818399</v>
      </c>
      <c r="E2123">
        <v>1.0329675302597701</v>
      </c>
      <c r="F2123">
        <v>0.89985998112891197</v>
      </c>
      <c r="G2123">
        <v>0.92970762245173899</v>
      </c>
      <c r="H2123">
        <v>0.94209524655648502</v>
      </c>
      <c r="I2123">
        <v>1.1622278981207299</v>
      </c>
      <c r="J2123">
        <v>1.0064755504754399</v>
      </c>
      <c r="K2123">
        <v>1.10570256744034</v>
      </c>
      <c r="L2123">
        <v>4714.2149518924398</v>
      </c>
      <c r="M2123">
        <v>75.543162804687299</v>
      </c>
      <c r="O2123">
        <v>62.360580389474798</v>
      </c>
      <c r="P2123">
        <v>2.67545731061276E-2</v>
      </c>
      <c r="Q2123">
        <v>1.08834314211422</v>
      </c>
      <c r="R2123">
        <v>0.27485586501621301</v>
      </c>
      <c r="S2123" t="s">
        <v>8740</v>
      </c>
      <c r="T2123" t="s">
        <v>13232</v>
      </c>
      <c r="U2123" t="s">
        <v>13232</v>
      </c>
      <c r="V2123" t="s">
        <v>13232</v>
      </c>
      <c r="W2123" t="s">
        <v>15304</v>
      </c>
      <c r="X2123">
        <v>6</v>
      </c>
      <c r="Y2123" t="s">
        <v>21801</v>
      </c>
      <c r="Z2123" t="s">
        <v>28254</v>
      </c>
      <c r="AA2123">
        <v>1.022262399199007</v>
      </c>
      <c r="AB2123" t="str">
        <f>HYPERLINK("Melting_Curves/meltCurve_P28799_GRN.pdf", "Melting_Curves/meltCurve_P28799_GRN.pdf")</f>
        <v>Melting_Curves/meltCurve_P28799_GRN.pdf</v>
      </c>
    </row>
    <row r="2124" spans="1:28" x14ac:dyDescent="0.25">
      <c r="A2124" t="s">
        <v>2128</v>
      </c>
      <c r="B2124">
        <v>0.99930955844802105</v>
      </c>
      <c r="C2124">
        <v>0.769013858145561</v>
      </c>
      <c r="D2124">
        <v>0.77940465712332596</v>
      </c>
      <c r="E2124">
        <v>0.86658090621113504</v>
      </c>
      <c r="F2124">
        <v>0.90679830701627095</v>
      </c>
      <c r="G2124">
        <v>0.69850546870591401</v>
      </c>
      <c r="H2124">
        <v>0.27813179512304598</v>
      </c>
      <c r="I2124">
        <v>0.328670842642522</v>
      </c>
      <c r="J2124">
        <v>0.27261983479680002</v>
      </c>
      <c r="K2124">
        <v>0.16020047712007299</v>
      </c>
      <c r="L2124">
        <v>622.02849040254296</v>
      </c>
      <c r="M2124">
        <v>10.469546271491801</v>
      </c>
      <c r="N2124">
        <v>59.413104841894302</v>
      </c>
      <c r="O2124">
        <v>57.368238051303102</v>
      </c>
      <c r="P2124">
        <v>-4.5642910422689698E-2</v>
      </c>
      <c r="Q2124">
        <v>0</v>
      </c>
      <c r="R2124">
        <v>0.85558989581565603</v>
      </c>
      <c r="S2124" t="s">
        <v>8741</v>
      </c>
      <c r="T2124" t="s">
        <v>13232</v>
      </c>
      <c r="U2124" t="s">
        <v>13232</v>
      </c>
      <c r="V2124" t="s">
        <v>13232</v>
      </c>
      <c r="W2124" t="s">
        <v>15305</v>
      </c>
      <c r="X2124">
        <v>30</v>
      </c>
      <c r="Y2124" t="s">
        <v>21802</v>
      </c>
      <c r="Z2124" t="s">
        <v>28255</v>
      </c>
      <c r="AA2124">
        <v>0.64907683078823042</v>
      </c>
      <c r="AB2124" t="str">
        <f>HYPERLINK("Melting_Curves/meltCurve_P28838_2_LAP3.pdf", "Melting_Curves/meltCurve_P28838_2_LAP3.pdf")</f>
        <v>Melting_Curves/meltCurve_P28838_2_LAP3.pdf</v>
      </c>
    </row>
    <row r="2125" spans="1:28" x14ac:dyDescent="0.25">
      <c r="A2125" t="s">
        <v>2129</v>
      </c>
      <c r="B2125">
        <v>0.99930955844802105</v>
      </c>
      <c r="C2125">
        <v>1.1099685517229401</v>
      </c>
      <c r="D2125">
        <v>1.0872879076144</v>
      </c>
      <c r="E2125">
        <v>1.1024358130398899</v>
      </c>
      <c r="F2125">
        <v>0.93747810977977097</v>
      </c>
      <c r="G2125">
        <v>0.95013879219866604</v>
      </c>
      <c r="H2125">
        <v>1.0606518217771601</v>
      </c>
      <c r="I2125">
        <v>1.14620892682139</v>
      </c>
      <c r="J2125">
        <v>1.2045189546981501</v>
      </c>
      <c r="K2125">
        <v>0.92561066511100198</v>
      </c>
      <c r="L2125">
        <v>30.435025537883401</v>
      </c>
      <c r="M2125">
        <v>1.0000000000000001E-5</v>
      </c>
      <c r="Q2125">
        <v>1.14490860254653</v>
      </c>
      <c r="R2125">
        <v>1.49146789100563E-3</v>
      </c>
      <c r="S2125" t="s">
        <v>8742</v>
      </c>
      <c r="T2125" t="s">
        <v>13232</v>
      </c>
      <c r="U2125" t="s">
        <v>13232</v>
      </c>
      <c r="V2125" t="s">
        <v>13232</v>
      </c>
      <c r="W2125" t="s">
        <v>15306</v>
      </c>
      <c r="X2125">
        <v>5</v>
      </c>
      <c r="Y2125" t="s">
        <v>21803</v>
      </c>
      <c r="Z2125" t="s">
        <v>28256</v>
      </c>
      <c r="AA2125">
        <v>1.052462432903581</v>
      </c>
      <c r="AB2125" t="str">
        <f>HYPERLINK("Melting_Curves/meltCurve_P28908_TNFRSF8.pdf", "Melting_Curves/meltCurve_P28908_TNFRSF8.pdf")</f>
        <v>Melting_Curves/meltCurve_P28908_TNFRSF8.pdf</v>
      </c>
    </row>
    <row r="2126" spans="1:28" x14ac:dyDescent="0.25">
      <c r="A2126" t="s">
        <v>2130</v>
      </c>
      <c r="B2126">
        <v>0.99930955844802105</v>
      </c>
      <c r="C2126">
        <v>0.97822238777153803</v>
      </c>
      <c r="D2126">
        <v>0.90700833665553504</v>
      </c>
      <c r="E2126">
        <v>0.68485778686963095</v>
      </c>
      <c r="F2126">
        <v>0.420070909416349</v>
      </c>
      <c r="G2126">
        <v>0.26776346097189202</v>
      </c>
      <c r="H2126">
        <v>0.225260599917051</v>
      </c>
      <c r="I2126">
        <v>0.23270175612740601</v>
      </c>
      <c r="J2126">
        <v>0.25776412656603198</v>
      </c>
      <c r="K2126">
        <v>0.189284143355541</v>
      </c>
      <c r="L2126">
        <v>1138.1598665138699</v>
      </c>
      <c r="M2126">
        <v>22.460554123310999</v>
      </c>
      <c r="N2126">
        <v>51.987967367485801</v>
      </c>
      <c r="O2126">
        <v>50.277159235100399</v>
      </c>
      <c r="P2126">
        <v>-8.7493242026826304E-2</v>
      </c>
      <c r="Q2126">
        <v>0.21661394892272401</v>
      </c>
      <c r="R2126">
        <v>0.99673087822564599</v>
      </c>
      <c r="S2126" t="s">
        <v>8743</v>
      </c>
      <c r="T2126" t="s">
        <v>13232</v>
      </c>
      <c r="U2126" t="s">
        <v>13232</v>
      </c>
      <c r="V2126" t="s">
        <v>13232</v>
      </c>
      <c r="W2126" t="s">
        <v>15307</v>
      </c>
      <c r="X2126">
        <v>14</v>
      </c>
      <c r="Y2126" t="s">
        <v>21804</v>
      </c>
      <c r="Z2126" t="s">
        <v>28257</v>
      </c>
      <c r="AA2126">
        <v>0.50404060972419906</v>
      </c>
      <c r="AB2126" t="str">
        <f>HYPERLINK("Melting_Curves/meltCurve_P29083_GTF2E1.pdf", "Melting_Curves/meltCurve_P29083_GTF2E1.pdf")</f>
        <v>Melting_Curves/meltCurve_P29083_GTF2E1.pdf</v>
      </c>
    </row>
    <row r="2127" spans="1:28" x14ac:dyDescent="0.25">
      <c r="A2127" t="s">
        <v>2131</v>
      </c>
      <c r="B2127">
        <v>0.99930955844802105</v>
      </c>
      <c r="C2127">
        <v>1.04770879524605</v>
      </c>
      <c r="D2127">
        <v>0.53259004718316505</v>
      </c>
      <c r="E2127">
        <v>0.56579640930978603</v>
      </c>
      <c r="F2127">
        <v>0.30547919216685798</v>
      </c>
      <c r="G2127">
        <v>0.15116633525366799</v>
      </c>
      <c r="H2127">
        <v>7.5582588739351794E-2</v>
      </c>
      <c r="I2127">
        <v>6.9039388105429603E-2</v>
      </c>
      <c r="J2127">
        <v>5.6999695394685197E-2</v>
      </c>
      <c r="K2127">
        <v>4.5882301948629703E-2</v>
      </c>
      <c r="L2127">
        <v>662.233855141238</v>
      </c>
      <c r="M2127">
        <v>13.414848990800801</v>
      </c>
      <c r="N2127">
        <v>49.551223741399298</v>
      </c>
      <c r="O2127">
        <v>48.307451833893502</v>
      </c>
      <c r="P2127">
        <v>-6.7734805753285707E-2</v>
      </c>
      <c r="Q2127">
        <v>2.44886251046448E-2</v>
      </c>
      <c r="R2127">
        <v>0.94229116973897598</v>
      </c>
      <c r="S2127" t="s">
        <v>8744</v>
      </c>
      <c r="T2127" t="s">
        <v>13232</v>
      </c>
      <c r="U2127" t="s">
        <v>13232</v>
      </c>
      <c r="V2127" t="s">
        <v>13232</v>
      </c>
      <c r="W2127" t="s">
        <v>15308</v>
      </c>
      <c r="X2127">
        <v>11</v>
      </c>
      <c r="Y2127" t="s">
        <v>21805</v>
      </c>
      <c r="Z2127" t="s">
        <v>28258</v>
      </c>
      <c r="AA2127">
        <v>0.35807039188205281</v>
      </c>
      <c r="AB2127" t="str">
        <f>HYPERLINK("Melting_Curves/meltCurve_P29084_GTF2E2.pdf", "Melting_Curves/meltCurve_P29084_GTF2E2.pdf")</f>
        <v>Melting_Curves/meltCurve_P29084_GTF2E2.pdf</v>
      </c>
    </row>
    <row r="2128" spans="1:28" x14ac:dyDescent="0.25">
      <c r="A2128" t="s">
        <v>2132</v>
      </c>
      <c r="B2128">
        <v>0.99930955844802105</v>
      </c>
      <c r="C2128">
        <v>0.789828109536866</v>
      </c>
      <c r="D2128">
        <v>0.72364071885567405</v>
      </c>
      <c r="E2128">
        <v>0.49144539904970902</v>
      </c>
      <c r="F2128">
        <v>0.218413056077254</v>
      </c>
      <c r="G2128">
        <v>0.13812892719799499</v>
      </c>
      <c r="H2128">
        <v>8.2576006041029701E-2</v>
      </c>
      <c r="I2128">
        <v>7.6442864865611401E-2</v>
      </c>
      <c r="J2128">
        <v>6.9966641096641705E-2</v>
      </c>
      <c r="K2128">
        <v>5.2490480388996903E-2</v>
      </c>
      <c r="L2128">
        <v>667.82603774162499</v>
      </c>
      <c r="M2128">
        <v>13.704221053258401</v>
      </c>
      <c r="N2128">
        <v>48.973983111863603</v>
      </c>
      <c r="O2128">
        <v>47.7288972508765</v>
      </c>
      <c r="P2128">
        <v>-6.94362216360805E-2</v>
      </c>
      <c r="Q2128">
        <v>3.2812488475780201E-2</v>
      </c>
      <c r="R2128">
        <v>0.98616814530505703</v>
      </c>
      <c r="S2128" t="s">
        <v>8745</v>
      </c>
      <c r="T2128" t="s">
        <v>13232</v>
      </c>
      <c r="U2128" t="s">
        <v>13232</v>
      </c>
      <c r="V2128" t="s">
        <v>13232</v>
      </c>
      <c r="W2128" t="s">
        <v>15309</v>
      </c>
      <c r="X2128">
        <v>48</v>
      </c>
      <c r="Y2128" t="s">
        <v>21806</v>
      </c>
      <c r="Z2128" t="s">
        <v>28259</v>
      </c>
      <c r="AA2128">
        <v>0.34287063162761561</v>
      </c>
      <c r="AB2128" t="str">
        <f>HYPERLINK("Melting_Curves/meltCurve_P29144_TPP2.pdf", "Melting_Curves/meltCurve_P29144_TPP2.pdf")</f>
        <v>Melting_Curves/meltCurve_P29144_TPP2.pdf</v>
      </c>
    </row>
    <row r="2129" spans="1:28" x14ac:dyDescent="0.25">
      <c r="A2129" t="s">
        <v>2133</v>
      </c>
      <c r="B2129">
        <v>0.99930955844802105</v>
      </c>
      <c r="C2129">
        <v>1.00146040044482</v>
      </c>
      <c r="D2129">
        <v>0.99851089106520996</v>
      </c>
      <c r="E2129">
        <v>0.95431532376871098</v>
      </c>
      <c r="F2129">
        <v>0.86848315414084398</v>
      </c>
      <c r="G2129">
        <v>0.69417815473031497</v>
      </c>
      <c r="H2129">
        <v>0.64877130555793805</v>
      </c>
      <c r="I2129">
        <v>0.62432039449411003</v>
      </c>
      <c r="J2129">
        <v>0.53389319120039802</v>
      </c>
      <c r="K2129">
        <v>0.39256343308952402</v>
      </c>
      <c r="L2129">
        <v>533.879376720957</v>
      </c>
      <c r="M2129">
        <v>8.4476327070652903</v>
      </c>
      <c r="N2129">
        <v>66.936310865407293</v>
      </c>
      <c r="O2129">
        <v>59.955269546191701</v>
      </c>
      <c r="P2129">
        <v>-2.8627791029187302E-2</v>
      </c>
      <c r="Q2129">
        <v>0.188030293248793</v>
      </c>
      <c r="R2129">
        <v>0.96883495784011597</v>
      </c>
      <c r="S2129" t="s">
        <v>8746</v>
      </c>
      <c r="T2129" t="s">
        <v>13232</v>
      </c>
      <c r="U2129" t="s">
        <v>13232</v>
      </c>
      <c r="V2129" t="s">
        <v>13232</v>
      </c>
      <c r="W2129" t="s">
        <v>15310</v>
      </c>
      <c r="X2129">
        <v>16</v>
      </c>
      <c r="Y2129" t="s">
        <v>20119</v>
      </c>
      <c r="Z2129" t="s">
        <v>28260</v>
      </c>
      <c r="AA2129">
        <v>0.77809070308572037</v>
      </c>
      <c r="AB2129" t="str">
        <f>HYPERLINK("Melting_Curves/meltCurve_P29218_IMPA1.pdf", "Melting_Curves/meltCurve_P29218_IMPA1.pdf")</f>
        <v>Melting_Curves/meltCurve_P29218_IMPA1.pdf</v>
      </c>
    </row>
    <row r="2130" spans="1:28" x14ac:dyDescent="0.25">
      <c r="A2130" t="s">
        <v>2134</v>
      </c>
      <c r="B2130">
        <v>0.99930955844802105</v>
      </c>
      <c r="C2130">
        <v>0.94147731758046205</v>
      </c>
      <c r="D2130">
        <v>0.74970193960339604</v>
      </c>
      <c r="E2130">
        <v>0.22111897922332599</v>
      </c>
      <c r="F2130">
        <v>0.112447153658202</v>
      </c>
      <c r="G2130">
        <v>6.9116486109376096E-2</v>
      </c>
      <c r="H2130">
        <v>3.2359771956268803E-2</v>
      </c>
      <c r="I2130">
        <v>2.3545875860642999E-2</v>
      </c>
      <c r="J2130">
        <v>2.3743946257421999E-2</v>
      </c>
      <c r="K2130">
        <v>1.77397355295115E-2</v>
      </c>
      <c r="L2130">
        <v>1313.00966735463</v>
      </c>
      <c r="M2130">
        <v>27.553891033812601</v>
      </c>
      <c r="N2130">
        <v>47.768308563938902</v>
      </c>
      <c r="O2130">
        <v>47.403548292877403</v>
      </c>
      <c r="P2130">
        <v>-0.14061877409802401</v>
      </c>
      <c r="Q2130">
        <v>3.2330149532837603E-2</v>
      </c>
      <c r="R2130">
        <v>0.99839367679624402</v>
      </c>
      <c r="S2130" t="s">
        <v>8747</v>
      </c>
      <c r="T2130" t="s">
        <v>13232</v>
      </c>
      <c r="U2130" t="s">
        <v>13232</v>
      </c>
      <c r="V2130" t="s">
        <v>13232</v>
      </c>
      <c r="W2130" t="s">
        <v>15311</v>
      </c>
      <c r="X2130">
        <v>3</v>
      </c>
      <c r="Y2130" t="s">
        <v>21807</v>
      </c>
      <c r="Z2130" t="s">
        <v>28261</v>
      </c>
      <c r="AA2130">
        <v>0.28612074457754222</v>
      </c>
      <c r="AB2130" t="str">
        <f>HYPERLINK("Melting_Curves/meltCurve_P29350_PTPN6.pdf", "Melting_Curves/meltCurve_P29350_PTPN6.pdf")</f>
        <v>Melting_Curves/meltCurve_P29350_PTPN6.pdf</v>
      </c>
    </row>
    <row r="2131" spans="1:28" x14ac:dyDescent="0.25">
      <c r="A2131" t="s">
        <v>2135</v>
      </c>
      <c r="B2131">
        <v>0.99930955844802105</v>
      </c>
      <c r="C2131">
        <v>1.16905428147751</v>
      </c>
      <c r="D2131">
        <v>1.12999200670199</v>
      </c>
      <c r="E2131">
        <v>1.06709733114085</v>
      </c>
      <c r="F2131">
        <v>1.0108159334070099</v>
      </c>
      <c r="G2131">
        <v>0.91440335116402205</v>
      </c>
      <c r="H2131">
        <v>0.86379350727557702</v>
      </c>
      <c r="I2131">
        <v>0.96841755436174304</v>
      </c>
      <c r="J2131">
        <v>0.93826871168498305</v>
      </c>
      <c r="K2131">
        <v>0.76675708871239101</v>
      </c>
      <c r="L2131">
        <v>761.31832857607799</v>
      </c>
      <c r="M2131">
        <v>9.4471547908201092</v>
      </c>
      <c r="Q2131">
        <v>0</v>
      </c>
      <c r="R2131">
        <v>0.45654782432302699</v>
      </c>
      <c r="S2131" t="s">
        <v>8748</v>
      </c>
      <c r="T2131" t="s">
        <v>13232</v>
      </c>
      <c r="U2131" t="s">
        <v>13232</v>
      </c>
      <c r="V2131" t="s">
        <v>13232</v>
      </c>
      <c r="W2131" t="s">
        <v>15312</v>
      </c>
      <c r="X2131">
        <v>21</v>
      </c>
      <c r="Y2131" t="s">
        <v>21808</v>
      </c>
      <c r="Z2131" t="s">
        <v>28262</v>
      </c>
      <c r="AA2131">
        <v>0.96098819964231419</v>
      </c>
      <c r="AB2131" t="str">
        <f>HYPERLINK("Melting_Curves/meltCurve_P29353_2_SHC1.pdf", "Melting_Curves/meltCurve_P29353_2_SHC1.pdf")</f>
        <v>Melting_Curves/meltCurve_P29353_2_SHC1.pdf</v>
      </c>
    </row>
    <row r="2132" spans="1:28" x14ac:dyDescent="0.25">
      <c r="A2132" t="s">
        <v>2136</v>
      </c>
      <c r="B2132">
        <v>0.99930955844802105</v>
      </c>
      <c r="C2132">
        <v>1.08919653138645</v>
      </c>
      <c r="D2132">
        <v>1.0875132993010701</v>
      </c>
      <c r="E2132">
        <v>1.02575719399045</v>
      </c>
      <c r="F2132">
        <v>0.89577192321449794</v>
      </c>
      <c r="G2132">
        <v>0.73095643599619697</v>
      </c>
      <c r="H2132">
        <v>0.58498638483083698</v>
      </c>
      <c r="I2132">
        <v>0.531059813874873</v>
      </c>
      <c r="J2132">
        <v>0.51008054607106801</v>
      </c>
      <c r="K2132">
        <v>0.40732804135561301</v>
      </c>
      <c r="L2132">
        <v>1133.21162966983</v>
      </c>
      <c r="M2132">
        <v>19.675091571880799</v>
      </c>
      <c r="N2132">
        <v>64.600789345859198</v>
      </c>
      <c r="O2132">
        <v>57.011166090955697</v>
      </c>
      <c r="P2132">
        <v>-4.8249796580786798E-2</v>
      </c>
      <c r="Q2132">
        <v>0.44077889984917601</v>
      </c>
      <c r="R2132">
        <v>0.96140546892263001</v>
      </c>
      <c r="S2132" t="s">
        <v>8749</v>
      </c>
      <c r="T2132" t="s">
        <v>13232</v>
      </c>
      <c r="U2132" t="s">
        <v>13232</v>
      </c>
      <c r="V2132" t="s">
        <v>13232</v>
      </c>
      <c r="W2132" t="s">
        <v>15313</v>
      </c>
      <c r="X2132">
        <v>21</v>
      </c>
      <c r="Y2132" t="s">
        <v>21808</v>
      </c>
      <c r="Z2132" t="s">
        <v>28263</v>
      </c>
      <c r="AA2132">
        <v>0.77546078187758671</v>
      </c>
      <c r="AB2132" t="str">
        <f>HYPERLINK("Melting_Curves/meltCurve_P29353_7_SHC1.pdf", "Melting_Curves/meltCurve_P29353_7_SHC1.pdf")</f>
        <v>Melting_Curves/meltCurve_P29353_7_SHC1.pdf</v>
      </c>
    </row>
    <row r="2133" spans="1:28" x14ac:dyDescent="0.25">
      <c r="A2133" t="s">
        <v>2137</v>
      </c>
      <c r="B2133">
        <v>0.99930955844802105</v>
      </c>
      <c r="C2133">
        <v>0.89317530581224103</v>
      </c>
      <c r="D2133">
        <v>0.85533458816448005</v>
      </c>
      <c r="E2133">
        <v>0.63654390622173895</v>
      </c>
      <c r="F2133">
        <v>0.37297703941976301</v>
      </c>
      <c r="G2133">
        <v>0.27435574457824102</v>
      </c>
      <c r="H2133">
        <v>0.21919201966350299</v>
      </c>
      <c r="I2133">
        <v>0.214758156597251</v>
      </c>
      <c r="J2133">
        <v>0.196737065207191</v>
      </c>
      <c r="K2133">
        <v>0.159249527263815</v>
      </c>
      <c r="L2133">
        <v>819.09600470510202</v>
      </c>
      <c r="M2133">
        <v>16.328705038012899</v>
      </c>
      <c r="N2133">
        <v>51.493428740088603</v>
      </c>
      <c r="O2133">
        <v>49.428683184572897</v>
      </c>
      <c r="P2133">
        <v>-6.8379054908189504E-2</v>
      </c>
      <c r="Q2133">
        <v>0.172097994467967</v>
      </c>
      <c r="R2133">
        <v>0.99194283437517405</v>
      </c>
      <c r="S2133" t="s">
        <v>8750</v>
      </c>
      <c r="T2133" t="s">
        <v>13232</v>
      </c>
      <c r="U2133" t="s">
        <v>13232</v>
      </c>
      <c r="V2133" t="s">
        <v>13232</v>
      </c>
      <c r="W2133" t="s">
        <v>15314</v>
      </c>
      <c r="X2133">
        <v>11</v>
      </c>
      <c r="Y2133" t="s">
        <v>21809</v>
      </c>
      <c r="Z2133" t="s">
        <v>28264</v>
      </c>
      <c r="AA2133">
        <v>0.46943851218284072</v>
      </c>
      <c r="AB2133" t="str">
        <f>HYPERLINK("Melting_Curves/meltCurve_P29372_5_MPG.pdf", "Melting_Curves/meltCurve_P29372_5_MPG.pdf")</f>
        <v>Melting_Curves/meltCurve_P29372_5_MPG.pdf</v>
      </c>
    </row>
    <row r="2134" spans="1:28" x14ac:dyDescent="0.25">
      <c r="A2134" t="s">
        <v>2138</v>
      </c>
      <c r="B2134">
        <v>0.99930955844802105</v>
      </c>
      <c r="C2134">
        <v>0.96047413054798703</v>
      </c>
      <c r="D2134">
        <v>0.87714567194771897</v>
      </c>
      <c r="E2134">
        <v>0.81295716708723498</v>
      </c>
      <c r="F2134">
        <v>0.67520829854244102</v>
      </c>
      <c r="G2134">
        <v>0.56328312502644196</v>
      </c>
      <c r="H2134">
        <v>0.551290075107989</v>
      </c>
      <c r="I2134">
        <v>0.59344149726149598</v>
      </c>
      <c r="J2134">
        <v>0.57703936375529696</v>
      </c>
      <c r="K2134">
        <v>0.48818565179732498</v>
      </c>
      <c r="L2134">
        <v>731.47374442701505</v>
      </c>
      <c r="M2134">
        <v>14.530368819007</v>
      </c>
      <c r="O2134">
        <v>49.416347853609203</v>
      </c>
      <c r="P2134">
        <v>-3.4737719050177002E-2</v>
      </c>
      <c r="Q2134">
        <v>0.52749581587510896</v>
      </c>
      <c r="R2134">
        <v>0.96968858098792399</v>
      </c>
      <c r="S2134" t="s">
        <v>8751</v>
      </c>
      <c r="T2134" t="s">
        <v>13232</v>
      </c>
      <c r="U2134" t="s">
        <v>13232</v>
      </c>
      <c r="V2134" t="s">
        <v>13232</v>
      </c>
      <c r="W2134" t="s">
        <v>15315</v>
      </c>
      <c r="X2134">
        <v>11</v>
      </c>
      <c r="Y2134" t="s">
        <v>21810</v>
      </c>
      <c r="Z2134" t="s">
        <v>28265</v>
      </c>
      <c r="AA2134">
        <v>0.70214026484567804</v>
      </c>
      <c r="AB2134" t="str">
        <f>HYPERLINK("Melting_Curves/meltCurve_P29374_3_ARID4A.pdf", "Melting_Curves/meltCurve_P29374_3_ARID4A.pdf")</f>
        <v>Melting_Curves/meltCurve_P29374_3_ARID4A.pdf</v>
      </c>
    </row>
    <row r="2135" spans="1:28" x14ac:dyDescent="0.25">
      <c r="A2135" t="s">
        <v>2139</v>
      </c>
      <c r="B2135">
        <v>0.99930955844802105</v>
      </c>
      <c r="C2135">
        <v>1.18035591264733</v>
      </c>
      <c r="D2135">
        <v>1.23750671037803</v>
      </c>
      <c r="E2135">
        <v>1.07465233410475</v>
      </c>
      <c r="F2135">
        <v>0.78719271071484898</v>
      </c>
      <c r="G2135">
        <v>0.55312519750266698</v>
      </c>
      <c r="H2135">
        <v>0.44989159001757301</v>
      </c>
      <c r="I2135">
        <v>0.461415575124143</v>
      </c>
      <c r="J2135">
        <v>0.477191503351305</v>
      </c>
      <c r="K2135">
        <v>0.384443631770991</v>
      </c>
      <c r="L2135">
        <v>2067.2604312488402</v>
      </c>
      <c r="M2135">
        <v>38.228684749044803</v>
      </c>
      <c r="N2135">
        <v>57.4580186494548</v>
      </c>
      <c r="O2135">
        <v>53.928838982699403</v>
      </c>
      <c r="P2135">
        <v>-9.7948127496756104E-2</v>
      </c>
      <c r="Q2135">
        <v>0.447303609462464</v>
      </c>
      <c r="R2135">
        <v>0.89433123855666596</v>
      </c>
      <c r="S2135" t="s">
        <v>8752</v>
      </c>
      <c r="T2135" t="s">
        <v>13232</v>
      </c>
      <c r="U2135" t="s">
        <v>13232</v>
      </c>
      <c r="V2135" t="s">
        <v>13232</v>
      </c>
      <c r="W2135" t="s">
        <v>15316</v>
      </c>
      <c r="X2135">
        <v>6</v>
      </c>
      <c r="Y2135" t="s">
        <v>21811</v>
      </c>
      <c r="Z2135" t="s">
        <v>28266</v>
      </c>
      <c r="AA2135">
        <v>0.7088882249227072</v>
      </c>
      <c r="AB2135" t="str">
        <f>HYPERLINK("Melting_Curves/meltCurve_P29375_KDM5A.pdf", "Melting_Curves/meltCurve_P29375_KDM5A.pdf")</f>
        <v>Melting_Curves/meltCurve_P29375_KDM5A.pdf</v>
      </c>
    </row>
    <row r="2136" spans="1:28" x14ac:dyDescent="0.25">
      <c r="A2136" t="s">
        <v>2140</v>
      </c>
      <c r="B2136">
        <v>0.99930955844802105</v>
      </c>
      <c r="C2136">
        <v>0.96861587369832203</v>
      </c>
      <c r="D2136">
        <v>0.97914600028328802</v>
      </c>
      <c r="E2136">
        <v>0.90616713627758105</v>
      </c>
      <c r="F2136">
        <v>0.96304343631176204</v>
      </c>
      <c r="G2136">
        <v>0.86013064693594099</v>
      </c>
      <c r="H2136">
        <v>0.63609805169011902</v>
      </c>
      <c r="I2136">
        <v>0.66657619189523298</v>
      </c>
      <c r="J2136">
        <v>0.54145842525858201</v>
      </c>
      <c r="K2136">
        <v>0.179075051483194</v>
      </c>
      <c r="L2136">
        <v>821.82290088800301</v>
      </c>
      <c r="M2136">
        <v>12.5267876106393</v>
      </c>
      <c r="N2136">
        <v>65.605227313984898</v>
      </c>
      <c r="O2136">
        <v>64.000688020359902</v>
      </c>
      <c r="P2136">
        <v>-4.8942242143882903E-2</v>
      </c>
      <c r="Q2136">
        <v>0</v>
      </c>
      <c r="R2136">
        <v>0.91896908387738496</v>
      </c>
      <c r="S2136" t="s">
        <v>8753</v>
      </c>
      <c r="T2136" t="s">
        <v>13232</v>
      </c>
      <c r="U2136" t="s">
        <v>13232</v>
      </c>
      <c r="V2136" t="s">
        <v>13232</v>
      </c>
      <c r="W2136" t="s">
        <v>15317</v>
      </c>
      <c r="X2136">
        <v>39</v>
      </c>
      <c r="Y2136" t="s">
        <v>21812</v>
      </c>
      <c r="Z2136" t="s">
        <v>28267</v>
      </c>
      <c r="AA2136">
        <v>0.80978545795531776</v>
      </c>
      <c r="AB2136" t="str">
        <f>HYPERLINK("Melting_Curves/meltCurve_P29401_TKT.pdf", "Melting_Curves/meltCurve_P29401_TKT.pdf")</f>
        <v>Melting_Curves/meltCurve_P29401_TKT.pdf</v>
      </c>
    </row>
    <row r="2137" spans="1:28" x14ac:dyDescent="0.25">
      <c r="A2137" t="s">
        <v>2141</v>
      </c>
      <c r="B2137">
        <v>0.99930955844802105</v>
      </c>
      <c r="C2137">
        <v>0.89331117057590803</v>
      </c>
      <c r="D2137">
        <v>0.78220488560735102</v>
      </c>
      <c r="E2137">
        <v>0.623003015621581</v>
      </c>
      <c r="F2137">
        <v>0.421622527533494</v>
      </c>
      <c r="G2137">
        <v>0.276639651687974</v>
      </c>
      <c r="H2137">
        <v>0.21750709152242301</v>
      </c>
      <c r="I2137">
        <v>0.231050378405322</v>
      </c>
      <c r="J2137">
        <v>0.27686425206683901</v>
      </c>
      <c r="K2137">
        <v>0.19090382244906201</v>
      </c>
      <c r="L2137">
        <v>705.69829697403497</v>
      </c>
      <c r="M2137">
        <v>14.216534127953</v>
      </c>
      <c r="N2137">
        <v>51.444649691563697</v>
      </c>
      <c r="O2137">
        <v>48.688064242415997</v>
      </c>
      <c r="P2137">
        <v>-5.8668285279639902E-2</v>
      </c>
      <c r="Q2137">
        <v>0.196403478860709</v>
      </c>
      <c r="R2137">
        <v>0.98830911464291904</v>
      </c>
      <c r="S2137" t="s">
        <v>8754</v>
      </c>
      <c r="T2137" t="s">
        <v>13232</v>
      </c>
      <c r="U2137" t="s">
        <v>13232</v>
      </c>
      <c r="V2137" t="s">
        <v>13232</v>
      </c>
      <c r="W2137" t="s">
        <v>15318</v>
      </c>
      <c r="X2137">
        <v>23</v>
      </c>
      <c r="Y2137" t="s">
        <v>21813</v>
      </c>
      <c r="Z2137" t="s">
        <v>28268</v>
      </c>
      <c r="AA2137">
        <v>0.47595143436229698</v>
      </c>
      <c r="AB2137" t="str">
        <f>HYPERLINK("Melting_Curves/meltCurve_P29590_PML.pdf", "Melting_Curves/meltCurve_P29590_PML.pdf")</f>
        <v>Melting_Curves/meltCurve_P29590_PML.pdf</v>
      </c>
    </row>
    <row r="2138" spans="1:28" x14ac:dyDescent="0.25">
      <c r="A2138" t="s">
        <v>2142</v>
      </c>
      <c r="B2138">
        <v>0.99930955844802105</v>
      </c>
      <c r="C2138">
        <v>1.16224445279501</v>
      </c>
      <c r="D2138">
        <v>1.26144562439541</v>
      </c>
      <c r="E2138">
        <v>1.06805183938557</v>
      </c>
      <c r="F2138">
        <v>0.96747403471083504</v>
      </c>
      <c r="G2138">
        <v>0.79994073735975801</v>
      </c>
      <c r="H2138">
        <v>0.78790224254234298</v>
      </c>
      <c r="I2138">
        <v>0.78681498960359597</v>
      </c>
      <c r="J2138">
        <v>0.87916943656965296</v>
      </c>
      <c r="K2138">
        <v>0.66977771624150995</v>
      </c>
      <c r="L2138">
        <v>3349.5119483971598</v>
      </c>
      <c r="M2138">
        <v>61.311211522351499</v>
      </c>
      <c r="O2138">
        <v>54.573282495497502</v>
      </c>
      <c r="P2138">
        <v>-6.1404125950239703E-2</v>
      </c>
      <c r="Q2138">
        <v>0.78137613921452598</v>
      </c>
      <c r="R2138">
        <v>0.61580807839239504</v>
      </c>
      <c r="S2138" t="s">
        <v>8755</v>
      </c>
      <c r="T2138" t="s">
        <v>13232</v>
      </c>
      <c r="U2138" t="s">
        <v>13232</v>
      </c>
      <c r="V2138" t="s">
        <v>13232</v>
      </c>
      <c r="W2138" t="s">
        <v>15319</v>
      </c>
      <c r="X2138">
        <v>22</v>
      </c>
      <c r="Y2138" t="s">
        <v>21813</v>
      </c>
      <c r="Z2138" t="s">
        <v>28269</v>
      </c>
      <c r="AA2138">
        <v>0.88835097905027516</v>
      </c>
      <c r="AB2138" t="str">
        <f>HYPERLINK("Melting_Curves/meltCurve_P29590_8_PML.pdf", "Melting_Curves/meltCurve_P29590_8_PML.pdf")</f>
        <v>Melting_Curves/meltCurve_P29590_8_PML.pdf</v>
      </c>
    </row>
    <row r="2139" spans="1:28" x14ac:dyDescent="0.25">
      <c r="A2139" t="s">
        <v>2143</v>
      </c>
      <c r="B2139">
        <v>0.99930955844802105</v>
      </c>
      <c r="C2139">
        <v>1.1000712952887</v>
      </c>
      <c r="D2139">
        <v>1.21637434848031</v>
      </c>
      <c r="E2139">
        <v>1.0440046970366801</v>
      </c>
      <c r="F2139">
        <v>0.61226123331029103</v>
      </c>
      <c r="G2139">
        <v>0.60611684577364999</v>
      </c>
      <c r="H2139">
        <v>0.516679030817075</v>
      </c>
      <c r="I2139">
        <v>0.51357696885176596</v>
      </c>
      <c r="J2139">
        <v>0.55569523423693301</v>
      </c>
      <c r="K2139">
        <v>0.45036461550671603</v>
      </c>
      <c r="L2139">
        <v>13168.793782222299</v>
      </c>
      <c r="M2139">
        <v>250</v>
      </c>
      <c r="O2139">
        <v>52.671822526088803</v>
      </c>
      <c r="P2139">
        <v>-0.55949470531539303</v>
      </c>
      <c r="Q2139">
        <v>0.52848646995887805</v>
      </c>
      <c r="R2139">
        <v>0.90586723751419396</v>
      </c>
      <c r="S2139" t="s">
        <v>8756</v>
      </c>
      <c r="T2139" t="s">
        <v>13232</v>
      </c>
      <c r="U2139" t="s">
        <v>13232</v>
      </c>
      <c r="V2139" t="s">
        <v>13232</v>
      </c>
      <c r="W2139" t="s">
        <v>15320</v>
      </c>
      <c r="X2139">
        <v>18</v>
      </c>
      <c r="Y2139" t="s">
        <v>21814</v>
      </c>
      <c r="Z2139" t="s">
        <v>28270</v>
      </c>
      <c r="AA2139">
        <v>0.72774727757244795</v>
      </c>
      <c r="AB2139" t="str">
        <f>HYPERLINK("Melting_Curves/meltCurve_P29692_EEF1D.pdf", "Melting_Curves/meltCurve_P29692_EEF1D.pdf")</f>
        <v>Melting_Curves/meltCurve_P29692_EEF1D.pdf</v>
      </c>
    </row>
    <row r="2140" spans="1:28" x14ac:dyDescent="0.25">
      <c r="A2140" t="s">
        <v>2144</v>
      </c>
      <c r="B2140">
        <v>0.99930955844802105</v>
      </c>
      <c r="C2140">
        <v>0.80299466789990603</v>
      </c>
      <c r="D2140">
        <v>0.890314342905135</v>
      </c>
      <c r="E2140">
        <v>0.85832260209882305</v>
      </c>
      <c r="F2140">
        <v>0.56274101000722598</v>
      </c>
      <c r="G2140">
        <v>0.47998728761257597</v>
      </c>
      <c r="H2140">
        <v>0.34615890925430398</v>
      </c>
      <c r="I2140">
        <v>0.30454826983486399</v>
      </c>
      <c r="J2140">
        <v>0.29057320253632801</v>
      </c>
      <c r="K2140">
        <v>0.23567208691458499</v>
      </c>
      <c r="L2140">
        <v>522.24476953333601</v>
      </c>
      <c r="M2140">
        <v>9.6008992850374497</v>
      </c>
      <c r="N2140">
        <v>56.421114621443401</v>
      </c>
      <c r="O2140">
        <v>52.192587466730203</v>
      </c>
      <c r="P2140">
        <v>-3.9305790491669698E-2</v>
      </c>
      <c r="Q2140">
        <v>0.14578585840953601</v>
      </c>
      <c r="R2140">
        <v>0.948805794816444</v>
      </c>
      <c r="S2140" t="s">
        <v>8757</v>
      </c>
      <c r="T2140" t="s">
        <v>13232</v>
      </c>
      <c r="U2140" t="s">
        <v>13232</v>
      </c>
      <c r="V2140" t="s">
        <v>13232</v>
      </c>
      <c r="W2140" t="s">
        <v>15321</v>
      </c>
      <c r="X2140">
        <v>20</v>
      </c>
      <c r="Y2140" t="s">
        <v>21814</v>
      </c>
      <c r="Z2140" t="s">
        <v>28271</v>
      </c>
      <c r="AA2140">
        <v>0.58060584365271695</v>
      </c>
      <c r="AB2140" t="str">
        <f>HYPERLINK("Melting_Curves/meltCurve_P29692_2_EEF1D.pdf", "Melting_Curves/meltCurve_P29692_2_EEF1D.pdf")</f>
        <v>Melting_Curves/meltCurve_P29692_2_EEF1D.pdf</v>
      </c>
    </row>
    <row r="2141" spans="1:28" x14ac:dyDescent="0.25">
      <c r="A2141" t="s">
        <v>2145</v>
      </c>
      <c r="B2141">
        <v>0.99930955844802105</v>
      </c>
      <c r="C2141">
        <v>1.05392399578884</v>
      </c>
      <c r="D2141">
        <v>1.00864708491886</v>
      </c>
      <c r="E2141">
        <v>1.14193642954089</v>
      </c>
      <c r="F2141">
        <v>0.87384852322644502</v>
      </c>
      <c r="G2141">
        <v>0.86943660014012403</v>
      </c>
      <c r="H2141">
        <v>0.88102146108625101</v>
      </c>
      <c r="I2141">
        <v>0.95505165012312598</v>
      </c>
      <c r="J2141">
        <v>0.91506749470648496</v>
      </c>
      <c r="K2141">
        <v>0.68269802995240103</v>
      </c>
      <c r="L2141">
        <v>672.83676030314098</v>
      </c>
      <c r="M2141">
        <v>8.4870005279033407</v>
      </c>
      <c r="Q2141">
        <v>0</v>
      </c>
      <c r="R2141">
        <v>0.52572907019854298</v>
      </c>
      <c r="S2141" t="s">
        <v>8758</v>
      </c>
      <c r="T2141" t="s">
        <v>13232</v>
      </c>
      <c r="U2141" t="s">
        <v>13232</v>
      </c>
      <c r="V2141" t="s">
        <v>13232</v>
      </c>
      <c r="W2141" t="s">
        <v>15322</v>
      </c>
      <c r="X2141">
        <v>17</v>
      </c>
      <c r="Y2141" t="s">
        <v>21814</v>
      </c>
      <c r="Z2141" t="s">
        <v>28272</v>
      </c>
      <c r="AA2141">
        <v>0.94346647595153299</v>
      </c>
      <c r="AB2141" t="str">
        <f>HYPERLINK("Melting_Curves/meltCurve_P29692_3_EEF1D.pdf", "Melting_Curves/meltCurve_P29692_3_EEF1D.pdf")</f>
        <v>Melting_Curves/meltCurve_P29692_3_EEF1D.pdf</v>
      </c>
    </row>
    <row r="2142" spans="1:28" x14ac:dyDescent="0.25">
      <c r="A2142" t="s">
        <v>2146</v>
      </c>
      <c r="B2142">
        <v>0.99930955844802105</v>
      </c>
      <c r="C2142">
        <v>1.26229533673344</v>
      </c>
      <c r="D2142">
        <v>1.1526654884388801</v>
      </c>
      <c r="E2142">
        <v>1.47978104287115</v>
      </c>
      <c r="F2142">
        <v>1.3645247355146799</v>
      </c>
      <c r="G2142">
        <v>1.3839699603286999</v>
      </c>
      <c r="H2142">
        <v>1.7001566793324301</v>
      </c>
      <c r="I2142">
        <v>2.0163549271438201</v>
      </c>
      <c r="J2142">
        <v>3.1468865743580898</v>
      </c>
      <c r="K2142">
        <v>1.9843426218662501</v>
      </c>
      <c r="L2142">
        <v>875.35004421235703</v>
      </c>
      <c r="M2142">
        <v>19.233407239095101</v>
      </c>
      <c r="O2142">
        <v>45.028525810111098</v>
      </c>
      <c r="P2142">
        <v>5.3394313965978102E-2</v>
      </c>
      <c r="Q2142">
        <v>1.5</v>
      </c>
      <c r="R2142">
        <v>4.8208437675843797E-2</v>
      </c>
      <c r="S2142" t="s">
        <v>8759</v>
      </c>
      <c r="T2142" t="s">
        <v>13232</v>
      </c>
      <c r="U2142" t="s">
        <v>13232</v>
      </c>
      <c r="V2142" t="s">
        <v>13232</v>
      </c>
      <c r="W2142" t="s">
        <v>15323</v>
      </c>
      <c r="X2142">
        <v>8</v>
      </c>
      <c r="Y2142" t="s">
        <v>21815</v>
      </c>
      <c r="Z2142" t="s">
        <v>28273</v>
      </c>
      <c r="AA2142">
        <v>1.39933810590984</v>
      </c>
      <c r="AB2142" t="str">
        <f>HYPERLINK("Melting_Curves/meltCurve_P29966_MARCKS.pdf", "Melting_Curves/meltCurve_P29966_MARCKS.pdf")</f>
        <v>Melting_Curves/meltCurve_P29966_MARCKS.pdf</v>
      </c>
    </row>
    <row r="2143" spans="1:28" x14ac:dyDescent="0.25">
      <c r="A2143" t="s">
        <v>2147</v>
      </c>
      <c r="B2143">
        <v>0.99930955844802105</v>
      </c>
      <c r="C2143">
        <v>0.73306315808994704</v>
      </c>
      <c r="D2143">
        <v>0.27914891186659502</v>
      </c>
      <c r="E2143">
        <v>0.245312700435079</v>
      </c>
      <c r="F2143">
        <v>0.14829465090082899</v>
      </c>
      <c r="G2143">
        <v>0.11135671757226499</v>
      </c>
      <c r="H2143">
        <v>6.4207364025737901E-2</v>
      </c>
      <c r="I2143">
        <v>5.3244741801134303E-2</v>
      </c>
      <c r="J2143">
        <v>5.4702189375698401E-2</v>
      </c>
      <c r="K2143">
        <v>3.8639972358435901E-2</v>
      </c>
      <c r="L2143">
        <v>1216.8184143057499</v>
      </c>
      <c r="M2143">
        <v>27.515553725028301</v>
      </c>
      <c r="N2143">
        <v>44.545852119358599</v>
      </c>
      <c r="O2143">
        <v>43.991325692821</v>
      </c>
      <c r="P2143">
        <v>-0.142233031584199</v>
      </c>
      <c r="Q2143">
        <v>9.0410887853156097E-2</v>
      </c>
      <c r="R2143">
        <v>0.97229942113091306</v>
      </c>
      <c r="S2143" t="s">
        <v>8760</v>
      </c>
      <c r="T2143" t="s">
        <v>13232</v>
      </c>
      <c r="U2143" t="s">
        <v>13232</v>
      </c>
      <c r="V2143" t="s">
        <v>13232</v>
      </c>
      <c r="W2143" t="s">
        <v>15324</v>
      </c>
      <c r="X2143">
        <v>9</v>
      </c>
      <c r="Y2143" t="s">
        <v>21816</v>
      </c>
      <c r="Z2143" t="s">
        <v>28274</v>
      </c>
      <c r="AA2143">
        <v>0.22637655456979791</v>
      </c>
      <c r="AB2143" t="str">
        <f>HYPERLINK("Melting_Curves/meltCurve_P30038_ALDH4A1.pdf", "Melting_Curves/meltCurve_P30038_ALDH4A1.pdf")</f>
        <v>Melting_Curves/meltCurve_P30038_ALDH4A1.pdf</v>
      </c>
    </row>
    <row r="2144" spans="1:28" x14ac:dyDescent="0.25">
      <c r="A2144" t="s">
        <v>2148</v>
      </c>
      <c r="B2144">
        <v>0.99930955844802105</v>
      </c>
      <c r="C2144">
        <v>0.97057309532602698</v>
      </c>
      <c r="D2144">
        <v>0.941356099199811</v>
      </c>
      <c r="E2144">
        <v>0.87672328910436204</v>
      </c>
      <c r="F2144">
        <v>0.49492908564841898</v>
      </c>
      <c r="G2144">
        <v>0.29139207953075003</v>
      </c>
      <c r="H2144">
        <v>0.19333881794605901</v>
      </c>
      <c r="I2144">
        <v>0.174684397615438</v>
      </c>
      <c r="J2144">
        <v>0.15851923050721101</v>
      </c>
      <c r="K2144">
        <v>0.123828219505092</v>
      </c>
      <c r="L2144">
        <v>1390.8061431988699</v>
      </c>
      <c r="M2144">
        <v>26.440079672302002</v>
      </c>
      <c r="N2144">
        <v>53.3715458482298</v>
      </c>
      <c r="O2144">
        <v>52.304063462693598</v>
      </c>
      <c r="P2144">
        <v>-0.106352641152959</v>
      </c>
      <c r="Q2144">
        <v>0.158457297113972</v>
      </c>
      <c r="R2144">
        <v>0.99295969026590902</v>
      </c>
      <c r="S2144" t="s">
        <v>8761</v>
      </c>
      <c r="T2144" t="s">
        <v>13232</v>
      </c>
      <c r="U2144" t="s">
        <v>13232</v>
      </c>
      <c r="V2144" t="s">
        <v>13232</v>
      </c>
      <c r="W2144" t="s">
        <v>15325</v>
      </c>
      <c r="X2144">
        <v>13</v>
      </c>
      <c r="Y2144" t="s">
        <v>21817</v>
      </c>
      <c r="Z2144" t="s">
        <v>28275</v>
      </c>
      <c r="AA2144">
        <v>0.51890722426365832</v>
      </c>
      <c r="AB2144" t="str">
        <f>HYPERLINK("Melting_Curves/meltCurve_P30040_ERP29.pdf", "Melting_Curves/meltCurve_P30040_ERP29.pdf")</f>
        <v>Melting_Curves/meltCurve_P30040_ERP29.pdf</v>
      </c>
    </row>
    <row r="2145" spans="1:28" x14ac:dyDescent="0.25">
      <c r="A2145" t="s">
        <v>2149</v>
      </c>
      <c r="B2145">
        <v>0.99930955844802105</v>
      </c>
      <c r="C2145">
        <v>1.08635119323481</v>
      </c>
      <c r="D2145">
        <v>1.12486558272675</v>
      </c>
      <c r="E2145">
        <v>1.03134783838849</v>
      </c>
      <c r="F2145">
        <v>0.91370861729216102</v>
      </c>
      <c r="G2145">
        <v>0.265466400778477</v>
      </c>
      <c r="H2145">
        <v>0.10041902150222499</v>
      </c>
      <c r="I2145">
        <v>6.6376782228965397E-2</v>
      </c>
      <c r="J2145">
        <v>5.2563911630249101E-2</v>
      </c>
      <c r="K2145">
        <v>4.22141499815189E-2</v>
      </c>
      <c r="L2145">
        <v>2688.0735394425301</v>
      </c>
      <c r="M2145">
        <v>48.422393585132902</v>
      </c>
      <c r="N2145">
        <v>55.663564950911102</v>
      </c>
      <c r="O2145">
        <v>55.418611644154801</v>
      </c>
      <c r="P2145">
        <v>-0.20503347415387099</v>
      </c>
      <c r="Q2145">
        <v>6.1371870679762297E-2</v>
      </c>
      <c r="R2145">
        <v>0.98840147181488802</v>
      </c>
      <c r="S2145" t="s">
        <v>8762</v>
      </c>
      <c r="T2145" t="s">
        <v>13232</v>
      </c>
      <c r="U2145" t="s">
        <v>13232</v>
      </c>
      <c r="V2145" t="s">
        <v>13232</v>
      </c>
      <c r="W2145" t="s">
        <v>15326</v>
      </c>
      <c r="X2145">
        <v>27</v>
      </c>
      <c r="Y2145" t="s">
        <v>21818</v>
      </c>
      <c r="Z2145" t="s">
        <v>28276</v>
      </c>
      <c r="AA2145">
        <v>0.54918612053473248</v>
      </c>
      <c r="AB2145" t="str">
        <f>HYPERLINK("Melting_Curves/meltCurve_P30041_PRDX6.pdf", "Melting_Curves/meltCurve_P30041_PRDX6.pdf")</f>
        <v>Melting_Curves/meltCurve_P30041_PRDX6.pdf</v>
      </c>
    </row>
    <row r="2146" spans="1:28" x14ac:dyDescent="0.25">
      <c r="A2146" t="s">
        <v>2150</v>
      </c>
      <c r="B2146">
        <v>0.99930955844802105</v>
      </c>
      <c r="C2146">
        <v>0.93585731859801302</v>
      </c>
      <c r="D2146">
        <v>0.94055020074457596</v>
      </c>
      <c r="E2146">
        <v>0.82152773437306903</v>
      </c>
      <c r="F2146">
        <v>0.68149361435596001</v>
      </c>
      <c r="G2146">
        <v>0.56306069019743799</v>
      </c>
      <c r="H2146">
        <v>0.42878344520799799</v>
      </c>
      <c r="I2146">
        <v>0.54841429425971</v>
      </c>
      <c r="J2146">
        <v>0.35223672824573998</v>
      </c>
      <c r="K2146">
        <v>0.25946594309203003</v>
      </c>
      <c r="L2146">
        <v>473.99934740327802</v>
      </c>
      <c r="M2146">
        <v>8.2799763854155497</v>
      </c>
      <c r="N2146">
        <v>60.139208402918896</v>
      </c>
      <c r="O2146">
        <v>54.198712941824702</v>
      </c>
      <c r="P2146">
        <v>-3.1950852588258201E-2</v>
      </c>
      <c r="Q2146">
        <v>0.16426096328092499</v>
      </c>
      <c r="R2146">
        <v>0.95383235426415902</v>
      </c>
      <c r="S2146" t="s">
        <v>8763</v>
      </c>
      <c r="T2146" t="s">
        <v>13232</v>
      </c>
      <c r="U2146" t="s">
        <v>13232</v>
      </c>
      <c r="V2146" t="s">
        <v>13232</v>
      </c>
      <c r="W2146" t="s">
        <v>15327</v>
      </c>
      <c r="X2146">
        <v>14</v>
      </c>
      <c r="Y2146" t="s">
        <v>21819</v>
      </c>
      <c r="Z2146" t="s">
        <v>28277</v>
      </c>
      <c r="AA2146">
        <v>0.65377055127144224</v>
      </c>
      <c r="AB2146" t="str">
        <f>HYPERLINK("Melting_Curves/meltCurve_P30042_C21orf33.pdf", "Melting_Curves/meltCurve_P30042_C21orf33.pdf")</f>
        <v>Melting_Curves/meltCurve_P30042_C21orf33.pdf</v>
      </c>
    </row>
    <row r="2147" spans="1:28" x14ac:dyDescent="0.25">
      <c r="A2147" t="s">
        <v>2151</v>
      </c>
      <c r="B2147">
        <v>0.99930955844802105</v>
      </c>
      <c r="C2147">
        <v>1.1108259772865401</v>
      </c>
      <c r="D2147">
        <v>1.1164208672590299</v>
      </c>
      <c r="E2147">
        <v>0.734802539625933</v>
      </c>
      <c r="F2147">
        <v>0.28352131281095899</v>
      </c>
      <c r="G2147">
        <v>0.210555892525251</v>
      </c>
      <c r="H2147">
        <v>0.14628413447135699</v>
      </c>
      <c r="I2147">
        <v>0.140790443514235</v>
      </c>
      <c r="J2147">
        <v>0.13092929566997</v>
      </c>
      <c r="K2147">
        <v>0.101776365584267</v>
      </c>
      <c r="L2147">
        <v>2234.6718694154101</v>
      </c>
      <c r="M2147">
        <v>43.836182238653301</v>
      </c>
      <c r="N2147">
        <v>51.377232944065902</v>
      </c>
      <c r="O2147">
        <v>50.872065498472999</v>
      </c>
      <c r="P2147">
        <v>-0.184315854171306</v>
      </c>
      <c r="Q2147">
        <v>0.144404402073397</v>
      </c>
      <c r="R2147">
        <v>0.98091660975256501</v>
      </c>
      <c r="S2147" t="s">
        <v>8764</v>
      </c>
      <c r="T2147" t="s">
        <v>13232</v>
      </c>
      <c r="U2147" t="s">
        <v>13232</v>
      </c>
      <c r="V2147" t="s">
        <v>13232</v>
      </c>
      <c r="W2147" t="s">
        <v>15328</v>
      </c>
      <c r="X2147">
        <v>10</v>
      </c>
      <c r="Y2147" t="s">
        <v>21820</v>
      </c>
      <c r="Z2147" t="s">
        <v>28278</v>
      </c>
      <c r="AA2147">
        <v>0.45999643822679659</v>
      </c>
      <c r="AB2147" t="str">
        <f>HYPERLINK("Melting_Curves/meltCurve_P30043_BLVRB.pdf", "Melting_Curves/meltCurve_P30043_BLVRB.pdf")</f>
        <v>Melting_Curves/meltCurve_P30043_BLVRB.pdf</v>
      </c>
    </row>
    <row r="2148" spans="1:28" x14ac:dyDescent="0.25">
      <c r="A2148" t="s">
        <v>2152</v>
      </c>
      <c r="B2148">
        <v>0.99930955844802105</v>
      </c>
      <c r="C2148">
        <v>1.0829876633420601</v>
      </c>
      <c r="D2148">
        <v>1.1298033901041999</v>
      </c>
      <c r="E2148">
        <v>1.0995648587953399</v>
      </c>
      <c r="F2148">
        <v>0.98044200204603904</v>
      </c>
      <c r="G2148">
        <v>0.71048846426471002</v>
      </c>
      <c r="H2148">
        <v>0.29332702501618502</v>
      </c>
      <c r="I2148">
        <v>0.155480516318309</v>
      </c>
      <c r="J2148">
        <v>9.9157278980466806E-2</v>
      </c>
      <c r="K2148">
        <v>7.6542614917136695E-2</v>
      </c>
      <c r="L2148">
        <v>1806.87997029433</v>
      </c>
      <c r="M2148">
        <v>30.859878518753199</v>
      </c>
      <c r="N2148">
        <v>58.892542886536901</v>
      </c>
      <c r="O2148">
        <v>58.306885011897499</v>
      </c>
      <c r="P2148">
        <v>-0.121479132466534</v>
      </c>
      <c r="Q2148">
        <v>8.1911023537140706E-2</v>
      </c>
      <c r="R2148">
        <v>0.98097087812255102</v>
      </c>
      <c r="S2148" t="s">
        <v>8765</v>
      </c>
      <c r="T2148" t="s">
        <v>13232</v>
      </c>
      <c r="U2148" t="s">
        <v>13232</v>
      </c>
      <c r="V2148" t="s">
        <v>13232</v>
      </c>
      <c r="W2148" t="s">
        <v>15329</v>
      </c>
      <c r="X2148">
        <v>11</v>
      </c>
      <c r="Y2148" t="s">
        <v>21821</v>
      </c>
      <c r="Z2148" t="s">
        <v>28279</v>
      </c>
      <c r="AA2148">
        <v>0.65533414045937199</v>
      </c>
      <c r="AB2148" t="str">
        <f>HYPERLINK("Melting_Curves/meltCurve_P30044_2_PRDX5.pdf", "Melting_Curves/meltCurve_P30044_2_PRDX5.pdf")</f>
        <v>Melting_Curves/meltCurve_P30044_2_PRDX5.pdf</v>
      </c>
    </row>
    <row r="2149" spans="1:28" x14ac:dyDescent="0.25">
      <c r="A2149" t="s">
        <v>2153</v>
      </c>
      <c r="B2149">
        <v>0.99930955844802105</v>
      </c>
      <c r="C2149">
        <v>1.14094151172798</v>
      </c>
      <c r="D2149">
        <v>1.1448619628982999</v>
      </c>
      <c r="E2149">
        <v>1.0921124638378701</v>
      </c>
      <c r="F2149">
        <v>0.95749728010600599</v>
      </c>
      <c r="G2149">
        <v>0.78456723945621598</v>
      </c>
      <c r="H2149">
        <v>0.78113166713640103</v>
      </c>
      <c r="I2149">
        <v>0.66701730361109401</v>
      </c>
      <c r="J2149">
        <v>0.59737524242126006</v>
      </c>
      <c r="K2149">
        <v>0.313741116438778</v>
      </c>
      <c r="L2149">
        <v>810.90016537584495</v>
      </c>
      <c r="M2149">
        <v>12.048116172974799</v>
      </c>
      <c r="N2149">
        <v>67.305145466212494</v>
      </c>
      <c r="O2149">
        <v>65.5313721949789</v>
      </c>
      <c r="P2149">
        <v>-4.5974071349297901E-2</v>
      </c>
      <c r="Q2149">
        <v>0</v>
      </c>
      <c r="R2149">
        <v>0.879548159098962</v>
      </c>
      <c r="S2149" t="s">
        <v>8766</v>
      </c>
      <c r="T2149" t="s">
        <v>13232</v>
      </c>
      <c r="U2149" t="s">
        <v>13232</v>
      </c>
      <c r="V2149" t="s">
        <v>13232</v>
      </c>
      <c r="W2149" t="s">
        <v>15330</v>
      </c>
      <c r="X2149">
        <v>10</v>
      </c>
      <c r="Y2149" t="s">
        <v>21822</v>
      </c>
      <c r="Z2149" t="s">
        <v>28280</v>
      </c>
      <c r="AA2149">
        <v>0.84100811195891878</v>
      </c>
      <c r="AB2149" t="str">
        <f>HYPERLINK("Melting_Curves/meltCurve_P30046_DDT.pdf", "Melting_Curves/meltCurve_P30046_DDT.pdf")</f>
        <v>Melting_Curves/meltCurve_P30046_DDT.pdf</v>
      </c>
    </row>
    <row r="2150" spans="1:28" x14ac:dyDescent="0.25">
      <c r="A2150" t="s">
        <v>2154</v>
      </c>
      <c r="B2150">
        <v>0.99930955844802105</v>
      </c>
      <c r="C2150">
        <v>1.0189782098454101</v>
      </c>
      <c r="D2150">
        <v>1.0016253681875</v>
      </c>
      <c r="E2150">
        <v>0.95313411743151799</v>
      </c>
      <c r="F2150">
        <v>0.85770440816043503</v>
      </c>
      <c r="G2150">
        <v>0.72794835366771604</v>
      </c>
      <c r="H2150">
        <v>0.73502584163746298</v>
      </c>
      <c r="I2150">
        <v>0.74626911735386803</v>
      </c>
      <c r="J2150">
        <v>0.72347976338806597</v>
      </c>
      <c r="K2150">
        <v>0.57722790092445397</v>
      </c>
      <c r="L2150">
        <v>974.74155313600204</v>
      </c>
      <c r="M2150">
        <v>18.034747389880799</v>
      </c>
      <c r="O2150">
        <v>53.396593828317101</v>
      </c>
      <c r="P2150">
        <v>-2.7860114934611501E-2</v>
      </c>
      <c r="Q2150">
        <v>0.67006748302872299</v>
      </c>
      <c r="R2150">
        <v>0.91569116367211201</v>
      </c>
      <c r="S2150" t="s">
        <v>8767</v>
      </c>
      <c r="T2150" t="s">
        <v>13232</v>
      </c>
      <c r="U2150" t="s">
        <v>13232</v>
      </c>
      <c r="V2150" t="s">
        <v>13232</v>
      </c>
      <c r="W2150" t="s">
        <v>15331</v>
      </c>
      <c r="X2150">
        <v>3</v>
      </c>
      <c r="Y2150" t="s">
        <v>21823</v>
      </c>
      <c r="Z2150" t="s">
        <v>28281</v>
      </c>
      <c r="AA2150">
        <v>0.82982038054197171</v>
      </c>
      <c r="AB2150" t="str">
        <f>HYPERLINK("Melting_Curves/meltCurve_P30047_GCHFR.pdf", "Melting_Curves/meltCurve_P30047_GCHFR.pdf")</f>
        <v>Melting_Curves/meltCurve_P30047_GCHFR.pdf</v>
      </c>
    </row>
    <row r="2151" spans="1:28" x14ac:dyDescent="0.25">
      <c r="A2151" t="s">
        <v>2155</v>
      </c>
      <c r="B2151">
        <v>0.99930955844802105</v>
      </c>
      <c r="C2151">
        <v>0.91840349106867503</v>
      </c>
      <c r="D2151">
        <v>0.89309079908168099</v>
      </c>
      <c r="E2151">
        <v>0.76630800730163495</v>
      </c>
      <c r="F2151">
        <v>0.56556925009741099</v>
      </c>
      <c r="G2151">
        <v>0.40429206360515701</v>
      </c>
      <c r="H2151">
        <v>0.29147355271685199</v>
      </c>
      <c r="I2151">
        <v>0.32718715655603903</v>
      </c>
      <c r="J2151">
        <v>0.34175198016234798</v>
      </c>
      <c r="K2151">
        <v>0.290626138582053</v>
      </c>
      <c r="L2151">
        <v>831.75773568156399</v>
      </c>
      <c r="M2151">
        <v>16.118898261221599</v>
      </c>
      <c r="N2151">
        <v>54.455746758202203</v>
      </c>
      <c r="O2151">
        <v>50.826788751377102</v>
      </c>
      <c r="P2151">
        <v>-5.6676333906090101E-2</v>
      </c>
      <c r="Q2151">
        <v>0.28519777017972298</v>
      </c>
      <c r="R2151">
        <v>0.988204509001811</v>
      </c>
      <c r="S2151" t="s">
        <v>8768</v>
      </c>
      <c r="T2151" t="s">
        <v>13232</v>
      </c>
      <c r="U2151" t="s">
        <v>13232</v>
      </c>
      <c r="V2151" t="s">
        <v>13232</v>
      </c>
      <c r="W2151" t="s">
        <v>15332</v>
      </c>
      <c r="X2151">
        <v>3</v>
      </c>
      <c r="Y2151" t="s">
        <v>21824</v>
      </c>
      <c r="Z2151" t="s">
        <v>28282</v>
      </c>
      <c r="AA2151">
        <v>0.57604359865468124</v>
      </c>
      <c r="AB2151" t="str">
        <f>HYPERLINK("Melting_Curves/meltCurve_P30049_ATP5D.pdf", "Melting_Curves/meltCurve_P30049_ATP5D.pdf")</f>
        <v>Melting_Curves/meltCurve_P30049_ATP5D.pdf</v>
      </c>
    </row>
    <row r="2152" spans="1:28" x14ac:dyDescent="0.25">
      <c r="A2152" t="s">
        <v>2156</v>
      </c>
      <c r="B2152">
        <v>0.99930955844802105</v>
      </c>
      <c r="C2152">
        <v>0.93524581332303502</v>
      </c>
      <c r="D2152">
        <v>0.83310690291924205</v>
      </c>
      <c r="E2152">
        <v>0.62864143630771596</v>
      </c>
      <c r="F2152">
        <v>0.42947286330518802</v>
      </c>
      <c r="G2152">
        <v>0.25881577767805097</v>
      </c>
      <c r="H2152">
        <v>0.15618901597277199</v>
      </c>
      <c r="I2152">
        <v>0.181550720101259</v>
      </c>
      <c r="J2152">
        <v>0.11154200895432</v>
      </c>
      <c r="K2152">
        <v>7.8635626908278994E-2</v>
      </c>
      <c r="L2152">
        <v>701.92982301033601</v>
      </c>
      <c r="M2152">
        <v>13.6978217793921</v>
      </c>
      <c r="N2152">
        <v>51.894228927305299</v>
      </c>
      <c r="O2152">
        <v>50.188768067903403</v>
      </c>
      <c r="P2152">
        <v>-6.2859417540324397E-2</v>
      </c>
      <c r="Q2152">
        <v>7.8866372316231004E-2</v>
      </c>
      <c r="R2152">
        <v>0.99695362007980304</v>
      </c>
      <c r="S2152" t="s">
        <v>8769</v>
      </c>
      <c r="T2152" t="s">
        <v>13232</v>
      </c>
      <c r="U2152" t="s">
        <v>13232</v>
      </c>
      <c r="V2152" t="s">
        <v>13232</v>
      </c>
      <c r="W2152" t="s">
        <v>15333</v>
      </c>
      <c r="X2152">
        <v>6</v>
      </c>
      <c r="Y2152" t="s">
        <v>21825</v>
      </c>
      <c r="Z2152" t="s">
        <v>28283</v>
      </c>
      <c r="AA2152">
        <v>0.44848018914757348</v>
      </c>
      <c r="AB2152" t="str">
        <f>HYPERLINK("Melting_Curves/meltCurve_P30050_RPL12.pdf", "Melting_Curves/meltCurve_P30050_RPL12.pdf")</f>
        <v>Melting_Curves/meltCurve_P30050_RPL12.pdf</v>
      </c>
    </row>
    <row r="2153" spans="1:28" x14ac:dyDescent="0.25">
      <c r="A2153" t="s">
        <v>2157</v>
      </c>
      <c r="B2153">
        <v>0.99930955844802105</v>
      </c>
      <c r="C2153">
        <v>0.92626397787734105</v>
      </c>
      <c r="D2153">
        <v>0.95835358081701705</v>
      </c>
      <c r="E2153">
        <v>0.85862243602754296</v>
      </c>
      <c r="F2153">
        <v>0.202719359127909</v>
      </c>
      <c r="G2153">
        <v>0.11892529339921599</v>
      </c>
      <c r="H2153">
        <v>6.0141789548810103E-2</v>
      </c>
      <c r="I2153">
        <v>4.8287097666396599E-2</v>
      </c>
      <c r="J2153">
        <v>4.1606019357794503E-2</v>
      </c>
      <c r="K2153">
        <v>3.2513381892070002E-2</v>
      </c>
      <c r="L2153">
        <v>2998.6430701549202</v>
      </c>
      <c r="M2153">
        <v>58.261476017653003</v>
      </c>
      <c r="N2153">
        <v>51.579913315123598</v>
      </c>
      <c r="O2153">
        <v>51.408182626052003</v>
      </c>
      <c r="P2153">
        <v>-0.26660619301481098</v>
      </c>
      <c r="Q2153">
        <v>5.9019209950195703E-2</v>
      </c>
      <c r="R2153">
        <v>0.99354495776760798</v>
      </c>
      <c r="S2153" t="s">
        <v>8770</v>
      </c>
      <c r="T2153" t="s">
        <v>13232</v>
      </c>
      <c r="U2153" t="s">
        <v>13232</v>
      </c>
      <c r="V2153" t="s">
        <v>13232</v>
      </c>
      <c r="W2153" t="s">
        <v>15334</v>
      </c>
      <c r="X2153">
        <v>16</v>
      </c>
      <c r="Y2153" t="s">
        <v>21826</v>
      </c>
      <c r="Z2153" t="s">
        <v>28284</v>
      </c>
      <c r="AA2153">
        <v>0.42031817333586752</v>
      </c>
      <c r="AB2153" t="str">
        <f>HYPERLINK("Melting_Curves/meltCurve_P30084_ECHS1.pdf", "Melting_Curves/meltCurve_P30084_ECHS1.pdf")</f>
        <v>Melting_Curves/meltCurve_P30084_ECHS1.pdf</v>
      </c>
    </row>
    <row r="2154" spans="1:28" x14ac:dyDescent="0.25">
      <c r="A2154" t="s">
        <v>2158</v>
      </c>
      <c r="B2154">
        <v>0.99930955844802105</v>
      </c>
      <c r="C2154">
        <v>0.66344714346549805</v>
      </c>
      <c r="D2154">
        <v>1.2861911562150601</v>
      </c>
      <c r="E2154">
        <v>0.59234422721289504</v>
      </c>
      <c r="F2154">
        <v>0.18788460703813001</v>
      </c>
      <c r="G2154">
        <v>0.11627775404521599</v>
      </c>
      <c r="H2154">
        <v>6.65589171870348E-2</v>
      </c>
      <c r="I2154">
        <v>5.4970288444426398E-2</v>
      </c>
      <c r="J2154">
        <v>5.0823862679703097E-2</v>
      </c>
      <c r="K2154">
        <v>4.0652775337707697E-2</v>
      </c>
      <c r="L2154">
        <v>2571.0863942142801</v>
      </c>
      <c r="M2154">
        <v>51.077220313966301</v>
      </c>
      <c r="N2154">
        <v>50.493119740964602</v>
      </c>
      <c r="O2154">
        <v>50.260271780259004</v>
      </c>
      <c r="P2154">
        <v>-0.23553290844004399</v>
      </c>
      <c r="Q2154">
        <v>7.2938114449412103E-2</v>
      </c>
      <c r="R2154">
        <v>0.88914286792750497</v>
      </c>
      <c r="S2154" t="s">
        <v>8771</v>
      </c>
      <c r="T2154" t="s">
        <v>13232</v>
      </c>
      <c r="U2154" t="s">
        <v>13232</v>
      </c>
      <c r="V2154" t="s">
        <v>13232</v>
      </c>
      <c r="W2154" t="s">
        <v>15335</v>
      </c>
      <c r="X2154">
        <v>11</v>
      </c>
      <c r="Y2154" t="s">
        <v>21827</v>
      </c>
      <c r="Z2154" t="s">
        <v>28285</v>
      </c>
      <c r="AA2154">
        <v>0.39435228388694082</v>
      </c>
      <c r="AB2154" t="str">
        <f>HYPERLINK("Melting_Curves/meltCurve_P30085_CMPK1.pdf", "Melting_Curves/meltCurve_P30085_CMPK1.pdf")</f>
        <v>Melting_Curves/meltCurve_P30085_CMPK1.pdf</v>
      </c>
    </row>
    <row r="2155" spans="1:28" x14ac:dyDescent="0.25">
      <c r="A2155" t="s">
        <v>2159</v>
      </c>
      <c r="B2155">
        <v>0.99930955844802105</v>
      </c>
      <c r="C2155">
        <v>1.0598148137185599</v>
      </c>
      <c r="D2155">
        <v>1.15211758463144</v>
      </c>
      <c r="E2155">
        <v>1.0456053389139699</v>
      </c>
      <c r="F2155">
        <v>0.89892257391703401</v>
      </c>
      <c r="G2155">
        <v>0.83128725744990695</v>
      </c>
      <c r="H2155">
        <v>0.62560685880011402</v>
      </c>
      <c r="I2155">
        <v>0.361538995543634</v>
      </c>
      <c r="J2155">
        <v>0.17814734287897599</v>
      </c>
      <c r="K2155">
        <v>0.124323771777724</v>
      </c>
      <c r="L2155">
        <v>1171.0811138808699</v>
      </c>
      <c r="M2155">
        <v>18.831473061123098</v>
      </c>
      <c r="N2155">
        <v>62.187443243153801</v>
      </c>
      <c r="O2155">
        <v>61.498902484054</v>
      </c>
      <c r="P2155">
        <v>-7.6555230500535004E-2</v>
      </c>
      <c r="Q2155">
        <v>0</v>
      </c>
      <c r="R2155">
        <v>0.97195462709693403</v>
      </c>
      <c r="S2155" t="s">
        <v>8772</v>
      </c>
      <c r="T2155" t="s">
        <v>13232</v>
      </c>
      <c r="U2155" t="s">
        <v>13232</v>
      </c>
      <c r="V2155" t="s">
        <v>13232</v>
      </c>
      <c r="W2155" t="s">
        <v>15336</v>
      </c>
      <c r="X2155">
        <v>14</v>
      </c>
      <c r="Y2155" t="s">
        <v>21828</v>
      </c>
      <c r="Z2155" t="s">
        <v>28286</v>
      </c>
      <c r="AA2155">
        <v>0.74108829814340116</v>
      </c>
      <c r="AB2155" t="str">
        <f>HYPERLINK("Melting_Curves/meltCurve_P30086_PEBP1.pdf", "Melting_Curves/meltCurve_P30086_PEBP1.pdf")</f>
        <v>Melting_Curves/meltCurve_P30086_PEBP1.pdf</v>
      </c>
    </row>
    <row r="2156" spans="1:28" x14ac:dyDescent="0.25">
      <c r="A2156" t="s">
        <v>2160</v>
      </c>
      <c r="B2156">
        <v>0.99930955844802105</v>
      </c>
      <c r="C2156">
        <v>0.90614787898126203</v>
      </c>
      <c r="D2156">
        <v>0.95441012120342805</v>
      </c>
      <c r="E2156">
        <v>0.91788882786589399</v>
      </c>
      <c r="F2156">
        <v>0.673865609205061</v>
      </c>
      <c r="G2156">
        <v>0.19037764441128599</v>
      </c>
      <c r="H2156">
        <v>0.104479425024448</v>
      </c>
      <c r="I2156">
        <v>8.0289644400818302E-2</v>
      </c>
      <c r="J2156">
        <v>7.2153492614860301E-2</v>
      </c>
      <c r="K2156">
        <v>5.3420367132337297E-2</v>
      </c>
      <c r="L2156">
        <v>1746.4784367360201</v>
      </c>
      <c r="M2156">
        <v>32.387491336334499</v>
      </c>
      <c r="N2156">
        <v>54.167569822863904</v>
      </c>
      <c r="O2156">
        <v>53.720143018277199</v>
      </c>
      <c r="P2156">
        <v>-0.1405288567312</v>
      </c>
      <c r="Q2156">
        <v>6.7640848476485299E-2</v>
      </c>
      <c r="R2156">
        <v>0.99289020698014496</v>
      </c>
      <c r="S2156" t="s">
        <v>8773</v>
      </c>
      <c r="T2156" t="s">
        <v>13232</v>
      </c>
      <c r="U2156" t="s">
        <v>13232</v>
      </c>
      <c r="V2156" t="s">
        <v>13232</v>
      </c>
      <c r="W2156" t="s">
        <v>15337</v>
      </c>
      <c r="X2156">
        <v>32</v>
      </c>
      <c r="Y2156" t="s">
        <v>21829</v>
      </c>
      <c r="Z2156" t="s">
        <v>28287</v>
      </c>
      <c r="AA2156">
        <v>0.50566649327570112</v>
      </c>
      <c r="AB2156" t="str">
        <f>HYPERLINK("Melting_Curves/meltCurve_P30153_PPP2R1A.pdf", "Melting_Curves/meltCurve_P30153_PPP2R1A.pdf")</f>
        <v>Melting_Curves/meltCurve_P30153_PPP2R1A.pdf</v>
      </c>
    </row>
    <row r="2157" spans="1:28" x14ac:dyDescent="0.25">
      <c r="A2157" t="s">
        <v>2161</v>
      </c>
      <c r="B2157">
        <v>0.99930955844802105</v>
      </c>
      <c r="C2157">
        <v>0.722032224444211</v>
      </c>
      <c r="D2157">
        <v>0.51035296392875096</v>
      </c>
      <c r="E2157">
        <v>0.26429281093260198</v>
      </c>
      <c r="F2157">
        <v>0.15164827777764101</v>
      </c>
      <c r="G2157">
        <v>0.11417764871883999</v>
      </c>
      <c r="H2157">
        <v>6.6858046040866398E-2</v>
      </c>
      <c r="I2157">
        <v>5.8303124918166097E-2</v>
      </c>
      <c r="J2157">
        <v>4.9389469641179899E-2</v>
      </c>
      <c r="K2157">
        <v>4.1089630128465102E-2</v>
      </c>
      <c r="L2157">
        <v>741.00371336486296</v>
      </c>
      <c r="M2157">
        <v>16.1533930352868</v>
      </c>
      <c r="N2157">
        <v>46.188276270799399</v>
      </c>
      <c r="O2157">
        <v>45.187182409116801</v>
      </c>
      <c r="P2157">
        <v>-8.4709880891476699E-2</v>
      </c>
      <c r="Q2157">
        <v>5.22086109111067E-2</v>
      </c>
      <c r="R2157">
        <v>0.99059506859346302</v>
      </c>
      <c r="S2157" t="s">
        <v>8774</v>
      </c>
      <c r="T2157" t="s">
        <v>13232</v>
      </c>
      <c r="U2157" t="s">
        <v>13232</v>
      </c>
      <c r="V2157" t="s">
        <v>13232</v>
      </c>
      <c r="W2157" t="s">
        <v>15338</v>
      </c>
      <c r="X2157">
        <v>19</v>
      </c>
      <c r="Y2157" t="s">
        <v>21830</v>
      </c>
      <c r="Z2157" t="s">
        <v>28288</v>
      </c>
      <c r="AA2157">
        <v>0.2616308761895571</v>
      </c>
      <c r="AB2157" t="str">
        <f>HYPERLINK("Melting_Curves/meltCurve_P30154_PPP2R1B.pdf", "Melting_Curves/meltCurve_P30154_PPP2R1B.pdf")</f>
        <v>Melting_Curves/meltCurve_P30154_PPP2R1B.pdf</v>
      </c>
    </row>
    <row r="2158" spans="1:28" x14ac:dyDescent="0.25">
      <c r="A2158" t="s">
        <v>2162</v>
      </c>
      <c r="B2158">
        <v>0.99930955844802105</v>
      </c>
      <c r="C2158">
        <v>0.66597237176687096</v>
      </c>
      <c r="D2158">
        <v>0.69239645393317695</v>
      </c>
      <c r="E2158">
        <v>0.97406406291557002</v>
      </c>
      <c r="F2158">
        <v>0.85358060552975001</v>
      </c>
      <c r="G2158">
        <v>0.40766367859878799</v>
      </c>
      <c r="H2158">
        <v>0.29893435725157103</v>
      </c>
      <c r="I2158">
        <v>0.29848439347792499</v>
      </c>
      <c r="J2158">
        <v>0.29992109822169399</v>
      </c>
      <c r="K2158">
        <v>0.23408834251698701</v>
      </c>
      <c r="L2158">
        <v>415.29850824582502</v>
      </c>
      <c r="M2158">
        <v>7.2053849836722703</v>
      </c>
      <c r="N2158">
        <v>57.637217955784202</v>
      </c>
      <c r="O2158">
        <v>53.693899680750803</v>
      </c>
      <c r="P2158">
        <v>-3.3604362459042698E-2</v>
      </c>
      <c r="Q2158">
        <v>0</v>
      </c>
      <c r="R2158">
        <v>0.73928519360696299</v>
      </c>
      <c r="S2158" t="s">
        <v>8775</v>
      </c>
      <c r="T2158" t="s">
        <v>13232</v>
      </c>
      <c r="U2158" t="s">
        <v>13232</v>
      </c>
      <c r="V2158" t="s">
        <v>13232</v>
      </c>
      <c r="W2158" t="s">
        <v>15339</v>
      </c>
      <c r="X2158">
        <v>12</v>
      </c>
      <c r="Y2158" t="s">
        <v>21831</v>
      </c>
      <c r="Z2158" t="s">
        <v>28289</v>
      </c>
      <c r="AA2158">
        <v>0.59109010181604726</v>
      </c>
      <c r="AB2158" t="str">
        <f>HYPERLINK("Melting_Curves/meltCurve_P30260_CDC27.pdf", "Melting_Curves/meltCurve_P30260_CDC27.pdf")</f>
        <v>Melting_Curves/meltCurve_P30260_CDC27.pdf</v>
      </c>
    </row>
    <row r="2159" spans="1:28" x14ac:dyDescent="0.25">
      <c r="A2159" t="s">
        <v>2163</v>
      </c>
      <c r="B2159">
        <v>0.99930955844802105</v>
      </c>
      <c r="C2159">
        <v>0.95354622495199903</v>
      </c>
      <c r="D2159">
        <v>0.90386759905407899</v>
      </c>
      <c r="E2159">
        <v>0.69751790863395902</v>
      </c>
      <c r="F2159">
        <v>0.429429414205933</v>
      </c>
      <c r="G2159">
        <v>0.26302163721738098</v>
      </c>
      <c r="H2159">
        <v>0.14374241964793999</v>
      </c>
      <c r="I2159">
        <v>0.122320652803906</v>
      </c>
      <c r="J2159">
        <v>8.4171799170441597E-2</v>
      </c>
      <c r="K2159">
        <v>6.9035409238446505E-2</v>
      </c>
      <c r="L2159">
        <v>846.33128432451201</v>
      </c>
      <c r="M2159">
        <v>16.285918159535001</v>
      </c>
      <c r="N2159">
        <v>52.426891072298801</v>
      </c>
      <c r="O2159">
        <v>51.202481159525497</v>
      </c>
      <c r="P2159">
        <v>-7.4230433965933998E-2</v>
      </c>
      <c r="Q2159">
        <v>6.6554482101651199E-2</v>
      </c>
      <c r="R2159">
        <v>0.99824630114479695</v>
      </c>
      <c r="S2159" t="s">
        <v>8776</v>
      </c>
      <c r="T2159" t="s">
        <v>13232</v>
      </c>
      <c r="U2159" t="s">
        <v>13232</v>
      </c>
      <c r="V2159" t="s">
        <v>13232</v>
      </c>
      <c r="W2159" t="s">
        <v>15340</v>
      </c>
      <c r="X2159">
        <v>6</v>
      </c>
      <c r="Y2159" t="s">
        <v>21832</v>
      </c>
      <c r="Z2159" t="s">
        <v>28290</v>
      </c>
      <c r="AA2159">
        <v>0.45726250863962042</v>
      </c>
      <c r="AB2159" t="str">
        <f>HYPERLINK("Melting_Curves/meltCurve_P30279_CCND2.pdf", "Melting_Curves/meltCurve_P30279_CCND2.pdf")</f>
        <v>Melting_Curves/meltCurve_P30279_CCND2.pdf</v>
      </c>
    </row>
    <row r="2160" spans="1:28" x14ac:dyDescent="0.25">
      <c r="A2160" t="s">
        <v>2164</v>
      </c>
      <c r="B2160">
        <v>0.99930955844802105</v>
      </c>
      <c r="C2160">
        <v>1.0042591440844399</v>
      </c>
      <c r="D2160">
        <v>0.89715756753264397</v>
      </c>
      <c r="E2160">
        <v>0.71639207149859696</v>
      </c>
      <c r="F2160">
        <v>0.43539155573178601</v>
      </c>
      <c r="G2160">
        <v>0.31509857028097099</v>
      </c>
      <c r="H2160">
        <v>0.192872796863757</v>
      </c>
      <c r="I2160">
        <v>0.115718763248123</v>
      </c>
      <c r="J2160">
        <v>6.9615345851325797E-2</v>
      </c>
      <c r="K2160">
        <v>5.3606372652082498E-2</v>
      </c>
      <c r="L2160">
        <v>763.63973318923195</v>
      </c>
      <c r="M2160">
        <v>14.5192916815363</v>
      </c>
      <c r="N2160">
        <v>52.949949118706797</v>
      </c>
      <c r="O2160">
        <v>51.627328743852402</v>
      </c>
      <c r="P2160">
        <v>-6.7054104895247102E-2</v>
      </c>
      <c r="Q2160">
        <v>4.6392310478719501E-2</v>
      </c>
      <c r="R2160">
        <v>0.99363316650949196</v>
      </c>
      <c r="S2160" t="s">
        <v>8777</v>
      </c>
      <c r="T2160" t="s">
        <v>13232</v>
      </c>
      <c r="U2160" t="s">
        <v>13232</v>
      </c>
      <c r="V2160" t="s">
        <v>13232</v>
      </c>
      <c r="W2160" t="s">
        <v>15341</v>
      </c>
      <c r="X2160">
        <v>6</v>
      </c>
      <c r="Y2160" t="s">
        <v>21833</v>
      </c>
      <c r="Z2160" t="s">
        <v>28291</v>
      </c>
      <c r="AA2160">
        <v>0.46859690898637668</v>
      </c>
      <c r="AB2160" t="str">
        <f>HYPERLINK("Melting_Curves/meltCurve_P30281_CCND3.pdf", "Melting_Curves/meltCurve_P30281_CCND3.pdf")</f>
        <v>Melting_Curves/meltCurve_P30281_CCND3.pdf</v>
      </c>
    </row>
    <row r="2161" spans="1:28" x14ac:dyDescent="0.25">
      <c r="A2161" t="s">
        <v>2165</v>
      </c>
      <c r="B2161">
        <v>0.99930955844802105</v>
      </c>
      <c r="C2161">
        <v>0.75038994508716905</v>
      </c>
      <c r="D2161">
        <v>0.57496666201331803</v>
      </c>
      <c r="E2161">
        <v>0.49487145548279698</v>
      </c>
      <c r="F2161">
        <v>0.29842045302942599</v>
      </c>
      <c r="G2161">
        <v>0.236969031898317</v>
      </c>
      <c r="H2161">
        <v>0.25560615485953803</v>
      </c>
      <c r="I2161">
        <v>0.33315904612630198</v>
      </c>
      <c r="J2161">
        <v>0.34229155298439901</v>
      </c>
      <c r="K2161">
        <v>0.28286955962620303</v>
      </c>
      <c r="L2161">
        <v>769.004638580804</v>
      </c>
      <c r="M2161">
        <v>17.007314560876999</v>
      </c>
      <c r="N2161">
        <v>47.603605639214301</v>
      </c>
      <c r="O2161">
        <v>44.604861323754498</v>
      </c>
      <c r="P2161">
        <v>-6.7975790738134104E-2</v>
      </c>
      <c r="Q2161">
        <v>0.28692712628725398</v>
      </c>
      <c r="R2161">
        <v>0.950059100388575</v>
      </c>
      <c r="S2161" t="s">
        <v>8778</v>
      </c>
      <c r="T2161" t="s">
        <v>13232</v>
      </c>
      <c r="U2161" t="s">
        <v>13232</v>
      </c>
      <c r="V2161" t="s">
        <v>13232</v>
      </c>
      <c r="W2161" t="s">
        <v>15342</v>
      </c>
      <c r="X2161">
        <v>3</v>
      </c>
      <c r="Y2161" t="s">
        <v>21834</v>
      </c>
      <c r="Z2161" t="s">
        <v>28292</v>
      </c>
      <c r="AA2161">
        <v>0.42796974314904318</v>
      </c>
      <c r="AB2161" t="str">
        <f>HYPERLINK("Melting_Curves/meltCurve_P30291_WEE1.pdf", "Melting_Curves/meltCurve_P30291_WEE1.pdf")</f>
        <v>Melting_Curves/meltCurve_P30291_WEE1.pdf</v>
      </c>
    </row>
    <row r="2162" spans="1:28" x14ac:dyDescent="0.25">
      <c r="A2162" t="s">
        <v>2166</v>
      </c>
      <c r="B2162">
        <v>0.99930955844802105</v>
      </c>
      <c r="C2162">
        <v>0.92891178710036204</v>
      </c>
      <c r="D2162">
        <v>0.68593150333477904</v>
      </c>
      <c r="E2162">
        <v>0.575427225628803</v>
      </c>
      <c r="F2162">
        <v>0.44760047637314698</v>
      </c>
      <c r="G2162">
        <v>0.368991560249191</v>
      </c>
      <c r="H2162">
        <v>0.363095645843172</v>
      </c>
      <c r="I2162">
        <v>0.38272005110124901</v>
      </c>
      <c r="J2162">
        <v>0.27034580663893998</v>
      </c>
      <c r="K2162">
        <v>0.279863344476107</v>
      </c>
      <c r="L2162">
        <v>676.925078335134</v>
      </c>
      <c r="M2162">
        <v>14.1413838014417</v>
      </c>
      <c r="N2162">
        <v>51.303639620686397</v>
      </c>
      <c r="O2162">
        <v>46.941648279321299</v>
      </c>
      <c r="P2162">
        <v>-5.2272126264025401E-2</v>
      </c>
      <c r="Q2162">
        <v>0.30602899031879799</v>
      </c>
      <c r="R2162">
        <v>0.97504677267152695</v>
      </c>
      <c r="S2162" t="s">
        <v>8779</v>
      </c>
      <c r="T2162" t="s">
        <v>13232</v>
      </c>
      <c r="U2162" t="s">
        <v>13232</v>
      </c>
      <c r="V2162" t="s">
        <v>13232</v>
      </c>
      <c r="W2162" t="s">
        <v>15343</v>
      </c>
      <c r="X2162">
        <v>5</v>
      </c>
      <c r="Y2162" t="s">
        <v>21835</v>
      </c>
      <c r="Z2162" t="s">
        <v>28293</v>
      </c>
      <c r="AA2162">
        <v>0.50822344772210448</v>
      </c>
      <c r="AB2162" t="str">
        <f>HYPERLINK("Melting_Curves/meltCurve_P30307_CDC25C.pdf", "Melting_Curves/meltCurve_P30307_CDC25C.pdf")</f>
        <v>Melting_Curves/meltCurve_P30307_CDC25C.pdf</v>
      </c>
    </row>
    <row r="2163" spans="1:28" x14ac:dyDescent="0.25">
      <c r="A2163" t="s">
        <v>2167</v>
      </c>
      <c r="B2163">
        <v>0.99930955844802105</v>
      </c>
      <c r="C2163">
        <v>1.15790911315734</v>
      </c>
      <c r="D2163">
        <v>1.0840508862612399</v>
      </c>
      <c r="E2163">
        <v>0.94561314456145396</v>
      </c>
      <c r="F2163">
        <v>0.51358960100922002</v>
      </c>
      <c r="G2163">
        <v>0.20725780281406</v>
      </c>
      <c r="H2163">
        <v>0.12789453903998499</v>
      </c>
      <c r="I2163">
        <v>0.111076935670228</v>
      </c>
      <c r="J2163">
        <v>9.4317203817345596E-2</v>
      </c>
      <c r="K2163">
        <v>7.4472994060773706E-2</v>
      </c>
      <c r="L2163">
        <v>2091.61923574606</v>
      </c>
      <c r="M2163">
        <v>39.556670558594597</v>
      </c>
      <c r="N2163">
        <v>53.211009288167297</v>
      </c>
      <c r="O2163">
        <v>52.741906416976299</v>
      </c>
      <c r="P2163">
        <v>-0.166862614021415</v>
      </c>
      <c r="Q2163">
        <v>0.110073070759234</v>
      </c>
      <c r="R2163">
        <v>0.98044720271109698</v>
      </c>
      <c r="S2163" t="s">
        <v>8780</v>
      </c>
      <c r="T2163" t="s">
        <v>13232</v>
      </c>
      <c r="U2163" t="s">
        <v>13232</v>
      </c>
      <c r="V2163" t="s">
        <v>13232</v>
      </c>
      <c r="W2163" t="s">
        <v>15344</v>
      </c>
      <c r="X2163">
        <v>10</v>
      </c>
      <c r="Y2163" t="s">
        <v>21836</v>
      </c>
      <c r="Z2163" t="s">
        <v>28294</v>
      </c>
      <c r="AA2163">
        <v>0.49536823457506951</v>
      </c>
      <c r="AB2163" t="str">
        <f>HYPERLINK("Melting_Curves/meltCurve_P30405_PPIF.pdf", "Melting_Curves/meltCurve_P30405_PPIF.pdf")</f>
        <v>Melting_Curves/meltCurve_P30405_PPIF.pdf</v>
      </c>
    </row>
    <row r="2164" spans="1:28" x14ac:dyDescent="0.25">
      <c r="A2164" t="s">
        <v>2168</v>
      </c>
      <c r="B2164">
        <v>0.99930955844802105</v>
      </c>
      <c r="C2164">
        <v>1.12482955638435</v>
      </c>
      <c r="D2164">
        <v>1.0530369417814001</v>
      </c>
      <c r="E2164">
        <v>0.94200215052877001</v>
      </c>
      <c r="F2164">
        <v>0.59729322715784505</v>
      </c>
      <c r="G2164">
        <v>0.50299985907536404</v>
      </c>
      <c r="H2164">
        <v>0.44674968542391502</v>
      </c>
      <c r="I2164">
        <v>0.49376721113220401</v>
      </c>
      <c r="J2164">
        <v>0.49329376439358102</v>
      </c>
      <c r="K2164">
        <v>0.46306457470732398</v>
      </c>
      <c r="L2164">
        <v>2903.4439649097599</v>
      </c>
      <c r="M2164">
        <v>55.9962724487768</v>
      </c>
      <c r="N2164">
        <v>54.967920672064501</v>
      </c>
      <c r="O2164">
        <v>51.784662895180098</v>
      </c>
      <c r="P2164">
        <v>-0.14081217332905899</v>
      </c>
      <c r="Q2164">
        <v>0.47911485386618302</v>
      </c>
      <c r="R2164">
        <v>0.97086166861780399</v>
      </c>
      <c r="S2164" t="s">
        <v>8781</v>
      </c>
      <c r="T2164" t="s">
        <v>13232</v>
      </c>
      <c r="U2164" t="s">
        <v>13232</v>
      </c>
      <c r="V2164" t="s">
        <v>13232</v>
      </c>
      <c r="W2164" t="s">
        <v>15345</v>
      </c>
      <c r="X2164">
        <v>19</v>
      </c>
      <c r="Y2164" t="s">
        <v>21837</v>
      </c>
      <c r="Z2164" t="s">
        <v>28295</v>
      </c>
      <c r="AA2164">
        <v>0.68582479561806109</v>
      </c>
      <c r="AB2164" t="str">
        <f>HYPERLINK("Melting_Curves/meltCurve_P30414_NKTR.pdf", "Melting_Curves/meltCurve_P30414_NKTR.pdf")</f>
        <v>Melting_Curves/meltCurve_P30414_NKTR.pdf</v>
      </c>
    </row>
    <row r="2165" spans="1:28" x14ac:dyDescent="0.25">
      <c r="A2165" t="s">
        <v>2169</v>
      </c>
      <c r="B2165">
        <v>0.99930955844802105</v>
      </c>
      <c r="C2165">
        <v>1.02443733218142</v>
      </c>
      <c r="D2165">
        <v>0.97767463107054997</v>
      </c>
      <c r="E2165">
        <v>0.78880720568694895</v>
      </c>
      <c r="F2165">
        <v>0.35772743019733699</v>
      </c>
      <c r="G2165">
        <v>0.25814981563422801</v>
      </c>
      <c r="H2165">
        <v>0.259484197408482</v>
      </c>
      <c r="I2165">
        <v>0.30523900643611002</v>
      </c>
      <c r="J2165">
        <v>0.33875382033027701</v>
      </c>
      <c r="K2165">
        <v>0.24240339808831901</v>
      </c>
      <c r="L2165">
        <v>2654.9177677041598</v>
      </c>
      <c r="M2165">
        <v>52.222750758253802</v>
      </c>
      <c r="N2165">
        <v>51.652377423063598</v>
      </c>
      <c r="O2165">
        <v>50.763953744507802</v>
      </c>
      <c r="P2165">
        <v>-0.18505698123725001</v>
      </c>
      <c r="Q2165">
        <v>0.28045021229630201</v>
      </c>
      <c r="R2165">
        <v>0.99300781207799704</v>
      </c>
      <c r="S2165" t="s">
        <v>8782</v>
      </c>
      <c r="T2165" t="s">
        <v>13232</v>
      </c>
      <c r="U2165" t="s">
        <v>13232</v>
      </c>
      <c r="V2165" t="s">
        <v>13232</v>
      </c>
      <c r="W2165" t="s">
        <v>15346</v>
      </c>
      <c r="X2165">
        <v>18</v>
      </c>
      <c r="Y2165" t="s">
        <v>21838</v>
      </c>
      <c r="Z2165" t="s">
        <v>28296</v>
      </c>
      <c r="AA2165">
        <v>0.54188607635705788</v>
      </c>
      <c r="AB2165" t="str">
        <f>HYPERLINK("Melting_Curves/meltCurve_P30419_NMT1.pdf", "Melting_Curves/meltCurve_P30419_NMT1.pdf")</f>
        <v>Melting_Curves/meltCurve_P30419_NMT1.pdf</v>
      </c>
    </row>
    <row r="2166" spans="1:28" x14ac:dyDescent="0.25">
      <c r="A2166" t="s">
        <v>2170</v>
      </c>
      <c r="B2166">
        <v>0.99930955844802105</v>
      </c>
      <c r="C2166">
        <v>1.05444960116912</v>
      </c>
      <c r="D2166">
        <v>1.0639879404580801</v>
      </c>
      <c r="E2166">
        <v>0.96270298437284496</v>
      </c>
      <c r="F2166">
        <v>0.80791891676512995</v>
      </c>
      <c r="G2166">
        <v>0.45626831439429399</v>
      </c>
      <c r="H2166">
        <v>0.17868943392463099</v>
      </c>
      <c r="I2166">
        <v>0.11241883550802501</v>
      </c>
      <c r="J2166">
        <v>7.8856095698092293E-2</v>
      </c>
      <c r="K2166">
        <v>6.08603829478205E-2</v>
      </c>
      <c r="L2166">
        <v>1345.94987227969</v>
      </c>
      <c r="M2166">
        <v>23.9484380149487</v>
      </c>
      <c r="N2166">
        <v>56.493143197010397</v>
      </c>
      <c r="O2166">
        <v>55.814533949138799</v>
      </c>
      <c r="P2166">
        <v>-0.10104203003539999</v>
      </c>
      <c r="Q2166">
        <v>5.8056034147767201E-2</v>
      </c>
      <c r="R2166">
        <v>0.99537971456145302</v>
      </c>
      <c r="S2166" t="s">
        <v>8783</v>
      </c>
      <c r="T2166" t="s">
        <v>13232</v>
      </c>
      <c r="U2166" t="s">
        <v>13232</v>
      </c>
      <c r="V2166" t="s">
        <v>13232</v>
      </c>
      <c r="W2166" t="s">
        <v>15347</v>
      </c>
      <c r="X2166">
        <v>29</v>
      </c>
      <c r="Y2166" t="s">
        <v>21839</v>
      </c>
      <c r="Z2166" t="s">
        <v>28297</v>
      </c>
      <c r="AA2166">
        <v>0.57601048902422169</v>
      </c>
      <c r="AB2166" t="str">
        <f>HYPERLINK("Melting_Curves/meltCurve_P30520_ADSS.pdf", "Melting_Curves/meltCurve_P30520_ADSS.pdf")</f>
        <v>Melting_Curves/meltCurve_P30520_ADSS.pdf</v>
      </c>
    </row>
    <row r="2167" spans="1:28" x14ac:dyDescent="0.25">
      <c r="A2167" t="s">
        <v>2171</v>
      </c>
      <c r="B2167">
        <v>0.99930955844802105</v>
      </c>
      <c r="C2167">
        <v>1.11414735979116</v>
      </c>
      <c r="D2167">
        <v>1.0905424690894701</v>
      </c>
      <c r="E2167">
        <v>1.0064921825011599</v>
      </c>
      <c r="F2167">
        <v>0.89747720130578101</v>
      </c>
      <c r="G2167">
        <v>0.71338046618413398</v>
      </c>
      <c r="H2167">
        <v>0.69708381450033696</v>
      </c>
      <c r="I2167">
        <v>0.678061162036936</v>
      </c>
      <c r="J2167">
        <v>0.688242254276203</v>
      </c>
      <c r="K2167">
        <v>0.552695492362965</v>
      </c>
      <c r="L2167">
        <v>1738.2013130426101</v>
      </c>
      <c r="M2167">
        <v>31.8045147301398</v>
      </c>
      <c r="O2167">
        <v>54.437964630519403</v>
      </c>
      <c r="P2167">
        <v>-5.1493681172045197E-2</v>
      </c>
      <c r="Q2167">
        <v>0.64744676254795497</v>
      </c>
      <c r="R2167">
        <v>0.90383189600842795</v>
      </c>
      <c r="S2167" t="s">
        <v>8784</v>
      </c>
      <c r="T2167" t="s">
        <v>13232</v>
      </c>
      <c r="U2167" t="s">
        <v>13232</v>
      </c>
      <c r="V2167" t="s">
        <v>13232</v>
      </c>
      <c r="W2167" t="s">
        <v>15348</v>
      </c>
      <c r="X2167">
        <v>18</v>
      </c>
      <c r="Y2167" t="s">
        <v>21840</v>
      </c>
      <c r="Z2167" t="s">
        <v>28298</v>
      </c>
      <c r="AA2167">
        <v>0.82172608172978057</v>
      </c>
      <c r="AB2167" t="str">
        <f>HYPERLINK("Melting_Curves/meltCurve_P30533_LRPAP1.pdf", "Melting_Curves/meltCurve_P30533_LRPAP1.pdf")</f>
        <v>Melting_Curves/meltCurve_P30533_LRPAP1.pdf</v>
      </c>
    </row>
    <row r="2168" spans="1:28" x14ac:dyDescent="0.25">
      <c r="A2168" t="s">
        <v>2172</v>
      </c>
      <c r="B2168">
        <v>0.99930955844802105</v>
      </c>
      <c r="C2168">
        <v>0.87116685739758204</v>
      </c>
      <c r="D2168">
        <v>0.88077538226499297</v>
      </c>
      <c r="E2168">
        <v>0.91075930010600803</v>
      </c>
      <c r="F2168">
        <v>0.96456904732455695</v>
      </c>
      <c r="G2168">
        <v>0.76539853594835205</v>
      </c>
      <c r="H2168">
        <v>0.34589855079427501</v>
      </c>
      <c r="I2168">
        <v>0.106685682608517</v>
      </c>
      <c r="J2168">
        <v>7.6475755116234098E-2</v>
      </c>
      <c r="K2168">
        <v>6.3634258244313902E-2</v>
      </c>
      <c r="L2168">
        <v>1696.8550219056001</v>
      </c>
      <c r="M2168">
        <v>28.6420108530031</v>
      </c>
      <c r="N2168">
        <v>59.4050649372181</v>
      </c>
      <c r="O2168">
        <v>58.957041730864198</v>
      </c>
      <c r="P2168">
        <v>-0.116905210961772</v>
      </c>
      <c r="Q2168">
        <v>3.7451608388793099E-2</v>
      </c>
      <c r="R2168">
        <v>0.97256831985004499</v>
      </c>
      <c r="S2168" t="s">
        <v>8785</v>
      </c>
      <c r="T2168" t="s">
        <v>13232</v>
      </c>
      <c r="U2168" t="s">
        <v>13232</v>
      </c>
      <c r="V2168" t="s">
        <v>13232</v>
      </c>
      <c r="W2168" t="s">
        <v>15349</v>
      </c>
      <c r="X2168">
        <v>25</v>
      </c>
      <c r="Y2168" t="s">
        <v>21841</v>
      </c>
      <c r="Z2168" t="s">
        <v>28299</v>
      </c>
      <c r="AA2168">
        <v>0.6614003581372051</v>
      </c>
      <c r="AB2168" t="str">
        <f>HYPERLINK("Melting_Curves/meltCurve_P30566_ADSL.pdf", "Melting_Curves/meltCurve_P30566_ADSL.pdf")</f>
        <v>Melting_Curves/meltCurve_P30566_ADSL.pdf</v>
      </c>
    </row>
    <row r="2169" spans="1:28" x14ac:dyDescent="0.25">
      <c r="A2169" t="s">
        <v>2173</v>
      </c>
      <c r="B2169">
        <v>0.99930955844802105</v>
      </c>
      <c r="C2169">
        <v>0.91590034159119005</v>
      </c>
      <c r="D2169">
        <v>0.92807621648515903</v>
      </c>
      <c r="E2169">
        <v>0.93285204432316404</v>
      </c>
      <c r="F2169">
        <v>0.99550590055339006</v>
      </c>
      <c r="G2169">
        <v>0.76127870020910005</v>
      </c>
      <c r="H2169">
        <v>0.23428582986389099</v>
      </c>
      <c r="I2169">
        <v>9.2722081531508405E-2</v>
      </c>
      <c r="J2169">
        <v>5.8640959168218099E-2</v>
      </c>
      <c r="K2169">
        <v>4.9261846986755897E-2</v>
      </c>
      <c r="L2169">
        <v>2181.4730462738798</v>
      </c>
      <c r="M2169">
        <v>37.175249826839902</v>
      </c>
      <c r="N2169">
        <v>58.8438749176307</v>
      </c>
      <c r="O2169">
        <v>58.5117575407793</v>
      </c>
      <c r="P2169">
        <v>-0.15106219300993001</v>
      </c>
      <c r="Q2169">
        <v>4.89488974461319E-2</v>
      </c>
      <c r="R2169">
        <v>0.98984617199420799</v>
      </c>
      <c r="S2169" t="s">
        <v>8786</v>
      </c>
      <c r="T2169" t="s">
        <v>13232</v>
      </c>
      <c r="U2169" t="s">
        <v>13232</v>
      </c>
      <c r="V2169" t="s">
        <v>13232</v>
      </c>
      <c r="W2169" t="s">
        <v>15350</v>
      </c>
      <c r="X2169">
        <v>24</v>
      </c>
      <c r="Y2169" t="s">
        <v>21842</v>
      </c>
      <c r="Z2169" t="s">
        <v>28300</v>
      </c>
      <c r="AA2169">
        <v>0.64544878390931693</v>
      </c>
      <c r="AB2169" t="str">
        <f>HYPERLINK("Melting_Curves/meltCurve_P30613_PKLR.pdf", "Melting_Curves/meltCurve_P30613_PKLR.pdf")</f>
        <v>Melting_Curves/meltCurve_P30613_PKLR.pdf</v>
      </c>
    </row>
    <row r="2170" spans="1:28" x14ac:dyDescent="0.25">
      <c r="A2170" t="s">
        <v>2174</v>
      </c>
      <c r="B2170">
        <v>0.99930955844802105</v>
      </c>
      <c r="C2170">
        <v>1.0772635965728401</v>
      </c>
      <c r="D2170">
        <v>1.03305235320716</v>
      </c>
      <c r="E2170">
        <v>0.98229002087765604</v>
      </c>
      <c r="F2170">
        <v>0.94280412711775796</v>
      </c>
      <c r="G2170">
        <v>0.81824909294445403</v>
      </c>
      <c r="H2170">
        <v>0.74507363561254003</v>
      </c>
      <c r="I2170">
        <v>0.73548953866301703</v>
      </c>
      <c r="J2170">
        <v>0.73177377994175596</v>
      </c>
      <c r="K2170">
        <v>0.58398804553266104</v>
      </c>
      <c r="L2170">
        <v>799.41157267782205</v>
      </c>
      <c r="M2170">
        <v>13.481071145400399</v>
      </c>
      <c r="O2170">
        <v>58.039617283085498</v>
      </c>
      <c r="P2170">
        <v>-2.33010590907901E-2</v>
      </c>
      <c r="Q2170">
        <v>0.598792359194947</v>
      </c>
      <c r="R2170">
        <v>0.92504899262145701</v>
      </c>
      <c r="S2170" t="s">
        <v>8787</v>
      </c>
      <c r="T2170" t="s">
        <v>13232</v>
      </c>
      <c r="U2170" t="s">
        <v>13232</v>
      </c>
      <c r="V2170" t="s">
        <v>13232</v>
      </c>
      <c r="W2170" t="s">
        <v>15351</v>
      </c>
      <c r="X2170">
        <v>91</v>
      </c>
      <c r="Y2170" t="s">
        <v>21843</v>
      </c>
      <c r="Z2170" t="s">
        <v>28301</v>
      </c>
      <c r="AA2170">
        <v>0.86024708111494641</v>
      </c>
      <c r="AB2170" t="str">
        <f>HYPERLINK("Melting_Curves/meltCurve_P30622_2_CLIP1.pdf", "Melting_Curves/meltCurve_P30622_2_CLIP1.pdf")</f>
        <v>Melting_Curves/meltCurve_P30622_2_CLIP1.pdf</v>
      </c>
    </row>
    <row r="2171" spans="1:28" x14ac:dyDescent="0.25">
      <c r="A2171" t="s">
        <v>2175</v>
      </c>
      <c r="B2171">
        <v>0.99930955844802105</v>
      </c>
      <c r="C2171">
        <v>0.94784422566031101</v>
      </c>
      <c r="D2171">
        <v>0.88752438364758202</v>
      </c>
      <c r="E2171">
        <v>0.73241155782106604</v>
      </c>
      <c r="F2171">
        <v>0.533206068192842</v>
      </c>
      <c r="G2171">
        <v>0.41788105302457201</v>
      </c>
      <c r="H2171">
        <v>0.340407907824752</v>
      </c>
      <c r="I2171">
        <v>0.303859712556731</v>
      </c>
      <c r="J2171">
        <v>0.25418973246067</v>
      </c>
      <c r="K2171">
        <v>0.145878914229261</v>
      </c>
      <c r="L2171">
        <v>595.07033894115204</v>
      </c>
      <c r="M2171">
        <v>11.216351056225101</v>
      </c>
      <c r="N2171">
        <v>54.884951955794598</v>
      </c>
      <c r="O2171">
        <v>51.451252278197202</v>
      </c>
      <c r="P2171">
        <v>-4.6007729195343398E-2</v>
      </c>
      <c r="Q2171">
        <v>0.15608396184784401</v>
      </c>
      <c r="R2171">
        <v>0.98880205787325404</v>
      </c>
      <c r="S2171" t="s">
        <v>8788</v>
      </c>
      <c r="T2171" t="s">
        <v>13232</v>
      </c>
      <c r="U2171" t="s">
        <v>13232</v>
      </c>
      <c r="V2171" t="s">
        <v>13232</v>
      </c>
      <c r="W2171" t="s">
        <v>15352</v>
      </c>
      <c r="X2171">
        <v>5</v>
      </c>
      <c r="Y2171" t="s">
        <v>21844</v>
      </c>
      <c r="Z2171" t="s">
        <v>28302</v>
      </c>
      <c r="AA2171">
        <v>0.54900608249577876</v>
      </c>
      <c r="AB2171" t="str">
        <f>HYPERLINK("Melting_Curves/meltCurve_P30711_GSTT1.pdf", "Melting_Curves/meltCurve_P30711_GSTT1.pdf")</f>
        <v>Melting_Curves/meltCurve_P30711_GSTT1.pdf</v>
      </c>
    </row>
    <row r="2172" spans="1:28" x14ac:dyDescent="0.25">
      <c r="A2172" t="s">
        <v>2176</v>
      </c>
      <c r="B2172">
        <v>0.99930955844802105</v>
      </c>
      <c r="C2172">
        <v>1.0397101388369401</v>
      </c>
      <c r="D2172">
        <v>1.07470072317734</v>
      </c>
      <c r="E2172">
        <v>0.94824842760134798</v>
      </c>
      <c r="F2172">
        <v>0.57907831525734299</v>
      </c>
      <c r="G2172">
        <v>0.19679651884326901</v>
      </c>
      <c r="H2172">
        <v>0.13039345616162301</v>
      </c>
      <c r="I2172">
        <v>0.10410845437503299</v>
      </c>
      <c r="J2172">
        <v>9.0840308647999607E-2</v>
      </c>
      <c r="K2172">
        <v>7.2392654869859796E-2</v>
      </c>
      <c r="L2172">
        <v>1953.3784030049101</v>
      </c>
      <c r="M2172">
        <v>36.659262909783102</v>
      </c>
      <c r="N2172">
        <v>53.611807958287699</v>
      </c>
      <c r="O2172">
        <v>53.126908316221297</v>
      </c>
      <c r="P2172">
        <v>-0.15522180812762901</v>
      </c>
      <c r="Q2172">
        <v>0.10020782861661801</v>
      </c>
      <c r="R2172">
        <v>0.99441095387220302</v>
      </c>
      <c r="S2172" t="s">
        <v>8789</v>
      </c>
      <c r="T2172" t="s">
        <v>13232</v>
      </c>
      <c r="U2172" t="s">
        <v>13232</v>
      </c>
      <c r="V2172" t="s">
        <v>13232</v>
      </c>
      <c r="W2172" t="s">
        <v>15353</v>
      </c>
      <c r="X2172">
        <v>21</v>
      </c>
      <c r="Y2172" t="s">
        <v>21845</v>
      </c>
      <c r="Z2172" t="s">
        <v>28303</v>
      </c>
      <c r="AA2172">
        <v>0.50259808085369728</v>
      </c>
      <c r="AB2172" t="str">
        <f>HYPERLINK("Melting_Curves/meltCurve_P30740_SERPINB1.pdf", "Melting_Curves/meltCurve_P30740_SERPINB1.pdf")</f>
        <v>Melting_Curves/meltCurve_P30740_SERPINB1.pdf</v>
      </c>
    </row>
    <row r="2173" spans="1:28" x14ac:dyDescent="0.25">
      <c r="A2173" t="s">
        <v>2177</v>
      </c>
      <c r="B2173">
        <v>0.99930955844802105</v>
      </c>
      <c r="C2173">
        <v>0.67949043593789105</v>
      </c>
      <c r="D2173">
        <v>0.546926182308897</v>
      </c>
      <c r="E2173">
        <v>0.36848864295408401</v>
      </c>
      <c r="F2173">
        <v>0.19573396946802199</v>
      </c>
      <c r="G2173">
        <v>0.12010897479321</v>
      </c>
      <c r="H2173">
        <v>7.4824257716827103E-2</v>
      </c>
      <c r="I2173">
        <v>6.1720315060245598E-2</v>
      </c>
      <c r="J2173">
        <v>5.4867145663300199E-2</v>
      </c>
      <c r="K2173">
        <v>4.3947667176324597E-2</v>
      </c>
      <c r="L2173">
        <v>589.91187045698098</v>
      </c>
      <c r="M2173">
        <v>12.6490134656193</v>
      </c>
      <c r="N2173">
        <v>46.891307413857199</v>
      </c>
      <c r="O2173">
        <v>45.517407326314803</v>
      </c>
      <c r="P2173">
        <v>-6.7183419650231294E-2</v>
      </c>
      <c r="Q2173">
        <v>3.3153288670614699E-2</v>
      </c>
      <c r="R2173">
        <v>0.97972231260964304</v>
      </c>
      <c r="S2173" t="s">
        <v>8790</v>
      </c>
      <c r="T2173" t="s">
        <v>13232</v>
      </c>
      <c r="U2173" t="s">
        <v>13232</v>
      </c>
      <c r="V2173" t="s">
        <v>13232</v>
      </c>
      <c r="W2173" t="s">
        <v>15354</v>
      </c>
      <c r="X2173">
        <v>14</v>
      </c>
      <c r="Y2173" t="s">
        <v>21846</v>
      </c>
      <c r="Z2173" t="s">
        <v>28304</v>
      </c>
      <c r="AA2173">
        <v>0.28486226588721708</v>
      </c>
      <c r="AB2173" t="str">
        <f>HYPERLINK("Melting_Curves/meltCurve_P30837_ALDH1B1.pdf", "Melting_Curves/meltCurve_P30837_ALDH1B1.pdf")</f>
        <v>Melting_Curves/meltCurve_P30837_ALDH1B1.pdf</v>
      </c>
    </row>
    <row r="2174" spans="1:28" x14ac:dyDescent="0.25">
      <c r="A2174" t="s">
        <v>2178</v>
      </c>
      <c r="B2174">
        <v>0.99930955844802105</v>
      </c>
      <c r="C2174">
        <v>1.05901908083411</v>
      </c>
      <c r="D2174">
        <v>0.97129912402554197</v>
      </c>
      <c r="E2174">
        <v>0.93006239753825604</v>
      </c>
      <c r="F2174">
        <v>0.86388806865376899</v>
      </c>
      <c r="G2174">
        <v>0.66756564099480398</v>
      </c>
      <c r="H2174">
        <v>0.43936945841298403</v>
      </c>
      <c r="I2174">
        <v>0.25103022876120201</v>
      </c>
      <c r="J2174">
        <v>0.110044957150043</v>
      </c>
      <c r="K2174">
        <v>8.0157914256912294E-2</v>
      </c>
      <c r="L2174">
        <v>941.793990283624</v>
      </c>
      <c r="M2174">
        <v>15.815132604671399</v>
      </c>
      <c r="N2174">
        <v>59.550180088302099</v>
      </c>
      <c r="O2174">
        <v>58.622456840002698</v>
      </c>
      <c r="P2174">
        <v>-6.7450392096252698E-2</v>
      </c>
      <c r="Q2174">
        <v>0</v>
      </c>
      <c r="R2174">
        <v>0.99456466498512097</v>
      </c>
      <c r="S2174" t="s">
        <v>8791</v>
      </c>
      <c r="T2174" t="s">
        <v>13232</v>
      </c>
      <c r="U2174" t="s">
        <v>13232</v>
      </c>
      <c r="V2174" t="s">
        <v>13232</v>
      </c>
      <c r="W2174" t="s">
        <v>15355</v>
      </c>
      <c r="X2174">
        <v>15</v>
      </c>
      <c r="Y2174" t="s">
        <v>21847</v>
      </c>
      <c r="Z2174" t="s">
        <v>28305</v>
      </c>
      <c r="AA2174">
        <v>0.66066450120486298</v>
      </c>
      <c r="AB2174" t="str">
        <f>HYPERLINK("Melting_Curves/meltCurve_P31040_SDHA.pdf", "Melting_Curves/meltCurve_P31040_SDHA.pdf")</f>
        <v>Melting_Curves/meltCurve_P31040_SDHA.pdf</v>
      </c>
    </row>
    <row r="2175" spans="1:28" x14ac:dyDescent="0.25">
      <c r="A2175" t="s">
        <v>2179</v>
      </c>
      <c r="B2175">
        <v>0.99930955844802105</v>
      </c>
      <c r="C2175">
        <v>0.99826385218615299</v>
      </c>
      <c r="D2175">
        <v>1.00801482933023</v>
      </c>
      <c r="E2175">
        <v>0.71949144315421498</v>
      </c>
      <c r="F2175">
        <v>0.22324298133185599</v>
      </c>
      <c r="G2175">
        <v>0.17455777678058701</v>
      </c>
      <c r="H2175">
        <v>0.12945572884939399</v>
      </c>
      <c r="I2175">
        <v>0.12298101478212201</v>
      </c>
      <c r="J2175">
        <v>0.10732087293362599</v>
      </c>
      <c r="K2175">
        <v>9.5742779811717499E-2</v>
      </c>
      <c r="L2175">
        <v>2448.7045376126998</v>
      </c>
      <c r="M2175">
        <v>48.223079067175298</v>
      </c>
      <c r="N2175">
        <v>51.0817057609787</v>
      </c>
      <c r="O2175">
        <v>50.691615188601403</v>
      </c>
      <c r="P2175">
        <v>-0.20824194518639499</v>
      </c>
      <c r="Q2175">
        <v>0.124393936761969</v>
      </c>
      <c r="R2175">
        <v>0.99780978020876898</v>
      </c>
      <c r="S2175" t="s">
        <v>8792</v>
      </c>
      <c r="T2175" t="s">
        <v>13232</v>
      </c>
      <c r="U2175" t="s">
        <v>13232</v>
      </c>
      <c r="V2175" t="s">
        <v>13232</v>
      </c>
      <c r="W2175" t="s">
        <v>15356</v>
      </c>
      <c r="X2175">
        <v>15</v>
      </c>
      <c r="Y2175" t="s">
        <v>21848</v>
      </c>
      <c r="Z2175" t="s">
        <v>28306</v>
      </c>
      <c r="AA2175">
        <v>0.44109926662583232</v>
      </c>
      <c r="AB2175" t="str">
        <f>HYPERLINK("Melting_Curves/meltCurve_P31146_CORO1A.pdf", "Melting_Curves/meltCurve_P31146_CORO1A.pdf")</f>
        <v>Melting_Curves/meltCurve_P31146_CORO1A.pdf</v>
      </c>
    </row>
    <row r="2176" spans="1:28" x14ac:dyDescent="0.25">
      <c r="A2176" t="s">
        <v>2180</v>
      </c>
      <c r="B2176">
        <v>0.99930955844802105</v>
      </c>
      <c r="C2176">
        <v>1.0113201369209699</v>
      </c>
      <c r="D2176">
        <v>1.0183599981882501</v>
      </c>
      <c r="E2176">
        <v>0.93015617556478603</v>
      </c>
      <c r="F2176">
        <v>0.74712756700402305</v>
      </c>
      <c r="G2176">
        <v>0.2348416976287</v>
      </c>
      <c r="H2176">
        <v>0.111791579444437</v>
      </c>
      <c r="I2176">
        <v>8.7202770057892204E-2</v>
      </c>
      <c r="J2176">
        <v>7.1753307977454703E-2</v>
      </c>
      <c r="K2176">
        <v>6.08990120254599E-2</v>
      </c>
      <c r="L2176">
        <v>1805.4769746279601</v>
      </c>
      <c r="M2176">
        <v>33.1454105130423</v>
      </c>
      <c r="N2176">
        <v>54.729508546715998</v>
      </c>
      <c r="O2176">
        <v>54.274271230879798</v>
      </c>
      <c r="P2176">
        <v>-0.14162921837803999</v>
      </c>
      <c r="Q2176">
        <v>7.2355581197409105E-2</v>
      </c>
      <c r="R2176">
        <v>0.99899783849908996</v>
      </c>
      <c r="S2176" t="s">
        <v>8793</v>
      </c>
      <c r="T2176" t="s">
        <v>13232</v>
      </c>
      <c r="U2176" t="s">
        <v>13232</v>
      </c>
      <c r="V2176" t="s">
        <v>13232</v>
      </c>
      <c r="W2176" t="s">
        <v>15357</v>
      </c>
      <c r="X2176">
        <v>31</v>
      </c>
      <c r="Y2176" t="s">
        <v>21849</v>
      </c>
      <c r="Z2176" t="s">
        <v>28307</v>
      </c>
      <c r="AA2176">
        <v>0.52488358503471821</v>
      </c>
      <c r="AB2176" t="str">
        <f>HYPERLINK("Melting_Curves/meltCurve_P31150_GDI1.pdf", "Melting_Curves/meltCurve_P31150_GDI1.pdf")</f>
        <v>Melting_Curves/meltCurve_P31150_GDI1.pdf</v>
      </c>
    </row>
    <row r="2177" spans="1:28" x14ac:dyDescent="0.25">
      <c r="A2177" t="s">
        <v>2181</v>
      </c>
      <c r="B2177">
        <v>0.99930955844802105</v>
      </c>
      <c r="C2177">
        <v>0.84856433780399498</v>
      </c>
      <c r="D2177">
        <v>0.826839751051335</v>
      </c>
      <c r="E2177">
        <v>0.82277192530083498</v>
      </c>
      <c r="F2177">
        <v>0.75689312327883296</v>
      </c>
      <c r="G2177">
        <v>0.45227857867718002</v>
      </c>
      <c r="H2177">
        <v>0.17898617655881499</v>
      </c>
      <c r="I2177">
        <v>0.16697027070826001</v>
      </c>
      <c r="J2177">
        <v>0.150582810433736</v>
      </c>
      <c r="K2177">
        <v>0.106498308705565</v>
      </c>
      <c r="L2177">
        <v>670.78962137956796</v>
      </c>
      <c r="M2177">
        <v>11.9852966704744</v>
      </c>
      <c r="N2177">
        <v>55.967714499876202</v>
      </c>
      <c r="O2177">
        <v>54.477905802168998</v>
      </c>
      <c r="P2177">
        <v>-5.5014044080355602E-2</v>
      </c>
      <c r="Q2177">
        <v>0</v>
      </c>
      <c r="R2177">
        <v>0.95918890238275401</v>
      </c>
      <c r="S2177" t="s">
        <v>8794</v>
      </c>
      <c r="T2177" t="s">
        <v>13232</v>
      </c>
      <c r="U2177" t="s">
        <v>13232</v>
      </c>
      <c r="V2177" t="s">
        <v>13232</v>
      </c>
      <c r="W2177" t="s">
        <v>15358</v>
      </c>
      <c r="X2177">
        <v>22</v>
      </c>
      <c r="Y2177" t="s">
        <v>21850</v>
      </c>
      <c r="Z2177" t="s">
        <v>28308</v>
      </c>
      <c r="AA2177">
        <v>0.55275773426851926</v>
      </c>
      <c r="AB2177" t="str">
        <f>HYPERLINK("Melting_Curves/meltCurve_P31153_MAT2A.pdf", "Melting_Curves/meltCurve_P31153_MAT2A.pdf")</f>
        <v>Melting_Curves/meltCurve_P31153_MAT2A.pdf</v>
      </c>
    </row>
    <row r="2178" spans="1:28" x14ac:dyDescent="0.25">
      <c r="A2178" t="s">
        <v>2182</v>
      </c>
      <c r="B2178">
        <v>0.99930955844802105</v>
      </c>
      <c r="C2178">
        <v>1.01075843842466</v>
      </c>
      <c r="D2178">
        <v>1.0087113755227299</v>
      </c>
      <c r="E2178">
        <v>0.63497220222238204</v>
      </c>
      <c r="F2178">
        <v>0.26683959674337399</v>
      </c>
      <c r="G2178">
        <v>0.16462159476566299</v>
      </c>
      <c r="H2178">
        <v>7.7039601305885497E-2</v>
      </c>
      <c r="I2178">
        <v>6.2254405899939497E-2</v>
      </c>
      <c r="J2178">
        <v>5.41565927777043E-2</v>
      </c>
      <c r="K2178">
        <v>3.7826069958557397E-2</v>
      </c>
      <c r="L2178">
        <v>1530.8357063042099</v>
      </c>
      <c r="M2178">
        <v>30.1301822631821</v>
      </c>
      <c r="N2178">
        <v>51.056299759009001</v>
      </c>
      <c r="O2178">
        <v>50.585173779907798</v>
      </c>
      <c r="P2178">
        <v>-0.13873777536552501</v>
      </c>
      <c r="Q2178">
        <v>6.8306177241949206E-2</v>
      </c>
      <c r="R2178">
        <v>0.99542571811121405</v>
      </c>
      <c r="S2178" t="s">
        <v>8795</v>
      </c>
      <c r="T2178" t="s">
        <v>13232</v>
      </c>
      <c r="U2178" t="s">
        <v>13232</v>
      </c>
      <c r="V2178" t="s">
        <v>13232</v>
      </c>
      <c r="W2178" t="s">
        <v>15359</v>
      </c>
      <c r="X2178">
        <v>6</v>
      </c>
      <c r="Y2178" t="s">
        <v>21851</v>
      </c>
      <c r="Z2178" t="s">
        <v>28309</v>
      </c>
      <c r="AA2178">
        <v>0.4097341684000772</v>
      </c>
      <c r="AB2178" t="str">
        <f>HYPERLINK("Melting_Curves/meltCurve_P31321_PRKAR1B.pdf", "Melting_Curves/meltCurve_P31321_PRKAR1B.pdf")</f>
        <v>Melting_Curves/meltCurve_P31321_PRKAR1B.pdf</v>
      </c>
    </row>
    <row r="2179" spans="1:28" x14ac:dyDescent="0.25">
      <c r="A2179" t="s">
        <v>2183</v>
      </c>
      <c r="B2179">
        <v>0.99930955844802105</v>
      </c>
      <c r="C2179">
        <v>0.93524990056506696</v>
      </c>
      <c r="D2179">
        <v>0.87310031757200601</v>
      </c>
      <c r="E2179">
        <v>0.59935438720833001</v>
      </c>
      <c r="F2179">
        <v>0.23245563016076301</v>
      </c>
      <c r="G2179">
        <v>0.16314339824816901</v>
      </c>
      <c r="H2179">
        <v>0.11066108213725501</v>
      </c>
      <c r="I2179">
        <v>9.7109377385853998E-2</v>
      </c>
      <c r="J2179">
        <v>0.102351013515598</v>
      </c>
      <c r="K2179">
        <v>7.6854739767222499E-2</v>
      </c>
      <c r="L2179">
        <v>1167.24594352287</v>
      </c>
      <c r="M2179">
        <v>23.307101734028201</v>
      </c>
      <c r="N2179">
        <v>50.511662235030201</v>
      </c>
      <c r="O2179">
        <v>49.716818671882997</v>
      </c>
      <c r="P2179">
        <v>-0.106643411802198</v>
      </c>
      <c r="Q2179">
        <v>9.0083855050406697E-2</v>
      </c>
      <c r="R2179">
        <v>0.99354741447444805</v>
      </c>
      <c r="S2179" t="s">
        <v>8796</v>
      </c>
      <c r="T2179" t="s">
        <v>13232</v>
      </c>
      <c r="U2179" t="s">
        <v>13232</v>
      </c>
      <c r="V2179" t="s">
        <v>13232</v>
      </c>
      <c r="W2179" t="s">
        <v>15360</v>
      </c>
      <c r="X2179">
        <v>18</v>
      </c>
      <c r="Y2179" t="s">
        <v>21852</v>
      </c>
      <c r="Z2179" t="s">
        <v>28310</v>
      </c>
      <c r="AA2179">
        <v>0.40521518091303038</v>
      </c>
      <c r="AB2179" t="str">
        <f>HYPERLINK("Melting_Curves/meltCurve_P31323_PRKAR2B.pdf", "Melting_Curves/meltCurve_P31323_PRKAR2B.pdf")</f>
        <v>Melting_Curves/meltCurve_P31323_PRKAR2B.pdf</v>
      </c>
    </row>
    <row r="2180" spans="1:28" x14ac:dyDescent="0.25">
      <c r="A2180" t="s">
        <v>2184</v>
      </c>
      <c r="B2180">
        <v>0.99930955844802105</v>
      </c>
      <c r="C2180">
        <v>0.92798633747688597</v>
      </c>
      <c r="D2180">
        <v>0.86287265663120405</v>
      </c>
      <c r="E2180">
        <v>0.80920727911892898</v>
      </c>
      <c r="F2180">
        <v>0.51844544542164495</v>
      </c>
      <c r="G2180">
        <v>0.17611519107041099</v>
      </c>
      <c r="H2180">
        <v>0.123875625355717</v>
      </c>
      <c r="I2180">
        <v>9.4744827333697906E-2</v>
      </c>
      <c r="J2180">
        <v>9.1947039461039104E-2</v>
      </c>
      <c r="K2180">
        <v>7.0145161584394294E-2</v>
      </c>
      <c r="L2180">
        <v>1121.7165491844701</v>
      </c>
      <c r="M2180">
        <v>21.294318348153499</v>
      </c>
      <c r="N2180">
        <v>53.037312365673799</v>
      </c>
      <c r="O2180">
        <v>52.218840188863702</v>
      </c>
      <c r="P2180">
        <v>-9.5080827671312901E-2</v>
      </c>
      <c r="Q2180">
        <v>6.7378561142717106E-2</v>
      </c>
      <c r="R2180">
        <v>0.98765036582196997</v>
      </c>
      <c r="S2180" t="s">
        <v>8797</v>
      </c>
      <c r="T2180" t="s">
        <v>13232</v>
      </c>
      <c r="U2180" t="s">
        <v>13232</v>
      </c>
      <c r="V2180" t="s">
        <v>13232</v>
      </c>
      <c r="W2180" t="s">
        <v>15361</v>
      </c>
      <c r="X2180">
        <v>4</v>
      </c>
      <c r="Y2180" t="s">
        <v>21853</v>
      </c>
      <c r="Z2180" t="s">
        <v>28311</v>
      </c>
      <c r="AA2180">
        <v>0.47298119628403978</v>
      </c>
      <c r="AB2180" t="str">
        <f>HYPERLINK("Melting_Curves/meltCurve_P31327_CPS1.pdf", "Melting_Curves/meltCurve_P31327_CPS1.pdf")</f>
        <v>Melting_Curves/meltCurve_P31327_CPS1.pdf</v>
      </c>
    </row>
    <row r="2181" spans="1:28" x14ac:dyDescent="0.25">
      <c r="A2181" t="s">
        <v>2185</v>
      </c>
      <c r="B2181">
        <v>0.99930955844802105</v>
      </c>
      <c r="C2181">
        <v>1.0756024427606099</v>
      </c>
      <c r="D2181">
        <v>1.04220763989023</v>
      </c>
      <c r="E2181">
        <v>0.99283494350026502</v>
      </c>
      <c r="F2181">
        <v>0.93644884583926002</v>
      </c>
      <c r="G2181">
        <v>0.73102129806150196</v>
      </c>
      <c r="H2181">
        <v>0.58879161114927603</v>
      </c>
      <c r="I2181">
        <v>0.46275880978085299</v>
      </c>
      <c r="J2181">
        <v>0.31779580354855502</v>
      </c>
      <c r="K2181">
        <v>0.178860068657127</v>
      </c>
      <c r="L2181">
        <v>813.50938942021503</v>
      </c>
      <c r="M2181">
        <v>12.975879217278299</v>
      </c>
      <c r="N2181">
        <v>62.693970558719599</v>
      </c>
      <c r="O2181">
        <v>61.260952962744497</v>
      </c>
      <c r="P2181">
        <v>-5.2962707004547999E-2</v>
      </c>
      <c r="Q2181">
        <v>0</v>
      </c>
      <c r="R2181">
        <v>0.98481318026692799</v>
      </c>
      <c r="S2181" t="s">
        <v>8798</v>
      </c>
      <c r="T2181" t="s">
        <v>13232</v>
      </c>
      <c r="U2181" t="s">
        <v>13232</v>
      </c>
      <c r="V2181" t="s">
        <v>13232</v>
      </c>
      <c r="W2181" t="s">
        <v>15362</v>
      </c>
      <c r="X2181">
        <v>23</v>
      </c>
      <c r="Y2181" t="s">
        <v>21854</v>
      </c>
      <c r="Z2181" t="s">
        <v>28312</v>
      </c>
      <c r="AA2181">
        <v>0.74335270355599514</v>
      </c>
      <c r="AB2181" t="str">
        <f>HYPERLINK("Melting_Curves/meltCurve_P31350_RRM2.pdf", "Melting_Curves/meltCurve_P31350_RRM2.pdf")</f>
        <v>Melting_Curves/meltCurve_P31350_RRM2.pdf</v>
      </c>
    </row>
    <row r="2182" spans="1:28" x14ac:dyDescent="0.25">
      <c r="A2182" t="s">
        <v>2186</v>
      </c>
      <c r="B2182">
        <v>0.99930955844802105</v>
      </c>
      <c r="C2182">
        <v>0.87841801049388601</v>
      </c>
      <c r="D2182">
        <v>0.99895994250960496</v>
      </c>
      <c r="E2182">
        <v>0.93198973273720898</v>
      </c>
      <c r="F2182">
        <v>0.57228008424766097</v>
      </c>
      <c r="G2182">
        <v>0.514098833411331</v>
      </c>
      <c r="H2182">
        <v>0.53951689444512496</v>
      </c>
      <c r="I2182">
        <v>0.51099872429092097</v>
      </c>
      <c r="J2182">
        <v>0.56403846959451398</v>
      </c>
      <c r="K2182">
        <v>0.44051618870741499</v>
      </c>
      <c r="L2182">
        <v>3359.4215264290901</v>
      </c>
      <c r="M2182">
        <v>65.372323254585595</v>
      </c>
      <c r="O2182">
        <v>51.341024228859503</v>
      </c>
      <c r="P2182">
        <v>-0.15481053833759101</v>
      </c>
      <c r="Q2182">
        <v>0.51367007408593002</v>
      </c>
      <c r="R2182">
        <v>0.94952573666133699</v>
      </c>
      <c r="S2182" t="s">
        <v>8799</v>
      </c>
      <c r="T2182" t="s">
        <v>13232</v>
      </c>
      <c r="U2182" t="s">
        <v>13232</v>
      </c>
      <c r="V2182" t="s">
        <v>13232</v>
      </c>
      <c r="W2182" t="s">
        <v>15363</v>
      </c>
      <c r="X2182">
        <v>1</v>
      </c>
      <c r="Y2182" t="s">
        <v>21855</v>
      </c>
      <c r="Z2182" t="s">
        <v>28313</v>
      </c>
      <c r="AA2182">
        <v>0.69894132277714172</v>
      </c>
      <c r="AB2182" t="str">
        <f>HYPERLINK("Melting_Curves/meltCurve_P31629_HIVEP2.pdf", "Melting_Curves/meltCurve_P31629_HIVEP2.pdf")</f>
        <v>Melting_Curves/meltCurve_P31629_HIVEP2.pdf</v>
      </c>
    </row>
    <row r="2183" spans="1:28" x14ac:dyDescent="0.25">
      <c r="A2183" t="s">
        <v>2187</v>
      </c>
      <c r="B2183">
        <v>0.99930955844802105</v>
      </c>
      <c r="C2183">
        <v>0.63416481433879701</v>
      </c>
      <c r="D2183">
        <v>0.63037701151301295</v>
      </c>
      <c r="E2183">
        <v>0.74869600017500404</v>
      </c>
      <c r="F2183">
        <v>0.54775634304659604</v>
      </c>
      <c r="G2183">
        <v>0.25009550080367299</v>
      </c>
      <c r="H2183">
        <v>9.3155422820880698E-2</v>
      </c>
      <c r="I2183">
        <v>7.7406068931328204E-2</v>
      </c>
      <c r="J2183">
        <v>6.4517113256778294E-2</v>
      </c>
      <c r="K2183">
        <v>5.1832572110505501E-2</v>
      </c>
      <c r="L2183">
        <v>463.38674550041901</v>
      </c>
      <c r="M2183">
        <v>9.05106326180743</v>
      </c>
      <c r="N2183">
        <v>51.1969286638477</v>
      </c>
      <c r="O2183">
        <v>48.883233148147099</v>
      </c>
      <c r="P2183">
        <v>-4.6322105267551199E-2</v>
      </c>
      <c r="Q2183">
        <v>0</v>
      </c>
      <c r="R2183">
        <v>0.87395827376133595</v>
      </c>
      <c r="S2183" t="s">
        <v>8800</v>
      </c>
      <c r="T2183" t="s">
        <v>13232</v>
      </c>
      <c r="U2183" t="s">
        <v>13232</v>
      </c>
      <c r="V2183" t="s">
        <v>13232</v>
      </c>
      <c r="W2183" t="s">
        <v>15364</v>
      </c>
      <c r="X2183">
        <v>13</v>
      </c>
      <c r="Y2183" t="s">
        <v>21856</v>
      </c>
      <c r="Z2183" t="s">
        <v>28314</v>
      </c>
      <c r="AA2183">
        <v>0.41910263967717021</v>
      </c>
      <c r="AB2183" t="str">
        <f>HYPERLINK("Melting_Curves/meltCurve_P31689_DNAJA1.pdf", "Melting_Curves/meltCurve_P31689_DNAJA1.pdf")</f>
        <v>Melting_Curves/meltCurve_P31689_DNAJA1.pdf</v>
      </c>
    </row>
    <row r="2184" spans="1:28" x14ac:dyDescent="0.25">
      <c r="A2184" t="s">
        <v>2188</v>
      </c>
      <c r="B2184">
        <v>0.99930955844802105</v>
      </c>
      <c r="C2184">
        <v>1.0671625243151399</v>
      </c>
      <c r="D2184">
        <v>0.97927547329351305</v>
      </c>
      <c r="E2184">
        <v>0.69594840111705802</v>
      </c>
      <c r="F2184">
        <v>0.294791671986531</v>
      </c>
      <c r="G2184">
        <v>0.17499760298505601</v>
      </c>
      <c r="H2184">
        <v>0.106915250195922</v>
      </c>
      <c r="I2184">
        <v>9.6675121786329907E-2</v>
      </c>
      <c r="J2184">
        <v>8.6163894759709495E-2</v>
      </c>
      <c r="K2184">
        <v>6.8281082071284499E-2</v>
      </c>
      <c r="L2184">
        <v>1622.5718507397301</v>
      </c>
      <c r="M2184">
        <v>31.789524872499101</v>
      </c>
      <c r="N2184">
        <v>51.388076040876598</v>
      </c>
      <c r="O2184">
        <v>50.8403799672285</v>
      </c>
      <c r="P2184">
        <v>-0.141221988533521</v>
      </c>
      <c r="Q2184">
        <v>9.6590158655264199E-2</v>
      </c>
      <c r="R2184">
        <v>0.994980747886683</v>
      </c>
      <c r="S2184" t="s">
        <v>8801</v>
      </c>
      <c r="T2184" t="s">
        <v>13232</v>
      </c>
      <c r="U2184" t="s">
        <v>13232</v>
      </c>
      <c r="V2184" t="s">
        <v>13232</v>
      </c>
      <c r="W2184" t="s">
        <v>15365</v>
      </c>
      <c r="X2184">
        <v>21</v>
      </c>
      <c r="Y2184" t="s">
        <v>21857</v>
      </c>
      <c r="Z2184" t="s">
        <v>28315</v>
      </c>
      <c r="AA2184">
        <v>0.43413819883030019</v>
      </c>
      <c r="AB2184" t="str">
        <f>HYPERLINK("Melting_Curves/meltCurve_P31749_AKT1.pdf", "Melting_Curves/meltCurve_P31749_AKT1.pdf")</f>
        <v>Melting_Curves/meltCurve_P31749_AKT1.pdf</v>
      </c>
    </row>
    <row r="2185" spans="1:28" x14ac:dyDescent="0.25">
      <c r="A2185" t="s">
        <v>2189</v>
      </c>
      <c r="B2185">
        <v>0.99930955844802105</v>
      </c>
      <c r="C2185">
        <v>0.88032316169466396</v>
      </c>
      <c r="D2185">
        <v>0.79557195689443305</v>
      </c>
      <c r="E2185">
        <v>0.61189277223782601</v>
      </c>
      <c r="F2185">
        <v>0.339682408669365</v>
      </c>
      <c r="G2185">
        <v>0.18384198923903</v>
      </c>
      <c r="H2185">
        <v>0.117272494516917</v>
      </c>
      <c r="I2185">
        <v>0.10368044751967199</v>
      </c>
      <c r="J2185">
        <v>0.101331920756556</v>
      </c>
      <c r="K2185">
        <v>7.0178273507775502E-2</v>
      </c>
      <c r="L2185">
        <v>724.11178580817705</v>
      </c>
      <c r="M2185">
        <v>14.3644741732999</v>
      </c>
      <c r="N2185">
        <v>50.8187569064646</v>
      </c>
      <c r="O2185">
        <v>49.463111104729499</v>
      </c>
      <c r="P2185">
        <v>-6.8648324647544307E-2</v>
      </c>
      <c r="Q2185">
        <v>5.4569232993406498E-2</v>
      </c>
      <c r="R2185">
        <v>0.99328172024912398</v>
      </c>
      <c r="S2185" t="s">
        <v>8802</v>
      </c>
      <c r="T2185" t="s">
        <v>13232</v>
      </c>
      <c r="U2185" t="s">
        <v>13232</v>
      </c>
      <c r="V2185" t="s">
        <v>13232</v>
      </c>
      <c r="W2185" t="s">
        <v>15366</v>
      </c>
      <c r="X2185">
        <v>17</v>
      </c>
      <c r="Y2185" t="s">
        <v>21858</v>
      </c>
      <c r="Z2185" t="s">
        <v>28316</v>
      </c>
      <c r="AA2185">
        <v>0.40658832302629938</v>
      </c>
      <c r="AB2185" t="str">
        <f>HYPERLINK("Melting_Curves/meltCurve_P31751_AKT2.pdf", "Melting_Curves/meltCurve_P31751_AKT2.pdf")</f>
        <v>Melting_Curves/meltCurve_P31751_AKT2.pdf</v>
      </c>
    </row>
    <row r="2186" spans="1:28" x14ac:dyDescent="0.25">
      <c r="A2186" t="s">
        <v>2190</v>
      </c>
      <c r="B2186">
        <v>0.99930955844802105</v>
      </c>
      <c r="C2186">
        <v>0.82123068726686199</v>
      </c>
      <c r="D2186">
        <v>0.49372655970939899</v>
      </c>
      <c r="E2186">
        <v>0.46059568253688898</v>
      </c>
      <c r="F2186">
        <v>0.37147727543539699</v>
      </c>
      <c r="G2186">
        <v>0.245531046992159</v>
      </c>
      <c r="H2186">
        <v>0.185093624817941</v>
      </c>
      <c r="I2186">
        <v>0.22470078531460899</v>
      </c>
      <c r="J2186">
        <v>0.21358289200695299</v>
      </c>
      <c r="K2186">
        <v>0.15311501268076699</v>
      </c>
      <c r="L2186">
        <v>628.38654510199694</v>
      </c>
      <c r="M2186">
        <v>13.565047431402</v>
      </c>
      <c r="N2186">
        <v>47.997621324264898</v>
      </c>
      <c r="O2186">
        <v>45.351987981510703</v>
      </c>
      <c r="P2186">
        <v>-6.0694770923067097E-2</v>
      </c>
      <c r="Q2186">
        <v>0.188438794547862</v>
      </c>
      <c r="R2186">
        <v>0.95700921610256595</v>
      </c>
      <c r="S2186" t="s">
        <v>8803</v>
      </c>
      <c r="T2186" t="s">
        <v>13232</v>
      </c>
      <c r="U2186" t="s">
        <v>13232</v>
      </c>
      <c r="V2186" t="s">
        <v>13232</v>
      </c>
      <c r="W2186" t="s">
        <v>15367</v>
      </c>
      <c r="X2186">
        <v>7</v>
      </c>
      <c r="Y2186" t="s">
        <v>21859</v>
      </c>
      <c r="Z2186" t="s">
        <v>28317</v>
      </c>
      <c r="AA2186">
        <v>0.38788899638987201</v>
      </c>
      <c r="AB2186" t="str">
        <f>HYPERLINK("Melting_Curves/meltCurve_P31930_UQCRC1.pdf", "Melting_Curves/meltCurve_P31930_UQCRC1.pdf")</f>
        <v>Melting_Curves/meltCurve_P31930_UQCRC1.pdf</v>
      </c>
    </row>
    <row r="2187" spans="1:28" x14ac:dyDescent="0.25">
      <c r="A2187" t="s">
        <v>2191</v>
      </c>
      <c r="B2187">
        <v>0.99930955844802105</v>
      </c>
      <c r="C2187">
        <v>1.01676850450929</v>
      </c>
      <c r="D2187">
        <v>0.97348266421501894</v>
      </c>
      <c r="E2187">
        <v>1.00817380457209</v>
      </c>
      <c r="F2187">
        <v>1.0825280267162201</v>
      </c>
      <c r="G2187">
        <v>0.88583786585698998</v>
      </c>
      <c r="H2187">
        <v>0.59269771569938401</v>
      </c>
      <c r="I2187">
        <v>0.155629533755302</v>
      </c>
      <c r="J2187">
        <v>5.3861251237764703E-2</v>
      </c>
      <c r="K2187">
        <v>4.5479909369780802E-2</v>
      </c>
      <c r="L2187">
        <v>2355.3374440411299</v>
      </c>
      <c r="M2187">
        <v>38.389137091439501</v>
      </c>
      <c r="N2187">
        <v>61.416816656707198</v>
      </c>
      <c r="O2187">
        <v>61.188490131159597</v>
      </c>
      <c r="P2187">
        <v>-0.15384136378083099</v>
      </c>
      <c r="Q2187">
        <v>1.9170680688136901E-2</v>
      </c>
      <c r="R2187">
        <v>0.99144174027357801</v>
      </c>
      <c r="S2187" t="s">
        <v>8804</v>
      </c>
      <c r="T2187" t="s">
        <v>13232</v>
      </c>
      <c r="U2187" t="s">
        <v>13232</v>
      </c>
      <c r="V2187" t="s">
        <v>13232</v>
      </c>
      <c r="W2187" t="s">
        <v>15368</v>
      </c>
      <c r="X2187">
        <v>12</v>
      </c>
      <c r="Y2187" t="s">
        <v>21860</v>
      </c>
      <c r="Z2187" t="s">
        <v>28318</v>
      </c>
      <c r="AA2187">
        <v>0.72122492379352188</v>
      </c>
      <c r="AB2187" t="str">
        <f>HYPERLINK("Melting_Curves/meltCurve_P31937_HIBADH.pdf", "Melting_Curves/meltCurve_P31937_HIBADH.pdf")</f>
        <v>Melting_Curves/meltCurve_P31937_HIBADH.pdf</v>
      </c>
    </row>
    <row r="2188" spans="1:28" x14ac:dyDescent="0.25">
      <c r="A2188" t="s">
        <v>2192</v>
      </c>
      <c r="B2188">
        <v>0.99930955844802105</v>
      </c>
      <c r="C2188">
        <v>1.02038499502298</v>
      </c>
      <c r="D2188">
        <v>1.02474596393057</v>
      </c>
      <c r="E2188">
        <v>0.762032148253877</v>
      </c>
      <c r="F2188">
        <v>0.28168432326860798</v>
      </c>
      <c r="G2188">
        <v>0.150964523634769</v>
      </c>
      <c r="H2188">
        <v>8.5552402191369795E-2</v>
      </c>
      <c r="I2188">
        <v>6.8074254847567003E-2</v>
      </c>
      <c r="J2188">
        <v>5.7852380067352001E-2</v>
      </c>
      <c r="K2188">
        <v>4.3394980043228497E-2</v>
      </c>
      <c r="L2188">
        <v>1964.78168399483</v>
      </c>
      <c r="M2188">
        <v>38.246564077969097</v>
      </c>
      <c r="N2188">
        <v>51.589620332365797</v>
      </c>
      <c r="O2188">
        <v>51.231619354510599</v>
      </c>
      <c r="P2188">
        <v>-0.172700206300929</v>
      </c>
      <c r="Q2188">
        <v>7.4668337547385E-2</v>
      </c>
      <c r="R2188">
        <v>0.99644535670044598</v>
      </c>
      <c r="S2188" t="s">
        <v>8805</v>
      </c>
      <c r="T2188" t="s">
        <v>13232</v>
      </c>
      <c r="U2188" t="s">
        <v>13232</v>
      </c>
      <c r="V2188" t="s">
        <v>13232</v>
      </c>
      <c r="W2188" t="s">
        <v>15369</v>
      </c>
      <c r="X2188">
        <v>43</v>
      </c>
      <c r="Y2188" t="s">
        <v>21861</v>
      </c>
      <c r="Z2188" t="s">
        <v>28319</v>
      </c>
      <c r="AA2188">
        <v>0.42900928102246261</v>
      </c>
      <c r="AB2188" t="str">
        <f>HYPERLINK("Melting_Curves/meltCurve_P31939_ATIC.pdf", "Melting_Curves/meltCurve_P31939_ATIC.pdf")</f>
        <v>Melting_Curves/meltCurve_P31939_ATIC.pdf</v>
      </c>
    </row>
    <row r="2189" spans="1:28" x14ac:dyDescent="0.25">
      <c r="A2189" t="s">
        <v>2193</v>
      </c>
      <c r="B2189">
        <v>0.99930955844802105</v>
      </c>
      <c r="C2189">
        <v>1.04334264401669</v>
      </c>
      <c r="D2189">
        <v>1.0217575561527099</v>
      </c>
      <c r="E2189">
        <v>0.83149378514299599</v>
      </c>
      <c r="F2189">
        <v>0.50265175481166102</v>
      </c>
      <c r="G2189">
        <v>0.34349939144005898</v>
      </c>
      <c r="H2189">
        <v>0.249139005868282</v>
      </c>
      <c r="I2189">
        <v>0.25096882517069002</v>
      </c>
      <c r="J2189">
        <v>0.254066151247201</v>
      </c>
      <c r="K2189">
        <v>0.20357255040817801</v>
      </c>
      <c r="L2189">
        <v>1526.5679150226499</v>
      </c>
      <c r="M2189">
        <v>29.331241539616499</v>
      </c>
      <c r="N2189">
        <v>53.257554896020402</v>
      </c>
      <c r="O2189">
        <v>51.805679878892597</v>
      </c>
      <c r="P2189">
        <v>-0.107082949412144</v>
      </c>
      <c r="Q2189">
        <v>0.24347355818484201</v>
      </c>
      <c r="R2189">
        <v>0.99344092340756796</v>
      </c>
      <c r="S2189" t="s">
        <v>8806</v>
      </c>
      <c r="T2189" t="s">
        <v>13232</v>
      </c>
      <c r="U2189" t="s">
        <v>13232</v>
      </c>
      <c r="V2189" t="s">
        <v>13232</v>
      </c>
      <c r="W2189" t="s">
        <v>15370</v>
      </c>
      <c r="X2189">
        <v>9</v>
      </c>
      <c r="Y2189" t="s">
        <v>21862</v>
      </c>
      <c r="Z2189" t="s">
        <v>28320</v>
      </c>
      <c r="AA2189">
        <v>0.55229694233411386</v>
      </c>
      <c r="AB2189" t="str">
        <f>HYPERLINK("Melting_Curves/meltCurve_P31942_2_HNRNPH3.pdf", "Melting_Curves/meltCurve_P31942_2_HNRNPH3.pdf")</f>
        <v>Melting_Curves/meltCurve_P31942_2_HNRNPH3.pdf</v>
      </c>
    </row>
    <row r="2190" spans="1:28" x14ac:dyDescent="0.25">
      <c r="A2190" t="s">
        <v>2194</v>
      </c>
      <c r="B2190">
        <v>0.99930955844802105</v>
      </c>
      <c r="C2190">
        <v>0.99886457714616395</v>
      </c>
      <c r="D2190">
        <v>0.97967859297071902</v>
      </c>
      <c r="E2190">
        <v>0.85604023437463295</v>
      </c>
      <c r="F2190">
        <v>0.52779837367612703</v>
      </c>
      <c r="G2190">
        <v>0.270927141231253</v>
      </c>
      <c r="H2190">
        <v>0.167179168598973</v>
      </c>
      <c r="I2190">
        <v>0.150344998023967</v>
      </c>
      <c r="J2190">
        <v>0.13568168453846799</v>
      </c>
      <c r="K2190">
        <v>0.104283590743504</v>
      </c>
      <c r="L2190">
        <v>1326.63861151948</v>
      </c>
      <c r="M2190">
        <v>25.088925078225401</v>
      </c>
      <c r="N2190">
        <v>53.5176192175404</v>
      </c>
      <c r="O2190">
        <v>52.544953944194098</v>
      </c>
      <c r="P2190">
        <v>-0.103896936358977</v>
      </c>
      <c r="Q2190">
        <v>0.12962594305816599</v>
      </c>
      <c r="R2190">
        <v>0.99834163675207699</v>
      </c>
      <c r="S2190" t="s">
        <v>8807</v>
      </c>
      <c r="T2190" t="s">
        <v>13232</v>
      </c>
      <c r="U2190" t="s">
        <v>13232</v>
      </c>
      <c r="V2190" t="s">
        <v>13232</v>
      </c>
      <c r="W2190" t="s">
        <v>15371</v>
      </c>
      <c r="X2190">
        <v>14</v>
      </c>
      <c r="Y2190" t="s">
        <v>21863</v>
      </c>
      <c r="Z2190" t="s">
        <v>28321</v>
      </c>
      <c r="AA2190">
        <v>0.51118600150376325</v>
      </c>
      <c r="AB2190" t="str">
        <f>HYPERLINK("Melting_Curves/meltCurve_P31943_HNRNPH1.pdf", "Melting_Curves/meltCurve_P31943_HNRNPH1.pdf")</f>
        <v>Melting_Curves/meltCurve_P31943_HNRNPH1.pdf</v>
      </c>
    </row>
    <row r="2191" spans="1:28" x14ac:dyDescent="0.25">
      <c r="A2191" t="s">
        <v>2195</v>
      </c>
      <c r="B2191">
        <v>0.99930955844802105</v>
      </c>
      <c r="C2191">
        <v>0.94023105545285601</v>
      </c>
      <c r="D2191">
        <v>0.84448358109964805</v>
      </c>
      <c r="E2191">
        <v>0.73770581141936098</v>
      </c>
      <c r="F2191">
        <v>0.93412723314092505</v>
      </c>
      <c r="G2191">
        <v>0</v>
      </c>
      <c r="H2191">
        <v>0.33812660304800102</v>
      </c>
      <c r="I2191">
        <v>0.28570814592564397</v>
      </c>
      <c r="J2191">
        <v>0.32367088073213801</v>
      </c>
      <c r="K2191">
        <v>0.19041220001044701</v>
      </c>
      <c r="L2191">
        <v>13375.750377440299</v>
      </c>
      <c r="M2191">
        <v>250</v>
      </c>
      <c r="N2191">
        <v>53.633282621328902</v>
      </c>
      <c r="O2191">
        <v>53.499577691054</v>
      </c>
      <c r="P2191">
        <v>-0.90236278606249698</v>
      </c>
      <c r="Q2191">
        <v>0.22758355351718401</v>
      </c>
      <c r="R2191">
        <v>0.85698043934831003</v>
      </c>
      <c r="S2191" t="s">
        <v>8808</v>
      </c>
      <c r="T2191" t="s">
        <v>13232</v>
      </c>
      <c r="U2191" t="s">
        <v>13232</v>
      </c>
      <c r="V2191" t="s">
        <v>13232</v>
      </c>
      <c r="W2191" t="s">
        <v>15372</v>
      </c>
      <c r="X2191">
        <v>2</v>
      </c>
      <c r="Y2191" t="s">
        <v>21864</v>
      </c>
      <c r="Z2191" t="s">
        <v>28322</v>
      </c>
      <c r="AA2191">
        <v>0.57532076248808184</v>
      </c>
      <c r="AB2191" t="str">
        <f>HYPERLINK("Melting_Curves/meltCurve_P31944_CASP14.pdf", "Melting_Curves/meltCurve_P31944_CASP14.pdf")</f>
        <v>Melting_Curves/meltCurve_P31944_CASP14.pdf</v>
      </c>
    </row>
    <row r="2192" spans="1:28" x14ac:dyDescent="0.25">
      <c r="A2192" t="s">
        <v>2196</v>
      </c>
      <c r="B2192">
        <v>0.99930955844802105</v>
      </c>
      <c r="C2192">
        <v>1.12283636864197</v>
      </c>
      <c r="D2192">
        <v>1.1875884303491999</v>
      </c>
      <c r="E2192">
        <v>1.2085402375771299</v>
      </c>
      <c r="F2192">
        <v>1.0856828496408499</v>
      </c>
      <c r="G2192">
        <v>0.53515586546407701</v>
      </c>
      <c r="H2192">
        <v>0.14290617795845501</v>
      </c>
      <c r="I2192">
        <v>0.106850311138008</v>
      </c>
      <c r="J2192">
        <v>7.9255236051382003E-2</v>
      </c>
      <c r="K2192">
        <v>6.3291680965382902E-2</v>
      </c>
      <c r="L2192">
        <v>5439.1356717590998</v>
      </c>
      <c r="M2192">
        <v>95.481267589895396</v>
      </c>
      <c r="N2192">
        <v>57.095304450814602</v>
      </c>
      <c r="O2192">
        <v>56.940490209233502</v>
      </c>
      <c r="P2192">
        <v>-0.37830664220473997</v>
      </c>
      <c r="Q2192">
        <v>9.7583519907879807E-2</v>
      </c>
      <c r="R2192">
        <v>0.95583611635787502</v>
      </c>
      <c r="S2192" t="s">
        <v>8809</v>
      </c>
      <c r="T2192" t="s">
        <v>13232</v>
      </c>
      <c r="U2192" t="s">
        <v>13232</v>
      </c>
      <c r="V2192" t="s">
        <v>13232</v>
      </c>
      <c r="W2192" t="s">
        <v>15373</v>
      </c>
      <c r="X2192">
        <v>18</v>
      </c>
      <c r="Y2192" t="s">
        <v>21865</v>
      </c>
      <c r="Z2192" t="s">
        <v>28323</v>
      </c>
      <c r="AA2192">
        <v>0.60853359665245543</v>
      </c>
      <c r="AB2192" t="str">
        <f>HYPERLINK("Melting_Curves/meltCurve_P31946_2_YWHAB.pdf", "Melting_Curves/meltCurve_P31946_2_YWHAB.pdf")</f>
        <v>Melting_Curves/meltCurve_P31946_2_YWHAB.pdf</v>
      </c>
    </row>
    <row r="2193" spans="1:28" x14ac:dyDescent="0.25">
      <c r="A2193" t="s">
        <v>2197</v>
      </c>
      <c r="B2193">
        <v>0.99930955844802105</v>
      </c>
      <c r="C2193">
        <v>1.48084653095503</v>
      </c>
      <c r="D2193">
        <v>1.39695227825875</v>
      </c>
      <c r="E2193">
        <v>1.2060484943601699</v>
      </c>
      <c r="F2193">
        <v>1.3206582455733</v>
      </c>
      <c r="G2193">
        <v>0.86138191907936501</v>
      </c>
      <c r="H2193">
        <v>0.502814540146721</v>
      </c>
      <c r="I2193">
        <v>0.27187942843597701</v>
      </c>
      <c r="J2193">
        <v>0.15094006653317399</v>
      </c>
      <c r="K2193">
        <v>0.10256106195143</v>
      </c>
      <c r="L2193">
        <v>2023.6160392172201</v>
      </c>
      <c r="M2193">
        <v>33.378591184197703</v>
      </c>
      <c r="N2193">
        <v>61.094974057965601</v>
      </c>
      <c r="O2193">
        <v>60.4098009251137</v>
      </c>
      <c r="P2193">
        <v>-0.12252801354698099</v>
      </c>
      <c r="Q2193">
        <v>0.11298102021640299</v>
      </c>
      <c r="R2193">
        <v>0.78863035183368602</v>
      </c>
      <c r="S2193" t="s">
        <v>8810</v>
      </c>
      <c r="T2193" t="s">
        <v>13232</v>
      </c>
      <c r="U2193" t="s">
        <v>13232</v>
      </c>
      <c r="V2193" t="s">
        <v>13232</v>
      </c>
      <c r="W2193" t="s">
        <v>15374</v>
      </c>
      <c r="X2193">
        <v>12</v>
      </c>
      <c r="Y2193" t="s">
        <v>21866</v>
      </c>
      <c r="Z2193" t="s">
        <v>28324</v>
      </c>
      <c r="AA2193">
        <v>0.72732330884937935</v>
      </c>
      <c r="AB2193" t="str">
        <f>HYPERLINK("Melting_Curves/meltCurve_P31947_2_SFN.pdf", "Melting_Curves/meltCurve_P31947_2_SFN.pdf")</f>
        <v>Melting_Curves/meltCurve_P31947_2_SFN.pdf</v>
      </c>
    </row>
    <row r="2194" spans="1:28" x14ac:dyDescent="0.25">
      <c r="A2194" t="s">
        <v>2198</v>
      </c>
      <c r="B2194">
        <v>0.99930955844802105</v>
      </c>
      <c r="C2194">
        <v>0.96455372580901599</v>
      </c>
      <c r="D2194">
        <v>0.98595396453463302</v>
      </c>
      <c r="E2194">
        <v>0.98278717650392799</v>
      </c>
      <c r="F2194">
        <v>0.71558148810836597</v>
      </c>
      <c r="G2194">
        <v>0.563977268873185</v>
      </c>
      <c r="H2194">
        <v>0.419632920551606</v>
      </c>
      <c r="I2194">
        <v>0.36834446206911697</v>
      </c>
      <c r="J2194">
        <v>0.37266203095712702</v>
      </c>
      <c r="K2194">
        <v>0.28422560225097399</v>
      </c>
      <c r="L2194">
        <v>1039.7712333086199</v>
      </c>
      <c r="M2194">
        <v>18.907581714859202</v>
      </c>
      <c r="N2194">
        <v>58.0978516604616</v>
      </c>
      <c r="O2194">
        <v>54.388222151099001</v>
      </c>
      <c r="P2194">
        <v>-5.9273897766076E-2</v>
      </c>
      <c r="Q2194">
        <v>0.31801520833784902</v>
      </c>
      <c r="R2194">
        <v>0.98329197970797799</v>
      </c>
      <c r="S2194" t="s">
        <v>8811</v>
      </c>
      <c r="T2194" t="s">
        <v>13232</v>
      </c>
      <c r="U2194" t="s">
        <v>13232</v>
      </c>
      <c r="V2194" t="s">
        <v>13232</v>
      </c>
      <c r="W2194" t="s">
        <v>15375</v>
      </c>
      <c r="X2194">
        <v>68</v>
      </c>
      <c r="Y2194" t="s">
        <v>21867</v>
      </c>
      <c r="Z2194" t="s">
        <v>28325</v>
      </c>
      <c r="AA2194">
        <v>0.66869062010597091</v>
      </c>
      <c r="AB2194" t="str">
        <f>HYPERLINK("Melting_Curves/meltCurve_P31948_STIP1.pdf", "Melting_Curves/meltCurve_P31948_STIP1.pdf")</f>
        <v>Melting_Curves/meltCurve_P31948_STIP1.pdf</v>
      </c>
    </row>
    <row r="2195" spans="1:28" x14ac:dyDescent="0.25">
      <c r="A2195" t="s">
        <v>2199</v>
      </c>
      <c r="B2195">
        <v>0.99930955844802105</v>
      </c>
      <c r="C2195">
        <v>1.4269942275926899</v>
      </c>
      <c r="D2195">
        <v>0.55512597359305405</v>
      </c>
      <c r="E2195">
        <v>1.49029098723676</v>
      </c>
      <c r="F2195">
        <v>0.52395142332380196</v>
      </c>
      <c r="G2195">
        <v>1.0531233428553799</v>
      </c>
      <c r="H2195">
        <v>0.43345332218902799</v>
      </c>
      <c r="I2195">
        <v>0.58807056232853305</v>
      </c>
      <c r="J2195">
        <v>0.421404930359077</v>
      </c>
      <c r="K2195">
        <v>0.19510115516623799</v>
      </c>
      <c r="L2195">
        <v>798.95019032544099</v>
      </c>
      <c r="M2195">
        <v>12.5069710248062</v>
      </c>
      <c r="N2195">
        <v>63.880393521305997</v>
      </c>
      <c r="O2195">
        <v>62.3132552990119</v>
      </c>
      <c r="P2195">
        <v>-5.0188121371975099E-2</v>
      </c>
      <c r="Q2195">
        <v>0</v>
      </c>
      <c r="R2195">
        <v>0.48281837847155001</v>
      </c>
      <c r="S2195" t="s">
        <v>8812</v>
      </c>
      <c r="T2195" t="s">
        <v>13232</v>
      </c>
      <c r="U2195" t="s">
        <v>13232</v>
      </c>
      <c r="V2195" t="s">
        <v>13232</v>
      </c>
      <c r="W2195" t="s">
        <v>15376</v>
      </c>
      <c r="X2195">
        <v>7</v>
      </c>
      <c r="Y2195" t="s">
        <v>21868</v>
      </c>
      <c r="Z2195" t="s">
        <v>28326</v>
      </c>
      <c r="AA2195">
        <v>0.77058670950186559</v>
      </c>
      <c r="AB2195" t="str">
        <f>HYPERLINK("Melting_Curves/meltCurve_P31949_S100A11.pdf", "Melting_Curves/meltCurve_P31949_S100A11.pdf")</f>
        <v>Melting_Curves/meltCurve_P31949_S100A11.pdf</v>
      </c>
    </row>
    <row r="2196" spans="1:28" x14ac:dyDescent="0.25">
      <c r="A2196" t="s">
        <v>2200</v>
      </c>
      <c r="B2196">
        <v>0.99930955844802105</v>
      </c>
      <c r="C2196">
        <v>0.85165360889335295</v>
      </c>
      <c r="D2196">
        <v>0.72312554370233995</v>
      </c>
      <c r="E2196">
        <v>0.43702604480215701</v>
      </c>
      <c r="F2196">
        <v>0.17410055799788701</v>
      </c>
      <c r="G2196">
        <v>0.129161775402482</v>
      </c>
      <c r="H2196">
        <v>7.7001499434928705E-2</v>
      </c>
      <c r="I2196">
        <v>7.2946196672882602E-2</v>
      </c>
      <c r="J2196">
        <v>6.6801320158699107E-2</v>
      </c>
      <c r="K2196">
        <v>4.7560704101021999E-2</v>
      </c>
      <c r="L2196">
        <v>800.32559071368996</v>
      </c>
      <c r="M2196">
        <v>16.5509444956562</v>
      </c>
      <c r="N2196">
        <v>48.650848152930998</v>
      </c>
      <c r="O2196">
        <v>47.665911069037101</v>
      </c>
      <c r="P2196">
        <v>-8.2660731751083405E-2</v>
      </c>
      <c r="Q2196">
        <v>4.7829912065784803E-2</v>
      </c>
      <c r="R2196">
        <v>0.99366275683749095</v>
      </c>
      <c r="S2196" t="s">
        <v>8813</v>
      </c>
      <c r="T2196" t="s">
        <v>13232</v>
      </c>
      <c r="U2196" t="s">
        <v>13232</v>
      </c>
      <c r="V2196" t="s">
        <v>13232</v>
      </c>
      <c r="W2196" t="s">
        <v>15377</v>
      </c>
      <c r="X2196">
        <v>23</v>
      </c>
      <c r="Y2196" t="s">
        <v>21869</v>
      </c>
      <c r="Z2196" t="s">
        <v>28327</v>
      </c>
      <c r="AA2196">
        <v>0.33286157088480001</v>
      </c>
      <c r="AB2196" t="str">
        <f>HYPERLINK("Melting_Curves/meltCurve_P32019_2_INPP5B.pdf", "Melting_Curves/meltCurve_P32019_2_INPP5B.pdf")</f>
        <v>Melting_Curves/meltCurve_P32019_2_INPP5B.pdf</v>
      </c>
    </row>
    <row r="2197" spans="1:28" x14ac:dyDescent="0.25">
      <c r="A2197" t="s">
        <v>2201</v>
      </c>
      <c r="B2197">
        <v>0.99930955844802105</v>
      </c>
      <c r="C2197">
        <v>0.88098694655223897</v>
      </c>
      <c r="D2197">
        <v>0.96026607471647896</v>
      </c>
      <c r="E2197">
        <v>0.89069432939716697</v>
      </c>
      <c r="F2197">
        <v>0.71730547513687803</v>
      </c>
      <c r="G2197">
        <v>0.28492859207264998</v>
      </c>
      <c r="H2197">
        <v>0.14197304520120399</v>
      </c>
      <c r="I2197">
        <v>9.3102439529830897E-2</v>
      </c>
      <c r="J2197">
        <v>6.5066672211295404E-2</v>
      </c>
      <c r="K2197">
        <v>4.3929019646243198E-2</v>
      </c>
      <c r="L2197">
        <v>1293.5209009518401</v>
      </c>
      <c r="M2197">
        <v>23.6752461801767</v>
      </c>
      <c r="N2197">
        <v>54.893616283927798</v>
      </c>
      <c r="O2197">
        <v>54.250685485037799</v>
      </c>
      <c r="P2197">
        <v>-0.103366578808507</v>
      </c>
      <c r="Q2197">
        <v>5.2577704340405103E-2</v>
      </c>
      <c r="R2197">
        <v>0.98915638083665902</v>
      </c>
      <c r="S2197" t="s">
        <v>8814</v>
      </c>
      <c r="T2197" t="s">
        <v>13232</v>
      </c>
      <c r="U2197" t="s">
        <v>13232</v>
      </c>
      <c r="V2197" t="s">
        <v>13232</v>
      </c>
      <c r="W2197" t="s">
        <v>15378</v>
      </c>
      <c r="X2197">
        <v>16</v>
      </c>
      <c r="Y2197" t="s">
        <v>21870</v>
      </c>
      <c r="Z2197" t="s">
        <v>28328</v>
      </c>
      <c r="AA2197">
        <v>0.52444520816923179</v>
      </c>
      <c r="AB2197" t="str">
        <f>HYPERLINK("Melting_Curves/meltCurve_P32119_PRDX2.pdf", "Melting_Curves/meltCurve_P32119_PRDX2.pdf")</f>
        <v>Melting_Curves/meltCurve_P32119_PRDX2.pdf</v>
      </c>
    </row>
    <row r="2198" spans="1:28" x14ac:dyDescent="0.25">
      <c r="A2198" t="s">
        <v>2202</v>
      </c>
      <c r="B2198">
        <v>0.99930955844802105</v>
      </c>
      <c r="C2198">
        <v>0.91962965163172805</v>
      </c>
      <c r="D2198">
        <v>0.87359905502940405</v>
      </c>
      <c r="E2198">
        <v>0.62422958458974798</v>
      </c>
      <c r="F2198">
        <v>0.25138591373579999</v>
      </c>
      <c r="G2198">
        <v>0.16461986558355701</v>
      </c>
      <c r="H2198">
        <v>0.1032512764426</v>
      </c>
      <c r="I2198">
        <v>9.4616482355390205E-2</v>
      </c>
      <c r="J2198">
        <v>7.9925417569273696E-2</v>
      </c>
      <c r="K2198">
        <v>6.7863215146780606E-2</v>
      </c>
      <c r="L2198">
        <v>1096.7470139879399</v>
      </c>
      <c r="M2198">
        <v>21.783928017531402</v>
      </c>
      <c r="N2198">
        <v>50.733958024622197</v>
      </c>
      <c r="O2198">
        <v>49.928090815406499</v>
      </c>
      <c r="P2198">
        <v>-0.100722413688853</v>
      </c>
      <c r="Q2198">
        <v>7.6610641852049702E-2</v>
      </c>
      <c r="R2198">
        <v>0.99223937870268097</v>
      </c>
      <c r="S2198" t="s">
        <v>8815</v>
      </c>
      <c r="T2198" t="s">
        <v>13232</v>
      </c>
      <c r="U2198" t="s">
        <v>13232</v>
      </c>
      <c r="V2198" t="s">
        <v>13232</v>
      </c>
      <c r="W2198" t="s">
        <v>15379</v>
      </c>
      <c r="X2198">
        <v>8</v>
      </c>
      <c r="Y2198" t="s">
        <v>21871</v>
      </c>
      <c r="Z2198" t="s">
        <v>28329</v>
      </c>
      <c r="AA2198">
        <v>0.40595290443367171</v>
      </c>
      <c r="AB2198" t="str">
        <f>HYPERLINK("Melting_Curves/meltCurve_P32121_5_ARRB2.pdf", "Melting_Curves/meltCurve_P32121_5_ARRB2.pdf")</f>
        <v>Melting_Curves/meltCurve_P32121_5_ARRB2.pdf</v>
      </c>
    </row>
    <row r="2199" spans="1:28" x14ac:dyDescent="0.25">
      <c r="A2199" t="s">
        <v>2203</v>
      </c>
      <c r="B2199">
        <v>0.99930955844802105</v>
      </c>
      <c r="C2199">
        <v>0.98373016698207305</v>
      </c>
      <c r="D2199">
        <v>1.0010292414629001</v>
      </c>
      <c r="E2199">
        <v>0.94836082502445795</v>
      </c>
      <c r="F2199">
        <v>0.87361750700692398</v>
      </c>
      <c r="G2199">
        <v>0.67136849806906695</v>
      </c>
      <c r="H2199">
        <v>0.425711107651495</v>
      </c>
      <c r="I2199">
        <v>0.21560310508312799</v>
      </c>
      <c r="J2199">
        <v>0.108164678382335</v>
      </c>
      <c r="K2199">
        <v>7.3181537651836895E-2</v>
      </c>
      <c r="L2199">
        <v>1005.58829653032</v>
      </c>
      <c r="M2199">
        <v>16.9143930554653</v>
      </c>
      <c r="N2199">
        <v>59.451633748507902</v>
      </c>
      <c r="O2199">
        <v>58.639285585027302</v>
      </c>
      <c r="P2199">
        <v>-7.2116580423657206E-2</v>
      </c>
      <c r="Q2199">
        <v>0</v>
      </c>
      <c r="R2199">
        <v>0.99830262885818999</v>
      </c>
      <c r="S2199" t="s">
        <v>8816</v>
      </c>
      <c r="T2199" t="s">
        <v>13232</v>
      </c>
      <c r="U2199" t="s">
        <v>13232</v>
      </c>
      <c r="V2199" t="s">
        <v>13232</v>
      </c>
      <c r="W2199" t="s">
        <v>15380</v>
      </c>
      <c r="X2199">
        <v>13</v>
      </c>
      <c r="Y2199" t="s">
        <v>21872</v>
      </c>
      <c r="Z2199" t="s">
        <v>28330</v>
      </c>
      <c r="AA2199">
        <v>0.65795038074518963</v>
      </c>
      <c r="AB2199" t="str">
        <f>HYPERLINK("Melting_Curves/meltCurve_P32321_DCTD.pdf", "Melting_Curves/meltCurve_P32321_DCTD.pdf")</f>
        <v>Melting_Curves/meltCurve_P32321_DCTD.pdf</v>
      </c>
    </row>
    <row r="2200" spans="1:28" x14ac:dyDescent="0.25">
      <c r="A2200" t="s">
        <v>2204</v>
      </c>
      <c r="B2200">
        <v>0.99930955844802105</v>
      </c>
      <c r="C2200">
        <v>0.76252074115889101</v>
      </c>
      <c r="D2200">
        <v>0.80039986719817602</v>
      </c>
      <c r="E2200">
        <v>0.92936174315119602</v>
      </c>
      <c r="F2200">
        <v>0.97179730527861596</v>
      </c>
      <c r="G2200">
        <v>0.77785437347208597</v>
      </c>
      <c r="H2200">
        <v>0.25426403480033799</v>
      </c>
      <c r="I2200">
        <v>0.188082399916988</v>
      </c>
      <c r="J2200">
        <v>0.130873337639351</v>
      </c>
      <c r="K2200">
        <v>9.0800031269002504E-2</v>
      </c>
      <c r="L2200">
        <v>2250.0610399556299</v>
      </c>
      <c r="M2200">
        <v>38.437122887141697</v>
      </c>
      <c r="N2200">
        <v>58.952679541659499</v>
      </c>
      <c r="O2200">
        <v>58.380972204764298</v>
      </c>
      <c r="P2200">
        <v>-0.145130402205458</v>
      </c>
      <c r="Q2200">
        <v>0.118265640558472</v>
      </c>
      <c r="R2200">
        <v>0.91830485530778005</v>
      </c>
      <c r="S2200" t="s">
        <v>8817</v>
      </c>
      <c r="T2200" t="s">
        <v>13232</v>
      </c>
      <c r="U2200" t="s">
        <v>13232</v>
      </c>
      <c r="V2200" t="s">
        <v>13232</v>
      </c>
      <c r="W2200" t="s">
        <v>15381</v>
      </c>
      <c r="X2200">
        <v>14</v>
      </c>
      <c r="Y2200" t="s">
        <v>21873</v>
      </c>
      <c r="Z2200" t="s">
        <v>28331</v>
      </c>
      <c r="AA2200">
        <v>0.66688215444292731</v>
      </c>
      <c r="AB2200" t="str">
        <f>HYPERLINK("Melting_Curves/meltCurve_P32322_PYCR1.pdf", "Melting_Curves/meltCurve_P32322_PYCR1.pdf")</f>
        <v>Melting_Curves/meltCurve_P32322_PYCR1.pdf</v>
      </c>
    </row>
    <row r="2201" spans="1:28" x14ac:dyDescent="0.25">
      <c r="A2201" t="s">
        <v>2205</v>
      </c>
      <c r="B2201">
        <v>0.99930955844802105</v>
      </c>
      <c r="C2201">
        <v>1.0317440640397699</v>
      </c>
      <c r="D2201">
        <v>1.0572471565611099</v>
      </c>
      <c r="E2201">
        <v>0.48130719291914598</v>
      </c>
      <c r="F2201">
        <v>0.20710178229752099</v>
      </c>
      <c r="G2201">
        <v>0.123716767690674</v>
      </c>
      <c r="H2201">
        <v>7.1256726647187602E-2</v>
      </c>
      <c r="I2201">
        <v>5.5808942970625497E-2</v>
      </c>
      <c r="J2201">
        <v>4.4445458512353597E-2</v>
      </c>
      <c r="K2201">
        <v>3.4724120208087898E-2</v>
      </c>
      <c r="L2201">
        <v>1949.3336083229799</v>
      </c>
      <c r="M2201">
        <v>39.085855662747797</v>
      </c>
      <c r="N2201">
        <v>50.069711515781798</v>
      </c>
      <c r="O2201">
        <v>49.743105580359</v>
      </c>
      <c r="P2201">
        <v>-0.182464587341753</v>
      </c>
      <c r="Q2201">
        <v>7.1138720368837102E-2</v>
      </c>
      <c r="R2201">
        <v>0.99034391812243505</v>
      </c>
      <c r="S2201" t="s">
        <v>8818</v>
      </c>
      <c r="T2201" t="s">
        <v>13232</v>
      </c>
      <c r="U2201" t="s">
        <v>13232</v>
      </c>
      <c r="V2201" t="s">
        <v>13232</v>
      </c>
      <c r="W2201" t="s">
        <v>15382</v>
      </c>
      <c r="X2201">
        <v>8</v>
      </c>
      <c r="Y2201" t="s">
        <v>21874</v>
      </c>
      <c r="Z2201" t="s">
        <v>28332</v>
      </c>
      <c r="AA2201">
        <v>0.38018723417775829</v>
      </c>
      <c r="AB2201" t="str">
        <f>HYPERLINK("Melting_Curves/meltCurve_P32456_GBP2.pdf", "Melting_Curves/meltCurve_P32456_GBP2.pdf")</f>
        <v>Melting_Curves/meltCurve_P32456_GBP2.pdf</v>
      </c>
    </row>
    <row r="2202" spans="1:28" x14ac:dyDescent="0.25">
      <c r="A2202" t="s">
        <v>2206</v>
      </c>
      <c r="B2202">
        <v>0.99930955844802105</v>
      </c>
      <c r="C2202">
        <v>1.1587237252889899</v>
      </c>
      <c r="D2202">
        <v>1.08183140983405</v>
      </c>
      <c r="E2202">
        <v>0.99142008225106204</v>
      </c>
      <c r="F2202">
        <v>0.93226077571031296</v>
      </c>
      <c r="G2202">
        <v>0.83635400567125695</v>
      </c>
      <c r="H2202">
        <v>0.88667643894958703</v>
      </c>
      <c r="I2202">
        <v>1.0152974972301501</v>
      </c>
      <c r="J2202">
        <v>1.0083863085426299</v>
      </c>
      <c r="K2202">
        <v>0.84388378355891502</v>
      </c>
      <c r="L2202">
        <v>3713.7380162836398</v>
      </c>
      <c r="M2202">
        <v>71.837431857419801</v>
      </c>
      <c r="O2202">
        <v>51.656401430299802</v>
      </c>
      <c r="P2202">
        <v>-2.83628982644594E-2</v>
      </c>
      <c r="Q2202">
        <v>0.91841997001592501</v>
      </c>
      <c r="R2202">
        <v>0.33871828478871702</v>
      </c>
      <c r="S2202" t="s">
        <v>8819</v>
      </c>
      <c r="T2202" t="s">
        <v>13232</v>
      </c>
      <c r="U2202" t="s">
        <v>13232</v>
      </c>
      <c r="V2202" t="s">
        <v>13232</v>
      </c>
      <c r="W2202" t="s">
        <v>15383</v>
      </c>
      <c r="X2202">
        <v>14</v>
      </c>
      <c r="Y2202" t="s">
        <v>21875</v>
      </c>
      <c r="Z2202" t="s">
        <v>28333</v>
      </c>
      <c r="AA2202">
        <v>0.95031630562280234</v>
      </c>
      <c r="AB2202" t="str">
        <f>HYPERLINK("Melting_Curves/meltCurve_P32519_2_ELF1.pdf", "Melting_Curves/meltCurve_P32519_2_ELF1.pdf")</f>
        <v>Melting_Curves/meltCurve_P32519_2_ELF1.pdf</v>
      </c>
    </row>
    <row r="2203" spans="1:28" x14ac:dyDescent="0.25">
      <c r="A2203" t="s">
        <v>2207</v>
      </c>
      <c r="B2203">
        <v>0.99930955844802105</v>
      </c>
      <c r="C2203">
        <v>0.92949488619394405</v>
      </c>
      <c r="D2203">
        <v>0.78379335046973697</v>
      </c>
      <c r="E2203">
        <v>0.44107815439299602</v>
      </c>
      <c r="F2203">
        <v>0.231045678066302</v>
      </c>
      <c r="G2203">
        <v>0.149498653927985</v>
      </c>
      <c r="H2203">
        <v>7.9029484781542494E-2</v>
      </c>
      <c r="I2203">
        <v>6.5101127467056E-2</v>
      </c>
      <c r="J2203">
        <v>5.4819477065651899E-2</v>
      </c>
      <c r="K2203">
        <v>4.5249913102811602E-2</v>
      </c>
      <c r="L2203">
        <v>890.075920813837</v>
      </c>
      <c r="M2203">
        <v>18.158037027397501</v>
      </c>
      <c r="N2203">
        <v>49.317668395662501</v>
      </c>
      <c r="O2203">
        <v>48.435371933436997</v>
      </c>
      <c r="P2203">
        <v>-8.8836379388562994E-2</v>
      </c>
      <c r="Q2203">
        <v>5.2184479905414201E-2</v>
      </c>
      <c r="R2203">
        <v>0.99895173824015904</v>
      </c>
      <c r="S2203" t="s">
        <v>8820</v>
      </c>
      <c r="T2203" t="s">
        <v>13232</v>
      </c>
      <c r="U2203" t="s">
        <v>13232</v>
      </c>
      <c r="V2203" t="s">
        <v>13232</v>
      </c>
      <c r="W2203" t="s">
        <v>15384</v>
      </c>
      <c r="X2203">
        <v>13</v>
      </c>
      <c r="Y2203" t="s">
        <v>21876</v>
      </c>
      <c r="Z2203" t="s">
        <v>28334</v>
      </c>
      <c r="AA2203">
        <v>0.35323466141490351</v>
      </c>
      <c r="AB2203" t="str">
        <f>HYPERLINK("Melting_Curves/meltCurve_P32780_GTF2H1.pdf", "Melting_Curves/meltCurve_P32780_GTF2H1.pdf")</f>
        <v>Melting_Curves/meltCurve_P32780_GTF2H1.pdf</v>
      </c>
    </row>
    <row r="2204" spans="1:28" x14ac:dyDescent="0.25">
      <c r="A2204" t="s">
        <v>2208</v>
      </c>
      <c r="B2204">
        <v>0.99930955844802105</v>
      </c>
      <c r="C2204">
        <v>0.94462349095383302</v>
      </c>
      <c r="D2204">
        <v>0.93855233663798099</v>
      </c>
      <c r="E2204">
        <v>0.93181505837701095</v>
      </c>
      <c r="F2204">
        <v>0.937899473286815</v>
      </c>
      <c r="G2204">
        <v>0.73648508893014397</v>
      </c>
      <c r="H2204">
        <v>0.47675601279468099</v>
      </c>
      <c r="I2204">
        <v>0.50111416786058605</v>
      </c>
      <c r="J2204">
        <v>0.430956929063465</v>
      </c>
      <c r="K2204">
        <v>0.28825535688800702</v>
      </c>
      <c r="L2204">
        <v>864.93683842667997</v>
      </c>
      <c r="M2204">
        <v>14.6329857406293</v>
      </c>
      <c r="N2204">
        <v>62.3994591467467</v>
      </c>
      <c r="O2204">
        <v>58.0377024228221</v>
      </c>
      <c r="P2204">
        <v>-4.6088905276151802E-2</v>
      </c>
      <c r="Q2204">
        <v>0.26888566731649399</v>
      </c>
      <c r="R2204">
        <v>0.96596037957872305</v>
      </c>
      <c r="S2204" t="s">
        <v>8821</v>
      </c>
      <c r="T2204" t="s">
        <v>13232</v>
      </c>
      <c r="U2204" t="s">
        <v>13232</v>
      </c>
      <c r="V2204" t="s">
        <v>13232</v>
      </c>
      <c r="W2204" t="s">
        <v>15385</v>
      </c>
      <c r="X2204">
        <v>21</v>
      </c>
      <c r="Y2204" t="s">
        <v>21877</v>
      </c>
      <c r="Z2204" t="s">
        <v>28335</v>
      </c>
      <c r="AA2204">
        <v>0.74186036849438008</v>
      </c>
      <c r="AB2204" t="str">
        <f>HYPERLINK("Melting_Curves/meltCurve_P32929_CTH.pdf", "Melting_Curves/meltCurve_P32929_CTH.pdf")</f>
        <v>Melting_Curves/meltCurve_P32929_CTH.pdf</v>
      </c>
    </row>
    <row r="2205" spans="1:28" x14ac:dyDescent="0.25">
      <c r="A2205" t="s">
        <v>2209</v>
      </c>
      <c r="B2205">
        <v>0.99930955844802105</v>
      </c>
      <c r="C2205">
        <v>0.67561762460112496</v>
      </c>
      <c r="D2205">
        <v>0.48505408132741601</v>
      </c>
      <c r="E2205">
        <v>0.39317828547308598</v>
      </c>
      <c r="F2205">
        <v>0.22650863995089199</v>
      </c>
      <c r="G2205">
        <v>0.11319666979276601</v>
      </c>
      <c r="H2205">
        <v>5.1424196715150999E-2</v>
      </c>
      <c r="I2205">
        <v>3.6793394739882697E-2</v>
      </c>
      <c r="J2205">
        <v>3.3261497175177797E-2</v>
      </c>
      <c r="K2205">
        <v>2.4950703610584699E-2</v>
      </c>
      <c r="L2205">
        <v>536.27979165417003</v>
      </c>
      <c r="M2205">
        <v>11.4549537689541</v>
      </c>
      <c r="N2205">
        <v>46.835954665299397</v>
      </c>
      <c r="O2205">
        <v>45.457767071809599</v>
      </c>
      <c r="P2205">
        <v>-6.2865725154457805E-2</v>
      </c>
      <c r="Q2205">
        <v>2.3840660569879801E-3</v>
      </c>
      <c r="R2205">
        <v>0.97084236333987906</v>
      </c>
      <c r="S2205" t="s">
        <v>8822</v>
      </c>
      <c r="T2205" t="s">
        <v>13232</v>
      </c>
      <c r="U2205" t="s">
        <v>13232</v>
      </c>
      <c r="V2205" t="s">
        <v>13232</v>
      </c>
      <c r="W2205" t="s">
        <v>15386</v>
      </c>
      <c r="X2205">
        <v>8</v>
      </c>
      <c r="Y2205" t="s">
        <v>21878</v>
      </c>
      <c r="Z2205" t="s">
        <v>28336</v>
      </c>
      <c r="AA2205">
        <v>0.27525590479642892</v>
      </c>
      <c r="AB2205" t="str">
        <f>HYPERLINK("Melting_Curves/meltCurve_P33121_2_ACSL1.pdf", "Melting_Curves/meltCurve_P33121_2_ACSL1.pdf")</f>
        <v>Melting_Curves/meltCurve_P33121_2_ACSL1.pdf</v>
      </c>
    </row>
    <row r="2206" spans="1:28" x14ac:dyDescent="0.25">
      <c r="A2206" t="s">
        <v>2210</v>
      </c>
      <c r="B2206">
        <v>0.99930955844802105</v>
      </c>
      <c r="C2206">
        <v>0.87824468498568897</v>
      </c>
      <c r="D2206">
        <v>0.87995788432246003</v>
      </c>
      <c r="E2206">
        <v>0.67501349506498198</v>
      </c>
      <c r="F2206">
        <v>0.199896894797021</v>
      </c>
      <c r="G2206">
        <v>0.136124305150848</v>
      </c>
      <c r="H2206">
        <v>7.5060836324658001E-2</v>
      </c>
      <c r="I2206">
        <v>6.5342507254239401E-2</v>
      </c>
      <c r="J2206">
        <v>6.0366720373871301E-2</v>
      </c>
      <c r="K2206">
        <v>4.3855888348536098E-2</v>
      </c>
      <c r="L2206">
        <v>1531.2503670267899</v>
      </c>
      <c r="M2206">
        <v>30.2196996177796</v>
      </c>
      <c r="N2206">
        <v>50.893120308693597</v>
      </c>
      <c r="O2206">
        <v>50.450270336463603</v>
      </c>
      <c r="P2206">
        <v>-0.140483616148846</v>
      </c>
      <c r="Q2206">
        <v>6.1884614124954503E-2</v>
      </c>
      <c r="R2206">
        <v>0.98073531729840802</v>
      </c>
      <c r="S2206" t="s">
        <v>8823</v>
      </c>
      <c r="T2206" t="s">
        <v>13232</v>
      </c>
      <c r="U2206" t="s">
        <v>13232</v>
      </c>
      <c r="V2206" t="s">
        <v>13232</v>
      </c>
      <c r="W2206" t="s">
        <v>15387</v>
      </c>
      <c r="X2206">
        <v>58</v>
      </c>
      <c r="Y2206" t="s">
        <v>21879</v>
      </c>
      <c r="Z2206" t="s">
        <v>28337</v>
      </c>
      <c r="AA2206">
        <v>0.40134087987325989</v>
      </c>
      <c r="AB2206" t="str">
        <f>HYPERLINK("Melting_Curves/meltCurve_P33176_KIF5B.pdf", "Melting_Curves/meltCurve_P33176_KIF5B.pdf")</f>
        <v>Melting_Curves/meltCurve_P33176_KIF5B.pdf</v>
      </c>
    </row>
    <row r="2207" spans="1:28" x14ac:dyDescent="0.25">
      <c r="A2207" t="s">
        <v>2211</v>
      </c>
      <c r="B2207">
        <v>0.99930955844802105</v>
      </c>
      <c r="C2207">
        <v>0.98162247439834904</v>
      </c>
      <c r="D2207">
        <v>0.97956263328358795</v>
      </c>
      <c r="E2207">
        <v>0.92849801494157103</v>
      </c>
      <c r="F2207">
        <v>0.82403134600013195</v>
      </c>
      <c r="G2207">
        <v>0.72082944181137398</v>
      </c>
      <c r="H2207">
        <v>0.68080177110312801</v>
      </c>
      <c r="I2207">
        <v>0.73956563671167697</v>
      </c>
      <c r="J2207">
        <v>0.73581943531598903</v>
      </c>
      <c r="K2207">
        <v>0.57381232856123199</v>
      </c>
      <c r="L2207">
        <v>997.35710914572405</v>
      </c>
      <c r="M2207">
        <v>18.8719329024287</v>
      </c>
      <c r="O2207">
        <v>52.266020501676898</v>
      </c>
      <c r="P2207">
        <v>-2.9979555465538599E-2</v>
      </c>
      <c r="Q2207">
        <v>0.66789879853024203</v>
      </c>
      <c r="R2207">
        <v>0.91142386795674502</v>
      </c>
      <c r="S2207" t="s">
        <v>8824</v>
      </c>
      <c r="T2207" t="s">
        <v>13232</v>
      </c>
      <c r="U2207" t="s">
        <v>13232</v>
      </c>
      <c r="V2207" t="s">
        <v>13232</v>
      </c>
      <c r="W2207" t="s">
        <v>15388</v>
      </c>
      <c r="X2207">
        <v>25</v>
      </c>
      <c r="Y2207" t="s">
        <v>21880</v>
      </c>
      <c r="Z2207" t="s">
        <v>28338</v>
      </c>
      <c r="AA2207">
        <v>0.81518008195419589</v>
      </c>
      <c r="AB2207" t="str">
        <f>HYPERLINK("Melting_Curves/meltCurve_P33240_2_CSTF2.pdf", "Melting_Curves/meltCurve_P33240_2_CSTF2.pdf")</f>
        <v>Melting_Curves/meltCurve_P33240_2_CSTF2.pdf</v>
      </c>
    </row>
    <row r="2208" spans="1:28" x14ac:dyDescent="0.25">
      <c r="A2208" t="s">
        <v>2212</v>
      </c>
      <c r="B2208">
        <v>0.99930955844802105</v>
      </c>
      <c r="C2208">
        <v>1.0941612944810499</v>
      </c>
      <c r="D2208">
        <v>1.05437410892806</v>
      </c>
      <c r="E2208">
        <v>0.87647129443924998</v>
      </c>
      <c r="F2208">
        <v>0.53380603612741895</v>
      </c>
      <c r="G2208">
        <v>0.30057040796524698</v>
      </c>
      <c r="H2208">
        <v>0.24551403344272199</v>
      </c>
      <c r="I2208">
        <v>0.230854522165959</v>
      </c>
      <c r="J2208">
        <v>0.23662483094289499</v>
      </c>
      <c r="K2208">
        <v>0.20984502669086999</v>
      </c>
      <c r="L2208">
        <v>1801.2933400464101</v>
      </c>
      <c r="M2208">
        <v>34.381310548068498</v>
      </c>
      <c r="N2208">
        <v>53.365515185194702</v>
      </c>
      <c r="O2208">
        <v>52.215346192724802</v>
      </c>
      <c r="P2208">
        <v>-0.12625568209577101</v>
      </c>
      <c r="Q2208">
        <v>0.233018236019428</v>
      </c>
      <c r="R2208">
        <v>0.98954341464227802</v>
      </c>
      <c r="S2208" t="s">
        <v>8825</v>
      </c>
      <c r="T2208" t="s">
        <v>13232</v>
      </c>
      <c r="U2208" t="s">
        <v>13232</v>
      </c>
      <c r="V2208" t="s">
        <v>13232</v>
      </c>
      <c r="W2208" t="s">
        <v>15389</v>
      </c>
      <c r="X2208">
        <v>12</v>
      </c>
      <c r="Y2208" t="s">
        <v>21881</v>
      </c>
      <c r="Z2208" t="s">
        <v>28339</v>
      </c>
      <c r="AA2208">
        <v>0.55358358759128123</v>
      </c>
      <c r="AB2208" t="str">
        <f>HYPERLINK("Melting_Curves/meltCurve_P33316_DUT.pdf", "Melting_Curves/meltCurve_P33316_DUT.pdf")</f>
        <v>Melting_Curves/meltCurve_P33316_DUT.pdf</v>
      </c>
    </row>
    <row r="2209" spans="1:28" x14ac:dyDescent="0.25">
      <c r="A2209" t="s">
        <v>2213</v>
      </c>
      <c r="B2209">
        <v>0.99930955844802105</v>
      </c>
      <c r="C2209">
        <v>1.1608181643222999</v>
      </c>
      <c r="D2209">
        <v>1.20827274499547</v>
      </c>
      <c r="E2209">
        <v>0.94624777982991604</v>
      </c>
      <c r="F2209">
        <v>0.54917612660822401</v>
      </c>
      <c r="G2209">
        <v>0.35234929196951598</v>
      </c>
      <c r="H2209">
        <v>0.25197282496502099</v>
      </c>
      <c r="I2209">
        <v>0.235000420628593</v>
      </c>
      <c r="J2209">
        <v>0.23728514296703501</v>
      </c>
      <c r="K2209">
        <v>0.20541107904157299</v>
      </c>
      <c r="L2209">
        <v>2181.9479236942102</v>
      </c>
      <c r="M2209">
        <v>41.448284458254101</v>
      </c>
      <c r="N2209">
        <v>53.522928334152397</v>
      </c>
      <c r="O2209">
        <v>52.520562800904003</v>
      </c>
      <c r="P2209">
        <v>-0.14854065076829501</v>
      </c>
      <c r="Q2209">
        <v>0.24711725320153399</v>
      </c>
      <c r="R2209">
        <v>0.94983017682619097</v>
      </c>
      <c r="S2209" t="s">
        <v>8826</v>
      </c>
      <c r="T2209" t="s">
        <v>13232</v>
      </c>
      <c r="U2209" t="s">
        <v>13232</v>
      </c>
      <c r="V2209" t="s">
        <v>13232</v>
      </c>
      <c r="W2209" t="s">
        <v>15390</v>
      </c>
      <c r="X2209">
        <v>12</v>
      </c>
      <c r="Y2209" t="s">
        <v>21881</v>
      </c>
      <c r="Z2209" t="s">
        <v>28340</v>
      </c>
      <c r="AA2209">
        <v>0.56694721743355714</v>
      </c>
      <c r="AB2209" t="str">
        <f>HYPERLINK("Melting_Curves/meltCurve_P33316_2_DUT.pdf", "Melting_Curves/meltCurve_P33316_2_DUT.pdf")</f>
        <v>Melting_Curves/meltCurve_P33316_2_DUT.pdf</v>
      </c>
    </row>
    <row r="2210" spans="1:28" x14ac:dyDescent="0.25">
      <c r="A2210" t="s">
        <v>2214</v>
      </c>
      <c r="B2210">
        <v>0.99930955844802105</v>
      </c>
      <c r="C2210">
        <v>0.98048578543221998</v>
      </c>
      <c r="D2210">
        <v>0.88475931818020703</v>
      </c>
      <c r="E2210">
        <v>0.70253799952648199</v>
      </c>
      <c r="F2210">
        <v>0.48831492797957199</v>
      </c>
      <c r="G2210">
        <v>0.36689600346162998</v>
      </c>
      <c r="H2210">
        <v>0.29768978310938898</v>
      </c>
      <c r="I2210">
        <v>0.297874146734951</v>
      </c>
      <c r="J2210">
        <v>0.30528212207020899</v>
      </c>
      <c r="K2210">
        <v>0.213276535902713</v>
      </c>
      <c r="L2210">
        <v>868.05660566169797</v>
      </c>
      <c r="M2210">
        <v>17.050638148565099</v>
      </c>
      <c r="N2210">
        <v>53.162287925042598</v>
      </c>
      <c r="O2210">
        <v>50.225704451586502</v>
      </c>
      <c r="P2210">
        <v>-6.3048668887773496E-2</v>
      </c>
      <c r="Q2210">
        <v>0.257161049383202</v>
      </c>
      <c r="R2210">
        <v>0.99392032001668196</v>
      </c>
      <c r="S2210" t="s">
        <v>8827</v>
      </c>
      <c r="T2210" t="s">
        <v>13232</v>
      </c>
      <c r="U2210" t="s">
        <v>13232</v>
      </c>
      <c r="V2210" t="s">
        <v>13232</v>
      </c>
      <c r="W2210" t="s">
        <v>15391</v>
      </c>
      <c r="X2210">
        <v>4</v>
      </c>
      <c r="Y2210" t="s">
        <v>21882</v>
      </c>
      <c r="Z2210" t="s">
        <v>28341</v>
      </c>
      <c r="AA2210">
        <v>0.54112677098667783</v>
      </c>
      <c r="AB2210" t="str">
        <f>HYPERLINK("Melting_Curves/meltCurve_P33552_CKS2.pdf", "Melting_Curves/meltCurve_P33552_CKS2.pdf")</f>
        <v>Melting_Curves/meltCurve_P33552_CKS2.pdf</v>
      </c>
    </row>
    <row r="2211" spans="1:28" x14ac:dyDescent="0.25">
      <c r="A2211" t="s">
        <v>2215</v>
      </c>
      <c r="B2211">
        <v>0.99930955844802105</v>
      </c>
      <c r="C2211">
        <v>0.93668210431642396</v>
      </c>
      <c r="D2211">
        <v>0.84641659844701</v>
      </c>
      <c r="E2211">
        <v>0.60221007966248097</v>
      </c>
      <c r="F2211">
        <v>0.39859834024309099</v>
      </c>
      <c r="G2211">
        <v>0.25370322324424399</v>
      </c>
      <c r="H2211">
        <v>0.250089705670897</v>
      </c>
      <c r="I2211">
        <v>0.20251300295369601</v>
      </c>
      <c r="J2211">
        <v>0.186316585039563</v>
      </c>
      <c r="K2211">
        <v>0.15017391854099199</v>
      </c>
      <c r="L2211">
        <v>822.94886455187304</v>
      </c>
      <c r="M2211">
        <v>16.4287207600103</v>
      </c>
      <c r="N2211">
        <v>51.401482066502801</v>
      </c>
      <c r="O2211">
        <v>49.3675427081604</v>
      </c>
      <c r="P2211">
        <v>-6.8975730672465596E-2</v>
      </c>
      <c r="Q2211">
        <v>0.17098314091505001</v>
      </c>
      <c r="R2211">
        <v>0.99686144384613196</v>
      </c>
      <c r="S2211" t="s">
        <v>8828</v>
      </c>
      <c r="T2211" t="s">
        <v>13232</v>
      </c>
      <c r="U2211" t="s">
        <v>13232</v>
      </c>
      <c r="V2211" t="s">
        <v>13232</v>
      </c>
      <c r="W2211" t="s">
        <v>15392</v>
      </c>
      <c r="X2211">
        <v>10</v>
      </c>
      <c r="Y2211" t="s">
        <v>21883</v>
      </c>
      <c r="Z2211" t="s">
        <v>28342</v>
      </c>
      <c r="AA2211">
        <v>0.46660480529115222</v>
      </c>
      <c r="AB2211" t="str">
        <f>HYPERLINK("Melting_Curves/meltCurve_P33981_2_TTK.pdf", "Melting_Curves/meltCurve_P33981_2_TTK.pdf")</f>
        <v>Melting_Curves/meltCurve_P33981_2_TTK.pdf</v>
      </c>
    </row>
    <row r="2212" spans="1:28" x14ac:dyDescent="0.25">
      <c r="A2212" t="s">
        <v>2216</v>
      </c>
      <c r="B2212">
        <v>0.99930955844802105</v>
      </c>
      <c r="C2212">
        <v>0.62950165454071705</v>
      </c>
      <c r="D2212">
        <v>0.63578919968477499</v>
      </c>
      <c r="E2212">
        <v>0.32689905825094501</v>
      </c>
      <c r="F2212">
        <v>0.182989052998902</v>
      </c>
      <c r="G2212">
        <v>0.13123133126538</v>
      </c>
      <c r="H2212">
        <v>8.9494832518654005E-2</v>
      </c>
      <c r="I2212">
        <v>8.3191835666715799E-2</v>
      </c>
      <c r="J2212">
        <v>8.7434071639453798E-2</v>
      </c>
      <c r="K2212">
        <v>5.92473952677426E-2</v>
      </c>
      <c r="L2212">
        <v>611.71162434147197</v>
      </c>
      <c r="M2212">
        <v>13.1584361947329</v>
      </c>
      <c r="N2212">
        <v>46.899606007871199</v>
      </c>
      <c r="O2212">
        <v>45.453796667541397</v>
      </c>
      <c r="P2212">
        <v>-6.8439043447014902E-2</v>
      </c>
      <c r="Q2212">
        <v>5.4510690698712901E-2</v>
      </c>
      <c r="R2212">
        <v>0.96306579972745698</v>
      </c>
      <c r="S2212" t="s">
        <v>8829</v>
      </c>
      <c r="T2212" t="s">
        <v>13232</v>
      </c>
      <c r="U2212" t="s">
        <v>13232</v>
      </c>
      <c r="V2212" t="s">
        <v>13232</v>
      </c>
      <c r="W2212" t="s">
        <v>15393</v>
      </c>
      <c r="X2212">
        <v>46</v>
      </c>
      <c r="Y2212" t="s">
        <v>21884</v>
      </c>
      <c r="Z2212" t="s">
        <v>28343</v>
      </c>
      <c r="AA2212">
        <v>0.29365016251126302</v>
      </c>
      <c r="AB2212" t="str">
        <f>HYPERLINK("Melting_Curves/meltCurve_P33991_MCM4.pdf", "Melting_Curves/meltCurve_P33991_MCM4.pdf")</f>
        <v>Melting_Curves/meltCurve_P33991_MCM4.pdf</v>
      </c>
    </row>
    <row r="2213" spans="1:28" x14ac:dyDescent="0.25">
      <c r="A2213" t="s">
        <v>2217</v>
      </c>
      <c r="B2213">
        <v>0.99930955844802105</v>
      </c>
      <c r="C2213">
        <v>0.70449227085838695</v>
      </c>
      <c r="D2213">
        <v>0.69952953929589101</v>
      </c>
      <c r="E2213">
        <v>0.49049873858186399</v>
      </c>
      <c r="F2213">
        <v>0.237995519827844</v>
      </c>
      <c r="G2213">
        <v>0.13552457397256101</v>
      </c>
      <c r="H2213">
        <v>7.0309736169058404E-2</v>
      </c>
      <c r="I2213">
        <v>5.7680679148501501E-2</v>
      </c>
      <c r="J2213">
        <v>4.7007014098352298E-2</v>
      </c>
      <c r="K2213">
        <v>3.7437329283501297E-2</v>
      </c>
      <c r="L2213">
        <v>564.96664184816302</v>
      </c>
      <c r="M2213">
        <v>11.6051626442133</v>
      </c>
      <c r="N2213">
        <v>48.682378152383997</v>
      </c>
      <c r="O2213">
        <v>47.304208427258502</v>
      </c>
      <c r="P2213">
        <v>-6.1349441184677403E-2</v>
      </c>
      <c r="Q2213">
        <v>0</v>
      </c>
      <c r="R2213">
        <v>0.97387683132235503</v>
      </c>
      <c r="S2213" t="s">
        <v>8830</v>
      </c>
      <c r="T2213" t="s">
        <v>13232</v>
      </c>
      <c r="U2213" t="s">
        <v>13232</v>
      </c>
      <c r="V2213" t="s">
        <v>13232</v>
      </c>
      <c r="W2213" t="s">
        <v>15394</v>
      </c>
      <c r="X2213">
        <v>43</v>
      </c>
      <c r="Y2213" t="s">
        <v>21885</v>
      </c>
      <c r="Z2213" t="s">
        <v>28344</v>
      </c>
      <c r="AA2213">
        <v>0.32904866308879482</v>
      </c>
      <c r="AB2213" t="str">
        <f>HYPERLINK("Melting_Curves/meltCurve_P33992_MCM5.pdf", "Melting_Curves/meltCurve_P33992_MCM5.pdf")</f>
        <v>Melting_Curves/meltCurve_P33992_MCM5.pdf</v>
      </c>
    </row>
    <row r="2214" spans="1:28" x14ac:dyDescent="0.25">
      <c r="A2214" t="s">
        <v>2218</v>
      </c>
      <c r="B2214">
        <v>0.99930955844802105</v>
      </c>
      <c r="C2214">
        <v>0.50907385853828901</v>
      </c>
      <c r="D2214">
        <v>0.41499093789893299</v>
      </c>
      <c r="E2214">
        <v>0.215855250104413</v>
      </c>
      <c r="F2214">
        <v>0.123508660735384</v>
      </c>
      <c r="G2214">
        <v>8.4029724316873694E-2</v>
      </c>
      <c r="H2214">
        <v>5.2534890554392102E-2</v>
      </c>
      <c r="I2214">
        <v>4.5979356430862199E-2</v>
      </c>
      <c r="J2214">
        <v>4.1485112937280598E-2</v>
      </c>
      <c r="K2214">
        <v>3.14341778055095E-2</v>
      </c>
      <c r="L2214">
        <v>723.66686886998195</v>
      </c>
      <c r="M2214">
        <v>16.360796040947999</v>
      </c>
      <c r="N2214">
        <v>44.519852001081802</v>
      </c>
      <c r="O2214">
        <v>43.586797392812898</v>
      </c>
      <c r="P2214">
        <v>-8.9133178512963498E-2</v>
      </c>
      <c r="Q2214">
        <v>5.0229538386462297E-2</v>
      </c>
      <c r="R2214">
        <v>0.95171408494166998</v>
      </c>
      <c r="S2214" t="s">
        <v>8831</v>
      </c>
      <c r="T2214" t="s">
        <v>13232</v>
      </c>
      <c r="U2214" t="s">
        <v>13232</v>
      </c>
      <c r="V2214" t="s">
        <v>13232</v>
      </c>
      <c r="W2214" t="s">
        <v>15395</v>
      </c>
      <c r="X2214">
        <v>36</v>
      </c>
      <c r="Y2214" t="s">
        <v>21886</v>
      </c>
      <c r="Z2214" t="s">
        <v>28345</v>
      </c>
      <c r="AA2214">
        <v>0.212052298062717</v>
      </c>
      <c r="AB2214" t="str">
        <f>HYPERLINK("Melting_Curves/meltCurve_P33993_MCM7.pdf", "Melting_Curves/meltCurve_P33993_MCM7.pdf")</f>
        <v>Melting_Curves/meltCurve_P33993_MCM7.pdf</v>
      </c>
    </row>
    <row r="2215" spans="1:28" x14ac:dyDescent="0.25">
      <c r="A2215" t="s">
        <v>2219</v>
      </c>
      <c r="B2215">
        <v>0.99930955844802105</v>
      </c>
      <c r="C2215">
        <v>0.987009530954151</v>
      </c>
      <c r="D2215">
        <v>0.90478249237606201</v>
      </c>
      <c r="E2215">
        <v>0.94802183528128103</v>
      </c>
      <c r="F2215">
        <v>0.95514583273155595</v>
      </c>
      <c r="G2215">
        <v>0.75870014728349799</v>
      </c>
      <c r="H2215">
        <v>0.60722233557708605</v>
      </c>
      <c r="I2215">
        <v>0.682095681341639</v>
      </c>
      <c r="J2215">
        <v>0.63049940621248002</v>
      </c>
      <c r="K2215">
        <v>0.40775903049682699</v>
      </c>
      <c r="L2215">
        <v>459.71115538905502</v>
      </c>
      <c r="M2215">
        <v>6.6791736468412797</v>
      </c>
      <c r="N2215">
        <v>68.827548118252693</v>
      </c>
      <c r="O2215">
        <v>63.4442577564744</v>
      </c>
      <c r="P2215">
        <v>-2.63769763148088E-2</v>
      </c>
      <c r="Q2215">
        <v>0</v>
      </c>
      <c r="R2215">
        <v>0.90333172648827598</v>
      </c>
      <c r="S2215" t="s">
        <v>8832</v>
      </c>
      <c r="T2215" t="s">
        <v>13232</v>
      </c>
      <c r="U2215" t="s">
        <v>13232</v>
      </c>
      <c r="V2215" t="s">
        <v>13232</v>
      </c>
      <c r="W2215" t="s">
        <v>15396</v>
      </c>
      <c r="X2215">
        <v>14</v>
      </c>
      <c r="Y2215" t="s">
        <v>21887</v>
      </c>
      <c r="Z2215" t="s">
        <v>28346</v>
      </c>
      <c r="AA2215">
        <v>0.80087280434840558</v>
      </c>
      <c r="AB2215" t="str">
        <f>HYPERLINK("Melting_Curves/meltCurve_P34059_GALNS.pdf", "Melting_Curves/meltCurve_P34059_GALNS.pdf")</f>
        <v>Melting_Curves/meltCurve_P34059_GALNS.pdf</v>
      </c>
    </row>
    <row r="2216" spans="1:28" x14ac:dyDescent="0.25">
      <c r="A2216" t="s">
        <v>2220</v>
      </c>
      <c r="B2216">
        <v>0.99930955844802105</v>
      </c>
      <c r="C2216">
        <v>0.90742043254419302</v>
      </c>
      <c r="D2216">
        <v>0.94359720323239504</v>
      </c>
      <c r="E2216">
        <v>0.92429513322917201</v>
      </c>
      <c r="F2216">
        <v>0.97155263872242903</v>
      </c>
      <c r="G2216">
        <v>0.74942784990510103</v>
      </c>
      <c r="H2216">
        <v>0.31613472989239</v>
      </c>
      <c r="I2216">
        <v>0.18748442502884799</v>
      </c>
      <c r="J2216">
        <v>0.100695663207514</v>
      </c>
      <c r="K2216">
        <v>7.3819087877113401E-2</v>
      </c>
      <c r="L2216">
        <v>1631.6952062190601</v>
      </c>
      <c r="M2216">
        <v>27.6764412930616</v>
      </c>
      <c r="N2216">
        <v>59.281180871566697</v>
      </c>
      <c r="O2216">
        <v>58.650890351971199</v>
      </c>
      <c r="P2216">
        <v>-0.10966626105117799</v>
      </c>
      <c r="Q2216">
        <v>7.0405647230511806E-2</v>
      </c>
      <c r="R2216">
        <v>0.987527978798036</v>
      </c>
      <c r="S2216" t="s">
        <v>8833</v>
      </c>
      <c r="T2216" t="s">
        <v>13232</v>
      </c>
      <c r="U2216" t="s">
        <v>13232</v>
      </c>
      <c r="V2216" t="s">
        <v>13232</v>
      </c>
      <c r="W2216" t="s">
        <v>15397</v>
      </c>
      <c r="X2216">
        <v>20</v>
      </c>
      <c r="Y2216" t="s">
        <v>21888</v>
      </c>
      <c r="Z2216" t="s">
        <v>28347</v>
      </c>
      <c r="AA2216">
        <v>0.66449178412857368</v>
      </c>
      <c r="AB2216" t="str">
        <f>HYPERLINK("Melting_Curves/meltCurve_P34896_2_SHMT1.pdf", "Melting_Curves/meltCurve_P34896_2_SHMT1.pdf")</f>
        <v>Melting_Curves/meltCurve_P34896_2_SHMT1.pdf</v>
      </c>
    </row>
    <row r="2217" spans="1:28" x14ac:dyDescent="0.25">
      <c r="A2217" t="s">
        <v>2221</v>
      </c>
      <c r="B2217">
        <v>0.99930955844802105</v>
      </c>
      <c r="C2217">
        <v>0.77686967532949303</v>
      </c>
      <c r="D2217">
        <v>0.57551799101715595</v>
      </c>
      <c r="E2217">
        <v>0.41140750384402802</v>
      </c>
      <c r="F2217">
        <v>0.31126556800970501</v>
      </c>
      <c r="G2217">
        <v>0.19821035211656499</v>
      </c>
      <c r="H2217">
        <v>8.9929502685696397E-2</v>
      </c>
      <c r="I2217">
        <v>6.6155225189283198E-2</v>
      </c>
      <c r="J2217">
        <v>5.3208109877999503E-2</v>
      </c>
      <c r="K2217">
        <v>3.92909855227173E-2</v>
      </c>
      <c r="L2217">
        <v>526.37233852239297</v>
      </c>
      <c r="M2217">
        <v>10.9242284396007</v>
      </c>
      <c r="N2217">
        <v>48.309236760041998</v>
      </c>
      <c r="O2217">
        <v>46.653710599367997</v>
      </c>
      <c r="P2217">
        <v>-5.7741243592842002E-2</v>
      </c>
      <c r="Q2217">
        <v>1.3968150868571901E-2</v>
      </c>
      <c r="R2217">
        <v>0.98546423889371104</v>
      </c>
      <c r="S2217" t="s">
        <v>8834</v>
      </c>
      <c r="T2217" t="s">
        <v>13232</v>
      </c>
      <c r="U2217" t="s">
        <v>13232</v>
      </c>
      <c r="V2217" t="s">
        <v>13232</v>
      </c>
      <c r="W2217" t="s">
        <v>15398</v>
      </c>
      <c r="X2217">
        <v>32</v>
      </c>
      <c r="Y2217" t="s">
        <v>19899</v>
      </c>
      <c r="Z2217" t="s">
        <v>28348</v>
      </c>
      <c r="AA2217">
        <v>0.32767068199468552</v>
      </c>
      <c r="AB2217" t="str">
        <f>HYPERLINK("Melting_Curves/meltCurve_P34897_3_SHMT2.pdf", "Melting_Curves/meltCurve_P34897_3_SHMT2.pdf")</f>
        <v>Melting_Curves/meltCurve_P34897_3_SHMT2.pdf</v>
      </c>
    </row>
    <row r="2218" spans="1:28" x14ac:dyDescent="0.25">
      <c r="A2218" t="s">
        <v>2222</v>
      </c>
      <c r="B2218">
        <v>0.99930955844802105</v>
      </c>
      <c r="C2218">
        <v>0.94598441631286601</v>
      </c>
      <c r="D2218">
        <v>1.0122071780345101</v>
      </c>
      <c r="E2218">
        <v>0.91823853408669998</v>
      </c>
      <c r="F2218">
        <v>0.71234111646142795</v>
      </c>
      <c r="G2218">
        <v>0.497486961675426</v>
      </c>
      <c r="H2218">
        <v>0.31894748577853799</v>
      </c>
      <c r="I2218">
        <v>0.33743364287872701</v>
      </c>
      <c r="J2218">
        <v>0.32795068515915499</v>
      </c>
      <c r="K2218">
        <v>0.26582180203810002</v>
      </c>
      <c r="L2218">
        <v>1172.82288209547</v>
      </c>
      <c r="M2218">
        <v>21.6173142246674</v>
      </c>
      <c r="N2218">
        <v>56.5243087212842</v>
      </c>
      <c r="O2218">
        <v>53.795991292342997</v>
      </c>
      <c r="P2218">
        <v>-7.1310936619499304E-2</v>
      </c>
      <c r="Q2218">
        <v>0.29017072235267299</v>
      </c>
      <c r="R2218">
        <v>0.99153507597712398</v>
      </c>
      <c r="S2218" t="s">
        <v>8835</v>
      </c>
      <c r="T2218" t="s">
        <v>13232</v>
      </c>
      <c r="U2218" t="s">
        <v>13232</v>
      </c>
      <c r="V2218" t="s">
        <v>13232</v>
      </c>
      <c r="W2218" t="s">
        <v>15399</v>
      </c>
      <c r="X2218">
        <v>1</v>
      </c>
      <c r="Y2218" t="s">
        <v>21889</v>
      </c>
      <c r="Z2218" t="s">
        <v>28349</v>
      </c>
      <c r="AA2218">
        <v>0.63589555483034466</v>
      </c>
      <c r="AB2218" t="str">
        <f>HYPERLINK("Melting_Curves/meltCurve_P34910_EVI2B.pdf", "Melting_Curves/meltCurve_P34910_EVI2B.pdf")</f>
        <v>Melting_Curves/meltCurve_P34910_EVI2B.pdf</v>
      </c>
    </row>
    <row r="2219" spans="1:28" x14ac:dyDescent="0.25">
      <c r="A2219" t="s">
        <v>2223</v>
      </c>
      <c r="B2219">
        <v>0.99930955844802105</v>
      </c>
      <c r="C2219">
        <v>0.95598908969613305</v>
      </c>
      <c r="D2219">
        <v>0.94934494611340203</v>
      </c>
      <c r="E2219">
        <v>0.89025321821995995</v>
      </c>
      <c r="F2219">
        <v>0.82919867566164895</v>
      </c>
      <c r="G2219">
        <v>0.555137083295692</v>
      </c>
      <c r="H2219">
        <v>0.31478620561308601</v>
      </c>
      <c r="I2219">
        <v>0.13489856803809799</v>
      </c>
      <c r="J2219">
        <v>8.6843956096069694E-2</v>
      </c>
      <c r="K2219">
        <v>6.7284619126870795E-2</v>
      </c>
      <c r="L2219">
        <v>934.475411044221</v>
      </c>
      <c r="M2219">
        <v>16.188756832935699</v>
      </c>
      <c r="N2219">
        <v>57.723729283147001</v>
      </c>
      <c r="O2219">
        <v>56.8644621852104</v>
      </c>
      <c r="P2219">
        <v>-7.1177865855890393E-2</v>
      </c>
      <c r="Q2219">
        <v>0</v>
      </c>
      <c r="R2219">
        <v>0.99550619552880804</v>
      </c>
      <c r="S2219" t="s">
        <v>8836</v>
      </c>
      <c r="T2219" t="s">
        <v>13232</v>
      </c>
      <c r="U2219" t="s">
        <v>13232</v>
      </c>
      <c r="V2219" t="s">
        <v>13232</v>
      </c>
      <c r="W2219" t="s">
        <v>15400</v>
      </c>
      <c r="X2219">
        <v>30</v>
      </c>
      <c r="Y2219" t="s">
        <v>21890</v>
      </c>
      <c r="Z2219" t="s">
        <v>28350</v>
      </c>
      <c r="AA2219">
        <v>0.60449614219199654</v>
      </c>
      <c r="AB2219" t="str">
        <f>HYPERLINK("Melting_Curves/meltCurve_P34913_EPHX2.pdf", "Melting_Curves/meltCurve_P34913_EPHX2.pdf")</f>
        <v>Melting_Curves/meltCurve_P34913_EPHX2.pdf</v>
      </c>
    </row>
    <row r="2220" spans="1:28" x14ac:dyDescent="0.25">
      <c r="A2220" t="s">
        <v>2224</v>
      </c>
      <c r="B2220">
        <v>0.99930955844802105</v>
      </c>
      <c r="C2220">
        <v>1.06279476503064</v>
      </c>
      <c r="D2220">
        <v>0.90125089416770499</v>
      </c>
      <c r="E2220">
        <v>0.91184489910028599</v>
      </c>
      <c r="F2220">
        <v>0.23207896084573701</v>
      </c>
      <c r="G2220">
        <v>0.164744795495397</v>
      </c>
      <c r="H2220">
        <v>0.103733308739809</v>
      </c>
      <c r="I2220">
        <v>9.3473530220539794E-2</v>
      </c>
      <c r="J2220">
        <v>9.2196034752795503E-2</v>
      </c>
      <c r="K2220">
        <v>7.0262855700202104E-2</v>
      </c>
      <c r="L2220">
        <v>3503.0622814846301</v>
      </c>
      <c r="M2220">
        <v>67.870476629161601</v>
      </c>
      <c r="N2220">
        <v>51.7923813372079</v>
      </c>
      <c r="O2220">
        <v>51.569179870246202</v>
      </c>
      <c r="P2220">
        <v>-0.29472317301294598</v>
      </c>
      <c r="Q2220">
        <v>0.10425686964582</v>
      </c>
      <c r="R2220">
        <v>0.98933698930081504</v>
      </c>
      <c r="S2220" t="s">
        <v>8837</v>
      </c>
      <c r="T2220" t="s">
        <v>13232</v>
      </c>
      <c r="U2220" t="s">
        <v>13232</v>
      </c>
      <c r="V2220" t="s">
        <v>13232</v>
      </c>
      <c r="W2220" t="s">
        <v>15401</v>
      </c>
      <c r="X2220">
        <v>70</v>
      </c>
      <c r="Y2220" t="s">
        <v>21891</v>
      </c>
      <c r="Z2220" t="s">
        <v>28351</v>
      </c>
      <c r="AA2220">
        <v>0.45213087907244948</v>
      </c>
      <c r="AB2220" t="str">
        <f>HYPERLINK("Melting_Curves/meltCurve_P34932_HSPA4.pdf", "Melting_Curves/meltCurve_P34932_HSPA4.pdf")</f>
        <v>Melting_Curves/meltCurve_P34932_HSPA4.pdf</v>
      </c>
    </row>
    <row r="2221" spans="1:28" x14ac:dyDescent="0.25">
      <c r="A2221" t="s">
        <v>2225</v>
      </c>
      <c r="B2221">
        <v>0.99930955844802105</v>
      </c>
      <c r="C2221">
        <v>0.98696133067980196</v>
      </c>
      <c r="D2221">
        <v>0.99611855076475797</v>
      </c>
      <c r="E2221">
        <v>0.87646929428111597</v>
      </c>
      <c r="F2221">
        <v>0.47458681169450201</v>
      </c>
      <c r="G2221">
        <v>0.22699710647726101</v>
      </c>
      <c r="H2221">
        <v>0.122422428489683</v>
      </c>
      <c r="I2221">
        <v>9.2381115488520904E-2</v>
      </c>
      <c r="J2221">
        <v>7.9107002754979505E-2</v>
      </c>
      <c r="K2221">
        <v>6.3492413322364299E-2</v>
      </c>
      <c r="L2221">
        <v>1510.03071953879</v>
      </c>
      <c r="M2221">
        <v>28.634426012218398</v>
      </c>
      <c r="N2221">
        <v>53.096393863001403</v>
      </c>
      <c r="O2221">
        <v>52.4796109769865</v>
      </c>
      <c r="P2221">
        <v>-0.124324785569946</v>
      </c>
      <c r="Q2221">
        <v>8.8584523168842494E-2</v>
      </c>
      <c r="R2221">
        <v>0.99653757077706695</v>
      </c>
      <c r="S2221" t="s">
        <v>8838</v>
      </c>
      <c r="T2221" t="s">
        <v>13232</v>
      </c>
      <c r="U2221" t="s">
        <v>13232</v>
      </c>
      <c r="V2221" t="s">
        <v>13232</v>
      </c>
      <c r="W2221" t="s">
        <v>15402</v>
      </c>
      <c r="X2221">
        <v>11</v>
      </c>
      <c r="Y2221" t="s">
        <v>21892</v>
      </c>
      <c r="Z2221" t="s">
        <v>28352</v>
      </c>
      <c r="AA2221">
        <v>0.48192511983556952</v>
      </c>
      <c r="AB2221" t="str">
        <f>HYPERLINK("Melting_Curves/meltCurve_P35219_CA8.pdf", "Melting_Curves/meltCurve_P35219_CA8.pdf")</f>
        <v>Melting_Curves/meltCurve_P35219_CA8.pdf</v>
      </c>
    </row>
    <row r="2222" spans="1:28" x14ac:dyDescent="0.25">
      <c r="A2222" t="s">
        <v>2226</v>
      </c>
      <c r="B2222">
        <v>0.99930955844802105</v>
      </c>
      <c r="C2222">
        <v>1.07674247543542</v>
      </c>
      <c r="D2222">
        <v>1.0602252113505399</v>
      </c>
      <c r="E2222">
        <v>1.02355313886123</v>
      </c>
      <c r="F2222">
        <v>0.85268200309164099</v>
      </c>
      <c r="G2222">
        <v>0.37921895502119302</v>
      </c>
      <c r="H2222">
        <v>0.158857478307591</v>
      </c>
      <c r="I2222">
        <v>0.12529066529559901</v>
      </c>
      <c r="J2222">
        <v>0.105905277830911</v>
      </c>
      <c r="K2222">
        <v>8.0078824212051106E-2</v>
      </c>
      <c r="L2222">
        <v>1884.2047566348599</v>
      </c>
      <c r="M2222">
        <v>33.850486632807097</v>
      </c>
      <c r="N2222">
        <v>56.040931642496801</v>
      </c>
      <c r="O2222">
        <v>55.469386228765799</v>
      </c>
      <c r="P2222">
        <v>-0.13697909540400499</v>
      </c>
      <c r="Q2222">
        <v>0.102155998570295</v>
      </c>
      <c r="R2222">
        <v>0.99322992346073702</v>
      </c>
      <c r="S2222" t="s">
        <v>8839</v>
      </c>
      <c r="T2222" t="s">
        <v>13232</v>
      </c>
      <c r="U2222" t="s">
        <v>13232</v>
      </c>
      <c r="V2222" t="s">
        <v>13232</v>
      </c>
      <c r="W2222" t="s">
        <v>15403</v>
      </c>
      <c r="X2222">
        <v>37</v>
      </c>
      <c r="Y2222" t="s">
        <v>21893</v>
      </c>
      <c r="Z2222" t="s">
        <v>28353</v>
      </c>
      <c r="AA2222">
        <v>0.57566725895302351</v>
      </c>
      <c r="AB2222" t="str">
        <f>HYPERLINK("Melting_Curves/meltCurve_P35221_CTNNA1.pdf", "Melting_Curves/meltCurve_P35221_CTNNA1.pdf")</f>
        <v>Melting_Curves/meltCurve_P35221_CTNNA1.pdf</v>
      </c>
    </row>
    <row r="2223" spans="1:28" x14ac:dyDescent="0.25">
      <c r="A2223" t="s">
        <v>2227</v>
      </c>
      <c r="B2223">
        <v>0.99930955844802105</v>
      </c>
      <c r="C2223">
        <v>0.92873519862889797</v>
      </c>
      <c r="D2223">
        <v>0.84859984112146802</v>
      </c>
      <c r="E2223">
        <v>0.61402749730555695</v>
      </c>
      <c r="F2223">
        <v>0.436560752018332</v>
      </c>
      <c r="G2223">
        <v>0.28102966139855101</v>
      </c>
      <c r="H2223">
        <v>0.192035059290909</v>
      </c>
      <c r="I2223">
        <v>0.115649980758216</v>
      </c>
      <c r="J2223">
        <v>8.9890521348112998E-2</v>
      </c>
      <c r="K2223">
        <v>7.0460336407238894E-2</v>
      </c>
      <c r="L2223">
        <v>651.29656863488901</v>
      </c>
      <c r="M2223">
        <v>12.5935955429352</v>
      </c>
      <c r="N2223">
        <v>52.1025934223048</v>
      </c>
      <c r="O2223">
        <v>50.464457613973998</v>
      </c>
      <c r="P2223">
        <v>-5.9620902265744499E-2</v>
      </c>
      <c r="Q2223">
        <v>4.4550798687844298E-2</v>
      </c>
      <c r="R2223">
        <v>0.99843417332850803</v>
      </c>
      <c r="S2223" t="s">
        <v>8840</v>
      </c>
      <c r="T2223" t="s">
        <v>13232</v>
      </c>
      <c r="U2223" t="s">
        <v>13232</v>
      </c>
      <c r="V2223" t="s">
        <v>13232</v>
      </c>
      <c r="W2223" t="s">
        <v>15404</v>
      </c>
      <c r="X2223">
        <v>5</v>
      </c>
      <c r="Y2223" t="s">
        <v>21894</v>
      </c>
      <c r="Z2223" t="s">
        <v>28354</v>
      </c>
      <c r="AA2223">
        <v>0.44560861564935428</v>
      </c>
      <c r="AB2223" t="str">
        <f>HYPERLINK("Melting_Curves/meltCurve_P35227_PCGF2.pdf", "Melting_Curves/meltCurve_P35227_PCGF2.pdf")</f>
        <v>Melting_Curves/meltCurve_P35227_PCGF2.pdf</v>
      </c>
    </row>
    <row r="2224" spans="1:28" x14ac:dyDescent="0.25">
      <c r="A2224" t="s">
        <v>2228</v>
      </c>
      <c r="B2224">
        <v>0.99930955844802105</v>
      </c>
      <c r="C2224">
        <v>0.57600125247155598</v>
      </c>
      <c r="D2224">
        <v>0.48426680966622598</v>
      </c>
      <c r="E2224">
        <v>0.58589379863931701</v>
      </c>
      <c r="F2224">
        <v>0.36001566200796298</v>
      </c>
      <c r="G2224">
        <v>0.18825311842063999</v>
      </c>
      <c r="H2224">
        <v>0.112888493637193</v>
      </c>
      <c r="I2224">
        <v>0.10868558055128701</v>
      </c>
      <c r="J2224">
        <v>0.111611167593429</v>
      </c>
      <c r="K2224">
        <v>8.8634089292867799E-2</v>
      </c>
      <c r="L2224">
        <v>380.17180868743401</v>
      </c>
      <c r="M2224">
        <v>7.8922971617397799</v>
      </c>
      <c r="N2224">
        <v>48.169981964202897</v>
      </c>
      <c r="O2224">
        <v>45.371622236083503</v>
      </c>
      <c r="P2224">
        <v>-4.3538704907010999E-2</v>
      </c>
      <c r="Q2224">
        <v>0</v>
      </c>
      <c r="R2224">
        <v>0.887276483399011</v>
      </c>
      <c r="S2224" t="s">
        <v>8841</v>
      </c>
      <c r="T2224" t="s">
        <v>13232</v>
      </c>
      <c r="U2224" t="s">
        <v>13232</v>
      </c>
      <c r="V2224" t="s">
        <v>13232</v>
      </c>
      <c r="W2224" t="s">
        <v>15405</v>
      </c>
      <c r="X2224">
        <v>6</v>
      </c>
      <c r="Y2224" t="s">
        <v>21895</v>
      </c>
      <c r="Z2224" t="s">
        <v>28355</v>
      </c>
      <c r="AA2224">
        <v>0.34504847918493958</v>
      </c>
      <c r="AB2224" t="str">
        <f>HYPERLINK("Melting_Curves/meltCurve_P35232_PHB.pdf", "Melting_Curves/meltCurve_P35232_PHB.pdf")</f>
        <v>Melting_Curves/meltCurve_P35232_PHB.pdf</v>
      </c>
    </row>
    <row r="2225" spans="1:28" x14ac:dyDescent="0.25">
      <c r="A2225" t="s">
        <v>2229</v>
      </c>
      <c r="B2225">
        <v>0.99930955844802105</v>
      </c>
      <c r="C2225">
        <v>1.11763101902478</v>
      </c>
      <c r="D2225">
        <v>0.97864768749666198</v>
      </c>
      <c r="E2225">
        <v>0.39920132850113199</v>
      </c>
      <c r="F2225">
        <v>0.19443762228234901</v>
      </c>
      <c r="G2225">
        <v>0.141890055022863</v>
      </c>
      <c r="H2225">
        <v>9.3275600004617695E-2</v>
      </c>
      <c r="I2225">
        <v>9.3727251145518095E-2</v>
      </c>
      <c r="J2225">
        <v>9.0032123527103394E-2</v>
      </c>
      <c r="K2225">
        <v>6.7981731043508395E-2</v>
      </c>
      <c r="L2225">
        <v>2056.04825678415</v>
      </c>
      <c r="M2225">
        <v>41.750275400619998</v>
      </c>
      <c r="N2225">
        <v>49.5220308178192</v>
      </c>
      <c r="O2225">
        <v>49.133761506040301</v>
      </c>
      <c r="P2225">
        <v>-0.190405062615428</v>
      </c>
      <c r="Q2225">
        <v>0.10368970106146901</v>
      </c>
      <c r="R2225">
        <v>0.98820613118105405</v>
      </c>
      <c r="S2225" t="s">
        <v>8842</v>
      </c>
      <c r="T2225" t="s">
        <v>13232</v>
      </c>
      <c r="U2225" t="s">
        <v>13232</v>
      </c>
      <c r="V2225" t="s">
        <v>13232</v>
      </c>
      <c r="W2225" t="s">
        <v>15406</v>
      </c>
      <c r="X2225">
        <v>18</v>
      </c>
      <c r="Y2225" t="s">
        <v>21896</v>
      </c>
      <c r="Z2225" t="s">
        <v>28356</v>
      </c>
      <c r="AA2225">
        <v>0.38274320064238709</v>
      </c>
      <c r="AB2225" t="str">
        <f>HYPERLINK("Melting_Curves/meltCurve_P35236_PTPN7.pdf", "Melting_Curves/meltCurve_P35236_PTPN7.pdf")</f>
        <v>Melting_Curves/meltCurve_P35236_PTPN7.pdf</v>
      </c>
    </row>
    <row r="2226" spans="1:28" x14ac:dyDescent="0.25">
      <c r="A2226" t="s">
        <v>2230</v>
      </c>
      <c r="B2226">
        <v>0.99930955844802105</v>
      </c>
      <c r="C2226">
        <v>1.0114674136339801</v>
      </c>
      <c r="D2226">
        <v>1.0200651162624701</v>
      </c>
      <c r="E2226">
        <v>0.98105456944574498</v>
      </c>
      <c r="F2226">
        <v>0.85990828298867295</v>
      </c>
      <c r="G2226">
        <v>0.60135864890541002</v>
      </c>
      <c r="H2226">
        <v>0.18502468481543899</v>
      </c>
      <c r="I2226">
        <v>0.105738532962162</v>
      </c>
      <c r="J2226">
        <v>7.9019264570974204E-2</v>
      </c>
      <c r="K2226">
        <v>6.3521036214681095E-2</v>
      </c>
      <c r="L2226">
        <v>1487.4310968541699</v>
      </c>
      <c r="M2226">
        <v>25.9077143638164</v>
      </c>
      <c r="N2226">
        <v>57.629183924772299</v>
      </c>
      <c r="O2226">
        <v>57.073886950838499</v>
      </c>
      <c r="P2226">
        <v>-0.108221788626666</v>
      </c>
      <c r="Q2226">
        <v>4.6374224986183703E-2</v>
      </c>
      <c r="R2226">
        <v>0.997268785302037</v>
      </c>
      <c r="S2226" t="s">
        <v>8843</v>
      </c>
      <c r="T2226" t="s">
        <v>13232</v>
      </c>
      <c r="U2226" t="s">
        <v>13232</v>
      </c>
      <c r="V2226" t="s">
        <v>13232</v>
      </c>
      <c r="W2226" t="s">
        <v>15407</v>
      </c>
      <c r="X2226">
        <v>22</v>
      </c>
      <c r="Y2226" t="s">
        <v>21897</v>
      </c>
      <c r="Z2226" t="s">
        <v>28357</v>
      </c>
      <c r="AA2226">
        <v>0.60792141609993477</v>
      </c>
      <c r="AB2226" t="str">
        <f>HYPERLINK("Melting_Curves/meltCurve_P35237_SERPINB6.pdf", "Melting_Curves/meltCurve_P35237_SERPINB6.pdf")</f>
        <v>Melting_Curves/meltCurve_P35237_SERPINB6.pdf</v>
      </c>
    </row>
    <row r="2227" spans="1:28" x14ac:dyDescent="0.25">
      <c r="A2227" t="s">
        <v>2231</v>
      </c>
      <c r="B2227">
        <v>0.99930955844802105</v>
      </c>
      <c r="C2227">
        <v>0.98766373393600404</v>
      </c>
      <c r="D2227">
        <v>0.97865227060476501</v>
      </c>
      <c r="E2227">
        <v>0.93040988074014896</v>
      </c>
      <c r="F2227">
        <v>0.86883853288225499</v>
      </c>
      <c r="G2227">
        <v>0.71495988596519</v>
      </c>
      <c r="H2227">
        <v>0.36922199482418699</v>
      </c>
      <c r="I2227">
        <v>0.14047252091198101</v>
      </c>
      <c r="J2227">
        <v>0.108760452373488</v>
      </c>
      <c r="K2227">
        <v>8.9673256216702302E-2</v>
      </c>
      <c r="L2227">
        <v>1177.9544920032799</v>
      </c>
      <c r="M2227">
        <v>19.957418900812499</v>
      </c>
      <c r="N2227">
        <v>59.157392577369997</v>
      </c>
      <c r="O2227">
        <v>58.440367354591302</v>
      </c>
      <c r="P2227">
        <v>-8.3491087984152501E-2</v>
      </c>
      <c r="Q2227">
        <v>2.2100058068562599E-2</v>
      </c>
      <c r="R2227">
        <v>0.99366266942441805</v>
      </c>
      <c r="S2227" t="s">
        <v>8844</v>
      </c>
      <c r="T2227" t="s">
        <v>13232</v>
      </c>
      <c r="U2227" t="s">
        <v>13232</v>
      </c>
      <c r="V2227" t="s">
        <v>13232</v>
      </c>
      <c r="W2227" t="s">
        <v>15408</v>
      </c>
      <c r="X2227">
        <v>49</v>
      </c>
      <c r="Y2227" t="s">
        <v>21898</v>
      </c>
      <c r="Z2227" t="s">
        <v>28358</v>
      </c>
      <c r="AA2227">
        <v>0.652024904597022</v>
      </c>
      <c r="AB2227" t="str">
        <f>HYPERLINK("Melting_Curves/meltCurve_P35241_RDX.pdf", "Melting_Curves/meltCurve_P35241_RDX.pdf")</f>
        <v>Melting_Curves/meltCurve_P35241_RDX.pdf</v>
      </c>
    </row>
    <row r="2228" spans="1:28" x14ac:dyDescent="0.25">
      <c r="A2228" t="s">
        <v>2232</v>
      </c>
      <c r="B2228">
        <v>0.99930955844802105</v>
      </c>
      <c r="C2228">
        <v>0.97102061434072895</v>
      </c>
      <c r="D2228">
        <v>0.94390396360121398</v>
      </c>
      <c r="E2228">
        <v>0.81405884234375203</v>
      </c>
      <c r="F2228">
        <v>0.56301482866198105</v>
      </c>
      <c r="G2228">
        <v>0.30193681337616601</v>
      </c>
      <c r="H2228">
        <v>0.12565547163916499</v>
      </c>
      <c r="I2228">
        <v>8.5257973057976194E-2</v>
      </c>
      <c r="J2228">
        <v>6.2620614915825795E-2</v>
      </c>
      <c r="K2228">
        <v>4.4168863951752603E-2</v>
      </c>
      <c r="L2228">
        <v>948.79784603472604</v>
      </c>
      <c r="M2228">
        <v>17.642914095210699</v>
      </c>
      <c r="N2228">
        <v>53.961956361767101</v>
      </c>
      <c r="O2228">
        <v>53.101208575140703</v>
      </c>
      <c r="P2228">
        <v>-8.0640743376568999E-2</v>
      </c>
      <c r="Q2228">
        <v>2.9209600696843301E-2</v>
      </c>
      <c r="R2228">
        <v>0.99924629713139901</v>
      </c>
      <c r="S2228" t="s">
        <v>8845</v>
      </c>
      <c r="T2228" t="s">
        <v>13232</v>
      </c>
      <c r="U2228" t="s">
        <v>13232</v>
      </c>
      <c r="V2228" t="s">
        <v>13232</v>
      </c>
      <c r="W2228" t="s">
        <v>15409</v>
      </c>
      <c r="X2228">
        <v>6</v>
      </c>
      <c r="Y2228" t="s">
        <v>21899</v>
      </c>
      <c r="Z2228" t="s">
        <v>28359</v>
      </c>
      <c r="AA2228">
        <v>0.49115725162228152</v>
      </c>
      <c r="AB2228" t="str">
        <f>HYPERLINK("Melting_Curves/meltCurve_P35244_RPA3.pdf", "Melting_Curves/meltCurve_P35244_RPA3.pdf")</f>
        <v>Melting_Curves/meltCurve_P35244_RPA3.pdf</v>
      </c>
    </row>
    <row r="2229" spans="1:28" x14ac:dyDescent="0.25">
      <c r="A2229" t="s">
        <v>2233</v>
      </c>
      <c r="B2229">
        <v>0.99930955844802105</v>
      </c>
      <c r="C2229">
        <v>0.65749838346468403</v>
      </c>
      <c r="D2229">
        <v>0.451044467872177</v>
      </c>
      <c r="E2229">
        <v>0.249170068856752</v>
      </c>
      <c r="F2229">
        <v>0.13277229553157799</v>
      </c>
      <c r="G2229">
        <v>8.6125863448944698E-2</v>
      </c>
      <c r="H2229">
        <v>4.4975694916259502E-2</v>
      </c>
      <c r="I2229">
        <v>3.5833174546861503E-2</v>
      </c>
      <c r="J2229">
        <v>2.4685628751550202E-2</v>
      </c>
      <c r="K2229">
        <v>2.11471948264478E-2</v>
      </c>
      <c r="L2229">
        <v>712.29137312595901</v>
      </c>
      <c r="M2229">
        <v>15.6979435100454</v>
      </c>
      <c r="N2229">
        <v>45.5654718263565</v>
      </c>
      <c r="O2229">
        <v>44.6576172215551</v>
      </c>
      <c r="P2229">
        <v>-8.5093311654010295E-2</v>
      </c>
      <c r="Q2229">
        <v>3.1785696890728798E-2</v>
      </c>
      <c r="R2229">
        <v>0.98291951374934505</v>
      </c>
      <c r="S2229" t="s">
        <v>8846</v>
      </c>
      <c r="T2229" t="s">
        <v>13232</v>
      </c>
      <c r="U2229" t="s">
        <v>13232</v>
      </c>
      <c r="V2229" t="s">
        <v>13232</v>
      </c>
      <c r="W2229" t="s">
        <v>15410</v>
      </c>
      <c r="X2229">
        <v>17</v>
      </c>
      <c r="Y2229" t="s">
        <v>21900</v>
      </c>
      <c r="Z2229" t="s">
        <v>28360</v>
      </c>
      <c r="AA2229">
        <v>0.23241128023841121</v>
      </c>
      <c r="AB2229" t="str">
        <f>HYPERLINK("Melting_Curves/meltCurve_P35249_RFC4.pdf", "Melting_Curves/meltCurve_P35249_RFC4.pdf")</f>
        <v>Melting_Curves/meltCurve_P35249_RFC4.pdf</v>
      </c>
    </row>
    <row r="2230" spans="1:28" x14ac:dyDescent="0.25">
      <c r="A2230" t="s">
        <v>2234</v>
      </c>
      <c r="B2230">
        <v>0.99930955844802105</v>
      </c>
      <c r="C2230">
        <v>0.69719658780694005</v>
      </c>
      <c r="D2230">
        <v>0.46627785403239802</v>
      </c>
      <c r="E2230">
        <v>0.29090925420797498</v>
      </c>
      <c r="F2230">
        <v>0.17353703983663399</v>
      </c>
      <c r="G2230">
        <v>0.120626747981417</v>
      </c>
      <c r="H2230">
        <v>6.4439407893550502E-2</v>
      </c>
      <c r="I2230">
        <v>5.9454234980734801E-2</v>
      </c>
      <c r="J2230">
        <v>5.29823265679394E-2</v>
      </c>
      <c r="K2230">
        <v>4.1119283057375201E-2</v>
      </c>
      <c r="L2230">
        <v>692.51714913903299</v>
      </c>
      <c r="M2230">
        <v>15.166481674015699</v>
      </c>
      <c r="N2230">
        <v>46.010670436007103</v>
      </c>
      <c r="O2230">
        <v>44.8892811215606</v>
      </c>
      <c r="P2230">
        <v>-7.9876358878705395E-2</v>
      </c>
      <c r="Q2230">
        <v>5.4429436820577999E-2</v>
      </c>
      <c r="R2230">
        <v>0.98398919820442898</v>
      </c>
      <c r="S2230" t="s">
        <v>8847</v>
      </c>
      <c r="T2230" t="s">
        <v>13232</v>
      </c>
      <c r="U2230" t="s">
        <v>13232</v>
      </c>
      <c r="V2230" t="s">
        <v>13232</v>
      </c>
      <c r="W2230" t="s">
        <v>15411</v>
      </c>
      <c r="X2230">
        <v>14</v>
      </c>
      <c r="Y2230" t="s">
        <v>21901</v>
      </c>
      <c r="Z2230" t="s">
        <v>28361</v>
      </c>
      <c r="AA2230">
        <v>0.26064548880963262</v>
      </c>
      <c r="AB2230" t="str">
        <f>HYPERLINK("Melting_Curves/meltCurve_P35250_RFC2.pdf", "Melting_Curves/meltCurve_P35250_RFC2.pdf")</f>
        <v>Melting_Curves/meltCurve_P35250_RFC2.pdf</v>
      </c>
    </row>
    <row r="2231" spans="1:28" x14ac:dyDescent="0.25">
      <c r="A2231" t="s">
        <v>2235</v>
      </c>
      <c r="B2231">
        <v>0.99930955844802105</v>
      </c>
      <c r="C2231">
        <v>1.11041844430696</v>
      </c>
      <c r="D2231">
        <v>1.1201494936049401</v>
      </c>
      <c r="E2231">
        <v>1.0446017856329</v>
      </c>
      <c r="F2231">
        <v>0.92223259215417697</v>
      </c>
      <c r="G2231">
        <v>0.84305614268965101</v>
      </c>
      <c r="H2231">
        <v>0.84031090234074801</v>
      </c>
      <c r="I2231">
        <v>0.94086500491677605</v>
      </c>
      <c r="J2231">
        <v>0.93014210791672602</v>
      </c>
      <c r="K2231">
        <v>0.742100449664444</v>
      </c>
      <c r="L2231">
        <v>13238.786504358401</v>
      </c>
      <c r="M2231">
        <v>250</v>
      </c>
      <c r="O2231">
        <v>52.951758152101398</v>
      </c>
      <c r="P2231">
        <v>-0.16607697626738399</v>
      </c>
      <c r="Q2231">
        <v>0.85929491647864098</v>
      </c>
      <c r="R2231">
        <v>0.59217022833165001</v>
      </c>
      <c r="S2231" t="s">
        <v>8848</v>
      </c>
      <c r="T2231" t="s">
        <v>13232</v>
      </c>
      <c r="U2231" t="s">
        <v>13232</v>
      </c>
      <c r="V2231" t="s">
        <v>13232</v>
      </c>
      <c r="W2231" t="s">
        <v>15412</v>
      </c>
      <c r="X2231">
        <v>15</v>
      </c>
      <c r="Y2231" t="s">
        <v>21902</v>
      </c>
      <c r="Z2231" t="s">
        <v>28362</v>
      </c>
      <c r="AA2231">
        <v>0.92006982305037399</v>
      </c>
      <c r="AB2231" t="str">
        <f>HYPERLINK("Melting_Curves/meltCurve_P35251_2_RFC1.pdf", "Melting_Curves/meltCurve_P35251_2_RFC1.pdf")</f>
        <v>Melting_Curves/meltCurve_P35251_2_RFC1.pdf</v>
      </c>
    </row>
    <row r="2232" spans="1:28" x14ac:dyDescent="0.25">
      <c r="A2232" t="s">
        <v>2236</v>
      </c>
      <c r="B2232">
        <v>0.99930955844802105</v>
      </c>
      <c r="C2232">
        <v>0.85457700831633698</v>
      </c>
      <c r="D2232">
        <v>0.86431034802953</v>
      </c>
      <c r="E2232">
        <v>0.75150756482428105</v>
      </c>
      <c r="F2232">
        <v>0.60471901787296101</v>
      </c>
      <c r="G2232">
        <v>0.41893731440383097</v>
      </c>
      <c r="H2232">
        <v>0.21836521087560001</v>
      </c>
      <c r="I2232">
        <v>0.17559097737028401</v>
      </c>
      <c r="J2232">
        <v>0.138242971748127</v>
      </c>
      <c r="K2232">
        <v>9.34907953928375E-2</v>
      </c>
      <c r="L2232">
        <v>563.10325548752701</v>
      </c>
      <c r="M2232">
        <v>10.2832416367027</v>
      </c>
      <c r="N2232">
        <v>54.759313747631303</v>
      </c>
      <c r="O2232">
        <v>52.8097462708064</v>
      </c>
      <c r="P2232">
        <v>-4.8701898078511698E-2</v>
      </c>
      <c r="Q2232">
        <v>0</v>
      </c>
      <c r="R2232">
        <v>0.98886690041393999</v>
      </c>
      <c r="S2232" t="s">
        <v>8849</v>
      </c>
      <c r="T2232" t="s">
        <v>13232</v>
      </c>
      <c r="U2232" t="s">
        <v>13232</v>
      </c>
      <c r="V2232" t="s">
        <v>13232</v>
      </c>
      <c r="W2232" t="s">
        <v>15413</v>
      </c>
      <c r="X2232">
        <v>7</v>
      </c>
      <c r="Y2232" t="s">
        <v>21903</v>
      </c>
      <c r="Z2232" t="s">
        <v>28363</v>
      </c>
      <c r="AA2232">
        <v>0.51856423081556535</v>
      </c>
      <c r="AB2232" t="str">
        <f>HYPERLINK("Melting_Curves/meltCurve_P35268_RPL22.pdf", "Melting_Curves/meltCurve_P35268_RPL22.pdf")</f>
        <v>Melting_Curves/meltCurve_P35268_RPL22.pdf</v>
      </c>
    </row>
    <row r="2233" spans="1:28" x14ac:dyDescent="0.25">
      <c r="A2233" t="s">
        <v>2237</v>
      </c>
      <c r="B2233">
        <v>0.99930955844802105</v>
      </c>
      <c r="C2233">
        <v>1.0672065122104399</v>
      </c>
      <c r="D2233">
        <v>1.0590461885523901</v>
      </c>
      <c r="E2233">
        <v>1.0216966115637101</v>
      </c>
      <c r="F2233">
        <v>0.87011569939948696</v>
      </c>
      <c r="G2233">
        <v>0.73243617766350699</v>
      </c>
      <c r="H2233">
        <v>0.68215597972045505</v>
      </c>
      <c r="I2233">
        <v>0.73847229268534098</v>
      </c>
      <c r="J2233">
        <v>0.73413090031198602</v>
      </c>
      <c r="K2233">
        <v>0.57131352265873203</v>
      </c>
      <c r="L2233">
        <v>2081.8957693602301</v>
      </c>
      <c r="M2233">
        <v>38.7135682787791</v>
      </c>
      <c r="O2233">
        <v>53.634021088830004</v>
      </c>
      <c r="P2233">
        <v>-5.7122704498102903E-2</v>
      </c>
      <c r="Q2233">
        <v>0.68344818569837495</v>
      </c>
      <c r="R2233">
        <v>0.902496020158011</v>
      </c>
      <c r="S2233" t="s">
        <v>8850</v>
      </c>
      <c r="T2233" t="s">
        <v>13232</v>
      </c>
      <c r="U2233" t="s">
        <v>13232</v>
      </c>
      <c r="V2233" t="s">
        <v>13232</v>
      </c>
      <c r="W2233" t="s">
        <v>15414</v>
      </c>
      <c r="X2233">
        <v>23</v>
      </c>
      <c r="Y2233" t="s">
        <v>21904</v>
      </c>
      <c r="Z2233" t="s">
        <v>28364</v>
      </c>
      <c r="AA2233">
        <v>0.83007223355404691</v>
      </c>
      <c r="AB2233" t="str">
        <f>HYPERLINK("Melting_Curves/meltCurve_P35269_GTF2F1.pdf", "Melting_Curves/meltCurve_P35269_GTF2F1.pdf")</f>
        <v>Melting_Curves/meltCurve_P35269_GTF2F1.pdf</v>
      </c>
    </row>
    <row r="2234" spans="1:28" x14ac:dyDescent="0.25">
      <c r="A2234" t="s">
        <v>2238</v>
      </c>
      <c r="B2234">
        <v>0.99930955844802105</v>
      </c>
      <c r="C2234">
        <v>1.03296682769792</v>
      </c>
      <c r="D2234">
        <v>1.01398997082465</v>
      </c>
      <c r="E2234">
        <v>0.75354354168017701</v>
      </c>
      <c r="F2234">
        <v>0.25276780823434503</v>
      </c>
      <c r="G2234">
        <v>0.16533944720688901</v>
      </c>
      <c r="H2234">
        <v>9.2314633039417393E-2</v>
      </c>
      <c r="I2234">
        <v>7.4076981820693902E-2</v>
      </c>
      <c r="J2234">
        <v>6.17865854059092E-2</v>
      </c>
      <c r="K2234">
        <v>4.7054743912753501E-2</v>
      </c>
      <c r="L2234">
        <v>2107.2657245281398</v>
      </c>
      <c r="M2234">
        <v>41.161428717845702</v>
      </c>
      <c r="N2234">
        <v>51.422613441228698</v>
      </c>
      <c r="O2234">
        <v>51.074761475187998</v>
      </c>
      <c r="P2234">
        <v>-0.184708890233692</v>
      </c>
      <c r="Q2234">
        <v>8.3224721322068707E-2</v>
      </c>
      <c r="R2234">
        <v>0.99522589871150202</v>
      </c>
      <c r="S2234" t="s">
        <v>8851</v>
      </c>
      <c r="T2234" t="s">
        <v>13232</v>
      </c>
      <c r="U2234" t="s">
        <v>13232</v>
      </c>
      <c r="V2234" t="s">
        <v>13232</v>
      </c>
      <c r="W2234" t="s">
        <v>15415</v>
      </c>
      <c r="X2234">
        <v>12</v>
      </c>
      <c r="Y2234" t="s">
        <v>21905</v>
      </c>
      <c r="Z2234" t="s">
        <v>28365</v>
      </c>
      <c r="AA2234">
        <v>0.4284015627019262</v>
      </c>
      <c r="AB2234" t="str">
        <f>HYPERLINK("Melting_Curves/meltCurve_P35270_SPR.pdf", "Melting_Curves/meltCurve_P35270_SPR.pdf")</f>
        <v>Melting_Curves/meltCurve_P35270_SPR.pdf</v>
      </c>
    </row>
    <row r="2235" spans="1:28" x14ac:dyDescent="0.25">
      <c r="A2235" t="s">
        <v>2239</v>
      </c>
      <c r="B2235">
        <v>0.99930955844802105</v>
      </c>
      <c r="C2235">
        <v>1.22852593478962</v>
      </c>
      <c r="D2235">
        <v>1.1724967850333301</v>
      </c>
      <c r="E2235">
        <v>1.5616375925886501</v>
      </c>
      <c r="F2235">
        <v>1.32246990799355</v>
      </c>
      <c r="G2235">
        <v>1.21738976236069</v>
      </c>
      <c r="H2235">
        <v>1.24476380988114</v>
      </c>
      <c r="I2235">
        <v>1.3744141452326299</v>
      </c>
      <c r="J2235">
        <v>1.4264775273516399</v>
      </c>
      <c r="K2235">
        <v>1.04591224832542</v>
      </c>
      <c r="L2235">
        <v>2046.9283192232899</v>
      </c>
      <c r="M2235">
        <v>48.628002264854999</v>
      </c>
      <c r="O2235">
        <v>42.022612255407999</v>
      </c>
      <c r="P2235">
        <v>8.6138083593015405E-2</v>
      </c>
      <c r="Q2235">
        <v>1.29774972788649</v>
      </c>
      <c r="R2235">
        <v>0.30531750449434603</v>
      </c>
      <c r="S2235" t="s">
        <v>8852</v>
      </c>
      <c r="T2235" t="s">
        <v>13232</v>
      </c>
      <c r="U2235" t="s">
        <v>13232</v>
      </c>
      <c r="V2235" t="s">
        <v>13232</v>
      </c>
      <c r="W2235" t="s">
        <v>15416</v>
      </c>
      <c r="X2235">
        <v>1</v>
      </c>
      <c r="Y2235" t="s">
        <v>21906</v>
      </c>
      <c r="Z2235" t="s">
        <v>28366</v>
      </c>
      <c r="AA2235">
        <v>1.275822045176326</v>
      </c>
      <c r="AB2235" t="str">
        <f>HYPERLINK("Melting_Curves/meltCurve_P35453_HOXD13.pdf", "Melting_Curves/meltCurve_P35453_HOXD13.pdf")</f>
        <v>Melting_Curves/meltCurve_P35453_HOXD13.pdf</v>
      </c>
    </row>
    <row r="2236" spans="1:28" x14ac:dyDescent="0.25">
      <c r="A2236" t="s">
        <v>2240</v>
      </c>
      <c r="B2236">
        <v>0.99930955844802105</v>
      </c>
      <c r="C2236">
        <v>1.0230943799277401</v>
      </c>
      <c r="D2236">
        <v>1.0046798112869499</v>
      </c>
      <c r="E2236">
        <v>0.90393097462340399</v>
      </c>
      <c r="F2236">
        <v>0.55410430656123599</v>
      </c>
      <c r="G2236">
        <v>0.22807520890044999</v>
      </c>
      <c r="H2236">
        <v>0.109313255672779</v>
      </c>
      <c r="I2236">
        <v>8.5059434855330907E-2</v>
      </c>
      <c r="J2236">
        <v>7.0847344781973506E-2</v>
      </c>
      <c r="K2236">
        <v>5.5227494689722503E-2</v>
      </c>
      <c r="L2236">
        <v>1489.5357001294999</v>
      </c>
      <c r="M2236">
        <v>27.9171341110981</v>
      </c>
      <c r="N2236">
        <v>53.6577683216222</v>
      </c>
      <c r="O2236">
        <v>53.084087969344601</v>
      </c>
      <c r="P2236">
        <v>-0.12191391681361299</v>
      </c>
      <c r="Q2236">
        <v>7.2736775882018406E-2</v>
      </c>
      <c r="R2236">
        <v>0.99815541295282595</v>
      </c>
      <c r="S2236" t="s">
        <v>8853</v>
      </c>
      <c r="T2236" t="s">
        <v>13232</v>
      </c>
      <c r="U2236" t="s">
        <v>13232</v>
      </c>
      <c r="V2236" t="s">
        <v>13232</v>
      </c>
      <c r="W2236" t="s">
        <v>15417</v>
      </c>
      <c r="X2236">
        <v>33</v>
      </c>
      <c r="Y2236" t="s">
        <v>21907</v>
      </c>
      <c r="Z2236" t="s">
        <v>28367</v>
      </c>
      <c r="AA2236">
        <v>0.49248753118138072</v>
      </c>
      <c r="AB2236" t="str">
        <f>HYPERLINK("Melting_Curves/meltCurve_P35520_CBS.pdf", "Melting_Curves/meltCurve_P35520_CBS.pdf")</f>
        <v>Melting_Curves/meltCurve_P35520_CBS.pdf</v>
      </c>
    </row>
    <row r="2237" spans="1:28" x14ac:dyDescent="0.25">
      <c r="A2237" t="s">
        <v>2241</v>
      </c>
      <c r="B2237">
        <v>0.99930955844802105</v>
      </c>
      <c r="C2237">
        <v>1.3423407148184601</v>
      </c>
      <c r="D2237">
        <v>0.73459187933933101</v>
      </c>
      <c r="E2237">
        <v>1.09779059453546</v>
      </c>
      <c r="F2237">
        <v>0.85963238555836397</v>
      </c>
      <c r="G2237">
        <v>0.69969815505252098</v>
      </c>
      <c r="H2237">
        <v>1.02476722939016</v>
      </c>
      <c r="I2237">
        <v>1.8390584439787001</v>
      </c>
      <c r="J2237">
        <v>1.47825760973106</v>
      </c>
      <c r="K2237">
        <v>0.31343184702829102</v>
      </c>
      <c r="L2237">
        <v>15000</v>
      </c>
      <c r="M2237">
        <v>215.06830134427801</v>
      </c>
      <c r="N2237">
        <v>69.745285144467701</v>
      </c>
      <c r="O2237">
        <v>69.739262931503205</v>
      </c>
      <c r="P2237">
        <v>-0.77097290200144397</v>
      </c>
      <c r="Q2237">
        <v>0</v>
      </c>
      <c r="R2237">
        <v>0.26882183593475101</v>
      </c>
      <c r="S2237" t="s">
        <v>8854</v>
      </c>
      <c r="T2237" t="s">
        <v>13232</v>
      </c>
      <c r="U2237" t="s">
        <v>13232</v>
      </c>
      <c r="V2237" t="s">
        <v>13232</v>
      </c>
      <c r="W2237" t="s">
        <v>15418</v>
      </c>
      <c r="X2237">
        <v>25</v>
      </c>
      <c r="Y2237" t="s">
        <v>21908</v>
      </c>
      <c r="Z2237" t="s">
        <v>28368</v>
      </c>
      <c r="AA2237">
        <v>0.9875322494046993</v>
      </c>
      <c r="AB2237" t="str">
        <f>HYPERLINK("Melting_Curves/meltCurve_P35527_KRT9.pdf", "Melting_Curves/meltCurve_P35527_KRT9.pdf")</f>
        <v>Melting_Curves/meltCurve_P35527_KRT9.pdf</v>
      </c>
    </row>
    <row r="2238" spans="1:28" x14ac:dyDescent="0.25">
      <c r="A2238" t="s">
        <v>2242</v>
      </c>
      <c r="B2238">
        <v>0.99930955844802105</v>
      </c>
      <c r="C2238">
        <v>1.2056671644719901</v>
      </c>
      <c r="D2238">
        <v>1.14008512337024</v>
      </c>
      <c r="E2238">
        <v>1.13215124651926</v>
      </c>
      <c r="F2238">
        <v>0.99669453886745096</v>
      </c>
      <c r="G2238">
        <v>0.94694646048925002</v>
      </c>
      <c r="H2238">
        <v>0.96261332744264305</v>
      </c>
      <c r="I2238">
        <v>1.06021906816259</v>
      </c>
      <c r="J2238">
        <v>1.0137487231781599</v>
      </c>
      <c r="K2238">
        <v>0.82132500454094903</v>
      </c>
      <c r="L2238">
        <v>15000</v>
      </c>
      <c r="M2238">
        <v>212.76035441222001</v>
      </c>
      <c r="Q2238">
        <v>0</v>
      </c>
      <c r="R2238">
        <v>0.21646906345273401</v>
      </c>
      <c r="S2238" t="s">
        <v>8855</v>
      </c>
      <c r="T2238" t="s">
        <v>13232</v>
      </c>
      <c r="U2238" t="s">
        <v>13232</v>
      </c>
      <c r="V2238" t="s">
        <v>13232</v>
      </c>
      <c r="W2238" t="s">
        <v>15419</v>
      </c>
      <c r="X2238">
        <v>13</v>
      </c>
      <c r="Y2238" t="s">
        <v>21909</v>
      </c>
      <c r="Z2238" t="s">
        <v>28369</v>
      </c>
      <c r="AA2238">
        <v>0.99787740301343819</v>
      </c>
      <c r="AB2238" t="str">
        <f>HYPERLINK("Melting_Curves/meltCurve_P35568_IRS1.pdf", "Melting_Curves/meltCurve_P35568_IRS1.pdf")</f>
        <v>Melting_Curves/meltCurve_P35568_IRS1.pdf</v>
      </c>
    </row>
    <row r="2239" spans="1:28" x14ac:dyDescent="0.25">
      <c r="A2239" t="s">
        <v>2243</v>
      </c>
      <c r="B2239">
        <v>0.99930955844802105</v>
      </c>
      <c r="C2239">
        <v>0.91012568742465605</v>
      </c>
      <c r="D2239">
        <v>0.88308566742136696</v>
      </c>
      <c r="E2239">
        <v>0.69069345529519999</v>
      </c>
      <c r="F2239">
        <v>0.41910745504772001</v>
      </c>
      <c r="G2239">
        <v>0.274780574059029</v>
      </c>
      <c r="H2239">
        <v>0.14901347337040999</v>
      </c>
      <c r="I2239">
        <v>0.120676095384881</v>
      </c>
      <c r="J2239">
        <v>9.5533558918862296E-2</v>
      </c>
      <c r="K2239">
        <v>7.2195092355447202E-2</v>
      </c>
      <c r="L2239">
        <v>759.25820722017397</v>
      </c>
      <c r="M2239">
        <v>14.629933732458801</v>
      </c>
      <c r="N2239">
        <v>52.342337988401802</v>
      </c>
      <c r="O2239">
        <v>50.956858876248603</v>
      </c>
      <c r="P2239">
        <v>-6.7588481798106406E-2</v>
      </c>
      <c r="Q2239">
        <v>5.8447383906126901E-2</v>
      </c>
      <c r="R2239">
        <v>0.99556242016241703</v>
      </c>
      <c r="S2239" t="s">
        <v>8856</v>
      </c>
      <c r="T2239" t="s">
        <v>13232</v>
      </c>
      <c r="U2239" t="s">
        <v>13232</v>
      </c>
      <c r="V2239" t="s">
        <v>13232</v>
      </c>
      <c r="W2239" t="s">
        <v>15420</v>
      </c>
      <c r="X2239">
        <v>4</v>
      </c>
      <c r="Y2239" t="s">
        <v>21910</v>
      </c>
      <c r="Z2239" t="s">
        <v>28370</v>
      </c>
      <c r="AA2239">
        <v>0.45380092527267352</v>
      </c>
      <c r="AB2239" t="str">
        <f>HYPERLINK("Melting_Curves/meltCurve_P35573_2_AGL.pdf", "Melting_Curves/meltCurve_P35573_2_AGL.pdf")</f>
        <v>Melting_Curves/meltCurve_P35573_2_AGL.pdf</v>
      </c>
    </row>
    <row r="2240" spans="1:28" x14ac:dyDescent="0.25">
      <c r="A2240" t="s">
        <v>2244</v>
      </c>
      <c r="B2240">
        <v>0.99930955844802105</v>
      </c>
      <c r="C2240">
        <v>0.74549158385151504</v>
      </c>
      <c r="D2240">
        <v>0.79462276671562904</v>
      </c>
      <c r="E2240">
        <v>0.92372606228168697</v>
      </c>
      <c r="F2240">
        <v>0.30570538382067702</v>
      </c>
      <c r="G2240">
        <v>0.15041250083386301</v>
      </c>
      <c r="H2240">
        <v>9.0107090164803894E-2</v>
      </c>
      <c r="I2240">
        <v>7.8011757468084295E-2</v>
      </c>
      <c r="J2240">
        <v>7.11387206236304E-2</v>
      </c>
      <c r="K2240">
        <v>5.5094577092102998E-2</v>
      </c>
      <c r="L2240">
        <v>3011.3630000571502</v>
      </c>
      <c r="M2240">
        <v>57.944224410579103</v>
      </c>
      <c r="N2240">
        <v>52.142335758691402</v>
      </c>
      <c r="O2240">
        <v>51.908236845846098</v>
      </c>
      <c r="P2240">
        <v>-0.254754858711982</v>
      </c>
      <c r="Q2240">
        <v>8.7131157031599099E-2</v>
      </c>
      <c r="R2240">
        <v>0.92042857257197197</v>
      </c>
      <c r="S2240" t="s">
        <v>8857</v>
      </c>
      <c r="T2240" t="s">
        <v>13232</v>
      </c>
      <c r="U2240" t="s">
        <v>13232</v>
      </c>
      <c r="V2240" t="s">
        <v>13232</v>
      </c>
      <c r="W2240" t="s">
        <v>15421</v>
      </c>
      <c r="X2240">
        <v>160</v>
      </c>
      <c r="Y2240" t="s">
        <v>21911</v>
      </c>
      <c r="Z2240" t="s">
        <v>28371</v>
      </c>
      <c r="AA2240">
        <v>0.4529226401102589</v>
      </c>
      <c r="AB2240" t="str">
        <f>HYPERLINK("Melting_Curves/meltCurve_P35579_MYH9.pdf", "Melting_Curves/meltCurve_P35579_MYH9.pdf")</f>
        <v>Melting_Curves/meltCurve_P35579_MYH9.pdf</v>
      </c>
    </row>
    <row r="2241" spans="1:28" x14ac:dyDescent="0.25">
      <c r="A2241" t="s">
        <v>2245</v>
      </c>
      <c r="B2241">
        <v>0.99930955844802105</v>
      </c>
      <c r="C2241">
        <v>1.26917080897773</v>
      </c>
      <c r="D2241">
        <v>1.3390255449308499</v>
      </c>
      <c r="E2241">
        <v>1.3560276952919601</v>
      </c>
      <c r="F2241">
        <v>1.1266670377788099</v>
      </c>
      <c r="G2241">
        <v>0.90828393433254795</v>
      </c>
      <c r="H2241">
        <v>1.07074467827282</v>
      </c>
      <c r="I2241">
        <v>0.89828961560027398</v>
      </c>
      <c r="J2241">
        <v>1.0662128742122401</v>
      </c>
      <c r="K2241">
        <v>0.92040140295128103</v>
      </c>
      <c r="L2241">
        <v>15000</v>
      </c>
      <c r="M2241">
        <v>211.83782823963099</v>
      </c>
      <c r="Q2241">
        <v>0</v>
      </c>
      <c r="R2241">
        <v>-0.309541260928199</v>
      </c>
      <c r="S2241" t="s">
        <v>8858</v>
      </c>
      <c r="T2241" t="s">
        <v>13232</v>
      </c>
      <c r="U2241" t="s">
        <v>13232</v>
      </c>
      <c r="V2241" t="s">
        <v>13232</v>
      </c>
      <c r="W2241" t="s">
        <v>15422</v>
      </c>
      <c r="X2241">
        <v>2</v>
      </c>
      <c r="Y2241" t="s">
        <v>21911</v>
      </c>
      <c r="Z2241" t="s">
        <v>28372</v>
      </c>
      <c r="AA2241">
        <v>0.99910536574365472</v>
      </c>
      <c r="AB2241" t="str">
        <f>HYPERLINK("Melting_Curves/meltCurve_P35579_2_MYH9.pdf", "Melting_Curves/meltCurve_P35579_2_MYH9.pdf")</f>
        <v>Melting_Curves/meltCurve_P35579_2_MYH9.pdf</v>
      </c>
    </row>
    <row r="2242" spans="1:28" x14ac:dyDescent="0.25">
      <c r="A2242" t="s">
        <v>2246</v>
      </c>
      <c r="B2242">
        <v>0.99930955844802105</v>
      </c>
      <c r="C2242">
        <v>0.56362353056321701</v>
      </c>
      <c r="D2242">
        <v>0.58574671967353498</v>
      </c>
      <c r="E2242">
        <v>0.45476671699716598</v>
      </c>
      <c r="F2242">
        <v>0.40866361290278502</v>
      </c>
      <c r="G2242">
        <v>0.18337799244943101</v>
      </c>
      <c r="H2242">
        <v>0.103171171581948</v>
      </c>
      <c r="I2242">
        <v>8.0945410847984595E-2</v>
      </c>
      <c r="J2242">
        <v>7.3157331991539301E-2</v>
      </c>
      <c r="K2242">
        <v>5.5010654500402399E-2</v>
      </c>
      <c r="L2242">
        <v>411.35214524517102</v>
      </c>
      <c r="M2242">
        <v>8.5527792946963093</v>
      </c>
      <c r="N2242">
        <v>48.095728310782299</v>
      </c>
      <c r="O2242">
        <v>45.682805876563997</v>
      </c>
      <c r="P2242">
        <v>-4.6846447762971498E-2</v>
      </c>
      <c r="Q2242">
        <v>0</v>
      </c>
      <c r="R2242">
        <v>0.92291239081278098</v>
      </c>
      <c r="S2242" t="s">
        <v>8859</v>
      </c>
      <c r="T2242" t="s">
        <v>13232</v>
      </c>
      <c r="U2242" t="s">
        <v>13232</v>
      </c>
      <c r="V2242" t="s">
        <v>13232</v>
      </c>
      <c r="W2242" t="s">
        <v>15423</v>
      </c>
      <c r="X2242">
        <v>129</v>
      </c>
      <c r="Y2242" t="s">
        <v>21912</v>
      </c>
      <c r="Z2242" t="s">
        <v>28373</v>
      </c>
      <c r="AA2242">
        <v>0.33579438632801029</v>
      </c>
      <c r="AB2242" t="str">
        <f>HYPERLINK("Melting_Curves/meltCurve_P35580_MYH10.pdf", "Melting_Curves/meltCurve_P35580_MYH10.pdf")</f>
        <v>Melting_Curves/meltCurve_P35580_MYH10.pdf</v>
      </c>
    </row>
    <row r="2243" spans="1:28" x14ac:dyDescent="0.25">
      <c r="A2243" t="s">
        <v>2247</v>
      </c>
      <c r="B2243">
        <v>0.99930955844802105</v>
      </c>
      <c r="C2243">
        <v>0.71658565658962903</v>
      </c>
      <c r="D2243">
        <v>0.79391170364381103</v>
      </c>
      <c r="E2243">
        <v>0.84119237167733096</v>
      </c>
      <c r="F2243">
        <v>0.45167224918540599</v>
      </c>
      <c r="G2243">
        <v>0.23035301552082399</v>
      </c>
      <c r="H2243">
        <v>0.105843893479622</v>
      </c>
      <c r="I2243">
        <v>8.2809629295558795E-2</v>
      </c>
      <c r="J2243">
        <v>7.0321120961185896E-2</v>
      </c>
      <c r="K2243">
        <v>5.4446364523774098E-2</v>
      </c>
      <c r="L2243">
        <v>659.63460974636996</v>
      </c>
      <c r="M2243">
        <v>12.536977548697999</v>
      </c>
      <c r="N2243">
        <v>52.615136197150399</v>
      </c>
      <c r="O2243">
        <v>51.330265401918801</v>
      </c>
      <c r="P2243">
        <v>-6.1072777840989002E-2</v>
      </c>
      <c r="Q2243">
        <v>0</v>
      </c>
      <c r="R2243">
        <v>0.92344962134438302</v>
      </c>
      <c r="S2243" t="s">
        <v>8860</v>
      </c>
      <c r="T2243" t="s">
        <v>13232</v>
      </c>
      <c r="U2243" t="s">
        <v>13232</v>
      </c>
      <c r="V2243" t="s">
        <v>13232</v>
      </c>
      <c r="W2243" t="s">
        <v>15424</v>
      </c>
      <c r="X2243">
        <v>41</v>
      </c>
      <c r="Y2243" t="s">
        <v>21913</v>
      </c>
      <c r="Z2243" t="s">
        <v>28374</v>
      </c>
      <c r="AA2243">
        <v>0.44830507662272551</v>
      </c>
      <c r="AB2243" t="str">
        <f>HYPERLINK("Melting_Curves/meltCurve_P35606_COPB2.pdf", "Melting_Curves/meltCurve_P35606_COPB2.pdf")</f>
        <v>Melting_Curves/meltCurve_P35606_COPB2.pdf</v>
      </c>
    </row>
    <row r="2244" spans="1:28" x14ac:dyDescent="0.25">
      <c r="A2244" t="s">
        <v>2248</v>
      </c>
      <c r="B2244">
        <v>0.99930955844802105</v>
      </c>
      <c r="C2244">
        <v>1.03069352669685</v>
      </c>
      <c r="D2244">
        <v>1.00379200700546</v>
      </c>
      <c r="E2244">
        <v>0.98020165272594395</v>
      </c>
      <c r="F2244">
        <v>0.90121190200929602</v>
      </c>
      <c r="G2244">
        <v>0.78928675253680602</v>
      </c>
      <c r="H2244">
        <v>0.66071704964456501</v>
      </c>
      <c r="I2244">
        <v>0.67000731636255195</v>
      </c>
      <c r="J2244">
        <v>0.59204990038017602</v>
      </c>
      <c r="K2244">
        <v>0.40188499878404099</v>
      </c>
      <c r="L2244">
        <v>537.21591111184</v>
      </c>
      <c r="M2244">
        <v>7.8837857577852501</v>
      </c>
      <c r="N2244">
        <v>68.141870860219896</v>
      </c>
      <c r="O2244">
        <v>64.175525426583107</v>
      </c>
      <c r="P2244">
        <v>-3.0748491772762499E-2</v>
      </c>
      <c r="Q2244">
        <v>0</v>
      </c>
      <c r="R2244">
        <v>0.96324336245551401</v>
      </c>
      <c r="S2244" t="s">
        <v>8861</v>
      </c>
      <c r="T2244" t="s">
        <v>13232</v>
      </c>
      <c r="U2244" t="s">
        <v>13232</v>
      </c>
      <c r="V2244" t="s">
        <v>13232</v>
      </c>
      <c r="W2244" t="s">
        <v>15425</v>
      </c>
      <c r="X2244">
        <v>32</v>
      </c>
      <c r="Y2244" t="s">
        <v>21914</v>
      </c>
      <c r="Z2244" t="s">
        <v>28375</v>
      </c>
      <c r="AA2244">
        <v>0.81138774186589313</v>
      </c>
      <c r="AB2244" t="str">
        <f>HYPERLINK("Melting_Curves/meltCurve_P35611_ADD1.pdf", "Melting_Curves/meltCurve_P35611_ADD1.pdf")</f>
        <v>Melting_Curves/meltCurve_P35611_ADD1.pdf</v>
      </c>
    </row>
    <row r="2245" spans="1:28" x14ac:dyDescent="0.25">
      <c r="A2245" t="s">
        <v>2249</v>
      </c>
      <c r="B2245">
        <v>0.99930955844802105</v>
      </c>
      <c r="C2245">
        <v>0.99760364015231195</v>
      </c>
      <c r="D2245">
        <v>1.0574180523504999</v>
      </c>
      <c r="E2245">
        <v>1.05999937033622</v>
      </c>
      <c r="F2245">
        <v>0.92907988384518903</v>
      </c>
      <c r="G2245">
        <v>0.73827210874679705</v>
      </c>
      <c r="H2245">
        <v>0.57857330067775403</v>
      </c>
      <c r="I2245">
        <v>0.55414196150767803</v>
      </c>
      <c r="J2245">
        <v>0.44840308406733997</v>
      </c>
      <c r="K2245">
        <v>0.325318889581932</v>
      </c>
      <c r="L2245">
        <v>951.01221740026699</v>
      </c>
      <c r="M2245">
        <v>15.8970958929444</v>
      </c>
      <c r="N2245">
        <v>63.776073985717296</v>
      </c>
      <c r="O2245">
        <v>58.9003822437911</v>
      </c>
      <c r="P2245">
        <v>-4.6335361249503403E-2</v>
      </c>
      <c r="Q2245">
        <v>0.31334602252912203</v>
      </c>
      <c r="R2245">
        <v>0.96783972791772699</v>
      </c>
      <c r="S2245" t="s">
        <v>8862</v>
      </c>
      <c r="T2245" t="s">
        <v>13232</v>
      </c>
      <c r="U2245" t="s">
        <v>13232</v>
      </c>
      <c r="V2245" t="s">
        <v>13232</v>
      </c>
      <c r="W2245" t="s">
        <v>15426</v>
      </c>
      <c r="X2245">
        <v>22</v>
      </c>
      <c r="Y2245" t="s">
        <v>21915</v>
      </c>
      <c r="Z2245" t="s">
        <v>28376</v>
      </c>
      <c r="AA2245">
        <v>0.7726432903467122</v>
      </c>
      <c r="AB2245" t="str">
        <f>HYPERLINK("Melting_Curves/meltCurve_P35612_ADD2.pdf", "Melting_Curves/meltCurve_P35612_ADD2.pdf")</f>
        <v>Melting_Curves/meltCurve_P35612_ADD2.pdf</v>
      </c>
    </row>
    <row r="2246" spans="1:28" x14ac:dyDescent="0.25">
      <c r="A2246" t="s">
        <v>2250</v>
      </c>
      <c r="B2246">
        <v>0.99930955844802105</v>
      </c>
      <c r="C2246">
        <v>0.74881258945081897</v>
      </c>
      <c r="D2246">
        <v>0.66144991015739696</v>
      </c>
      <c r="E2246">
        <v>0.75654741875616105</v>
      </c>
      <c r="F2246">
        <v>0.45786868357124899</v>
      </c>
      <c r="G2246">
        <v>0.25854731301665301</v>
      </c>
      <c r="H2246">
        <v>0.15351340489794399</v>
      </c>
      <c r="I2246">
        <v>0.14069673538986999</v>
      </c>
      <c r="J2246">
        <v>0.11958727102254001</v>
      </c>
      <c r="K2246">
        <v>9.9077382140602799E-2</v>
      </c>
      <c r="L2246">
        <v>462.48708820552503</v>
      </c>
      <c r="M2246">
        <v>8.9326219103440696</v>
      </c>
      <c r="N2246">
        <v>51.775060361315603</v>
      </c>
      <c r="O2246">
        <v>49.377481727748297</v>
      </c>
      <c r="P2246">
        <v>-4.5259984699829697E-2</v>
      </c>
      <c r="Q2246">
        <v>0</v>
      </c>
      <c r="R2246">
        <v>0.93549754059835799</v>
      </c>
      <c r="S2246" t="s">
        <v>8863</v>
      </c>
      <c r="T2246" t="s">
        <v>13232</v>
      </c>
      <c r="U2246" t="s">
        <v>13232</v>
      </c>
      <c r="V2246" t="s">
        <v>13232</v>
      </c>
      <c r="W2246" t="s">
        <v>15427</v>
      </c>
      <c r="X2246">
        <v>5</v>
      </c>
      <c r="Y2246" t="s">
        <v>21916</v>
      </c>
      <c r="Z2246" t="s">
        <v>28377</v>
      </c>
      <c r="AA2246">
        <v>0.43622160377390429</v>
      </c>
      <c r="AB2246" t="str">
        <f>HYPERLINK("Melting_Curves/meltCurve_P35613_2_BSG.pdf", "Melting_Curves/meltCurve_P35613_2_BSG.pdf")</f>
        <v>Melting_Curves/meltCurve_P35613_2_BSG.pdf</v>
      </c>
    </row>
    <row r="2247" spans="1:28" x14ac:dyDescent="0.25">
      <c r="A2247" t="s">
        <v>2251</v>
      </c>
      <c r="B2247">
        <v>0.99930955844802105</v>
      </c>
      <c r="C2247">
        <v>1.0042267348484899</v>
      </c>
      <c r="D2247">
        <v>1.0649903784883901</v>
      </c>
      <c r="E2247">
        <v>0.984560829578361</v>
      </c>
      <c r="F2247">
        <v>0.90289212359409599</v>
      </c>
      <c r="G2247">
        <v>0.823512408033787</v>
      </c>
      <c r="H2247">
        <v>0.71629007520897103</v>
      </c>
      <c r="I2247">
        <v>0.75142058258883304</v>
      </c>
      <c r="J2247">
        <v>0.76932978862755097</v>
      </c>
      <c r="K2247">
        <v>0.62585106151511305</v>
      </c>
      <c r="L2247">
        <v>1109.9347773324901</v>
      </c>
      <c r="M2247">
        <v>19.888895724596601</v>
      </c>
      <c r="O2247">
        <v>55.251767103106197</v>
      </c>
      <c r="P2247">
        <v>-2.7452271928038199E-2</v>
      </c>
      <c r="Q2247">
        <v>0.69495821453106199</v>
      </c>
      <c r="R2247">
        <v>0.91427489058197797</v>
      </c>
      <c r="S2247" t="s">
        <v>8864</v>
      </c>
      <c r="T2247" t="s">
        <v>13232</v>
      </c>
      <c r="U2247" t="s">
        <v>13232</v>
      </c>
      <c r="V2247" t="s">
        <v>13232</v>
      </c>
      <c r="W2247" t="s">
        <v>15428</v>
      </c>
      <c r="X2247">
        <v>17</v>
      </c>
      <c r="Y2247" t="s">
        <v>21917</v>
      </c>
      <c r="Z2247" t="s">
        <v>28378</v>
      </c>
      <c r="AA2247">
        <v>0.85967223056760866</v>
      </c>
      <c r="AB2247" t="str">
        <f>HYPERLINK("Melting_Curves/meltCurve_P35637_2_FUS.pdf", "Melting_Curves/meltCurve_P35637_2_FUS.pdf")</f>
        <v>Melting_Curves/meltCurve_P35637_2_FUS.pdf</v>
      </c>
    </row>
    <row r="2248" spans="1:28" x14ac:dyDescent="0.25">
      <c r="A2248" t="s">
        <v>2252</v>
      </c>
      <c r="B2248">
        <v>0.99930955844802105</v>
      </c>
      <c r="C2248">
        <v>1.05913800072804</v>
      </c>
      <c r="D2248">
        <v>1.05333367517578</v>
      </c>
      <c r="E2248">
        <v>0.87595567771370597</v>
      </c>
      <c r="F2248">
        <v>0.53797618539085701</v>
      </c>
      <c r="G2248">
        <v>0.45571322950363102</v>
      </c>
      <c r="H2248">
        <v>0.42166603510807998</v>
      </c>
      <c r="I2248">
        <v>0.461704777444639</v>
      </c>
      <c r="J2248">
        <v>0.44949565196424701</v>
      </c>
      <c r="K2248">
        <v>0.36397284503428201</v>
      </c>
      <c r="L2248">
        <v>2423.9622443009198</v>
      </c>
      <c r="M2248">
        <v>47.1761584907347</v>
      </c>
      <c r="N2248">
        <v>53.601957824268503</v>
      </c>
      <c r="O2248">
        <v>51.289015128792002</v>
      </c>
      <c r="P2248">
        <v>-0.13125893218848</v>
      </c>
      <c r="Q2248">
        <v>0.42919182974349901</v>
      </c>
      <c r="R2248">
        <v>0.98311757634055796</v>
      </c>
      <c r="S2248" t="s">
        <v>8865</v>
      </c>
      <c r="T2248" t="s">
        <v>13232</v>
      </c>
      <c r="U2248" t="s">
        <v>13232</v>
      </c>
      <c r="V2248" t="s">
        <v>13232</v>
      </c>
      <c r="W2248" t="s">
        <v>15429</v>
      </c>
      <c r="X2248">
        <v>47</v>
      </c>
      <c r="Y2248" t="s">
        <v>21918</v>
      </c>
      <c r="Z2248" t="s">
        <v>28379</v>
      </c>
      <c r="AA2248">
        <v>0.64719315333024474</v>
      </c>
      <c r="AB2248" t="str">
        <f>HYPERLINK("Melting_Curves/meltCurve_P35658_4_NUP214.pdf", "Melting_Curves/meltCurve_P35658_4_NUP214.pdf")</f>
        <v>Melting_Curves/meltCurve_P35658_4_NUP214.pdf</v>
      </c>
    </row>
    <row r="2249" spans="1:28" x14ac:dyDescent="0.25">
      <c r="A2249" t="s">
        <v>2253</v>
      </c>
      <c r="B2249">
        <v>0.99930955844802105</v>
      </c>
      <c r="C2249">
        <v>1.09329334160465</v>
      </c>
      <c r="D2249">
        <v>1.0806554365630401</v>
      </c>
      <c r="E2249">
        <v>0.98721971065887204</v>
      </c>
      <c r="F2249">
        <v>0.83146482632543495</v>
      </c>
      <c r="G2249">
        <v>0.68682242910051905</v>
      </c>
      <c r="H2249">
        <v>0.63072893242977301</v>
      </c>
      <c r="I2249">
        <v>0.63071566512816801</v>
      </c>
      <c r="J2249">
        <v>0.63365102920007399</v>
      </c>
      <c r="K2249">
        <v>0.54677265694866894</v>
      </c>
      <c r="L2249">
        <v>1584.7476431510399</v>
      </c>
      <c r="M2249">
        <v>29.3958873033163</v>
      </c>
      <c r="O2249">
        <v>53.662865497152701</v>
      </c>
      <c r="P2249">
        <v>-5.3779977558329001E-2</v>
      </c>
      <c r="Q2249">
        <v>0.60729635097317203</v>
      </c>
      <c r="R2249">
        <v>0.94602547142254101</v>
      </c>
      <c r="S2249" t="s">
        <v>8866</v>
      </c>
      <c r="T2249" t="s">
        <v>13232</v>
      </c>
      <c r="U2249" t="s">
        <v>13232</v>
      </c>
      <c r="V2249" t="s">
        <v>13232</v>
      </c>
      <c r="W2249" t="s">
        <v>15430</v>
      </c>
      <c r="X2249">
        <v>13</v>
      </c>
      <c r="Y2249" t="s">
        <v>21919</v>
      </c>
      <c r="Z2249" t="s">
        <v>28380</v>
      </c>
      <c r="AA2249">
        <v>0.79206670265987189</v>
      </c>
      <c r="AB2249" t="str">
        <f>HYPERLINK("Melting_Curves/meltCurve_P35712_SOX6.pdf", "Melting_Curves/meltCurve_P35712_SOX6.pdf")</f>
        <v>Melting_Curves/meltCurve_P35712_SOX6.pdf</v>
      </c>
    </row>
    <row r="2250" spans="1:28" x14ac:dyDescent="0.25">
      <c r="A2250" t="s">
        <v>2254</v>
      </c>
      <c r="B2250">
        <v>0.99930955844802105</v>
      </c>
      <c r="C2250">
        <v>0.97185526206678596</v>
      </c>
      <c r="D2250">
        <v>1.0192129908165899</v>
      </c>
      <c r="E2250">
        <v>0.99297964780389403</v>
      </c>
      <c r="F2250">
        <v>0.816793623743859</v>
      </c>
      <c r="G2250">
        <v>0.73273463546678297</v>
      </c>
      <c r="H2250">
        <v>0.64319378991083898</v>
      </c>
      <c r="I2250">
        <v>0.65721495115666295</v>
      </c>
      <c r="J2250">
        <v>0.60170865778152605</v>
      </c>
      <c r="K2250">
        <v>0.45921810626855297</v>
      </c>
      <c r="L2250">
        <v>660.94551791013998</v>
      </c>
      <c r="M2250">
        <v>11.3293527989695</v>
      </c>
      <c r="O2250">
        <v>56.610262166967601</v>
      </c>
      <c r="P2250">
        <v>-2.7442697471374101E-2</v>
      </c>
      <c r="Q2250">
        <v>0.45166483044443001</v>
      </c>
      <c r="R2250">
        <v>0.94421661693020797</v>
      </c>
      <c r="S2250" t="s">
        <v>8867</v>
      </c>
      <c r="T2250" t="s">
        <v>13232</v>
      </c>
      <c r="U2250" t="s">
        <v>13232</v>
      </c>
      <c r="V2250" t="s">
        <v>13232</v>
      </c>
      <c r="W2250" t="s">
        <v>15431</v>
      </c>
      <c r="X2250">
        <v>5</v>
      </c>
      <c r="Y2250" t="s">
        <v>21920</v>
      </c>
      <c r="Z2250" t="s">
        <v>28381</v>
      </c>
      <c r="AA2250">
        <v>0.79252765176768625</v>
      </c>
      <c r="AB2250" t="str">
        <f>HYPERLINK("Melting_Curves/meltCurve_P35754_GLRX.pdf", "Melting_Curves/meltCurve_P35754_GLRX.pdf")</f>
        <v>Melting_Curves/meltCurve_P35754_GLRX.pdf</v>
      </c>
    </row>
    <row r="2251" spans="1:28" x14ac:dyDescent="0.25">
      <c r="A2251" t="s">
        <v>2255</v>
      </c>
      <c r="B2251">
        <v>0.99930955844802105</v>
      </c>
      <c r="C2251">
        <v>1.1788168080433801</v>
      </c>
      <c r="D2251">
        <v>1.0835880588258</v>
      </c>
      <c r="E2251">
        <v>0.93214743634566999</v>
      </c>
      <c r="F2251">
        <v>0.77454439948516696</v>
      </c>
      <c r="G2251">
        <v>0.57424765101856001</v>
      </c>
      <c r="H2251">
        <v>0.48704579973267798</v>
      </c>
      <c r="I2251">
        <v>0.46909665643551901</v>
      </c>
      <c r="J2251">
        <v>0.39020981211574102</v>
      </c>
      <c r="K2251">
        <v>0.29223982969703899</v>
      </c>
      <c r="L2251">
        <v>1004.61607310848</v>
      </c>
      <c r="M2251">
        <v>18.119202585138801</v>
      </c>
      <c r="N2251">
        <v>59.461364554849503</v>
      </c>
      <c r="O2251">
        <v>54.782704637246603</v>
      </c>
      <c r="P2251">
        <v>-5.3503885004125999E-2</v>
      </c>
      <c r="Q2251">
        <v>0.35296343240974398</v>
      </c>
      <c r="R2251">
        <v>0.93860918431660301</v>
      </c>
      <c r="S2251" t="s">
        <v>8868</v>
      </c>
      <c r="T2251" t="s">
        <v>13232</v>
      </c>
      <c r="U2251" t="s">
        <v>13232</v>
      </c>
      <c r="V2251" t="s">
        <v>13232</v>
      </c>
      <c r="W2251" t="s">
        <v>15432</v>
      </c>
      <c r="X2251">
        <v>3</v>
      </c>
      <c r="Y2251" t="s">
        <v>21921</v>
      </c>
      <c r="Z2251" t="s">
        <v>28382</v>
      </c>
      <c r="AA2251">
        <v>0.69580876709160622</v>
      </c>
      <c r="AB2251" t="str">
        <f>HYPERLINK("Melting_Curves/meltCurve_P35790_2_CHKA.pdf", "Melting_Curves/meltCurve_P35790_2_CHKA.pdf")</f>
        <v>Melting_Curves/meltCurve_P35790_2_CHKA.pdf</v>
      </c>
    </row>
    <row r="2252" spans="1:28" x14ac:dyDescent="0.25">
      <c r="A2252" t="s">
        <v>2256</v>
      </c>
      <c r="B2252">
        <v>0.99930955844802105</v>
      </c>
      <c r="C2252">
        <v>1.05963386284848</v>
      </c>
      <c r="D2252">
        <v>1.0208328594973499</v>
      </c>
      <c r="E2252">
        <v>0.79015378584416396</v>
      </c>
      <c r="F2252">
        <v>0.276756401229444</v>
      </c>
      <c r="G2252">
        <v>0.18539495228558001</v>
      </c>
      <c r="H2252">
        <v>0.105443628755807</v>
      </c>
      <c r="I2252">
        <v>9.1656537820740402E-2</v>
      </c>
      <c r="J2252">
        <v>7.9045786010711702E-2</v>
      </c>
      <c r="K2252">
        <v>6.3060524812220506E-2</v>
      </c>
      <c r="L2252">
        <v>2209.1815991558201</v>
      </c>
      <c r="M2252">
        <v>43.0164732757911</v>
      </c>
      <c r="N2252">
        <v>51.625624963859998</v>
      </c>
      <c r="O2252">
        <v>51.246026058808603</v>
      </c>
      <c r="P2252">
        <v>-0.18878426128630199</v>
      </c>
      <c r="Q2252">
        <v>0.100397874184809</v>
      </c>
      <c r="R2252">
        <v>0.99333794278007703</v>
      </c>
      <c r="S2252" t="s">
        <v>8869</v>
      </c>
      <c r="T2252" t="s">
        <v>13232</v>
      </c>
      <c r="U2252" t="s">
        <v>13232</v>
      </c>
      <c r="V2252" t="s">
        <v>13232</v>
      </c>
      <c r="W2252" t="s">
        <v>15433</v>
      </c>
      <c r="X2252">
        <v>18</v>
      </c>
      <c r="Y2252" t="s">
        <v>21922</v>
      </c>
      <c r="Z2252" t="s">
        <v>28383</v>
      </c>
      <c r="AA2252">
        <v>0.44370466429894673</v>
      </c>
      <c r="AB2252" t="str">
        <f>HYPERLINK("Melting_Curves/meltCurve_P35813_PPM1A.pdf", "Melting_Curves/meltCurve_P35813_PPM1A.pdf")</f>
        <v>Melting_Curves/meltCurve_P35813_PPM1A.pdf</v>
      </c>
    </row>
    <row r="2253" spans="1:28" x14ac:dyDescent="0.25">
      <c r="A2253" t="s">
        <v>2257</v>
      </c>
      <c r="B2253">
        <v>0.99930955844802105</v>
      </c>
      <c r="C2253">
        <v>0.85615179919314099</v>
      </c>
      <c r="D2253">
        <v>0.77997506718105902</v>
      </c>
      <c r="E2253">
        <v>0.74574300141328698</v>
      </c>
      <c r="F2253">
        <v>0.59493267168132502</v>
      </c>
      <c r="G2253">
        <v>0.40903945467993802</v>
      </c>
      <c r="H2253">
        <v>0.33148874897714198</v>
      </c>
      <c r="I2253">
        <v>0.31249499950242599</v>
      </c>
      <c r="J2253">
        <v>0.319069217427144</v>
      </c>
      <c r="K2253">
        <v>0.27564714070427898</v>
      </c>
      <c r="L2253">
        <v>489.159669135939</v>
      </c>
      <c r="M2253">
        <v>9.3760316035177507</v>
      </c>
      <c r="N2253">
        <v>55.180166675600702</v>
      </c>
      <c r="O2253">
        <v>49.963073080111002</v>
      </c>
      <c r="P2253">
        <v>-3.7549105253307902E-2</v>
      </c>
      <c r="Q2253">
        <v>0.20012944643166</v>
      </c>
      <c r="R2253">
        <v>0.97690351565727795</v>
      </c>
      <c r="S2253" t="s">
        <v>8870</v>
      </c>
      <c r="T2253" t="s">
        <v>13232</v>
      </c>
      <c r="U2253" t="s">
        <v>13232</v>
      </c>
      <c r="V2253" t="s">
        <v>13232</v>
      </c>
      <c r="W2253" t="s">
        <v>15434</v>
      </c>
      <c r="X2253">
        <v>3</v>
      </c>
      <c r="Y2253" t="s">
        <v>21923</v>
      </c>
      <c r="Z2253" t="s">
        <v>28384</v>
      </c>
      <c r="AA2253">
        <v>0.55653546335849668</v>
      </c>
      <c r="AB2253" t="str">
        <f>HYPERLINK("Melting_Curves/meltCurve_P35869_AHR.pdf", "Melting_Curves/meltCurve_P35869_AHR.pdf")</f>
        <v>Melting_Curves/meltCurve_P35869_AHR.pdf</v>
      </c>
    </row>
    <row r="2254" spans="1:28" x14ac:dyDescent="0.25">
      <c r="A2254" t="s">
        <v>2258</v>
      </c>
      <c r="B2254">
        <v>0.99930955844802105</v>
      </c>
      <c r="C2254">
        <v>1.02251818139105</v>
      </c>
      <c r="D2254">
        <v>0.64513248163944004</v>
      </c>
      <c r="E2254">
        <v>0.75014288880284796</v>
      </c>
      <c r="F2254">
        <v>2.22558478124978</v>
      </c>
      <c r="G2254">
        <v>0.52553268219323201</v>
      </c>
      <c r="H2254">
        <v>0.61160628873805101</v>
      </c>
      <c r="I2254">
        <v>0.62310722983739297</v>
      </c>
      <c r="J2254">
        <v>0.78625682784110196</v>
      </c>
      <c r="K2254">
        <v>0.24105909004356799</v>
      </c>
      <c r="L2254">
        <v>13833.763203916</v>
      </c>
      <c r="M2254">
        <v>250</v>
      </c>
      <c r="O2254">
        <v>55.331511809332198</v>
      </c>
      <c r="P2254">
        <v>-0.499872038674052</v>
      </c>
      <c r="Q2254">
        <v>0.55746119130194505</v>
      </c>
      <c r="R2254">
        <v>0.28346314971740399</v>
      </c>
      <c r="S2254" t="s">
        <v>8871</v>
      </c>
      <c r="T2254" t="s">
        <v>13232</v>
      </c>
      <c r="U2254" t="s">
        <v>13232</v>
      </c>
      <c r="V2254" t="s">
        <v>13232</v>
      </c>
      <c r="W2254" t="s">
        <v>15435</v>
      </c>
      <c r="X2254">
        <v>37</v>
      </c>
      <c r="Y2254" t="s">
        <v>21924</v>
      </c>
      <c r="Z2254" t="s">
        <v>28385</v>
      </c>
      <c r="AA2254">
        <v>0.78371603401217815</v>
      </c>
      <c r="AB2254" t="str">
        <f>HYPERLINK("Melting_Curves/meltCurve_P35908_KRT2.pdf", "Melting_Curves/meltCurve_P35908_KRT2.pdf")</f>
        <v>Melting_Curves/meltCurve_P35908_KRT2.pdf</v>
      </c>
    </row>
    <row r="2255" spans="1:28" x14ac:dyDescent="0.25">
      <c r="A2255" t="s">
        <v>2259</v>
      </c>
      <c r="B2255">
        <v>0.99930955844802105</v>
      </c>
      <c r="C2255">
        <v>0.65386553138112902</v>
      </c>
      <c r="D2255">
        <v>0.70885244528818003</v>
      </c>
      <c r="E2255">
        <v>0.64600628378874303</v>
      </c>
      <c r="F2255">
        <v>0.34956301847062998</v>
      </c>
      <c r="G2255">
        <v>0.18718267546561501</v>
      </c>
      <c r="H2255">
        <v>8.5016363876716697E-2</v>
      </c>
      <c r="I2255">
        <v>6.8477958579429801E-2</v>
      </c>
      <c r="J2255">
        <v>6.0905536053484602E-2</v>
      </c>
      <c r="K2255">
        <v>4.8476854667825399E-2</v>
      </c>
      <c r="L2255">
        <v>505.55907827096399</v>
      </c>
      <c r="M2255">
        <v>10.1200146001338</v>
      </c>
      <c r="N2255">
        <v>49.9563728363457</v>
      </c>
      <c r="O2255">
        <v>48.123409018520398</v>
      </c>
      <c r="P2255">
        <v>-5.2597673577280103E-2</v>
      </c>
      <c r="Q2255">
        <v>0</v>
      </c>
      <c r="R2255">
        <v>0.93697353946149897</v>
      </c>
      <c r="S2255" t="s">
        <v>8872</v>
      </c>
      <c r="T2255" t="s">
        <v>13232</v>
      </c>
      <c r="U2255" t="s">
        <v>13232</v>
      </c>
      <c r="V2255" t="s">
        <v>13232</v>
      </c>
      <c r="W2255" t="s">
        <v>15436</v>
      </c>
      <c r="X2255">
        <v>35</v>
      </c>
      <c r="Y2255" t="s">
        <v>21925</v>
      </c>
      <c r="Z2255" t="s">
        <v>28386</v>
      </c>
      <c r="AA2255">
        <v>0.37650524463747381</v>
      </c>
      <c r="AB2255" t="str">
        <f>HYPERLINK("Melting_Curves/meltCurve_P35998_PSMC2.pdf", "Melting_Curves/meltCurve_P35998_PSMC2.pdf")</f>
        <v>Melting_Curves/meltCurve_P35998_PSMC2.pdf</v>
      </c>
    </row>
    <row r="2256" spans="1:28" x14ac:dyDescent="0.25">
      <c r="A2256" t="s">
        <v>2260</v>
      </c>
      <c r="B2256">
        <v>0.99930955844802105</v>
      </c>
      <c r="C2256">
        <v>1.03609939801666</v>
      </c>
      <c r="D2256">
        <v>1.04556181139837</v>
      </c>
      <c r="E2256">
        <v>0.69865972507602903</v>
      </c>
      <c r="F2256">
        <v>0.36095019192657901</v>
      </c>
      <c r="G2256">
        <v>0.22338686233539101</v>
      </c>
      <c r="H2256">
        <v>0.14485237197186501</v>
      </c>
      <c r="I2256">
        <v>0.114651652260103</v>
      </c>
      <c r="J2256">
        <v>9.8553536473575204E-2</v>
      </c>
      <c r="K2256">
        <v>8.2051655134675605E-2</v>
      </c>
      <c r="L2256">
        <v>1456.8299080153799</v>
      </c>
      <c r="M2256">
        <v>28.3911613290243</v>
      </c>
      <c r="N2256">
        <v>51.800581283716802</v>
      </c>
      <c r="O2256">
        <v>51.0602367392041</v>
      </c>
      <c r="P2256">
        <v>-0.12270395734041099</v>
      </c>
      <c r="Q2256">
        <v>0.117296602515986</v>
      </c>
      <c r="R2256">
        <v>0.99158044428215097</v>
      </c>
      <c r="S2256" t="s">
        <v>8873</v>
      </c>
      <c r="T2256" t="s">
        <v>13232</v>
      </c>
      <c r="U2256" t="s">
        <v>13232</v>
      </c>
      <c r="V2256" t="s">
        <v>13232</v>
      </c>
      <c r="W2256" t="s">
        <v>15437</v>
      </c>
      <c r="X2256">
        <v>6</v>
      </c>
      <c r="Y2256" t="s">
        <v>21926</v>
      </c>
      <c r="Z2256" t="s">
        <v>28387</v>
      </c>
      <c r="AA2256">
        <v>0.45638397589027829</v>
      </c>
      <c r="AB2256" t="str">
        <f>HYPERLINK("Melting_Curves/meltCurve_P36404_ARL2.pdf", "Melting_Curves/meltCurve_P36404_ARL2.pdf")</f>
        <v>Melting_Curves/meltCurve_P36404_ARL2.pdf</v>
      </c>
    </row>
    <row r="2257" spans="1:28" x14ac:dyDescent="0.25">
      <c r="A2257" t="s">
        <v>2261</v>
      </c>
      <c r="B2257">
        <v>0.99930955844802105</v>
      </c>
      <c r="C2257">
        <v>0.92494708753519395</v>
      </c>
      <c r="D2257">
        <v>0.93577417378098304</v>
      </c>
      <c r="E2257">
        <v>0.86467519404599102</v>
      </c>
      <c r="F2257">
        <v>0.59114335616165803</v>
      </c>
      <c r="G2257">
        <v>0.34402268875910802</v>
      </c>
      <c r="H2257">
        <v>0.17039326185888201</v>
      </c>
      <c r="I2257">
        <v>0.10166430128345701</v>
      </c>
      <c r="J2257">
        <v>8.0754756294633495E-2</v>
      </c>
      <c r="K2257">
        <v>6.3961246156731696E-2</v>
      </c>
      <c r="L2257">
        <v>931.04800063068001</v>
      </c>
      <c r="M2257">
        <v>17.152569191392001</v>
      </c>
      <c r="N2257">
        <v>54.564748480294703</v>
      </c>
      <c r="O2257">
        <v>53.558699298804498</v>
      </c>
      <c r="P2257">
        <v>-7.6645691471953006E-2</v>
      </c>
      <c r="Q2257">
        <v>4.27559659918271E-2</v>
      </c>
      <c r="R2257">
        <v>0.99465891238558202</v>
      </c>
      <c r="S2257" t="s">
        <v>8874</v>
      </c>
      <c r="T2257" t="s">
        <v>13232</v>
      </c>
      <c r="U2257" t="s">
        <v>13232</v>
      </c>
      <c r="V2257" t="s">
        <v>13232</v>
      </c>
      <c r="W2257" t="s">
        <v>15438</v>
      </c>
      <c r="X2257">
        <v>10</v>
      </c>
      <c r="Y2257" t="s">
        <v>21927</v>
      </c>
      <c r="Z2257" t="s">
        <v>28388</v>
      </c>
      <c r="AA2257">
        <v>0.51468076886244685</v>
      </c>
      <c r="AB2257" t="str">
        <f>HYPERLINK("Melting_Curves/meltCurve_P36405_ARL3.pdf", "Melting_Curves/meltCurve_P36405_ARL3.pdf")</f>
        <v>Melting_Curves/meltCurve_P36405_ARL3.pdf</v>
      </c>
    </row>
    <row r="2258" spans="1:28" x14ac:dyDescent="0.25">
      <c r="A2258" t="s">
        <v>2262</v>
      </c>
      <c r="B2258">
        <v>0.99930955844802105</v>
      </c>
      <c r="C2258">
        <v>0.88948866246450697</v>
      </c>
      <c r="D2258">
        <v>0.74060119028365801</v>
      </c>
      <c r="E2258">
        <v>0.55921124818062595</v>
      </c>
      <c r="F2258">
        <v>0.19651086194425199</v>
      </c>
      <c r="G2258">
        <v>0.11160992261378901</v>
      </c>
      <c r="H2258">
        <v>6.9541276658473303E-2</v>
      </c>
      <c r="I2258">
        <v>4.59476694884507E-2</v>
      </c>
      <c r="J2258">
        <v>2.6792734577635102E-2</v>
      </c>
      <c r="K2258">
        <v>2.0942680234427101E-2</v>
      </c>
      <c r="L2258">
        <v>780.08307006770804</v>
      </c>
      <c r="M2258">
        <v>15.7405007927611</v>
      </c>
      <c r="N2258">
        <v>49.613546206176601</v>
      </c>
      <c r="O2258">
        <v>48.779755505968303</v>
      </c>
      <c r="P2258">
        <v>-7.9985593817650205E-2</v>
      </c>
      <c r="Q2258">
        <v>8.58265198549313E-3</v>
      </c>
      <c r="R2258">
        <v>0.98804023005131503</v>
      </c>
      <c r="S2258" t="s">
        <v>8875</v>
      </c>
      <c r="T2258" t="s">
        <v>13232</v>
      </c>
      <c r="U2258" t="s">
        <v>13232</v>
      </c>
      <c r="V2258" t="s">
        <v>13232</v>
      </c>
      <c r="W2258" t="s">
        <v>15439</v>
      </c>
      <c r="X2258">
        <v>1</v>
      </c>
      <c r="Y2258" t="s">
        <v>21928</v>
      </c>
      <c r="Z2258" t="s">
        <v>28389</v>
      </c>
      <c r="AA2258">
        <v>0.34643417976687069</v>
      </c>
      <c r="AB2258" t="str">
        <f>HYPERLINK("Melting_Curves/meltCurve_P36406_3_TRIM23.pdf", "Melting_Curves/meltCurve_P36406_3_TRIM23.pdf")</f>
        <v>Melting_Curves/meltCurve_P36406_3_TRIM23.pdf</v>
      </c>
    </row>
    <row r="2259" spans="1:28" x14ac:dyDescent="0.25">
      <c r="A2259" t="s">
        <v>2263</v>
      </c>
      <c r="B2259">
        <v>0.99930955844802105</v>
      </c>
      <c r="C2259">
        <v>0.99142429125001896</v>
      </c>
      <c r="D2259">
        <v>0.89240626366809905</v>
      </c>
      <c r="E2259">
        <v>0.53108384441948397</v>
      </c>
      <c r="F2259">
        <v>0.203003722495563</v>
      </c>
      <c r="G2259">
        <v>0.12996497668159099</v>
      </c>
      <c r="H2259">
        <v>7.6854697070271705E-2</v>
      </c>
      <c r="I2259">
        <v>6.3479721053013097E-2</v>
      </c>
      <c r="J2259">
        <v>5.0650405696664298E-2</v>
      </c>
      <c r="K2259">
        <v>4.0526875264414501E-2</v>
      </c>
      <c r="L2259">
        <v>1272.1038357008599</v>
      </c>
      <c r="M2259">
        <v>25.4960835707775</v>
      </c>
      <c r="N2259">
        <v>50.138081011365998</v>
      </c>
      <c r="O2259">
        <v>49.590183779108997</v>
      </c>
      <c r="P2259">
        <v>-0.121036381399175</v>
      </c>
      <c r="Q2259">
        <v>5.8342958209136299E-2</v>
      </c>
      <c r="R2259">
        <v>0.99819053906597999</v>
      </c>
      <c r="S2259" t="s">
        <v>8876</v>
      </c>
      <c r="T2259" t="s">
        <v>13232</v>
      </c>
      <c r="U2259" t="s">
        <v>13232</v>
      </c>
      <c r="V2259" t="s">
        <v>13232</v>
      </c>
      <c r="W2259" t="s">
        <v>15440</v>
      </c>
      <c r="X2259">
        <v>20</v>
      </c>
      <c r="Y2259" t="s">
        <v>21929</v>
      </c>
      <c r="Z2259" t="s">
        <v>28390</v>
      </c>
      <c r="AA2259">
        <v>0.37698491723682742</v>
      </c>
      <c r="AB2259" t="str">
        <f>HYPERLINK("Melting_Curves/meltCurve_P36507_MAP2K2.pdf", "Melting_Curves/meltCurve_P36507_MAP2K2.pdf")</f>
        <v>Melting_Curves/meltCurve_P36507_MAP2K2.pdf</v>
      </c>
    </row>
    <row r="2260" spans="1:28" x14ac:dyDescent="0.25">
      <c r="A2260" t="s">
        <v>2264</v>
      </c>
      <c r="B2260">
        <v>0.99930955844802105</v>
      </c>
      <c r="C2260">
        <v>0.84705571339756103</v>
      </c>
      <c r="D2260">
        <v>0.73785508023052404</v>
      </c>
      <c r="E2260">
        <v>0.67074374911326196</v>
      </c>
      <c r="F2260">
        <v>0.55823361142151695</v>
      </c>
      <c r="G2260">
        <v>0.19348681962969599</v>
      </c>
      <c r="H2260">
        <v>9.21763082378034E-2</v>
      </c>
      <c r="I2260">
        <v>7.0795591885676398E-2</v>
      </c>
      <c r="J2260">
        <v>6.4902563268363203E-2</v>
      </c>
      <c r="K2260">
        <v>4.8036074865232301E-2</v>
      </c>
      <c r="L2260">
        <v>618.87769326847001</v>
      </c>
      <c r="M2260">
        <v>11.893621638068399</v>
      </c>
      <c r="N2260">
        <v>52.034401402433701</v>
      </c>
      <c r="O2260">
        <v>50.628831595411</v>
      </c>
      <c r="P2260">
        <v>-5.8744143628978097E-2</v>
      </c>
      <c r="Q2260">
        <v>0</v>
      </c>
      <c r="R2260">
        <v>0.96893616632843005</v>
      </c>
      <c r="S2260" t="s">
        <v>8877</v>
      </c>
      <c r="T2260" t="s">
        <v>13232</v>
      </c>
      <c r="U2260" t="s">
        <v>13232</v>
      </c>
      <c r="V2260" t="s">
        <v>13232</v>
      </c>
      <c r="W2260" t="s">
        <v>15441</v>
      </c>
      <c r="X2260">
        <v>15</v>
      </c>
      <c r="Y2260" t="s">
        <v>21930</v>
      </c>
      <c r="Z2260" t="s">
        <v>28391</v>
      </c>
      <c r="AA2260">
        <v>0.43202806746663958</v>
      </c>
      <c r="AB2260" t="str">
        <f>HYPERLINK("Melting_Curves/meltCurve_P36543_ATP6V1E1.pdf", "Melting_Curves/meltCurve_P36543_ATP6V1E1.pdf")</f>
        <v>Melting_Curves/meltCurve_P36543_ATP6V1E1.pdf</v>
      </c>
    </row>
    <row r="2261" spans="1:28" x14ac:dyDescent="0.25">
      <c r="A2261" t="s">
        <v>2265</v>
      </c>
      <c r="B2261">
        <v>0.99930955844802105</v>
      </c>
      <c r="C2261">
        <v>0.97987212679612301</v>
      </c>
      <c r="D2261">
        <v>0.91879709260989895</v>
      </c>
      <c r="E2261">
        <v>0.92740822930367395</v>
      </c>
      <c r="F2261">
        <v>0.77212647970748305</v>
      </c>
      <c r="G2261">
        <v>0.54430951051085297</v>
      </c>
      <c r="H2261">
        <v>0.28637457926041698</v>
      </c>
      <c r="I2261">
        <v>0.135309759387304</v>
      </c>
      <c r="J2261">
        <v>9.8041734682762297E-2</v>
      </c>
      <c r="K2261">
        <v>6.7264538131872997E-2</v>
      </c>
      <c r="L2261">
        <v>897.74530563284702</v>
      </c>
      <c r="M2261">
        <v>15.646349554848801</v>
      </c>
      <c r="N2261">
        <v>57.377300990496302</v>
      </c>
      <c r="O2261">
        <v>56.464550204466001</v>
      </c>
      <c r="P2261">
        <v>-6.9281032156198005E-2</v>
      </c>
      <c r="Q2261">
        <v>0</v>
      </c>
      <c r="R2261">
        <v>0.99584129693486001</v>
      </c>
      <c r="S2261" t="s">
        <v>8878</v>
      </c>
      <c r="T2261" t="s">
        <v>13232</v>
      </c>
      <c r="U2261" t="s">
        <v>13232</v>
      </c>
      <c r="V2261" t="s">
        <v>13232</v>
      </c>
      <c r="W2261" t="s">
        <v>15442</v>
      </c>
      <c r="X2261">
        <v>21</v>
      </c>
      <c r="Y2261" t="s">
        <v>21931</v>
      </c>
      <c r="Z2261" t="s">
        <v>28392</v>
      </c>
      <c r="AA2261">
        <v>0.59391174851621231</v>
      </c>
      <c r="AB2261" t="str">
        <f>HYPERLINK("Melting_Curves/meltCurve_P36551_CPOX.pdf", "Melting_Curves/meltCurve_P36551_CPOX.pdf")</f>
        <v>Melting_Curves/meltCurve_P36551_CPOX.pdf</v>
      </c>
    </row>
    <row r="2262" spans="1:28" x14ac:dyDescent="0.25">
      <c r="A2262" t="s">
        <v>2266</v>
      </c>
      <c r="B2262">
        <v>0.99930955844802105</v>
      </c>
      <c r="C2262">
        <v>0.94851197426290401</v>
      </c>
      <c r="D2262">
        <v>0.83021493749763897</v>
      </c>
      <c r="E2262">
        <v>0.81494296696468305</v>
      </c>
      <c r="F2262">
        <v>0.70994851559652405</v>
      </c>
      <c r="G2262">
        <v>0.56592218425258001</v>
      </c>
      <c r="H2262">
        <v>0.50509398855089305</v>
      </c>
      <c r="I2262">
        <v>0.58743695895728598</v>
      </c>
      <c r="J2262">
        <v>0.59084608241264702</v>
      </c>
      <c r="K2262">
        <v>0.45532843843472298</v>
      </c>
      <c r="L2262">
        <v>571.02291420280199</v>
      </c>
      <c r="M2262">
        <v>11.211196432617299</v>
      </c>
      <c r="O2262">
        <v>49.393419788246597</v>
      </c>
      <c r="P2262">
        <v>-2.8997064239152801E-2</v>
      </c>
      <c r="Q2262">
        <v>0.48914822918795198</v>
      </c>
      <c r="R2262">
        <v>0.93545495982134796</v>
      </c>
      <c r="S2262" t="s">
        <v>8879</v>
      </c>
      <c r="T2262" t="s">
        <v>13232</v>
      </c>
      <c r="U2262" t="s">
        <v>13232</v>
      </c>
      <c r="V2262" t="s">
        <v>13232</v>
      </c>
      <c r="W2262" t="s">
        <v>15443</v>
      </c>
      <c r="X2262">
        <v>17</v>
      </c>
      <c r="Y2262" t="s">
        <v>21932</v>
      </c>
      <c r="Z2262" t="s">
        <v>28393</v>
      </c>
      <c r="AA2262">
        <v>0.69372897771497266</v>
      </c>
      <c r="AB2262" t="str">
        <f>HYPERLINK("Melting_Curves/meltCurve_P36578_RPL4.pdf", "Melting_Curves/meltCurve_P36578_RPL4.pdf")</f>
        <v>Melting_Curves/meltCurve_P36578_RPL4.pdf</v>
      </c>
    </row>
    <row r="2263" spans="1:28" x14ac:dyDescent="0.25">
      <c r="A2263" t="s">
        <v>2267</v>
      </c>
      <c r="B2263">
        <v>0.99930955844802105</v>
      </c>
      <c r="C2263">
        <v>0.99531720565544302</v>
      </c>
      <c r="D2263">
        <v>1.0171968116752299</v>
      </c>
      <c r="E2263">
        <v>0.92331942559304403</v>
      </c>
      <c r="F2263">
        <v>0.69723195076216005</v>
      </c>
      <c r="G2263">
        <v>0.39613497401810099</v>
      </c>
      <c r="H2263">
        <v>0.17957519788374601</v>
      </c>
      <c r="I2263">
        <v>0.15639316703907999</v>
      </c>
      <c r="J2263">
        <v>0.13351268215400899</v>
      </c>
      <c r="K2263">
        <v>8.85777548686114E-2</v>
      </c>
      <c r="L2263">
        <v>1194.06151724752</v>
      </c>
      <c r="M2263">
        <v>21.742843105339301</v>
      </c>
      <c r="N2263">
        <v>55.498818497542501</v>
      </c>
      <c r="O2263">
        <v>54.4592364539062</v>
      </c>
      <c r="P2263">
        <v>-8.9649486091387204E-2</v>
      </c>
      <c r="Q2263">
        <v>0.101841772238821</v>
      </c>
      <c r="R2263">
        <v>0.99794377330777595</v>
      </c>
      <c r="S2263" t="s">
        <v>8880</v>
      </c>
      <c r="T2263" t="s">
        <v>13232</v>
      </c>
      <c r="U2263" t="s">
        <v>13232</v>
      </c>
      <c r="V2263" t="s">
        <v>13232</v>
      </c>
      <c r="W2263" t="s">
        <v>15444</v>
      </c>
      <c r="X2263">
        <v>4</v>
      </c>
      <c r="Y2263" t="s">
        <v>21933</v>
      </c>
      <c r="Z2263" t="s">
        <v>28394</v>
      </c>
      <c r="AA2263">
        <v>0.55896879598449578</v>
      </c>
      <c r="AB2263" t="str">
        <f>HYPERLINK("Melting_Curves/meltCurve_P36639_4_NUDT1.pdf", "Melting_Curves/meltCurve_P36639_4_NUDT1.pdf")</f>
        <v>Melting_Curves/meltCurve_P36639_4_NUDT1.pdf</v>
      </c>
    </row>
    <row r="2264" spans="1:28" x14ac:dyDescent="0.25">
      <c r="A2264" t="s">
        <v>2268</v>
      </c>
      <c r="B2264">
        <v>0.99930955844802105</v>
      </c>
      <c r="C2264">
        <v>1.1317396288577</v>
      </c>
      <c r="D2264">
        <v>1.0174668485432901</v>
      </c>
      <c r="E2264">
        <v>0.79124001226086504</v>
      </c>
      <c r="F2264">
        <v>0.50492178658703502</v>
      </c>
      <c r="G2264">
        <v>0.31599748833576802</v>
      </c>
      <c r="H2264">
        <v>0.208834071023698</v>
      </c>
      <c r="I2264">
        <v>0.155620686197636</v>
      </c>
      <c r="J2264">
        <v>0.13884158163674501</v>
      </c>
      <c r="K2264">
        <v>0.125592567892955</v>
      </c>
      <c r="L2264">
        <v>1174.0616548676201</v>
      </c>
      <c r="M2264">
        <v>22.3217885396061</v>
      </c>
      <c r="N2264">
        <v>53.422685846863097</v>
      </c>
      <c r="O2264">
        <v>52.180433119685198</v>
      </c>
      <c r="P2264">
        <v>-9.1346745252099695E-2</v>
      </c>
      <c r="Q2264">
        <v>0.145872690024967</v>
      </c>
      <c r="R2264">
        <v>0.98289590213278899</v>
      </c>
      <c r="S2264" t="s">
        <v>8881</v>
      </c>
      <c r="T2264" t="s">
        <v>13232</v>
      </c>
      <c r="U2264" t="s">
        <v>13232</v>
      </c>
      <c r="V2264" t="s">
        <v>13232</v>
      </c>
      <c r="W2264" t="s">
        <v>15445</v>
      </c>
      <c r="X2264">
        <v>18</v>
      </c>
      <c r="Y2264" t="s">
        <v>21934</v>
      </c>
      <c r="Z2264" t="s">
        <v>28395</v>
      </c>
      <c r="AA2264">
        <v>0.51420775682379494</v>
      </c>
      <c r="AB2264" t="str">
        <f>HYPERLINK("Melting_Curves/meltCurve_P36873_PPP1CC.pdf", "Melting_Curves/meltCurve_P36873_PPP1CC.pdf")</f>
        <v>Melting_Curves/meltCurve_P36873_PPP1CC.pdf</v>
      </c>
    </row>
    <row r="2265" spans="1:28" x14ac:dyDescent="0.25">
      <c r="A2265" t="s">
        <v>2269</v>
      </c>
      <c r="B2265">
        <v>0.99930955844802105</v>
      </c>
      <c r="C2265">
        <v>1.0735326592014001</v>
      </c>
      <c r="D2265">
        <v>1.0541725319741899</v>
      </c>
      <c r="E2265">
        <v>0.85153462762007803</v>
      </c>
      <c r="F2265">
        <v>0.20913292732018601</v>
      </c>
      <c r="G2265">
        <v>0.13979545612267699</v>
      </c>
      <c r="H2265">
        <v>7.7404411294533806E-2</v>
      </c>
      <c r="I2265">
        <v>7.0044781749071694E-2</v>
      </c>
      <c r="J2265">
        <v>6.1493352605277801E-2</v>
      </c>
      <c r="K2265">
        <v>4.4145399807049901E-2</v>
      </c>
      <c r="L2265">
        <v>3019.5202675298501</v>
      </c>
      <c r="M2265">
        <v>58.743446916184901</v>
      </c>
      <c r="N2265">
        <v>51.549722158020003</v>
      </c>
      <c r="O2265">
        <v>51.3423568928146</v>
      </c>
      <c r="P2265">
        <v>-0.263857288542035</v>
      </c>
      <c r="Q2265">
        <v>7.7544861411506794E-2</v>
      </c>
      <c r="R2265">
        <v>0.99319162452376897</v>
      </c>
      <c r="S2265" t="s">
        <v>8882</v>
      </c>
      <c r="T2265" t="s">
        <v>13232</v>
      </c>
      <c r="U2265" t="s">
        <v>13232</v>
      </c>
      <c r="V2265" t="s">
        <v>13232</v>
      </c>
      <c r="W2265" t="s">
        <v>15446</v>
      </c>
      <c r="X2265">
        <v>25</v>
      </c>
      <c r="Y2265" t="s">
        <v>21935</v>
      </c>
      <c r="Z2265" t="s">
        <v>28396</v>
      </c>
      <c r="AA2265">
        <v>0.42964677599669049</v>
      </c>
      <c r="AB2265" t="str">
        <f>HYPERLINK("Melting_Curves/meltCurve_P36915_GNL1.pdf", "Melting_Curves/meltCurve_P36915_GNL1.pdf")</f>
        <v>Melting_Curves/meltCurve_P36915_GNL1.pdf</v>
      </c>
    </row>
    <row r="2266" spans="1:28" x14ac:dyDescent="0.25">
      <c r="A2266" t="s">
        <v>2270</v>
      </c>
      <c r="B2266">
        <v>0.99930955844802105</v>
      </c>
      <c r="C2266">
        <v>0.90953432273539903</v>
      </c>
      <c r="D2266">
        <v>1.03149112452557</v>
      </c>
      <c r="E2266">
        <v>1.2195717056404101</v>
      </c>
      <c r="F2266">
        <v>0.90501805046695905</v>
      </c>
      <c r="G2266">
        <v>0.55086095518773703</v>
      </c>
      <c r="H2266">
        <v>0.37163082505190298</v>
      </c>
      <c r="I2266">
        <v>0.36695510908000301</v>
      </c>
      <c r="J2266">
        <v>0.357479583370443</v>
      </c>
      <c r="K2266">
        <v>0.31242938087273803</v>
      </c>
      <c r="L2266">
        <v>2322.9860165974401</v>
      </c>
      <c r="M2266">
        <v>41.572728207325099</v>
      </c>
      <c r="N2266">
        <v>57.512019408189602</v>
      </c>
      <c r="O2266">
        <v>55.748830956572903</v>
      </c>
      <c r="P2266">
        <v>-0.121816703169265</v>
      </c>
      <c r="Q2266">
        <v>0.34657887983720598</v>
      </c>
      <c r="R2266">
        <v>0.94145336712081196</v>
      </c>
      <c r="S2266" t="s">
        <v>8883</v>
      </c>
      <c r="T2266" t="s">
        <v>13232</v>
      </c>
      <c r="U2266" t="s">
        <v>13232</v>
      </c>
      <c r="V2266" t="s">
        <v>13232</v>
      </c>
      <c r="W2266" t="s">
        <v>15447</v>
      </c>
      <c r="X2266">
        <v>6</v>
      </c>
      <c r="Y2266" t="s">
        <v>21936</v>
      </c>
      <c r="Z2266" t="s">
        <v>28397</v>
      </c>
      <c r="AA2266">
        <v>0.69472951572299479</v>
      </c>
      <c r="AB2266" t="str">
        <f>HYPERLINK("Melting_Curves/meltCurve_P36954_POLR2I.pdf", "Melting_Curves/meltCurve_P36954_POLR2I.pdf")</f>
        <v>Melting_Curves/meltCurve_P36954_POLR2I.pdf</v>
      </c>
    </row>
    <row r="2267" spans="1:28" x14ac:dyDescent="0.25">
      <c r="A2267" t="s">
        <v>2271</v>
      </c>
      <c r="B2267">
        <v>0.99930955844802105</v>
      </c>
      <c r="C2267">
        <v>0.967726704558594</v>
      </c>
      <c r="D2267">
        <v>0.99412471239947997</v>
      </c>
      <c r="E2267">
        <v>1.0766701890752799</v>
      </c>
      <c r="F2267">
        <v>1.14527463247143</v>
      </c>
      <c r="G2267">
        <v>1.0291642094382401</v>
      </c>
      <c r="H2267">
        <v>0.72452327263407001</v>
      </c>
      <c r="I2267">
        <v>0.65832932152909696</v>
      </c>
      <c r="J2267">
        <v>0.63818413940726504</v>
      </c>
      <c r="K2267">
        <v>0.47633143839761899</v>
      </c>
      <c r="L2267">
        <v>2602.3071315642701</v>
      </c>
      <c r="M2267">
        <v>42.889589275427298</v>
      </c>
      <c r="O2267">
        <v>60.543100308517801</v>
      </c>
      <c r="P2267">
        <v>-7.6699371738326999E-2</v>
      </c>
      <c r="Q2267">
        <v>0.56692420103782104</v>
      </c>
      <c r="R2267">
        <v>0.89683644964371401</v>
      </c>
      <c r="S2267" t="s">
        <v>8884</v>
      </c>
      <c r="T2267" t="s">
        <v>13232</v>
      </c>
      <c r="U2267" t="s">
        <v>13232</v>
      </c>
      <c r="V2267" t="s">
        <v>13232</v>
      </c>
      <c r="W2267" t="s">
        <v>15448</v>
      </c>
      <c r="X2267">
        <v>10</v>
      </c>
      <c r="Y2267" t="s">
        <v>21937</v>
      </c>
      <c r="Z2267" t="s">
        <v>28398</v>
      </c>
      <c r="AA2267">
        <v>0.86686294426595967</v>
      </c>
      <c r="AB2267" t="str">
        <f>HYPERLINK("Melting_Curves/meltCurve_P36957_DLST.pdf", "Melting_Curves/meltCurve_P36957_DLST.pdf")</f>
        <v>Melting_Curves/meltCurve_P36957_DLST.pdf</v>
      </c>
    </row>
    <row r="2268" spans="1:28" x14ac:dyDescent="0.25">
      <c r="A2268" t="s">
        <v>2272</v>
      </c>
      <c r="B2268">
        <v>0.99930955844802105</v>
      </c>
      <c r="C2268">
        <v>0.82561606071912197</v>
      </c>
      <c r="D2268">
        <v>0.85527291912569603</v>
      </c>
      <c r="E2268">
        <v>0.98243742035885795</v>
      </c>
      <c r="F2268">
        <v>1.0479043661292</v>
      </c>
      <c r="G2268">
        <v>0.80334546236398097</v>
      </c>
      <c r="H2268">
        <v>0.34070508268841998</v>
      </c>
      <c r="I2268">
        <v>0.40541100153201898</v>
      </c>
      <c r="J2268">
        <v>0.32639124633452199</v>
      </c>
      <c r="K2268">
        <v>0.21703202379532299</v>
      </c>
      <c r="L2268">
        <v>3353.09392713325</v>
      </c>
      <c r="M2268">
        <v>57.903044154364203</v>
      </c>
      <c r="N2268">
        <v>58.908886730494302</v>
      </c>
      <c r="O2268">
        <v>57.839820441194902</v>
      </c>
      <c r="P2268">
        <v>-0.171960339763332</v>
      </c>
      <c r="Q2268">
        <v>0.31291005546550099</v>
      </c>
      <c r="R2268">
        <v>0.92250196515500404</v>
      </c>
      <c r="S2268" t="s">
        <v>8885</v>
      </c>
      <c r="T2268" t="s">
        <v>13232</v>
      </c>
      <c r="U2268" t="s">
        <v>13232</v>
      </c>
      <c r="V2268" t="s">
        <v>13232</v>
      </c>
      <c r="W2268" t="s">
        <v>15449</v>
      </c>
      <c r="X2268">
        <v>15</v>
      </c>
      <c r="Y2268" t="s">
        <v>21938</v>
      </c>
      <c r="Z2268" t="s">
        <v>28399</v>
      </c>
      <c r="AA2268">
        <v>0.72437976093750411</v>
      </c>
      <c r="AB2268" t="str">
        <f>HYPERLINK("Melting_Curves/meltCurve_P36959_GMPR.pdf", "Melting_Curves/meltCurve_P36959_GMPR.pdf")</f>
        <v>Melting_Curves/meltCurve_P36959_GMPR.pdf</v>
      </c>
    </row>
    <row r="2269" spans="1:28" x14ac:dyDescent="0.25">
      <c r="A2269" t="s">
        <v>2273</v>
      </c>
      <c r="B2269">
        <v>0.99930955844802105</v>
      </c>
      <c r="C2269">
        <v>1.0528552164919101</v>
      </c>
      <c r="D2269">
        <v>1.09791681995674</v>
      </c>
      <c r="E2269">
        <v>0.994121644692184</v>
      </c>
      <c r="F2269">
        <v>0.82105143900132105</v>
      </c>
      <c r="G2269">
        <v>0.18841853340291201</v>
      </c>
      <c r="H2269">
        <v>0.11721987080558</v>
      </c>
      <c r="I2269">
        <v>0.101161859644975</v>
      </c>
      <c r="J2269">
        <v>8.0051721733990999E-2</v>
      </c>
      <c r="K2269">
        <v>5.8307572319662097E-2</v>
      </c>
      <c r="L2269">
        <v>2619.2839150996901</v>
      </c>
      <c r="M2269">
        <v>48.008095948325298</v>
      </c>
      <c r="N2269">
        <v>54.7773815260365</v>
      </c>
      <c r="O2269">
        <v>54.4648119745613</v>
      </c>
      <c r="P2269">
        <v>-0.20118784800183001</v>
      </c>
      <c r="Q2269">
        <v>8.7016964997499696E-2</v>
      </c>
      <c r="R2269">
        <v>0.99297974339582495</v>
      </c>
      <c r="S2269" t="s">
        <v>8886</v>
      </c>
      <c r="T2269" t="s">
        <v>13232</v>
      </c>
      <c r="U2269" t="s">
        <v>13232</v>
      </c>
      <c r="V2269" t="s">
        <v>13232</v>
      </c>
      <c r="W2269" t="s">
        <v>15450</v>
      </c>
      <c r="X2269">
        <v>13</v>
      </c>
      <c r="Y2269" t="s">
        <v>21939</v>
      </c>
      <c r="Z2269" t="s">
        <v>28400</v>
      </c>
      <c r="AA2269">
        <v>0.53247705160533088</v>
      </c>
      <c r="AB2269" t="str">
        <f>HYPERLINK("Melting_Curves/meltCurve_P36969_2_GPX4.pdf", "Melting_Curves/meltCurve_P36969_2_GPX4.pdf")</f>
        <v>Melting_Curves/meltCurve_P36969_2_GPX4.pdf</v>
      </c>
    </row>
    <row r="2270" spans="1:28" x14ac:dyDescent="0.25">
      <c r="A2270" t="s">
        <v>2274</v>
      </c>
      <c r="B2270">
        <v>0.99930955844802105</v>
      </c>
      <c r="C2270">
        <v>0.89034124434719697</v>
      </c>
      <c r="D2270">
        <v>0.91430931764321899</v>
      </c>
      <c r="E2270">
        <v>0.85551840905869503</v>
      </c>
      <c r="F2270">
        <v>0.77472137526756402</v>
      </c>
      <c r="G2270">
        <v>0.60131311213054095</v>
      </c>
      <c r="H2270">
        <v>0.31224523209571903</v>
      </c>
      <c r="I2270">
        <v>0.230432384593002</v>
      </c>
      <c r="J2270">
        <v>0.16288710052493</v>
      </c>
      <c r="K2270">
        <v>0.10115985801294899</v>
      </c>
      <c r="L2270">
        <v>706.09183245722602</v>
      </c>
      <c r="M2270">
        <v>12.1883443748431</v>
      </c>
      <c r="N2270">
        <v>57.931742271482499</v>
      </c>
      <c r="O2270">
        <v>56.438433200359803</v>
      </c>
      <c r="P2270">
        <v>-5.4001811563150398E-2</v>
      </c>
      <c r="Q2270">
        <v>0</v>
      </c>
      <c r="R2270">
        <v>0.98517453367878305</v>
      </c>
      <c r="S2270" t="s">
        <v>8887</v>
      </c>
      <c r="T2270" t="s">
        <v>13232</v>
      </c>
      <c r="U2270" t="s">
        <v>13232</v>
      </c>
      <c r="V2270" t="s">
        <v>13232</v>
      </c>
      <c r="W2270" t="s">
        <v>15451</v>
      </c>
      <c r="X2270">
        <v>10</v>
      </c>
      <c r="Y2270" t="s">
        <v>21940</v>
      </c>
      <c r="Z2270" t="s">
        <v>28401</v>
      </c>
      <c r="AA2270">
        <v>0.61086094955164838</v>
      </c>
      <c r="AB2270" t="str">
        <f>HYPERLINK("Melting_Curves/meltCurve_P37108_SRP14.pdf", "Melting_Curves/meltCurve_P37108_SRP14.pdf")</f>
        <v>Melting_Curves/meltCurve_P37108_SRP14.pdf</v>
      </c>
    </row>
    <row r="2271" spans="1:28" x14ac:dyDescent="0.25">
      <c r="A2271" t="s">
        <v>2275</v>
      </c>
      <c r="B2271">
        <v>0.99930955844802105</v>
      </c>
      <c r="C2271">
        <v>1.00260119675189</v>
      </c>
      <c r="D2271">
        <v>0.89327099686809797</v>
      </c>
      <c r="E2271">
        <v>0.778358932396227</v>
      </c>
      <c r="F2271">
        <v>0.56351193212575201</v>
      </c>
      <c r="G2271">
        <v>0.438988080488591</v>
      </c>
      <c r="H2271">
        <v>0.44874540537371299</v>
      </c>
      <c r="I2271">
        <v>0.51766717682484698</v>
      </c>
      <c r="J2271">
        <v>0.60440730257193698</v>
      </c>
      <c r="K2271">
        <v>0.53224827903299399</v>
      </c>
      <c r="L2271">
        <v>1411.49595074015</v>
      </c>
      <c r="M2271">
        <v>28.335876438728999</v>
      </c>
      <c r="O2271">
        <v>49.566915260099897</v>
      </c>
      <c r="P2271">
        <v>-7.0699427288223204E-2</v>
      </c>
      <c r="Q2271">
        <v>0.50531632499900603</v>
      </c>
      <c r="R2271">
        <v>0.93997282807087101</v>
      </c>
      <c r="S2271" t="s">
        <v>8888</v>
      </c>
      <c r="T2271" t="s">
        <v>13232</v>
      </c>
      <c r="U2271" t="s">
        <v>13232</v>
      </c>
      <c r="V2271" t="s">
        <v>13232</v>
      </c>
      <c r="W2271" t="s">
        <v>15452</v>
      </c>
      <c r="X2271">
        <v>10</v>
      </c>
      <c r="Y2271" t="s">
        <v>21941</v>
      </c>
      <c r="Z2271" t="s">
        <v>28402</v>
      </c>
      <c r="AA2271">
        <v>0.67055265581051948</v>
      </c>
      <c r="AB2271" t="str">
        <f>HYPERLINK("Melting_Curves/meltCurve_P37198_NUP62.pdf", "Melting_Curves/meltCurve_P37198_NUP62.pdf")</f>
        <v>Melting_Curves/meltCurve_P37198_NUP62.pdf</v>
      </c>
    </row>
    <row r="2272" spans="1:28" x14ac:dyDescent="0.25">
      <c r="A2272" t="s">
        <v>2276</v>
      </c>
      <c r="B2272">
        <v>0.99930955844802105</v>
      </c>
      <c r="C2272">
        <v>1.07704469451424</v>
      </c>
      <c r="D2272">
        <v>1.09043072010813</v>
      </c>
      <c r="E2272">
        <v>1.03499342928862</v>
      </c>
      <c r="F2272">
        <v>0.89626621824405595</v>
      </c>
      <c r="G2272">
        <v>0.77946503288480995</v>
      </c>
      <c r="H2272">
        <v>0.61354562449004002</v>
      </c>
      <c r="I2272">
        <v>0.38746893862180798</v>
      </c>
      <c r="J2272">
        <v>0.24776091844387299</v>
      </c>
      <c r="K2272">
        <v>0.14147686226554099</v>
      </c>
      <c r="L2272">
        <v>970.166391377227</v>
      </c>
      <c r="M2272">
        <v>15.585308819094401</v>
      </c>
      <c r="N2272">
        <v>62.248775684796698</v>
      </c>
      <c r="O2272">
        <v>61.250982243032603</v>
      </c>
      <c r="P2272">
        <v>-6.3618034968926901E-2</v>
      </c>
      <c r="Q2272">
        <v>0</v>
      </c>
      <c r="R2272">
        <v>0.98089234932787805</v>
      </c>
      <c r="S2272" t="s">
        <v>8889</v>
      </c>
      <c r="T2272" t="s">
        <v>13232</v>
      </c>
      <c r="U2272" t="s">
        <v>13232</v>
      </c>
      <c r="V2272" t="s">
        <v>13232</v>
      </c>
      <c r="W2272" t="s">
        <v>15453</v>
      </c>
      <c r="X2272">
        <v>17</v>
      </c>
      <c r="Y2272" t="s">
        <v>21942</v>
      </c>
      <c r="Z2272" t="s">
        <v>28403</v>
      </c>
      <c r="AA2272">
        <v>0.73851218163643939</v>
      </c>
      <c r="AB2272" t="str">
        <f>HYPERLINK("Melting_Curves/meltCurve_P37235_HPCAL1.pdf", "Melting_Curves/meltCurve_P37235_HPCAL1.pdf")</f>
        <v>Melting_Curves/meltCurve_P37235_HPCAL1.pdf</v>
      </c>
    </row>
    <row r="2273" spans="1:28" x14ac:dyDescent="0.25">
      <c r="A2273" t="s">
        <v>2277</v>
      </c>
      <c r="B2273">
        <v>0.99930955844802105</v>
      </c>
      <c r="C2273">
        <v>1.06349284288771</v>
      </c>
      <c r="D2273">
        <v>1.0251757419323899</v>
      </c>
      <c r="E2273">
        <v>0.935732244357666</v>
      </c>
      <c r="F2273">
        <v>0.65492218079384001</v>
      </c>
      <c r="G2273">
        <v>0.33841168970096203</v>
      </c>
      <c r="H2273">
        <v>0.172344077908124</v>
      </c>
      <c r="I2273">
        <v>0.119402331365972</v>
      </c>
      <c r="J2273">
        <v>9.7632073774738704E-2</v>
      </c>
      <c r="K2273">
        <v>7.3911380406790295E-2</v>
      </c>
      <c r="L2273">
        <v>1280.5906341185701</v>
      </c>
      <c r="M2273">
        <v>23.508646286458202</v>
      </c>
      <c r="N2273">
        <v>54.927413125962502</v>
      </c>
      <c r="O2273">
        <v>54.083608702922902</v>
      </c>
      <c r="P2273">
        <v>-9.9070035672664106E-2</v>
      </c>
      <c r="Q2273">
        <v>8.8340104075392098E-2</v>
      </c>
      <c r="R2273">
        <v>0.99473038354402099</v>
      </c>
      <c r="S2273" t="s">
        <v>8890</v>
      </c>
      <c r="T2273" t="s">
        <v>13232</v>
      </c>
      <c r="U2273" t="s">
        <v>13232</v>
      </c>
      <c r="V2273" t="s">
        <v>13232</v>
      </c>
      <c r="W2273" t="s">
        <v>15454</v>
      </c>
      <c r="X2273">
        <v>19</v>
      </c>
      <c r="Y2273" t="s">
        <v>21943</v>
      </c>
      <c r="Z2273" t="s">
        <v>28404</v>
      </c>
      <c r="AA2273">
        <v>0.53756956526581645</v>
      </c>
      <c r="AB2273" t="str">
        <f>HYPERLINK("Melting_Curves/meltCurve_P37802_TAGLN2.pdf", "Melting_Curves/meltCurve_P37802_TAGLN2.pdf")</f>
        <v>Melting_Curves/meltCurve_P37802_TAGLN2.pdf</v>
      </c>
    </row>
    <row r="2274" spans="1:28" x14ac:dyDescent="0.25">
      <c r="A2274" t="s">
        <v>2278</v>
      </c>
      <c r="B2274">
        <v>0.99930955844802105</v>
      </c>
      <c r="C2274">
        <v>0.959776975136439</v>
      </c>
      <c r="D2274">
        <v>1.2537001779068699</v>
      </c>
      <c r="E2274">
        <v>0.89428796375991904</v>
      </c>
      <c r="F2274">
        <v>0.52415693233391603</v>
      </c>
      <c r="G2274">
        <v>0.391628898448528</v>
      </c>
      <c r="H2274">
        <v>0.33082521317765301</v>
      </c>
      <c r="I2274">
        <v>0.29320609965012601</v>
      </c>
      <c r="J2274">
        <v>0.26009973426106903</v>
      </c>
      <c r="K2274">
        <v>0.17837763056753</v>
      </c>
      <c r="L2274">
        <v>1986.7567330596901</v>
      </c>
      <c r="M2274">
        <v>38.019123772402502</v>
      </c>
      <c r="N2274">
        <v>53.416929338455198</v>
      </c>
      <c r="O2274">
        <v>52.112823456113198</v>
      </c>
      <c r="P2274">
        <v>-0.13112982397230299</v>
      </c>
      <c r="Q2274">
        <v>0.28104303390616803</v>
      </c>
      <c r="R2274">
        <v>0.93248942830298798</v>
      </c>
      <c r="S2274" t="s">
        <v>8891</v>
      </c>
      <c r="T2274" t="s">
        <v>13232</v>
      </c>
      <c r="U2274" t="s">
        <v>13232</v>
      </c>
      <c r="V2274" t="s">
        <v>13232</v>
      </c>
      <c r="W2274" t="s">
        <v>15455</v>
      </c>
      <c r="X2274">
        <v>31</v>
      </c>
      <c r="Y2274" t="s">
        <v>21944</v>
      </c>
      <c r="Z2274" t="s">
        <v>28405</v>
      </c>
      <c r="AA2274">
        <v>0.57765366347374969</v>
      </c>
      <c r="AB2274" t="str">
        <f>HYPERLINK("Melting_Curves/meltCurve_P37837_TALDO1.pdf", "Melting_Curves/meltCurve_P37837_TALDO1.pdf")</f>
        <v>Melting_Curves/meltCurve_P37837_TALDO1.pdf</v>
      </c>
    </row>
    <row r="2275" spans="1:28" x14ac:dyDescent="0.25">
      <c r="A2275" t="s">
        <v>2279</v>
      </c>
      <c r="B2275">
        <v>0.99930955844802105</v>
      </c>
      <c r="C2275">
        <v>1.081838324956</v>
      </c>
      <c r="D2275">
        <v>1.0988933148328399</v>
      </c>
      <c r="E2275">
        <v>1.07709440835365</v>
      </c>
      <c r="F2275">
        <v>0.95507318765629101</v>
      </c>
      <c r="G2275">
        <v>0.90305667650116395</v>
      </c>
      <c r="H2275">
        <v>1.06783089415904</v>
      </c>
      <c r="I2275">
        <v>1.25265863503857</v>
      </c>
      <c r="J2275">
        <v>1.51718137995672</v>
      </c>
      <c r="K2275">
        <v>1.1130456270859099</v>
      </c>
      <c r="L2275">
        <v>4575.9631967402001</v>
      </c>
      <c r="M2275">
        <v>73.612315937578998</v>
      </c>
      <c r="O2275">
        <v>62.117180181936497</v>
      </c>
      <c r="P2275">
        <v>9.0868558726259804E-2</v>
      </c>
      <c r="Q2275">
        <v>1.30671484972814</v>
      </c>
      <c r="R2275">
        <v>0.56558347306690504</v>
      </c>
      <c r="S2275" t="s">
        <v>8892</v>
      </c>
      <c r="T2275" t="s">
        <v>13232</v>
      </c>
      <c r="U2275" t="s">
        <v>13232</v>
      </c>
      <c r="V2275" t="s">
        <v>13232</v>
      </c>
      <c r="W2275" t="s">
        <v>15456</v>
      </c>
      <c r="X2275">
        <v>8</v>
      </c>
      <c r="Y2275" t="s">
        <v>21945</v>
      </c>
      <c r="Z2275" t="s">
        <v>28406</v>
      </c>
      <c r="AA2275">
        <v>1.079740164656771</v>
      </c>
      <c r="AB2275" t="str">
        <f>HYPERLINK("Melting_Curves/meltCurve_P37840_2_SNCA.pdf", "Melting_Curves/meltCurve_P37840_2_SNCA.pdf")</f>
        <v>Melting_Curves/meltCurve_P37840_2_SNCA.pdf</v>
      </c>
    </row>
    <row r="2276" spans="1:28" x14ac:dyDescent="0.25">
      <c r="A2276" t="s">
        <v>2280</v>
      </c>
      <c r="B2276">
        <v>0.99930955844802105</v>
      </c>
      <c r="C2276">
        <v>1.1954537732627899</v>
      </c>
      <c r="D2276">
        <v>1.1104395331930399</v>
      </c>
      <c r="E2276">
        <v>0.78906175348299901</v>
      </c>
      <c r="F2276">
        <v>0.37586817263920003</v>
      </c>
      <c r="G2276">
        <v>0.20527006775819201</v>
      </c>
      <c r="H2276">
        <v>0.121460154605477</v>
      </c>
      <c r="I2276">
        <v>0.102796913247408</v>
      </c>
      <c r="J2276">
        <v>9.8395909363433204E-2</v>
      </c>
      <c r="K2276">
        <v>7.4466661256180205E-2</v>
      </c>
      <c r="L2276">
        <v>1794.4928933635499</v>
      </c>
      <c r="M2276">
        <v>34.656894673993101</v>
      </c>
      <c r="N2276">
        <v>52.152865222049201</v>
      </c>
      <c r="O2276">
        <v>51.607323769057103</v>
      </c>
      <c r="P2276">
        <v>-0.14941346701456801</v>
      </c>
      <c r="Q2276">
        <v>0.110041287148972</v>
      </c>
      <c r="R2276">
        <v>0.969718865244934</v>
      </c>
      <c r="S2276" t="s">
        <v>8893</v>
      </c>
      <c r="T2276" t="s">
        <v>13232</v>
      </c>
      <c r="U2276" t="s">
        <v>13232</v>
      </c>
      <c r="V2276" t="s">
        <v>13232</v>
      </c>
      <c r="W2276" t="s">
        <v>15457</v>
      </c>
      <c r="X2276">
        <v>20</v>
      </c>
      <c r="Y2276" t="s">
        <v>21946</v>
      </c>
      <c r="Z2276" t="s">
        <v>28407</v>
      </c>
      <c r="AA2276">
        <v>0.46371048606268811</v>
      </c>
      <c r="AB2276" t="str">
        <f>HYPERLINK("Melting_Curves/meltCurve_P38117_ETFB.pdf", "Melting_Curves/meltCurve_P38117_ETFB.pdf")</f>
        <v>Melting_Curves/meltCurve_P38117_ETFB.pdf</v>
      </c>
    </row>
    <row r="2277" spans="1:28" x14ac:dyDescent="0.25">
      <c r="A2277" t="s">
        <v>2281</v>
      </c>
      <c r="B2277">
        <v>0.99930955844802105</v>
      </c>
      <c r="C2277">
        <v>1.0335045374235601</v>
      </c>
      <c r="D2277">
        <v>1.09896218812942</v>
      </c>
      <c r="E2277">
        <v>1.03372533710402</v>
      </c>
      <c r="F2277">
        <v>0.83613137744107602</v>
      </c>
      <c r="G2277">
        <v>0.692521721418764</v>
      </c>
      <c r="H2277">
        <v>0.60912734962750004</v>
      </c>
      <c r="I2277">
        <v>0.62081874971269702</v>
      </c>
      <c r="J2277">
        <v>0.59849856066027696</v>
      </c>
      <c r="K2277">
        <v>0.47492525350287201</v>
      </c>
      <c r="L2277">
        <v>1397.0677362998699</v>
      </c>
      <c r="M2277">
        <v>25.412339776455401</v>
      </c>
      <c r="O2277">
        <v>54.638906010634997</v>
      </c>
      <c r="P2277">
        <v>-5.0958724380140701E-2</v>
      </c>
      <c r="Q2277">
        <v>0.56174139222163599</v>
      </c>
      <c r="R2277">
        <v>0.93776345664736904</v>
      </c>
      <c r="S2277" t="s">
        <v>8894</v>
      </c>
      <c r="T2277" t="s">
        <v>13232</v>
      </c>
      <c r="U2277" t="s">
        <v>13232</v>
      </c>
      <c r="V2277" t="s">
        <v>13232</v>
      </c>
      <c r="W2277" t="s">
        <v>15458</v>
      </c>
      <c r="X2277">
        <v>22</v>
      </c>
      <c r="Y2277" t="s">
        <v>21947</v>
      </c>
      <c r="Z2277" t="s">
        <v>28408</v>
      </c>
      <c r="AA2277">
        <v>0.78445936899571811</v>
      </c>
      <c r="AB2277" t="str">
        <f>HYPERLINK("Melting_Curves/meltCurve_P38159_RBMX.pdf", "Melting_Curves/meltCurve_P38159_RBMX.pdf")</f>
        <v>Melting_Curves/meltCurve_P38159_RBMX.pdf</v>
      </c>
    </row>
    <row r="2278" spans="1:28" x14ac:dyDescent="0.25">
      <c r="A2278" t="s">
        <v>2282</v>
      </c>
      <c r="B2278">
        <v>0.99930955844802105</v>
      </c>
      <c r="C2278">
        <v>1.19314706517693</v>
      </c>
      <c r="D2278">
        <v>1.20174034211495</v>
      </c>
      <c r="E2278">
        <v>1.0756068004117101</v>
      </c>
      <c r="F2278">
        <v>0.85423248585193501</v>
      </c>
      <c r="G2278">
        <v>0.71161990264131603</v>
      </c>
      <c r="H2278">
        <v>0.71757259133761597</v>
      </c>
      <c r="I2278">
        <v>0.75651658204684902</v>
      </c>
      <c r="J2278">
        <v>0.74430166744978898</v>
      </c>
      <c r="K2278">
        <v>0.61066566880227702</v>
      </c>
      <c r="L2278">
        <v>13250.1198108675</v>
      </c>
      <c r="M2278">
        <v>250</v>
      </c>
      <c r="O2278">
        <v>52.997087523740703</v>
      </c>
      <c r="P2278">
        <v>-0.34419901375484402</v>
      </c>
      <c r="Q2278">
        <v>0.708135275997687</v>
      </c>
      <c r="R2278">
        <v>0.76647719596578401</v>
      </c>
      <c r="S2278" t="s">
        <v>8895</v>
      </c>
      <c r="T2278" t="s">
        <v>13232</v>
      </c>
      <c r="U2278" t="s">
        <v>13232</v>
      </c>
      <c r="V2278" t="s">
        <v>13232</v>
      </c>
      <c r="W2278" t="s">
        <v>15459</v>
      </c>
      <c r="X2278">
        <v>27</v>
      </c>
      <c r="Y2278" t="s">
        <v>21948</v>
      </c>
      <c r="Z2278" t="s">
        <v>28409</v>
      </c>
      <c r="AA2278">
        <v>0.8346418000094914</v>
      </c>
      <c r="AB2278" t="str">
        <f>HYPERLINK("Melting_Curves/meltCurve_P38398_4_BRCA1.pdf", "Melting_Curves/meltCurve_P38398_4_BRCA1.pdf")</f>
        <v>Melting_Curves/meltCurve_P38398_4_BRCA1.pdf</v>
      </c>
    </row>
    <row r="2279" spans="1:28" x14ac:dyDescent="0.25">
      <c r="A2279" t="s">
        <v>2283</v>
      </c>
      <c r="B2279">
        <v>0.99930955844802105</v>
      </c>
      <c r="C2279">
        <v>1.1265611154908299</v>
      </c>
      <c r="D2279">
        <v>1.14562635688593</v>
      </c>
      <c r="E2279">
        <v>1.17195909177395</v>
      </c>
      <c r="F2279">
        <v>1.0505836299542699</v>
      </c>
      <c r="G2279">
        <v>0.85415840952729505</v>
      </c>
      <c r="H2279">
        <v>0.71649373694903595</v>
      </c>
      <c r="I2279">
        <v>0.67726107077719</v>
      </c>
      <c r="J2279">
        <v>0.61019007009661197</v>
      </c>
      <c r="K2279">
        <v>0.51857052857625097</v>
      </c>
      <c r="L2279">
        <v>1401.6420262495301</v>
      </c>
      <c r="M2279">
        <v>23.347768577459998</v>
      </c>
      <c r="O2279">
        <v>59.598053782770002</v>
      </c>
      <c r="P2279">
        <v>-4.4266307988645198E-2</v>
      </c>
      <c r="Q2279">
        <v>0.54802734654557494</v>
      </c>
      <c r="R2279">
        <v>0.84931414504489999</v>
      </c>
      <c r="S2279" t="s">
        <v>8896</v>
      </c>
      <c r="T2279" t="s">
        <v>13232</v>
      </c>
      <c r="U2279" t="s">
        <v>13232</v>
      </c>
      <c r="V2279" t="s">
        <v>13232</v>
      </c>
      <c r="W2279" t="s">
        <v>15460</v>
      </c>
      <c r="X2279">
        <v>15</v>
      </c>
      <c r="Y2279" t="s">
        <v>21949</v>
      </c>
      <c r="Z2279" t="s">
        <v>28410</v>
      </c>
      <c r="AA2279">
        <v>0.85336272888496922</v>
      </c>
      <c r="AB2279" t="str">
        <f>HYPERLINK("Melting_Curves/meltCurve_P38432_COIL.pdf", "Melting_Curves/meltCurve_P38432_COIL.pdf")</f>
        <v>Melting_Curves/meltCurve_P38432_COIL.pdf</v>
      </c>
    </row>
    <row r="2280" spans="1:28" x14ac:dyDescent="0.25">
      <c r="A2280" t="s">
        <v>2284</v>
      </c>
      <c r="B2280">
        <v>0.99930955844802105</v>
      </c>
      <c r="C2280">
        <v>0.82876023318055003</v>
      </c>
      <c r="D2280">
        <v>0.66365201690823294</v>
      </c>
      <c r="E2280">
        <v>0.62325967190272602</v>
      </c>
      <c r="F2280">
        <v>0.61053823024326603</v>
      </c>
      <c r="G2280">
        <v>0.456570369787268</v>
      </c>
      <c r="H2280">
        <v>0.18993254004790799</v>
      </c>
      <c r="I2280">
        <v>9.73559907812096E-2</v>
      </c>
      <c r="J2280">
        <v>6.1679714690299502E-2</v>
      </c>
      <c r="K2280">
        <v>4.8491716838876701E-2</v>
      </c>
      <c r="L2280">
        <v>473.95648974001898</v>
      </c>
      <c r="M2280">
        <v>8.9706410274938797</v>
      </c>
      <c r="N2280">
        <v>52.834181640174002</v>
      </c>
      <c r="O2280">
        <v>50.4066991410171</v>
      </c>
      <c r="P2280">
        <v>-4.4524026322249201E-2</v>
      </c>
      <c r="Q2280">
        <v>0</v>
      </c>
      <c r="R2280">
        <v>0.938630478912032</v>
      </c>
      <c r="S2280" t="s">
        <v>8897</v>
      </c>
      <c r="T2280" t="s">
        <v>13232</v>
      </c>
      <c r="U2280" t="s">
        <v>13232</v>
      </c>
      <c r="V2280" t="s">
        <v>13232</v>
      </c>
      <c r="W2280" t="s">
        <v>15461</v>
      </c>
      <c r="X2280">
        <v>38</v>
      </c>
      <c r="Y2280" t="s">
        <v>21950</v>
      </c>
      <c r="Z2280" t="s">
        <v>28411</v>
      </c>
      <c r="AA2280">
        <v>0.46612195650760357</v>
      </c>
      <c r="AB2280" t="str">
        <f>HYPERLINK("Melting_Curves/meltCurve_P38606_ATP6V1A.pdf", "Melting_Curves/meltCurve_P38606_ATP6V1A.pdf")</f>
        <v>Melting_Curves/meltCurve_P38606_ATP6V1A.pdf</v>
      </c>
    </row>
    <row r="2281" spans="1:28" x14ac:dyDescent="0.25">
      <c r="A2281" t="s">
        <v>2285</v>
      </c>
      <c r="B2281">
        <v>0.99930955844802105</v>
      </c>
      <c r="C2281">
        <v>1.05826138686767</v>
      </c>
      <c r="D2281">
        <v>1.0448656023807801</v>
      </c>
      <c r="E2281">
        <v>1.0217121060266501</v>
      </c>
      <c r="F2281">
        <v>0.81455903171780397</v>
      </c>
      <c r="G2281">
        <v>0.25665827922973999</v>
      </c>
      <c r="H2281">
        <v>0.11412495643105799</v>
      </c>
      <c r="I2281">
        <v>8.7714273051324801E-2</v>
      </c>
      <c r="J2281">
        <v>8.2213764431397898E-2</v>
      </c>
      <c r="K2281">
        <v>6.2645963054970305E-2</v>
      </c>
      <c r="L2281">
        <v>2176.8198472060799</v>
      </c>
      <c r="M2281">
        <v>39.6415241152188</v>
      </c>
      <c r="N2281">
        <v>55.159431651299599</v>
      </c>
      <c r="O2281">
        <v>54.773432436283798</v>
      </c>
      <c r="P2281">
        <v>-0.16623009276626699</v>
      </c>
      <c r="Q2281">
        <v>8.1269116608162995E-2</v>
      </c>
      <c r="R2281">
        <v>0.99602570897576703</v>
      </c>
      <c r="S2281" t="s">
        <v>8898</v>
      </c>
      <c r="T2281" t="s">
        <v>13232</v>
      </c>
      <c r="U2281" t="s">
        <v>13232</v>
      </c>
      <c r="V2281" t="s">
        <v>13232</v>
      </c>
      <c r="W2281" t="s">
        <v>15462</v>
      </c>
      <c r="X2281">
        <v>58</v>
      </c>
      <c r="Y2281" t="s">
        <v>21951</v>
      </c>
      <c r="Z2281" t="s">
        <v>28412</v>
      </c>
      <c r="AA2281">
        <v>0.5414963485360782</v>
      </c>
      <c r="AB2281" t="str">
        <f>HYPERLINK("Melting_Curves/meltCurve_P38646_HSPA9.pdf", "Melting_Curves/meltCurve_P38646_HSPA9.pdf")</f>
        <v>Melting_Curves/meltCurve_P38646_HSPA9.pdf</v>
      </c>
    </row>
    <row r="2282" spans="1:28" x14ac:dyDescent="0.25">
      <c r="A2282" t="s">
        <v>2286</v>
      </c>
      <c r="B2282">
        <v>0.99930955844802105</v>
      </c>
      <c r="C2282">
        <v>1.0042632836188099</v>
      </c>
      <c r="D2282">
        <v>0.97755627666361899</v>
      </c>
      <c r="E2282">
        <v>0.55444099303385497</v>
      </c>
      <c r="F2282">
        <v>0.19542479879284699</v>
      </c>
      <c r="G2282">
        <v>0.14530019390144699</v>
      </c>
      <c r="H2282">
        <v>9.8649460328240998E-2</v>
      </c>
      <c r="I2282">
        <v>8.5953769675321395E-2</v>
      </c>
      <c r="J2282">
        <v>7.8534877307790796E-2</v>
      </c>
      <c r="K2282">
        <v>5.7196626976696002E-2</v>
      </c>
      <c r="L2282">
        <v>1806.6793068530301</v>
      </c>
      <c r="M2282">
        <v>36.079075635312499</v>
      </c>
      <c r="N2282">
        <v>50.3511282675329</v>
      </c>
      <c r="O2282">
        <v>49.922449269141303</v>
      </c>
      <c r="P2282">
        <v>-0.16448799000939399</v>
      </c>
      <c r="Q2282">
        <v>8.9597777572229101E-2</v>
      </c>
      <c r="R2282">
        <v>0.99782521148171899</v>
      </c>
      <c r="S2282" t="s">
        <v>8899</v>
      </c>
      <c r="T2282" t="s">
        <v>13232</v>
      </c>
      <c r="U2282" t="s">
        <v>13232</v>
      </c>
      <c r="V2282" t="s">
        <v>13232</v>
      </c>
      <c r="W2282" t="s">
        <v>15463</v>
      </c>
      <c r="X2282">
        <v>23</v>
      </c>
      <c r="Y2282" t="s">
        <v>21952</v>
      </c>
      <c r="Z2282" t="s">
        <v>28413</v>
      </c>
      <c r="AA2282">
        <v>0.39923992467113412</v>
      </c>
      <c r="AB2282" t="str">
        <f>HYPERLINK("Melting_Curves/meltCurve_P38919_EIF4A3.pdf", "Melting_Curves/meltCurve_P38919_EIF4A3.pdf")</f>
        <v>Melting_Curves/meltCurve_P38919_EIF4A3.pdf</v>
      </c>
    </row>
    <row r="2283" spans="1:28" x14ac:dyDescent="0.25">
      <c r="A2283" t="s">
        <v>2287</v>
      </c>
      <c r="B2283">
        <v>0.99930955844802105</v>
      </c>
      <c r="C2283">
        <v>0.65078474004353803</v>
      </c>
      <c r="D2283">
        <v>0.51312425693003705</v>
      </c>
      <c r="E2283">
        <v>0.411845784181327</v>
      </c>
      <c r="F2283">
        <v>0.31713164536981597</v>
      </c>
      <c r="G2283">
        <v>0.26463786608407203</v>
      </c>
      <c r="H2283">
        <v>0.17527331128346699</v>
      </c>
      <c r="I2283">
        <v>0.20024847418932001</v>
      </c>
      <c r="J2283">
        <v>0.12654671698234801</v>
      </c>
      <c r="K2283">
        <v>0.122445931873263</v>
      </c>
      <c r="L2283">
        <v>528.17884730149206</v>
      </c>
      <c r="M2283">
        <v>11.513686241169401</v>
      </c>
      <c r="N2283">
        <v>47.224792988379399</v>
      </c>
      <c r="O2283">
        <v>44.555638601010102</v>
      </c>
      <c r="P2283">
        <v>-5.5554840107518398E-2</v>
      </c>
      <c r="Q2283">
        <v>0.14029963838877399</v>
      </c>
      <c r="R2283">
        <v>0.95144599760137505</v>
      </c>
      <c r="S2283" t="s">
        <v>8900</v>
      </c>
      <c r="T2283" t="s">
        <v>13232</v>
      </c>
      <c r="U2283" t="s">
        <v>13232</v>
      </c>
      <c r="V2283" t="s">
        <v>13232</v>
      </c>
      <c r="W2283" t="s">
        <v>15464</v>
      </c>
      <c r="X2283">
        <v>9</v>
      </c>
      <c r="Y2283" t="s">
        <v>21953</v>
      </c>
      <c r="Z2283" t="s">
        <v>28414</v>
      </c>
      <c r="AA2283">
        <v>0.35130279482144311</v>
      </c>
      <c r="AB2283" t="str">
        <f>HYPERLINK("Melting_Curves/meltCurve_P38935_IGHMBP2.pdf", "Melting_Curves/meltCurve_P38935_IGHMBP2.pdf")</f>
        <v>Melting_Curves/meltCurve_P38935_IGHMBP2.pdf</v>
      </c>
    </row>
    <row r="2284" spans="1:28" x14ac:dyDescent="0.25">
      <c r="A2284" t="s">
        <v>2288</v>
      </c>
      <c r="B2284">
        <v>0.99930955844802105</v>
      </c>
      <c r="C2284">
        <v>0.908563869385978</v>
      </c>
      <c r="D2284">
        <v>0.73129057609927295</v>
      </c>
      <c r="E2284">
        <v>0.52488704364136296</v>
      </c>
      <c r="F2284">
        <v>0.31843451467585998</v>
      </c>
      <c r="G2284">
        <v>0.19425382954713599</v>
      </c>
      <c r="H2284">
        <v>0.145992714271025</v>
      </c>
      <c r="I2284">
        <v>0.144039921651539</v>
      </c>
      <c r="J2284">
        <v>0.16652079867630301</v>
      </c>
      <c r="K2284">
        <v>0.14158975867151299</v>
      </c>
      <c r="L2284">
        <v>761.31271438066597</v>
      </c>
      <c r="M2284">
        <v>15.576938638381201</v>
      </c>
      <c r="N2284">
        <v>49.814523165525202</v>
      </c>
      <c r="O2284">
        <v>48.090100760488497</v>
      </c>
      <c r="P2284">
        <v>-7.0670811964657604E-2</v>
      </c>
      <c r="Q2284">
        <v>0.12735860504023899</v>
      </c>
      <c r="R2284">
        <v>0.99569188552343602</v>
      </c>
      <c r="S2284" t="s">
        <v>8901</v>
      </c>
      <c r="T2284" t="s">
        <v>13232</v>
      </c>
      <c r="U2284" t="s">
        <v>13232</v>
      </c>
      <c r="V2284" t="s">
        <v>13232</v>
      </c>
      <c r="W2284" t="s">
        <v>15465</v>
      </c>
      <c r="X2284">
        <v>8</v>
      </c>
      <c r="Y2284" t="s">
        <v>21954</v>
      </c>
      <c r="Z2284" t="s">
        <v>28415</v>
      </c>
      <c r="AA2284">
        <v>0.40563201230694917</v>
      </c>
      <c r="AB2284" t="str">
        <f>HYPERLINK("Melting_Curves/meltCurve_P39019_RPS19.pdf", "Melting_Curves/meltCurve_P39019_RPS19.pdf")</f>
        <v>Melting_Curves/meltCurve_P39019_RPS19.pdf</v>
      </c>
    </row>
    <row r="2285" spans="1:28" x14ac:dyDescent="0.25">
      <c r="A2285" t="s">
        <v>2289</v>
      </c>
      <c r="B2285">
        <v>0.99930955844802105</v>
      </c>
      <c r="C2285">
        <v>0.804716218868188</v>
      </c>
      <c r="D2285">
        <v>0.60773370158019901</v>
      </c>
      <c r="E2285">
        <v>0.48202628733223402</v>
      </c>
      <c r="F2285">
        <v>0.30571709237001699</v>
      </c>
      <c r="G2285">
        <v>0.199098169158752</v>
      </c>
      <c r="H2285">
        <v>0.16298580681962099</v>
      </c>
      <c r="I2285">
        <v>0.15300127277879699</v>
      </c>
      <c r="J2285">
        <v>0.13422229807123401</v>
      </c>
      <c r="K2285">
        <v>0.11189505518172101</v>
      </c>
      <c r="L2285">
        <v>591.98747494088104</v>
      </c>
      <c r="M2285">
        <v>12.3903876375352</v>
      </c>
      <c r="N2285">
        <v>48.716848436001499</v>
      </c>
      <c r="O2285">
        <v>46.584600748607102</v>
      </c>
      <c r="P2285">
        <v>-5.9444221988382603E-2</v>
      </c>
      <c r="Q2285">
        <v>0.10621171449696</v>
      </c>
      <c r="R2285">
        <v>0.98758635851346499</v>
      </c>
      <c r="S2285" t="s">
        <v>8902</v>
      </c>
      <c r="T2285" t="s">
        <v>13232</v>
      </c>
      <c r="U2285" t="s">
        <v>13232</v>
      </c>
      <c r="V2285" t="s">
        <v>13232</v>
      </c>
      <c r="W2285" t="s">
        <v>15466</v>
      </c>
      <c r="X2285">
        <v>10</v>
      </c>
      <c r="Y2285" t="s">
        <v>21955</v>
      </c>
      <c r="Z2285" t="s">
        <v>28416</v>
      </c>
      <c r="AA2285">
        <v>0.37145208221253001</v>
      </c>
      <c r="AB2285" t="str">
        <f>HYPERLINK("Melting_Curves/meltCurve_P39023_RPL3.pdf", "Melting_Curves/meltCurve_P39023_RPL3.pdf")</f>
        <v>Melting_Curves/meltCurve_P39023_RPL3.pdf</v>
      </c>
    </row>
    <row r="2286" spans="1:28" x14ac:dyDescent="0.25">
      <c r="A2286" t="s">
        <v>2290</v>
      </c>
      <c r="B2286">
        <v>0.99930955844802105</v>
      </c>
      <c r="C2286">
        <v>0.74001578652854905</v>
      </c>
      <c r="D2286">
        <v>0.49416613417883198</v>
      </c>
      <c r="E2286">
        <v>0.73892161375898102</v>
      </c>
      <c r="F2286">
        <v>0.37835445357974001</v>
      </c>
      <c r="G2286">
        <v>9.8340132733330796E-2</v>
      </c>
      <c r="H2286">
        <v>3.5066679877314197E-2</v>
      </c>
      <c r="I2286">
        <v>2.2515487060046899E-2</v>
      </c>
      <c r="J2286">
        <v>1.7171754362585601E-2</v>
      </c>
      <c r="K2286">
        <v>1.6030893841984601E-2</v>
      </c>
      <c r="L2286">
        <v>526.52930977187702</v>
      </c>
      <c r="M2286">
        <v>10.664975934982801</v>
      </c>
      <c r="N2286">
        <v>49.369948494653499</v>
      </c>
      <c r="O2286">
        <v>47.7290897716167</v>
      </c>
      <c r="P2286">
        <v>-5.5883262043734797E-2</v>
      </c>
      <c r="Q2286">
        <v>0</v>
      </c>
      <c r="R2286">
        <v>0.87941635669490004</v>
      </c>
      <c r="S2286" t="s">
        <v>8903</v>
      </c>
      <c r="T2286" t="s">
        <v>13232</v>
      </c>
      <c r="U2286" t="s">
        <v>13232</v>
      </c>
      <c r="V2286" t="s">
        <v>13232</v>
      </c>
      <c r="W2286" t="s">
        <v>15467</v>
      </c>
      <c r="X2286">
        <v>6</v>
      </c>
      <c r="Y2286" t="s">
        <v>21956</v>
      </c>
      <c r="Z2286" t="s">
        <v>28417</v>
      </c>
      <c r="AA2286">
        <v>0.35557662312548832</v>
      </c>
      <c r="AB2286" t="str">
        <f>HYPERLINK("Melting_Curves/meltCurve_P39656_DDOST.pdf", "Melting_Curves/meltCurve_P39656_DDOST.pdf")</f>
        <v>Melting_Curves/meltCurve_P39656_DDOST.pdf</v>
      </c>
    </row>
    <row r="2287" spans="1:28" x14ac:dyDescent="0.25">
      <c r="A2287" t="s">
        <v>2291</v>
      </c>
      <c r="B2287">
        <v>0.99930955844802105</v>
      </c>
      <c r="C2287">
        <v>1.06648973228752</v>
      </c>
      <c r="D2287">
        <v>1.1169156712870201</v>
      </c>
      <c r="E2287">
        <v>1.0572857612964699</v>
      </c>
      <c r="F2287">
        <v>0.96574246634501304</v>
      </c>
      <c r="G2287">
        <v>0.78475430485812203</v>
      </c>
      <c r="H2287">
        <v>0.69466731911869595</v>
      </c>
      <c r="I2287">
        <v>0.67328045249320301</v>
      </c>
      <c r="J2287">
        <v>0.69687705742123496</v>
      </c>
      <c r="K2287">
        <v>0.55028043738245602</v>
      </c>
      <c r="L2287">
        <v>1708.72367253526</v>
      </c>
      <c r="M2287">
        <v>30.151818787339099</v>
      </c>
      <c r="O2287">
        <v>56.423140795283501</v>
      </c>
      <c r="P2287">
        <v>-4.8423764984737203E-2</v>
      </c>
      <c r="Q2287">
        <v>0.63754048101355998</v>
      </c>
      <c r="R2287">
        <v>0.90639136590985103</v>
      </c>
      <c r="S2287" t="s">
        <v>8904</v>
      </c>
      <c r="T2287" t="s">
        <v>13232</v>
      </c>
      <c r="U2287" t="s">
        <v>13232</v>
      </c>
      <c r="V2287" t="s">
        <v>13232</v>
      </c>
      <c r="W2287" t="s">
        <v>15468</v>
      </c>
      <c r="X2287">
        <v>15</v>
      </c>
      <c r="Y2287" t="s">
        <v>21957</v>
      </c>
      <c r="Z2287" t="s">
        <v>28418</v>
      </c>
      <c r="AA2287">
        <v>0.841350485798395</v>
      </c>
      <c r="AB2287" t="str">
        <f>HYPERLINK("Melting_Curves/meltCurve_P39687_ANP32A.pdf", "Melting_Curves/meltCurve_P39687_ANP32A.pdf")</f>
        <v>Melting_Curves/meltCurve_P39687_ANP32A.pdf</v>
      </c>
    </row>
    <row r="2288" spans="1:28" x14ac:dyDescent="0.25">
      <c r="A2288" t="s">
        <v>2292</v>
      </c>
      <c r="B2288">
        <v>0.99930955844802105</v>
      </c>
      <c r="C2288">
        <v>0.89994354934493204</v>
      </c>
      <c r="D2288">
        <v>0.69121851942006696</v>
      </c>
      <c r="E2288">
        <v>0.32136411607256399</v>
      </c>
      <c r="F2288">
        <v>0.15450655735973201</v>
      </c>
      <c r="G2288">
        <v>0.107452625416304</v>
      </c>
      <c r="H2288">
        <v>6.7194237723703795E-2</v>
      </c>
      <c r="I2288">
        <v>5.5480090168920297E-2</v>
      </c>
      <c r="J2288">
        <v>4.8208834200745003E-2</v>
      </c>
      <c r="K2288">
        <v>3.8005151090709899E-2</v>
      </c>
      <c r="L2288">
        <v>944.43301514964196</v>
      </c>
      <c r="M2288">
        <v>19.805516930643702</v>
      </c>
      <c r="N2288">
        <v>47.938261921721903</v>
      </c>
      <c r="O2288">
        <v>47.207192457280499</v>
      </c>
      <c r="P2288">
        <v>-9.9686310119229099E-2</v>
      </c>
      <c r="Q2288">
        <v>4.96079323383933E-2</v>
      </c>
      <c r="R2288">
        <v>0.99904164325018696</v>
      </c>
      <c r="S2288" t="s">
        <v>8905</v>
      </c>
      <c r="T2288" t="s">
        <v>13232</v>
      </c>
      <c r="U2288" t="s">
        <v>13232</v>
      </c>
      <c r="V2288" t="s">
        <v>13232</v>
      </c>
      <c r="W2288" t="s">
        <v>15469</v>
      </c>
      <c r="X2288">
        <v>23</v>
      </c>
      <c r="Y2288" t="s">
        <v>21958</v>
      </c>
      <c r="Z2288" t="s">
        <v>28419</v>
      </c>
      <c r="AA2288">
        <v>0.30697163415671103</v>
      </c>
      <c r="AB2288" t="str">
        <f>HYPERLINK("Melting_Curves/meltCurve_P39748_FEN1.pdf", "Melting_Curves/meltCurve_P39748_FEN1.pdf")</f>
        <v>Melting_Curves/meltCurve_P39748_FEN1.pdf</v>
      </c>
    </row>
    <row r="2289" spans="1:28" x14ac:dyDescent="0.25">
      <c r="A2289" t="s">
        <v>2293</v>
      </c>
      <c r="B2289">
        <v>0.99930955844802105</v>
      </c>
      <c r="C2289">
        <v>1.0699232477760401</v>
      </c>
      <c r="D2289">
        <v>1.00108613933152</v>
      </c>
      <c r="E2289">
        <v>0.88075951393057506</v>
      </c>
      <c r="F2289">
        <v>0.74651671173017697</v>
      </c>
      <c r="G2289">
        <v>0.60167240976421699</v>
      </c>
      <c r="H2289">
        <v>0.54867964563139704</v>
      </c>
      <c r="I2289">
        <v>0.54587193261650402</v>
      </c>
      <c r="J2289">
        <v>0.535677243698917</v>
      </c>
      <c r="K2289">
        <v>0.44545492462414998</v>
      </c>
      <c r="L2289">
        <v>1068.5481962249401</v>
      </c>
      <c r="M2289">
        <v>20.138095238090301</v>
      </c>
      <c r="O2289">
        <v>52.546121179447397</v>
      </c>
      <c r="P2289">
        <v>-4.7666904929552702E-2</v>
      </c>
      <c r="Q2289">
        <v>0.50250873005185503</v>
      </c>
      <c r="R2289">
        <v>0.97651603517903496</v>
      </c>
      <c r="S2289" t="s">
        <v>8906</v>
      </c>
      <c r="T2289" t="s">
        <v>13232</v>
      </c>
      <c r="U2289" t="s">
        <v>13232</v>
      </c>
      <c r="V2289" t="s">
        <v>13232</v>
      </c>
      <c r="W2289" t="s">
        <v>15470</v>
      </c>
      <c r="X2289">
        <v>54</v>
      </c>
      <c r="Y2289" t="s">
        <v>21959</v>
      </c>
      <c r="Z2289" t="s">
        <v>28420</v>
      </c>
      <c r="AA2289">
        <v>0.72585946777616328</v>
      </c>
      <c r="AB2289" t="str">
        <f>HYPERLINK("Melting_Curves/meltCurve_P39880_3_CUX1.pdf", "Melting_Curves/meltCurve_P39880_3_CUX1.pdf")</f>
        <v>Melting_Curves/meltCurve_P39880_3_CUX1.pdf</v>
      </c>
    </row>
    <row r="2290" spans="1:28" x14ac:dyDescent="0.25">
      <c r="A2290" t="s">
        <v>2294</v>
      </c>
      <c r="B2290">
        <v>0.99930955844802105</v>
      </c>
      <c r="C2290">
        <v>1.1201623345863001</v>
      </c>
      <c r="D2290">
        <v>1.1302626562117</v>
      </c>
      <c r="E2290">
        <v>1.0420420576560001</v>
      </c>
      <c r="F2290">
        <v>0.37506608735309099</v>
      </c>
      <c r="G2290">
        <v>0.15655304023067201</v>
      </c>
      <c r="H2290">
        <v>8.9690455959093807E-2</v>
      </c>
      <c r="I2290">
        <v>8.0084213722964204E-2</v>
      </c>
      <c r="J2290">
        <v>7.2952823975418898E-2</v>
      </c>
      <c r="K2290">
        <v>5.8414544413703799E-2</v>
      </c>
      <c r="L2290">
        <v>13208.112114257699</v>
      </c>
      <c r="M2290">
        <v>250</v>
      </c>
      <c r="N2290">
        <v>52.875213235958903</v>
      </c>
      <c r="O2290">
        <v>52.829073503617103</v>
      </c>
      <c r="P2290">
        <v>-1.0747646186895301</v>
      </c>
      <c r="Q2290">
        <v>9.1538998957271994E-2</v>
      </c>
      <c r="R2290">
        <v>0.98211139821321003</v>
      </c>
      <c r="S2290" t="s">
        <v>8907</v>
      </c>
      <c r="T2290" t="s">
        <v>13232</v>
      </c>
      <c r="U2290" t="s">
        <v>13232</v>
      </c>
      <c r="V2290" t="s">
        <v>13232</v>
      </c>
      <c r="W2290" t="s">
        <v>15471</v>
      </c>
      <c r="X2290">
        <v>13</v>
      </c>
      <c r="Y2290" t="s">
        <v>21960</v>
      </c>
      <c r="Z2290" t="s">
        <v>28421</v>
      </c>
      <c r="AA2290">
        <v>0.48021586394476701</v>
      </c>
      <c r="AB2290" t="str">
        <f>HYPERLINK("Melting_Curves/meltCurve_P40121_2_CAPG.pdf", "Melting_Curves/meltCurve_P40121_2_CAPG.pdf")</f>
        <v>Melting_Curves/meltCurve_P40121_2_CAPG.pdf</v>
      </c>
    </row>
    <row r="2291" spans="1:28" x14ac:dyDescent="0.25">
      <c r="A2291" t="s">
        <v>2295</v>
      </c>
      <c r="B2291">
        <v>0.99930955844802105</v>
      </c>
      <c r="C2291">
        <v>1.1649579145404301</v>
      </c>
      <c r="D2291">
        <v>1.1781810358032401</v>
      </c>
      <c r="E2291">
        <v>1.1548010802254001</v>
      </c>
      <c r="F2291">
        <v>0.56833836381444902</v>
      </c>
      <c r="G2291">
        <v>0.234635536443693</v>
      </c>
      <c r="H2291">
        <v>9.8685173994082803E-2</v>
      </c>
      <c r="I2291">
        <v>4.7960764576042397E-2</v>
      </c>
      <c r="J2291">
        <v>3.1893518975864198E-2</v>
      </c>
      <c r="K2291">
        <v>1.6883969581460202E-2</v>
      </c>
      <c r="L2291">
        <v>13255.8819543025</v>
      </c>
      <c r="M2291">
        <v>250</v>
      </c>
      <c r="N2291">
        <v>53.063595341682898</v>
      </c>
      <c r="O2291">
        <v>53.0201343786837</v>
      </c>
      <c r="P2291">
        <v>-1.0774069958763901</v>
      </c>
      <c r="Q2291">
        <v>8.6011776937097995E-2</v>
      </c>
      <c r="R2291">
        <v>0.95330887924893504</v>
      </c>
      <c r="S2291" t="s">
        <v>8908</v>
      </c>
      <c r="T2291" t="s">
        <v>13232</v>
      </c>
      <c r="U2291" t="s">
        <v>13232</v>
      </c>
      <c r="V2291" t="s">
        <v>13232</v>
      </c>
      <c r="W2291" t="s">
        <v>15472</v>
      </c>
      <c r="X2291">
        <v>1</v>
      </c>
      <c r="Y2291" t="s">
        <v>21961</v>
      </c>
      <c r="Z2291" t="s">
        <v>28422</v>
      </c>
      <c r="AA2291">
        <v>0.48287519679259772</v>
      </c>
      <c r="AB2291" t="str">
        <f>HYPERLINK("Melting_Curves/meltCurve_P40189_3_IL6ST.pdf", "Melting_Curves/meltCurve_P40189_3_IL6ST.pdf")</f>
        <v>Melting_Curves/meltCurve_P40189_3_IL6ST.pdf</v>
      </c>
    </row>
    <row r="2292" spans="1:28" x14ac:dyDescent="0.25">
      <c r="A2292" t="s">
        <v>2296</v>
      </c>
      <c r="B2292">
        <v>0.99930955844802105</v>
      </c>
      <c r="C2292">
        <v>1.0000347623591801</v>
      </c>
      <c r="D2292">
        <v>0.97563515173748205</v>
      </c>
      <c r="E2292">
        <v>0.82734724730112297</v>
      </c>
      <c r="F2292">
        <v>0.522391292747724</v>
      </c>
      <c r="G2292">
        <v>0.32537322816991598</v>
      </c>
      <c r="H2292">
        <v>0.17560101110439999</v>
      </c>
      <c r="I2292">
        <v>0.14739426505563</v>
      </c>
      <c r="J2292">
        <v>0.14193957559881701</v>
      </c>
      <c r="K2292">
        <v>0.123757366272517</v>
      </c>
      <c r="L2292">
        <v>1108.66030984241</v>
      </c>
      <c r="M2292">
        <v>20.9353224066476</v>
      </c>
      <c r="N2292">
        <v>53.718956086165498</v>
      </c>
      <c r="O2292">
        <v>52.480365569825899</v>
      </c>
      <c r="P2292">
        <v>-8.6912660110857104E-2</v>
      </c>
      <c r="Q2292">
        <v>0.12853797317582899</v>
      </c>
      <c r="R2292">
        <v>0.99735287921692894</v>
      </c>
      <c r="S2292" t="s">
        <v>8909</v>
      </c>
      <c r="T2292" t="s">
        <v>13232</v>
      </c>
      <c r="U2292" t="s">
        <v>13232</v>
      </c>
      <c r="V2292" t="s">
        <v>13232</v>
      </c>
      <c r="W2292" t="s">
        <v>15473</v>
      </c>
      <c r="X2292">
        <v>35</v>
      </c>
      <c r="Y2292" t="s">
        <v>21962</v>
      </c>
      <c r="Z2292" t="s">
        <v>28423</v>
      </c>
      <c r="AA2292">
        <v>0.51598453349463691</v>
      </c>
      <c r="AB2292" t="str">
        <f>HYPERLINK("Melting_Curves/meltCurve_P40222_TXLNA.pdf", "Melting_Curves/meltCurve_P40222_TXLNA.pdf")</f>
        <v>Melting_Curves/meltCurve_P40222_TXLNA.pdf</v>
      </c>
    </row>
    <row r="2293" spans="1:28" x14ac:dyDescent="0.25">
      <c r="A2293" t="s">
        <v>2297</v>
      </c>
      <c r="B2293">
        <v>0.99930955844802105</v>
      </c>
      <c r="C2293">
        <v>0.51455140671183697</v>
      </c>
      <c r="D2293">
        <v>0.55698263436387896</v>
      </c>
      <c r="E2293">
        <v>0.84135812780956898</v>
      </c>
      <c r="F2293">
        <v>1.18505110343585</v>
      </c>
      <c r="G2293">
        <v>0.347181834275057</v>
      </c>
      <c r="H2293">
        <v>0.114760694252694</v>
      </c>
      <c r="I2293">
        <v>7.8683238767688304E-2</v>
      </c>
      <c r="J2293">
        <v>6.4119424080532297E-2</v>
      </c>
      <c r="K2293">
        <v>4.83219915364324E-2</v>
      </c>
      <c r="L2293">
        <v>14199.825835470599</v>
      </c>
      <c r="M2293">
        <v>250</v>
      </c>
      <c r="N2293">
        <v>56.8370404519614</v>
      </c>
      <c r="O2293">
        <v>56.795652526444499</v>
      </c>
      <c r="P2293">
        <v>-1.01628422774044</v>
      </c>
      <c r="Q2293">
        <v>7.64713252940976E-2</v>
      </c>
      <c r="R2293">
        <v>0.68663195591447301</v>
      </c>
      <c r="S2293" t="s">
        <v>8910</v>
      </c>
      <c r="T2293" t="s">
        <v>13232</v>
      </c>
      <c r="U2293" t="s">
        <v>13232</v>
      </c>
      <c r="V2293" t="s">
        <v>13232</v>
      </c>
      <c r="W2293" t="s">
        <v>15474</v>
      </c>
      <c r="X2293">
        <v>35</v>
      </c>
      <c r="Y2293" t="s">
        <v>21963</v>
      </c>
      <c r="Z2293" t="s">
        <v>28424</v>
      </c>
      <c r="AA2293">
        <v>0.59371799609134568</v>
      </c>
      <c r="AB2293" t="str">
        <f>HYPERLINK("Melting_Curves/meltCurve_P40227_CCT6A.pdf", "Melting_Curves/meltCurve_P40227_CCT6A.pdf")</f>
        <v>Melting_Curves/meltCurve_P40227_CCT6A.pdf</v>
      </c>
    </row>
    <row r="2294" spans="1:28" x14ac:dyDescent="0.25">
      <c r="A2294" t="s">
        <v>2298</v>
      </c>
      <c r="B2294">
        <v>0.99930955844802105</v>
      </c>
      <c r="C2294">
        <v>1.1237306151766799</v>
      </c>
      <c r="D2294">
        <v>0.75851394243417103</v>
      </c>
      <c r="E2294">
        <v>0.71598725294201604</v>
      </c>
      <c r="F2294">
        <v>0.45794971983072602</v>
      </c>
      <c r="G2294">
        <v>0.19342308781558601</v>
      </c>
      <c r="H2294">
        <v>8.2774504689947695E-2</v>
      </c>
      <c r="I2294">
        <v>8.64255438981191E-2</v>
      </c>
      <c r="J2294">
        <v>6.4704701481771501E-2</v>
      </c>
      <c r="K2294">
        <v>4.6706394193365898E-2</v>
      </c>
      <c r="L2294">
        <v>850.06280853516</v>
      </c>
      <c r="M2294">
        <v>16.328925850732201</v>
      </c>
      <c r="N2294">
        <v>52.240644960093</v>
      </c>
      <c r="O2294">
        <v>51.2967138926359</v>
      </c>
      <c r="P2294">
        <v>-7.7386709966239003E-2</v>
      </c>
      <c r="Q2294">
        <v>2.76405077932915E-2</v>
      </c>
      <c r="R2294">
        <v>0.97009946060408303</v>
      </c>
      <c r="S2294" t="s">
        <v>8911</v>
      </c>
      <c r="T2294" t="s">
        <v>13232</v>
      </c>
      <c r="U2294" t="s">
        <v>13232</v>
      </c>
      <c r="V2294" t="s">
        <v>13232</v>
      </c>
      <c r="W2294" t="s">
        <v>15475</v>
      </c>
      <c r="X2294">
        <v>3</v>
      </c>
      <c r="Y2294" t="s">
        <v>21964</v>
      </c>
      <c r="Z2294" t="s">
        <v>28425</v>
      </c>
      <c r="AA2294">
        <v>0.43748314008451661</v>
      </c>
      <c r="AB2294" t="str">
        <f>HYPERLINK("Melting_Curves/meltCurve_P40306_PSMB10.pdf", "Melting_Curves/meltCurve_P40306_PSMB10.pdf")</f>
        <v>Melting_Curves/meltCurve_P40306_PSMB10.pdf</v>
      </c>
    </row>
    <row r="2295" spans="1:28" x14ac:dyDescent="0.25">
      <c r="A2295" t="s">
        <v>2299</v>
      </c>
      <c r="B2295">
        <v>0.99930955844802105</v>
      </c>
      <c r="C2295">
        <v>0.961509513837012</v>
      </c>
      <c r="D2295">
        <v>0.67944090415756497</v>
      </c>
      <c r="E2295">
        <v>0.41677016188162902</v>
      </c>
      <c r="F2295">
        <v>0.27956906789470098</v>
      </c>
      <c r="G2295">
        <v>0.20037908985586</v>
      </c>
      <c r="H2295">
        <v>0.13048644427301001</v>
      </c>
      <c r="I2295">
        <v>0.101315717046111</v>
      </c>
      <c r="J2295">
        <v>8.5648481760018505E-2</v>
      </c>
      <c r="K2295">
        <v>6.4979031778667706E-2</v>
      </c>
      <c r="L2295">
        <v>784.49190297820905</v>
      </c>
      <c r="M2295">
        <v>16.213978996278499</v>
      </c>
      <c r="N2295">
        <v>48.970154716673903</v>
      </c>
      <c r="O2295">
        <v>47.665642839281503</v>
      </c>
      <c r="P2295">
        <v>-7.7541470846589106E-2</v>
      </c>
      <c r="Q2295">
        <v>8.8246278487474406E-2</v>
      </c>
      <c r="R2295">
        <v>0.99155554979988503</v>
      </c>
      <c r="S2295" t="s">
        <v>8912</v>
      </c>
      <c r="T2295" t="s">
        <v>13232</v>
      </c>
      <c r="U2295" t="s">
        <v>13232</v>
      </c>
      <c r="V2295" t="s">
        <v>13232</v>
      </c>
      <c r="W2295" t="s">
        <v>15476</v>
      </c>
      <c r="X2295">
        <v>3</v>
      </c>
      <c r="Y2295" t="s">
        <v>21965</v>
      </c>
      <c r="Z2295" t="s">
        <v>28426</v>
      </c>
      <c r="AA2295">
        <v>0.36282309312234978</v>
      </c>
      <c r="AB2295" t="str">
        <f>HYPERLINK("Melting_Curves/meltCurve_P40337_3_VHL.pdf", "Melting_Curves/meltCurve_P40337_3_VHL.pdf")</f>
        <v>Melting_Curves/meltCurve_P40337_3_VHL.pdf</v>
      </c>
    </row>
    <row r="2296" spans="1:28" x14ac:dyDescent="0.25">
      <c r="A2296" t="s">
        <v>2300</v>
      </c>
      <c r="B2296">
        <v>0.99930955844802105</v>
      </c>
      <c r="C2296">
        <v>0.93795948253571104</v>
      </c>
      <c r="D2296">
        <v>0.89282600742743301</v>
      </c>
      <c r="E2296">
        <v>0.66014836317208103</v>
      </c>
      <c r="F2296">
        <v>0.29876364572240699</v>
      </c>
      <c r="G2296">
        <v>0.178104065899474</v>
      </c>
      <c r="H2296">
        <v>9.78737253594512E-2</v>
      </c>
      <c r="I2296">
        <v>7.7385881080393806E-2</v>
      </c>
      <c r="J2296">
        <v>5.68806690334554E-2</v>
      </c>
      <c r="K2296">
        <v>4.4907907229916701E-2</v>
      </c>
      <c r="L2296">
        <v>1051.0221328417899</v>
      </c>
      <c r="M2296">
        <v>20.633150704266999</v>
      </c>
      <c r="N2296">
        <v>51.237303606393397</v>
      </c>
      <c r="O2296">
        <v>50.467286922113203</v>
      </c>
      <c r="P2296">
        <v>-9.6419849743301506E-2</v>
      </c>
      <c r="Q2296">
        <v>5.6681666666288197E-2</v>
      </c>
      <c r="R2296">
        <v>0.99489668039814805</v>
      </c>
      <c r="S2296" t="s">
        <v>8913</v>
      </c>
      <c r="T2296" t="s">
        <v>13232</v>
      </c>
      <c r="U2296" t="s">
        <v>13232</v>
      </c>
      <c r="V2296" t="s">
        <v>13232</v>
      </c>
      <c r="W2296" t="s">
        <v>15477</v>
      </c>
      <c r="X2296">
        <v>5</v>
      </c>
      <c r="Y2296" t="s">
        <v>21966</v>
      </c>
      <c r="Z2296" t="s">
        <v>28427</v>
      </c>
      <c r="AA2296">
        <v>0.41298118265119821</v>
      </c>
      <c r="AB2296" t="str">
        <f>HYPERLINK("Melting_Curves/meltCurve_P40425_PBX2.pdf", "Melting_Curves/meltCurve_P40425_PBX2.pdf")</f>
        <v>Melting_Curves/meltCurve_P40425_PBX2.pdf</v>
      </c>
    </row>
    <row r="2297" spans="1:28" x14ac:dyDescent="0.25">
      <c r="A2297" t="s">
        <v>2301</v>
      </c>
      <c r="B2297">
        <v>0.99930955844802105</v>
      </c>
      <c r="C2297">
        <v>0.83481461549917602</v>
      </c>
      <c r="D2297">
        <v>0.64615085354561896</v>
      </c>
      <c r="E2297">
        <v>0.441803480876509</v>
      </c>
      <c r="F2297">
        <v>0.26704100315005103</v>
      </c>
      <c r="G2297">
        <v>0.160080383432294</v>
      </c>
      <c r="H2297">
        <v>0.111687908232386</v>
      </c>
      <c r="I2297">
        <v>0.107808987385643</v>
      </c>
      <c r="J2297">
        <v>0.10054576511423099</v>
      </c>
      <c r="K2297">
        <v>7.8192934673110406E-2</v>
      </c>
      <c r="L2297">
        <v>664.03308736545705</v>
      </c>
      <c r="M2297">
        <v>13.829791123953401</v>
      </c>
      <c r="N2297">
        <v>48.571504905131199</v>
      </c>
      <c r="O2297">
        <v>47.044170857710299</v>
      </c>
      <c r="P2297">
        <v>-6.8115339569451594E-2</v>
      </c>
      <c r="Q2297">
        <v>7.3309048747615804E-2</v>
      </c>
      <c r="R2297">
        <v>0.995167803806141</v>
      </c>
      <c r="S2297" t="s">
        <v>8914</v>
      </c>
      <c r="T2297" t="s">
        <v>13232</v>
      </c>
      <c r="U2297" t="s">
        <v>13232</v>
      </c>
      <c r="V2297" t="s">
        <v>13232</v>
      </c>
      <c r="W2297" t="s">
        <v>15478</v>
      </c>
      <c r="X2297">
        <v>9</v>
      </c>
      <c r="Y2297" t="s">
        <v>21967</v>
      </c>
      <c r="Z2297" t="s">
        <v>28428</v>
      </c>
      <c r="AA2297">
        <v>0.34878751157947258</v>
      </c>
      <c r="AB2297" t="str">
        <f>HYPERLINK("Melting_Curves/meltCurve_P40429_RPL13A.pdf", "Melting_Curves/meltCurve_P40429_RPL13A.pdf")</f>
        <v>Melting_Curves/meltCurve_P40429_RPL13A.pdf</v>
      </c>
    </row>
    <row r="2298" spans="1:28" x14ac:dyDescent="0.25">
      <c r="A2298" t="s">
        <v>2302</v>
      </c>
      <c r="B2298">
        <v>0.99930955844802105</v>
      </c>
      <c r="C2298">
        <v>1.04238551992512</v>
      </c>
      <c r="D2298">
        <v>0.91628565847991905</v>
      </c>
      <c r="E2298">
        <v>0.81123209112723704</v>
      </c>
      <c r="F2298">
        <v>0.60601121711389305</v>
      </c>
      <c r="G2298">
        <v>0.519669540441968</v>
      </c>
      <c r="H2298">
        <v>0.26287788510471799</v>
      </c>
      <c r="I2298">
        <v>0.20679163046809701</v>
      </c>
      <c r="J2298">
        <v>0.203913210595418</v>
      </c>
      <c r="K2298">
        <v>0.14327594395022</v>
      </c>
      <c r="L2298">
        <v>697.60273418752104</v>
      </c>
      <c r="M2298">
        <v>12.663646545432201</v>
      </c>
      <c r="N2298">
        <v>55.984845222093902</v>
      </c>
      <c r="O2298">
        <v>53.767536356457001</v>
      </c>
      <c r="P2298">
        <v>-5.3481035919805797E-2</v>
      </c>
      <c r="Q2298">
        <v>9.1894724303325098E-2</v>
      </c>
      <c r="R2298">
        <v>0.98736182368859904</v>
      </c>
      <c r="S2298" t="s">
        <v>8915</v>
      </c>
      <c r="T2298" t="s">
        <v>13232</v>
      </c>
      <c r="U2298" t="s">
        <v>13232</v>
      </c>
      <c r="V2298" t="s">
        <v>13232</v>
      </c>
      <c r="W2298" t="s">
        <v>15479</v>
      </c>
      <c r="X2298">
        <v>11</v>
      </c>
      <c r="Y2298" t="s">
        <v>21968</v>
      </c>
      <c r="Z2298" t="s">
        <v>28429</v>
      </c>
      <c r="AA2298">
        <v>0.56885809867307302</v>
      </c>
      <c r="AB2298" t="str">
        <f>HYPERLINK("Melting_Curves/meltCurve_P40692_MLH1.pdf", "Melting_Curves/meltCurve_P40692_MLH1.pdf")</f>
        <v>Melting_Curves/meltCurve_P40692_MLH1.pdf</v>
      </c>
    </row>
    <row r="2299" spans="1:28" x14ac:dyDescent="0.25">
      <c r="A2299" t="s">
        <v>2303</v>
      </c>
      <c r="B2299">
        <v>0.99930955844802105</v>
      </c>
      <c r="C2299">
        <v>0.84995003287249804</v>
      </c>
      <c r="D2299">
        <v>0.74218768310707695</v>
      </c>
      <c r="E2299">
        <v>0.55599572473983705</v>
      </c>
      <c r="F2299">
        <v>0.20907585725033101</v>
      </c>
      <c r="G2299">
        <v>0.13514268609299901</v>
      </c>
      <c r="H2299">
        <v>7.7185250236005906E-2</v>
      </c>
      <c r="I2299">
        <v>6.8416261162701497E-2</v>
      </c>
      <c r="J2299">
        <v>6.2726945938670495E-2</v>
      </c>
      <c r="K2299">
        <v>4.7634488063927102E-2</v>
      </c>
      <c r="L2299">
        <v>739.53890414705995</v>
      </c>
      <c r="M2299">
        <v>14.987852494763899</v>
      </c>
      <c r="N2299">
        <v>49.547233742102001</v>
      </c>
      <c r="O2299">
        <v>48.489143436707103</v>
      </c>
      <c r="P2299">
        <v>-7.4962190755473598E-2</v>
      </c>
      <c r="Q2299">
        <v>3.0018697636202098E-2</v>
      </c>
      <c r="R2299">
        <v>0.98548540120565098</v>
      </c>
      <c r="S2299" t="s">
        <v>8916</v>
      </c>
      <c r="T2299" t="s">
        <v>13232</v>
      </c>
      <c r="U2299" t="s">
        <v>13232</v>
      </c>
      <c r="V2299" t="s">
        <v>13232</v>
      </c>
      <c r="W2299" t="s">
        <v>15480</v>
      </c>
      <c r="X2299">
        <v>38</v>
      </c>
      <c r="Y2299" t="s">
        <v>21969</v>
      </c>
      <c r="Z2299" t="s">
        <v>28430</v>
      </c>
      <c r="AA2299">
        <v>0.35576945001067162</v>
      </c>
      <c r="AB2299" t="str">
        <f>HYPERLINK("Melting_Curves/meltCurve_P40763_STAT3.pdf", "Melting_Curves/meltCurve_P40763_STAT3.pdf")</f>
        <v>Melting_Curves/meltCurve_P40763_STAT3.pdf</v>
      </c>
    </row>
    <row r="2300" spans="1:28" x14ac:dyDescent="0.25">
      <c r="A2300" t="s">
        <v>2304</v>
      </c>
      <c r="B2300">
        <v>0.99930955844802105</v>
      </c>
      <c r="C2300">
        <v>0.81557641366769196</v>
      </c>
      <c r="D2300">
        <v>0.75618133878384297</v>
      </c>
      <c r="E2300">
        <v>0.54734147371361097</v>
      </c>
      <c r="F2300">
        <v>0.31045248058911401</v>
      </c>
      <c r="G2300">
        <v>0.26603309216249998</v>
      </c>
      <c r="H2300">
        <v>0.22557520950948601</v>
      </c>
      <c r="I2300">
        <v>0.22343127837073901</v>
      </c>
      <c r="J2300">
        <v>0.219662201763553</v>
      </c>
      <c r="K2300">
        <v>0.164255641255002</v>
      </c>
      <c r="L2300">
        <v>673.37825699370399</v>
      </c>
      <c r="M2300">
        <v>13.9038741962597</v>
      </c>
      <c r="N2300">
        <v>50.017610447542701</v>
      </c>
      <c r="O2300">
        <v>47.462120000224303</v>
      </c>
      <c r="P2300">
        <v>-6.0185306904884703E-2</v>
      </c>
      <c r="Q2300">
        <v>0.178319954560517</v>
      </c>
      <c r="R2300">
        <v>0.98332772684870295</v>
      </c>
      <c r="S2300" t="s">
        <v>8917</v>
      </c>
      <c r="T2300" t="s">
        <v>13232</v>
      </c>
      <c r="U2300" t="s">
        <v>13232</v>
      </c>
      <c r="V2300" t="s">
        <v>13232</v>
      </c>
      <c r="W2300" t="s">
        <v>15481</v>
      </c>
      <c r="X2300">
        <v>38</v>
      </c>
      <c r="Y2300" t="s">
        <v>21969</v>
      </c>
      <c r="Z2300" t="s">
        <v>28431</v>
      </c>
      <c r="AA2300">
        <v>0.43321181387990909</v>
      </c>
      <c r="AB2300" t="str">
        <f>HYPERLINK("Melting_Curves/meltCurve_P40763_2_STAT3.pdf", "Melting_Curves/meltCurve_P40763_2_STAT3.pdf")</f>
        <v>Melting_Curves/meltCurve_P40763_2_STAT3.pdf</v>
      </c>
    </row>
    <row r="2301" spans="1:28" x14ac:dyDescent="0.25">
      <c r="A2301" t="s">
        <v>2305</v>
      </c>
      <c r="B2301">
        <v>0.99930955844802105</v>
      </c>
      <c r="C2301">
        <v>1.00428492569605</v>
      </c>
      <c r="D2301">
        <v>0.91755890195600898</v>
      </c>
      <c r="E2301">
        <v>0.54481236288754697</v>
      </c>
      <c r="F2301">
        <v>0.30606708367771301</v>
      </c>
      <c r="G2301">
        <v>0.24965838235117899</v>
      </c>
      <c r="H2301">
        <v>0.21134307555130799</v>
      </c>
      <c r="I2301">
        <v>0.20015412956654299</v>
      </c>
      <c r="J2301">
        <v>0.19083383855789901</v>
      </c>
      <c r="K2301">
        <v>0.17198801673368899</v>
      </c>
      <c r="L2301">
        <v>1365.74930095737</v>
      </c>
      <c r="M2301">
        <v>27.5715052178668</v>
      </c>
      <c r="N2301">
        <v>50.456815635771498</v>
      </c>
      <c r="O2301">
        <v>49.2764288387392</v>
      </c>
      <c r="P2301">
        <v>-0.112201578154383</v>
      </c>
      <c r="Q2301">
        <v>0.19789033569558401</v>
      </c>
      <c r="R2301">
        <v>0.99821945306552995</v>
      </c>
      <c r="S2301" t="s">
        <v>8918</v>
      </c>
      <c r="T2301" t="s">
        <v>13232</v>
      </c>
      <c r="U2301" t="s">
        <v>13232</v>
      </c>
      <c r="V2301" t="s">
        <v>13232</v>
      </c>
      <c r="W2301" t="s">
        <v>15482</v>
      </c>
      <c r="X2301">
        <v>31</v>
      </c>
      <c r="Y2301" t="s">
        <v>21970</v>
      </c>
      <c r="Z2301" t="s">
        <v>28432</v>
      </c>
      <c r="AA2301">
        <v>0.45867038158969797</v>
      </c>
      <c r="AB2301" t="str">
        <f>HYPERLINK("Melting_Curves/meltCurve_P40818_USP8.pdf", "Melting_Curves/meltCurve_P40818_USP8.pdf")</f>
        <v>Melting_Curves/meltCurve_P40818_USP8.pdf</v>
      </c>
    </row>
    <row r="2302" spans="1:28" x14ac:dyDescent="0.25">
      <c r="A2302" t="s">
        <v>2306</v>
      </c>
      <c r="B2302">
        <v>0.99930955844802105</v>
      </c>
      <c r="C2302">
        <v>1.1651847924762799</v>
      </c>
      <c r="D2302">
        <v>1.0982367344906601</v>
      </c>
      <c r="E2302">
        <v>1.0986580431722299</v>
      </c>
      <c r="F2302">
        <v>1.1062626654196599</v>
      </c>
      <c r="G2302">
        <v>1.0396701186447801</v>
      </c>
      <c r="H2302">
        <v>0.349519407714736</v>
      </c>
      <c r="I2302">
        <v>0.103402600341909</v>
      </c>
      <c r="J2302">
        <v>6.8569625683184504E-2</v>
      </c>
      <c r="K2302">
        <v>5.43320236815008E-2</v>
      </c>
      <c r="L2302">
        <v>6684.9174997457603</v>
      </c>
      <c r="M2302">
        <v>110.447087108056</v>
      </c>
      <c r="N2302">
        <v>60.614548190692901</v>
      </c>
      <c r="O2302">
        <v>60.5061378931684</v>
      </c>
      <c r="P2302">
        <v>-0.42233457696702298</v>
      </c>
      <c r="Q2302">
        <v>7.4531204901804607E-2</v>
      </c>
      <c r="R2302">
        <v>0.97234879279227804</v>
      </c>
      <c r="S2302" t="s">
        <v>8919</v>
      </c>
      <c r="T2302" t="s">
        <v>13232</v>
      </c>
      <c r="U2302" t="s">
        <v>13232</v>
      </c>
      <c r="V2302" t="s">
        <v>13232</v>
      </c>
      <c r="W2302" t="s">
        <v>15483</v>
      </c>
      <c r="X2302">
        <v>22</v>
      </c>
      <c r="Y2302" t="s">
        <v>21971</v>
      </c>
      <c r="Z2302" t="s">
        <v>28433</v>
      </c>
      <c r="AA2302">
        <v>0.70824027165399561</v>
      </c>
      <c r="AB2302" t="str">
        <f>HYPERLINK("Melting_Curves/meltCurve_P40925_MDH1.pdf", "Melting_Curves/meltCurve_P40925_MDH1.pdf")</f>
        <v>Melting_Curves/meltCurve_P40925_MDH1.pdf</v>
      </c>
    </row>
    <row r="2303" spans="1:28" x14ac:dyDescent="0.25">
      <c r="A2303" t="s">
        <v>2307</v>
      </c>
      <c r="B2303">
        <v>0.99930955844802105</v>
      </c>
      <c r="C2303">
        <v>1.0245377211432301</v>
      </c>
      <c r="D2303">
        <v>1.06188125950446</v>
      </c>
      <c r="E2303">
        <v>0.97281083932164802</v>
      </c>
      <c r="F2303">
        <v>0.92628520672634895</v>
      </c>
      <c r="G2303">
        <v>0.75211766621210097</v>
      </c>
      <c r="H2303">
        <v>0.370911928169325</v>
      </c>
      <c r="I2303">
        <v>0.100233481459419</v>
      </c>
      <c r="J2303">
        <v>6.0032104205544799E-2</v>
      </c>
      <c r="K2303">
        <v>4.9791723599554499E-2</v>
      </c>
      <c r="L2303">
        <v>1522.9120467016401</v>
      </c>
      <c r="M2303">
        <v>25.6289880456258</v>
      </c>
      <c r="N2303">
        <v>59.457323536849998</v>
      </c>
      <c r="O2303">
        <v>59.063259317364498</v>
      </c>
      <c r="P2303">
        <v>-0.10765080719209801</v>
      </c>
      <c r="Q2303">
        <v>7.6662220950617704E-3</v>
      </c>
      <c r="R2303">
        <v>0.99475810167076495</v>
      </c>
      <c r="S2303" t="s">
        <v>8920</v>
      </c>
      <c r="T2303" t="s">
        <v>13232</v>
      </c>
      <c r="U2303" t="s">
        <v>13232</v>
      </c>
      <c r="V2303" t="s">
        <v>13232</v>
      </c>
      <c r="W2303" t="s">
        <v>15484</v>
      </c>
      <c r="X2303">
        <v>24</v>
      </c>
      <c r="Y2303" t="s">
        <v>21972</v>
      </c>
      <c r="Z2303" t="s">
        <v>28434</v>
      </c>
      <c r="AA2303">
        <v>0.65772048588022136</v>
      </c>
      <c r="AB2303" t="str">
        <f>HYPERLINK("Melting_Curves/meltCurve_P40926_MDH2.pdf", "Melting_Curves/meltCurve_P40926_MDH2.pdf")</f>
        <v>Melting_Curves/meltCurve_P40926_MDH2.pdf</v>
      </c>
    </row>
    <row r="2304" spans="1:28" x14ac:dyDescent="0.25">
      <c r="A2304" t="s">
        <v>2308</v>
      </c>
      <c r="B2304">
        <v>0.99930955844802105</v>
      </c>
      <c r="C2304">
        <v>0.73451450153311504</v>
      </c>
      <c r="D2304">
        <v>0.49226002023712401</v>
      </c>
      <c r="E2304">
        <v>0.28525566341541098</v>
      </c>
      <c r="F2304">
        <v>0.151970818247946</v>
      </c>
      <c r="G2304">
        <v>0.104259292526512</v>
      </c>
      <c r="H2304">
        <v>6.1326262827563802E-2</v>
      </c>
      <c r="I2304">
        <v>5.5104324414947399E-2</v>
      </c>
      <c r="J2304">
        <v>4.9033602522733102E-2</v>
      </c>
      <c r="K2304">
        <v>3.5136720291892798E-2</v>
      </c>
      <c r="L2304">
        <v>730.54316858621996</v>
      </c>
      <c r="M2304">
        <v>15.9024789978253</v>
      </c>
      <c r="N2304">
        <v>46.228239619239602</v>
      </c>
      <c r="O2304">
        <v>45.230912680162497</v>
      </c>
      <c r="P2304">
        <v>-8.3739848558711499E-2</v>
      </c>
      <c r="Q2304">
        <v>4.7362208652449098E-2</v>
      </c>
      <c r="R2304">
        <v>0.99026817237819198</v>
      </c>
      <c r="S2304" t="s">
        <v>8921</v>
      </c>
      <c r="T2304" t="s">
        <v>13232</v>
      </c>
      <c r="U2304" t="s">
        <v>13232</v>
      </c>
      <c r="V2304" t="s">
        <v>13232</v>
      </c>
      <c r="W2304" t="s">
        <v>15485</v>
      </c>
      <c r="X2304">
        <v>12</v>
      </c>
      <c r="Y2304" t="s">
        <v>21973</v>
      </c>
      <c r="Z2304" t="s">
        <v>28435</v>
      </c>
      <c r="AA2304">
        <v>0.26064158189670888</v>
      </c>
      <c r="AB2304" t="str">
        <f>HYPERLINK("Melting_Curves/meltCurve_P40937_RFC5.pdf", "Melting_Curves/meltCurve_P40937_RFC5.pdf")</f>
        <v>Melting_Curves/meltCurve_P40937_RFC5.pdf</v>
      </c>
    </row>
    <row r="2305" spans="1:28" x14ac:dyDescent="0.25">
      <c r="A2305" t="s">
        <v>2309</v>
      </c>
      <c r="B2305">
        <v>0.99930955844802105</v>
      </c>
      <c r="C2305">
        <v>0.61923252325253597</v>
      </c>
      <c r="D2305">
        <v>0.41978924526344602</v>
      </c>
      <c r="E2305">
        <v>0.2543170078009</v>
      </c>
      <c r="F2305">
        <v>0.14482486878414499</v>
      </c>
      <c r="G2305">
        <v>0.102233287989449</v>
      </c>
      <c r="H2305">
        <v>6.1912222920074401E-2</v>
      </c>
      <c r="I2305">
        <v>5.9472591378881702E-2</v>
      </c>
      <c r="J2305">
        <v>6.2070624308303603E-2</v>
      </c>
      <c r="K2305">
        <v>4.6253017614047501E-2</v>
      </c>
      <c r="L2305">
        <v>740.80193261401405</v>
      </c>
      <c r="M2305">
        <v>16.541314309926999</v>
      </c>
      <c r="N2305">
        <v>45.156931509610402</v>
      </c>
      <c r="O2305">
        <v>44.1457763653058</v>
      </c>
      <c r="P2305">
        <v>-8.7714114176454402E-2</v>
      </c>
      <c r="Q2305">
        <v>6.3692507743575599E-2</v>
      </c>
      <c r="R2305">
        <v>0.97547142331768</v>
      </c>
      <c r="S2305" t="s">
        <v>8922</v>
      </c>
      <c r="T2305" t="s">
        <v>13232</v>
      </c>
      <c r="U2305" t="s">
        <v>13232</v>
      </c>
      <c r="V2305" t="s">
        <v>13232</v>
      </c>
      <c r="W2305" t="s">
        <v>15486</v>
      </c>
      <c r="X2305">
        <v>10</v>
      </c>
      <c r="Y2305" t="s">
        <v>21974</v>
      </c>
      <c r="Z2305" t="s">
        <v>28436</v>
      </c>
      <c r="AA2305">
        <v>0.23801812384915511</v>
      </c>
      <c r="AB2305" t="str">
        <f>HYPERLINK("Melting_Curves/meltCurve_P40938_RFC3.pdf", "Melting_Curves/meltCurve_P40938_RFC3.pdf")</f>
        <v>Melting_Curves/meltCurve_P40938_RFC3.pdf</v>
      </c>
    </row>
    <row r="2306" spans="1:28" x14ac:dyDescent="0.25">
      <c r="A2306" t="s">
        <v>2310</v>
      </c>
      <c r="B2306">
        <v>0.99930955844802105</v>
      </c>
      <c r="C2306">
        <v>0.68449774263763896</v>
      </c>
      <c r="D2306">
        <v>0.67564674138749803</v>
      </c>
      <c r="E2306">
        <v>0.52470512586818696</v>
      </c>
      <c r="F2306">
        <v>0.23124993262775301</v>
      </c>
      <c r="G2306">
        <v>0.141434786486171</v>
      </c>
      <c r="H2306">
        <v>7.6643092331146204E-2</v>
      </c>
      <c r="I2306">
        <v>6.4719772941547696E-2</v>
      </c>
      <c r="J2306">
        <v>5.6311419306795903E-2</v>
      </c>
      <c r="K2306">
        <v>4.36747819925054E-2</v>
      </c>
      <c r="L2306">
        <v>536.67123673633205</v>
      </c>
      <c r="M2306">
        <v>11.032109499490099</v>
      </c>
      <c r="N2306">
        <v>48.646293550671402</v>
      </c>
      <c r="O2306">
        <v>47.129910469112197</v>
      </c>
      <c r="P2306">
        <v>-5.8539221767978898E-2</v>
      </c>
      <c r="Q2306">
        <v>0</v>
      </c>
      <c r="R2306">
        <v>0.96383686565693605</v>
      </c>
      <c r="S2306" t="s">
        <v>8923</v>
      </c>
      <c r="T2306" t="s">
        <v>13232</v>
      </c>
      <c r="U2306" t="s">
        <v>13232</v>
      </c>
      <c r="V2306" t="s">
        <v>13232</v>
      </c>
      <c r="W2306" t="s">
        <v>15487</v>
      </c>
      <c r="X2306">
        <v>24</v>
      </c>
      <c r="Y2306" t="s">
        <v>21975</v>
      </c>
      <c r="Z2306" t="s">
        <v>28437</v>
      </c>
      <c r="AA2306">
        <v>0.33139061629629057</v>
      </c>
      <c r="AB2306" t="str">
        <f>HYPERLINK("Melting_Curves/meltCurve_P40939_HADHA.pdf", "Melting_Curves/meltCurve_P40939_HADHA.pdf")</f>
        <v>Melting_Curves/meltCurve_P40939_HADHA.pdf</v>
      </c>
    </row>
    <row r="2307" spans="1:28" x14ac:dyDescent="0.25">
      <c r="A2307" t="s">
        <v>2311</v>
      </c>
      <c r="B2307">
        <v>0.99930955844802105</v>
      </c>
      <c r="C2307">
        <v>0.91959225680793599</v>
      </c>
      <c r="D2307">
        <v>0.79595020035425501</v>
      </c>
      <c r="E2307">
        <v>0.81047460459480503</v>
      </c>
      <c r="F2307">
        <v>0.46097507051338699</v>
      </c>
      <c r="G2307">
        <v>0.20513104034921201</v>
      </c>
      <c r="H2307">
        <v>9.6370759187811905E-2</v>
      </c>
      <c r="I2307">
        <v>7.6811409232300107E-2</v>
      </c>
      <c r="J2307">
        <v>6.9508048811642797E-2</v>
      </c>
      <c r="K2307">
        <v>5.20925845270995E-2</v>
      </c>
      <c r="L2307">
        <v>856.77652337977599</v>
      </c>
      <c r="M2307">
        <v>16.293290708918601</v>
      </c>
      <c r="N2307">
        <v>52.7341521728627</v>
      </c>
      <c r="O2307">
        <v>51.811639832972197</v>
      </c>
      <c r="P2307">
        <v>-7.6848955240158098E-2</v>
      </c>
      <c r="Q2307">
        <v>2.25720120980629E-2</v>
      </c>
      <c r="R2307">
        <v>0.97831087042138998</v>
      </c>
      <c r="S2307" t="s">
        <v>8924</v>
      </c>
      <c r="T2307" t="s">
        <v>13232</v>
      </c>
      <c r="U2307" t="s">
        <v>13232</v>
      </c>
      <c r="V2307" t="s">
        <v>13232</v>
      </c>
      <c r="W2307" t="s">
        <v>15488</v>
      </c>
      <c r="X2307">
        <v>23</v>
      </c>
      <c r="Y2307" t="s">
        <v>21976</v>
      </c>
      <c r="Z2307" t="s">
        <v>28438</v>
      </c>
      <c r="AA2307">
        <v>0.45148942459684571</v>
      </c>
      <c r="AB2307" t="str">
        <f>HYPERLINK("Melting_Curves/meltCurve_P41091_EIF2S3.pdf", "Melting_Curves/meltCurve_P41091_EIF2S3.pdf")</f>
        <v>Melting_Curves/meltCurve_P41091_EIF2S3.pdf</v>
      </c>
    </row>
    <row r="2308" spans="1:28" x14ac:dyDescent="0.25">
      <c r="A2308" t="s">
        <v>2312</v>
      </c>
      <c r="B2308">
        <v>0.99930955844802105</v>
      </c>
      <c r="C2308">
        <v>1.3383670426381</v>
      </c>
      <c r="D2308">
        <v>1.4932574192446</v>
      </c>
      <c r="E2308">
        <v>1.3416341356521</v>
      </c>
      <c r="F2308">
        <v>1.5966711679649299</v>
      </c>
      <c r="G2308">
        <v>1.7710812150349799</v>
      </c>
      <c r="H2308">
        <v>2.2938149950797899</v>
      </c>
      <c r="I2308">
        <v>2.6220669706635999</v>
      </c>
      <c r="J2308">
        <v>2.71197595312452</v>
      </c>
      <c r="K2308">
        <v>2.0044079896290299</v>
      </c>
      <c r="L2308">
        <v>3859.3239532033399</v>
      </c>
      <c r="M2308">
        <v>90.699153713281206</v>
      </c>
      <c r="O2308">
        <v>42.530174065574599</v>
      </c>
      <c r="P2308">
        <v>0.26657310749497098</v>
      </c>
      <c r="Q2308">
        <v>1.5</v>
      </c>
      <c r="R2308">
        <v>-0.24399116099351201</v>
      </c>
      <c r="S2308" t="s">
        <v>8925</v>
      </c>
      <c r="T2308" t="s">
        <v>13232</v>
      </c>
      <c r="U2308" t="s">
        <v>13232</v>
      </c>
      <c r="V2308" t="s">
        <v>13232</v>
      </c>
      <c r="W2308" t="s">
        <v>15489</v>
      </c>
      <c r="X2308">
        <v>1</v>
      </c>
      <c r="Y2308" t="s">
        <v>21977</v>
      </c>
      <c r="Z2308" t="s">
        <v>28439</v>
      </c>
      <c r="AA2308">
        <v>1.4571813339218249</v>
      </c>
      <c r="AB2308" t="str">
        <f>HYPERLINK("Melting_Curves/meltCurve_P41162_ETV3.pdf", "Melting_Curves/meltCurve_P41162_ETV3.pdf")</f>
        <v>Melting_Curves/meltCurve_P41162_ETV3.pdf</v>
      </c>
    </row>
    <row r="2309" spans="1:28" x14ac:dyDescent="0.25">
      <c r="A2309" t="s">
        <v>2313</v>
      </c>
      <c r="B2309">
        <v>0.99930955844802105</v>
      </c>
      <c r="C2309">
        <v>0.85765064254080103</v>
      </c>
      <c r="D2309">
        <v>0.79349300260872402</v>
      </c>
      <c r="E2309">
        <v>0.81644839300215399</v>
      </c>
      <c r="F2309">
        <v>0.89911278370617698</v>
      </c>
      <c r="G2309">
        <v>0.91005730745359004</v>
      </c>
      <c r="H2309">
        <v>0.97944726092711698</v>
      </c>
      <c r="I2309">
        <v>1.12074808732558</v>
      </c>
      <c r="J2309">
        <v>1.0697717722121101</v>
      </c>
      <c r="K2309">
        <v>0.88560833407269801</v>
      </c>
      <c r="L2309">
        <v>15000</v>
      </c>
      <c r="M2309">
        <v>212.23900792922601</v>
      </c>
      <c r="Q2309">
        <v>0</v>
      </c>
      <c r="R2309">
        <v>-0.30619413650590299</v>
      </c>
      <c r="S2309" t="s">
        <v>8926</v>
      </c>
      <c r="T2309" t="s">
        <v>13232</v>
      </c>
      <c r="U2309" t="s">
        <v>13232</v>
      </c>
      <c r="V2309" t="s">
        <v>13232</v>
      </c>
      <c r="W2309" t="s">
        <v>15490</v>
      </c>
      <c r="X2309">
        <v>6</v>
      </c>
      <c r="Y2309" t="s">
        <v>21978</v>
      </c>
      <c r="Z2309" t="s">
        <v>28440</v>
      </c>
      <c r="AA2309">
        <v>0.99868983465192429</v>
      </c>
      <c r="AB2309" t="str">
        <f>HYPERLINK("Melting_Curves/meltCurve_P41208_CETN2.pdf", "Melting_Curves/meltCurve_P41208_CETN2.pdf")</f>
        <v>Melting_Curves/meltCurve_P41208_CETN2.pdf</v>
      </c>
    </row>
    <row r="2310" spans="1:28" x14ac:dyDescent="0.25">
      <c r="A2310" t="s">
        <v>2314</v>
      </c>
      <c r="B2310">
        <v>0.99930955844802105</v>
      </c>
      <c r="C2310">
        <v>1.0245535565691599</v>
      </c>
      <c r="D2310">
        <v>1.06243688299574</v>
      </c>
      <c r="E2310">
        <v>0.96432184017787503</v>
      </c>
      <c r="F2310">
        <v>0.79780269746601495</v>
      </c>
      <c r="G2310">
        <v>0.53200027078623802</v>
      </c>
      <c r="H2310">
        <v>0.41030470124104101</v>
      </c>
      <c r="I2310">
        <v>0.36204892256343302</v>
      </c>
      <c r="J2310">
        <v>0.32629614357833903</v>
      </c>
      <c r="K2310">
        <v>0.24602600116485199</v>
      </c>
      <c r="L2310">
        <v>1177.08755139751</v>
      </c>
      <c r="M2310">
        <v>21.194083080557998</v>
      </c>
      <c r="N2310">
        <v>57.931597735736403</v>
      </c>
      <c r="O2310">
        <v>55.051148288835101</v>
      </c>
      <c r="P2310">
        <v>-6.8176113427025495E-2</v>
      </c>
      <c r="Q2310">
        <v>0.29167471527432898</v>
      </c>
      <c r="R2310">
        <v>0.98783821194412702</v>
      </c>
      <c r="S2310" t="s">
        <v>8927</v>
      </c>
      <c r="T2310" t="s">
        <v>13232</v>
      </c>
      <c r="U2310" t="s">
        <v>13232</v>
      </c>
      <c r="V2310" t="s">
        <v>13232</v>
      </c>
      <c r="W2310" t="s">
        <v>15491</v>
      </c>
      <c r="X2310">
        <v>6</v>
      </c>
      <c r="Y2310" t="s">
        <v>21979</v>
      </c>
      <c r="Z2310" t="s">
        <v>28441</v>
      </c>
      <c r="AA2310">
        <v>0.66707633001699873</v>
      </c>
      <c r="AB2310" t="str">
        <f>HYPERLINK("Melting_Curves/meltCurve_P41212_ETV6.pdf", "Melting_Curves/meltCurve_P41212_ETV6.pdf")</f>
        <v>Melting_Curves/meltCurve_P41212_ETV6.pdf</v>
      </c>
    </row>
    <row r="2311" spans="1:28" x14ac:dyDescent="0.25">
      <c r="A2311" t="s">
        <v>2315</v>
      </c>
      <c r="B2311">
        <v>0.99930955844802105</v>
      </c>
      <c r="C2311">
        <v>0.856219467125095</v>
      </c>
      <c r="D2311">
        <v>0.43652980981401601</v>
      </c>
      <c r="E2311">
        <v>0.30547592743784002</v>
      </c>
      <c r="F2311">
        <v>0.20063855167552599</v>
      </c>
      <c r="G2311">
        <v>0.13886986316555</v>
      </c>
      <c r="H2311">
        <v>9.2951741895420797E-2</v>
      </c>
      <c r="I2311">
        <v>8.1862445908339299E-2</v>
      </c>
      <c r="J2311">
        <v>6.6898017161117096E-2</v>
      </c>
      <c r="K2311">
        <v>5.7862622457834002E-2</v>
      </c>
      <c r="L2311">
        <v>863.06162121422904</v>
      </c>
      <c r="M2311">
        <v>18.8272610372534</v>
      </c>
      <c r="N2311">
        <v>46.333693197963697</v>
      </c>
      <c r="O2311">
        <v>45.3332877822954</v>
      </c>
      <c r="P2311">
        <v>-9.4413164494475205E-2</v>
      </c>
      <c r="Q2311">
        <v>9.07052988800639E-2</v>
      </c>
      <c r="R2311">
        <v>0.97861464366282702</v>
      </c>
      <c r="S2311" t="s">
        <v>8928</v>
      </c>
      <c r="T2311" t="s">
        <v>13232</v>
      </c>
      <c r="U2311" t="s">
        <v>13232</v>
      </c>
      <c r="V2311" t="s">
        <v>13232</v>
      </c>
      <c r="W2311" t="s">
        <v>15492</v>
      </c>
      <c r="X2311">
        <v>12</v>
      </c>
      <c r="Y2311" t="s">
        <v>21980</v>
      </c>
      <c r="Z2311" t="s">
        <v>28442</v>
      </c>
      <c r="AA2311">
        <v>0.28407724752818042</v>
      </c>
      <c r="AB2311" t="str">
        <f>HYPERLINK("Melting_Curves/meltCurve_P41214_EIF2D.pdf", "Melting_Curves/meltCurve_P41214_EIF2D.pdf")</f>
        <v>Melting_Curves/meltCurve_P41214_EIF2D.pdf</v>
      </c>
    </row>
    <row r="2312" spans="1:28" x14ac:dyDescent="0.25">
      <c r="A2312" t="s">
        <v>2316</v>
      </c>
      <c r="B2312">
        <v>0.99930955844802105</v>
      </c>
      <c r="C2312">
        <v>0.97939798196308303</v>
      </c>
      <c r="D2312">
        <v>0.89857123741205003</v>
      </c>
      <c r="E2312">
        <v>0.56335149594217404</v>
      </c>
      <c r="F2312">
        <v>0.16906373731525601</v>
      </c>
      <c r="G2312">
        <v>0.116189149708964</v>
      </c>
      <c r="H2312">
        <v>6.74924990519533E-2</v>
      </c>
      <c r="I2312">
        <v>6.7486022733484793E-2</v>
      </c>
      <c r="J2312">
        <v>5.8632915469688102E-2</v>
      </c>
      <c r="K2312">
        <v>4.5276640615194402E-2</v>
      </c>
      <c r="L2312">
        <v>1475.32241713037</v>
      </c>
      <c r="M2312">
        <v>29.487616070126599</v>
      </c>
      <c r="N2312">
        <v>50.248950713215002</v>
      </c>
      <c r="O2312">
        <v>49.803522437272797</v>
      </c>
      <c r="P2312">
        <v>-0.139170826958496</v>
      </c>
      <c r="Q2312">
        <v>5.9788479595428601E-2</v>
      </c>
      <c r="R2312">
        <v>0.99660866164013795</v>
      </c>
      <c r="S2312" t="s">
        <v>8929</v>
      </c>
      <c r="T2312" t="s">
        <v>13232</v>
      </c>
      <c r="U2312" t="s">
        <v>13232</v>
      </c>
      <c r="V2312" t="s">
        <v>13232</v>
      </c>
      <c r="W2312" t="s">
        <v>15493</v>
      </c>
      <c r="X2312">
        <v>8</v>
      </c>
      <c r="Y2312" t="s">
        <v>21981</v>
      </c>
      <c r="Z2312" t="s">
        <v>28443</v>
      </c>
      <c r="AA2312">
        <v>0.380217776626607</v>
      </c>
      <c r="AB2312" t="str">
        <f>HYPERLINK("Melting_Curves/meltCurve_P41223_BUD31.pdf", "Melting_Curves/meltCurve_P41223_BUD31.pdf")</f>
        <v>Melting_Curves/meltCurve_P41223_BUD31.pdf</v>
      </c>
    </row>
    <row r="2313" spans="1:28" x14ac:dyDescent="0.25">
      <c r="A2313" t="s">
        <v>2317</v>
      </c>
      <c r="B2313">
        <v>0.99930955844802105</v>
      </c>
      <c r="C2313">
        <v>0.89892938901658903</v>
      </c>
      <c r="D2313">
        <v>0.77457971649579105</v>
      </c>
      <c r="E2313">
        <v>0.53738197968901502</v>
      </c>
      <c r="F2313">
        <v>0.31789748307696403</v>
      </c>
      <c r="G2313">
        <v>0.20302746475869801</v>
      </c>
      <c r="H2313">
        <v>0.121200311321619</v>
      </c>
      <c r="I2313">
        <v>8.7693792126341999E-2</v>
      </c>
      <c r="J2313">
        <v>2.2443931426080199E-2</v>
      </c>
      <c r="K2313">
        <v>8.2171132084723902E-2</v>
      </c>
      <c r="L2313">
        <v>691.89183035950805</v>
      </c>
      <c r="M2313">
        <v>13.828898467932</v>
      </c>
      <c r="N2313">
        <v>50.319148016392198</v>
      </c>
      <c r="O2313">
        <v>49.020902385803403</v>
      </c>
      <c r="P2313">
        <v>-6.7861983308310503E-2</v>
      </c>
      <c r="Q2313">
        <v>3.7900565409404799E-2</v>
      </c>
      <c r="R2313">
        <v>0.99614098222474301</v>
      </c>
      <c r="S2313" t="s">
        <v>8930</v>
      </c>
      <c r="T2313" t="s">
        <v>13232</v>
      </c>
      <c r="U2313" t="s">
        <v>13232</v>
      </c>
      <c r="V2313" t="s">
        <v>13232</v>
      </c>
      <c r="W2313" t="s">
        <v>15494</v>
      </c>
      <c r="X2313">
        <v>2</v>
      </c>
      <c r="Y2313" t="s">
        <v>21982</v>
      </c>
      <c r="Z2313" t="s">
        <v>28444</v>
      </c>
      <c r="AA2313">
        <v>0.38602188702925111</v>
      </c>
      <c r="AB2313" t="str">
        <f>HYPERLINK("Melting_Curves/meltCurve_P41226_UBA7.pdf", "Melting_Curves/meltCurve_P41226_UBA7.pdf")</f>
        <v>Melting_Curves/meltCurve_P41226_UBA7.pdf</v>
      </c>
    </row>
    <row r="2314" spans="1:28" x14ac:dyDescent="0.25">
      <c r="A2314" t="s">
        <v>2318</v>
      </c>
      <c r="B2314">
        <v>0.99930955844802105</v>
      </c>
      <c r="C2314">
        <v>1.0349822969067199</v>
      </c>
      <c r="D2314">
        <v>0.97757389187999799</v>
      </c>
      <c r="E2314">
        <v>0.954200642741451</v>
      </c>
      <c r="F2314">
        <v>0.49093973484852099</v>
      </c>
      <c r="G2314">
        <v>0.24662121516661101</v>
      </c>
      <c r="H2314">
        <v>0.19462845770246001</v>
      </c>
      <c r="I2314">
        <v>0.20332746243104299</v>
      </c>
      <c r="J2314">
        <v>0.19782103285144301</v>
      </c>
      <c r="K2314">
        <v>0.14784225270767601</v>
      </c>
      <c r="L2314">
        <v>2719.9592191505499</v>
      </c>
      <c r="M2314">
        <v>51.830163752201699</v>
      </c>
      <c r="N2314">
        <v>52.982343653677397</v>
      </c>
      <c r="O2314">
        <v>52.400359866756801</v>
      </c>
      <c r="P2314">
        <v>-0.199152476880918</v>
      </c>
      <c r="Q2314">
        <v>0.19462699159544</v>
      </c>
      <c r="R2314">
        <v>0.99598376884578699</v>
      </c>
      <c r="S2314" t="s">
        <v>8931</v>
      </c>
      <c r="T2314" t="s">
        <v>13232</v>
      </c>
      <c r="U2314" t="s">
        <v>13232</v>
      </c>
      <c r="V2314" t="s">
        <v>13232</v>
      </c>
      <c r="W2314" t="s">
        <v>15495</v>
      </c>
      <c r="X2314">
        <v>10</v>
      </c>
      <c r="Y2314" t="s">
        <v>21983</v>
      </c>
      <c r="Z2314" t="s">
        <v>28445</v>
      </c>
      <c r="AA2314">
        <v>0.53135087948339044</v>
      </c>
      <c r="AB2314" t="str">
        <f>HYPERLINK("Melting_Curves/meltCurve_P41227_2_NAA10.pdf", "Melting_Curves/meltCurve_P41227_2_NAA10.pdf")</f>
        <v>Melting_Curves/meltCurve_P41227_2_NAA10.pdf</v>
      </c>
    </row>
    <row r="2315" spans="1:28" x14ac:dyDescent="0.25">
      <c r="A2315" t="s">
        <v>2319</v>
      </c>
      <c r="B2315">
        <v>0.99930955844802105</v>
      </c>
      <c r="C2315">
        <v>0.86875252237162703</v>
      </c>
      <c r="D2315">
        <v>0.64833167688544902</v>
      </c>
      <c r="E2315">
        <v>0.43846846927858601</v>
      </c>
      <c r="F2315">
        <v>0.25615863641747699</v>
      </c>
      <c r="G2315">
        <v>0.177198886581863</v>
      </c>
      <c r="H2315">
        <v>0.1243092236389</v>
      </c>
      <c r="I2315">
        <v>0.11486067942943901</v>
      </c>
      <c r="J2315">
        <v>0.108993203205194</v>
      </c>
      <c r="K2315">
        <v>7.7783634106505697E-2</v>
      </c>
      <c r="L2315">
        <v>705.79796285339296</v>
      </c>
      <c r="M2315">
        <v>14.7136329363799</v>
      </c>
      <c r="N2315">
        <v>48.604555971800998</v>
      </c>
      <c r="O2315">
        <v>47.109032184221697</v>
      </c>
      <c r="P2315">
        <v>-7.1257235114801504E-2</v>
      </c>
      <c r="Q2315">
        <v>8.7514477688683506E-2</v>
      </c>
      <c r="R2315">
        <v>0.99555696462191701</v>
      </c>
      <c r="S2315" t="s">
        <v>8932</v>
      </c>
      <c r="T2315" t="s">
        <v>13232</v>
      </c>
      <c r="U2315" t="s">
        <v>13232</v>
      </c>
      <c r="V2315" t="s">
        <v>13232</v>
      </c>
      <c r="W2315" t="s">
        <v>15496</v>
      </c>
      <c r="X2315">
        <v>31</v>
      </c>
      <c r="Y2315" t="s">
        <v>21984</v>
      </c>
      <c r="Z2315" t="s">
        <v>28446</v>
      </c>
      <c r="AA2315">
        <v>0.35432848911265602</v>
      </c>
      <c r="AB2315" t="str">
        <f>HYPERLINK("Melting_Curves/meltCurve_P41229_2_KDM5C.pdf", "Melting_Curves/meltCurve_P41229_2_KDM5C.pdf")</f>
        <v>Melting_Curves/meltCurve_P41229_2_KDM5C.pdf</v>
      </c>
    </row>
    <row r="2316" spans="1:28" x14ac:dyDescent="0.25">
      <c r="A2316" t="s">
        <v>2320</v>
      </c>
      <c r="B2316">
        <v>0.99930955844802105</v>
      </c>
      <c r="C2316">
        <v>1.0182475775736499</v>
      </c>
      <c r="D2316">
        <v>1.01712030225552</v>
      </c>
      <c r="E2316">
        <v>0.98348843194620605</v>
      </c>
      <c r="F2316">
        <v>0.92976403945992303</v>
      </c>
      <c r="G2316">
        <v>0.88035273164860495</v>
      </c>
      <c r="H2316">
        <v>0.91735759574259201</v>
      </c>
      <c r="I2316">
        <v>1.17894990612665</v>
      </c>
      <c r="J2316">
        <v>1.14970683237135</v>
      </c>
      <c r="K2316">
        <v>0.90537207087128801</v>
      </c>
      <c r="L2316">
        <v>1467.62551768715</v>
      </c>
      <c r="M2316">
        <v>23.5447218762639</v>
      </c>
      <c r="O2316">
        <v>61.889086385659098</v>
      </c>
      <c r="P2316">
        <v>4.9108250361680596E-3</v>
      </c>
      <c r="Q2316">
        <v>1.05163302268101</v>
      </c>
      <c r="R2316">
        <v>6.1732307754742401E-2</v>
      </c>
      <c r="S2316" t="s">
        <v>8933</v>
      </c>
      <c r="T2316" t="s">
        <v>13232</v>
      </c>
      <c r="U2316" t="s">
        <v>13232</v>
      </c>
      <c r="V2316" t="s">
        <v>13232</v>
      </c>
      <c r="W2316" t="s">
        <v>15497</v>
      </c>
      <c r="X2316">
        <v>11</v>
      </c>
      <c r="Y2316" t="s">
        <v>21985</v>
      </c>
      <c r="Z2316" t="s">
        <v>28447</v>
      </c>
      <c r="AA2316">
        <v>1.0130097272787839</v>
      </c>
      <c r="AB2316" t="str">
        <f>HYPERLINK("Melting_Curves/meltCurve_P41236_PPP1R2.pdf", "Melting_Curves/meltCurve_P41236_PPP1R2.pdf")</f>
        <v>Melting_Curves/meltCurve_P41236_PPP1R2.pdf</v>
      </c>
    </row>
    <row r="2317" spans="1:28" x14ac:dyDescent="0.25">
      <c r="A2317" t="s">
        <v>2321</v>
      </c>
      <c r="B2317">
        <v>0.99930955844802105</v>
      </c>
      <c r="C2317">
        <v>1.0529208117252999</v>
      </c>
      <c r="D2317">
        <v>0.94152251941045095</v>
      </c>
      <c r="E2317">
        <v>0.51166372213320899</v>
      </c>
      <c r="F2317">
        <v>0.17087489468072301</v>
      </c>
      <c r="G2317">
        <v>0.118500890218129</v>
      </c>
      <c r="H2317">
        <v>7.2550155552609893E-2</v>
      </c>
      <c r="I2317">
        <v>6.2955777848931804E-2</v>
      </c>
      <c r="J2317">
        <v>5.3783679140349101E-2</v>
      </c>
      <c r="K2317">
        <v>4.2678117146285E-2</v>
      </c>
      <c r="L2317">
        <v>1658.98399349535</v>
      </c>
      <c r="M2317">
        <v>33.274339121456698</v>
      </c>
      <c r="N2317">
        <v>50.067908592196801</v>
      </c>
      <c r="O2317">
        <v>49.678711912004999</v>
      </c>
      <c r="P2317">
        <v>-0.15653541016969699</v>
      </c>
      <c r="Q2317">
        <v>6.5172243560585194E-2</v>
      </c>
      <c r="R2317">
        <v>0.99671032849442698</v>
      </c>
      <c r="S2317" t="s">
        <v>8934</v>
      </c>
      <c r="T2317" t="s">
        <v>13232</v>
      </c>
      <c r="U2317" t="s">
        <v>13232</v>
      </c>
      <c r="V2317" t="s">
        <v>13232</v>
      </c>
      <c r="W2317" t="s">
        <v>15498</v>
      </c>
      <c r="X2317">
        <v>28</v>
      </c>
      <c r="Y2317" t="s">
        <v>21986</v>
      </c>
      <c r="Z2317" t="s">
        <v>28448</v>
      </c>
      <c r="AA2317">
        <v>0.3770257285805933</v>
      </c>
      <c r="AB2317" t="str">
        <f>HYPERLINK("Melting_Curves/meltCurve_P41240_CSK.pdf", "Melting_Curves/meltCurve_P41240_CSK.pdf")</f>
        <v>Melting_Curves/meltCurve_P41240_CSK.pdf</v>
      </c>
    </row>
    <row r="2318" spans="1:28" x14ac:dyDescent="0.25">
      <c r="A2318" t="s">
        <v>2322</v>
      </c>
      <c r="B2318">
        <v>0.99930955844802105</v>
      </c>
      <c r="C2318">
        <v>0.89908740968348799</v>
      </c>
      <c r="D2318">
        <v>1.0008981874187399</v>
      </c>
      <c r="E2318">
        <v>0.93559140132126795</v>
      </c>
      <c r="F2318">
        <v>1.03178576016757</v>
      </c>
      <c r="G2318">
        <v>0.89810528528172295</v>
      </c>
      <c r="H2318">
        <v>0.45880982744224003</v>
      </c>
      <c r="I2318">
        <v>0.21128759111439799</v>
      </c>
      <c r="J2318">
        <v>6.4488633144282395E-2</v>
      </c>
      <c r="K2318">
        <v>5.36509298942624E-2</v>
      </c>
      <c r="L2318">
        <v>1962.7763095156499</v>
      </c>
      <c r="M2318">
        <v>32.372004083061597</v>
      </c>
      <c r="N2318">
        <v>60.7844147606733</v>
      </c>
      <c r="O2318">
        <v>60.401938459344201</v>
      </c>
      <c r="P2318">
        <v>-0.12876023930181399</v>
      </c>
      <c r="Q2318">
        <v>3.9005391240954E-2</v>
      </c>
      <c r="R2318">
        <v>0.98884914250563705</v>
      </c>
      <c r="S2318" t="s">
        <v>8935</v>
      </c>
      <c r="T2318" t="s">
        <v>13232</v>
      </c>
      <c r="U2318" t="s">
        <v>13232</v>
      </c>
      <c r="V2318" t="s">
        <v>13232</v>
      </c>
      <c r="W2318" t="s">
        <v>15499</v>
      </c>
      <c r="X2318">
        <v>55</v>
      </c>
      <c r="Y2318" t="s">
        <v>21987</v>
      </c>
      <c r="Z2318" t="s">
        <v>28449</v>
      </c>
      <c r="AA2318">
        <v>0.70496288093082371</v>
      </c>
      <c r="AB2318" t="str">
        <f>HYPERLINK("Melting_Curves/meltCurve_P41250_GARS.pdf", "Melting_Curves/meltCurve_P41250_GARS.pdf")</f>
        <v>Melting_Curves/meltCurve_P41250_GARS.pdf</v>
      </c>
    </row>
    <row r="2319" spans="1:28" x14ac:dyDescent="0.25">
      <c r="A2319" t="s">
        <v>2323</v>
      </c>
      <c r="B2319">
        <v>0.99930955844802105</v>
      </c>
      <c r="C2319">
        <v>0.44093569734792798</v>
      </c>
      <c r="D2319">
        <v>0.246653290738204</v>
      </c>
      <c r="E2319">
        <v>0.19189417241979401</v>
      </c>
      <c r="F2319">
        <v>0.128191110062851</v>
      </c>
      <c r="G2319">
        <v>8.2211615638494495E-2</v>
      </c>
      <c r="H2319">
        <v>3.9733733358135702E-2</v>
      </c>
      <c r="I2319">
        <v>3.1699452392154499E-2</v>
      </c>
      <c r="J2319">
        <v>2.7262146133759799E-2</v>
      </c>
      <c r="K2319">
        <v>2.1464483698009601E-2</v>
      </c>
      <c r="L2319">
        <v>1383.62037287008</v>
      </c>
      <c r="M2319">
        <v>32.401477853978697</v>
      </c>
      <c r="N2319">
        <v>42.934508765390603</v>
      </c>
      <c r="O2319">
        <v>42.540701427615197</v>
      </c>
      <c r="P2319">
        <v>-0.17511628871663301</v>
      </c>
      <c r="Q2319">
        <v>8.0346153929979694E-2</v>
      </c>
      <c r="R2319">
        <v>0.94825632203562404</v>
      </c>
      <c r="S2319" t="s">
        <v>8936</v>
      </c>
      <c r="T2319" t="s">
        <v>13232</v>
      </c>
      <c r="U2319" t="s">
        <v>13232</v>
      </c>
      <c r="V2319" t="s">
        <v>13232</v>
      </c>
      <c r="W2319" t="s">
        <v>15500</v>
      </c>
      <c r="X2319">
        <v>54</v>
      </c>
      <c r="Y2319" t="s">
        <v>21988</v>
      </c>
      <c r="Z2319" t="s">
        <v>28450</v>
      </c>
      <c r="AA2319">
        <v>0.17090372976201759</v>
      </c>
      <c r="AB2319" t="str">
        <f>HYPERLINK("Melting_Curves/meltCurve_P41252_IARS.pdf", "Melting_Curves/meltCurve_P41252_IARS.pdf")</f>
        <v>Melting_Curves/meltCurve_P41252_IARS.pdf</v>
      </c>
    </row>
    <row r="2320" spans="1:28" x14ac:dyDescent="0.25">
      <c r="A2320" t="s">
        <v>2324</v>
      </c>
      <c r="B2320">
        <v>0.99930955844802105</v>
      </c>
      <c r="C2320">
        <v>1.03810000618429</v>
      </c>
      <c r="D2320">
        <v>1.1266383264536399</v>
      </c>
      <c r="E2320">
        <v>1.0477791585438301</v>
      </c>
      <c r="F2320">
        <v>0.88543324118009203</v>
      </c>
      <c r="G2320">
        <v>0.76102511040334397</v>
      </c>
      <c r="H2320">
        <v>0.56244366525255196</v>
      </c>
      <c r="I2320">
        <v>0.43471354911495302</v>
      </c>
      <c r="J2320">
        <v>0.35299877520996398</v>
      </c>
      <c r="K2320">
        <v>0.26967846411725899</v>
      </c>
      <c r="L2320">
        <v>1011.93665527527</v>
      </c>
      <c r="M2320">
        <v>16.862012338246299</v>
      </c>
      <c r="N2320">
        <v>62.205908974030102</v>
      </c>
      <c r="O2320">
        <v>59.1878028602246</v>
      </c>
      <c r="P2320">
        <v>-5.5266831427586802E-2</v>
      </c>
      <c r="Q2320">
        <v>0.22407513992960301</v>
      </c>
      <c r="R2320">
        <v>0.97109234673545297</v>
      </c>
      <c r="S2320" t="s">
        <v>8937</v>
      </c>
      <c r="T2320" t="s">
        <v>13232</v>
      </c>
      <c r="U2320" t="s">
        <v>13232</v>
      </c>
      <c r="V2320" t="s">
        <v>13232</v>
      </c>
      <c r="W2320" t="s">
        <v>15501</v>
      </c>
      <c r="X2320">
        <v>11</v>
      </c>
      <c r="Y2320" t="s">
        <v>21989</v>
      </c>
      <c r="Z2320" t="s">
        <v>28451</v>
      </c>
      <c r="AA2320">
        <v>0.74784243070247536</v>
      </c>
      <c r="AB2320" t="str">
        <f>HYPERLINK("Melting_Curves/meltCurve_P41567_EIF1.pdf", "Melting_Curves/meltCurve_P41567_EIF1.pdf")</f>
        <v>Melting_Curves/meltCurve_P41567_EIF1.pdf</v>
      </c>
    </row>
    <row r="2321" spans="1:28" x14ac:dyDescent="0.25">
      <c r="A2321" t="s">
        <v>2325</v>
      </c>
      <c r="B2321">
        <v>0.99930955844802105</v>
      </c>
      <c r="C2321">
        <v>0.95045825556396701</v>
      </c>
      <c r="D2321">
        <v>0.36255111493254999</v>
      </c>
      <c r="E2321">
        <v>0.59748272912524503</v>
      </c>
      <c r="F2321">
        <v>0.22082108255902799</v>
      </c>
      <c r="G2321">
        <v>9.4677025857519803E-2</v>
      </c>
      <c r="H2321">
        <v>4.4708136435337803E-2</v>
      </c>
      <c r="I2321">
        <v>3.5524412719055098E-2</v>
      </c>
      <c r="J2321">
        <v>2.8377663768696298E-2</v>
      </c>
      <c r="K2321">
        <v>2.1794807999958699E-2</v>
      </c>
      <c r="L2321">
        <v>594.63877359663502</v>
      </c>
      <c r="M2321">
        <v>12.347966913544701</v>
      </c>
      <c r="N2321">
        <v>48.1568163886759</v>
      </c>
      <c r="O2321">
        <v>46.946050952662802</v>
      </c>
      <c r="P2321">
        <v>-6.5770335822353906E-2</v>
      </c>
      <c r="Q2321">
        <v>0</v>
      </c>
      <c r="R2321">
        <v>0.88974954155080099</v>
      </c>
      <c r="S2321" t="s">
        <v>8938</v>
      </c>
      <c r="T2321" t="s">
        <v>13232</v>
      </c>
      <c r="U2321" t="s">
        <v>13232</v>
      </c>
      <c r="V2321" t="s">
        <v>13232</v>
      </c>
      <c r="W2321" t="s">
        <v>15502</v>
      </c>
      <c r="X2321">
        <v>11</v>
      </c>
      <c r="Y2321" t="s">
        <v>21990</v>
      </c>
      <c r="Z2321" t="s">
        <v>28452</v>
      </c>
      <c r="AA2321">
        <v>0.30871657284801068</v>
      </c>
      <c r="AB2321" t="str">
        <f>HYPERLINK("Melting_Curves/meltCurve_P41743_PRKCI.pdf", "Melting_Curves/meltCurve_P41743_PRKCI.pdf")</f>
        <v>Melting_Curves/meltCurve_P41743_PRKCI.pdf</v>
      </c>
    </row>
    <row r="2322" spans="1:28" x14ac:dyDescent="0.25">
      <c r="A2322" t="s">
        <v>2326</v>
      </c>
      <c r="B2322">
        <v>0.99930955844802105</v>
      </c>
      <c r="C2322">
        <v>0.60251301833748505</v>
      </c>
      <c r="D2322">
        <v>0.71123262370565699</v>
      </c>
      <c r="E2322">
        <v>0.84091061068193695</v>
      </c>
      <c r="F2322">
        <v>0.60906640486159402</v>
      </c>
      <c r="G2322">
        <v>0.30122800548760498</v>
      </c>
      <c r="H2322">
        <v>9.48378718550313E-2</v>
      </c>
      <c r="I2322">
        <v>6.4293039351825995E-2</v>
      </c>
      <c r="J2322">
        <v>4.5037747175453099E-2</v>
      </c>
      <c r="K2322">
        <v>3.5552231820516797E-2</v>
      </c>
      <c r="L2322">
        <v>569.12498795537294</v>
      </c>
      <c r="M2322">
        <v>10.7571242125219</v>
      </c>
      <c r="N2322">
        <v>52.906794691139801</v>
      </c>
      <c r="O2322">
        <v>51.176763139481203</v>
      </c>
      <c r="P2322">
        <v>-5.25681755264851E-2</v>
      </c>
      <c r="Q2322">
        <v>0</v>
      </c>
      <c r="R2322">
        <v>0.84424342311381995</v>
      </c>
      <c r="S2322" t="s">
        <v>8939</v>
      </c>
      <c r="T2322" t="s">
        <v>13232</v>
      </c>
      <c r="U2322" t="s">
        <v>13232</v>
      </c>
      <c r="V2322" t="s">
        <v>13232</v>
      </c>
      <c r="W2322" t="s">
        <v>15503</v>
      </c>
      <c r="X2322">
        <v>13</v>
      </c>
      <c r="Y2322" t="s">
        <v>21991</v>
      </c>
      <c r="Z2322" t="s">
        <v>28453</v>
      </c>
      <c r="AA2322">
        <v>0.46245465449021211</v>
      </c>
      <c r="AB2322" t="str">
        <f>HYPERLINK("Melting_Curves/meltCurve_P42025_ACTR1B.pdf", "Melting_Curves/meltCurve_P42025_ACTR1B.pdf")</f>
        <v>Melting_Curves/meltCurve_P42025_ACTR1B.pdf</v>
      </c>
    </row>
    <row r="2323" spans="1:28" x14ac:dyDescent="0.25">
      <c r="A2323" t="s">
        <v>2327</v>
      </c>
      <c r="B2323">
        <v>0.99930955844802105</v>
      </c>
      <c r="C2323">
        <v>0.97949247362643299</v>
      </c>
      <c r="D2323">
        <v>0.94919369445419</v>
      </c>
      <c r="E2323">
        <v>0.92884672634169796</v>
      </c>
      <c r="F2323">
        <v>0.87846600648376505</v>
      </c>
      <c r="G2323">
        <v>0.65966637037583198</v>
      </c>
      <c r="H2323">
        <v>0.62796104334162095</v>
      </c>
      <c r="I2323">
        <v>0.64185423976765299</v>
      </c>
      <c r="J2323">
        <v>0.62411634225788704</v>
      </c>
      <c r="K2323">
        <v>0.480130550624286</v>
      </c>
      <c r="L2323">
        <v>766.99161416536299</v>
      </c>
      <c r="M2323">
        <v>13.809316412884799</v>
      </c>
      <c r="O2323">
        <v>54.415740544499897</v>
      </c>
      <c r="P2323">
        <v>-3.0043103256830499E-2</v>
      </c>
      <c r="Q2323">
        <v>0.52652558709135699</v>
      </c>
      <c r="R2323">
        <v>0.94568981755400305</v>
      </c>
      <c r="S2323" t="s">
        <v>8940</v>
      </c>
      <c r="T2323" t="s">
        <v>13232</v>
      </c>
      <c r="U2323" t="s">
        <v>13232</v>
      </c>
      <c r="V2323" t="s">
        <v>13232</v>
      </c>
      <c r="W2323" t="s">
        <v>15504</v>
      </c>
      <c r="X2323">
        <v>8</v>
      </c>
      <c r="Y2323" t="s">
        <v>21992</v>
      </c>
      <c r="Z2323" t="s">
        <v>28454</v>
      </c>
      <c r="AA2323">
        <v>0.78122464869483865</v>
      </c>
      <c r="AB2323" t="str">
        <f>HYPERLINK("Melting_Curves/meltCurve_P42126_2_ECI1.pdf", "Melting_Curves/meltCurve_P42126_2_ECI1.pdf")</f>
        <v>Melting_Curves/meltCurve_P42126_2_ECI1.pdf</v>
      </c>
    </row>
    <row r="2324" spans="1:28" x14ac:dyDescent="0.25">
      <c r="A2324" t="s">
        <v>2328</v>
      </c>
      <c r="B2324">
        <v>0.99930955844802105</v>
      </c>
      <c r="C2324">
        <v>1.02729251843907</v>
      </c>
      <c r="D2324">
        <v>0.96321005838832696</v>
      </c>
      <c r="E2324">
        <v>0.78823289412124797</v>
      </c>
      <c r="F2324">
        <v>0.64061135396644397</v>
      </c>
      <c r="G2324">
        <v>0.58246627481431801</v>
      </c>
      <c r="H2324">
        <v>0.58656476126263701</v>
      </c>
      <c r="I2324">
        <v>0.61712412971702302</v>
      </c>
      <c r="J2324">
        <v>0.61676940702514105</v>
      </c>
      <c r="K2324">
        <v>0.50377084187551302</v>
      </c>
      <c r="L2324">
        <v>1511.6418548900201</v>
      </c>
      <c r="M2324">
        <v>30.262469729875399</v>
      </c>
      <c r="O2324">
        <v>49.7344447429168</v>
      </c>
      <c r="P2324">
        <v>-6.4067217913960403E-2</v>
      </c>
      <c r="Q2324">
        <v>0.57884105082590298</v>
      </c>
      <c r="R2324">
        <v>0.97239621182614699</v>
      </c>
      <c r="S2324" t="s">
        <v>8941</v>
      </c>
      <c r="T2324" t="s">
        <v>13232</v>
      </c>
      <c r="U2324" t="s">
        <v>13232</v>
      </c>
      <c r="V2324" t="s">
        <v>13232</v>
      </c>
      <c r="W2324" t="s">
        <v>15505</v>
      </c>
      <c r="X2324">
        <v>46</v>
      </c>
      <c r="Y2324" t="s">
        <v>21993</v>
      </c>
      <c r="Z2324" t="s">
        <v>28455</v>
      </c>
      <c r="AA2324">
        <v>0.72109741139266181</v>
      </c>
      <c r="AB2324" t="str">
        <f>HYPERLINK("Melting_Curves/meltCurve_P42166_TMPO.pdf", "Melting_Curves/meltCurve_P42166_TMPO.pdf")</f>
        <v>Melting_Curves/meltCurve_P42166_TMPO.pdf</v>
      </c>
    </row>
    <row r="2325" spans="1:28" x14ac:dyDescent="0.25">
      <c r="A2325" t="s">
        <v>2329</v>
      </c>
      <c r="B2325">
        <v>0.99930955844802105</v>
      </c>
      <c r="C2325">
        <v>0.99368557881193298</v>
      </c>
      <c r="D2325">
        <v>0.87094554980132</v>
      </c>
      <c r="E2325">
        <v>1.0399439773036101</v>
      </c>
      <c r="F2325">
        <v>0.78782913201331095</v>
      </c>
      <c r="G2325">
        <v>0.73700007792168998</v>
      </c>
      <c r="H2325">
        <v>0.73824813437504999</v>
      </c>
      <c r="I2325">
        <v>0.86442282098873502</v>
      </c>
      <c r="J2325">
        <v>0.82086978692609303</v>
      </c>
      <c r="K2325">
        <v>0.65820046021383405</v>
      </c>
      <c r="L2325">
        <v>13134.6773669333</v>
      </c>
      <c r="M2325">
        <v>250</v>
      </c>
      <c r="O2325">
        <v>52.535354021216797</v>
      </c>
      <c r="P2325">
        <v>-0.28106311584539001</v>
      </c>
      <c r="Q2325">
        <v>0.76374802557632004</v>
      </c>
      <c r="R2325">
        <v>0.69814386986392196</v>
      </c>
      <c r="S2325" t="s">
        <v>8942</v>
      </c>
      <c r="T2325" t="s">
        <v>13232</v>
      </c>
      <c r="U2325" t="s">
        <v>13232</v>
      </c>
      <c r="V2325" t="s">
        <v>13232</v>
      </c>
      <c r="W2325" t="s">
        <v>15506</v>
      </c>
      <c r="X2325">
        <v>30</v>
      </c>
      <c r="Y2325" t="s">
        <v>21993</v>
      </c>
      <c r="Z2325" t="s">
        <v>28456</v>
      </c>
      <c r="AA2325">
        <v>0.86251297138180183</v>
      </c>
      <c r="AB2325" t="str">
        <f>HYPERLINK("Melting_Curves/meltCurve_P42167_TMPO.pdf", "Melting_Curves/meltCurve_P42167_TMPO.pdf")</f>
        <v>Melting_Curves/meltCurve_P42167_TMPO.pdf</v>
      </c>
    </row>
    <row r="2326" spans="1:28" x14ac:dyDescent="0.25">
      <c r="A2326" t="s">
        <v>2330</v>
      </c>
      <c r="B2326">
        <v>0.99930955844802105</v>
      </c>
      <c r="C2326">
        <v>0.951577881501807</v>
      </c>
      <c r="D2326">
        <v>0.65756312810846695</v>
      </c>
      <c r="E2326">
        <v>0.28005854558944998</v>
      </c>
      <c r="F2326">
        <v>0.17274150500726801</v>
      </c>
      <c r="G2326">
        <v>0.12667891229797201</v>
      </c>
      <c r="H2326">
        <v>8.2064865404065601E-2</v>
      </c>
      <c r="I2326">
        <v>6.6196072118516996E-2</v>
      </c>
      <c r="J2326">
        <v>5.5207189548858802E-2</v>
      </c>
      <c r="K2326">
        <v>4.2682237916139502E-2</v>
      </c>
      <c r="L2326">
        <v>1047.58046187838</v>
      </c>
      <c r="M2326">
        <v>22.138379169346798</v>
      </c>
      <c r="N2326">
        <v>47.645732484363499</v>
      </c>
      <c r="O2326">
        <v>46.9386292315628</v>
      </c>
      <c r="P2326">
        <v>-0.109624896623748</v>
      </c>
      <c r="Q2326">
        <v>7.0296828979286102E-2</v>
      </c>
      <c r="R2326">
        <v>0.996097438660972</v>
      </c>
      <c r="S2326" t="s">
        <v>8943</v>
      </c>
      <c r="T2326" t="s">
        <v>13232</v>
      </c>
      <c r="U2326" t="s">
        <v>13232</v>
      </c>
      <c r="V2326" t="s">
        <v>13232</v>
      </c>
      <c r="W2326" t="s">
        <v>15507</v>
      </c>
      <c r="X2326">
        <v>34</v>
      </c>
      <c r="Y2326" t="s">
        <v>21994</v>
      </c>
      <c r="Z2326" t="s">
        <v>28457</v>
      </c>
      <c r="AA2326">
        <v>0.30790501468500081</v>
      </c>
      <c r="AB2326" t="str">
        <f>HYPERLINK("Melting_Curves/meltCurve_P42224_STAT1.pdf", "Melting_Curves/meltCurve_P42224_STAT1.pdf")</f>
        <v>Melting_Curves/meltCurve_P42224_STAT1.pdf</v>
      </c>
    </row>
    <row r="2327" spans="1:28" x14ac:dyDescent="0.25">
      <c r="A2327" t="s">
        <v>2331</v>
      </c>
      <c r="B2327">
        <v>0.99930955844802105</v>
      </c>
      <c r="C2327">
        <v>1.0477031361389999</v>
      </c>
      <c r="D2327">
        <v>0.98504290852660903</v>
      </c>
      <c r="E2327">
        <v>0.71326134844074796</v>
      </c>
      <c r="F2327">
        <v>0.28984508836914602</v>
      </c>
      <c r="G2327">
        <v>0.172518712154929</v>
      </c>
      <c r="H2327">
        <v>9.4507498382267796E-2</v>
      </c>
      <c r="I2327">
        <v>8.1054189061253903E-2</v>
      </c>
      <c r="J2327">
        <v>6.6141201022332993E-2</v>
      </c>
      <c r="K2327">
        <v>5.3007125713898103E-2</v>
      </c>
      <c r="L2327">
        <v>1650.50401558506</v>
      </c>
      <c r="M2327">
        <v>32.253681568611199</v>
      </c>
      <c r="N2327">
        <v>51.460538906498101</v>
      </c>
      <c r="O2327">
        <v>50.977069060170898</v>
      </c>
      <c r="P2327">
        <v>-0.145117852999508</v>
      </c>
      <c r="Q2327">
        <v>8.2567172776506895E-2</v>
      </c>
      <c r="R2327">
        <v>0.99557086256494998</v>
      </c>
      <c r="S2327" t="s">
        <v>8944</v>
      </c>
      <c r="T2327" t="s">
        <v>13232</v>
      </c>
      <c r="U2327" t="s">
        <v>13232</v>
      </c>
      <c r="V2327" t="s">
        <v>13232</v>
      </c>
      <c r="W2327" t="s">
        <v>15508</v>
      </c>
      <c r="X2327">
        <v>21</v>
      </c>
      <c r="Y2327" t="s">
        <v>21995</v>
      </c>
      <c r="Z2327" t="s">
        <v>28458</v>
      </c>
      <c r="AA2327">
        <v>0.42923999263604062</v>
      </c>
      <c r="AB2327" t="str">
        <f>HYPERLINK("Melting_Curves/meltCurve_P42226_STAT6.pdf", "Melting_Curves/meltCurve_P42226_STAT6.pdf")</f>
        <v>Melting_Curves/meltCurve_P42226_STAT6.pdf</v>
      </c>
    </row>
    <row r="2328" spans="1:28" x14ac:dyDescent="0.25">
      <c r="A2328" t="s">
        <v>2332</v>
      </c>
      <c r="B2328">
        <v>0.99930955844802105</v>
      </c>
      <c r="C2328">
        <v>0.81594842052368499</v>
      </c>
      <c r="D2328">
        <v>0.854204016695438</v>
      </c>
      <c r="E2328">
        <v>0.75452574029417796</v>
      </c>
      <c r="F2328">
        <v>0.312280497565811</v>
      </c>
      <c r="G2328">
        <v>0.17394145479484199</v>
      </c>
      <c r="H2328">
        <v>0.11095362690588</v>
      </c>
      <c r="I2328">
        <v>0.102745363720743</v>
      </c>
      <c r="J2328">
        <v>9.7506031794931905E-2</v>
      </c>
      <c r="K2328">
        <v>7.2890798437848098E-2</v>
      </c>
      <c r="L2328">
        <v>1003.5027928688201</v>
      </c>
      <c r="M2328">
        <v>19.594014129855399</v>
      </c>
      <c r="N2328">
        <v>51.624231320188798</v>
      </c>
      <c r="O2328">
        <v>50.690255660774902</v>
      </c>
      <c r="P2328">
        <v>-8.9684474821523502E-2</v>
      </c>
      <c r="Q2328">
        <v>7.1967892462073094E-2</v>
      </c>
      <c r="R2328">
        <v>0.96243402495368302</v>
      </c>
      <c r="S2328" t="s">
        <v>8945</v>
      </c>
      <c r="T2328" t="s">
        <v>13232</v>
      </c>
      <c r="U2328" t="s">
        <v>13232</v>
      </c>
      <c r="V2328" t="s">
        <v>13232</v>
      </c>
      <c r="W2328" t="s">
        <v>15509</v>
      </c>
      <c r="X2328">
        <v>45</v>
      </c>
      <c r="Y2328" t="s">
        <v>21996</v>
      </c>
      <c r="Z2328" t="s">
        <v>28459</v>
      </c>
      <c r="AA2328">
        <v>0.43226295863435149</v>
      </c>
      <c r="AB2328" t="str">
        <f>HYPERLINK("Melting_Curves/meltCurve_P42285_SKIV2L2.pdf", "Melting_Curves/meltCurve_P42285_SKIV2L2.pdf")</f>
        <v>Melting_Curves/meltCurve_P42285_SKIV2L2.pdf</v>
      </c>
    </row>
    <row r="2329" spans="1:28" x14ac:dyDescent="0.25">
      <c r="A2329" t="s">
        <v>2333</v>
      </c>
      <c r="B2329">
        <v>0.99930955844802105</v>
      </c>
      <c r="C2329">
        <v>0.94688644864244897</v>
      </c>
      <c r="D2329">
        <v>0.90610533459685505</v>
      </c>
      <c r="E2329">
        <v>0.71838118855076605</v>
      </c>
      <c r="F2329">
        <v>0.30382367603590799</v>
      </c>
      <c r="G2329">
        <v>0.23258393380432599</v>
      </c>
      <c r="H2329">
        <v>0.14731922776412601</v>
      </c>
      <c r="I2329">
        <v>0.108484590812276</v>
      </c>
      <c r="J2329">
        <v>0.100015338273581</v>
      </c>
      <c r="K2329">
        <v>7.1643550536299297E-2</v>
      </c>
      <c r="L2329">
        <v>1195.97560512781</v>
      </c>
      <c r="M2329">
        <v>23.406465605603302</v>
      </c>
      <c r="N2329">
        <v>51.6082016548296</v>
      </c>
      <c r="O2329">
        <v>50.727357255534997</v>
      </c>
      <c r="P2329">
        <v>-0.103398803660627</v>
      </c>
      <c r="Q2329">
        <v>0.103656583346337</v>
      </c>
      <c r="R2329">
        <v>0.98864945936220505</v>
      </c>
      <c r="S2329" t="s">
        <v>8946</v>
      </c>
      <c r="T2329" t="s">
        <v>13232</v>
      </c>
      <c r="U2329" t="s">
        <v>13232</v>
      </c>
      <c r="V2329" t="s">
        <v>13232</v>
      </c>
      <c r="W2329" t="s">
        <v>15510</v>
      </c>
      <c r="X2329">
        <v>14</v>
      </c>
      <c r="Y2329" t="s">
        <v>21997</v>
      </c>
      <c r="Z2329" t="s">
        <v>28460</v>
      </c>
      <c r="AA2329">
        <v>0.44440115898010429</v>
      </c>
      <c r="AB2329" t="str">
        <f>HYPERLINK("Melting_Curves/meltCurve_P42330_AKR1C3.pdf", "Melting_Curves/meltCurve_P42330_AKR1C3.pdf")</f>
        <v>Melting_Curves/meltCurve_P42330_AKR1C3.pdf</v>
      </c>
    </row>
    <row r="2330" spans="1:28" x14ac:dyDescent="0.25">
      <c r="A2330" t="s">
        <v>2334</v>
      </c>
      <c r="B2330">
        <v>0.99930955844802105</v>
      </c>
      <c r="C2330">
        <v>1.0799920054329999</v>
      </c>
      <c r="D2330">
        <v>1.0589029484000501</v>
      </c>
      <c r="E2330">
        <v>0.83552084476235899</v>
      </c>
      <c r="F2330">
        <v>0.53442259140753301</v>
      </c>
      <c r="G2330">
        <v>0.45128721544022499</v>
      </c>
      <c r="H2330">
        <v>0.447095239388133</v>
      </c>
      <c r="I2330">
        <v>0.47450018653801401</v>
      </c>
      <c r="J2330">
        <v>0.46351111227858599</v>
      </c>
      <c r="K2330">
        <v>0.38642269927245898</v>
      </c>
      <c r="L2330">
        <v>2318.6597877060899</v>
      </c>
      <c r="M2330">
        <v>45.4578139970208</v>
      </c>
      <c r="N2330">
        <v>53.591752478746201</v>
      </c>
      <c r="O2330">
        <v>50.908452346120299</v>
      </c>
      <c r="P2330">
        <v>-0.124076366244877</v>
      </c>
      <c r="Q2330">
        <v>0.44418575574747698</v>
      </c>
      <c r="R2330">
        <v>0.97943727011447901</v>
      </c>
      <c r="S2330" t="s">
        <v>8947</v>
      </c>
      <c r="T2330" t="s">
        <v>13232</v>
      </c>
      <c r="U2330" t="s">
        <v>13232</v>
      </c>
      <c r="V2330" t="s">
        <v>13232</v>
      </c>
      <c r="W2330" t="s">
        <v>15511</v>
      </c>
      <c r="X2330">
        <v>20</v>
      </c>
      <c r="Y2330" t="s">
        <v>21998</v>
      </c>
      <c r="Z2330" t="s">
        <v>28461</v>
      </c>
      <c r="AA2330">
        <v>0.64962577689770129</v>
      </c>
      <c r="AB2330" t="str">
        <f>HYPERLINK("Melting_Curves/meltCurve_P42331_6_ARHGAP25.pdf", "Melting_Curves/meltCurve_P42331_6_ARHGAP25.pdf")</f>
        <v>Melting_Curves/meltCurve_P42331_6_ARHGAP25.pdf</v>
      </c>
    </row>
    <row r="2331" spans="1:28" x14ac:dyDescent="0.25">
      <c r="A2331" t="s">
        <v>2335</v>
      </c>
      <c r="B2331">
        <v>0.99930955844802105</v>
      </c>
      <c r="C2331">
        <v>0.91840040990238303</v>
      </c>
      <c r="D2331">
        <v>0.85783539389107799</v>
      </c>
      <c r="E2331">
        <v>0.54917276089387601</v>
      </c>
      <c r="F2331">
        <v>0.27008790801354399</v>
      </c>
      <c r="G2331">
        <v>0.18302255165583101</v>
      </c>
      <c r="H2331">
        <v>0.112745427554495</v>
      </c>
      <c r="I2331">
        <v>0.104984318870586</v>
      </c>
      <c r="J2331">
        <v>9.1411357513003499E-2</v>
      </c>
      <c r="K2331">
        <v>6.8394202971618398E-2</v>
      </c>
      <c r="L2331">
        <v>952.40643389387196</v>
      </c>
      <c r="M2331">
        <v>19.099118916118801</v>
      </c>
      <c r="N2331">
        <v>50.342101236582401</v>
      </c>
      <c r="O2331">
        <v>49.329479942463699</v>
      </c>
      <c r="P2331">
        <v>-8.8807245151202793E-2</v>
      </c>
      <c r="Q2331">
        <v>8.2545252643864198E-2</v>
      </c>
      <c r="R2331">
        <v>0.99641409573878603</v>
      </c>
      <c r="S2331" t="s">
        <v>8948</v>
      </c>
      <c r="T2331" t="s">
        <v>13232</v>
      </c>
      <c r="U2331" t="s">
        <v>13232</v>
      </c>
      <c r="V2331" t="s">
        <v>13232</v>
      </c>
      <c r="W2331" t="s">
        <v>15512</v>
      </c>
      <c r="X2331">
        <v>21</v>
      </c>
      <c r="Y2331" t="s">
        <v>21999</v>
      </c>
      <c r="Z2331" t="s">
        <v>28462</v>
      </c>
      <c r="AA2331">
        <v>0.39826315985905753</v>
      </c>
      <c r="AB2331" t="str">
        <f>HYPERLINK("Melting_Curves/meltCurve_P42336_PIK3CA.pdf", "Melting_Curves/meltCurve_P42336_PIK3CA.pdf")</f>
        <v>Melting_Curves/meltCurve_P42336_PIK3CA.pdf</v>
      </c>
    </row>
    <row r="2332" spans="1:28" x14ac:dyDescent="0.25">
      <c r="A2332" t="s">
        <v>2336</v>
      </c>
      <c r="B2332">
        <v>0.99930955844802105</v>
      </c>
      <c r="C2332">
        <v>1.0499986024261101</v>
      </c>
      <c r="D2332">
        <v>1.0224324230325501</v>
      </c>
      <c r="E2332">
        <v>0.76043336307889298</v>
      </c>
      <c r="F2332">
        <v>0.240775645785995</v>
      </c>
      <c r="G2332">
        <v>0.15872997093594499</v>
      </c>
      <c r="H2332">
        <v>0.10203224130175</v>
      </c>
      <c r="I2332">
        <v>9.7193163459500298E-2</v>
      </c>
      <c r="J2332">
        <v>8.6254898897557206E-2</v>
      </c>
      <c r="K2332">
        <v>7.2228658590026501E-2</v>
      </c>
      <c r="L2332">
        <v>2352.8777456094099</v>
      </c>
      <c r="M2332">
        <v>46.0458120761527</v>
      </c>
      <c r="N2332">
        <v>51.3497580798591</v>
      </c>
      <c r="O2332">
        <v>51.002525724698003</v>
      </c>
      <c r="P2332">
        <v>-0.20294767544485801</v>
      </c>
      <c r="Q2332">
        <v>0.10082317196484</v>
      </c>
      <c r="R2332">
        <v>0.99602718873553597</v>
      </c>
      <c r="S2332" t="s">
        <v>8949</v>
      </c>
      <c r="T2332" t="s">
        <v>13232</v>
      </c>
      <c r="U2332" t="s">
        <v>13232</v>
      </c>
      <c r="V2332" t="s">
        <v>13232</v>
      </c>
      <c r="W2332" t="s">
        <v>15513</v>
      </c>
      <c r="X2332">
        <v>24</v>
      </c>
      <c r="Y2332" t="s">
        <v>22000</v>
      </c>
      <c r="Z2332" t="s">
        <v>28463</v>
      </c>
      <c r="AA2332">
        <v>0.43586940302545468</v>
      </c>
      <c r="AB2332" t="str">
        <f>HYPERLINK("Melting_Curves/meltCurve_P42338_PIK3CB.pdf", "Melting_Curves/meltCurve_P42338_PIK3CB.pdf")</f>
        <v>Melting_Curves/meltCurve_P42338_PIK3CB.pdf</v>
      </c>
    </row>
    <row r="2333" spans="1:28" x14ac:dyDescent="0.25">
      <c r="A2333" t="s">
        <v>2337</v>
      </c>
      <c r="B2333">
        <v>0.99930955844802105</v>
      </c>
      <c r="C2333">
        <v>0.52617635014679098</v>
      </c>
      <c r="D2333">
        <v>0.49699117982048302</v>
      </c>
      <c r="E2333">
        <v>0.35749858043271598</v>
      </c>
      <c r="F2333">
        <v>0.199590673974155</v>
      </c>
      <c r="G2333">
        <v>0.135479811554133</v>
      </c>
      <c r="H2333">
        <v>6.9293793536379794E-2</v>
      </c>
      <c r="I2333">
        <v>5.8311752850536698E-2</v>
      </c>
      <c r="J2333">
        <v>4.8145316639177399E-2</v>
      </c>
      <c r="K2333">
        <v>3.4340114472510098E-2</v>
      </c>
      <c r="L2333">
        <v>511.023180165273</v>
      </c>
      <c r="M2333">
        <v>11.171451536020999</v>
      </c>
      <c r="N2333">
        <v>45.957380229126599</v>
      </c>
      <c r="O2333">
        <v>44.351319361678499</v>
      </c>
      <c r="P2333">
        <v>-6.13970771629926E-2</v>
      </c>
      <c r="Q2333">
        <v>2.53094164927463E-2</v>
      </c>
      <c r="R2333">
        <v>0.93536157538906906</v>
      </c>
      <c r="S2333" t="s">
        <v>8950</v>
      </c>
      <c r="T2333" t="s">
        <v>13232</v>
      </c>
      <c r="U2333" t="s">
        <v>13232</v>
      </c>
      <c r="V2333" t="s">
        <v>13232</v>
      </c>
      <c r="W2333" t="s">
        <v>15514</v>
      </c>
      <c r="X2333">
        <v>30</v>
      </c>
      <c r="Y2333" t="s">
        <v>22001</v>
      </c>
      <c r="Z2333" t="s">
        <v>28464</v>
      </c>
      <c r="AA2333">
        <v>0.26358663234477109</v>
      </c>
      <c r="AB2333" t="str">
        <f>HYPERLINK("Melting_Curves/meltCurve_P42345_MTOR.pdf", "Melting_Curves/meltCurve_P42345_MTOR.pdf")</f>
        <v>Melting_Curves/meltCurve_P42345_MTOR.pdf</v>
      </c>
    </row>
    <row r="2334" spans="1:28" x14ac:dyDescent="0.25">
      <c r="A2334" t="s">
        <v>2338</v>
      </c>
      <c r="B2334">
        <v>0.99930955844802105</v>
      </c>
      <c r="C2334">
        <v>0.66154750161426201</v>
      </c>
      <c r="D2334">
        <v>0.529328740706275</v>
      </c>
      <c r="E2334">
        <v>0.410774090795471</v>
      </c>
      <c r="F2334">
        <v>0.238788531779731</v>
      </c>
      <c r="G2334">
        <v>0.170875547750933</v>
      </c>
      <c r="H2334">
        <v>0.11789485808671001</v>
      </c>
      <c r="I2334">
        <v>9.4217658836802998E-2</v>
      </c>
      <c r="J2334">
        <v>8.3942136667907799E-2</v>
      </c>
      <c r="K2334">
        <v>6.1760187365260899E-2</v>
      </c>
      <c r="L2334">
        <v>536.07326338862799</v>
      </c>
      <c r="M2334">
        <v>11.5010853998591</v>
      </c>
      <c r="N2334">
        <v>47.113828292589702</v>
      </c>
      <c r="O2334">
        <v>45.268314078281598</v>
      </c>
      <c r="P2334">
        <v>-5.9862467461405597E-2</v>
      </c>
      <c r="Q2334">
        <v>5.7792134504406401E-2</v>
      </c>
      <c r="R2334">
        <v>0.96920125993336304</v>
      </c>
      <c r="S2334" t="s">
        <v>8951</v>
      </c>
      <c r="T2334" t="s">
        <v>13232</v>
      </c>
      <c r="U2334" t="s">
        <v>13232</v>
      </c>
      <c r="V2334" t="s">
        <v>13232</v>
      </c>
      <c r="W2334" t="s">
        <v>15515</v>
      </c>
      <c r="X2334">
        <v>16</v>
      </c>
      <c r="Y2334" t="s">
        <v>22002</v>
      </c>
      <c r="Z2334" t="s">
        <v>28465</v>
      </c>
      <c r="AA2334">
        <v>0.30945019553027348</v>
      </c>
      <c r="AB2334" t="str">
        <f>HYPERLINK("Melting_Curves/meltCurve_P42356_PI4KA.pdf", "Melting_Curves/meltCurve_P42356_PI4KA.pdf")</f>
        <v>Melting_Curves/meltCurve_P42356_PI4KA.pdf</v>
      </c>
    </row>
    <row r="2335" spans="1:28" x14ac:dyDescent="0.25">
      <c r="A2335" t="s">
        <v>2339</v>
      </c>
      <c r="B2335">
        <v>0.99930955844802105</v>
      </c>
      <c r="C2335">
        <v>1.0666849120400099</v>
      </c>
      <c r="D2335">
        <v>1.0196315733146699</v>
      </c>
      <c r="E2335">
        <v>0.92585723204283699</v>
      </c>
      <c r="F2335">
        <v>0.66853266868965699</v>
      </c>
      <c r="G2335">
        <v>0.40286149224394202</v>
      </c>
      <c r="H2335">
        <v>0.30563496660836498</v>
      </c>
      <c r="I2335">
        <v>0.28045524046895498</v>
      </c>
      <c r="J2335">
        <v>0.2584749606099</v>
      </c>
      <c r="K2335">
        <v>0.21681066819434899</v>
      </c>
      <c r="L2335">
        <v>1371.77925163599</v>
      </c>
      <c r="M2335">
        <v>25.5293104877824</v>
      </c>
      <c r="N2335">
        <v>55.253952139863102</v>
      </c>
      <c r="O2335">
        <v>53.407076572248002</v>
      </c>
      <c r="P2335">
        <v>-8.9350506516723896E-2</v>
      </c>
      <c r="Q2335">
        <v>0.25232790389392501</v>
      </c>
      <c r="R2335">
        <v>0.99249242383088898</v>
      </c>
      <c r="S2335" t="s">
        <v>8952</v>
      </c>
      <c r="T2335" t="s">
        <v>13232</v>
      </c>
      <c r="U2335" t="s">
        <v>13232</v>
      </c>
      <c r="V2335" t="s">
        <v>13232</v>
      </c>
      <c r="W2335" t="s">
        <v>15516</v>
      </c>
      <c r="X2335">
        <v>46</v>
      </c>
      <c r="Y2335" t="s">
        <v>22003</v>
      </c>
      <c r="Z2335" t="s">
        <v>28466</v>
      </c>
      <c r="AA2335">
        <v>0.60125019327525209</v>
      </c>
      <c r="AB2335" t="str">
        <f>HYPERLINK("Melting_Curves/meltCurve_P42566_EPS15.pdf", "Melting_Curves/meltCurve_P42566_EPS15.pdf")</f>
        <v>Melting_Curves/meltCurve_P42566_EPS15.pdf</v>
      </c>
    </row>
    <row r="2336" spans="1:28" x14ac:dyDescent="0.25">
      <c r="A2336" t="s">
        <v>2340</v>
      </c>
      <c r="B2336">
        <v>0.99930955844802105</v>
      </c>
      <c r="C2336">
        <v>0.94888614972549301</v>
      </c>
      <c r="D2336">
        <v>0.94056740005023898</v>
      </c>
      <c r="E2336">
        <v>0.85020017962212002</v>
      </c>
      <c r="F2336">
        <v>0.71197077610928605</v>
      </c>
      <c r="G2336">
        <v>0.56800381918055898</v>
      </c>
      <c r="H2336">
        <v>0.47850914935759598</v>
      </c>
      <c r="I2336">
        <v>0.44428928824473302</v>
      </c>
      <c r="J2336">
        <v>0.39376470372656702</v>
      </c>
      <c r="K2336">
        <v>0.28064639639649602</v>
      </c>
      <c r="L2336">
        <v>545.64970148745397</v>
      </c>
      <c r="M2336">
        <v>9.6501965314356895</v>
      </c>
      <c r="N2336">
        <v>60.143277449637601</v>
      </c>
      <c r="O2336">
        <v>54.274887101913798</v>
      </c>
      <c r="P2336">
        <v>-3.4717169948751701E-2</v>
      </c>
      <c r="Q2336">
        <v>0.21940608710989701</v>
      </c>
      <c r="R2336">
        <v>0.98949387416130796</v>
      </c>
      <c r="S2336" t="s">
        <v>8953</v>
      </c>
      <c r="T2336" t="s">
        <v>13232</v>
      </c>
      <c r="U2336" t="s">
        <v>13232</v>
      </c>
      <c r="V2336" t="s">
        <v>13232</v>
      </c>
      <c r="W2336" t="s">
        <v>15517</v>
      </c>
      <c r="X2336">
        <v>17</v>
      </c>
      <c r="Y2336" t="s">
        <v>22004</v>
      </c>
      <c r="Z2336" t="s">
        <v>28467</v>
      </c>
      <c r="AA2336">
        <v>0.66393609472780002</v>
      </c>
      <c r="AB2336" t="str">
        <f>HYPERLINK("Melting_Curves/meltCurve_P42574_CASP3.pdf", "Melting_Curves/meltCurve_P42574_CASP3.pdf")</f>
        <v>Melting_Curves/meltCurve_P42574_CASP3.pdf</v>
      </c>
    </row>
    <row r="2337" spans="1:28" x14ac:dyDescent="0.25">
      <c r="A2337" t="s">
        <v>2341</v>
      </c>
      <c r="B2337">
        <v>0.99930955844802105</v>
      </c>
      <c r="C2337">
        <v>1.03931785008005</v>
      </c>
      <c r="D2337">
        <v>0.99858153096062097</v>
      </c>
      <c r="E2337">
        <v>0.84110215493108698</v>
      </c>
      <c r="F2337">
        <v>0.55180582961938596</v>
      </c>
      <c r="G2337">
        <v>0.31532831881525702</v>
      </c>
      <c r="H2337">
        <v>0.175312632962662</v>
      </c>
      <c r="I2337">
        <v>0.138492036852678</v>
      </c>
      <c r="J2337">
        <v>0.118492130078893</v>
      </c>
      <c r="K2337">
        <v>8.9595989747515203E-2</v>
      </c>
      <c r="L2337">
        <v>1124.08276639719</v>
      </c>
      <c r="M2337">
        <v>21.066933970405501</v>
      </c>
      <c r="N2337">
        <v>53.971000951350597</v>
      </c>
      <c r="O2337">
        <v>52.883883682776897</v>
      </c>
      <c r="P2337">
        <v>-8.8991402988658805E-2</v>
      </c>
      <c r="Q2337">
        <v>0.106450651784896</v>
      </c>
      <c r="R2337">
        <v>0.99638610077987699</v>
      </c>
      <c r="S2337" t="s">
        <v>8954</v>
      </c>
      <c r="T2337" t="s">
        <v>13232</v>
      </c>
      <c r="U2337" t="s">
        <v>13232</v>
      </c>
      <c r="V2337" t="s">
        <v>13232</v>
      </c>
      <c r="W2337" t="s">
        <v>15518</v>
      </c>
      <c r="X2337">
        <v>15</v>
      </c>
      <c r="Y2337" t="s">
        <v>22005</v>
      </c>
      <c r="Z2337" t="s">
        <v>28468</v>
      </c>
      <c r="AA2337">
        <v>0.51552117978695899</v>
      </c>
      <c r="AB2337" t="str">
        <f>HYPERLINK("Melting_Curves/meltCurve_P42575_CASP2.pdf", "Melting_Curves/meltCurve_P42575_CASP2.pdf")</f>
        <v>Melting_Curves/meltCurve_P42575_CASP2.pdf</v>
      </c>
    </row>
    <row r="2338" spans="1:28" x14ac:dyDescent="0.25">
      <c r="A2338" t="s">
        <v>2342</v>
      </c>
      <c r="B2338">
        <v>0.99930955844802105</v>
      </c>
      <c r="C2338">
        <v>0.70970960003779804</v>
      </c>
      <c r="D2338">
        <v>0.70028368803852004</v>
      </c>
      <c r="E2338">
        <v>0.69174303296922801</v>
      </c>
      <c r="F2338">
        <v>0.67490131524814501</v>
      </c>
      <c r="G2338">
        <v>0.43369467208923501</v>
      </c>
      <c r="H2338">
        <v>0.37294141484414101</v>
      </c>
      <c r="I2338">
        <v>0.35830088330401599</v>
      </c>
      <c r="J2338">
        <v>0.39359743943639203</v>
      </c>
      <c r="K2338">
        <v>0.29886741071705197</v>
      </c>
      <c r="L2338">
        <v>301.02756239499598</v>
      </c>
      <c r="M2338">
        <v>5.6209135961844003</v>
      </c>
      <c r="N2338">
        <v>56.4572229999646</v>
      </c>
      <c r="O2338">
        <v>47.928814578664898</v>
      </c>
      <c r="P2338">
        <v>-2.5744837377085401E-2</v>
      </c>
      <c r="Q2338">
        <v>0.125477139463819</v>
      </c>
      <c r="R2338">
        <v>0.89161876954039299</v>
      </c>
      <c r="S2338" t="s">
        <v>8955</v>
      </c>
      <c r="T2338" t="s">
        <v>13232</v>
      </c>
      <c r="U2338" t="s">
        <v>13232</v>
      </c>
      <c r="V2338" t="s">
        <v>13232</v>
      </c>
      <c r="W2338" t="s">
        <v>15519</v>
      </c>
      <c r="X2338">
        <v>4</v>
      </c>
      <c r="Y2338" t="s">
        <v>22006</v>
      </c>
      <c r="Z2338" t="s">
        <v>28469</v>
      </c>
      <c r="AA2338">
        <v>0.55785409157568777</v>
      </c>
      <c r="AB2338" t="str">
        <f>HYPERLINK("Melting_Curves/meltCurve_P42677_RPS27.pdf", "Melting_Curves/meltCurve_P42677_RPS27.pdf")</f>
        <v>Melting_Curves/meltCurve_P42677_RPS27.pdf</v>
      </c>
    </row>
    <row r="2339" spans="1:28" x14ac:dyDescent="0.25">
      <c r="A2339" t="s">
        <v>2343</v>
      </c>
      <c r="B2339">
        <v>0.99930955844802105</v>
      </c>
      <c r="C2339">
        <v>0.69065436287989801</v>
      </c>
      <c r="D2339">
        <v>0.53469138970337104</v>
      </c>
      <c r="E2339">
        <v>0.36762676101079</v>
      </c>
      <c r="F2339">
        <v>0.266756598284421</v>
      </c>
      <c r="G2339">
        <v>0.159263861403146</v>
      </c>
      <c r="H2339">
        <v>0.10271191925796801</v>
      </c>
      <c r="I2339">
        <v>0.100068714021182</v>
      </c>
      <c r="J2339">
        <v>9.5054723243661807E-2</v>
      </c>
      <c r="K2339">
        <v>6.9337088982119793E-2</v>
      </c>
      <c r="L2339">
        <v>576.50743851421805</v>
      </c>
      <c r="M2339">
        <v>12.406011212226399</v>
      </c>
      <c r="N2339">
        <v>47.049863462203803</v>
      </c>
      <c r="O2339">
        <v>45.312116912711403</v>
      </c>
      <c r="P2339">
        <v>-6.3608756452960297E-2</v>
      </c>
      <c r="Q2339">
        <v>7.0890142707037307E-2</v>
      </c>
      <c r="R2339">
        <v>0.97833808668025801</v>
      </c>
      <c r="S2339" t="s">
        <v>8956</v>
      </c>
      <c r="T2339" t="s">
        <v>13232</v>
      </c>
      <c r="U2339" t="s">
        <v>13232</v>
      </c>
      <c r="V2339" t="s">
        <v>13232</v>
      </c>
      <c r="W2339" t="s">
        <v>15520</v>
      </c>
      <c r="X2339">
        <v>4</v>
      </c>
      <c r="Y2339" t="s">
        <v>22007</v>
      </c>
      <c r="Z2339" t="s">
        <v>28470</v>
      </c>
      <c r="AA2339">
        <v>0.30946296132957712</v>
      </c>
      <c r="AB2339" t="str">
        <f>HYPERLINK("Melting_Curves/meltCurve_P42679_3_MATK.pdf", "Melting_Curves/meltCurve_P42679_3_MATK.pdf")</f>
        <v>Melting_Curves/meltCurve_P42679_3_MATK.pdf</v>
      </c>
    </row>
    <row r="2340" spans="1:28" x14ac:dyDescent="0.25">
      <c r="A2340" t="s">
        <v>2344</v>
      </c>
      <c r="B2340">
        <v>0.99930955844802105</v>
      </c>
      <c r="C2340">
        <v>0.67021763797197198</v>
      </c>
      <c r="D2340">
        <v>0.319632386268484</v>
      </c>
      <c r="E2340">
        <v>0.216549239022054</v>
      </c>
      <c r="F2340">
        <v>0.140319756125284</v>
      </c>
      <c r="G2340">
        <v>0.11020249394081399</v>
      </c>
      <c r="H2340">
        <v>7.1770281024357202E-2</v>
      </c>
      <c r="I2340">
        <v>6.7857043567857003E-2</v>
      </c>
      <c r="J2340">
        <v>5.5631434814478103E-2</v>
      </c>
      <c r="K2340">
        <v>4.6053440516126101E-2</v>
      </c>
      <c r="L2340">
        <v>1024.9577092275899</v>
      </c>
      <c r="M2340">
        <v>23.203558144082098</v>
      </c>
      <c r="N2340">
        <v>44.532374264207697</v>
      </c>
      <c r="O2340">
        <v>43.848274853570999</v>
      </c>
      <c r="P2340">
        <v>-0.120984557974708</v>
      </c>
      <c r="Q2340">
        <v>8.5507878079000302E-2</v>
      </c>
      <c r="R2340">
        <v>0.98155208480473499</v>
      </c>
      <c r="S2340" t="s">
        <v>8957</v>
      </c>
      <c r="T2340" t="s">
        <v>13232</v>
      </c>
      <c r="U2340" t="s">
        <v>13232</v>
      </c>
      <c r="V2340" t="s">
        <v>13232</v>
      </c>
      <c r="W2340" t="s">
        <v>15521</v>
      </c>
      <c r="X2340">
        <v>12</v>
      </c>
      <c r="Y2340" t="s">
        <v>22008</v>
      </c>
      <c r="Z2340" t="s">
        <v>28471</v>
      </c>
      <c r="AA2340">
        <v>0.22487875336709109</v>
      </c>
      <c r="AB2340" t="str">
        <f>HYPERLINK("Melting_Curves/meltCurve_P42680_TEC.pdf", "Melting_Curves/meltCurve_P42680_TEC.pdf")</f>
        <v>Melting_Curves/meltCurve_P42680_TEC.pdf</v>
      </c>
    </row>
    <row r="2341" spans="1:28" x14ac:dyDescent="0.25">
      <c r="A2341" t="s">
        <v>2345</v>
      </c>
      <c r="B2341">
        <v>0.99930955844802105</v>
      </c>
      <c r="C2341">
        <v>1.0440379075577699</v>
      </c>
      <c r="D2341">
        <v>0.85871772849876205</v>
      </c>
      <c r="E2341">
        <v>0.68650935689342696</v>
      </c>
      <c r="F2341">
        <v>0.61977957696568498</v>
      </c>
      <c r="G2341">
        <v>0.57207939043040401</v>
      </c>
      <c r="H2341">
        <v>0.56965883097838499</v>
      </c>
      <c r="I2341">
        <v>0.62187846110893896</v>
      </c>
      <c r="J2341">
        <v>0.60597996744109595</v>
      </c>
      <c r="K2341">
        <v>0.48555899419005599</v>
      </c>
      <c r="L2341">
        <v>1212.3059565674</v>
      </c>
      <c r="M2341">
        <v>25.332959064290201</v>
      </c>
      <c r="O2341">
        <v>47.559679168650902</v>
      </c>
      <c r="P2341">
        <v>-5.7019035202884497E-2</v>
      </c>
      <c r="Q2341">
        <v>0.57181909145935295</v>
      </c>
      <c r="R2341">
        <v>0.95061619818396703</v>
      </c>
      <c r="S2341" t="s">
        <v>8958</v>
      </c>
      <c r="T2341" t="s">
        <v>13232</v>
      </c>
      <c r="U2341" t="s">
        <v>13232</v>
      </c>
      <c r="V2341" t="s">
        <v>13232</v>
      </c>
      <c r="W2341" t="s">
        <v>15522</v>
      </c>
      <c r="X2341">
        <v>14</v>
      </c>
      <c r="Y2341" t="s">
        <v>22009</v>
      </c>
      <c r="Z2341" t="s">
        <v>28472</v>
      </c>
      <c r="AA2341">
        <v>0.68761048152106308</v>
      </c>
      <c r="AB2341" t="str">
        <f>HYPERLINK("Melting_Curves/meltCurve_P42684_6_ABL2.pdf", "Melting_Curves/meltCurve_P42684_6_ABL2.pdf")</f>
        <v>Melting_Curves/meltCurve_P42684_6_ABL2.pdf</v>
      </c>
    </row>
    <row r="2342" spans="1:28" x14ac:dyDescent="0.25">
      <c r="A2342" t="s">
        <v>2346</v>
      </c>
      <c r="B2342">
        <v>0.99930955844802105</v>
      </c>
      <c r="C2342">
        <v>0.98399859806024503</v>
      </c>
      <c r="D2342">
        <v>0.93763188088598104</v>
      </c>
      <c r="E2342">
        <v>0.85791740229927305</v>
      </c>
      <c r="F2342">
        <v>0.66681623669284096</v>
      </c>
      <c r="G2342">
        <v>0.34116382705116399</v>
      </c>
      <c r="H2342">
        <v>0.28656324000614303</v>
      </c>
      <c r="I2342">
        <v>0.28657278623622601</v>
      </c>
      <c r="J2342">
        <v>0.29963767763705301</v>
      </c>
      <c r="K2342">
        <v>0.231405776069878</v>
      </c>
      <c r="L2342">
        <v>1317.8067020261501</v>
      </c>
      <c r="M2342">
        <v>24.813721114694602</v>
      </c>
      <c r="N2342">
        <v>54.727172799820799</v>
      </c>
      <c r="O2342">
        <v>52.766660209647199</v>
      </c>
      <c r="P2342">
        <v>-8.6992982076382799E-2</v>
      </c>
      <c r="Q2342">
        <v>0.26004398740197998</v>
      </c>
      <c r="R2342">
        <v>0.99302460830322503</v>
      </c>
      <c r="S2342" t="s">
        <v>8959</v>
      </c>
      <c r="T2342" t="s">
        <v>13232</v>
      </c>
      <c r="U2342" t="s">
        <v>13232</v>
      </c>
      <c r="V2342" t="s">
        <v>13232</v>
      </c>
      <c r="W2342" t="s">
        <v>15523</v>
      </c>
      <c r="X2342">
        <v>34</v>
      </c>
      <c r="Y2342" t="s">
        <v>22010</v>
      </c>
      <c r="Z2342" t="s">
        <v>28473</v>
      </c>
      <c r="AA2342">
        <v>0.59026900941944216</v>
      </c>
      <c r="AB2342" t="str">
        <f>HYPERLINK("Melting_Curves/meltCurve_P42694_HELZ.pdf", "Melting_Curves/meltCurve_P42694_HELZ.pdf")</f>
        <v>Melting_Curves/meltCurve_P42694_HELZ.pdf</v>
      </c>
    </row>
    <row r="2343" spans="1:28" x14ac:dyDescent="0.25">
      <c r="A2343" t="s">
        <v>2347</v>
      </c>
      <c r="B2343">
        <v>0.99930955844802105</v>
      </c>
      <c r="C2343">
        <v>0.72431436974998498</v>
      </c>
      <c r="D2343">
        <v>0.59310894706184003</v>
      </c>
      <c r="E2343">
        <v>0.42972581281938399</v>
      </c>
      <c r="F2343">
        <v>0.307283435677629</v>
      </c>
      <c r="G2343">
        <v>0.19717269862762099</v>
      </c>
      <c r="H2343">
        <v>0.13869811220707601</v>
      </c>
      <c r="I2343">
        <v>0.15142598102930999</v>
      </c>
      <c r="J2343">
        <v>0.144216756425048</v>
      </c>
      <c r="K2343">
        <v>0.103994042972443</v>
      </c>
      <c r="L2343">
        <v>562.30383617813698</v>
      </c>
      <c r="M2343">
        <v>11.9421868407036</v>
      </c>
      <c r="N2343">
        <v>48.023704465106498</v>
      </c>
      <c r="O2343">
        <v>45.823480765613802</v>
      </c>
      <c r="P2343">
        <v>-5.8388738983636099E-2</v>
      </c>
      <c r="Q2343">
        <v>0.104044397977722</v>
      </c>
      <c r="R2343">
        <v>0.98109590994627405</v>
      </c>
      <c r="S2343" t="s">
        <v>8960</v>
      </c>
      <c r="T2343" t="s">
        <v>13232</v>
      </c>
      <c r="U2343" t="s">
        <v>13232</v>
      </c>
      <c r="V2343" t="s">
        <v>13232</v>
      </c>
      <c r="W2343" t="s">
        <v>15524</v>
      </c>
      <c r="X2343">
        <v>11</v>
      </c>
      <c r="Y2343" t="s">
        <v>22011</v>
      </c>
      <c r="Z2343" t="s">
        <v>28474</v>
      </c>
      <c r="AA2343">
        <v>0.35335984251157349</v>
      </c>
      <c r="AB2343" t="str">
        <f>HYPERLINK("Melting_Curves/meltCurve_P42695_NCAPD3.pdf", "Melting_Curves/meltCurve_P42695_NCAPD3.pdf")</f>
        <v>Melting_Curves/meltCurve_P42695_NCAPD3.pdf</v>
      </c>
    </row>
    <row r="2344" spans="1:28" x14ac:dyDescent="0.25">
      <c r="A2344" t="s">
        <v>2348</v>
      </c>
      <c r="B2344">
        <v>0.99930955844802105</v>
      </c>
      <c r="C2344">
        <v>1.07954309983001</v>
      </c>
      <c r="D2344">
        <v>1.09201809537391</v>
      </c>
      <c r="E2344">
        <v>1.11334742011272</v>
      </c>
      <c r="F2344">
        <v>1.01263852579935</v>
      </c>
      <c r="G2344">
        <v>1.06645605402955</v>
      </c>
      <c r="H2344">
        <v>1.06871979853898</v>
      </c>
      <c r="I2344">
        <v>1.2116853521873301</v>
      </c>
      <c r="J2344">
        <v>1.23706272426481</v>
      </c>
      <c r="K2344">
        <v>0.98058587894924099</v>
      </c>
      <c r="L2344">
        <v>299.44366056772401</v>
      </c>
      <c r="M2344">
        <v>6.5499692900802602</v>
      </c>
      <c r="O2344">
        <v>42.017094014228498</v>
      </c>
      <c r="P2344">
        <v>4.9574302335518398E-3</v>
      </c>
      <c r="Q2344">
        <v>1.1269049811890901</v>
      </c>
      <c r="R2344">
        <v>0.120588010044946</v>
      </c>
      <c r="S2344" t="s">
        <v>8961</v>
      </c>
      <c r="T2344" t="s">
        <v>13232</v>
      </c>
      <c r="U2344" t="s">
        <v>13232</v>
      </c>
      <c r="V2344" t="s">
        <v>13232</v>
      </c>
      <c r="W2344" t="s">
        <v>15525</v>
      </c>
      <c r="X2344">
        <v>14</v>
      </c>
      <c r="Y2344" t="s">
        <v>22012</v>
      </c>
      <c r="Z2344" t="s">
        <v>28475</v>
      </c>
      <c r="AA2344">
        <v>1.088214572709546</v>
      </c>
      <c r="AB2344" t="str">
        <f>HYPERLINK("Melting_Curves/meltCurve_P42696_2_RBM34.pdf", "Melting_Curves/meltCurve_P42696_2_RBM34.pdf")</f>
        <v>Melting_Curves/meltCurve_P42696_2_RBM34.pdf</v>
      </c>
    </row>
    <row r="2345" spans="1:28" x14ac:dyDescent="0.25">
      <c r="A2345" t="s">
        <v>2349</v>
      </c>
      <c r="B2345">
        <v>0.99930955844802105</v>
      </c>
      <c r="C2345">
        <v>0.72096102382027705</v>
      </c>
      <c r="D2345">
        <v>0.36509295715877399</v>
      </c>
      <c r="E2345">
        <v>0.23092012984166899</v>
      </c>
      <c r="F2345">
        <v>0.12720289749976099</v>
      </c>
      <c r="G2345">
        <v>8.7386666676607799E-2</v>
      </c>
      <c r="H2345">
        <v>5.2067492015599903E-2</v>
      </c>
      <c r="I2345">
        <v>4.4626563618207001E-2</v>
      </c>
      <c r="J2345">
        <v>3.6616821614439098E-2</v>
      </c>
      <c r="K2345">
        <v>2.9014943968975901E-2</v>
      </c>
      <c r="L2345">
        <v>896.94238039458401</v>
      </c>
      <c r="M2345">
        <v>19.992033540496401</v>
      </c>
      <c r="N2345">
        <v>45.139094877422799</v>
      </c>
      <c r="O2345">
        <v>44.423330848564397</v>
      </c>
      <c r="P2345">
        <v>-0.106080818444378</v>
      </c>
      <c r="Q2345">
        <v>5.7162517817362798E-2</v>
      </c>
      <c r="R2345">
        <v>0.98477806577353399</v>
      </c>
      <c r="S2345" t="s">
        <v>8962</v>
      </c>
      <c r="T2345" t="s">
        <v>13232</v>
      </c>
      <c r="U2345" t="s">
        <v>13232</v>
      </c>
      <c r="V2345" t="s">
        <v>13232</v>
      </c>
      <c r="W2345" t="s">
        <v>15526</v>
      </c>
      <c r="X2345">
        <v>63</v>
      </c>
      <c r="Y2345" t="s">
        <v>22013</v>
      </c>
      <c r="Z2345" t="s">
        <v>28476</v>
      </c>
      <c r="AA2345">
        <v>0.22628760559667041</v>
      </c>
      <c r="AB2345" t="str">
        <f>HYPERLINK("Melting_Curves/meltCurve_P42704_LRPPRC.pdf", "Melting_Curves/meltCurve_P42704_LRPPRC.pdf")</f>
        <v>Melting_Curves/meltCurve_P42704_LRPPRC.pdf</v>
      </c>
    </row>
    <row r="2346" spans="1:28" x14ac:dyDescent="0.25">
      <c r="A2346" t="s">
        <v>2350</v>
      </c>
      <c r="B2346">
        <v>0.99930955844802105</v>
      </c>
      <c r="C2346">
        <v>0.93478428518450696</v>
      </c>
      <c r="D2346">
        <v>0.91488900944901896</v>
      </c>
      <c r="E2346">
        <v>0.920237550263029</v>
      </c>
      <c r="F2346">
        <v>0.97811730341580805</v>
      </c>
      <c r="G2346">
        <v>0.77490026679450497</v>
      </c>
      <c r="H2346">
        <v>0.46300446005352403</v>
      </c>
      <c r="I2346">
        <v>0.39494408809289799</v>
      </c>
      <c r="J2346">
        <v>8.9264592629001396E-2</v>
      </c>
      <c r="K2346">
        <v>5.8605347125862399E-2</v>
      </c>
      <c r="L2346">
        <v>1127.80516151338</v>
      </c>
      <c r="M2346">
        <v>18.496793795976199</v>
      </c>
      <c r="N2346">
        <v>60.973010081936799</v>
      </c>
      <c r="O2346">
        <v>60.273732699899703</v>
      </c>
      <c r="P2346">
        <v>-7.6723360317553793E-2</v>
      </c>
      <c r="Q2346">
        <v>0</v>
      </c>
      <c r="R2346">
        <v>0.97300282245284098</v>
      </c>
      <c r="S2346" t="s">
        <v>8963</v>
      </c>
      <c r="T2346" t="s">
        <v>13232</v>
      </c>
      <c r="U2346" t="s">
        <v>13232</v>
      </c>
      <c r="V2346" t="s">
        <v>13232</v>
      </c>
      <c r="W2346" t="s">
        <v>15527</v>
      </c>
      <c r="X2346">
        <v>19</v>
      </c>
      <c r="Y2346" t="s">
        <v>22014</v>
      </c>
      <c r="Z2346" t="s">
        <v>28477</v>
      </c>
      <c r="AA2346">
        <v>0.70473025574668458</v>
      </c>
      <c r="AB2346" t="str">
        <f>HYPERLINK("Melting_Curves/meltCurve_P42765_ACAA2.pdf", "Melting_Curves/meltCurve_P42765_ACAA2.pdf")</f>
        <v>Melting_Curves/meltCurve_P42765_ACAA2.pdf</v>
      </c>
    </row>
    <row r="2347" spans="1:28" x14ac:dyDescent="0.25">
      <c r="A2347" t="s">
        <v>2351</v>
      </c>
      <c r="B2347">
        <v>0.99930955844802105</v>
      </c>
      <c r="C2347">
        <v>1.0994877133426499</v>
      </c>
      <c r="D2347">
        <v>1.03089610312853</v>
      </c>
      <c r="E2347">
        <v>0.91545289834918098</v>
      </c>
      <c r="F2347">
        <v>0.79061759767627204</v>
      </c>
      <c r="G2347">
        <v>0.696165886073152</v>
      </c>
      <c r="H2347">
        <v>0.66504946552408095</v>
      </c>
      <c r="I2347">
        <v>0.70455713899456296</v>
      </c>
      <c r="J2347">
        <v>0.69462751102306997</v>
      </c>
      <c r="K2347">
        <v>0.56796945491985795</v>
      </c>
      <c r="L2347">
        <v>1465.0117992560999</v>
      </c>
      <c r="M2347">
        <v>28.0564602664302</v>
      </c>
      <c r="O2347">
        <v>51.953449957526601</v>
      </c>
      <c r="P2347">
        <v>-4.62745615996632E-2</v>
      </c>
      <c r="Q2347">
        <v>0.65724793689587802</v>
      </c>
      <c r="R2347">
        <v>0.92204675783773904</v>
      </c>
      <c r="S2347" t="s">
        <v>8964</v>
      </c>
      <c r="T2347" t="s">
        <v>13232</v>
      </c>
      <c r="U2347" t="s">
        <v>13232</v>
      </c>
      <c r="V2347" t="s">
        <v>13232</v>
      </c>
      <c r="W2347" t="s">
        <v>15528</v>
      </c>
      <c r="X2347">
        <v>13</v>
      </c>
      <c r="Y2347" t="s">
        <v>22015</v>
      </c>
      <c r="Z2347" t="s">
        <v>28478</v>
      </c>
      <c r="AA2347">
        <v>0.79933006902177206</v>
      </c>
      <c r="AB2347" t="str">
        <f>HYPERLINK("Melting_Curves/meltCurve_P42768_WAS.pdf", "Melting_Curves/meltCurve_P42768_WAS.pdf")</f>
        <v>Melting_Curves/meltCurve_P42768_WAS.pdf</v>
      </c>
    </row>
    <row r="2348" spans="1:28" x14ac:dyDescent="0.25">
      <c r="A2348" t="s">
        <v>2352</v>
      </c>
      <c r="B2348">
        <v>0.99930955844802105</v>
      </c>
      <c r="C2348">
        <v>1.0547869882966701</v>
      </c>
      <c r="D2348">
        <v>1.0434037779222101</v>
      </c>
      <c r="E2348">
        <v>0.95624586616717999</v>
      </c>
      <c r="F2348">
        <v>0.93107582706423597</v>
      </c>
      <c r="G2348">
        <v>0.74938742730251795</v>
      </c>
      <c r="H2348">
        <v>0.458563014973699</v>
      </c>
      <c r="I2348">
        <v>0.36741491908405099</v>
      </c>
      <c r="J2348">
        <v>0.32476700961314198</v>
      </c>
      <c r="K2348">
        <v>0.27273246555463698</v>
      </c>
      <c r="L2348">
        <v>1311.91780521998</v>
      </c>
      <c r="M2348">
        <v>22.438665023371801</v>
      </c>
      <c r="N2348">
        <v>60.5459915045559</v>
      </c>
      <c r="O2348">
        <v>58.008399671019902</v>
      </c>
      <c r="P2348">
        <v>-7.07291382278636E-2</v>
      </c>
      <c r="Q2348">
        <v>0.26861959826487403</v>
      </c>
      <c r="R2348">
        <v>0.99283261406291501</v>
      </c>
      <c r="S2348" t="s">
        <v>8965</v>
      </c>
      <c r="T2348" t="s">
        <v>13232</v>
      </c>
      <c r="U2348" t="s">
        <v>13232</v>
      </c>
      <c r="V2348" t="s">
        <v>13232</v>
      </c>
      <c r="W2348" t="s">
        <v>15529</v>
      </c>
      <c r="X2348">
        <v>7</v>
      </c>
      <c r="Y2348" t="s">
        <v>22016</v>
      </c>
      <c r="Z2348" t="s">
        <v>28479</v>
      </c>
      <c r="AA2348">
        <v>0.72589713617808604</v>
      </c>
      <c r="AB2348" t="str">
        <f>HYPERLINK("Melting_Curves/meltCurve_P42773_CDKN2C.pdf", "Melting_Curves/meltCurve_P42773_CDKN2C.pdf")</f>
        <v>Melting_Curves/meltCurve_P42773_CDKN2C.pdf</v>
      </c>
    </row>
    <row r="2349" spans="1:28" x14ac:dyDescent="0.25">
      <c r="A2349" t="s">
        <v>2353</v>
      </c>
      <c r="B2349">
        <v>0.99930955844802105</v>
      </c>
      <c r="C2349">
        <v>0.99982266857374902</v>
      </c>
      <c r="D2349">
        <v>0.97440416868486901</v>
      </c>
      <c r="E2349">
        <v>0.93986630789673498</v>
      </c>
      <c r="F2349">
        <v>0.85670705093005695</v>
      </c>
      <c r="G2349">
        <v>0.57694722550598698</v>
      </c>
      <c r="H2349">
        <v>0.25792665155609701</v>
      </c>
      <c r="I2349">
        <v>0.13497934494480299</v>
      </c>
      <c r="J2349">
        <v>0.104362480836382</v>
      </c>
      <c r="K2349">
        <v>8.3932757356840804E-2</v>
      </c>
      <c r="L2349">
        <v>1209.31700495632</v>
      </c>
      <c r="M2349">
        <v>21.067243916093499</v>
      </c>
      <c r="N2349">
        <v>57.715505362422498</v>
      </c>
      <c r="O2349">
        <v>56.893022966720899</v>
      </c>
      <c r="P2349">
        <v>-8.7581996830172204E-2</v>
      </c>
      <c r="Q2349">
        <v>5.39490283003798E-2</v>
      </c>
      <c r="R2349">
        <v>0.99899697523333097</v>
      </c>
      <c r="S2349" t="s">
        <v>8966</v>
      </c>
      <c r="T2349" t="s">
        <v>13232</v>
      </c>
      <c r="U2349" t="s">
        <v>13232</v>
      </c>
      <c r="V2349" t="s">
        <v>13232</v>
      </c>
      <c r="W2349" t="s">
        <v>15530</v>
      </c>
      <c r="X2349">
        <v>12</v>
      </c>
      <c r="Y2349" t="s">
        <v>22017</v>
      </c>
      <c r="Z2349" t="s">
        <v>28480</v>
      </c>
      <c r="AA2349">
        <v>0.61335743825083056</v>
      </c>
      <c r="AB2349" t="str">
        <f>HYPERLINK("Melting_Curves/meltCurve_P42785_PRCP.pdf", "Melting_Curves/meltCurve_P42785_PRCP.pdf")</f>
        <v>Melting_Curves/meltCurve_P42785_PRCP.pdf</v>
      </c>
    </row>
    <row r="2350" spans="1:28" x14ac:dyDescent="0.25">
      <c r="A2350" t="s">
        <v>2354</v>
      </c>
      <c r="B2350">
        <v>0.99930955844802105</v>
      </c>
      <c r="C2350">
        <v>0.70571653404691903</v>
      </c>
      <c r="D2350">
        <v>0.66543192863378697</v>
      </c>
      <c r="E2350">
        <v>0.44458938063245401</v>
      </c>
      <c r="F2350">
        <v>0.19402391780480999</v>
      </c>
      <c r="G2350">
        <v>0.129645658578523</v>
      </c>
      <c r="H2350">
        <v>8.1819271788227593E-2</v>
      </c>
      <c r="I2350">
        <v>6.0155816569712701E-2</v>
      </c>
      <c r="J2350">
        <v>5.1263882468174801E-2</v>
      </c>
      <c r="K2350">
        <v>3.8364697770592197E-2</v>
      </c>
      <c r="L2350">
        <v>583.99224266737895</v>
      </c>
      <c r="M2350">
        <v>12.170572234092999</v>
      </c>
      <c r="N2350">
        <v>48.0846854077001</v>
      </c>
      <c r="O2350">
        <v>46.7436260594285</v>
      </c>
      <c r="P2350">
        <v>-6.4287568282126395E-2</v>
      </c>
      <c r="Q2350">
        <v>1.25860009422568E-2</v>
      </c>
      <c r="R2350">
        <v>0.97663748639889303</v>
      </c>
      <c r="S2350" t="s">
        <v>8967</v>
      </c>
      <c r="T2350" t="s">
        <v>13232</v>
      </c>
      <c r="U2350" t="s">
        <v>13232</v>
      </c>
      <c r="V2350" t="s">
        <v>13232</v>
      </c>
      <c r="W2350" t="s">
        <v>15531</v>
      </c>
      <c r="X2350">
        <v>31</v>
      </c>
      <c r="Y2350" t="s">
        <v>22018</v>
      </c>
      <c r="Z2350" t="s">
        <v>28481</v>
      </c>
      <c r="AA2350">
        <v>0.31309255544218939</v>
      </c>
      <c r="AB2350" t="str">
        <f>HYPERLINK("Melting_Curves/meltCurve_P42858_HTT.pdf", "Melting_Curves/meltCurve_P42858_HTT.pdf")</f>
        <v>Melting_Curves/meltCurve_P42858_HTT.pdf</v>
      </c>
    </row>
    <row r="2351" spans="1:28" x14ac:dyDescent="0.25">
      <c r="A2351" t="s">
        <v>2355</v>
      </c>
      <c r="B2351">
        <v>0.99930955844802105</v>
      </c>
      <c r="C2351">
        <v>1.01477318911896</v>
      </c>
      <c r="D2351">
        <v>1.0105917811056699</v>
      </c>
      <c r="E2351">
        <v>0.93429835536432104</v>
      </c>
      <c r="F2351">
        <v>0.89196172685250597</v>
      </c>
      <c r="G2351">
        <v>0.702785695200142</v>
      </c>
      <c r="H2351">
        <v>0.41021621823899501</v>
      </c>
      <c r="I2351">
        <v>0.23684053041348499</v>
      </c>
      <c r="J2351">
        <v>0.112749767749717</v>
      </c>
      <c r="K2351">
        <v>7.7003476670232607E-2</v>
      </c>
      <c r="L2351">
        <v>1034.7158593008801</v>
      </c>
      <c r="M2351">
        <v>17.340965477207401</v>
      </c>
      <c r="N2351">
        <v>59.668872656880602</v>
      </c>
      <c r="O2351">
        <v>58.892319701859599</v>
      </c>
      <c r="P2351">
        <v>-7.3617221248873793E-2</v>
      </c>
      <c r="Q2351">
        <v>0</v>
      </c>
      <c r="R2351">
        <v>0.99851132828575895</v>
      </c>
      <c r="S2351" t="s">
        <v>8968</v>
      </c>
      <c r="T2351" t="s">
        <v>13232</v>
      </c>
      <c r="U2351" t="s">
        <v>13232</v>
      </c>
      <c r="V2351" t="s">
        <v>13232</v>
      </c>
      <c r="W2351" t="s">
        <v>15532</v>
      </c>
      <c r="X2351">
        <v>28</v>
      </c>
      <c r="Y2351" t="s">
        <v>22019</v>
      </c>
      <c r="Z2351" t="s">
        <v>28482</v>
      </c>
      <c r="AA2351">
        <v>0.66466882700550367</v>
      </c>
      <c r="AB2351" t="str">
        <f>HYPERLINK("Melting_Curves/meltCurve_P43034_PAFAH1B1.pdf", "Melting_Curves/meltCurve_P43034_PAFAH1B1.pdf")</f>
        <v>Melting_Curves/meltCurve_P43034_PAFAH1B1.pdf</v>
      </c>
    </row>
    <row r="2352" spans="1:28" x14ac:dyDescent="0.25">
      <c r="A2352" t="s">
        <v>2356</v>
      </c>
      <c r="B2352">
        <v>0.99930955844802105</v>
      </c>
      <c r="C2352">
        <v>0.90097660641845301</v>
      </c>
      <c r="D2352">
        <v>0.54421598002748295</v>
      </c>
      <c r="E2352">
        <v>0.28867970289919598</v>
      </c>
      <c r="F2352">
        <v>0.204375588879396</v>
      </c>
      <c r="G2352">
        <v>0.12645017837424</v>
      </c>
      <c r="H2352">
        <v>6.22452291705759E-2</v>
      </c>
      <c r="I2352">
        <v>6.8115377010703901E-2</v>
      </c>
      <c r="J2352">
        <v>3.9170493074193999E-2</v>
      </c>
      <c r="K2352">
        <v>3.0943559174085599E-2</v>
      </c>
      <c r="L2352">
        <v>845.86308975582097</v>
      </c>
      <c r="M2352">
        <v>18.0649640256573</v>
      </c>
      <c r="N2352">
        <v>47.144549212900699</v>
      </c>
      <c r="O2352">
        <v>46.260930940335598</v>
      </c>
      <c r="P2352">
        <v>-9.1977945323858001E-2</v>
      </c>
      <c r="Q2352">
        <v>5.7893641647891902E-2</v>
      </c>
      <c r="R2352">
        <v>0.98948784831870895</v>
      </c>
      <c r="S2352" t="s">
        <v>8969</v>
      </c>
      <c r="T2352" t="s">
        <v>13232</v>
      </c>
      <c r="U2352" t="s">
        <v>13232</v>
      </c>
      <c r="V2352" t="s">
        <v>13232</v>
      </c>
      <c r="W2352" t="s">
        <v>15533</v>
      </c>
      <c r="X2352">
        <v>3</v>
      </c>
      <c r="Y2352" t="s">
        <v>22020</v>
      </c>
      <c r="Z2352" t="s">
        <v>28483</v>
      </c>
      <c r="AA2352">
        <v>0.28957414470794601</v>
      </c>
      <c r="AB2352" t="str">
        <f>HYPERLINK("Melting_Curves/meltCurve_P43155_3_CRAT.pdf", "Melting_Curves/meltCurve_P43155_3_CRAT.pdf")</f>
        <v>Melting_Curves/meltCurve_P43155_3_CRAT.pdf</v>
      </c>
    </row>
    <row r="2353" spans="1:28" x14ac:dyDescent="0.25">
      <c r="A2353" t="s">
        <v>2357</v>
      </c>
      <c r="B2353">
        <v>0.99930955844802105</v>
      </c>
      <c r="C2353">
        <v>0.79243807485844797</v>
      </c>
      <c r="D2353">
        <v>0.49505648166424798</v>
      </c>
      <c r="E2353">
        <v>0.34444417832513502</v>
      </c>
      <c r="F2353">
        <v>0.17177958598110399</v>
      </c>
      <c r="G2353">
        <v>0.12078755358953901</v>
      </c>
      <c r="H2353">
        <v>7.6597651485341603E-2</v>
      </c>
      <c r="I2353">
        <v>7.0435795832701806E-2</v>
      </c>
      <c r="J2353">
        <v>6.1601104398151099E-2</v>
      </c>
      <c r="K2353">
        <v>4.81286516820668E-2</v>
      </c>
      <c r="L2353">
        <v>720.11902205415004</v>
      </c>
      <c r="M2353">
        <v>15.533496806809399</v>
      </c>
      <c r="N2353">
        <v>46.736825427313399</v>
      </c>
      <c r="O2353">
        <v>45.611163535828098</v>
      </c>
      <c r="P2353">
        <v>-8.0125516208344197E-2</v>
      </c>
      <c r="Q2353">
        <v>5.8989448434033802E-2</v>
      </c>
      <c r="R2353">
        <v>0.98763196817038801</v>
      </c>
      <c r="S2353" t="s">
        <v>8970</v>
      </c>
      <c r="T2353" t="s">
        <v>13232</v>
      </c>
      <c r="U2353" t="s">
        <v>13232</v>
      </c>
      <c r="V2353" t="s">
        <v>13232</v>
      </c>
      <c r="W2353" t="s">
        <v>15534</v>
      </c>
      <c r="X2353">
        <v>42</v>
      </c>
      <c r="Y2353" t="s">
        <v>22021</v>
      </c>
      <c r="Z2353" t="s">
        <v>28484</v>
      </c>
      <c r="AA2353">
        <v>0.28327343086097923</v>
      </c>
      <c r="AB2353" t="str">
        <f>HYPERLINK("Melting_Curves/meltCurve_P43246_MSH2.pdf", "Melting_Curves/meltCurve_P43246_MSH2.pdf")</f>
        <v>Melting_Curves/meltCurve_P43246_MSH2.pdf</v>
      </c>
    </row>
    <row r="2354" spans="1:28" x14ac:dyDescent="0.25">
      <c r="A2354" t="s">
        <v>2358</v>
      </c>
      <c r="B2354">
        <v>0.99930955844802105</v>
      </c>
      <c r="C2354">
        <v>0.95534227455057796</v>
      </c>
      <c r="D2354">
        <v>0.77707085653950303</v>
      </c>
      <c r="E2354">
        <v>0.51661024447113402</v>
      </c>
      <c r="F2354">
        <v>0.30246338879995699</v>
      </c>
      <c r="G2354">
        <v>0.206010739167168</v>
      </c>
      <c r="H2354">
        <v>0.118258485247853</v>
      </c>
      <c r="I2354">
        <v>9.47815731960861E-2</v>
      </c>
      <c r="J2354">
        <v>7.2386262717522895E-2</v>
      </c>
      <c r="K2354">
        <v>5.4935735911705502E-2</v>
      </c>
      <c r="L2354">
        <v>775.50247518343099</v>
      </c>
      <c r="M2354">
        <v>15.5909208203239</v>
      </c>
      <c r="N2354">
        <v>50.168579180597703</v>
      </c>
      <c r="O2354">
        <v>48.943891471874799</v>
      </c>
      <c r="P2354">
        <v>-7.4684797952964496E-2</v>
      </c>
      <c r="Q2354">
        <v>6.22626253618941E-2</v>
      </c>
      <c r="R2354">
        <v>0.99749509422633398</v>
      </c>
      <c r="S2354" t="s">
        <v>8971</v>
      </c>
      <c r="T2354" t="s">
        <v>13232</v>
      </c>
      <c r="U2354" t="s">
        <v>13232</v>
      </c>
      <c r="V2354" t="s">
        <v>13232</v>
      </c>
      <c r="W2354" t="s">
        <v>15535</v>
      </c>
      <c r="X2354">
        <v>11</v>
      </c>
      <c r="Y2354" t="s">
        <v>22022</v>
      </c>
      <c r="Z2354" t="s">
        <v>28485</v>
      </c>
      <c r="AA2354">
        <v>0.38775877272770098</v>
      </c>
      <c r="AB2354" t="str">
        <f>HYPERLINK("Melting_Curves/meltCurve_P43355_MAGEA1.pdf", "Melting_Curves/meltCurve_P43355_MAGEA1.pdf")</f>
        <v>Melting_Curves/meltCurve_P43355_MAGEA1.pdf</v>
      </c>
    </row>
    <row r="2355" spans="1:28" x14ac:dyDescent="0.25">
      <c r="A2355" t="s">
        <v>2359</v>
      </c>
      <c r="B2355">
        <v>0.99930955844802105</v>
      </c>
      <c r="C2355">
        <v>0.81644779278537205</v>
      </c>
      <c r="D2355">
        <v>0.696758653289693</v>
      </c>
      <c r="E2355">
        <v>0.57946871866329197</v>
      </c>
      <c r="F2355">
        <v>0.42351813712806002</v>
      </c>
      <c r="G2355">
        <v>0.40699475106965399</v>
      </c>
      <c r="H2355">
        <v>0.43431319418869102</v>
      </c>
      <c r="I2355">
        <v>0.51966525030512201</v>
      </c>
      <c r="J2355">
        <v>0.53735114084986202</v>
      </c>
      <c r="K2355">
        <v>0.36889638881641101</v>
      </c>
      <c r="L2355">
        <v>838.54711362621697</v>
      </c>
      <c r="M2355">
        <v>18.4989840990715</v>
      </c>
      <c r="N2355">
        <v>51.5591876392687</v>
      </c>
      <c r="O2355">
        <v>44.809618220219697</v>
      </c>
      <c r="P2355">
        <v>-5.71270426407526E-2</v>
      </c>
      <c r="Q2355">
        <v>0.44651500950032402</v>
      </c>
      <c r="R2355">
        <v>0.91505983087999598</v>
      </c>
      <c r="S2355" t="s">
        <v>8972</v>
      </c>
      <c r="T2355" t="s">
        <v>13232</v>
      </c>
      <c r="U2355" t="s">
        <v>13232</v>
      </c>
      <c r="V2355" t="s">
        <v>13232</v>
      </c>
      <c r="W2355" t="s">
        <v>15536</v>
      </c>
      <c r="X2355">
        <v>4</v>
      </c>
      <c r="Y2355" t="s">
        <v>22023</v>
      </c>
      <c r="Z2355" t="s">
        <v>28486</v>
      </c>
      <c r="AA2355">
        <v>0.55567134504452842</v>
      </c>
      <c r="AB2355" t="str">
        <f>HYPERLINK("Melting_Curves/meltCurve_P43356_MAGEA2.pdf", "Melting_Curves/meltCurve_P43356_MAGEA2.pdf")</f>
        <v>Melting_Curves/meltCurve_P43356_MAGEA2.pdf</v>
      </c>
    </row>
    <row r="2356" spans="1:28" x14ac:dyDescent="0.25">
      <c r="A2356" t="s">
        <v>2360</v>
      </c>
      <c r="B2356">
        <v>0.99930955844802105</v>
      </c>
      <c r="C2356">
        <v>1.33626386517063</v>
      </c>
      <c r="D2356">
        <v>0.84375157030430203</v>
      </c>
      <c r="E2356">
        <v>0.74668240468120395</v>
      </c>
      <c r="F2356">
        <v>0.34726356465074198</v>
      </c>
      <c r="G2356">
        <v>0.25331776558327401</v>
      </c>
      <c r="H2356">
        <v>0.165575940404212</v>
      </c>
      <c r="I2356">
        <v>0.11003653111699099</v>
      </c>
      <c r="J2356">
        <v>5.8303899384809003E-2</v>
      </c>
      <c r="K2356">
        <v>4.2692871631392702E-2</v>
      </c>
      <c r="L2356">
        <v>1150.69104964393</v>
      </c>
      <c r="M2356">
        <v>22.296126951885501</v>
      </c>
      <c r="N2356">
        <v>52.065367281403397</v>
      </c>
      <c r="O2356">
        <v>51.199675698580201</v>
      </c>
      <c r="P2356">
        <v>-9.9215793242188294E-2</v>
      </c>
      <c r="Q2356">
        <v>8.8683216910597495E-2</v>
      </c>
      <c r="R2356">
        <v>0.92190387154865705</v>
      </c>
      <c r="S2356" t="s">
        <v>8973</v>
      </c>
      <c r="T2356" t="s">
        <v>13232</v>
      </c>
      <c r="U2356" t="s">
        <v>13232</v>
      </c>
      <c r="V2356" t="s">
        <v>13232</v>
      </c>
      <c r="W2356" t="s">
        <v>15537</v>
      </c>
      <c r="X2356">
        <v>12</v>
      </c>
      <c r="Y2356" t="s">
        <v>22024</v>
      </c>
      <c r="Z2356" t="s">
        <v>28487</v>
      </c>
      <c r="AA2356">
        <v>0.45166653628371473</v>
      </c>
      <c r="AB2356" t="str">
        <f>HYPERLINK("Melting_Curves/meltCurve_P43358_MAGEA4.pdf", "Melting_Curves/meltCurve_P43358_MAGEA4.pdf")</f>
        <v>Melting_Curves/meltCurve_P43358_MAGEA4.pdf</v>
      </c>
    </row>
    <row r="2357" spans="1:28" x14ac:dyDescent="0.25">
      <c r="A2357" t="s">
        <v>2361</v>
      </c>
      <c r="B2357">
        <v>0.99930955844802105</v>
      </c>
      <c r="C2357">
        <v>0.88828165863966002</v>
      </c>
      <c r="D2357">
        <v>0.55200774313357903</v>
      </c>
      <c r="E2357">
        <v>0.50980448223460095</v>
      </c>
      <c r="F2357">
        <v>0.45024013955854802</v>
      </c>
      <c r="G2357">
        <v>0.35433406036161802</v>
      </c>
      <c r="H2357">
        <v>0.27100367025779798</v>
      </c>
      <c r="I2357">
        <v>0.344305591110802</v>
      </c>
      <c r="J2357">
        <v>0.38209908057083702</v>
      </c>
      <c r="K2357">
        <v>0.26873070467251298</v>
      </c>
      <c r="L2357">
        <v>790.90540478960997</v>
      </c>
      <c r="M2357">
        <v>17.272257871887099</v>
      </c>
      <c r="N2357">
        <v>48.824810116302999</v>
      </c>
      <c r="O2357">
        <v>45.189924830800898</v>
      </c>
      <c r="P2357">
        <v>-6.4112460981575803E-2</v>
      </c>
      <c r="Q2357">
        <v>0.32908155270747003</v>
      </c>
      <c r="R2357">
        <v>0.943075251179468</v>
      </c>
      <c r="S2357" t="s">
        <v>8974</v>
      </c>
      <c r="T2357" t="s">
        <v>13232</v>
      </c>
      <c r="U2357" t="s">
        <v>13232</v>
      </c>
      <c r="V2357" t="s">
        <v>13232</v>
      </c>
      <c r="W2357" t="s">
        <v>15538</v>
      </c>
      <c r="X2357">
        <v>4</v>
      </c>
      <c r="Y2357" t="s">
        <v>22025</v>
      </c>
      <c r="Z2357" t="s">
        <v>28488</v>
      </c>
      <c r="AA2357">
        <v>0.47327065375753202</v>
      </c>
      <c r="AB2357" t="str">
        <f>HYPERLINK("Melting_Curves/meltCurve_P43378_PTPN9.pdf", "Melting_Curves/meltCurve_P43378_PTPN9.pdf")</f>
        <v>Melting_Curves/meltCurve_P43378_PTPN9.pdf</v>
      </c>
    </row>
    <row r="2358" spans="1:28" x14ac:dyDescent="0.25">
      <c r="A2358" t="s">
        <v>2362</v>
      </c>
      <c r="B2358">
        <v>0.99930955844802105</v>
      </c>
      <c r="C2358">
        <v>0.73066708068051001</v>
      </c>
      <c r="D2358">
        <v>0.35226296400295798</v>
      </c>
      <c r="E2358">
        <v>0.241131832697217</v>
      </c>
      <c r="F2358">
        <v>0.14103308456399</v>
      </c>
      <c r="G2358">
        <v>7.7638110900239907E-2</v>
      </c>
      <c r="H2358">
        <v>4.0481608384982402E-2</v>
      </c>
      <c r="I2358">
        <v>3.09879225401847E-2</v>
      </c>
      <c r="J2358">
        <v>2.6714557460168601E-2</v>
      </c>
      <c r="K2358">
        <v>2.1790220300146601E-2</v>
      </c>
      <c r="L2358">
        <v>870.87136962154295</v>
      </c>
      <c r="M2358">
        <v>19.374051226591199</v>
      </c>
      <c r="N2358">
        <v>45.1894265336201</v>
      </c>
      <c r="O2358">
        <v>44.479725024216897</v>
      </c>
      <c r="P2358">
        <v>-0.10359316233959499</v>
      </c>
      <c r="Q2358">
        <v>4.8701857177084203E-2</v>
      </c>
      <c r="R2358">
        <v>0.98012340085768701</v>
      </c>
      <c r="S2358" t="s">
        <v>8975</v>
      </c>
      <c r="T2358" t="s">
        <v>13232</v>
      </c>
      <c r="U2358" t="s">
        <v>13232</v>
      </c>
      <c r="V2358" t="s">
        <v>13232</v>
      </c>
      <c r="W2358" t="s">
        <v>15539</v>
      </c>
      <c r="X2358">
        <v>7</v>
      </c>
      <c r="Y2358" t="s">
        <v>22026</v>
      </c>
      <c r="Z2358" t="s">
        <v>28489</v>
      </c>
      <c r="AA2358">
        <v>0.22311559409255091</v>
      </c>
      <c r="AB2358" t="str">
        <f>HYPERLINK("Melting_Curves/meltCurve_P43405_2_SYK.pdf", "Melting_Curves/meltCurve_P43405_2_SYK.pdf")</f>
        <v>Melting_Curves/meltCurve_P43405_2_SYK.pdf</v>
      </c>
    </row>
    <row r="2359" spans="1:28" x14ac:dyDescent="0.25">
      <c r="A2359" t="s">
        <v>2363</v>
      </c>
      <c r="B2359">
        <v>0.99930955844802105</v>
      </c>
      <c r="C2359">
        <v>0.94816626095061396</v>
      </c>
      <c r="D2359">
        <v>0.96403501283903903</v>
      </c>
      <c r="E2359">
        <v>0.81070034456137396</v>
      </c>
      <c r="F2359">
        <v>0.60101808789591904</v>
      </c>
      <c r="G2359">
        <v>0.49090264232081898</v>
      </c>
      <c r="H2359">
        <v>0.38201031699708199</v>
      </c>
      <c r="I2359">
        <v>0.37823817450229502</v>
      </c>
      <c r="J2359">
        <v>0.36599820509737702</v>
      </c>
      <c r="K2359">
        <v>0.29067867503734202</v>
      </c>
      <c r="L2359">
        <v>855.19770506884504</v>
      </c>
      <c r="M2359">
        <v>16.2790058061019</v>
      </c>
      <c r="N2359">
        <v>56.102025181245502</v>
      </c>
      <c r="O2359">
        <v>51.760222469382299</v>
      </c>
      <c r="P2359">
        <v>-5.3277154649928202E-2</v>
      </c>
      <c r="Q2359">
        <v>0.32245609577690798</v>
      </c>
      <c r="R2359">
        <v>0.99048629661087095</v>
      </c>
      <c r="S2359" t="s">
        <v>8976</v>
      </c>
      <c r="T2359" t="s">
        <v>13232</v>
      </c>
      <c r="U2359" t="s">
        <v>13232</v>
      </c>
      <c r="V2359" t="s">
        <v>13232</v>
      </c>
      <c r="W2359" t="s">
        <v>15540</v>
      </c>
      <c r="X2359">
        <v>21</v>
      </c>
      <c r="Y2359" t="s">
        <v>20073</v>
      </c>
      <c r="Z2359" t="s">
        <v>28490</v>
      </c>
      <c r="AA2359">
        <v>0.61866566866534256</v>
      </c>
      <c r="AB2359" t="str">
        <f>HYPERLINK("Melting_Curves/meltCurve_P43487_RANBP1.pdf", "Melting_Curves/meltCurve_P43487_RANBP1.pdf")</f>
        <v>Melting_Curves/meltCurve_P43487_RANBP1.pdf</v>
      </c>
    </row>
    <row r="2360" spans="1:28" x14ac:dyDescent="0.25">
      <c r="A2360" t="s">
        <v>2364</v>
      </c>
      <c r="B2360">
        <v>0.99930955844802105</v>
      </c>
      <c r="C2360">
        <v>0.79555747729859705</v>
      </c>
      <c r="D2360">
        <v>1.15660666404268</v>
      </c>
      <c r="E2360">
        <v>0.76005929361214397</v>
      </c>
      <c r="F2360">
        <v>0.98307126128495104</v>
      </c>
      <c r="G2360">
        <v>0.59172596896774399</v>
      </c>
      <c r="H2360">
        <v>0.12117468893739999</v>
      </c>
      <c r="I2360">
        <v>6.8786490518812096E-2</v>
      </c>
      <c r="J2360">
        <v>4.7434280313299201E-2</v>
      </c>
      <c r="K2360">
        <v>3.9319993700539499E-2</v>
      </c>
      <c r="L2360">
        <v>2186.78560681925</v>
      </c>
      <c r="M2360">
        <v>38.080082871465798</v>
      </c>
      <c r="N2360">
        <v>57.553874775785197</v>
      </c>
      <c r="O2360">
        <v>57.2682876155624</v>
      </c>
      <c r="P2360">
        <v>-0.15949115915789</v>
      </c>
      <c r="Q2360">
        <v>4.0573279074260199E-2</v>
      </c>
      <c r="R2360">
        <v>0.93133380518777298</v>
      </c>
      <c r="S2360" t="s">
        <v>8977</v>
      </c>
      <c r="T2360" t="s">
        <v>13232</v>
      </c>
      <c r="U2360" t="s">
        <v>13232</v>
      </c>
      <c r="V2360" t="s">
        <v>13232</v>
      </c>
      <c r="W2360" t="s">
        <v>15541</v>
      </c>
      <c r="X2360">
        <v>25</v>
      </c>
      <c r="Y2360" t="s">
        <v>22027</v>
      </c>
      <c r="Z2360" t="s">
        <v>28491</v>
      </c>
      <c r="AA2360">
        <v>0.60199636599169615</v>
      </c>
      <c r="AB2360" t="str">
        <f>HYPERLINK("Melting_Curves/meltCurve_P43490_NAMPT.pdf", "Melting_Curves/meltCurve_P43490_NAMPT.pdf")</f>
        <v>Melting_Curves/meltCurve_P43490_NAMPT.pdf</v>
      </c>
    </row>
    <row r="2361" spans="1:28" x14ac:dyDescent="0.25">
      <c r="A2361" t="s">
        <v>2365</v>
      </c>
      <c r="B2361">
        <v>0.99930955844802105</v>
      </c>
      <c r="C2361">
        <v>0.45431881567528198</v>
      </c>
      <c r="D2361">
        <v>0.50106582437042102</v>
      </c>
      <c r="E2361">
        <v>0.48139801449139002</v>
      </c>
      <c r="F2361">
        <v>0.248257151756131</v>
      </c>
      <c r="G2361">
        <v>0.136264777505195</v>
      </c>
      <c r="H2361">
        <v>5.6689696078827401E-2</v>
      </c>
      <c r="I2361">
        <v>4.3194442974276603E-2</v>
      </c>
      <c r="J2361">
        <v>3.6246502802748E-2</v>
      </c>
      <c r="K2361">
        <v>2.8628851826483899E-2</v>
      </c>
      <c r="L2361">
        <v>431.33470483410798</v>
      </c>
      <c r="M2361">
        <v>9.3025756714074408</v>
      </c>
      <c r="N2361">
        <v>46.367235902180397</v>
      </c>
      <c r="O2361">
        <v>44.375731515137502</v>
      </c>
      <c r="P2361">
        <v>-5.24415729109814E-2</v>
      </c>
      <c r="Q2361">
        <v>0</v>
      </c>
      <c r="R2361">
        <v>0.87655301769857497</v>
      </c>
      <c r="S2361" t="s">
        <v>8978</v>
      </c>
      <c r="T2361" t="s">
        <v>13232</v>
      </c>
      <c r="U2361" t="s">
        <v>13232</v>
      </c>
      <c r="V2361" t="s">
        <v>13232</v>
      </c>
      <c r="W2361" t="s">
        <v>15542</v>
      </c>
      <c r="X2361">
        <v>26</v>
      </c>
      <c r="Y2361" t="s">
        <v>22028</v>
      </c>
      <c r="Z2361" t="s">
        <v>28492</v>
      </c>
      <c r="AA2361">
        <v>0.28017137407265358</v>
      </c>
      <c r="AB2361" t="str">
        <f>HYPERLINK("Melting_Curves/meltCurve_P43686_PSMC4.pdf", "Melting_Curves/meltCurve_P43686_PSMC4.pdf")</f>
        <v>Melting_Curves/meltCurve_P43686_PSMC4.pdf</v>
      </c>
    </row>
    <row r="2362" spans="1:28" x14ac:dyDescent="0.25">
      <c r="A2362" t="s">
        <v>2366</v>
      </c>
      <c r="B2362">
        <v>0.99930955844802105</v>
      </c>
      <c r="C2362">
        <v>0.826248281402576</v>
      </c>
      <c r="D2362">
        <v>0.331784116198587</v>
      </c>
      <c r="E2362">
        <v>0.232903109536169</v>
      </c>
      <c r="F2362">
        <v>0.144998673257594</v>
      </c>
      <c r="G2362">
        <v>0.112527945115864</v>
      </c>
      <c r="H2362">
        <v>6.6097215310901195E-2</v>
      </c>
      <c r="I2362">
        <v>6.5104232760340497E-2</v>
      </c>
      <c r="J2362">
        <v>5.6819859837639999E-2</v>
      </c>
      <c r="K2362">
        <v>4.4416587471953803E-2</v>
      </c>
      <c r="L2362">
        <v>1314.7906437486699</v>
      </c>
      <c r="M2362">
        <v>29.367713610555899</v>
      </c>
      <c r="N2362">
        <v>45.080755661905101</v>
      </c>
      <c r="O2362">
        <v>44.563888685130202</v>
      </c>
      <c r="P2362">
        <v>-0.14965233532257399</v>
      </c>
      <c r="Q2362">
        <v>9.1649720626530498E-2</v>
      </c>
      <c r="R2362">
        <v>0.98068205372125195</v>
      </c>
      <c r="S2362" t="s">
        <v>8979</v>
      </c>
      <c r="T2362" t="s">
        <v>13232</v>
      </c>
      <c r="U2362" t="s">
        <v>13232</v>
      </c>
      <c r="V2362" t="s">
        <v>13232</v>
      </c>
      <c r="W2362" t="s">
        <v>15543</v>
      </c>
      <c r="X2362">
        <v>10</v>
      </c>
      <c r="Y2362" t="s">
        <v>22029</v>
      </c>
      <c r="Z2362" t="s">
        <v>28493</v>
      </c>
      <c r="AA2362">
        <v>0.2423615034207009</v>
      </c>
      <c r="AB2362" t="str">
        <f>HYPERLINK("Melting_Curves/meltCurve_P43897_TSFM.pdf", "Melting_Curves/meltCurve_P43897_TSFM.pdf")</f>
        <v>Melting_Curves/meltCurve_P43897_TSFM.pdf</v>
      </c>
    </row>
    <row r="2363" spans="1:28" x14ac:dyDescent="0.25">
      <c r="A2363" t="s">
        <v>2367</v>
      </c>
      <c r="B2363">
        <v>0.99930955844802105</v>
      </c>
      <c r="C2363">
        <v>0.735063936234023</v>
      </c>
      <c r="D2363">
        <v>0.59294097577178095</v>
      </c>
      <c r="E2363">
        <v>0.74637101157444796</v>
      </c>
      <c r="F2363">
        <v>0.30617075178566699</v>
      </c>
      <c r="G2363">
        <v>0.13159420723571</v>
      </c>
      <c r="H2363">
        <v>7.4117759068170794E-2</v>
      </c>
      <c r="I2363">
        <v>6.6428679164021898E-2</v>
      </c>
      <c r="J2363">
        <v>5.4965995246603797E-2</v>
      </c>
      <c r="K2363">
        <v>3.9915690492584498E-2</v>
      </c>
      <c r="L2363">
        <v>533.23731161440003</v>
      </c>
      <c r="M2363">
        <v>10.696607903218201</v>
      </c>
      <c r="N2363">
        <v>49.851066471966703</v>
      </c>
      <c r="O2363">
        <v>48.203473243434601</v>
      </c>
      <c r="P2363">
        <v>-5.5497178861259197E-2</v>
      </c>
      <c r="Q2363">
        <v>0</v>
      </c>
      <c r="R2363">
        <v>0.909168542164424</v>
      </c>
      <c r="S2363" t="s">
        <v>8980</v>
      </c>
      <c r="T2363" t="s">
        <v>13232</v>
      </c>
      <c r="U2363" t="s">
        <v>13232</v>
      </c>
      <c r="V2363" t="s">
        <v>13232</v>
      </c>
      <c r="W2363" t="s">
        <v>15544</v>
      </c>
      <c r="X2363">
        <v>11</v>
      </c>
      <c r="Y2363" t="s">
        <v>22030</v>
      </c>
      <c r="Z2363" t="s">
        <v>28494</v>
      </c>
      <c r="AA2363">
        <v>0.36995059200781011</v>
      </c>
      <c r="AB2363" t="str">
        <f>HYPERLINK("Melting_Curves/meltCurve_P45880_VDAC2.pdf", "Melting_Curves/meltCurve_P45880_VDAC2.pdf")</f>
        <v>Melting_Curves/meltCurve_P45880_VDAC2.pdf</v>
      </c>
    </row>
    <row r="2364" spans="1:28" x14ac:dyDescent="0.25">
      <c r="A2364" t="s">
        <v>2368</v>
      </c>
      <c r="B2364">
        <v>0.99930955844802105</v>
      </c>
      <c r="C2364">
        <v>0.97870449890640598</v>
      </c>
      <c r="D2364">
        <v>0.96306312482414203</v>
      </c>
      <c r="E2364">
        <v>0.86046896182430199</v>
      </c>
      <c r="F2364">
        <v>0.61859651160447204</v>
      </c>
      <c r="G2364">
        <v>0.45063097001039998</v>
      </c>
      <c r="H2364">
        <v>0.359503968213786</v>
      </c>
      <c r="I2364">
        <v>0.32318000406421399</v>
      </c>
      <c r="J2364">
        <v>0.30541918057357498</v>
      </c>
      <c r="K2364">
        <v>0.26156464206802799</v>
      </c>
      <c r="L2364">
        <v>991.10017287814298</v>
      </c>
      <c r="M2364">
        <v>18.646994608330299</v>
      </c>
      <c r="N2364">
        <v>55.649284319304797</v>
      </c>
      <c r="O2364">
        <v>52.550697886590399</v>
      </c>
      <c r="P2364">
        <v>-6.3558872481416506E-2</v>
      </c>
      <c r="Q2364">
        <v>0.28354784938354499</v>
      </c>
      <c r="R2364">
        <v>0.99591785787604803</v>
      </c>
      <c r="S2364" t="s">
        <v>8981</v>
      </c>
      <c r="T2364" t="s">
        <v>13232</v>
      </c>
      <c r="U2364" t="s">
        <v>13232</v>
      </c>
      <c r="V2364" t="s">
        <v>13232</v>
      </c>
      <c r="W2364" t="s">
        <v>15545</v>
      </c>
      <c r="X2364">
        <v>15</v>
      </c>
      <c r="Y2364" t="s">
        <v>22031</v>
      </c>
      <c r="Z2364" t="s">
        <v>28495</v>
      </c>
      <c r="AA2364">
        <v>0.60866121914116877</v>
      </c>
      <c r="AB2364" t="str">
        <f>HYPERLINK("Melting_Curves/meltCurve_P45973_CBX5.pdf", "Melting_Curves/meltCurve_P45973_CBX5.pdf")</f>
        <v>Melting_Curves/meltCurve_P45973_CBX5.pdf</v>
      </c>
    </row>
    <row r="2365" spans="1:28" x14ac:dyDescent="0.25">
      <c r="A2365" t="s">
        <v>2369</v>
      </c>
      <c r="B2365">
        <v>0.99930955844802105</v>
      </c>
      <c r="C2365">
        <v>1.03130073703424</v>
      </c>
      <c r="D2365">
        <v>0.98583611379851699</v>
      </c>
      <c r="E2365">
        <v>0.91223637554018</v>
      </c>
      <c r="F2365">
        <v>0.64307995487099101</v>
      </c>
      <c r="G2365">
        <v>0.25667013765100899</v>
      </c>
      <c r="H2365">
        <v>0.113493528339472</v>
      </c>
      <c r="I2365">
        <v>8.8592276965056199E-2</v>
      </c>
      <c r="J2365">
        <v>7.9367434581492396E-2</v>
      </c>
      <c r="K2365">
        <v>5.8302065113495297E-2</v>
      </c>
      <c r="L2365">
        <v>1439.25096293868</v>
      </c>
      <c r="M2365">
        <v>26.6487410601531</v>
      </c>
      <c r="N2365">
        <v>54.311984935349898</v>
      </c>
      <c r="O2365">
        <v>53.7068373240783</v>
      </c>
      <c r="P2365">
        <v>-0.115459927780261</v>
      </c>
      <c r="Q2365">
        <v>6.9235922398254698E-2</v>
      </c>
      <c r="R2365">
        <v>0.99914229002920396</v>
      </c>
      <c r="S2365" t="s">
        <v>8982</v>
      </c>
      <c r="T2365" t="s">
        <v>13232</v>
      </c>
      <c r="U2365" t="s">
        <v>13232</v>
      </c>
      <c r="V2365" t="s">
        <v>13232</v>
      </c>
      <c r="W2365" t="s">
        <v>15546</v>
      </c>
      <c r="X2365">
        <v>34</v>
      </c>
      <c r="Y2365" t="s">
        <v>22032</v>
      </c>
      <c r="Z2365" t="s">
        <v>28496</v>
      </c>
      <c r="AA2365">
        <v>0.51150400736955459</v>
      </c>
      <c r="AB2365" t="str">
        <f>HYPERLINK("Melting_Curves/meltCurve_P45974_2_USP5.pdf", "Melting_Curves/meltCurve_P45974_2_USP5.pdf")</f>
        <v>Melting_Curves/meltCurve_P45974_2_USP5.pdf</v>
      </c>
    </row>
    <row r="2366" spans="1:28" x14ac:dyDescent="0.25">
      <c r="A2366" t="s">
        <v>2370</v>
      </c>
      <c r="B2366">
        <v>0.99930955844802105</v>
      </c>
      <c r="C2366">
        <v>0.65875190538180395</v>
      </c>
      <c r="D2366">
        <v>0.30696537032326499</v>
      </c>
      <c r="E2366">
        <v>0.20668852977933699</v>
      </c>
      <c r="F2366">
        <v>0.100662546365216</v>
      </c>
      <c r="G2366">
        <v>6.4054873735731696E-2</v>
      </c>
      <c r="H2366">
        <v>4.0796000983799603E-2</v>
      </c>
      <c r="I2366">
        <v>3.5408611731772399E-2</v>
      </c>
      <c r="J2366">
        <v>2.5273558524320502E-2</v>
      </c>
      <c r="K2366">
        <v>2.0918409134930101E-2</v>
      </c>
      <c r="L2366">
        <v>973.633231727365</v>
      </c>
      <c r="M2366">
        <v>21.9911537059415</v>
      </c>
      <c r="N2366">
        <v>44.4904739867765</v>
      </c>
      <c r="O2366">
        <v>43.912646204508299</v>
      </c>
      <c r="P2366">
        <v>-0.118845255706736</v>
      </c>
      <c r="Q2366">
        <v>5.0765307042888598E-2</v>
      </c>
      <c r="R2366">
        <v>0.98120819970316497</v>
      </c>
      <c r="S2366" t="s">
        <v>8983</v>
      </c>
      <c r="T2366" t="s">
        <v>13232</v>
      </c>
      <c r="U2366" t="s">
        <v>13232</v>
      </c>
      <c r="V2366" t="s">
        <v>13232</v>
      </c>
      <c r="W2366" t="s">
        <v>15547</v>
      </c>
      <c r="X2366">
        <v>9</v>
      </c>
      <c r="Y2366" t="s">
        <v>22033</v>
      </c>
      <c r="Z2366" t="s">
        <v>28497</v>
      </c>
      <c r="AA2366">
        <v>0.2001413103491507</v>
      </c>
      <c r="AB2366" t="str">
        <f>HYPERLINK("Melting_Curves/meltCurve_P45983_3_MAPK8.pdf", "Melting_Curves/meltCurve_P45983_3_MAPK8.pdf")</f>
        <v>Melting_Curves/meltCurve_P45983_3_MAPK8.pdf</v>
      </c>
    </row>
    <row r="2367" spans="1:28" x14ac:dyDescent="0.25">
      <c r="A2367" t="s">
        <v>2371</v>
      </c>
      <c r="B2367">
        <v>0.99930955844802105</v>
      </c>
      <c r="C2367">
        <v>1.0303204356890701</v>
      </c>
      <c r="D2367">
        <v>0.97062420974444497</v>
      </c>
      <c r="E2367">
        <v>0.89354168649409105</v>
      </c>
      <c r="F2367">
        <v>0.47075919618554701</v>
      </c>
      <c r="G2367">
        <v>0.23282428966431901</v>
      </c>
      <c r="H2367">
        <v>0.135441595663708</v>
      </c>
      <c r="I2367">
        <v>0.102511766946647</v>
      </c>
      <c r="J2367">
        <v>9.3137987549969894E-2</v>
      </c>
      <c r="K2367">
        <v>7.1638762088031896E-2</v>
      </c>
      <c r="L2367">
        <v>1605.8575484134301</v>
      </c>
      <c r="M2367">
        <v>30.4875713854202</v>
      </c>
      <c r="N2367">
        <v>53.074943045868601</v>
      </c>
      <c r="O2367">
        <v>52.447472472829702</v>
      </c>
      <c r="P2367">
        <v>-0.13032906720003301</v>
      </c>
      <c r="Q2367">
        <v>0.103190196902645</v>
      </c>
      <c r="R2367">
        <v>0.99482100902359305</v>
      </c>
      <c r="S2367" t="s">
        <v>8984</v>
      </c>
      <c r="T2367" t="s">
        <v>13232</v>
      </c>
      <c r="U2367" t="s">
        <v>13232</v>
      </c>
      <c r="V2367" t="s">
        <v>13232</v>
      </c>
      <c r="W2367" t="s">
        <v>15548</v>
      </c>
      <c r="X2367">
        <v>12</v>
      </c>
      <c r="Y2367" t="s">
        <v>22034</v>
      </c>
      <c r="Z2367" t="s">
        <v>28498</v>
      </c>
      <c r="AA2367">
        <v>0.48762625066650178</v>
      </c>
      <c r="AB2367" t="str">
        <f>HYPERLINK("Melting_Curves/meltCurve_P45984_2_MAPK9.pdf", "Melting_Curves/meltCurve_P45984_2_MAPK9.pdf")</f>
        <v>Melting_Curves/meltCurve_P45984_2_MAPK9.pdf</v>
      </c>
    </row>
    <row r="2368" spans="1:28" x14ac:dyDescent="0.25">
      <c r="A2368" t="s">
        <v>2372</v>
      </c>
      <c r="B2368">
        <v>0.99930955844802105</v>
      </c>
      <c r="C2368">
        <v>1.0040768083798499</v>
      </c>
      <c r="D2368">
        <v>0.85358434619439905</v>
      </c>
      <c r="E2368">
        <v>0.46342691049481599</v>
      </c>
      <c r="F2368">
        <v>0.22427605230543499</v>
      </c>
      <c r="G2368">
        <v>0.15029374106335</v>
      </c>
      <c r="H2368">
        <v>9.3552482961375097E-2</v>
      </c>
      <c r="I2368">
        <v>7.2465809998076003E-2</v>
      </c>
      <c r="J2368">
        <v>6.3222204216650701E-2</v>
      </c>
      <c r="K2368">
        <v>4.8937347270339097E-2</v>
      </c>
      <c r="L2368">
        <v>1134.9618729869101</v>
      </c>
      <c r="M2368">
        <v>22.987238303872701</v>
      </c>
      <c r="N2368">
        <v>49.7077178979713</v>
      </c>
      <c r="O2368">
        <v>49.004478438592997</v>
      </c>
      <c r="P2368">
        <v>-0.108877707122003</v>
      </c>
      <c r="Q2368">
        <v>7.1590370454668803E-2</v>
      </c>
      <c r="R2368">
        <v>0.99771142869928797</v>
      </c>
      <c r="S2368" t="s">
        <v>8985</v>
      </c>
      <c r="T2368" t="s">
        <v>13232</v>
      </c>
      <c r="U2368" t="s">
        <v>13232</v>
      </c>
      <c r="V2368" t="s">
        <v>13232</v>
      </c>
      <c r="W2368" t="s">
        <v>15549</v>
      </c>
      <c r="X2368">
        <v>13</v>
      </c>
      <c r="Y2368" t="s">
        <v>22035</v>
      </c>
      <c r="Z2368" t="s">
        <v>28499</v>
      </c>
      <c r="AA2368">
        <v>0.37146242907597982</v>
      </c>
      <c r="AB2368" t="str">
        <f>HYPERLINK("Melting_Curves/meltCurve_P45985_MAP2K4.pdf", "Melting_Curves/meltCurve_P45985_MAP2K4.pdf")</f>
        <v>Melting_Curves/meltCurve_P45985_MAP2K4.pdf</v>
      </c>
    </row>
    <row r="2369" spans="1:28" x14ac:dyDescent="0.25">
      <c r="A2369" t="s">
        <v>2373</v>
      </c>
      <c r="B2369">
        <v>0.99930955844802105</v>
      </c>
      <c r="C2369">
        <v>1.09664173952619</v>
      </c>
      <c r="D2369">
        <v>1.08905748637447</v>
      </c>
      <c r="E2369">
        <v>1.0857610401293101</v>
      </c>
      <c r="F2369">
        <v>0.98438850743859097</v>
      </c>
      <c r="G2369">
        <v>0.926035022817702</v>
      </c>
      <c r="H2369">
        <v>0.96486277589310399</v>
      </c>
      <c r="I2369">
        <v>1.0588381052848099</v>
      </c>
      <c r="J2369">
        <v>1.03717671103153</v>
      </c>
      <c r="K2369">
        <v>0.84570277205162903</v>
      </c>
      <c r="L2369">
        <v>15000</v>
      </c>
      <c r="M2369">
        <v>212.58439998747701</v>
      </c>
      <c r="Q2369">
        <v>0</v>
      </c>
      <c r="R2369">
        <v>0.38744647967679202</v>
      </c>
      <c r="S2369" t="s">
        <v>8986</v>
      </c>
      <c r="T2369" t="s">
        <v>13232</v>
      </c>
      <c r="U2369" t="s">
        <v>13232</v>
      </c>
      <c r="V2369" t="s">
        <v>13232</v>
      </c>
      <c r="W2369" t="s">
        <v>15550</v>
      </c>
      <c r="X2369">
        <v>140</v>
      </c>
      <c r="Y2369" t="s">
        <v>22036</v>
      </c>
      <c r="Z2369" t="s">
        <v>28500</v>
      </c>
      <c r="AA2369">
        <v>0.99819271489176264</v>
      </c>
      <c r="AB2369" t="str">
        <f>HYPERLINK("Melting_Curves/meltCurve_P46013_MKI67.pdf", "Melting_Curves/meltCurve_P46013_MKI67.pdf")</f>
        <v>Melting_Curves/meltCurve_P46013_MKI67.pdf</v>
      </c>
    </row>
    <row r="2370" spans="1:28" x14ac:dyDescent="0.25">
      <c r="A2370" t="s">
        <v>2374</v>
      </c>
      <c r="B2370">
        <v>0.99930955844802105</v>
      </c>
      <c r="C2370">
        <v>0.65752150677008203</v>
      </c>
      <c r="D2370">
        <v>0.65805524473290999</v>
      </c>
      <c r="E2370">
        <v>0.48206789060385202</v>
      </c>
      <c r="F2370">
        <v>0.26530509058759799</v>
      </c>
      <c r="G2370">
        <v>0.180552104383321</v>
      </c>
      <c r="H2370">
        <v>0.114306787724766</v>
      </c>
      <c r="I2370">
        <v>8.3536774503085998E-2</v>
      </c>
      <c r="J2370">
        <v>5.7217749371034403E-2</v>
      </c>
      <c r="K2370">
        <v>4.0414870414908398E-2</v>
      </c>
      <c r="L2370">
        <v>484.37653376379501</v>
      </c>
      <c r="M2370">
        <v>9.9859765535063296</v>
      </c>
      <c r="N2370">
        <v>48.505675246619198</v>
      </c>
      <c r="O2370">
        <v>46.6808120482875</v>
      </c>
      <c r="P2370">
        <v>-5.3506242472916403E-2</v>
      </c>
      <c r="Q2370">
        <v>0</v>
      </c>
      <c r="R2370">
        <v>0.96607844446051505</v>
      </c>
      <c r="S2370" t="s">
        <v>8987</v>
      </c>
      <c r="T2370" t="s">
        <v>13232</v>
      </c>
      <c r="U2370" t="s">
        <v>13232</v>
      </c>
      <c r="V2370" t="s">
        <v>13232</v>
      </c>
      <c r="W2370" t="s">
        <v>15551</v>
      </c>
      <c r="X2370">
        <v>4</v>
      </c>
      <c r="Y2370" t="s">
        <v>22037</v>
      </c>
      <c r="Z2370" t="s">
        <v>28501</v>
      </c>
      <c r="AA2370">
        <v>0.33451995491368097</v>
      </c>
      <c r="AB2370" t="str">
        <f>HYPERLINK("Melting_Curves/meltCurve_P46020_3_PHKA1.pdf", "Melting_Curves/meltCurve_P46020_3_PHKA1.pdf")</f>
        <v>Melting_Curves/meltCurve_P46020_3_PHKA1.pdf</v>
      </c>
    </row>
    <row r="2371" spans="1:28" x14ac:dyDescent="0.25">
      <c r="A2371" t="s">
        <v>2375</v>
      </c>
      <c r="B2371">
        <v>0.99930955844802105</v>
      </c>
      <c r="C2371">
        <v>1.0445909705545799</v>
      </c>
      <c r="D2371">
        <v>0.98780724890671501</v>
      </c>
      <c r="E2371">
        <v>0.82833338210436602</v>
      </c>
      <c r="F2371">
        <v>0.42354164612987599</v>
      </c>
      <c r="G2371">
        <v>0.197054745037096</v>
      </c>
      <c r="H2371">
        <v>0.10605536943466699</v>
      </c>
      <c r="I2371">
        <v>7.6447736119788195E-2</v>
      </c>
      <c r="J2371">
        <v>6.3732562339626306E-2</v>
      </c>
      <c r="K2371">
        <v>5.0468909439684899E-2</v>
      </c>
      <c r="L2371">
        <v>1495.83948754267</v>
      </c>
      <c r="M2371">
        <v>28.587510546544401</v>
      </c>
      <c r="N2371">
        <v>52.622147541101697</v>
      </c>
      <c r="O2371">
        <v>52.070899575351902</v>
      </c>
      <c r="P2371">
        <v>-0.127021337882884</v>
      </c>
      <c r="Q2371">
        <v>7.4552133084911404E-2</v>
      </c>
      <c r="R2371">
        <v>0.99629184239253799</v>
      </c>
      <c r="S2371" t="s">
        <v>8988</v>
      </c>
      <c r="T2371" t="s">
        <v>13232</v>
      </c>
      <c r="U2371" t="s">
        <v>13232</v>
      </c>
      <c r="V2371" t="s">
        <v>13232</v>
      </c>
      <c r="W2371" t="s">
        <v>15552</v>
      </c>
      <c r="X2371">
        <v>31</v>
      </c>
      <c r="Y2371" t="s">
        <v>22038</v>
      </c>
      <c r="Z2371" t="s">
        <v>28502</v>
      </c>
      <c r="AA2371">
        <v>0.46128947055689701</v>
      </c>
      <c r="AB2371" t="str">
        <f>HYPERLINK("Melting_Curves/meltCurve_P46060_RANGAP1.pdf", "Melting_Curves/meltCurve_P46060_RANGAP1.pdf")</f>
        <v>Melting_Curves/meltCurve_P46060_RANGAP1.pdf</v>
      </c>
    </row>
    <row r="2372" spans="1:28" x14ac:dyDescent="0.25">
      <c r="A2372" t="s">
        <v>2376</v>
      </c>
      <c r="B2372">
        <v>0.99930955844802105</v>
      </c>
      <c r="C2372">
        <v>0.95992251747766399</v>
      </c>
      <c r="D2372">
        <v>0.91606850253133798</v>
      </c>
      <c r="E2372">
        <v>0.76488401672516604</v>
      </c>
      <c r="F2372">
        <v>0.28111208581325797</v>
      </c>
      <c r="G2372">
        <v>0.15062690426669501</v>
      </c>
      <c r="H2372">
        <v>8.54875513467582E-2</v>
      </c>
      <c r="I2372">
        <v>6.9977134110121103E-2</v>
      </c>
      <c r="J2372">
        <v>6.2471142360191897E-2</v>
      </c>
      <c r="K2372">
        <v>4.7406413041455299E-2</v>
      </c>
      <c r="L2372">
        <v>1792.8548182550801</v>
      </c>
      <c r="M2372">
        <v>34.9090429401409</v>
      </c>
      <c r="N2372">
        <v>51.592162423977001</v>
      </c>
      <c r="O2372">
        <v>51.1902328908185</v>
      </c>
      <c r="P2372">
        <v>-0.15799148356463499</v>
      </c>
      <c r="Q2372">
        <v>7.3295471484013497E-2</v>
      </c>
      <c r="R2372">
        <v>0.99320066071483504</v>
      </c>
      <c r="S2372" t="s">
        <v>8989</v>
      </c>
      <c r="T2372" t="s">
        <v>13232</v>
      </c>
      <c r="U2372" t="s">
        <v>13232</v>
      </c>
      <c r="V2372" t="s">
        <v>13232</v>
      </c>
      <c r="W2372" t="s">
        <v>15553</v>
      </c>
      <c r="X2372">
        <v>27</v>
      </c>
      <c r="Y2372" t="s">
        <v>22039</v>
      </c>
      <c r="Z2372" t="s">
        <v>28503</v>
      </c>
      <c r="AA2372">
        <v>0.42846799938532532</v>
      </c>
      <c r="AB2372" t="str">
        <f>HYPERLINK("Melting_Curves/meltCurve_P46063_RECQL.pdf", "Melting_Curves/meltCurve_P46063_RECQL.pdf")</f>
        <v>Melting_Curves/meltCurve_P46063_RECQL.pdf</v>
      </c>
    </row>
    <row r="2373" spans="1:28" x14ac:dyDescent="0.25">
      <c r="A2373" t="s">
        <v>2377</v>
      </c>
      <c r="B2373">
        <v>0.99930955844802105</v>
      </c>
      <c r="C2373">
        <v>1.1496762057832299</v>
      </c>
      <c r="D2373">
        <v>1.24862786309343</v>
      </c>
      <c r="E2373">
        <v>1.2215337776824999</v>
      </c>
      <c r="F2373">
        <v>1.03488122664144</v>
      </c>
      <c r="G2373">
        <v>0.91693580290489396</v>
      </c>
      <c r="H2373">
        <v>0.91809487129124401</v>
      </c>
      <c r="I2373">
        <v>1.07069765907408</v>
      </c>
      <c r="J2373">
        <v>1.0707316415567001</v>
      </c>
      <c r="K2373">
        <v>0.87547445540033697</v>
      </c>
      <c r="L2373">
        <v>15000</v>
      </c>
      <c r="M2373">
        <v>212.335401549327</v>
      </c>
      <c r="Q2373">
        <v>0</v>
      </c>
      <c r="R2373">
        <v>-6.8193461648908799E-2</v>
      </c>
      <c r="S2373" t="s">
        <v>8990</v>
      </c>
      <c r="T2373" t="s">
        <v>13232</v>
      </c>
      <c r="U2373" t="s">
        <v>13232</v>
      </c>
      <c r="V2373" t="s">
        <v>13232</v>
      </c>
      <c r="W2373" t="s">
        <v>15554</v>
      </c>
      <c r="X2373">
        <v>22</v>
      </c>
      <c r="Y2373" t="s">
        <v>22040</v>
      </c>
      <c r="Z2373" t="s">
        <v>28504</v>
      </c>
      <c r="AA2373">
        <v>0.99856574800450915</v>
      </c>
      <c r="AB2373" t="str">
        <f>HYPERLINK("Melting_Curves/meltCurve_P46087_NOP2.pdf", "Melting_Curves/meltCurve_P46087_NOP2.pdf")</f>
        <v>Melting_Curves/meltCurve_P46087_NOP2.pdf</v>
      </c>
    </row>
    <row r="2374" spans="1:28" x14ac:dyDescent="0.25">
      <c r="A2374" t="s">
        <v>2378</v>
      </c>
      <c r="B2374">
        <v>0.99930955844802105</v>
      </c>
      <c r="C2374">
        <v>1.0021758531702201</v>
      </c>
      <c r="D2374">
        <v>0.94232923864193996</v>
      </c>
      <c r="E2374">
        <v>0.79370171018664504</v>
      </c>
      <c r="F2374">
        <v>0.62253917849932205</v>
      </c>
      <c r="G2374">
        <v>0.52109309593437303</v>
      </c>
      <c r="H2374">
        <v>0.45424499016572401</v>
      </c>
      <c r="I2374">
        <v>0.46348546521150802</v>
      </c>
      <c r="J2374">
        <v>0.43620790380716901</v>
      </c>
      <c r="K2374">
        <v>0.34881490156802702</v>
      </c>
      <c r="L2374">
        <v>862.18581640307605</v>
      </c>
      <c r="M2374">
        <v>16.6397386012288</v>
      </c>
      <c r="N2374">
        <v>57.4485150037221</v>
      </c>
      <c r="O2374">
        <v>51.083845818708397</v>
      </c>
      <c r="P2374">
        <v>-4.8683496691629302E-2</v>
      </c>
      <c r="Q2374">
        <v>0.402208550554776</v>
      </c>
      <c r="R2374">
        <v>0.98826840494700796</v>
      </c>
      <c r="S2374" t="s">
        <v>8991</v>
      </c>
      <c r="T2374" t="s">
        <v>13232</v>
      </c>
      <c r="U2374" t="s">
        <v>13232</v>
      </c>
      <c r="V2374" t="s">
        <v>13232</v>
      </c>
      <c r="W2374" t="s">
        <v>15555</v>
      </c>
      <c r="X2374">
        <v>33</v>
      </c>
      <c r="Y2374" t="s">
        <v>22041</v>
      </c>
      <c r="Z2374" t="s">
        <v>28505</v>
      </c>
      <c r="AA2374">
        <v>0.64902460252251237</v>
      </c>
      <c r="AB2374" t="str">
        <f>HYPERLINK("Melting_Curves/meltCurve_P46100_4_ATRX.pdf", "Melting_Curves/meltCurve_P46100_4_ATRX.pdf")</f>
        <v>Melting_Curves/meltCurve_P46100_4_ATRX.pdf</v>
      </c>
    </row>
    <row r="2375" spans="1:28" x14ac:dyDescent="0.25">
      <c r="A2375" t="s">
        <v>2379</v>
      </c>
      <c r="B2375">
        <v>0.99930955844802105</v>
      </c>
      <c r="C2375">
        <v>0.94130056344850799</v>
      </c>
      <c r="D2375">
        <v>0.93015275299810896</v>
      </c>
      <c r="E2375">
        <v>0.82176211913514097</v>
      </c>
      <c r="F2375">
        <v>0.50687092994077698</v>
      </c>
      <c r="G2375">
        <v>0.261199848209764</v>
      </c>
      <c r="H2375">
        <v>0.17024571901850999</v>
      </c>
      <c r="I2375">
        <v>0.140390657564123</v>
      </c>
      <c r="J2375">
        <v>0.118633617692844</v>
      </c>
      <c r="K2375">
        <v>9.2971345984736206E-2</v>
      </c>
      <c r="L2375">
        <v>1105.1660539121999</v>
      </c>
      <c r="M2375">
        <v>20.956092198889699</v>
      </c>
      <c r="N2375">
        <v>53.352598981922299</v>
      </c>
      <c r="O2375">
        <v>52.264033083930002</v>
      </c>
      <c r="P2375">
        <v>-8.9482135342230706E-2</v>
      </c>
      <c r="Q2375">
        <v>0.10735815280372001</v>
      </c>
      <c r="R2375">
        <v>0.99539203227392903</v>
      </c>
      <c r="S2375" t="s">
        <v>8992</v>
      </c>
      <c r="T2375" t="s">
        <v>13232</v>
      </c>
      <c r="U2375" t="s">
        <v>13232</v>
      </c>
      <c r="V2375" t="s">
        <v>13232</v>
      </c>
      <c r="W2375" t="s">
        <v>15556</v>
      </c>
      <c r="X2375">
        <v>20</v>
      </c>
      <c r="Y2375" t="s">
        <v>22042</v>
      </c>
      <c r="Z2375" t="s">
        <v>28506</v>
      </c>
      <c r="AA2375">
        <v>0.49768782715368642</v>
      </c>
      <c r="AB2375" t="str">
        <f>HYPERLINK("Melting_Curves/meltCurve_P46108_CRK.pdf", "Melting_Curves/meltCurve_P46108_CRK.pdf")</f>
        <v>Melting_Curves/meltCurve_P46108_CRK.pdf</v>
      </c>
    </row>
    <row r="2376" spans="1:28" x14ac:dyDescent="0.25">
      <c r="A2376" t="s">
        <v>2380</v>
      </c>
      <c r="B2376">
        <v>0.99930955844802105</v>
      </c>
      <c r="C2376">
        <v>1.04375569269724</v>
      </c>
      <c r="D2376">
        <v>1.1006288256964301</v>
      </c>
      <c r="E2376">
        <v>0.97711806489698205</v>
      </c>
      <c r="F2376">
        <v>0.64512668232853299</v>
      </c>
      <c r="G2376">
        <v>0.46075572643865598</v>
      </c>
      <c r="H2376">
        <v>0.31179105853241201</v>
      </c>
      <c r="I2376">
        <v>0.193589608136682</v>
      </c>
      <c r="J2376">
        <v>0.177302302193938</v>
      </c>
      <c r="K2376">
        <v>0.13013487809855601</v>
      </c>
      <c r="L2376">
        <v>1089.0836212374199</v>
      </c>
      <c r="M2376">
        <v>19.758556270787299</v>
      </c>
      <c r="N2376">
        <v>56.141563421725301</v>
      </c>
      <c r="O2376">
        <v>54.564295614428701</v>
      </c>
      <c r="P2376">
        <v>-7.6857216409133705E-2</v>
      </c>
      <c r="Q2376">
        <v>0.15104782942345299</v>
      </c>
      <c r="R2376">
        <v>0.97605864730573699</v>
      </c>
      <c r="S2376" t="s">
        <v>8993</v>
      </c>
      <c r="T2376" t="s">
        <v>13232</v>
      </c>
      <c r="U2376" t="s">
        <v>13232</v>
      </c>
      <c r="V2376" t="s">
        <v>13232</v>
      </c>
      <c r="W2376" t="s">
        <v>15557</v>
      </c>
      <c r="X2376">
        <v>19</v>
      </c>
      <c r="Y2376" t="s">
        <v>22043</v>
      </c>
      <c r="Z2376" t="s">
        <v>28507</v>
      </c>
      <c r="AA2376">
        <v>0.59037900757970718</v>
      </c>
      <c r="AB2376" t="str">
        <f>HYPERLINK("Melting_Curves/meltCurve_P46109_CRKL.pdf", "Melting_Curves/meltCurve_P46109_CRKL.pdf")</f>
        <v>Melting_Curves/meltCurve_P46109_CRKL.pdf</v>
      </c>
    </row>
    <row r="2377" spans="1:28" x14ac:dyDescent="0.25">
      <c r="A2377" t="s">
        <v>2381</v>
      </c>
      <c r="B2377">
        <v>0.99930955844802105</v>
      </c>
      <c r="C2377">
        <v>0.85355083686620803</v>
      </c>
      <c r="D2377">
        <v>0.59739306615433996</v>
      </c>
      <c r="E2377">
        <v>0.42737172497999898</v>
      </c>
      <c r="F2377">
        <v>0.23954726321477399</v>
      </c>
      <c r="G2377">
        <v>0.178436609676244</v>
      </c>
      <c r="H2377">
        <v>0.13877785073080801</v>
      </c>
      <c r="I2377">
        <v>0.14285489919876501</v>
      </c>
      <c r="J2377">
        <v>0.133553002212352</v>
      </c>
      <c r="K2377">
        <v>0.10397990165372301</v>
      </c>
      <c r="L2377">
        <v>724.95699134606105</v>
      </c>
      <c r="M2377">
        <v>15.353842726397801</v>
      </c>
      <c r="N2377">
        <v>48.050225162789602</v>
      </c>
      <c r="O2377">
        <v>46.437443605697297</v>
      </c>
      <c r="P2377">
        <v>-7.3001207813372396E-2</v>
      </c>
      <c r="Q2377">
        <v>0.116917926557525</v>
      </c>
      <c r="R2377">
        <v>0.991546080005831</v>
      </c>
      <c r="S2377" t="s">
        <v>8994</v>
      </c>
      <c r="T2377" t="s">
        <v>13232</v>
      </c>
      <c r="U2377" t="s">
        <v>13232</v>
      </c>
      <c r="V2377" t="s">
        <v>13232</v>
      </c>
      <c r="W2377" t="s">
        <v>15558</v>
      </c>
      <c r="X2377">
        <v>7</v>
      </c>
      <c r="Y2377" t="s">
        <v>22044</v>
      </c>
      <c r="Z2377" t="s">
        <v>28508</v>
      </c>
      <c r="AA2377">
        <v>0.35192183887879669</v>
      </c>
      <c r="AB2377" t="str">
        <f>HYPERLINK("Melting_Curves/meltCurve_P46199_MTIF2.pdf", "Melting_Curves/meltCurve_P46199_MTIF2.pdf")</f>
        <v>Melting_Curves/meltCurve_P46199_MTIF2.pdf</v>
      </c>
    </row>
    <row r="2378" spans="1:28" x14ac:dyDescent="0.25">
      <c r="A2378" t="s">
        <v>2382</v>
      </c>
      <c r="B2378">
        <v>0.99930955844802105</v>
      </c>
      <c r="C2378">
        <v>0.92661429429023701</v>
      </c>
      <c r="D2378">
        <v>0.91183738301737205</v>
      </c>
      <c r="E2378">
        <v>0.84157336159481</v>
      </c>
      <c r="F2378">
        <v>0.69313940599077095</v>
      </c>
      <c r="G2378">
        <v>0.59973525691029494</v>
      </c>
      <c r="H2378">
        <v>0.54870390664638202</v>
      </c>
      <c r="I2378">
        <v>0.58663097102874395</v>
      </c>
      <c r="J2378">
        <v>0.62597620424702605</v>
      </c>
      <c r="K2378">
        <v>0.44613174481710499</v>
      </c>
      <c r="L2378">
        <v>656.75451171177997</v>
      </c>
      <c r="M2378">
        <v>12.7599089311332</v>
      </c>
      <c r="O2378">
        <v>50.255103658656999</v>
      </c>
      <c r="P2378">
        <v>-3.0876954437548201E-2</v>
      </c>
      <c r="Q2378">
        <v>0.51365488377376101</v>
      </c>
      <c r="R2378">
        <v>0.93499495982035896</v>
      </c>
      <c r="S2378" t="s">
        <v>8995</v>
      </c>
      <c r="T2378" t="s">
        <v>13232</v>
      </c>
      <c r="U2378" t="s">
        <v>13232</v>
      </c>
      <c r="V2378" t="s">
        <v>13232</v>
      </c>
      <c r="W2378" t="s">
        <v>15559</v>
      </c>
      <c r="X2378">
        <v>7</v>
      </c>
      <c r="Y2378" t="s">
        <v>22045</v>
      </c>
      <c r="Z2378" t="s">
        <v>28509</v>
      </c>
      <c r="AA2378">
        <v>0.71374322745289132</v>
      </c>
      <c r="AB2378" t="str">
        <f>HYPERLINK("Melting_Curves/meltCurve_P46527_CDKN1B.pdf", "Melting_Curves/meltCurve_P46527_CDKN1B.pdf")</f>
        <v>Melting_Curves/meltCurve_P46527_CDKN1B.pdf</v>
      </c>
    </row>
    <row r="2379" spans="1:28" x14ac:dyDescent="0.25">
      <c r="A2379" t="s">
        <v>2383</v>
      </c>
      <c r="B2379">
        <v>0.99930955844802105</v>
      </c>
      <c r="C2379">
        <v>1.1155050351726301</v>
      </c>
      <c r="D2379">
        <v>1.02887766493743</v>
      </c>
      <c r="E2379">
        <v>1.0048740382008601</v>
      </c>
      <c r="F2379">
        <v>0.91060012305674898</v>
      </c>
      <c r="G2379">
        <v>0.86371668681892799</v>
      </c>
      <c r="H2379">
        <v>0.78917469814012398</v>
      </c>
      <c r="I2379">
        <v>0.85092686004163798</v>
      </c>
      <c r="J2379">
        <v>0.82063451339712701</v>
      </c>
      <c r="K2379">
        <v>0.69239676441289499</v>
      </c>
      <c r="L2379">
        <v>930.30114736103906</v>
      </c>
      <c r="M2379">
        <v>16.464934398661899</v>
      </c>
      <c r="O2379">
        <v>55.688239128990404</v>
      </c>
      <c r="P2379">
        <v>-1.78965911987621E-2</v>
      </c>
      <c r="Q2379">
        <v>0.75789532981739405</v>
      </c>
      <c r="R2379">
        <v>0.806476507369287</v>
      </c>
      <c r="S2379" t="s">
        <v>8996</v>
      </c>
      <c r="T2379" t="s">
        <v>13232</v>
      </c>
      <c r="U2379" t="s">
        <v>13232</v>
      </c>
      <c r="V2379" t="s">
        <v>13232</v>
      </c>
      <c r="W2379" t="s">
        <v>15560</v>
      </c>
      <c r="X2379">
        <v>8</v>
      </c>
      <c r="Y2379" t="s">
        <v>22046</v>
      </c>
      <c r="Z2379" t="s">
        <v>28510</v>
      </c>
      <c r="AA2379">
        <v>0.89484452619521349</v>
      </c>
      <c r="AB2379" t="str">
        <f>HYPERLINK("Melting_Curves/meltCurve_P46531_NOTCH1.pdf", "Melting_Curves/meltCurve_P46531_NOTCH1.pdf")</f>
        <v>Melting_Curves/meltCurve_P46531_NOTCH1.pdf</v>
      </c>
    </row>
    <row r="2380" spans="1:28" x14ac:dyDescent="0.25">
      <c r="A2380" t="s">
        <v>2384</v>
      </c>
      <c r="B2380">
        <v>0.99930955844802105</v>
      </c>
      <c r="C2380">
        <v>0.60581688885188101</v>
      </c>
      <c r="D2380">
        <v>0.30028151743755799</v>
      </c>
      <c r="E2380">
        <v>0.24004622022161201</v>
      </c>
      <c r="F2380">
        <v>0.15815905147095799</v>
      </c>
      <c r="G2380">
        <v>0.115520838382003</v>
      </c>
      <c r="H2380">
        <v>8.4931633120846894E-2</v>
      </c>
      <c r="I2380">
        <v>8.0732697709286594E-2</v>
      </c>
      <c r="J2380">
        <v>7.4911992272767694E-2</v>
      </c>
      <c r="K2380">
        <v>5.8025173575224097E-2</v>
      </c>
      <c r="L2380">
        <v>1048.17126516858</v>
      </c>
      <c r="M2380">
        <v>23.988827615256401</v>
      </c>
      <c r="N2380">
        <v>44.124839414897899</v>
      </c>
      <c r="O2380">
        <v>43.3939015276028</v>
      </c>
      <c r="P2380">
        <v>-0.123780222108831</v>
      </c>
      <c r="Q2380">
        <v>0.104379471271622</v>
      </c>
      <c r="R2380">
        <v>0.97087279096548895</v>
      </c>
      <c r="S2380" t="s">
        <v>8997</v>
      </c>
      <c r="T2380" t="s">
        <v>13232</v>
      </c>
      <c r="U2380" t="s">
        <v>13232</v>
      </c>
      <c r="V2380" t="s">
        <v>13232</v>
      </c>
      <c r="W2380" t="s">
        <v>15561</v>
      </c>
      <c r="X2380">
        <v>3</v>
      </c>
      <c r="Y2380" t="s">
        <v>22047</v>
      </c>
      <c r="Z2380" t="s">
        <v>28511</v>
      </c>
      <c r="AA2380">
        <v>0.22667863815756531</v>
      </c>
      <c r="AB2380" t="str">
        <f>HYPERLINK("Melting_Curves/meltCurve_P46734_2_MAP2K3.pdf", "Melting_Curves/meltCurve_P46734_2_MAP2K3.pdf")</f>
        <v>Melting_Curves/meltCurve_P46734_2_MAP2K3.pdf</v>
      </c>
    </row>
    <row r="2381" spans="1:28" x14ac:dyDescent="0.25">
      <c r="A2381" t="s">
        <v>2385</v>
      </c>
      <c r="B2381">
        <v>0.99930955844802105</v>
      </c>
      <c r="C2381">
        <v>0.85642948960743703</v>
      </c>
      <c r="D2381">
        <v>0.89322793084941798</v>
      </c>
      <c r="E2381">
        <v>0.93258125050448204</v>
      </c>
      <c r="F2381">
        <v>0.90860184808846201</v>
      </c>
      <c r="G2381">
        <v>0.71748020919685196</v>
      </c>
      <c r="H2381">
        <v>0.33186267085722698</v>
      </c>
      <c r="I2381">
        <v>0.20446789504403801</v>
      </c>
      <c r="J2381">
        <v>0.146523829685721</v>
      </c>
      <c r="K2381">
        <v>0.106074824293221</v>
      </c>
      <c r="L2381">
        <v>1298.39134410203</v>
      </c>
      <c r="M2381">
        <v>22.125680085576001</v>
      </c>
      <c r="N2381">
        <v>59.150265330422201</v>
      </c>
      <c r="O2381">
        <v>58.2094996753776</v>
      </c>
      <c r="P2381">
        <v>-8.7401877672577996E-2</v>
      </c>
      <c r="Q2381">
        <v>8.0252809214289803E-2</v>
      </c>
      <c r="R2381">
        <v>0.97035718140763905</v>
      </c>
      <c r="S2381" t="s">
        <v>8998</v>
      </c>
      <c r="T2381" t="s">
        <v>13232</v>
      </c>
      <c r="U2381" t="s">
        <v>13232</v>
      </c>
      <c r="V2381" t="s">
        <v>13232</v>
      </c>
      <c r="W2381" t="s">
        <v>15562</v>
      </c>
      <c r="X2381">
        <v>10</v>
      </c>
      <c r="Y2381" t="s">
        <v>22048</v>
      </c>
      <c r="Z2381" t="s">
        <v>28512</v>
      </c>
      <c r="AA2381">
        <v>0.66187511761480833</v>
      </c>
      <c r="AB2381" t="str">
        <f>HYPERLINK("Melting_Curves/meltCurve_P46736_2_BRCC3.pdf", "Melting_Curves/meltCurve_P46736_2_BRCC3.pdf")</f>
        <v>Melting_Curves/meltCurve_P46736_2_BRCC3.pdf</v>
      </c>
    </row>
    <row r="2382" spans="1:28" x14ac:dyDescent="0.25">
      <c r="A2382" t="s">
        <v>2386</v>
      </c>
      <c r="B2382">
        <v>0.99930955844802105</v>
      </c>
      <c r="C2382">
        <v>0.93989333711724699</v>
      </c>
      <c r="D2382">
        <v>0.70312782039602795</v>
      </c>
      <c r="E2382">
        <v>0.69448591697347795</v>
      </c>
      <c r="F2382">
        <v>0.24199861180983501</v>
      </c>
      <c r="G2382">
        <v>0.13863111678526899</v>
      </c>
      <c r="H2382">
        <v>8.7528147766817305E-2</v>
      </c>
      <c r="I2382">
        <v>7.90535806397797E-2</v>
      </c>
      <c r="J2382">
        <v>7.1782482311428003E-2</v>
      </c>
      <c r="K2382">
        <v>5.0453970775478002E-2</v>
      </c>
      <c r="L2382">
        <v>774.15847662945703</v>
      </c>
      <c r="M2382">
        <v>15.3950654964104</v>
      </c>
      <c r="N2382">
        <v>50.500294971728302</v>
      </c>
      <c r="O2382">
        <v>49.460585717581502</v>
      </c>
      <c r="P2382">
        <v>-7.5362789187267701E-2</v>
      </c>
      <c r="Q2382">
        <v>3.1599410693564901E-2</v>
      </c>
      <c r="R2382">
        <v>0.96506634513702905</v>
      </c>
      <c r="S2382" t="s">
        <v>8999</v>
      </c>
      <c r="T2382" t="s">
        <v>13232</v>
      </c>
      <c r="U2382" t="s">
        <v>13232</v>
      </c>
      <c r="V2382" t="s">
        <v>13232</v>
      </c>
      <c r="W2382" t="s">
        <v>15563</v>
      </c>
      <c r="X2382">
        <v>18</v>
      </c>
      <c r="Y2382" t="s">
        <v>22049</v>
      </c>
      <c r="Z2382" t="s">
        <v>28513</v>
      </c>
      <c r="AA2382">
        <v>0.38550180808065881</v>
      </c>
      <c r="AB2382" t="str">
        <f>HYPERLINK("Melting_Curves/meltCurve_P46777_RPL5.pdf", "Melting_Curves/meltCurve_P46777_RPL5.pdf")</f>
        <v>Melting_Curves/meltCurve_P46777_RPL5.pdf</v>
      </c>
    </row>
    <row r="2383" spans="1:28" x14ac:dyDescent="0.25">
      <c r="A2383" t="s">
        <v>2387</v>
      </c>
      <c r="B2383">
        <v>0.99930955844802105</v>
      </c>
      <c r="C2383">
        <v>1.1081077070141001</v>
      </c>
      <c r="D2383">
        <v>1.07617230379156</v>
      </c>
      <c r="E2383">
        <v>0.93650994846366398</v>
      </c>
      <c r="F2383">
        <v>0.69840567843361301</v>
      </c>
      <c r="G2383">
        <v>0.41938830951991302</v>
      </c>
      <c r="H2383">
        <v>0.26979441852294</v>
      </c>
      <c r="I2383">
        <v>0.24346254878205401</v>
      </c>
      <c r="J2383">
        <v>0.23476805649135499</v>
      </c>
      <c r="K2383">
        <v>0.187980036551428</v>
      </c>
      <c r="L2383">
        <v>1348.7978143804</v>
      </c>
      <c r="M2383">
        <v>24.8273990371952</v>
      </c>
      <c r="N2383">
        <v>55.595303578274802</v>
      </c>
      <c r="O2383">
        <v>53.9782103267572</v>
      </c>
      <c r="P2383">
        <v>-9.0126997493839206E-2</v>
      </c>
      <c r="Q2383">
        <v>0.216216441455336</v>
      </c>
      <c r="R2383">
        <v>0.98374689798634796</v>
      </c>
      <c r="S2383" t="s">
        <v>9000</v>
      </c>
      <c r="T2383" t="s">
        <v>13232</v>
      </c>
      <c r="U2383" t="s">
        <v>13232</v>
      </c>
      <c r="V2383" t="s">
        <v>13232</v>
      </c>
      <c r="W2383" t="s">
        <v>15564</v>
      </c>
      <c r="X2383">
        <v>4</v>
      </c>
      <c r="Y2383" t="s">
        <v>22050</v>
      </c>
      <c r="Z2383" t="s">
        <v>28514</v>
      </c>
      <c r="AA2383">
        <v>0.59787328114042348</v>
      </c>
      <c r="AB2383" t="str">
        <f>HYPERLINK("Melting_Curves/meltCurve_P46779_4_RPL28.pdf", "Melting_Curves/meltCurve_P46779_4_RPL28.pdf")</f>
        <v>Melting_Curves/meltCurve_P46779_4_RPL28.pdf</v>
      </c>
    </row>
    <row r="2384" spans="1:28" x14ac:dyDescent="0.25">
      <c r="A2384" t="s">
        <v>2388</v>
      </c>
      <c r="B2384">
        <v>0.99930955844802105</v>
      </c>
      <c r="C2384">
        <v>0.72217220169501894</v>
      </c>
      <c r="D2384">
        <v>0.40398729860506999</v>
      </c>
      <c r="E2384">
        <v>0.27366545076675097</v>
      </c>
      <c r="F2384">
        <v>0.18463533777747901</v>
      </c>
      <c r="G2384">
        <v>0.121138177329551</v>
      </c>
      <c r="H2384">
        <v>5.6692663273198697E-2</v>
      </c>
      <c r="I2384">
        <v>3.9920564699703197E-2</v>
      </c>
      <c r="J2384">
        <v>3.1326969794731797E-2</v>
      </c>
      <c r="K2384">
        <v>2.3786112587347301E-2</v>
      </c>
      <c r="L2384">
        <v>727.80357085520802</v>
      </c>
      <c r="M2384">
        <v>16.022680359961001</v>
      </c>
      <c r="N2384">
        <v>45.723616618664003</v>
      </c>
      <c r="O2384">
        <v>44.733448463809502</v>
      </c>
      <c r="P2384">
        <v>-8.50800767779403E-2</v>
      </c>
      <c r="Q2384">
        <v>4.9939632149635302E-2</v>
      </c>
      <c r="R2384">
        <v>0.97760730822550701</v>
      </c>
      <c r="S2384" t="s">
        <v>9001</v>
      </c>
      <c r="T2384" t="s">
        <v>13232</v>
      </c>
      <c r="U2384" t="s">
        <v>13232</v>
      </c>
      <c r="V2384" t="s">
        <v>13232</v>
      </c>
      <c r="W2384" t="s">
        <v>15565</v>
      </c>
      <c r="X2384">
        <v>15</v>
      </c>
      <c r="Y2384" t="s">
        <v>22051</v>
      </c>
      <c r="Z2384" t="s">
        <v>28515</v>
      </c>
      <c r="AA2384">
        <v>0.2470654846750954</v>
      </c>
      <c r="AB2384" t="str">
        <f>HYPERLINK("Melting_Curves/meltCurve_P46781_RPS9.pdf", "Melting_Curves/meltCurve_P46781_RPS9.pdf")</f>
        <v>Melting_Curves/meltCurve_P46781_RPS9.pdf</v>
      </c>
    </row>
    <row r="2385" spans="1:28" x14ac:dyDescent="0.25">
      <c r="A2385" t="s">
        <v>2389</v>
      </c>
      <c r="B2385">
        <v>0.99930955844802105</v>
      </c>
      <c r="C2385">
        <v>1.0168753514603199</v>
      </c>
      <c r="D2385">
        <v>1.0570596757812301</v>
      </c>
      <c r="E2385">
        <v>1.09173735760969</v>
      </c>
      <c r="F2385">
        <v>0.98717453757712503</v>
      </c>
      <c r="G2385">
        <v>1.0144922933846201</v>
      </c>
      <c r="H2385">
        <v>1.05834176555231</v>
      </c>
      <c r="I2385">
        <v>1.1340816929534301</v>
      </c>
      <c r="J2385">
        <v>1.09075030583399</v>
      </c>
      <c r="K2385">
        <v>0.83192767241221699</v>
      </c>
      <c r="L2385">
        <v>15000</v>
      </c>
      <c r="M2385">
        <v>212.68629933925101</v>
      </c>
      <c r="Q2385">
        <v>0</v>
      </c>
      <c r="R2385">
        <v>0.32617976363701601</v>
      </c>
      <c r="S2385" t="s">
        <v>9002</v>
      </c>
      <c r="T2385" t="s">
        <v>13232</v>
      </c>
      <c r="U2385" t="s">
        <v>13232</v>
      </c>
      <c r="V2385" t="s">
        <v>13232</v>
      </c>
      <c r="W2385" t="s">
        <v>15566</v>
      </c>
      <c r="X2385">
        <v>9</v>
      </c>
      <c r="Y2385" t="s">
        <v>22052</v>
      </c>
      <c r="Z2385" t="s">
        <v>28516</v>
      </c>
      <c r="AA2385">
        <v>0.99801575699027534</v>
      </c>
      <c r="AB2385" t="str">
        <f>HYPERLINK("Melting_Curves/meltCurve_P46783_RPS10.pdf", "Melting_Curves/meltCurve_P46783_RPS10.pdf")</f>
        <v>Melting_Curves/meltCurve_P46783_RPS10.pdf</v>
      </c>
    </row>
    <row r="2386" spans="1:28" x14ac:dyDescent="0.25">
      <c r="A2386" t="s">
        <v>2390</v>
      </c>
      <c r="B2386">
        <v>0.99930955844802105</v>
      </c>
      <c r="C2386">
        <v>0.87288038121916101</v>
      </c>
      <c r="D2386">
        <v>1.05861213148353</v>
      </c>
      <c r="E2386">
        <v>0.93775975443991499</v>
      </c>
      <c r="F2386">
        <v>0.83739493924604902</v>
      </c>
      <c r="G2386">
        <v>0.60439349813057797</v>
      </c>
      <c r="H2386">
        <v>0.51414793309754203</v>
      </c>
      <c r="I2386">
        <v>0.53629615549397902</v>
      </c>
      <c r="J2386">
        <v>0.52333446525043703</v>
      </c>
      <c r="K2386">
        <v>0.43174795575442898</v>
      </c>
      <c r="L2386">
        <v>1372.36140008077</v>
      </c>
      <c r="M2386">
        <v>25.1982678637319</v>
      </c>
      <c r="N2386">
        <v>63.781324997371897</v>
      </c>
      <c r="O2386">
        <v>54.1229679900093</v>
      </c>
      <c r="P2386">
        <v>-5.96630952959257E-2</v>
      </c>
      <c r="Q2386">
        <v>0.48740871181385997</v>
      </c>
      <c r="R2386">
        <v>0.94646022097417104</v>
      </c>
      <c r="S2386" t="s">
        <v>9003</v>
      </c>
      <c r="T2386" t="s">
        <v>13232</v>
      </c>
      <c r="U2386" t="s">
        <v>13232</v>
      </c>
      <c r="V2386" t="s">
        <v>13232</v>
      </c>
      <c r="W2386" t="s">
        <v>15567</v>
      </c>
      <c r="X2386">
        <v>92</v>
      </c>
      <c r="Y2386" t="s">
        <v>20091</v>
      </c>
      <c r="Z2386" t="s">
        <v>28517</v>
      </c>
      <c r="AA2386">
        <v>0.73920073769295036</v>
      </c>
      <c r="AB2386" t="str">
        <f>HYPERLINK("Melting_Curves/meltCurve_P46821_MAP1B.pdf", "Melting_Curves/meltCurve_P46821_MAP1B.pdf")</f>
        <v>Melting_Curves/meltCurve_P46821_MAP1B.pdf</v>
      </c>
    </row>
    <row r="2387" spans="1:28" x14ac:dyDescent="0.25">
      <c r="A2387" t="s">
        <v>2391</v>
      </c>
      <c r="B2387">
        <v>0.99930955844802105</v>
      </c>
      <c r="C2387">
        <v>0.94166240788724098</v>
      </c>
      <c r="D2387">
        <v>0.93592069159216096</v>
      </c>
      <c r="E2387">
        <v>0.95769889590028701</v>
      </c>
      <c r="F2387">
        <v>0.99274309101196201</v>
      </c>
      <c r="G2387">
        <v>0.75882249445999606</v>
      </c>
      <c r="H2387">
        <v>0.48285662698489401</v>
      </c>
      <c r="I2387">
        <v>0.47255518652308198</v>
      </c>
      <c r="J2387">
        <v>0.35183282796710902</v>
      </c>
      <c r="K2387">
        <v>0.10786288351863101</v>
      </c>
      <c r="L2387">
        <v>833.95608516883397</v>
      </c>
      <c r="M2387">
        <v>13.3955711847826</v>
      </c>
      <c r="N2387">
        <v>62.256104940457703</v>
      </c>
      <c r="O2387">
        <v>60.917757575531603</v>
      </c>
      <c r="P2387">
        <v>-5.4982623799224598E-2</v>
      </c>
      <c r="Q2387">
        <v>0</v>
      </c>
      <c r="R2387">
        <v>0.96179794316243905</v>
      </c>
      <c r="S2387" t="s">
        <v>9004</v>
      </c>
      <c r="T2387" t="s">
        <v>13232</v>
      </c>
      <c r="U2387" t="s">
        <v>13232</v>
      </c>
      <c r="V2387" t="s">
        <v>13232</v>
      </c>
      <c r="W2387" t="s">
        <v>15568</v>
      </c>
      <c r="X2387">
        <v>15</v>
      </c>
      <c r="Y2387" t="s">
        <v>22053</v>
      </c>
      <c r="Z2387" t="s">
        <v>28518</v>
      </c>
      <c r="AA2387">
        <v>0.73342408872678699</v>
      </c>
      <c r="AB2387" t="str">
        <f>HYPERLINK("Melting_Curves/meltCurve_P46926_GNPDA1.pdf", "Melting_Curves/meltCurve_P46926_GNPDA1.pdf")</f>
        <v>Melting_Curves/meltCurve_P46926_GNPDA1.pdf</v>
      </c>
    </row>
    <row r="2388" spans="1:28" x14ac:dyDescent="0.25">
      <c r="A2388" t="s">
        <v>2392</v>
      </c>
      <c r="B2388">
        <v>0.99930955844802105</v>
      </c>
      <c r="C2388">
        <v>1.00158190663941</v>
      </c>
      <c r="D2388">
        <v>0.96688649255252102</v>
      </c>
      <c r="E2388">
        <v>0.72724969992469701</v>
      </c>
      <c r="F2388">
        <v>0.31277617060676299</v>
      </c>
      <c r="G2388">
        <v>0.206072807849664</v>
      </c>
      <c r="H2388">
        <v>0.142283976078729</v>
      </c>
      <c r="I2388">
        <v>0.12154112612665401</v>
      </c>
      <c r="J2388">
        <v>0.11812482256579999</v>
      </c>
      <c r="K2388">
        <v>8.2928990261767893E-2</v>
      </c>
      <c r="L2388">
        <v>1648.04690137226</v>
      </c>
      <c r="M2388">
        <v>32.232752945387702</v>
      </c>
      <c r="N2388">
        <v>51.583869862760501</v>
      </c>
      <c r="O2388">
        <v>50.933977680906096</v>
      </c>
      <c r="P2388">
        <v>-0.138659329157025</v>
      </c>
      <c r="Q2388">
        <v>0.123570188609804</v>
      </c>
      <c r="R2388">
        <v>0.99631966426873297</v>
      </c>
      <c r="S2388" t="s">
        <v>9005</v>
      </c>
      <c r="T2388" t="s">
        <v>13232</v>
      </c>
      <c r="U2388" t="s">
        <v>13232</v>
      </c>
      <c r="V2388" t="s">
        <v>13232</v>
      </c>
      <c r="W2388" t="s">
        <v>15569</v>
      </c>
      <c r="X2388">
        <v>26</v>
      </c>
      <c r="Y2388" t="s">
        <v>22054</v>
      </c>
      <c r="Z2388" t="s">
        <v>28519</v>
      </c>
      <c r="AA2388">
        <v>0.45349537422883801</v>
      </c>
      <c r="AB2388" t="str">
        <f>HYPERLINK("Melting_Curves/meltCurve_P46934_4_NEDD4.pdf", "Melting_Curves/meltCurve_P46934_4_NEDD4.pdf")</f>
        <v>Melting_Curves/meltCurve_P46934_4_NEDD4.pdf</v>
      </c>
    </row>
    <row r="2389" spans="1:28" x14ac:dyDescent="0.25">
      <c r="A2389" t="s">
        <v>2393</v>
      </c>
      <c r="B2389">
        <v>0.99930955844802105</v>
      </c>
      <c r="C2389">
        <v>1.06773233280605</v>
      </c>
      <c r="D2389">
        <v>0.98059909563591097</v>
      </c>
      <c r="E2389">
        <v>0.84891041467067696</v>
      </c>
      <c r="F2389">
        <v>0.58804798866709795</v>
      </c>
      <c r="G2389">
        <v>0.48104016800027499</v>
      </c>
      <c r="H2389">
        <v>0.35695554746417402</v>
      </c>
      <c r="I2389">
        <v>0.32833285202076301</v>
      </c>
      <c r="J2389">
        <v>0.28949631325712999</v>
      </c>
      <c r="K2389">
        <v>0.244280992141614</v>
      </c>
      <c r="L2389">
        <v>959.86547635172406</v>
      </c>
      <c r="M2389">
        <v>18.052084292881901</v>
      </c>
      <c r="N2389">
        <v>55.641043265706699</v>
      </c>
      <c r="O2389">
        <v>52.532385543840697</v>
      </c>
      <c r="P2389">
        <v>-6.2238183912777502E-2</v>
      </c>
      <c r="Q2389">
        <v>0.27557156338077599</v>
      </c>
      <c r="R2389">
        <v>0.98474671925957802</v>
      </c>
      <c r="S2389" t="s">
        <v>9006</v>
      </c>
      <c r="T2389" t="s">
        <v>13232</v>
      </c>
      <c r="U2389" t="s">
        <v>13232</v>
      </c>
      <c r="V2389" t="s">
        <v>13232</v>
      </c>
      <c r="W2389" t="s">
        <v>15570</v>
      </c>
      <c r="X2389">
        <v>7</v>
      </c>
      <c r="Y2389" t="s">
        <v>22055</v>
      </c>
      <c r="Z2389" t="s">
        <v>28520</v>
      </c>
      <c r="AA2389">
        <v>0.60541165983561074</v>
      </c>
      <c r="AB2389" t="str">
        <f>HYPERLINK("Melting_Curves/meltCurve_P46939_UTRN.pdf", "Melting_Curves/meltCurve_P46939_UTRN.pdf")</f>
        <v>Melting_Curves/meltCurve_P46939_UTRN.pdf</v>
      </c>
    </row>
    <row r="2390" spans="1:28" x14ac:dyDescent="0.25">
      <c r="A2390" t="s">
        <v>2394</v>
      </c>
      <c r="B2390">
        <v>0.99930955844802105</v>
      </c>
      <c r="C2390">
        <v>0.94374108025470005</v>
      </c>
      <c r="D2390">
        <v>0.75508775154105501</v>
      </c>
      <c r="E2390">
        <v>0.48553040202991399</v>
      </c>
      <c r="F2390">
        <v>0.187701718666898</v>
      </c>
      <c r="G2390">
        <v>0.11529999875491</v>
      </c>
      <c r="H2390">
        <v>6.46367374702599E-2</v>
      </c>
      <c r="I2390">
        <v>5.5883465906938601E-2</v>
      </c>
      <c r="J2390">
        <v>4.6361979938266303E-2</v>
      </c>
      <c r="K2390">
        <v>3.8013462586286503E-2</v>
      </c>
      <c r="L2390">
        <v>905.37654172605801</v>
      </c>
      <c r="M2390">
        <v>18.4400346122173</v>
      </c>
      <c r="N2390">
        <v>49.303780062205497</v>
      </c>
      <c r="O2390">
        <v>48.531923659592302</v>
      </c>
      <c r="P2390">
        <v>-9.1481967820751006E-2</v>
      </c>
      <c r="Q2390">
        <v>3.6965643276737001E-2</v>
      </c>
      <c r="R2390">
        <v>0.99604259515814697</v>
      </c>
      <c r="S2390" t="s">
        <v>9007</v>
      </c>
      <c r="T2390" t="s">
        <v>13232</v>
      </c>
      <c r="U2390" t="s">
        <v>13232</v>
      </c>
      <c r="V2390" t="s">
        <v>13232</v>
      </c>
      <c r="W2390" t="s">
        <v>15571</v>
      </c>
      <c r="X2390">
        <v>82</v>
      </c>
      <c r="Y2390" t="s">
        <v>22056</v>
      </c>
      <c r="Z2390" t="s">
        <v>28521</v>
      </c>
      <c r="AA2390">
        <v>0.34490421018010531</v>
      </c>
      <c r="AB2390" t="str">
        <f>HYPERLINK("Melting_Curves/meltCurve_P46940_IQGAP1.pdf", "Melting_Curves/meltCurve_P46940_IQGAP1.pdf")</f>
        <v>Melting_Curves/meltCurve_P46940_IQGAP1.pdf</v>
      </c>
    </row>
    <row r="2391" spans="1:28" x14ac:dyDescent="0.25">
      <c r="A2391" t="s">
        <v>2395</v>
      </c>
      <c r="B2391">
        <v>0.99930955844802105</v>
      </c>
      <c r="C2391">
        <v>0.97687601592742301</v>
      </c>
      <c r="D2391">
        <v>0.90871878927454597</v>
      </c>
      <c r="E2391">
        <v>0.80675014587239002</v>
      </c>
      <c r="F2391">
        <v>0.67858969742962705</v>
      </c>
      <c r="G2391">
        <v>0.40821284160982602</v>
      </c>
      <c r="H2391">
        <v>0.19023868068427</v>
      </c>
      <c r="I2391">
        <v>0.15079730290250201</v>
      </c>
      <c r="J2391">
        <v>0.130353464682397</v>
      </c>
      <c r="K2391">
        <v>9.27988888730817E-2</v>
      </c>
      <c r="L2391">
        <v>799.55648916298105</v>
      </c>
      <c r="M2391">
        <v>14.5502370018731</v>
      </c>
      <c r="N2391">
        <v>55.323705711609598</v>
      </c>
      <c r="O2391">
        <v>53.944750198658298</v>
      </c>
      <c r="P2391">
        <v>-6.4293993518044101E-2</v>
      </c>
      <c r="Q2391">
        <v>4.6633065278319001E-2</v>
      </c>
      <c r="R2391">
        <v>0.99648738163356698</v>
      </c>
      <c r="S2391" t="s">
        <v>9008</v>
      </c>
      <c r="T2391" t="s">
        <v>13232</v>
      </c>
      <c r="U2391" t="s">
        <v>13232</v>
      </c>
      <c r="V2391" t="s">
        <v>13232</v>
      </c>
      <c r="W2391" t="s">
        <v>15572</v>
      </c>
      <c r="X2391">
        <v>4</v>
      </c>
      <c r="Y2391" t="s">
        <v>22057</v>
      </c>
      <c r="Z2391" t="s">
        <v>28522</v>
      </c>
      <c r="AA2391">
        <v>0.54081778875326991</v>
      </c>
      <c r="AB2391" t="str">
        <f>HYPERLINK("Melting_Curves/meltCurve_P46976_2_GYG1.pdf", "Melting_Curves/meltCurve_P46976_2_GYG1.pdf")</f>
        <v>Melting_Curves/meltCurve_P46976_2_GYG1.pdf</v>
      </c>
    </row>
    <row r="2392" spans="1:28" x14ac:dyDescent="0.25">
      <c r="A2392" t="s">
        <v>2396</v>
      </c>
      <c r="B2392">
        <v>0.99930955844802105</v>
      </c>
      <c r="C2392">
        <v>0.72972560734619396</v>
      </c>
      <c r="D2392">
        <v>0.53103365782620404</v>
      </c>
      <c r="E2392">
        <v>0.67675591307441396</v>
      </c>
      <c r="F2392">
        <v>0.37823735811992598</v>
      </c>
      <c r="G2392">
        <v>0.14253362192934599</v>
      </c>
      <c r="H2392">
        <v>7.9957342864532904E-2</v>
      </c>
      <c r="I2392">
        <v>7.6030553503413395E-2</v>
      </c>
      <c r="J2392">
        <v>7.4371809923008E-2</v>
      </c>
      <c r="K2392">
        <v>5.6182752695255397E-2</v>
      </c>
      <c r="L2392">
        <v>476.87886984336899</v>
      </c>
      <c r="M2392">
        <v>9.6430475127367092</v>
      </c>
      <c r="N2392">
        <v>49.453109267776199</v>
      </c>
      <c r="O2392">
        <v>47.466781548489301</v>
      </c>
      <c r="P2392">
        <v>-5.0816778736773899E-2</v>
      </c>
      <c r="Q2392">
        <v>0</v>
      </c>
      <c r="R2392">
        <v>0.91647325651406997</v>
      </c>
      <c r="S2392" t="s">
        <v>9009</v>
      </c>
      <c r="T2392" t="s">
        <v>13232</v>
      </c>
      <c r="U2392" t="s">
        <v>13232</v>
      </c>
      <c r="V2392" t="s">
        <v>13232</v>
      </c>
      <c r="W2392" t="s">
        <v>15573</v>
      </c>
      <c r="X2392">
        <v>7</v>
      </c>
      <c r="Y2392" t="s">
        <v>22058</v>
      </c>
      <c r="Z2392" t="s">
        <v>28523</v>
      </c>
      <c r="AA2392">
        <v>0.36480466819588597</v>
      </c>
      <c r="AB2392" t="str">
        <f>HYPERLINK("Melting_Curves/meltCurve_P46977_STT3A.pdf", "Melting_Curves/meltCurve_P46977_STT3A.pdf")</f>
        <v>Melting_Curves/meltCurve_P46977_STT3A.pdf</v>
      </c>
    </row>
    <row r="2393" spans="1:28" x14ac:dyDescent="0.25">
      <c r="A2393" t="s">
        <v>2397</v>
      </c>
      <c r="B2393">
        <v>0.99930955844802105</v>
      </c>
      <c r="C2393">
        <v>1.08024279646236</v>
      </c>
      <c r="D2393">
        <v>1.0867340077762999</v>
      </c>
      <c r="E2393">
        <v>1.00712169830166</v>
      </c>
      <c r="F2393">
        <v>0.80857448861711501</v>
      </c>
      <c r="G2393">
        <v>0.51317935830876105</v>
      </c>
      <c r="H2393">
        <v>0.19132732375668801</v>
      </c>
      <c r="I2393">
        <v>0.108317561301392</v>
      </c>
      <c r="J2393">
        <v>9.9033913047082006E-2</v>
      </c>
      <c r="K2393">
        <v>6.6616524346191405E-2</v>
      </c>
      <c r="L2393">
        <v>1371.6265517228501</v>
      </c>
      <c r="M2393">
        <v>24.2265537684242</v>
      </c>
      <c r="N2393">
        <v>56.929188787289803</v>
      </c>
      <c r="O2393">
        <v>56.235144704448999</v>
      </c>
      <c r="P2393">
        <v>-0.10099730381727701</v>
      </c>
      <c r="Q2393">
        <v>6.2266894461539497E-2</v>
      </c>
      <c r="R2393">
        <v>0.98934304421978203</v>
      </c>
      <c r="S2393" t="s">
        <v>9010</v>
      </c>
      <c r="T2393" t="s">
        <v>13232</v>
      </c>
      <c r="U2393" t="s">
        <v>13232</v>
      </c>
      <c r="V2393" t="s">
        <v>13232</v>
      </c>
      <c r="W2393" t="s">
        <v>15574</v>
      </c>
      <c r="X2393">
        <v>3</v>
      </c>
      <c r="Y2393" t="s">
        <v>22059</v>
      </c>
      <c r="Z2393" t="s">
        <v>28524</v>
      </c>
      <c r="AA2393">
        <v>0.59062074426252154</v>
      </c>
      <c r="AB2393" t="str">
        <f>HYPERLINK("Melting_Curves/meltCurve_P47224_RABIF.pdf", "Melting_Curves/meltCurve_P47224_RABIF.pdf")</f>
        <v>Melting_Curves/meltCurve_P47224_RABIF.pdf</v>
      </c>
    </row>
    <row r="2394" spans="1:28" x14ac:dyDescent="0.25">
      <c r="A2394" t="s">
        <v>2398</v>
      </c>
      <c r="B2394">
        <v>0.99930955844802105</v>
      </c>
      <c r="C2394">
        <v>0.92270204794174104</v>
      </c>
      <c r="D2394">
        <v>0.88982414005325405</v>
      </c>
      <c r="E2394">
        <v>0.70659757171216198</v>
      </c>
      <c r="F2394">
        <v>0.379537047607028</v>
      </c>
      <c r="G2394">
        <v>0.227118496410326</v>
      </c>
      <c r="H2394">
        <v>0.12417219770165699</v>
      </c>
      <c r="I2394">
        <v>9.9675325082877603E-2</v>
      </c>
      <c r="J2394">
        <v>0.105071004501258</v>
      </c>
      <c r="K2394">
        <v>8.1168998879923002E-2</v>
      </c>
      <c r="L2394">
        <v>943.63549003221499</v>
      </c>
      <c r="M2394">
        <v>18.3345286208048</v>
      </c>
      <c r="N2394">
        <v>51.956568881336899</v>
      </c>
      <c r="O2394">
        <v>50.867117796198599</v>
      </c>
      <c r="P2394">
        <v>-8.2974358574427795E-2</v>
      </c>
      <c r="Q2394">
        <v>7.9229594538273204E-2</v>
      </c>
      <c r="R2394">
        <v>0.99434944973983097</v>
      </c>
      <c r="S2394" t="s">
        <v>9011</v>
      </c>
      <c r="T2394" t="s">
        <v>13232</v>
      </c>
      <c r="U2394" t="s">
        <v>13232</v>
      </c>
      <c r="V2394" t="s">
        <v>13232</v>
      </c>
      <c r="W2394" t="s">
        <v>15575</v>
      </c>
      <c r="X2394">
        <v>3</v>
      </c>
      <c r="Y2394" t="s">
        <v>22060</v>
      </c>
      <c r="Z2394" t="s">
        <v>28525</v>
      </c>
      <c r="AA2394">
        <v>0.44613411982852558</v>
      </c>
      <c r="AB2394" t="str">
        <f>HYPERLINK("Melting_Curves/meltCurve_P47712_PLA2G4A.pdf", "Melting_Curves/meltCurve_P47712_PLA2G4A.pdf")</f>
        <v>Melting_Curves/meltCurve_P47712_PLA2G4A.pdf</v>
      </c>
    </row>
    <row r="2395" spans="1:28" x14ac:dyDescent="0.25">
      <c r="A2395" t="s">
        <v>2399</v>
      </c>
      <c r="B2395">
        <v>0.99930955844802105</v>
      </c>
      <c r="C2395">
        <v>1.0844354796805</v>
      </c>
      <c r="D2395">
        <v>0.90665039684620996</v>
      </c>
      <c r="E2395">
        <v>0.67816522572015103</v>
      </c>
      <c r="F2395">
        <v>0.51924278994130901</v>
      </c>
      <c r="G2395">
        <v>0.42593807780144299</v>
      </c>
      <c r="H2395">
        <v>0.40080817913174799</v>
      </c>
      <c r="I2395">
        <v>0.41571077739776802</v>
      </c>
      <c r="J2395">
        <v>0.39643926081018599</v>
      </c>
      <c r="K2395">
        <v>0.33226081212957298</v>
      </c>
      <c r="L2395">
        <v>1163.6600498448199</v>
      </c>
      <c r="M2395">
        <v>23.313795841187002</v>
      </c>
      <c r="N2395">
        <v>53.274892548054197</v>
      </c>
      <c r="O2395">
        <v>49.550058695108604</v>
      </c>
      <c r="P2395">
        <v>-7.2321162921398299E-2</v>
      </c>
      <c r="Q2395">
        <v>0.385178746677178</v>
      </c>
      <c r="R2395">
        <v>0.98060685673678705</v>
      </c>
      <c r="S2395" t="s">
        <v>9012</v>
      </c>
      <c r="T2395" t="s">
        <v>13232</v>
      </c>
      <c r="U2395" t="s">
        <v>13232</v>
      </c>
      <c r="V2395" t="s">
        <v>13232</v>
      </c>
      <c r="W2395" t="s">
        <v>15576</v>
      </c>
      <c r="X2395">
        <v>9</v>
      </c>
      <c r="Y2395" t="s">
        <v>22061</v>
      </c>
      <c r="Z2395" t="s">
        <v>28526</v>
      </c>
      <c r="AA2395">
        <v>0.5946523339854991</v>
      </c>
      <c r="AB2395" t="str">
        <f>HYPERLINK("Melting_Curves/meltCurve_P47736_RAP1GAP.pdf", "Melting_Curves/meltCurve_P47736_RAP1GAP.pdf")</f>
        <v>Melting_Curves/meltCurve_P47736_RAP1GAP.pdf</v>
      </c>
    </row>
    <row r="2396" spans="1:28" x14ac:dyDescent="0.25">
      <c r="A2396" t="s">
        <v>2400</v>
      </c>
      <c r="B2396">
        <v>0.99930955844802105</v>
      </c>
      <c r="C2396">
        <v>1.1259124875456401</v>
      </c>
      <c r="D2396">
        <v>1.1123240645329799</v>
      </c>
      <c r="E2396">
        <v>1.1743866621566901</v>
      </c>
      <c r="F2396">
        <v>1.1187557614777699</v>
      </c>
      <c r="G2396">
        <v>0.62781181660477003</v>
      </c>
      <c r="H2396">
        <v>0.20148324367318801</v>
      </c>
      <c r="I2396">
        <v>9.2059865271625796E-2</v>
      </c>
      <c r="J2396">
        <v>6.6959804069296594E-2</v>
      </c>
      <c r="K2396">
        <v>5.1077386724577199E-2</v>
      </c>
      <c r="L2396">
        <v>2536.88731267823</v>
      </c>
      <c r="M2396">
        <v>43.987478992623998</v>
      </c>
      <c r="N2396">
        <v>57.893987142358498</v>
      </c>
      <c r="O2396">
        <v>57.554105845303702</v>
      </c>
      <c r="P2396">
        <v>-0.17630108910404499</v>
      </c>
      <c r="Q2396">
        <v>7.7297393955901406E-2</v>
      </c>
      <c r="R2396">
        <v>0.96382128416344703</v>
      </c>
      <c r="S2396" t="s">
        <v>9013</v>
      </c>
      <c r="T2396" t="s">
        <v>13232</v>
      </c>
      <c r="U2396" t="s">
        <v>13232</v>
      </c>
      <c r="V2396" t="s">
        <v>13232</v>
      </c>
      <c r="W2396" t="s">
        <v>15577</v>
      </c>
      <c r="X2396">
        <v>16</v>
      </c>
      <c r="Y2396" t="s">
        <v>22062</v>
      </c>
      <c r="Z2396" t="s">
        <v>28527</v>
      </c>
      <c r="AA2396">
        <v>0.62387038436235343</v>
      </c>
      <c r="AB2396" t="str">
        <f>HYPERLINK("Melting_Curves/meltCurve_P47755_CAPZA2.pdf", "Melting_Curves/meltCurve_P47755_CAPZA2.pdf")</f>
        <v>Melting_Curves/meltCurve_P47755_CAPZA2.pdf</v>
      </c>
    </row>
    <row r="2397" spans="1:28" x14ac:dyDescent="0.25">
      <c r="A2397" t="s">
        <v>2401</v>
      </c>
      <c r="B2397">
        <v>0.99930955844802105</v>
      </c>
      <c r="C2397">
        <v>1.0172327328462301</v>
      </c>
      <c r="D2397">
        <v>1.0903258475337101</v>
      </c>
      <c r="E2397">
        <v>1.02690510637181</v>
      </c>
      <c r="F2397">
        <v>0.83847777175096005</v>
      </c>
      <c r="G2397">
        <v>0.57060819582056299</v>
      </c>
      <c r="H2397">
        <v>0.26052767156192802</v>
      </c>
      <c r="I2397">
        <v>0.14672331433486399</v>
      </c>
      <c r="J2397">
        <v>9.8745618485098094E-2</v>
      </c>
      <c r="K2397">
        <v>7.4072642253079496E-2</v>
      </c>
      <c r="L2397">
        <v>1298.9377687035101</v>
      </c>
      <c r="M2397">
        <v>22.641911066216601</v>
      </c>
      <c r="N2397">
        <v>57.714386127326797</v>
      </c>
      <c r="O2397">
        <v>56.926849332953601</v>
      </c>
      <c r="P2397">
        <v>-9.3131387261025003E-2</v>
      </c>
      <c r="Q2397">
        <v>6.3405765283393506E-2</v>
      </c>
      <c r="R2397">
        <v>0.99159495243743101</v>
      </c>
      <c r="S2397" t="s">
        <v>9014</v>
      </c>
      <c r="T2397" t="s">
        <v>13232</v>
      </c>
      <c r="U2397" t="s">
        <v>13232</v>
      </c>
      <c r="V2397" t="s">
        <v>13232</v>
      </c>
      <c r="W2397" t="s">
        <v>15578</v>
      </c>
      <c r="X2397">
        <v>8</v>
      </c>
      <c r="Y2397" t="s">
        <v>22063</v>
      </c>
      <c r="Z2397" t="s">
        <v>28528</v>
      </c>
      <c r="AA2397">
        <v>0.61526013792933298</v>
      </c>
      <c r="AB2397" t="str">
        <f>HYPERLINK("Melting_Curves/meltCurve_P47813_EIF1AX.pdf", "Melting_Curves/meltCurve_P47813_EIF1AX.pdf")</f>
        <v>Melting_Curves/meltCurve_P47813_EIF1AX.pdf</v>
      </c>
    </row>
    <row r="2398" spans="1:28" x14ac:dyDescent="0.25">
      <c r="A2398" t="s">
        <v>2402</v>
      </c>
      <c r="B2398">
        <v>0.99930955844802105</v>
      </c>
      <c r="C2398">
        <v>0.73671296443657797</v>
      </c>
      <c r="D2398">
        <v>0.668360788562951</v>
      </c>
      <c r="E2398">
        <v>0.571293131045573</v>
      </c>
      <c r="F2398">
        <v>0.22667872306723699</v>
      </c>
      <c r="G2398">
        <v>0.15405220767849101</v>
      </c>
      <c r="H2398">
        <v>9.64786110554854E-2</v>
      </c>
      <c r="I2398">
        <v>9.2702644361146405E-2</v>
      </c>
      <c r="J2398">
        <v>8.9810432450032701E-2</v>
      </c>
      <c r="K2398">
        <v>6.7387688290570305E-2</v>
      </c>
      <c r="L2398">
        <v>561.68263466458495</v>
      </c>
      <c r="M2398">
        <v>11.5096684500273</v>
      </c>
      <c r="N2398">
        <v>49.031149043865</v>
      </c>
      <c r="O2398">
        <v>47.397504568285498</v>
      </c>
      <c r="P2398">
        <v>-5.9128149482415203E-2</v>
      </c>
      <c r="Q2398">
        <v>2.6302789352415801E-2</v>
      </c>
      <c r="R2398">
        <v>0.96353423492933199</v>
      </c>
      <c r="S2398" t="s">
        <v>9015</v>
      </c>
      <c r="T2398" t="s">
        <v>13232</v>
      </c>
      <c r="U2398" t="s">
        <v>13232</v>
      </c>
      <c r="V2398" t="s">
        <v>13232</v>
      </c>
      <c r="W2398" t="s">
        <v>15579</v>
      </c>
      <c r="X2398">
        <v>31</v>
      </c>
      <c r="Y2398" t="s">
        <v>22064</v>
      </c>
      <c r="Z2398" t="s">
        <v>28529</v>
      </c>
      <c r="AA2398">
        <v>0.35077581477749292</v>
      </c>
      <c r="AB2398" t="str">
        <f>HYPERLINK("Melting_Curves/meltCurve_P47897_QARS.pdf", "Melting_Curves/meltCurve_P47897_QARS.pdf")</f>
        <v>Melting_Curves/meltCurve_P47897_QARS.pdf</v>
      </c>
    </row>
    <row r="2399" spans="1:28" x14ac:dyDescent="0.25">
      <c r="A2399" t="s">
        <v>2403</v>
      </c>
      <c r="B2399">
        <v>0.99930955844802105</v>
      </c>
      <c r="C2399">
        <v>1.31150949307411</v>
      </c>
      <c r="D2399">
        <v>1.27741724433452</v>
      </c>
      <c r="E2399">
        <v>1.3771659712234601</v>
      </c>
      <c r="F2399">
        <v>1.6231772653704</v>
      </c>
      <c r="G2399">
        <v>1.45449773872521</v>
      </c>
      <c r="H2399">
        <v>1.5767802004091001</v>
      </c>
      <c r="I2399">
        <v>1.63145967090773</v>
      </c>
      <c r="J2399">
        <v>1.6760860504334001</v>
      </c>
      <c r="K2399">
        <v>1.2281500356803901</v>
      </c>
      <c r="L2399">
        <v>790.40770082048596</v>
      </c>
      <c r="M2399">
        <v>18.051410289198699</v>
      </c>
      <c r="O2399">
        <v>43.259724130132803</v>
      </c>
      <c r="P2399">
        <v>5.2162523615304601E-2</v>
      </c>
      <c r="Q2399">
        <v>1.5</v>
      </c>
      <c r="R2399">
        <v>0.57643534685225395</v>
      </c>
      <c r="S2399" t="s">
        <v>9016</v>
      </c>
      <c r="T2399" t="s">
        <v>13232</v>
      </c>
      <c r="U2399" t="s">
        <v>13232</v>
      </c>
      <c r="V2399" t="s">
        <v>13232</v>
      </c>
      <c r="W2399" t="s">
        <v>15580</v>
      </c>
      <c r="X2399">
        <v>4</v>
      </c>
      <c r="Y2399" t="s">
        <v>22065</v>
      </c>
      <c r="Z2399" t="s">
        <v>28530</v>
      </c>
      <c r="AA2399">
        <v>1.424225142642104</v>
      </c>
      <c r="AB2399" t="str">
        <f>HYPERLINK("Melting_Curves/meltCurve_P47914_RPL29.pdf", "Melting_Curves/meltCurve_P47914_RPL29.pdf")</f>
        <v>Melting_Curves/meltCurve_P47914_RPL29.pdf</v>
      </c>
    </row>
    <row r="2400" spans="1:28" x14ac:dyDescent="0.25">
      <c r="A2400" t="s">
        <v>2404</v>
      </c>
      <c r="B2400">
        <v>0.99930955844802105</v>
      </c>
      <c r="C2400">
        <v>1.3224333091476701</v>
      </c>
      <c r="D2400">
        <v>1.01534874348877</v>
      </c>
      <c r="E2400">
        <v>0.95646062169563895</v>
      </c>
      <c r="F2400">
        <v>0.91914847866867999</v>
      </c>
      <c r="G2400">
        <v>0.80837935227947799</v>
      </c>
      <c r="H2400">
        <v>0.78470302077083998</v>
      </c>
      <c r="I2400">
        <v>0.82187117219179595</v>
      </c>
      <c r="J2400">
        <v>1.0138240871194</v>
      </c>
      <c r="K2400">
        <v>0.67829409709640998</v>
      </c>
      <c r="L2400">
        <v>1950.1603708098501</v>
      </c>
      <c r="M2400">
        <v>36.929787247386898</v>
      </c>
      <c r="O2400">
        <v>52.653103090593298</v>
      </c>
      <c r="P2400">
        <v>-3.1511452541480398E-2</v>
      </c>
      <c r="Q2400">
        <v>0.820289082199811</v>
      </c>
      <c r="R2400">
        <v>0.42246705695238002</v>
      </c>
      <c r="S2400" t="s">
        <v>9017</v>
      </c>
      <c r="T2400" t="s">
        <v>13232</v>
      </c>
      <c r="U2400" t="s">
        <v>13232</v>
      </c>
      <c r="V2400" t="s">
        <v>13232</v>
      </c>
      <c r="W2400" t="s">
        <v>15581</v>
      </c>
      <c r="X2400">
        <v>4</v>
      </c>
      <c r="Y2400" t="s">
        <v>22066</v>
      </c>
      <c r="Z2400" t="s">
        <v>28531</v>
      </c>
      <c r="AA2400">
        <v>0.89777831051824919</v>
      </c>
      <c r="AB2400" t="str">
        <f>HYPERLINK("Melting_Curves/meltCurve_P47974_ZFP36L2.pdf", "Melting_Curves/meltCurve_P47974_ZFP36L2.pdf")</f>
        <v>Melting_Curves/meltCurve_P47974_ZFP36L2.pdf</v>
      </c>
    </row>
    <row r="2401" spans="1:28" x14ac:dyDescent="0.25">
      <c r="A2401" t="s">
        <v>2405</v>
      </c>
      <c r="B2401">
        <v>0.99930955844802105</v>
      </c>
      <c r="C2401">
        <v>1.0605252938077001</v>
      </c>
      <c r="D2401">
        <v>0.81327775976280703</v>
      </c>
      <c r="E2401">
        <v>0.724095155469757</v>
      </c>
      <c r="F2401">
        <v>0.60300846764829996</v>
      </c>
      <c r="G2401">
        <v>0.51562050203728205</v>
      </c>
      <c r="H2401">
        <v>0.57273453930154905</v>
      </c>
      <c r="I2401">
        <v>0.65957960934165005</v>
      </c>
      <c r="J2401">
        <v>0.67810618984789595</v>
      </c>
      <c r="K2401">
        <v>0.47762405278366599</v>
      </c>
      <c r="L2401">
        <v>1173.0591896496901</v>
      </c>
      <c r="M2401">
        <v>24.702426032403299</v>
      </c>
      <c r="O2401">
        <v>47.179684423127</v>
      </c>
      <c r="P2401">
        <v>-5.46598655293562E-2</v>
      </c>
      <c r="Q2401">
        <v>0.58242178834750102</v>
      </c>
      <c r="R2401">
        <v>0.86898269654887506</v>
      </c>
      <c r="S2401" t="s">
        <v>9018</v>
      </c>
      <c r="T2401" t="s">
        <v>13232</v>
      </c>
      <c r="U2401" t="s">
        <v>13232</v>
      </c>
      <c r="V2401" t="s">
        <v>13232</v>
      </c>
      <c r="W2401" t="s">
        <v>15582</v>
      </c>
      <c r="X2401">
        <v>5</v>
      </c>
      <c r="Y2401" t="s">
        <v>22067</v>
      </c>
      <c r="Z2401" t="s">
        <v>28532</v>
      </c>
      <c r="AA2401">
        <v>0.69044302200189411</v>
      </c>
      <c r="AB2401" t="str">
        <f>HYPERLINK("Melting_Curves/meltCurve_P47985_UQCRFS1.pdf", "Melting_Curves/meltCurve_P47985_UQCRFS1.pdf")</f>
        <v>Melting_Curves/meltCurve_P47985_UQCRFS1.pdf</v>
      </c>
    </row>
    <row r="2402" spans="1:28" x14ac:dyDescent="0.25">
      <c r="A2402" t="s">
        <v>2406</v>
      </c>
      <c r="B2402">
        <v>0.99930955844802105</v>
      </c>
      <c r="C2402">
        <v>0.92703565203301097</v>
      </c>
      <c r="D2402">
        <v>0.833608179173282</v>
      </c>
      <c r="E2402">
        <v>0.61684579833677</v>
      </c>
      <c r="F2402">
        <v>0.26818647603954199</v>
      </c>
      <c r="G2402">
        <v>0.17551376403183999</v>
      </c>
      <c r="H2402">
        <v>0.100863014320573</v>
      </c>
      <c r="I2402">
        <v>8.8439750222600894E-2</v>
      </c>
      <c r="J2402">
        <v>7.54521200254374E-2</v>
      </c>
      <c r="K2402">
        <v>6.00242836195422E-2</v>
      </c>
      <c r="L2402">
        <v>919.20922933777797</v>
      </c>
      <c r="M2402">
        <v>18.270478412742499</v>
      </c>
      <c r="N2402">
        <v>50.678259315250699</v>
      </c>
      <c r="O2402">
        <v>49.720080841683</v>
      </c>
      <c r="P2402">
        <v>-8.6176923992153098E-2</v>
      </c>
      <c r="Q2402">
        <v>6.1978884662479E-2</v>
      </c>
      <c r="R2402">
        <v>0.99313419791580104</v>
      </c>
      <c r="S2402" t="s">
        <v>9019</v>
      </c>
      <c r="T2402" t="s">
        <v>13232</v>
      </c>
      <c r="U2402" t="s">
        <v>13232</v>
      </c>
      <c r="V2402" t="s">
        <v>13232</v>
      </c>
      <c r="W2402" t="s">
        <v>15583</v>
      </c>
      <c r="X2402">
        <v>17</v>
      </c>
      <c r="Y2402" t="s">
        <v>22068</v>
      </c>
      <c r="Z2402" t="s">
        <v>28533</v>
      </c>
      <c r="AA2402">
        <v>0.39987700134970028</v>
      </c>
      <c r="AB2402" t="str">
        <f>HYPERLINK("Melting_Curves/meltCurve_P48059_LIMS1.pdf", "Melting_Curves/meltCurve_P48059_LIMS1.pdf")</f>
        <v>Melting_Curves/meltCurve_P48059_LIMS1.pdf</v>
      </c>
    </row>
    <row r="2403" spans="1:28" x14ac:dyDescent="0.25">
      <c r="A2403" t="s">
        <v>2407</v>
      </c>
      <c r="B2403">
        <v>0.99930955844802105</v>
      </c>
      <c r="C2403">
        <v>1.00780746117311</v>
      </c>
      <c r="D2403">
        <v>0.9842689372358</v>
      </c>
      <c r="E2403">
        <v>0.67344815718398299</v>
      </c>
      <c r="F2403">
        <v>0.219951889790409</v>
      </c>
      <c r="G2403">
        <v>0.152144816016551</v>
      </c>
      <c r="H2403">
        <v>9.6669501239701305E-2</v>
      </c>
      <c r="I2403">
        <v>8.3551821068694299E-2</v>
      </c>
      <c r="J2403">
        <v>7.4917922224893393E-2</v>
      </c>
      <c r="K2403">
        <v>5.7869651158868503E-2</v>
      </c>
      <c r="L2403">
        <v>1991.76556605822</v>
      </c>
      <c r="M2403">
        <v>39.268117196333002</v>
      </c>
      <c r="N2403">
        <v>50.975402283160001</v>
      </c>
      <c r="O2403">
        <v>50.591194754494097</v>
      </c>
      <c r="P2403">
        <v>-0.17685439555021701</v>
      </c>
      <c r="Q2403">
        <v>8.8598467687334898E-2</v>
      </c>
      <c r="R2403">
        <v>0.99751473028348403</v>
      </c>
      <c r="S2403" t="s">
        <v>9020</v>
      </c>
      <c r="T2403" t="s">
        <v>13232</v>
      </c>
      <c r="U2403" t="s">
        <v>13232</v>
      </c>
      <c r="V2403" t="s">
        <v>13232</v>
      </c>
      <c r="W2403" t="s">
        <v>15584</v>
      </c>
      <c r="X2403">
        <v>33</v>
      </c>
      <c r="Y2403" t="s">
        <v>20478</v>
      </c>
      <c r="Z2403" t="s">
        <v>28534</v>
      </c>
      <c r="AA2403">
        <v>0.41765639526635512</v>
      </c>
      <c r="AB2403" t="str">
        <f>HYPERLINK("Melting_Curves/meltCurve_P48147_PREP.pdf", "Melting_Curves/meltCurve_P48147_PREP.pdf")</f>
        <v>Melting_Curves/meltCurve_P48147_PREP.pdf</v>
      </c>
    </row>
    <row r="2404" spans="1:28" x14ac:dyDescent="0.25">
      <c r="A2404" t="s">
        <v>2408</v>
      </c>
      <c r="B2404">
        <v>0.99930955844802105</v>
      </c>
      <c r="C2404">
        <v>0.92454875535665004</v>
      </c>
      <c r="D2404">
        <v>0.945853738248291</v>
      </c>
      <c r="E2404">
        <v>0.98412857064051196</v>
      </c>
      <c r="F2404">
        <v>1.03909947149629</v>
      </c>
      <c r="G2404">
        <v>0.58436056331902198</v>
      </c>
      <c r="H2404">
        <v>0.18473173494093401</v>
      </c>
      <c r="I2404">
        <v>0.11801331217256</v>
      </c>
      <c r="J2404">
        <v>7.64207681990315E-2</v>
      </c>
      <c r="K2404">
        <v>4.815529991557E-2</v>
      </c>
      <c r="L2404">
        <v>2335.0964300617602</v>
      </c>
      <c r="M2404">
        <v>40.694053168167102</v>
      </c>
      <c r="N2404">
        <v>57.6344862609972</v>
      </c>
      <c r="O2404">
        <v>57.243715694442798</v>
      </c>
      <c r="P2404">
        <v>-0.163200725464895</v>
      </c>
      <c r="Q2404">
        <v>8.1713735792066006E-2</v>
      </c>
      <c r="R2404">
        <v>0.99031330805126905</v>
      </c>
      <c r="S2404" t="s">
        <v>9021</v>
      </c>
      <c r="T2404" t="s">
        <v>13232</v>
      </c>
      <c r="U2404" t="s">
        <v>13232</v>
      </c>
      <c r="V2404" t="s">
        <v>13232</v>
      </c>
      <c r="W2404" t="s">
        <v>15585</v>
      </c>
      <c r="X2404">
        <v>20</v>
      </c>
      <c r="Y2404" t="s">
        <v>22069</v>
      </c>
      <c r="Z2404" t="s">
        <v>28535</v>
      </c>
      <c r="AA2404">
        <v>0.6172359049436299</v>
      </c>
      <c r="AB2404" t="str">
        <f>HYPERLINK("Melting_Curves/meltCurve_P48163_ME1.pdf", "Melting_Curves/meltCurve_P48163_ME1.pdf")</f>
        <v>Melting_Curves/meltCurve_P48163_ME1.pdf</v>
      </c>
    </row>
    <row r="2405" spans="1:28" x14ac:dyDescent="0.25">
      <c r="A2405" t="s">
        <v>2409</v>
      </c>
      <c r="B2405">
        <v>0.99930955844802105</v>
      </c>
      <c r="C2405">
        <v>0.99976853095543206</v>
      </c>
      <c r="D2405">
        <v>0.77316115164065702</v>
      </c>
      <c r="E2405">
        <v>0.38649366432535598</v>
      </c>
      <c r="F2405">
        <v>0.26860166332947399</v>
      </c>
      <c r="G2405">
        <v>0.182045330786926</v>
      </c>
      <c r="H2405">
        <v>0.13733008601296101</v>
      </c>
      <c r="I2405">
        <v>0.122368905076328</v>
      </c>
      <c r="J2405">
        <v>0.14576248402736</v>
      </c>
      <c r="K2405">
        <v>9.3475927973223294E-2</v>
      </c>
      <c r="L2405">
        <v>1075.2072817010401</v>
      </c>
      <c r="M2405">
        <v>22.260757501685301</v>
      </c>
      <c r="N2405">
        <v>48.964244912887501</v>
      </c>
      <c r="O2405">
        <v>47.915854630068203</v>
      </c>
      <c r="P2405">
        <v>-0.101021572117968</v>
      </c>
      <c r="Q2405">
        <v>0.130230533732451</v>
      </c>
      <c r="R2405">
        <v>0.99473530564544499</v>
      </c>
      <c r="S2405" t="s">
        <v>9022</v>
      </c>
      <c r="T2405" t="s">
        <v>13232</v>
      </c>
      <c r="U2405" t="s">
        <v>13232</v>
      </c>
      <c r="V2405" t="s">
        <v>13232</v>
      </c>
      <c r="W2405" t="s">
        <v>15586</v>
      </c>
      <c r="X2405">
        <v>15</v>
      </c>
      <c r="Y2405" t="s">
        <v>22070</v>
      </c>
      <c r="Z2405" t="s">
        <v>28536</v>
      </c>
      <c r="AA2405">
        <v>0.38069766035052321</v>
      </c>
      <c r="AB2405" t="str">
        <f>HYPERLINK("Melting_Curves/meltCurve_P48200_IREB2.pdf", "Melting_Curves/meltCurve_P48200_IREB2.pdf")</f>
        <v>Melting_Curves/meltCurve_P48200_IREB2.pdf</v>
      </c>
    </row>
    <row r="2406" spans="1:28" x14ac:dyDescent="0.25">
      <c r="A2406" t="s">
        <v>2410</v>
      </c>
      <c r="B2406">
        <v>0.99930955844802105</v>
      </c>
      <c r="C2406">
        <v>1.0552317673534199</v>
      </c>
      <c r="D2406">
        <v>1.0180442661164599</v>
      </c>
      <c r="E2406">
        <v>0.94666530585180997</v>
      </c>
      <c r="F2406">
        <v>0.58468020509368301</v>
      </c>
      <c r="G2406">
        <v>0.27982229179773299</v>
      </c>
      <c r="H2406">
        <v>0.14862374782839299</v>
      </c>
      <c r="I2406">
        <v>0.106231404410073</v>
      </c>
      <c r="J2406">
        <v>0.114946110352523</v>
      </c>
      <c r="K2406">
        <v>7.2447793081269293E-2</v>
      </c>
      <c r="L2406">
        <v>1503.90838624957</v>
      </c>
      <c r="M2406">
        <v>28.039147182515599</v>
      </c>
      <c r="N2406">
        <v>54.0836689841706</v>
      </c>
      <c r="O2406">
        <v>53.365446205733299</v>
      </c>
      <c r="P2406">
        <v>-0.11775273307675301</v>
      </c>
      <c r="Q2406">
        <v>0.103557433408159</v>
      </c>
      <c r="R2406">
        <v>0.993727997197693</v>
      </c>
      <c r="S2406" t="s">
        <v>9023</v>
      </c>
      <c r="T2406" t="s">
        <v>13232</v>
      </c>
      <c r="U2406" t="s">
        <v>13232</v>
      </c>
      <c r="V2406" t="s">
        <v>13232</v>
      </c>
      <c r="W2406" t="s">
        <v>15587</v>
      </c>
      <c r="X2406">
        <v>4</v>
      </c>
      <c r="Y2406" t="s">
        <v>22071</v>
      </c>
      <c r="Z2406" t="s">
        <v>28537</v>
      </c>
      <c r="AA2406">
        <v>0.51769930850383361</v>
      </c>
      <c r="AB2406" t="str">
        <f>HYPERLINK("Melting_Curves/meltCurve_P48378_2_RFX2.pdf", "Melting_Curves/meltCurve_P48378_2_RFX2.pdf")</f>
        <v>Melting_Curves/meltCurve_P48378_2_RFX2.pdf</v>
      </c>
    </row>
    <row r="2407" spans="1:28" x14ac:dyDescent="0.25">
      <c r="A2407" t="s">
        <v>2411</v>
      </c>
      <c r="B2407">
        <v>0.99930955844802105</v>
      </c>
      <c r="C2407">
        <v>1.14333082880763</v>
      </c>
      <c r="D2407">
        <v>1.0896601737653999</v>
      </c>
      <c r="E2407">
        <v>1.03304105072124</v>
      </c>
      <c r="F2407">
        <v>0.95299916935722995</v>
      </c>
      <c r="G2407">
        <v>0.90745531344728503</v>
      </c>
      <c r="H2407">
        <v>0.95504391273203004</v>
      </c>
      <c r="I2407">
        <v>1.1385349833615901</v>
      </c>
      <c r="J2407">
        <v>1.2252085818084899</v>
      </c>
      <c r="K2407">
        <v>0.85132113229431405</v>
      </c>
      <c r="L2407">
        <v>5230.3168877603803</v>
      </c>
      <c r="M2407">
        <v>83.965431881690705</v>
      </c>
      <c r="O2407">
        <v>62.2560035082562</v>
      </c>
      <c r="P2407">
        <v>2.3040575724242701E-2</v>
      </c>
      <c r="Q2407">
        <v>1.06833354993135</v>
      </c>
      <c r="R2407">
        <v>3.6713989446722703E-2</v>
      </c>
      <c r="S2407" t="s">
        <v>9024</v>
      </c>
      <c r="T2407" t="s">
        <v>13232</v>
      </c>
      <c r="U2407" t="s">
        <v>13232</v>
      </c>
      <c r="V2407" t="s">
        <v>13232</v>
      </c>
      <c r="W2407" t="s">
        <v>15588</v>
      </c>
      <c r="X2407">
        <v>25</v>
      </c>
      <c r="Y2407" t="s">
        <v>22072</v>
      </c>
      <c r="Z2407" t="s">
        <v>28538</v>
      </c>
      <c r="AA2407">
        <v>1.0174926066940111</v>
      </c>
      <c r="AB2407" t="str">
        <f>HYPERLINK("Melting_Curves/meltCurve_P48382_RFX5.pdf", "Melting_Curves/meltCurve_P48382_RFX5.pdf")</f>
        <v>Melting_Curves/meltCurve_P48382_RFX5.pdf</v>
      </c>
    </row>
    <row r="2408" spans="1:28" x14ac:dyDescent="0.25">
      <c r="A2408" t="s">
        <v>2412</v>
      </c>
      <c r="B2408">
        <v>0.99930955844802105</v>
      </c>
      <c r="C2408">
        <v>1.0608118692223201</v>
      </c>
      <c r="D2408">
        <v>1.09600421612819</v>
      </c>
      <c r="E2408">
        <v>1.01332000371203</v>
      </c>
      <c r="F2408">
        <v>0.78624962257373898</v>
      </c>
      <c r="G2408">
        <v>0.415699481650804</v>
      </c>
      <c r="H2408">
        <v>0.22160498118393701</v>
      </c>
      <c r="I2408">
        <v>0.20718500471774701</v>
      </c>
      <c r="J2408">
        <v>0.20064998384934099</v>
      </c>
      <c r="K2408">
        <v>0.156558217795881</v>
      </c>
      <c r="L2408">
        <v>1656.7159355091501</v>
      </c>
      <c r="M2408">
        <v>30.051176231436099</v>
      </c>
      <c r="N2408">
        <v>55.9754128807893</v>
      </c>
      <c r="O2408">
        <v>54.887419117749701</v>
      </c>
      <c r="P2408">
        <v>-0.111904240739851</v>
      </c>
      <c r="Q2408">
        <v>0.18244860048918299</v>
      </c>
      <c r="R2408">
        <v>0.98830230766793803</v>
      </c>
      <c r="S2408" t="s">
        <v>9025</v>
      </c>
      <c r="T2408" t="s">
        <v>13232</v>
      </c>
      <c r="U2408" t="s">
        <v>13232</v>
      </c>
      <c r="V2408" t="s">
        <v>13232</v>
      </c>
      <c r="W2408" t="s">
        <v>15589</v>
      </c>
      <c r="X2408">
        <v>35</v>
      </c>
      <c r="Y2408" t="s">
        <v>22073</v>
      </c>
      <c r="Z2408" t="s">
        <v>28539</v>
      </c>
      <c r="AA2408">
        <v>0.6001731115525285</v>
      </c>
      <c r="AB2408" t="str">
        <f>HYPERLINK("Melting_Curves/meltCurve_P48444_ARCN1.pdf", "Melting_Curves/meltCurve_P48444_ARCN1.pdf")</f>
        <v>Melting_Curves/meltCurve_P48444_ARCN1.pdf</v>
      </c>
    </row>
    <row r="2409" spans="1:28" x14ac:dyDescent="0.25">
      <c r="A2409" t="s">
        <v>2413</v>
      </c>
      <c r="B2409">
        <v>0.99930955844802105</v>
      </c>
      <c r="C2409">
        <v>1.00878868549715</v>
      </c>
      <c r="D2409">
        <v>0.90802622078766904</v>
      </c>
      <c r="E2409">
        <v>0.75174101823459305</v>
      </c>
      <c r="F2409">
        <v>0.481161255247197</v>
      </c>
      <c r="G2409">
        <v>0.30015093171921298</v>
      </c>
      <c r="H2409">
        <v>0.18935818458518699</v>
      </c>
      <c r="I2409">
        <v>0.221088403287861</v>
      </c>
      <c r="J2409">
        <v>0.22713477354401301</v>
      </c>
      <c r="K2409">
        <v>0.20625670674364799</v>
      </c>
      <c r="L2409">
        <v>1115.03249711273</v>
      </c>
      <c r="M2409">
        <v>21.611156846991001</v>
      </c>
      <c r="N2409">
        <v>52.8511795132342</v>
      </c>
      <c r="O2409">
        <v>51.159545842650402</v>
      </c>
      <c r="P2409">
        <v>-8.4400490644055595E-2</v>
      </c>
      <c r="Q2409">
        <v>0.20082261720427</v>
      </c>
      <c r="R2409">
        <v>0.99609028779834496</v>
      </c>
      <c r="S2409" t="s">
        <v>9026</v>
      </c>
      <c r="T2409" t="s">
        <v>13232</v>
      </c>
      <c r="U2409" t="s">
        <v>13232</v>
      </c>
      <c r="V2409" t="s">
        <v>13232</v>
      </c>
      <c r="W2409" t="s">
        <v>15590</v>
      </c>
      <c r="X2409">
        <v>6</v>
      </c>
      <c r="Y2409" t="s">
        <v>22074</v>
      </c>
      <c r="Z2409" t="s">
        <v>28540</v>
      </c>
      <c r="AA2409">
        <v>0.51930770778764546</v>
      </c>
      <c r="AB2409" t="str">
        <f>HYPERLINK("Melting_Curves/meltCurve_P48454_PPP3CC.pdf", "Melting_Curves/meltCurve_P48454_PPP3CC.pdf")</f>
        <v>Melting_Curves/meltCurve_P48454_PPP3CC.pdf</v>
      </c>
    </row>
    <row r="2410" spans="1:28" x14ac:dyDescent="0.25">
      <c r="A2410" t="s">
        <v>2414</v>
      </c>
      <c r="B2410">
        <v>0.99930955844802105</v>
      </c>
      <c r="C2410">
        <v>0.99618600766120202</v>
      </c>
      <c r="D2410">
        <v>1.0092930863343199</v>
      </c>
      <c r="E2410">
        <v>0.700395597404181</v>
      </c>
      <c r="F2410">
        <v>0.28633571808462599</v>
      </c>
      <c r="G2410">
        <v>0.181319997346956</v>
      </c>
      <c r="H2410">
        <v>0.101196766308195</v>
      </c>
      <c r="I2410">
        <v>7.6924606250902305E-2</v>
      </c>
      <c r="J2410">
        <v>6.8906858610158397E-2</v>
      </c>
      <c r="K2410">
        <v>5.2376842023608698E-2</v>
      </c>
      <c r="L2410">
        <v>1650.5495620340901</v>
      </c>
      <c r="M2410">
        <v>32.298163442939597</v>
      </c>
      <c r="N2410">
        <v>51.402309701727297</v>
      </c>
      <c r="O2410">
        <v>50.908801534180398</v>
      </c>
      <c r="P2410">
        <v>-0.14503372523289801</v>
      </c>
      <c r="Q2410">
        <v>8.5587999018574695E-2</v>
      </c>
      <c r="R2410">
        <v>0.99556169556093999</v>
      </c>
      <c r="S2410" t="s">
        <v>9027</v>
      </c>
      <c r="T2410" t="s">
        <v>13232</v>
      </c>
      <c r="U2410" t="s">
        <v>13232</v>
      </c>
      <c r="V2410" t="s">
        <v>13232</v>
      </c>
      <c r="W2410" t="s">
        <v>15591</v>
      </c>
      <c r="X2410">
        <v>25</v>
      </c>
      <c r="Y2410" t="s">
        <v>22075</v>
      </c>
      <c r="Z2410" t="s">
        <v>28541</v>
      </c>
      <c r="AA2410">
        <v>0.42899436711028488</v>
      </c>
      <c r="AB2410" t="str">
        <f>HYPERLINK("Melting_Curves/meltCurve_P48506_GCLC.pdf", "Melting_Curves/meltCurve_P48506_GCLC.pdf")</f>
        <v>Melting_Curves/meltCurve_P48506_GCLC.pdf</v>
      </c>
    </row>
    <row r="2411" spans="1:28" x14ac:dyDescent="0.25">
      <c r="A2411" t="s">
        <v>2415</v>
      </c>
      <c r="B2411">
        <v>0.99930955844802105</v>
      </c>
      <c r="C2411">
        <v>1.0797132664026301</v>
      </c>
      <c r="D2411">
        <v>1.0278654578716999</v>
      </c>
      <c r="E2411">
        <v>0.78207993133454401</v>
      </c>
      <c r="F2411">
        <v>0.348625135584684</v>
      </c>
      <c r="G2411">
        <v>0.26967108760536501</v>
      </c>
      <c r="H2411">
        <v>0.163149251271448</v>
      </c>
      <c r="I2411">
        <v>0.14384441513789401</v>
      </c>
      <c r="J2411">
        <v>0.14970776144241399</v>
      </c>
      <c r="K2411">
        <v>0.110059535311006</v>
      </c>
      <c r="L2411">
        <v>1861.1601749174199</v>
      </c>
      <c r="M2411">
        <v>36.206575476259999</v>
      </c>
      <c r="N2411">
        <v>51.9512351120324</v>
      </c>
      <c r="O2411">
        <v>51.247871751644396</v>
      </c>
      <c r="P2411">
        <v>-0.14861867671430701</v>
      </c>
      <c r="Q2411">
        <v>0.15856528509970499</v>
      </c>
      <c r="R2411">
        <v>0.98767780031828101</v>
      </c>
      <c r="S2411" t="s">
        <v>9028</v>
      </c>
      <c r="T2411" t="s">
        <v>13232</v>
      </c>
      <c r="U2411" t="s">
        <v>13232</v>
      </c>
      <c r="V2411" t="s">
        <v>13232</v>
      </c>
      <c r="W2411" t="s">
        <v>15592</v>
      </c>
      <c r="X2411">
        <v>12</v>
      </c>
      <c r="Y2411" t="s">
        <v>22076</v>
      </c>
      <c r="Z2411" t="s">
        <v>28542</v>
      </c>
      <c r="AA2411">
        <v>0.4820734051287997</v>
      </c>
      <c r="AB2411" t="str">
        <f>HYPERLINK("Melting_Curves/meltCurve_P48507_GCLM.pdf", "Melting_Curves/meltCurve_P48507_GCLM.pdf")</f>
        <v>Melting_Curves/meltCurve_P48507_GCLM.pdf</v>
      </c>
    </row>
    <row r="2412" spans="1:28" x14ac:dyDescent="0.25">
      <c r="A2412" t="s">
        <v>2416</v>
      </c>
      <c r="B2412">
        <v>0.99930955844802105</v>
      </c>
      <c r="C2412">
        <v>1.1370428279003</v>
      </c>
      <c r="D2412">
        <v>1.1241035062192599</v>
      </c>
      <c r="E2412">
        <v>1.1131313266267799</v>
      </c>
      <c r="F2412">
        <v>1.0119516655943099</v>
      </c>
      <c r="G2412">
        <v>0.93786380639533296</v>
      </c>
      <c r="H2412">
        <v>1.0221953214316499</v>
      </c>
      <c r="I2412">
        <v>1.14880695136101</v>
      </c>
      <c r="J2412">
        <v>1.1755417084253901</v>
      </c>
      <c r="K2412">
        <v>0.95299113144529402</v>
      </c>
      <c r="L2412">
        <v>10259.2310896649</v>
      </c>
      <c r="M2412">
        <v>250</v>
      </c>
      <c r="O2412">
        <v>41.034293845625299</v>
      </c>
      <c r="P2412">
        <v>0.10553960068942</v>
      </c>
      <c r="Q2412">
        <v>1.06929189519129</v>
      </c>
      <c r="R2412">
        <v>6.4960311499425605E-2</v>
      </c>
      <c r="S2412" t="s">
        <v>9029</v>
      </c>
      <c r="T2412" t="s">
        <v>13232</v>
      </c>
      <c r="U2412" t="s">
        <v>13232</v>
      </c>
      <c r="V2412" t="s">
        <v>13232</v>
      </c>
      <c r="W2412" t="s">
        <v>15593</v>
      </c>
      <c r="X2412">
        <v>87</v>
      </c>
      <c r="Y2412" t="s">
        <v>22077</v>
      </c>
      <c r="Z2412" t="s">
        <v>28543</v>
      </c>
      <c r="AA2412">
        <v>1.066891342312519</v>
      </c>
      <c r="AB2412" t="str">
        <f>HYPERLINK("Melting_Curves/meltCurve_P48634_PRRC2A.pdf", "Melting_Curves/meltCurve_P48634_PRRC2A.pdf")</f>
        <v>Melting_Curves/meltCurve_P48634_PRRC2A.pdf</v>
      </c>
    </row>
    <row r="2413" spans="1:28" x14ac:dyDescent="0.25">
      <c r="A2413" t="s">
        <v>2417</v>
      </c>
      <c r="B2413">
        <v>0.99930955844802105</v>
      </c>
      <c r="C2413">
        <v>1.02079478891777</v>
      </c>
      <c r="D2413">
        <v>1.0075235003298899</v>
      </c>
      <c r="E2413">
        <v>0.93864481618237505</v>
      </c>
      <c r="F2413">
        <v>0.98879655778959197</v>
      </c>
      <c r="G2413">
        <v>0.85147559147634699</v>
      </c>
      <c r="H2413">
        <v>0.57428817635842699</v>
      </c>
      <c r="I2413">
        <v>0.24327414785899801</v>
      </c>
      <c r="J2413">
        <v>7.8574498271638593E-2</v>
      </c>
      <c r="K2413">
        <v>6.6211557025314893E-2</v>
      </c>
      <c r="L2413">
        <v>1586.0812711542101</v>
      </c>
      <c r="M2413">
        <v>25.829287456094701</v>
      </c>
      <c r="N2413">
        <v>61.407993850013398</v>
      </c>
      <c r="O2413">
        <v>61.041777696658997</v>
      </c>
      <c r="P2413">
        <v>-0.105748962251727</v>
      </c>
      <c r="Q2413">
        <v>3.5515384407397899E-4</v>
      </c>
      <c r="R2413">
        <v>0.99495090297741495</v>
      </c>
      <c r="S2413" t="s">
        <v>9030</v>
      </c>
      <c r="T2413" t="s">
        <v>13232</v>
      </c>
      <c r="U2413" t="s">
        <v>13232</v>
      </c>
      <c r="V2413" t="s">
        <v>13232</v>
      </c>
      <c r="W2413" t="s">
        <v>15594</v>
      </c>
      <c r="X2413">
        <v>35</v>
      </c>
      <c r="Y2413" t="s">
        <v>22078</v>
      </c>
      <c r="Z2413" t="s">
        <v>28544</v>
      </c>
      <c r="AA2413">
        <v>0.71928445579607403</v>
      </c>
      <c r="AB2413" t="str">
        <f>HYPERLINK("Melting_Curves/meltCurve_P48637_GSS.pdf", "Melting_Curves/meltCurve_P48637_GSS.pdf")</f>
        <v>Melting_Curves/meltCurve_P48637_GSS.pdf</v>
      </c>
    </row>
    <row r="2414" spans="1:28" x14ac:dyDescent="0.25">
      <c r="A2414" t="s">
        <v>2418</v>
      </c>
      <c r="B2414">
        <v>0.99930955844802105</v>
      </c>
      <c r="C2414">
        <v>0.580483792601444</v>
      </c>
      <c r="D2414">
        <v>0.64890987458567895</v>
      </c>
      <c r="E2414">
        <v>0.97757372140730903</v>
      </c>
      <c r="F2414">
        <v>1.16810572500309</v>
      </c>
      <c r="G2414">
        <v>0.36749604127535901</v>
      </c>
      <c r="H2414">
        <v>0.13308793770782801</v>
      </c>
      <c r="I2414">
        <v>7.8879618560892095E-2</v>
      </c>
      <c r="J2414">
        <v>6.5263265771297901E-2</v>
      </c>
      <c r="K2414">
        <v>5.1275849816020201E-2</v>
      </c>
      <c r="L2414">
        <v>14204.6335892398</v>
      </c>
      <c r="M2414">
        <v>250</v>
      </c>
      <c r="N2414">
        <v>56.859352294648403</v>
      </c>
      <c r="O2414">
        <v>56.814886246475602</v>
      </c>
      <c r="P2414">
        <v>-1.0097190299562999</v>
      </c>
      <c r="Q2414">
        <v>8.2126655677839097E-2</v>
      </c>
      <c r="R2414">
        <v>0.80149035937290802</v>
      </c>
      <c r="S2414" t="s">
        <v>9031</v>
      </c>
      <c r="T2414" t="s">
        <v>13232</v>
      </c>
      <c r="U2414" t="s">
        <v>13232</v>
      </c>
      <c r="V2414" t="s">
        <v>13232</v>
      </c>
      <c r="W2414" t="s">
        <v>15595</v>
      </c>
      <c r="X2414">
        <v>38</v>
      </c>
      <c r="Y2414" t="s">
        <v>22079</v>
      </c>
      <c r="Z2414" t="s">
        <v>28545</v>
      </c>
      <c r="AA2414">
        <v>0.59679432790300069</v>
      </c>
      <c r="AB2414" t="str">
        <f>HYPERLINK("Melting_Curves/meltCurve_P48643_CCT5.pdf", "Melting_Curves/meltCurve_P48643_CCT5.pdf")</f>
        <v>Melting_Curves/meltCurve_P48643_CCT5.pdf</v>
      </c>
    </row>
    <row r="2415" spans="1:28" x14ac:dyDescent="0.25">
      <c r="A2415" t="s">
        <v>2419</v>
      </c>
      <c r="B2415">
        <v>0.99930955844802105</v>
      </c>
      <c r="C2415">
        <v>0.68748458654567801</v>
      </c>
      <c r="D2415">
        <v>0.66175753822416306</v>
      </c>
      <c r="E2415">
        <v>0.63709814634026096</v>
      </c>
      <c r="F2415">
        <v>0.40092706320584698</v>
      </c>
      <c r="G2415">
        <v>0.175229967815523</v>
      </c>
      <c r="H2415">
        <v>8.60322622264659E-2</v>
      </c>
      <c r="I2415">
        <v>5.6336744744775298E-2</v>
      </c>
      <c r="J2415">
        <v>3.5806922917958402E-2</v>
      </c>
      <c r="K2415">
        <v>5.1671431232100502E-2</v>
      </c>
      <c r="L2415">
        <v>506.47896100753002</v>
      </c>
      <c r="M2415">
        <v>10.138681138881299</v>
      </c>
      <c r="N2415">
        <v>49.955128218001803</v>
      </c>
      <c r="O2415">
        <v>48.128548686622601</v>
      </c>
      <c r="P2415">
        <v>-5.2688891615318798E-2</v>
      </c>
      <c r="Q2415">
        <v>0</v>
      </c>
      <c r="R2415">
        <v>0.94469344676711697</v>
      </c>
      <c r="S2415" t="s">
        <v>9032</v>
      </c>
      <c r="T2415" t="s">
        <v>13232</v>
      </c>
      <c r="U2415" t="s">
        <v>13232</v>
      </c>
      <c r="V2415" t="s">
        <v>13232</v>
      </c>
      <c r="W2415" t="s">
        <v>15596</v>
      </c>
      <c r="X2415">
        <v>1</v>
      </c>
      <c r="Y2415" t="s">
        <v>22080</v>
      </c>
      <c r="Z2415" t="s">
        <v>28546</v>
      </c>
      <c r="AA2415">
        <v>0.37635444131899648</v>
      </c>
      <c r="AB2415" t="str">
        <f>HYPERLINK("Melting_Curves/meltCurve_P48651_PTDSS1.pdf", "Melting_Curves/meltCurve_P48651_PTDSS1.pdf")</f>
        <v>Melting_Curves/meltCurve_P48651_PTDSS1.pdf</v>
      </c>
    </row>
    <row r="2416" spans="1:28" x14ac:dyDescent="0.25">
      <c r="A2416" t="s">
        <v>2420</v>
      </c>
      <c r="B2416">
        <v>0.99930955844802105</v>
      </c>
      <c r="C2416">
        <v>1.0348524413596101</v>
      </c>
      <c r="D2416">
        <v>0.98104900019130403</v>
      </c>
      <c r="E2416">
        <v>0.97551764514945105</v>
      </c>
      <c r="F2416">
        <v>0.86856796328501995</v>
      </c>
      <c r="G2416">
        <v>0.75077419440213899</v>
      </c>
      <c r="H2416">
        <v>0.74576801982957397</v>
      </c>
      <c r="I2416">
        <v>0.76030176131319405</v>
      </c>
      <c r="J2416">
        <v>0.72941630382287204</v>
      </c>
      <c r="K2416">
        <v>0.62367773892103295</v>
      </c>
      <c r="L2416">
        <v>1185.0106585782701</v>
      </c>
      <c r="M2416">
        <v>21.999098780520299</v>
      </c>
      <c r="O2416">
        <v>53.427158459990402</v>
      </c>
      <c r="P2416">
        <v>-3.0749430183019202E-2</v>
      </c>
      <c r="Q2416">
        <v>0.70129361852630601</v>
      </c>
      <c r="R2416">
        <v>0.93319378436670097</v>
      </c>
      <c r="S2416" t="s">
        <v>9033</v>
      </c>
      <c r="T2416" t="s">
        <v>13232</v>
      </c>
      <c r="U2416" t="s">
        <v>13232</v>
      </c>
      <c r="V2416" t="s">
        <v>13232</v>
      </c>
      <c r="W2416" t="s">
        <v>15597</v>
      </c>
      <c r="X2416">
        <v>48</v>
      </c>
      <c r="Y2416" t="s">
        <v>22081</v>
      </c>
      <c r="Z2416" t="s">
        <v>28547</v>
      </c>
      <c r="AA2416">
        <v>0.84282729806939793</v>
      </c>
      <c r="AB2416" t="str">
        <f>HYPERLINK("Melting_Curves/meltCurve_P48681_NES.pdf", "Melting_Curves/meltCurve_P48681_NES.pdf")</f>
        <v>Melting_Curves/meltCurve_P48681_NES.pdf</v>
      </c>
    </row>
    <row r="2417" spans="1:28" x14ac:dyDescent="0.25">
      <c r="A2417" t="s">
        <v>2421</v>
      </c>
      <c r="B2417">
        <v>0.99930955844802105</v>
      </c>
      <c r="C2417">
        <v>0.75365007255286998</v>
      </c>
      <c r="D2417">
        <v>0.54343540055151296</v>
      </c>
      <c r="E2417">
        <v>0.28987940315809702</v>
      </c>
      <c r="F2417">
        <v>0.169991988188612</v>
      </c>
      <c r="G2417">
        <v>0.12561023466819499</v>
      </c>
      <c r="H2417">
        <v>6.7718752895371201E-2</v>
      </c>
      <c r="I2417">
        <v>6.0818872324541702E-2</v>
      </c>
      <c r="J2417">
        <v>6.1435932325245302E-2</v>
      </c>
      <c r="K2417">
        <v>4.6841523507758401E-2</v>
      </c>
      <c r="L2417">
        <v>730.80446211203605</v>
      </c>
      <c r="M2417">
        <v>15.7862600835214</v>
      </c>
      <c r="N2417">
        <v>46.6383654577822</v>
      </c>
      <c r="O2417">
        <v>45.569930550387497</v>
      </c>
      <c r="P2417">
        <v>-8.1843177055444499E-2</v>
      </c>
      <c r="Q2417">
        <v>5.5056864368741798E-2</v>
      </c>
      <c r="R2417">
        <v>0.99272899616222898</v>
      </c>
      <c r="S2417" t="s">
        <v>9034</v>
      </c>
      <c r="T2417" t="s">
        <v>13232</v>
      </c>
      <c r="U2417" t="s">
        <v>13232</v>
      </c>
      <c r="V2417" t="s">
        <v>13232</v>
      </c>
      <c r="W2417" t="s">
        <v>15598</v>
      </c>
      <c r="X2417">
        <v>2</v>
      </c>
      <c r="Y2417" t="s">
        <v>22082</v>
      </c>
      <c r="Z2417" t="s">
        <v>28548</v>
      </c>
      <c r="AA2417">
        <v>0.27749250581465851</v>
      </c>
      <c r="AB2417" t="str">
        <f>HYPERLINK("Melting_Curves/meltCurve_P48723_HSPA13.pdf", "Melting_Curves/meltCurve_P48723_HSPA13.pdf")</f>
        <v>Melting_Curves/meltCurve_P48723_HSPA13.pdf</v>
      </c>
    </row>
    <row r="2418" spans="1:28" x14ac:dyDescent="0.25">
      <c r="A2418" t="s">
        <v>2422</v>
      </c>
      <c r="B2418">
        <v>0.99930955844802105</v>
      </c>
      <c r="C2418">
        <v>0.92421432686441596</v>
      </c>
      <c r="D2418">
        <v>0.85336640670836195</v>
      </c>
      <c r="E2418">
        <v>0.51368124962236605</v>
      </c>
      <c r="F2418">
        <v>0.19528672526778201</v>
      </c>
      <c r="G2418">
        <v>0.11950994187199</v>
      </c>
      <c r="H2418">
        <v>6.1504411912883E-2</v>
      </c>
      <c r="I2418">
        <v>5.33014992962553E-2</v>
      </c>
      <c r="J2418">
        <v>3.9269847060887202E-2</v>
      </c>
      <c r="K2418">
        <v>2.9719533482188101E-2</v>
      </c>
      <c r="L2418">
        <v>1061.30901241583</v>
      </c>
      <c r="M2418">
        <v>21.3638738288052</v>
      </c>
      <c r="N2418">
        <v>49.863874854427102</v>
      </c>
      <c r="O2418">
        <v>49.248598756907299</v>
      </c>
      <c r="P2418">
        <v>-0.10429536954992299</v>
      </c>
      <c r="Q2418">
        <v>3.8325244670989203E-2</v>
      </c>
      <c r="R2418">
        <v>0.99641466018270997</v>
      </c>
      <c r="S2418" t="s">
        <v>9035</v>
      </c>
      <c r="T2418" t="s">
        <v>13232</v>
      </c>
      <c r="U2418" t="s">
        <v>13232</v>
      </c>
      <c r="V2418" t="s">
        <v>13232</v>
      </c>
      <c r="W2418" t="s">
        <v>15599</v>
      </c>
      <c r="X2418">
        <v>9</v>
      </c>
      <c r="Y2418" t="s">
        <v>22083</v>
      </c>
      <c r="Z2418" t="s">
        <v>28549</v>
      </c>
      <c r="AA2418">
        <v>0.36031250279910892</v>
      </c>
      <c r="AB2418" t="str">
        <f>HYPERLINK("Melting_Curves/meltCurve_P48729_CSNK1A1.pdf", "Melting_Curves/meltCurve_P48729_CSNK1A1.pdf")</f>
        <v>Melting_Curves/meltCurve_P48729_CSNK1A1.pdf</v>
      </c>
    </row>
    <row r="2419" spans="1:28" x14ac:dyDescent="0.25">
      <c r="A2419" t="s">
        <v>2423</v>
      </c>
      <c r="B2419">
        <v>0.99930955844802105</v>
      </c>
      <c r="C2419">
        <v>1.08570800780062</v>
      </c>
      <c r="D2419">
        <v>0.99059397489468004</v>
      </c>
      <c r="E2419">
        <v>1.0234872111098701</v>
      </c>
      <c r="F2419">
        <v>0.89500238429010304</v>
      </c>
      <c r="G2419">
        <v>0.90405942521513805</v>
      </c>
      <c r="H2419">
        <v>1.00116013462812</v>
      </c>
      <c r="I2419">
        <v>1.2387191289939601</v>
      </c>
      <c r="J2419">
        <v>1.4001851827738201</v>
      </c>
      <c r="K2419">
        <v>0.76477012982691195</v>
      </c>
      <c r="L2419">
        <v>15000</v>
      </c>
      <c r="M2419">
        <v>242.15375314437301</v>
      </c>
      <c r="O2419">
        <v>61.939890332852798</v>
      </c>
      <c r="P2419">
        <v>0.13150323029531599</v>
      </c>
      <c r="Q2419">
        <v>1.1345475019145099</v>
      </c>
      <c r="R2419">
        <v>0.15479334130304301</v>
      </c>
      <c r="S2419" t="s">
        <v>9036</v>
      </c>
      <c r="T2419" t="s">
        <v>13232</v>
      </c>
      <c r="U2419" t="s">
        <v>13232</v>
      </c>
      <c r="V2419" t="s">
        <v>13232</v>
      </c>
      <c r="W2419" t="s">
        <v>15600</v>
      </c>
      <c r="X2419">
        <v>5</v>
      </c>
      <c r="Y2419" t="s">
        <v>22084</v>
      </c>
      <c r="Z2419" t="s">
        <v>28550</v>
      </c>
      <c r="AA2419">
        <v>1.0361143819208689</v>
      </c>
      <c r="AB2419" t="str">
        <f>HYPERLINK("Melting_Curves/meltCurve_P48730_CSNK1D.pdf", "Melting_Curves/meltCurve_P48730_CSNK1D.pdf")</f>
        <v>Melting_Curves/meltCurve_P48730_CSNK1D.pdf</v>
      </c>
    </row>
    <row r="2420" spans="1:28" x14ac:dyDescent="0.25">
      <c r="A2420" t="s">
        <v>2424</v>
      </c>
      <c r="B2420">
        <v>0.99930955844802105</v>
      </c>
      <c r="C2420">
        <v>0.76218249968770202</v>
      </c>
      <c r="D2420">
        <v>0.55118068661741704</v>
      </c>
      <c r="E2420">
        <v>0.32807476278917402</v>
      </c>
      <c r="F2420">
        <v>0.191780974941373</v>
      </c>
      <c r="G2420">
        <v>0.12839233573792799</v>
      </c>
      <c r="H2420">
        <v>8.0486534161795895E-2</v>
      </c>
      <c r="I2420">
        <v>7.8178311086907995E-2</v>
      </c>
      <c r="J2420">
        <v>6.8169027841381694E-2</v>
      </c>
      <c r="K2420">
        <v>4.9071712888695503E-2</v>
      </c>
      <c r="L2420">
        <v>695.01896032623495</v>
      </c>
      <c r="M2420">
        <v>14.9316648000173</v>
      </c>
      <c r="N2420">
        <v>46.941812123080503</v>
      </c>
      <c r="O2420">
        <v>45.735701032770997</v>
      </c>
      <c r="P2420">
        <v>-7.6806850145387504E-2</v>
      </c>
      <c r="Q2420">
        <v>5.9058982781482798E-2</v>
      </c>
      <c r="R2420">
        <v>0.99226907565274602</v>
      </c>
      <c r="S2420" t="s">
        <v>9037</v>
      </c>
      <c r="T2420" t="s">
        <v>13232</v>
      </c>
      <c r="U2420" t="s">
        <v>13232</v>
      </c>
      <c r="V2420" t="s">
        <v>13232</v>
      </c>
      <c r="W2420" t="s">
        <v>15601</v>
      </c>
      <c r="X2420">
        <v>11</v>
      </c>
      <c r="Y2420" t="s">
        <v>22085</v>
      </c>
      <c r="Z2420" t="s">
        <v>28551</v>
      </c>
      <c r="AA2420">
        <v>0.29099336236938272</v>
      </c>
      <c r="AB2420" t="str">
        <f>HYPERLINK("Melting_Curves/meltCurve_P48736_PIK3CG.pdf", "Melting_Curves/meltCurve_P48736_PIK3CG.pdf")</f>
        <v>Melting_Curves/meltCurve_P48736_PIK3CG.pdf</v>
      </c>
    </row>
    <row r="2421" spans="1:28" x14ac:dyDescent="0.25">
      <c r="A2421" t="s">
        <v>2425</v>
      </c>
      <c r="B2421">
        <v>0.99930955844802105</v>
      </c>
      <c r="C2421">
        <v>0.95453105138486605</v>
      </c>
      <c r="D2421">
        <v>1.1132649465955999</v>
      </c>
      <c r="E2421">
        <v>1.05923181522242</v>
      </c>
      <c r="F2421">
        <v>0.93713258955599499</v>
      </c>
      <c r="G2421">
        <v>0.53352046575659196</v>
      </c>
      <c r="H2421">
        <v>0.144691096365094</v>
      </c>
      <c r="I2421">
        <v>9.6324434433141704E-2</v>
      </c>
      <c r="J2421">
        <v>7.5173531625437495E-2</v>
      </c>
      <c r="K2421">
        <v>5.7536952641234103E-2</v>
      </c>
      <c r="L2421">
        <v>2105.6855035953899</v>
      </c>
      <c r="M2421">
        <v>36.945316775952001</v>
      </c>
      <c r="N2421">
        <v>57.225544979580903</v>
      </c>
      <c r="O2421">
        <v>56.8284414769401</v>
      </c>
      <c r="P2421">
        <v>-0.15127714138729501</v>
      </c>
      <c r="Q2421">
        <v>6.9238487687232106E-2</v>
      </c>
      <c r="R2421">
        <v>0.98980611921774098</v>
      </c>
      <c r="S2421" t="s">
        <v>9038</v>
      </c>
      <c r="T2421" t="s">
        <v>13232</v>
      </c>
      <c r="U2421" t="s">
        <v>13232</v>
      </c>
      <c r="V2421" t="s">
        <v>13232</v>
      </c>
      <c r="W2421" t="s">
        <v>15602</v>
      </c>
      <c r="X2421">
        <v>29</v>
      </c>
      <c r="Y2421" t="s">
        <v>22086</v>
      </c>
      <c r="Z2421" t="s">
        <v>28552</v>
      </c>
      <c r="AA2421">
        <v>0.60072929427198085</v>
      </c>
      <c r="AB2421" t="str">
        <f>HYPERLINK("Melting_Curves/meltCurve_P48739_PITPNB.pdf", "Melting_Curves/meltCurve_P48739_PITPNB.pdf")</f>
        <v>Melting_Curves/meltCurve_P48739_PITPNB.pdf</v>
      </c>
    </row>
    <row r="2422" spans="1:28" x14ac:dyDescent="0.25">
      <c r="A2422" t="s">
        <v>2426</v>
      </c>
      <c r="B2422">
        <v>0.99930955844802105</v>
      </c>
      <c r="C2422">
        <v>0.960858789267797</v>
      </c>
      <c r="D2422">
        <v>0.84480868074539195</v>
      </c>
      <c r="E2422">
        <v>0.54311932781180094</v>
      </c>
      <c r="F2422">
        <v>0.303227878130368</v>
      </c>
      <c r="G2422">
        <v>0.20588976024351899</v>
      </c>
      <c r="H2422">
        <v>0.110236461526576</v>
      </c>
      <c r="I2422">
        <v>7.9524389189200004E-2</v>
      </c>
      <c r="J2422">
        <v>7.3107567594778794E-2</v>
      </c>
      <c r="K2422">
        <v>5.25930547581775E-2</v>
      </c>
      <c r="L2422">
        <v>871.56760029944803</v>
      </c>
      <c r="M2422">
        <v>17.377811315542299</v>
      </c>
      <c r="N2422">
        <v>50.547915720135897</v>
      </c>
      <c r="O2422">
        <v>49.504032465649999</v>
      </c>
      <c r="P2422">
        <v>-8.2207315157858202E-2</v>
      </c>
      <c r="Q2422">
        <v>6.33197746918331E-2</v>
      </c>
      <c r="R2422">
        <v>0.99798227793580896</v>
      </c>
      <c r="S2422" t="s">
        <v>9039</v>
      </c>
      <c r="T2422" t="s">
        <v>13232</v>
      </c>
      <c r="U2422" t="s">
        <v>13232</v>
      </c>
      <c r="V2422" t="s">
        <v>13232</v>
      </c>
      <c r="W2422" t="s">
        <v>15603</v>
      </c>
      <c r="X2422">
        <v>14</v>
      </c>
      <c r="Y2422" t="s">
        <v>22087</v>
      </c>
      <c r="Z2422" t="s">
        <v>28553</v>
      </c>
      <c r="AA2422">
        <v>0.39738461876632669</v>
      </c>
      <c r="AB2422" t="str">
        <f>HYPERLINK("Melting_Curves/meltCurve_P49005_POLD2.pdf", "Melting_Curves/meltCurve_P49005_POLD2.pdf")</f>
        <v>Melting_Curves/meltCurve_P49005_POLD2.pdf</v>
      </c>
    </row>
    <row r="2423" spans="1:28" x14ac:dyDescent="0.25">
      <c r="A2423" t="s">
        <v>2427</v>
      </c>
      <c r="B2423">
        <v>0.99930955844802105</v>
      </c>
      <c r="C2423">
        <v>1.2020642515834099</v>
      </c>
      <c r="D2423">
        <v>1.20818369176167</v>
      </c>
      <c r="E2423">
        <v>1.1163975993629101</v>
      </c>
      <c r="F2423">
        <v>0.96218599295734197</v>
      </c>
      <c r="G2423">
        <v>0.93154169444093105</v>
      </c>
      <c r="H2423">
        <v>0.96337999438279798</v>
      </c>
      <c r="I2423">
        <v>1.0385833655869601</v>
      </c>
      <c r="J2423">
        <v>1.2210760090016799</v>
      </c>
      <c r="K2423">
        <v>1.0118167690617299</v>
      </c>
      <c r="L2423">
        <v>1.0000000000000001E-5</v>
      </c>
      <c r="M2423">
        <v>1.0000000000000001E-5</v>
      </c>
      <c r="Q2423">
        <v>1.13090714109528</v>
      </c>
      <c r="R2423">
        <v>-4.74478678569312E-9</v>
      </c>
      <c r="S2423" t="s">
        <v>9040</v>
      </c>
      <c r="T2423" t="s">
        <v>13232</v>
      </c>
      <c r="U2423" t="s">
        <v>13232</v>
      </c>
      <c r="V2423" t="s">
        <v>13232</v>
      </c>
      <c r="W2423" t="s">
        <v>15604</v>
      </c>
      <c r="X2423">
        <v>5</v>
      </c>
      <c r="Y2423" t="s">
        <v>22088</v>
      </c>
      <c r="Z2423" t="s">
        <v>28554</v>
      </c>
      <c r="AA2423">
        <v>1.0654538917106839</v>
      </c>
      <c r="AB2423" t="str">
        <f>HYPERLINK("Melting_Curves/meltCurve_P49006_MARCKSL1.pdf", "Melting_Curves/meltCurve_P49006_MARCKSL1.pdf")</f>
        <v>Melting_Curves/meltCurve_P49006_MARCKSL1.pdf</v>
      </c>
    </row>
    <row r="2424" spans="1:28" x14ac:dyDescent="0.25">
      <c r="A2424" t="s">
        <v>2428</v>
      </c>
      <c r="B2424">
        <v>0.99930955844802105</v>
      </c>
      <c r="C2424">
        <v>1.0293530232568</v>
      </c>
      <c r="D2424">
        <v>1.0197000043045401</v>
      </c>
      <c r="E2424">
        <v>0.952492699805911</v>
      </c>
      <c r="F2424">
        <v>0.81450953636644297</v>
      </c>
      <c r="G2424">
        <v>0.70891710728621005</v>
      </c>
      <c r="H2424">
        <v>0.660610769572059</v>
      </c>
      <c r="I2424">
        <v>0.73309600658821805</v>
      </c>
      <c r="J2424">
        <v>0.68304001536722703</v>
      </c>
      <c r="K2424">
        <v>0.55790723670683595</v>
      </c>
      <c r="L2424">
        <v>1424.0703248098901</v>
      </c>
      <c r="M2424">
        <v>26.869549388365702</v>
      </c>
      <c r="O2424">
        <v>52.708441179460998</v>
      </c>
      <c r="P2424">
        <v>-4.39152367480952E-2</v>
      </c>
      <c r="Q2424">
        <v>0.65541944492676696</v>
      </c>
      <c r="R2424">
        <v>0.93337217984138499</v>
      </c>
      <c r="S2424" t="s">
        <v>9041</v>
      </c>
      <c r="T2424" t="s">
        <v>13232</v>
      </c>
      <c r="U2424" t="s">
        <v>13232</v>
      </c>
      <c r="V2424" t="s">
        <v>13232</v>
      </c>
      <c r="W2424" t="s">
        <v>15605</v>
      </c>
      <c r="X2424">
        <v>14</v>
      </c>
      <c r="Y2424" t="s">
        <v>22089</v>
      </c>
      <c r="Z2424" t="s">
        <v>28555</v>
      </c>
      <c r="AA2424">
        <v>0.8074978243423625</v>
      </c>
      <c r="AB2424" t="str">
        <f>HYPERLINK("Melting_Curves/meltCurve_P49116_NR2C2.pdf", "Melting_Curves/meltCurve_P49116_NR2C2.pdf")</f>
        <v>Melting_Curves/meltCurve_P49116_NR2C2.pdf</v>
      </c>
    </row>
    <row r="2425" spans="1:28" x14ac:dyDescent="0.25">
      <c r="A2425" t="s">
        <v>2429</v>
      </c>
      <c r="B2425">
        <v>0.99930955844802105</v>
      </c>
      <c r="C2425">
        <v>1.08099536304523</v>
      </c>
      <c r="D2425">
        <v>0.98270499811774503</v>
      </c>
      <c r="E2425">
        <v>0.96296394298743104</v>
      </c>
      <c r="F2425">
        <v>0.94671738423095497</v>
      </c>
      <c r="G2425">
        <v>0.775812865518969</v>
      </c>
      <c r="H2425">
        <v>0.73435552316896302</v>
      </c>
      <c r="I2425">
        <v>0.74488746736830602</v>
      </c>
      <c r="J2425">
        <v>0.62799369840096897</v>
      </c>
      <c r="K2425">
        <v>0.56820307952907501</v>
      </c>
      <c r="L2425">
        <v>657.24132148160402</v>
      </c>
      <c r="M2425">
        <v>10.771510581025799</v>
      </c>
      <c r="O2425">
        <v>59.026468450793701</v>
      </c>
      <c r="P2425">
        <v>-2.3305001057117199E-2</v>
      </c>
      <c r="Q2425">
        <v>0.48935335579713302</v>
      </c>
      <c r="R2425">
        <v>0.93839964778005402</v>
      </c>
      <c r="S2425" t="s">
        <v>9042</v>
      </c>
      <c r="T2425" t="s">
        <v>13232</v>
      </c>
      <c r="U2425" t="s">
        <v>13232</v>
      </c>
      <c r="V2425" t="s">
        <v>13232</v>
      </c>
      <c r="W2425" t="s">
        <v>15606</v>
      </c>
      <c r="X2425">
        <v>14</v>
      </c>
      <c r="Y2425" t="s">
        <v>22089</v>
      </c>
      <c r="Z2425" t="s">
        <v>28556</v>
      </c>
      <c r="AA2425">
        <v>0.84267058890763924</v>
      </c>
      <c r="AB2425" t="str">
        <f>HYPERLINK("Melting_Curves/meltCurve_P49116_2_NR2C2.pdf", "Melting_Curves/meltCurve_P49116_2_NR2C2.pdf")</f>
        <v>Melting_Curves/meltCurve_P49116_2_NR2C2.pdf</v>
      </c>
    </row>
    <row r="2426" spans="1:28" x14ac:dyDescent="0.25">
      <c r="A2426" t="s">
        <v>2430</v>
      </c>
      <c r="B2426">
        <v>0.99930955844802105</v>
      </c>
      <c r="C2426">
        <v>0.92475398299698297</v>
      </c>
      <c r="D2426">
        <v>0.87495742807135002</v>
      </c>
      <c r="E2426">
        <v>0.66916391709775302</v>
      </c>
      <c r="F2426">
        <v>0.20398086309681801</v>
      </c>
      <c r="G2426">
        <v>0.12770773371594299</v>
      </c>
      <c r="H2426">
        <v>6.7344988147738302E-2</v>
      </c>
      <c r="I2426">
        <v>5.6932340526812203E-2</v>
      </c>
      <c r="J2426">
        <v>4.9029944100452E-2</v>
      </c>
      <c r="K2426">
        <v>3.5432004392050298E-2</v>
      </c>
      <c r="L2426">
        <v>1434.5668083478499</v>
      </c>
      <c r="M2426">
        <v>28.308542853065699</v>
      </c>
      <c r="N2426">
        <v>50.869308137184603</v>
      </c>
      <c r="O2426">
        <v>50.425250062493298</v>
      </c>
      <c r="P2426">
        <v>-0.13319692302262501</v>
      </c>
      <c r="Q2426">
        <v>5.0967378471047702E-2</v>
      </c>
      <c r="R2426">
        <v>0.98781897831074195</v>
      </c>
      <c r="S2426" t="s">
        <v>9043</v>
      </c>
      <c r="T2426" t="s">
        <v>13232</v>
      </c>
      <c r="U2426" t="s">
        <v>13232</v>
      </c>
      <c r="V2426" t="s">
        <v>13232</v>
      </c>
      <c r="W2426" t="s">
        <v>15607</v>
      </c>
      <c r="X2426">
        <v>19</v>
      </c>
      <c r="Y2426" t="s">
        <v>22090</v>
      </c>
      <c r="Z2426" t="s">
        <v>28557</v>
      </c>
      <c r="AA2426">
        <v>0.39536822152062989</v>
      </c>
      <c r="AB2426" t="str">
        <f>HYPERLINK("Melting_Curves/meltCurve_P49137_MAPKAPK2.pdf", "Melting_Curves/meltCurve_P49137_MAPKAPK2.pdf")</f>
        <v>Melting_Curves/meltCurve_P49137_MAPKAPK2.pdf</v>
      </c>
    </row>
    <row r="2427" spans="1:28" x14ac:dyDescent="0.25">
      <c r="A2427" t="s">
        <v>2431</v>
      </c>
      <c r="B2427">
        <v>0.99930955844802105</v>
      </c>
      <c r="C2427">
        <v>0.99724696286195802</v>
      </c>
      <c r="D2427">
        <v>0.98849762002835495</v>
      </c>
      <c r="E2427">
        <v>0.85476926948309295</v>
      </c>
      <c r="F2427">
        <v>0.58833449340032795</v>
      </c>
      <c r="G2427">
        <v>0.29230491033598899</v>
      </c>
      <c r="H2427">
        <v>0.152780400563608</v>
      </c>
      <c r="I2427">
        <v>0.11134930170828</v>
      </c>
      <c r="J2427">
        <v>8.5858993014480606E-2</v>
      </c>
      <c r="K2427">
        <v>6.3740316854814405E-2</v>
      </c>
      <c r="L2427">
        <v>1133.4253579195399</v>
      </c>
      <c r="M2427">
        <v>21.0879663777155</v>
      </c>
      <c r="N2427">
        <v>54.151557798105401</v>
      </c>
      <c r="O2427">
        <v>53.271171750291302</v>
      </c>
      <c r="P2427">
        <v>-9.1763093286382102E-2</v>
      </c>
      <c r="Q2427">
        <v>7.2798501607055699E-2</v>
      </c>
      <c r="R2427">
        <v>0.99928616887711796</v>
      </c>
      <c r="S2427" t="s">
        <v>9044</v>
      </c>
      <c r="T2427" t="s">
        <v>13232</v>
      </c>
      <c r="U2427" t="s">
        <v>13232</v>
      </c>
      <c r="V2427" t="s">
        <v>13232</v>
      </c>
      <c r="W2427" t="s">
        <v>15608</v>
      </c>
      <c r="X2427">
        <v>24</v>
      </c>
      <c r="Y2427" t="s">
        <v>22091</v>
      </c>
      <c r="Z2427" t="s">
        <v>28558</v>
      </c>
      <c r="AA2427">
        <v>0.50926998201685558</v>
      </c>
      <c r="AB2427" t="str">
        <f>HYPERLINK("Melting_Curves/meltCurve_P49189_ALDH9A1.pdf", "Melting_Curves/meltCurve_P49189_ALDH9A1.pdf")</f>
        <v>Melting_Curves/meltCurve_P49189_ALDH9A1.pdf</v>
      </c>
    </row>
    <row r="2428" spans="1:28" x14ac:dyDescent="0.25">
      <c r="A2428" t="s">
        <v>2432</v>
      </c>
      <c r="B2428">
        <v>0.99930955844802105</v>
      </c>
      <c r="C2428">
        <v>0.94724556489075096</v>
      </c>
      <c r="D2428">
        <v>0.86711039273467105</v>
      </c>
      <c r="E2428">
        <v>0.85928752848436896</v>
      </c>
      <c r="F2428">
        <v>0.58567555806570804</v>
      </c>
      <c r="G2428">
        <v>0.30653329417737102</v>
      </c>
      <c r="H2428">
        <v>0.148083384118956</v>
      </c>
      <c r="I2428">
        <v>0.138369771588745</v>
      </c>
      <c r="J2428">
        <v>9.9679344306940199E-2</v>
      </c>
      <c r="K2428">
        <v>8.78328257095876E-2</v>
      </c>
      <c r="L2428">
        <v>966.20045031537302</v>
      </c>
      <c r="M2428">
        <v>17.986369613020798</v>
      </c>
      <c r="N2428">
        <v>54.1847716125259</v>
      </c>
      <c r="O2428">
        <v>53.067644239209798</v>
      </c>
      <c r="P2428">
        <v>-7.8661607667378106E-2</v>
      </c>
      <c r="Q2428">
        <v>7.1701396606871207E-2</v>
      </c>
      <c r="R2428">
        <v>0.98996317325849104</v>
      </c>
      <c r="S2428" t="s">
        <v>9045</v>
      </c>
      <c r="T2428" t="s">
        <v>13232</v>
      </c>
      <c r="U2428" t="s">
        <v>13232</v>
      </c>
      <c r="V2428" t="s">
        <v>13232</v>
      </c>
      <c r="W2428" t="s">
        <v>15609</v>
      </c>
      <c r="X2428">
        <v>1</v>
      </c>
      <c r="Y2428" t="s">
        <v>22092</v>
      </c>
      <c r="Z2428" t="s">
        <v>28559</v>
      </c>
      <c r="AA2428">
        <v>0.51117655617968094</v>
      </c>
      <c r="AB2428" t="str">
        <f>HYPERLINK("Melting_Curves/meltCurve_P49207_RPL34.pdf", "Melting_Curves/meltCurve_P49207_RPL34.pdf")</f>
        <v>Melting_Curves/meltCurve_P49207_RPL34.pdf</v>
      </c>
    </row>
    <row r="2429" spans="1:28" x14ac:dyDescent="0.25">
      <c r="A2429" t="s">
        <v>2433</v>
      </c>
      <c r="B2429">
        <v>0.99930955844802105</v>
      </c>
      <c r="C2429">
        <v>0.96537051682080899</v>
      </c>
      <c r="D2429">
        <v>0.95847844537396398</v>
      </c>
      <c r="E2429">
        <v>0.90667584344304597</v>
      </c>
      <c r="F2429">
        <v>0.86303964774140496</v>
      </c>
      <c r="G2429">
        <v>0.67403132399763099</v>
      </c>
      <c r="H2429">
        <v>0.57964994017522897</v>
      </c>
      <c r="I2429">
        <v>0.61328881154600901</v>
      </c>
      <c r="J2429">
        <v>0.64683740381251198</v>
      </c>
      <c r="K2429">
        <v>0.449396133227842</v>
      </c>
      <c r="L2429">
        <v>734.26318348306097</v>
      </c>
      <c r="M2429">
        <v>13.240079906248599</v>
      </c>
      <c r="O2429">
        <v>54.238284099475599</v>
      </c>
      <c r="P2429">
        <v>-3.02347388681195E-2</v>
      </c>
      <c r="Q2429">
        <v>0.50465234420733895</v>
      </c>
      <c r="R2429">
        <v>0.93365754723388295</v>
      </c>
      <c r="S2429" t="s">
        <v>9046</v>
      </c>
      <c r="T2429" t="s">
        <v>13232</v>
      </c>
      <c r="U2429" t="s">
        <v>13232</v>
      </c>
      <c r="V2429" t="s">
        <v>13232</v>
      </c>
      <c r="W2429" t="s">
        <v>15610</v>
      </c>
      <c r="X2429">
        <v>13</v>
      </c>
      <c r="Y2429" t="s">
        <v>22093</v>
      </c>
      <c r="Z2429" t="s">
        <v>28560</v>
      </c>
      <c r="AA2429">
        <v>0.7701484322542137</v>
      </c>
      <c r="AB2429" t="str">
        <f>HYPERLINK("Melting_Curves/meltCurve_P49247_RPIA.pdf", "Melting_Curves/meltCurve_P49247_RPIA.pdf")</f>
        <v>Melting_Curves/meltCurve_P49247_RPIA.pdf</v>
      </c>
    </row>
    <row r="2430" spans="1:28" x14ac:dyDescent="0.25">
      <c r="A2430" t="s">
        <v>2434</v>
      </c>
      <c r="B2430">
        <v>0.99930955844802105</v>
      </c>
      <c r="C2430">
        <v>0.88250393336564903</v>
      </c>
      <c r="D2430">
        <v>0.70564724910610399</v>
      </c>
      <c r="E2430">
        <v>0.79982558448061902</v>
      </c>
      <c r="F2430">
        <v>0.40596398957448898</v>
      </c>
      <c r="G2430">
        <v>0.22430607512581899</v>
      </c>
      <c r="H2430">
        <v>0.117208574565082</v>
      </c>
      <c r="I2430">
        <v>9.4390472932899594E-2</v>
      </c>
      <c r="J2430">
        <v>8.1861550405810196E-2</v>
      </c>
      <c r="K2430">
        <v>6.0939464334188301E-2</v>
      </c>
      <c r="L2430">
        <v>624.58868462395799</v>
      </c>
      <c r="M2430">
        <v>11.984454506491</v>
      </c>
      <c r="N2430">
        <v>52.116550840184701</v>
      </c>
      <c r="O2430">
        <v>50.729093913481698</v>
      </c>
      <c r="P2430">
        <v>-5.9075360905094798E-2</v>
      </c>
      <c r="Q2430">
        <v>0</v>
      </c>
      <c r="R2430">
        <v>0.95649898812802903</v>
      </c>
      <c r="S2430" t="s">
        <v>9047</v>
      </c>
      <c r="T2430" t="s">
        <v>13232</v>
      </c>
      <c r="U2430" t="s">
        <v>13232</v>
      </c>
      <c r="V2430" t="s">
        <v>13232</v>
      </c>
      <c r="W2430" t="s">
        <v>15611</v>
      </c>
      <c r="X2430">
        <v>4</v>
      </c>
      <c r="Y2430" t="s">
        <v>22094</v>
      </c>
      <c r="Z2430" t="s">
        <v>28561</v>
      </c>
      <c r="AA2430">
        <v>0.43429861699578087</v>
      </c>
      <c r="AB2430" t="str">
        <f>HYPERLINK("Melting_Curves/meltCurve_P49257_LMAN1.pdf", "Melting_Curves/meltCurve_P49257_LMAN1.pdf")</f>
        <v>Melting_Curves/meltCurve_P49257_LMAN1.pdf</v>
      </c>
    </row>
    <row r="2431" spans="1:28" x14ac:dyDescent="0.25">
      <c r="A2431" t="s">
        <v>2435</v>
      </c>
      <c r="B2431">
        <v>0.99930955844802105</v>
      </c>
      <c r="C2431">
        <v>1.06192303358005</v>
      </c>
      <c r="D2431">
        <v>1.08649294451251</v>
      </c>
      <c r="E2431">
        <v>1.0022883348087499</v>
      </c>
      <c r="F2431">
        <v>0.82481522991034195</v>
      </c>
      <c r="G2431">
        <v>0.62958020453253705</v>
      </c>
      <c r="H2431">
        <v>0.58175024513597995</v>
      </c>
      <c r="I2431">
        <v>0.61090923480095705</v>
      </c>
      <c r="J2431">
        <v>0.62217447314421204</v>
      </c>
      <c r="K2431">
        <v>0.52669465686150496</v>
      </c>
      <c r="L2431">
        <v>2361.7892914617501</v>
      </c>
      <c r="M2431">
        <v>44.183267239393402</v>
      </c>
      <c r="O2431">
        <v>53.3452311760892</v>
      </c>
      <c r="P2431">
        <v>-8.5264892297417294E-2</v>
      </c>
      <c r="Q2431">
        <v>0.58821798527914804</v>
      </c>
      <c r="R2431">
        <v>0.96081427895074201</v>
      </c>
      <c r="S2431" t="s">
        <v>9048</v>
      </c>
      <c r="T2431" t="s">
        <v>13232</v>
      </c>
      <c r="U2431" t="s">
        <v>13232</v>
      </c>
      <c r="V2431" t="s">
        <v>13232</v>
      </c>
      <c r="W2431" t="s">
        <v>15612</v>
      </c>
      <c r="X2431">
        <v>52</v>
      </c>
      <c r="Y2431" t="s">
        <v>22095</v>
      </c>
      <c r="Z2431" t="s">
        <v>28562</v>
      </c>
      <c r="AA2431">
        <v>0.77413826069923197</v>
      </c>
      <c r="AB2431" t="str">
        <f>HYPERLINK("Melting_Curves/meltCurve_P49321_NASP.pdf", "Melting_Curves/meltCurve_P49321_NASP.pdf")</f>
        <v>Melting_Curves/meltCurve_P49321_NASP.pdf</v>
      </c>
    </row>
    <row r="2432" spans="1:28" x14ac:dyDescent="0.25">
      <c r="A2432" t="s">
        <v>2436</v>
      </c>
      <c r="B2432">
        <v>0.99930955844802105</v>
      </c>
      <c r="C2432">
        <v>0.65046435379119805</v>
      </c>
      <c r="D2432">
        <v>0.77473376322124099</v>
      </c>
      <c r="E2432">
        <v>0.70297139091133298</v>
      </c>
      <c r="F2432">
        <v>0.18079291783846901</v>
      </c>
      <c r="G2432">
        <v>0.126055306747372</v>
      </c>
      <c r="H2432">
        <v>7.2981108450059798E-2</v>
      </c>
      <c r="I2432">
        <v>6.4894626510346498E-2</v>
      </c>
      <c r="J2432">
        <v>5.8528813348463098E-2</v>
      </c>
      <c r="K2432">
        <v>4.4162559069288197E-2</v>
      </c>
      <c r="L2432">
        <v>605.01525036205896</v>
      </c>
      <c r="M2432">
        <v>12.1489229254611</v>
      </c>
      <c r="N2432">
        <v>49.799908487174001</v>
      </c>
      <c r="O2432">
        <v>48.508223157884203</v>
      </c>
      <c r="P2432">
        <v>-6.2627067160832897E-2</v>
      </c>
      <c r="Q2432">
        <v>0</v>
      </c>
      <c r="R2432">
        <v>0.89785403549119702</v>
      </c>
      <c r="S2432" t="s">
        <v>9049</v>
      </c>
      <c r="T2432" t="s">
        <v>13232</v>
      </c>
      <c r="U2432" t="s">
        <v>13232</v>
      </c>
      <c r="V2432" t="s">
        <v>13232</v>
      </c>
      <c r="W2432" t="s">
        <v>15613</v>
      </c>
      <c r="X2432">
        <v>111</v>
      </c>
      <c r="Y2432" t="s">
        <v>22096</v>
      </c>
      <c r="Z2432" t="s">
        <v>28563</v>
      </c>
      <c r="AA2432">
        <v>0.36100942463497449</v>
      </c>
      <c r="AB2432" t="str">
        <f>HYPERLINK("Melting_Curves/meltCurve_P49327_FASN.pdf", "Melting_Curves/meltCurve_P49327_FASN.pdf")</f>
        <v>Melting_Curves/meltCurve_P49327_FASN.pdf</v>
      </c>
    </row>
    <row r="2433" spans="1:28" x14ac:dyDescent="0.25">
      <c r="A2433" t="s">
        <v>2437</v>
      </c>
      <c r="B2433">
        <v>0.99930955844802105</v>
      </c>
      <c r="C2433">
        <v>0.88786481358830005</v>
      </c>
      <c r="D2433">
        <v>0.89407928102071099</v>
      </c>
      <c r="E2433">
        <v>0.89620432842951603</v>
      </c>
      <c r="F2433">
        <v>0.47766098076806202</v>
      </c>
      <c r="G2433">
        <v>0.19644934731203101</v>
      </c>
      <c r="H2433">
        <v>0.15239602899966401</v>
      </c>
      <c r="I2433">
        <v>0.13842831848985901</v>
      </c>
      <c r="J2433">
        <v>0.14325914811655099</v>
      </c>
      <c r="K2433">
        <v>0.103702358015807</v>
      </c>
      <c r="L2433">
        <v>1878.54996989957</v>
      </c>
      <c r="M2433">
        <v>35.806260572513303</v>
      </c>
      <c r="N2433">
        <v>52.928556120637502</v>
      </c>
      <c r="O2433">
        <v>52.301450323586003</v>
      </c>
      <c r="P2433">
        <v>-0.14808757100894801</v>
      </c>
      <c r="Q2433">
        <v>0.13476920877919299</v>
      </c>
      <c r="R2433">
        <v>0.98161231085196698</v>
      </c>
      <c r="S2433" t="s">
        <v>9050</v>
      </c>
      <c r="T2433" t="s">
        <v>13232</v>
      </c>
      <c r="U2433" t="s">
        <v>13232</v>
      </c>
      <c r="V2433" t="s">
        <v>13232</v>
      </c>
      <c r="W2433" t="s">
        <v>15614</v>
      </c>
      <c r="X2433">
        <v>4</v>
      </c>
      <c r="Y2433" t="s">
        <v>22097</v>
      </c>
      <c r="Z2433" t="s">
        <v>28564</v>
      </c>
      <c r="AA2433">
        <v>0.49816765483928849</v>
      </c>
      <c r="AB2433" t="str">
        <f>HYPERLINK("Melting_Curves/meltCurve_P49336_2_CDK8.pdf", "Melting_Curves/meltCurve_P49336_2_CDK8.pdf")</f>
        <v>Melting_Curves/meltCurve_P49336_2_CDK8.pdf</v>
      </c>
    </row>
    <row r="2434" spans="1:28" x14ac:dyDescent="0.25">
      <c r="A2434" t="s">
        <v>2438</v>
      </c>
      <c r="B2434">
        <v>0.99930955844802105</v>
      </c>
      <c r="C2434">
        <v>0.90770743134013598</v>
      </c>
      <c r="D2434">
        <v>0.81598011064416898</v>
      </c>
      <c r="E2434">
        <v>0.61395779269055495</v>
      </c>
      <c r="F2434">
        <v>0.382327770994209</v>
      </c>
      <c r="G2434">
        <v>0.216754331756046</v>
      </c>
      <c r="H2434">
        <v>0.11006275870099</v>
      </c>
      <c r="I2434">
        <v>8.5886855437990101E-2</v>
      </c>
      <c r="J2434">
        <v>6.6487579388052401E-2</v>
      </c>
      <c r="K2434">
        <v>5.0129650813683903E-2</v>
      </c>
      <c r="L2434">
        <v>695.88966328431104</v>
      </c>
      <c r="M2434">
        <v>13.6069947265868</v>
      </c>
      <c r="N2434">
        <v>51.322513999684901</v>
      </c>
      <c r="O2434">
        <v>50.075390066811998</v>
      </c>
      <c r="P2434">
        <v>-6.6355525634618398E-2</v>
      </c>
      <c r="Q2434">
        <v>2.3359104642962401E-2</v>
      </c>
      <c r="R2434">
        <v>0.99820925757412204</v>
      </c>
      <c r="S2434" t="s">
        <v>9051</v>
      </c>
      <c r="T2434" t="s">
        <v>13232</v>
      </c>
      <c r="U2434" t="s">
        <v>13232</v>
      </c>
      <c r="V2434" t="s">
        <v>13232</v>
      </c>
      <c r="W2434" t="s">
        <v>15615</v>
      </c>
      <c r="X2434">
        <v>16</v>
      </c>
      <c r="Y2434" t="s">
        <v>22098</v>
      </c>
      <c r="Z2434" t="s">
        <v>28565</v>
      </c>
      <c r="AA2434">
        <v>0.41231321646343422</v>
      </c>
      <c r="AB2434" t="str">
        <f>HYPERLINK("Melting_Curves/meltCurve_P49354_FNTA.pdf", "Melting_Curves/meltCurve_P49354_FNTA.pdf")</f>
        <v>Melting_Curves/meltCurve_P49354_FNTA.pdf</v>
      </c>
    </row>
    <row r="2435" spans="1:28" x14ac:dyDescent="0.25">
      <c r="A2435" t="s">
        <v>2439</v>
      </c>
      <c r="B2435">
        <v>0.99930955844802105</v>
      </c>
      <c r="C2435">
        <v>0.97657262418672597</v>
      </c>
      <c r="D2435">
        <v>0.99179784520797898</v>
      </c>
      <c r="E2435">
        <v>0.94468487349517005</v>
      </c>
      <c r="F2435">
        <v>0.96727877162157405</v>
      </c>
      <c r="G2435">
        <v>0.66153743878855897</v>
      </c>
      <c r="H2435">
        <v>0.33341972462208203</v>
      </c>
      <c r="I2435">
        <v>0.22157507937592</v>
      </c>
      <c r="J2435">
        <v>0.14822952072245699</v>
      </c>
      <c r="K2435">
        <v>0.101683013586492</v>
      </c>
      <c r="L2435">
        <v>1393.03770741115</v>
      </c>
      <c r="M2435">
        <v>23.869669712530701</v>
      </c>
      <c r="N2435">
        <v>58.930271340821797</v>
      </c>
      <c r="O2435">
        <v>57.9551722294513</v>
      </c>
      <c r="P2435">
        <v>-9.2351773161485295E-2</v>
      </c>
      <c r="Q2435">
        <v>0.103100042597093</v>
      </c>
      <c r="R2435">
        <v>0.99647812618642495</v>
      </c>
      <c r="S2435" t="s">
        <v>9052</v>
      </c>
      <c r="T2435" t="s">
        <v>13232</v>
      </c>
      <c r="U2435" t="s">
        <v>13232</v>
      </c>
      <c r="V2435" t="s">
        <v>13232</v>
      </c>
      <c r="W2435" t="s">
        <v>15616</v>
      </c>
      <c r="X2435">
        <v>17</v>
      </c>
      <c r="Y2435" t="s">
        <v>22099</v>
      </c>
      <c r="Z2435" t="s">
        <v>28566</v>
      </c>
      <c r="AA2435">
        <v>0.66013698618368399</v>
      </c>
      <c r="AB2435" t="str">
        <f>HYPERLINK("Melting_Curves/meltCurve_P49366_DHPS.pdf", "Melting_Curves/meltCurve_P49366_DHPS.pdf")</f>
        <v>Melting_Curves/meltCurve_P49366_DHPS.pdf</v>
      </c>
    </row>
    <row r="2436" spans="1:28" x14ac:dyDescent="0.25">
      <c r="A2436" t="s">
        <v>2440</v>
      </c>
      <c r="B2436">
        <v>0.99930955844802105</v>
      </c>
      <c r="C2436">
        <v>0.51653057561068905</v>
      </c>
      <c r="D2436">
        <v>0.54527088639968202</v>
      </c>
      <c r="E2436">
        <v>0.84275687476096295</v>
      </c>
      <c r="F2436">
        <v>1.1864853278498799</v>
      </c>
      <c r="G2436">
        <v>0.32676350355981398</v>
      </c>
      <c r="H2436">
        <v>0.10320037919050699</v>
      </c>
      <c r="I2436">
        <v>7.3651942705723505E-2</v>
      </c>
      <c r="J2436">
        <v>6.6421942779367402E-2</v>
      </c>
      <c r="K2436">
        <v>4.6315262203310302E-2</v>
      </c>
      <c r="L2436">
        <v>14194.520653367899</v>
      </c>
      <c r="M2436">
        <v>250</v>
      </c>
      <c r="N2436">
        <v>56.8136289088323</v>
      </c>
      <c r="O2436">
        <v>56.774456688091298</v>
      </c>
      <c r="P2436">
        <v>-1.02114886078375</v>
      </c>
      <c r="Q2436">
        <v>7.2397374997972594E-2</v>
      </c>
      <c r="R2436">
        <v>0.68542676247110002</v>
      </c>
      <c r="S2436" t="s">
        <v>9053</v>
      </c>
      <c r="T2436" t="s">
        <v>13232</v>
      </c>
      <c r="U2436" t="s">
        <v>13232</v>
      </c>
      <c r="V2436" t="s">
        <v>13232</v>
      </c>
      <c r="W2436" t="s">
        <v>15617</v>
      </c>
      <c r="X2436">
        <v>39</v>
      </c>
      <c r="Y2436" t="s">
        <v>22100</v>
      </c>
      <c r="Z2436" t="s">
        <v>28567</v>
      </c>
      <c r="AA2436">
        <v>0.59126958813001285</v>
      </c>
      <c r="AB2436" t="str">
        <f>HYPERLINK("Melting_Curves/meltCurve_P49368_CCT3.pdf", "Melting_Curves/meltCurve_P49368_CCT3.pdf")</f>
        <v>Melting_Curves/meltCurve_P49368_CCT3.pdf</v>
      </c>
    </row>
    <row r="2437" spans="1:28" x14ac:dyDescent="0.25">
      <c r="A2437" t="s">
        <v>2441</v>
      </c>
      <c r="B2437">
        <v>0.99930955844802105</v>
      </c>
      <c r="C2437">
        <v>0.98569897199650602</v>
      </c>
      <c r="D2437">
        <v>0.92766905052146698</v>
      </c>
      <c r="E2437">
        <v>0.86125475132177898</v>
      </c>
      <c r="F2437">
        <v>0.71154698090007196</v>
      </c>
      <c r="G2437">
        <v>0.33648850264506303</v>
      </c>
      <c r="H2437">
        <v>0.13169612329607799</v>
      </c>
      <c r="I2437">
        <v>6.7404984219148298E-2</v>
      </c>
      <c r="J2437">
        <v>5.1303049662152198E-2</v>
      </c>
      <c r="K2437">
        <v>3.4927940115929298E-2</v>
      </c>
      <c r="L2437">
        <v>1072.3286876022601</v>
      </c>
      <c r="M2437">
        <v>19.485897929185601</v>
      </c>
      <c r="N2437">
        <v>55.107486814591802</v>
      </c>
      <c r="O2437">
        <v>54.461244852574801</v>
      </c>
      <c r="P2437">
        <v>-8.82583374327187E-2</v>
      </c>
      <c r="Q2437">
        <v>1.33404750431725E-2</v>
      </c>
      <c r="R2437">
        <v>0.99739199116930399</v>
      </c>
      <c r="S2437" t="s">
        <v>9054</v>
      </c>
      <c r="T2437" t="s">
        <v>13232</v>
      </c>
      <c r="U2437" t="s">
        <v>13232</v>
      </c>
      <c r="V2437" t="s">
        <v>13232</v>
      </c>
      <c r="W2437" t="s">
        <v>15618</v>
      </c>
      <c r="X2437">
        <v>22</v>
      </c>
      <c r="Y2437" t="s">
        <v>22101</v>
      </c>
      <c r="Z2437" t="s">
        <v>28568</v>
      </c>
      <c r="AA2437">
        <v>0.52133066440240905</v>
      </c>
      <c r="AB2437" t="str">
        <f>HYPERLINK("Melting_Curves/meltCurve_P49407_ARRB1.pdf", "Melting_Curves/meltCurve_P49407_ARRB1.pdf")</f>
        <v>Melting_Curves/meltCurve_P49407_ARRB1.pdf</v>
      </c>
    </row>
    <row r="2438" spans="1:28" x14ac:dyDescent="0.25">
      <c r="A2438" t="s">
        <v>2442</v>
      </c>
      <c r="B2438">
        <v>0.99930955844802105</v>
      </c>
      <c r="C2438">
        <v>0.95032794615683303</v>
      </c>
      <c r="D2438">
        <v>0.94800523924305302</v>
      </c>
      <c r="E2438">
        <v>0.90591074203788302</v>
      </c>
      <c r="F2438">
        <v>0.73925423388283895</v>
      </c>
      <c r="G2438">
        <v>0.32829040172169799</v>
      </c>
      <c r="H2438">
        <v>0.10852788758529799</v>
      </c>
      <c r="I2438">
        <v>8.7757030207641307E-2</v>
      </c>
      <c r="J2438">
        <v>7.5248765803549097E-2</v>
      </c>
      <c r="K2438">
        <v>5.9697988191601999E-2</v>
      </c>
      <c r="L2438">
        <v>1350.50359124388</v>
      </c>
      <c r="M2438">
        <v>24.5883646006851</v>
      </c>
      <c r="N2438">
        <v>55.180615848496103</v>
      </c>
      <c r="O2438">
        <v>54.565068667867799</v>
      </c>
      <c r="P2438">
        <v>-0.10658248828412401</v>
      </c>
      <c r="Q2438">
        <v>5.3926923377264499E-2</v>
      </c>
      <c r="R2438">
        <v>0.99664325866381598</v>
      </c>
      <c r="S2438" t="s">
        <v>9055</v>
      </c>
      <c r="T2438" t="s">
        <v>13232</v>
      </c>
      <c r="U2438" t="s">
        <v>13232</v>
      </c>
      <c r="V2438" t="s">
        <v>13232</v>
      </c>
      <c r="W2438" t="s">
        <v>15619</v>
      </c>
      <c r="X2438">
        <v>23</v>
      </c>
      <c r="Y2438" t="s">
        <v>22101</v>
      </c>
      <c r="Z2438" t="s">
        <v>28569</v>
      </c>
      <c r="AA2438">
        <v>0.53359543320398706</v>
      </c>
      <c r="AB2438" t="str">
        <f>HYPERLINK("Melting_Curves/meltCurve_P49407_2_ARRB1.pdf", "Melting_Curves/meltCurve_P49407_2_ARRB1.pdf")</f>
        <v>Melting_Curves/meltCurve_P49407_2_ARRB1.pdf</v>
      </c>
    </row>
    <row r="2439" spans="1:28" x14ac:dyDescent="0.25">
      <c r="A2439" t="s">
        <v>2443</v>
      </c>
      <c r="B2439">
        <v>0.99930955844802105</v>
      </c>
      <c r="C2439">
        <v>1.0617747670334801</v>
      </c>
      <c r="D2439">
        <v>0.65866158748181403</v>
      </c>
      <c r="E2439">
        <v>0.41710166516917502</v>
      </c>
      <c r="F2439">
        <v>0.15959325942702601</v>
      </c>
      <c r="G2439">
        <v>0.112678167518525</v>
      </c>
      <c r="H2439">
        <v>6.7939448688364504E-2</v>
      </c>
      <c r="I2439">
        <v>6.0839978783448601E-2</v>
      </c>
      <c r="J2439">
        <v>5.8469075295828399E-2</v>
      </c>
      <c r="K2439">
        <v>3.87474520879659E-2</v>
      </c>
      <c r="L2439">
        <v>992.21445930936704</v>
      </c>
      <c r="M2439">
        <v>20.553687196752399</v>
      </c>
      <c r="N2439">
        <v>48.5473739804088</v>
      </c>
      <c r="O2439">
        <v>47.8242804145873</v>
      </c>
      <c r="P2439">
        <v>-0.10158102664313801</v>
      </c>
      <c r="Q2439">
        <v>5.4593458673018999E-2</v>
      </c>
      <c r="R2439">
        <v>0.980375743100521</v>
      </c>
      <c r="S2439" t="s">
        <v>9056</v>
      </c>
      <c r="T2439" t="s">
        <v>13232</v>
      </c>
      <c r="U2439" t="s">
        <v>13232</v>
      </c>
      <c r="V2439" t="s">
        <v>13232</v>
      </c>
      <c r="W2439" t="s">
        <v>15620</v>
      </c>
      <c r="X2439">
        <v>30</v>
      </c>
      <c r="Y2439" t="s">
        <v>22102</v>
      </c>
      <c r="Z2439" t="s">
        <v>28570</v>
      </c>
      <c r="AA2439">
        <v>0.32796760451945861</v>
      </c>
      <c r="AB2439" t="str">
        <f>HYPERLINK("Melting_Curves/meltCurve_P49411_TUFM.pdf", "Melting_Curves/meltCurve_P49411_TUFM.pdf")</f>
        <v>Melting_Curves/meltCurve_P49411_TUFM.pdf</v>
      </c>
    </row>
    <row r="2440" spans="1:28" x14ac:dyDescent="0.25">
      <c r="A2440" t="s">
        <v>2444</v>
      </c>
      <c r="B2440">
        <v>0.99930955844802105</v>
      </c>
      <c r="C2440">
        <v>0.69699489605754805</v>
      </c>
      <c r="D2440">
        <v>0.39499469866025999</v>
      </c>
      <c r="E2440">
        <v>0.30454679563904702</v>
      </c>
      <c r="F2440">
        <v>0.16329010185814</v>
      </c>
      <c r="G2440">
        <v>0.101075301481062</v>
      </c>
      <c r="H2440">
        <v>6.0901679174454798E-2</v>
      </c>
      <c r="I2440">
        <v>5.9485011538960603E-2</v>
      </c>
      <c r="J2440">
        <v>4.9304851959374799E-2</v>
      </c>
      <c r="K2440">
        <v>3.9065814970366403E-2</v>
      </c>
      <c r="L2440">
        <v>725.69456831264699</v>
      </c>
      <c r="M2440">
        <v>16.041998181237201</v>
      </c>
      <c r="N2440">
        <v>45.5913916278</v>
      </c>
      <c r="O2440">
        <v>44.551721746891197</v>
      </c>
      <c r="P2440">
        <v>-8.4751121058401602E-2</v>
      </c>
      <c r="Q2440">
        <v>5.8592270551193003E-2</v>
      </c>
      <c r="R2440">
        <v>0.97505573869918205</v>
      </c>
      <c r="S2440" t="s">
        <v>9057</v>
      </c>
      <c r="T2440" t="s">
        <v>13232</v>
      </c>
      <c r="U2440" t="s">
        <v>13232</v>
      </c>
      <c r="V2440" t="s">
        <v>13232</v>
      </c>
      <c r="W2440" t="s">
        <v>15621</v>
      </c>
      <c r="X2440">
        <v>8</v>
      </c>
      <c r="Y2440" t="s">
        <v>22103</v>
      </c>
      <c r="Z2440" t="s">
        <v>28571</v>
      </c>
      <c r="AA2440">
        <v>0.24848661161332741</v>
      </c>
      <c r="AB2440" t="str">
        <f>HYPERLINK("Melting_Curves/meltCurve_P49427_CDC34.pdf", "Melting_Curves/meltCurve_P49427_CDC34.pdf")</f>
        <v>Melting_Curves/meltCurve_P49427_CDC34.pdf</v>
      </c>
    </row>
    <row r="2441" spans="1:28" x14ac:dyDescent="0.25">
      <c r="A2441" t="s">
        <v>2445</v>
      </c>
      <c r="B2441">
        <v>0.99930955844802105</v>
      </c>
      <c r="C2441">
        <v>0.942312853848423</v>
      </c>
      <c r="D2441">
        <v>0.89665903740509501</v>
      </c>
      <c r="E2441">
        <v>0.82193147997097005</v>
      </c>
      <c r="F2441">
        <v>0.31680924098072</v>
      </c>
      <c r="G2441">
        <v>0.170887167632223</v>
      </c>
      <c r="H2441">
        <v>0.105630260659551</v>
      </c>
      <c r="I2441">
        <v>9.3218413089793797E-2</v>
      </c>
      <c r="J2441">
        <v>8.0067371871287693E-2</v>
      </c>
      <c r="K2441">
        <v>5.9841220144701598E-2</v>
      </c>
      <c r="L2441">
        <v>1990.39180903795</v>
      </c>
      <c r="M2441">
        <v>38.548067807009602</v>
      </c>
      <c r="N2441">
        <v>51.914284764863098</v>
      </c>
      <c r="O2441">
        <v>51.495650846391797</v>
      </c>
      <c r="P2441">
        <v>-0.16956281244528901</v>
      </c>
      <c r="Q2441">
        <v>9.3938874672939196E-2</v>
      </c>
      <c r="R2441">
        <v>0.98832045936735602</v>
      </c>
      <c r="S2441" t="s">
        <v>9058</v>
      </c>
      <c r="T2441" t="s">
        <v>13232</v>
      </c>
      <c r="U2441" t="s">
        <v>13232</v>
      </c>
      <c r="V2441" t="s">
        <v>13232</v>
      </c>
      <c r="W2441" t="s">
        <v>15622</v>
      </c>
      <c r="X2441">
        <v>13</v>
      </c>
      <c r="Y2441" t="s">
        <v>22104</v>
      </c>
      <c r="Z2441" t="s">
        <v>28572</v>
      </c>
      <c r="AA2441">
        <v>0.44879253101364991</v>
      </c>
      <c r="AB2441" t="str">
        <f>HYPERLINK("Melting_Curves/meltCurve_P49441_INPP1.pdf", "Melting_Curves/meltCurve_P49441_INPP1.pdf")</f>
        <v>Melting_Curves/meltCurve_P49441_INPP1.pdf</v>
      </c>
    </row>
    <row r="2442" spans="1:28" x14ac:dyDescent="0.25">
      <c r="A2442" t="s">
        <v>2446</v>
      </c>
      <c r="B2442">
        <v>0.99930955844802105</v>
      </c>
      <c r="C2442">
        <v>0.76395653036982603</v>
      </c>
      <c r="D2442">
        <v>0.78033891304297198</v>
      </c>
      <c r="E2442">
        <v>0.841508030266788</v>
      </c>
      <c r="F2442">
        <v>0.56949495461146704</v>
      </c>
      <c r="G2442">
        <v>0.29443392973843102</v>
      </c>
      <c r="H2442">
        <v>0.167804606401079</v>
      </c>
      <c r="I2442">
        <v>0.135719632679317</v>
      </c>
      <c r="J2442">
        <v>0.112690939131777</v>
      </c>
      <c r="K2442">
        <v>8.6822432131742094E-2</v>
      </c>
      <c r="L2442">
        <v>586.77596839800401</v>
      </c>
      <c r="M2442">
        <v>10.9179250801155</v>
      </c>
      <c r="N2442">
        <v>53.744274560052602</v>
      </c>
      <c r="O2442">
        <v>52.035576531777203</v>
      </c>
      <c r="P2442">
        <v>-5.2472352215267803E-2</v>
      </c>
      <c r="Q2442">
        <v>0</v>
      </c>
      <c r="R2442">
        <v>0.94028462096588405</v>
      </c>
      <c r="S2442" t="s">
        <v>9059</v>
      </c>
      <c r="T2442" t="s">
        <v>13232</v>
      </c>
      <c r="U2442" t="s">
        <v>13232</v>
      </c>
      <c r="V2442" t="s">
        <v>13232</v>
      </c>
      <c r="W2442" t="s">
        <v>15623</v>
      </c>
      <c r="X2442">
        <v>20</v>
      </c>
      <c r="Y2442" t="s">
        <v>22105</v>
      </c>
      <c r="Z2442" t="s">
        <v>28573</v>
      </c>
      <c r="AA2442">
        <v>0.48729779118597621</v>
      </c>
      <c r="AB2442" t="str">
        <f>HYPERLINK("Melting_Curves/meltCurve_P49448_GLUD2.pdf", "Melting_Curves/meltCurve_P49448_GLUD2.pdf")</f>
        <v>Melting_Curves/meltCurve_P49448_GLUD2.pdf</v>
      </c>
    </row>
    <row r="2443" spans="1:28" x14ac:dyDescent="0.25">
      <c r="A2443" t="s">
        <v>2447</v>
      </c>
      <c r="B2443">
        <v>0.99930955844802105</v>
      </c>
      <c r="C2443">
        <v>1.0494960686003101</v>
      </c>
      <c r="D2443">
        <v>0.95375270523672795</v>
      </c>
      <c r="E2443">
        <v>0.91501391700696699</v>
      </c>
      <c r="F2443">
        <v>0.84829656545200904</v>
      </c>
      <c r="G2443">
        <v>0.71305385816934397</v>
      </c>
      <c r="H2443">
        <v>0.55791813172530902</v>
      </c>
      <c r="I2443">
        <v>0.51154331151342003</v>
      </c>
      <c r="J2443">
        <v>0.48242418654427599</v>
      </c>
      <c r="K2443">
        <v>0.37465983809435999</v>
      </c>
      <c r="L2443">
        <v>679.70845055576103</v>
      </c>
      <c r="M2443">
        <v>11.601977789638401</v>
      </c>
      <c r="N2443">
        <v>64.066315148400093</v>
      </c>
      <c r="O2443">
        <v>56.926214893146202</v>
      </c>
      <c r="P2443">
        <v>-3.4927878935282299E-2</v>
      </c>
      <c r="Q2443">
        <v>0.314680454937939</v>
      </c>
      <c r="R2443">
        <v>0.98727633546513405</v>
      </c>
      <c r="S2443" t="s">
        <v>9060</v>
      </c>
      <c r="T2443" t="s">
        <v>13232</v>
      </c>
      <c r="U2443" t="s">
        <v>13232</v>
      </c>
      <c r="V2443" t="s">
        <v>13232</v>
      </c>
      <c r="W2443" t="s">
        <v>15624</v>
      </c>
      <c r="X2443">
        <v>109</v>
      </c>
      <c r="Y2443" t="s">
        <v>22106</v>
      </c>
      <c r="Z2443" t="s">
        <v>28574</v>
      </c>
      <c r="AA2443">
        <v>0.7457221367739284</v>
      </c>
      <c r="AB2443" t="str">
        <f>HYPERLINK("Melting_Curves/meltCurve_P49454_CENPF.pdf", "Melting_Curves/meltCurve_P49454_CENPF.pdf")</f>
        <v>Melting_Curves/meltCurve_P49454_CENPF.pdf</v>
      </c>
    </row>
    <row r="2444" spans="1:28" x14ac:dyDescent="0.25">
      <c r="A2444" t="s">
        <v>2448</v>
      </c>
      <c r="B2444">
        <v>0.99930955844802105</v>
      </c>
      <c r="C2444">
        <v>0.88285499476959695</v>
      </c>
      <c r="D2444">
        <v>0.89876646763596202</v>
      </c>
      <c r="E2444">
        <v>0.81173959263320605</v>
      </c>
      <c r="F2444">
        <v>0.72181166554323195</v>
      </c>
      <c r="G2444">
        <v>0.57169136609097504</v>
      </c>
      <c r="H2444">
        <v>0.28876600756611998</v>
      </c>
      <c r="I2444">
        <v>0.19128058651754101</v>
      </c>
      <c r="J2444">
        <v>0.116515514063793</v>
      </c>
      <c r="K2444">
        <v>7.5316522299692601E-2</v>
      </c>
      <c r="L2444">
        <v>680.70676423773205</v>
      </c>
      <c r="M2444">
        <v>11.9536520242224</v>
      </c>
      <c r="N2444">
        <v>56.945505091816997</v>
      </c>
      <c r="O2444">
        <v>55.421982053808101</v>
      </c>
      <c r="P2444">
        <v>-5.3934264693170898E-2</v>
      </c>
      <c r="Q2444">
        <v>0</v>
      </c>
      <c r="R2444">
        <v>0.98224311058535196</v>
      </c>
      <c r="S2444" t="s">
        <v>9061</v>
      </c>
      <c r="T2444" t="s">
        <v>13232</v>
      </c>
      <c r="U2444" t="s">
        <v>13232</v>
      </c>
      <c r="V2444" t="s">
        <v>13232</v>
      </c>
      <c r="W2444" t="s">
        <v>15625</v>
      </c>
      <c r="X2444">
        <v>7</v>
      </c>
      <c r="Y2444" t="s">
        <v>22107</v>
      </c>
      <c r="Z2444" t="s">
        <v>28575</v>
      </c>
      <c r="AA2444">
        <v>0.58188762483544676</v>
      </c>
      <c r="AB2444" t="str">
        <f>HYPERLINK("Melting_Curves/meltCurve_P49458_SRP9.pdf", "Melting_Curves/meltCurve_P49458_SRP9.pdf")</f>
        <v>Melting_Curves/meltCurve_P49458_SRP9.pdf</v>
      </c>
    </row>
    <row r="2445" spans="1:28" x14ac:dyDescent="0.25">
      <c r="A2445" t="s">
        <v>2449</v>
      </c>
      <c r="B2445">
        <v>0.99930955844802105</v>
      </c>
      <c r="C2445">
        <v>1.0172012288416801</v>
      </c>
      <c r="D2445">
        <v>1.06826586498124</v>
      </c>
      <c r="E2445">
        <v>1.1284634579442301</v>
      </c>
      <c r="F2445">
        <v>1.01985960019671</v>
      </c>
      <c r="G2445">
        <v>0.64716661517367402</v>
      </c>
      <c r="H2445">
        <v>0.28473379798175302</v>
      </c>
      <c r="I2445">
        <v>0.14663157644005401</v>
      </c>
      <c r="J2445">
        <v>0.102533784171026</v>
      </c>
      <c r="K2445">
        <v>7.5436654810422096E-2</v>
      </c>
      <c r="L2445">
        <v>1851.6419347527301</v>
      </c>
      <c r="M2445">
        <v>31.868332783374299</v>
      </c>
      <c r="N2445">
        <v>58.476692405118698</v>
      </c>
      <c r="O2445">
        <v>57.875528067595802</v>
      </c>
      <c r="P2445">
        <v>-0.12497376995399399</v>
      </c>
      <c r="Q2445">
        <v>9.2153844240046398E-2</v>
      </c>
      <c r="R2445">
        <v>0.98401324127450496</v>
      </c>
      <c r="S2445" t="s">
        <v>9062</v>
      </c>
      <c r="T2445" t="s">
        <v>13232</v>
      </c>
      <c r="U2445" t="s">
        <v>13232</v>
      </c>
      <c r="V2445" t="s">
        <v>13232</v>
      </c>
      <c r="W2445" t="s">
        <v>15626</v>
      </c>
      <c r="X2445">
        <v>4</v>
      </c>
      <c r="Y2445" t="s">
        <v>22108</v>
      </c>
      <c r="Z2445" t="s">
        <v>28576</v>
      </c>
      <c r="AA2445">
        <v>0.64536505988125314</v>
      </c>
      <c r="AB2445" t="str">
        <f>HYPERLINK("Melting_Curves/meltCurve_P49459_UBE2A.pdf", "Melting_Curves/meltCurve_P49459_UBE2A.pdf")</f>
        <v>Melting_Curves/meltCurve_P49459_UBE2A.pdf</v>
      </c>
    </row>
    <row r="2446" spans="1:28" x14ac:dyDescent="0.25">
      <c r="A2446" t="s">
        <v>2450</v>
      </c>
      <c r="B2446">
        <v>0.99930955844802105</v>
      </c>
      <c r="C2446">
        <v>1.1316166181352201</v>
      </c>
      <c r="D2446">
        <v>1.0880790004493499</v>
      </c>
      <c r="E2446">
        <v>1.00429389017336</v>
      </c>
      <c r="F2446">
        <v>0.84694645927257095</v>
      </c>
      <c r="G2446">
        <v>0.56538336088030405</v>
      </c>
      <c r="H2446">
        <v>0.32399863065006401</v>
      </c>
      <c r="I2446">
        <v>0.27620363261008801</v>
      </c>
      <c r="J2446">
        <v>0.23247688197539201</v>
      </c>
      <c r="K2446">
        <v>0.168067880307218</v>
      </c>
      <c r="L2446">
        <v>1317.61359341146</v>
      </c>
      <c r="M2446">
        <v>23.256580193125899</v>
      </c>
      <c r="N2446">
        <v>57.893879746919801</v>
      </c>
      <c r="O2446">
        <v>56.241612985089198</v>
      </c>
      <c r="P2446">
        <v>-8.3121319980337699E-2</v>
      </c>
      <c r="Q2446">
        <v>0.19596202515286601</v>
      </c>
      <c r="R2446">
        <v>0.97795639779007004</v>
      </c>
      <c r="S2446" t="s">
        <v>9063</v>
      </c>
      <c r="T2446" t="s">
        <v>13232</v>
      </c>
      <c r="U2446" t="s">
        <v>13232</v>
      </c>
      <c r="V2446" t="s">
        <v>13232</v>
      </c>
      <c r="W2446" t="s">
        <v>15627</v>
      </c>
      <c r="X2446">
        <v>18</v>
      </c>
      <c r="Y2446" t="s">
        <v>22109</v>
      </c>
      <c r="Z2446" t="s">
        <v>28577</v>
      </c>
      <c r="AA2446">
        <v>0.65051249957140311</v>
      </c>
      <c r="AB2446" t="str">
        <f>HYPERLINK("Melting_Curves/meltCurve_P49585_PCYT1A.pdf", "Melting_Curves/meltCurve_P49585_PCYT1A.pdf")</f>
        <v>Melting_Curves/meltCurve_P49585_PCYT1A.pdf</v>
      </c>
    </row>
    <row r="2447" spans="1:28" x14ac:dyDescent="0.25">
      <c r="A2447" t="s">
        <v>2451</v>
      </c>
      <c r="B2447">
        <v>0.99930955844802105</v>
      </c>
      <c r="C2447">
        <v>1.19790986023589</v>
      </c>
      <c r="D2447">
        <v>0.68591185441003599</v>
      </c>
      <c r="E2447">
        <v>0.53103688671612204</v>
      </c>
      <c r="F2447">
        <v>0.17529522822254601</v>
      </c>
      <c r="G2447">
        <v>0.123465562395808</v>
      </c>
      <c r="H2447">
        <v>6.2543559763286294E-2</v>
      </c>
      <c r="I2447">
        <v>4.84826810481419E-2</v>
      </c>
      <c r="J2447">
        <v>3.7565131766703702E-2</v>
      </c>
      <c r="K2447">
        <v>2.87083715220618E-2</v>
      </c>
      <c r="L2447">
        <v>1027.5766478655601</v>
      </c>
      <c r="M2447">
        <v>20.807061792807399</v>
      </c>
      <c r="N2447">
        <v>49.579325992514697</v>
      </c>
      <c r="O2447">
        <v>48.9365691229482</v>
      </c>
      <c r="P2447">
        <v>-0.10215623313120301</v>
      </c>
      <c r="Q2447">
        <v>3.8973116238398303E-2</v>
      </c>
      <c r="R2447">
        <v>0.95027559935123296</v>
      </c>
      <c r="S2447" t="s">
        <v>9064</v>
      </c>
      <c r="T2447" t="s">
        <v>13232</v>
      </c>
      <c r="U2447" t="s">
        <v>13232</v>
      </c>
      <c r="V2447" t="s">
        <v>13232</v>
      </c>
      <c r="W2447" t="s">
        <v>15628</v>
      </c>
      <c r="X2447">
        <v>64</v>
      </c>
      <c r="Y2447" t="s">
        <v>22110</v>
      </c>
      <c r="Z2447" t="s">
        <v>28578</v>
      </c>
      <c r="AA2447">
        <v>0.35204150023385178</v>
      </c>
      <c r="AB2447" t="str">
        <f>HYPERLINK("Melting_Curves/meltCurve_P49588_AARS.pdf", "Melting_Curves/meltCurve_P49588_AARS.pdf")</f>
        <v>Melting_Curves/meltCurve_P49588_AARS.pdf</v>
      </c>
    </row>
    <row r="2448" spans="1:28" x14ac:dyDescent="0.25">
      <c r="A2448" t="s">
        <v>2452</v>
      </c>
      <c r="B2448">
        <v>0.99930955844802105</v>
      </c>
      <c r="C2448">
        <v>0.90918487198785902</v>
      </c>
      <c r="D2448">
        <v>0.93442081735907601</v>
      </c>
      <c r="E2448">
        <v>0.92358990080412495</v>
      </c>
      <c r="F2448">
        <v>0.66686152117396102</v>
      </c>
      <c r="G2448">
        <v>0.18667199571417201</v>
      </c>
      <c r="H2448">
        <v>0.11375844882576901</v>
      </c>
      <c r="I2448">
        <v>9.0607089007225305E-2</v>
      </c>
      <c r="J2448">
        <v>7.7907784906461205E-2</v>
      </c>
      <c r="K2448">
        <v>6.0799401631455703E-2</v>
      </c>
      <c r="L2448">
        <v>1792.77081551233</v>
      </c>
      <c r="M2448">
        <v>33.300977469864499</v>
      </c>
      <c r="N2448">
        <v>54.1064831615614</v>
      </c>
      <c r="O2448">
        <v>53.642360542385703</v>
      </c>
      <c r="P2448">
        <v>-0.14327419486621601</v>
      </c>
      <c r="Q2448">
        <v>7.6840026209398102E-2</v>
      </c>
      <c r="R2448">
        <v>0.99170473003271398</v>
      </c>
      <c r="S2448" t="s">
        <v>9065</v>
      </c>
      <c r="T2448" t="s">
        <v>13232</v>
      </c>
      <c r="U2448" t="s">
        <v>13232</v>
      </c>
      <c r="V2448" t="s">
        <v>13232</v>
      </c>
      <c r="W2448" t="s">
        <v>15629</v>
      </c>
      <c r="X2448">
        <v>45</v>
      </c>
      <c r="Y2448" t="s">
        <v>22111</v>
      </c>
      <c r="Z2448" t="s">
        <v>28579</v>
      </c>
      <c r="AA2448">
        <v>0.50751839341311511</v>
      </c>
      <c r="AB2448" t="str">
        <f>HYPERLINK("Melting_Curves/meltCurve_P49589_3_CARS.pdf", "Melting_Curves/meltCurve_P49589_3_CARS.pdf")</f>
        <v>Melting_Curves/meltCurve_P49589_3_CARS.pdf</v>
      </c>
    </row>
    <row r="2449" spans="1:28" x14ac:dyDescent="0.25">
      <c r="A2449" t="s">
        <v>2453</v>
      </c>
      <c r="B2449">
        <v>0.99930955844802105</v>
      </c>
      <c r="C2449">
        <v>0.940375327795827</v>
      </c>
      <c r="D2449">
        <v>0.95843806936905795</v>
      </c>
      <c r="E2449">
        <v>0.89391137782417396</v>
      </c>
      <c r="F2449">
        <v>0.45407703946097899</v>
      </c>
      <c r="G2449">
        <v>0.19756783087191099</v>
      </c>
      <c r="H2449">
        <v>9.55339668659278E-2</v>
      </c>
      <c r="I2449">
        <v>7.8204795054679005E-2</v>
      </c>
      <c r="J2449">
        <v>7.0662359125364102E-2</v>
      </c>
      <c r="K2449">
        <v>5.1732434228187102E-2</v>
      </c>
      <c r="L2449">
        <v>1687.63452395123</v>
      </c>
      <c r="M2449">
        <v>32.067762675108298</v>
      </c>
      <c r="N2449">
        <v>52.9062376181136</v>
      </c>
      <c r="O2449">
        <v>52.423749541139998</v>
      </c>
      <c r="P2449">
        <v>-0.14102631074754099</v>
      </c>
      <c r="Q2449">
        <v>7.7816465535891902E-2</v>
      </c>
      <c r="R2449">
        <v>0.993756485779414</v>
      </c>
      <c r="S2449" t="s">
        <v>9066</v>
      </c>
      <c r="T2449" t="s">
        <v>13232</v>
      </c>
      <c r="U2449" t="s">
        <v>13232</v>
      </c>
      <c r="V2449" t="s">
        <v>13232</v>
      </c>
      <c r="W2449" t="s">
        <v>15630</v>
      </c>
      <c r="X2449">
        <v>42</v>
      </c>
      <c r="Y2449" t="s">
        <v>22112</v>
      </c>
      <c r="Z2449" t="s">
        <v>28580</v>
      </c>
      <c r="AA2449">
        <v>0.47118186978798182</v>
      </c>
      <c r="AB2449" t="str">
        <f>HYPERLINK("Melting_Curves/meltCurve_P49591_SARS.pdf", "Melting_Curves/meltCurve_P49591_SARS.pdf")</f>
        <v>Melting_Curves/meltCurve_P49591_SARS.pdf</v>
      </c>
    </row>
    <row r="2450" spans="1:28" x14ac:dyDescent="0.25">
      <c r="A2450" t="s">
        <v>2454</v>
      </c>
      <c r="B2450">
        <v>0.99930955844802105</v>
      </c>
      <c r="C2450">
        <v>1.1050685589632601</v>
      </c>
      <c r="D2450">
        <v>0.85117567200664401</v>
      </c>
      <c r="E2450">
        <v>0.80864046030130599</v>
      </c>
      <c r="F2450">
        <v>0.224694525967638</v>
      </c>
      <c r="G2450">
        <v>0.15805718401461699</v>
      </c>
      <c r="H2450">
        <v>8.8705150202311095E-2</v>
      </c>
      <c r="I2450">
        <v>7.4631179736468101E-2</v>
      </c>
      <c r="J2450">
        <v>6.4298320558774893E-2</v>
      </c>
      <c r="K2450">
        <v>5.19147972542593E-2</v>
      </c>
      <c r="L2450">
        <v>2535.8750830142999</v>
      </c>
      <c r="M2450">
        <v>49.453491647607798</v>
      </c>
      <c r="N2450">
        <v>51.470224600373001</v>
      </c>
      <c r="O2450">
        <v>51.194348268550598</v>
      </c>
      <c r="P2450">
        <v>-0.221131702647831</v>
      </c>
      <c r="Q2450">
        <v>8.4337160993493698E-2</v>
      </c>
      <c r="R2450">
        <v>0.97771916194905395</v>
      </c>
      <c r="S2450" t="s">
        <v>9067</v>
      </c>
      <c r="T2450" t="s">
        <v>13232</v>
      </c>
      <c r="U2450" t="s">
        <v>13232</v>
      </c>
      <c r="V2450" t="s">
        <v>13232</v>
      </c>
      <c r="W2450" t="s">
        <v>15631</v>
      </c>
      <c r="X2450">
        <v>21</v>
      </c>
      <c r="Y2450" t="s">
        <v>22113</v>
      </c>
      <c r="Z2450" t="s">
        <v>28581</v>
      </c>
      <c r="AA2450">
        <v>0.43068201988269073</v>
      </c>
      <c r="AB2450" t="str">
        <f>HYPERLINK("Melting_Curves/meltCurve_P49593_PPM1F.pdf", "Melting_Curves/meltCurve_P49593_PPM1F.pdf")</f>
        <v>Melting_Curves/meltCurve_P49593_PPM1F.pdf</v>
      </c>
    </row>
    <row r="2451" spans="1:28" x14ac:dyDescent="0.25">
      <c r="A2451" t="s">
        <v>2455</v>
      </c>
      <c r="B2451">
        <v>0.99930955844802105</v>
      </c>
      <c r="C2451">
        <v>0.65104374146389599</v>
      </c>
      <c r="D2451">
        <v>0.53996684340386703</v>
      </c>
      <c r="E2451">
        <v>0.36629276811168399</v>
      </c>
      <c r="F2451">
        <v>0.10120632113002299</v>
      </c>
      <c r="G2451">
        <v>7.5194809790334799E-2</v>
      </c>
      <c r="H2451">
        <v>3.80219621622283E-2</v>
      </c>
      <c r="I2451">
        <v>3.2791969525554202E-2</v>
      </c>
      <c r="J2451">
        <v>2.5836651665973199E-2</v>
      </c>
      <c r="K2451">
        <v>2.1665669893992701E-2</v>
      </c>
      <c r="L2451">
        <v>615.624547867827</v>
      </c>
      <c r="M2451">
        <v>13.250340749596599</v>
      </c>
      <c r="N2451">
        <v>46.481240055183697</v>
      </c>
      <c r="O2451">
        <v>45.441038898376902</v>
      </c>
      <c r="P2451">
        <v>-7.2701278493386007E-2</v>
      </c>
      <c r="Q2451">
        <v>2.8694641246416398E-3</v>
      </c>
      <c r="R2451">
        <v>0.96958324640967497</v>
      </c>
      <c r="S2451" t="s">
        <v>9068</v>
      </c>
      <c r="T2451" t="s">
        <v>13232</v>
      </c>
      <c r="U2451" t="s">
        <v>13232</v>
      </c>
      <c r="V2451" t="s">
        <v>13232</v>
      </c>
      <c r="W2451" t="s">
        <v>15632</v>
      </c>
      <c r="X2451">
        <v>11</v>
      </c>
      <c r="Y2451" t="s">
        <v>22114</v>
      </c>
      <c r="Z2451" t="s">
        <v>28582</v>
      </c>
      <c r="AA2451">
        <v>0.25374923220112522</v>
      </c>
      <c r="AB2451" t="str">
        <f>HYPERLINK("Melting_Curves/meltCurve_P49642_PRIM1.pdf", "Melting_Curves/meltCurve_P49642_PRIM1.pdf")</f>
        <v>Melting_Curves/meltCurve_P49642_PRIM1.pdf</v>
      </c>
    </row>
    <row r="2452" spans="1:28" x14ac:dyDescent="0.25">
      <c r="A2452" t="s">
        <v>2456</v>
      </c>
      <c r="B2452">
        <v>0.99930955844802105</v>
      </c>
      <c r="C2452">
        <v>0.83511630448451801</v>
      </c>
      <c r="D2452">
        <v>0.77371637710214902</v>
      </c>
      <c r="E2452">
        <v>0.64128507769395404</v>
      </c>
      <c r="F2452">
        <v>0.22549369007331699</v>
      </c>
      <c r="G2452">
        <v>0.15592838701727699</v>
      </c>
      <c r="H2452">
        <v>9.6551752043746705E-2</v>
      </c>
      <c r="I2452">
        <v>8.1931592726320196E-2</v>
      </c>
      <c r="J2452">
        <v>7.3919555295920605E-2</v>
      </c>
      <c r="K2452">
        <v>5.0963937141849797E-2</v>
      </c>
      <c r="L2452">
        <v>741.43804812196095</v>
      </c>
      <c r="M2452">
        <v>14.8275807969518</v>
      </c>
      <c r="N2452">
        <v>50.2464324977608</v>
      </c>
      <c r="O2452">
        <v>49.120889127512598</v>
      </c>
      <c r="P2452">
        <v>-7.2867122353686503E-2</v>
      </c>
      <c r="Q2452">
        <v>3.45238084146057E-2</v>
      </c>
      <c r="R2452">
        <v>0.97240567470328299</v>
      </c>
      <c r="S2452" t="s">
        <v>9069</v>
      </c>
      <c r="T2452" t="s">
        <v>13232</v>
      </c>
      <c r="U2452" t="s">
        <v>13232</v>
      </c>
      <c r="V2452" t="s">
        <v>13232</v>
      </c>
      <c r="W2452" t="s">
        <v>15633</v>
      </c>
      <c r="X2452">
        <v>12</v>
      </c>
      <c r="Y2452" t="s">
        <v>22115</v>
      </c>
      <c r="Z2452" t="s">
        <v>28583</v>
      </c>
      <c r="AA2452">
        <v>0.37997217192527771</v>
      </c>
      <c r="AB2452" t="str">
        <f>HYPERLINK("Melting_Curves/meltCurve_P49643_PRIM2.pdf", "Melting_Curves/meltCurve_P49643_PRIM2.pdf")</f>
        <v>Melting_Curves/meltCurve_P49643_PRIM2.pdf</v>
      </c>
    </row>
    <row r="2453" spans="1:28" x14ac:dyDescent="0.25">
      <c r="A2453" t="s">
        <v>2457</v>
      </c>
      <c r="B2453">
        <v>0.99930955844802105</v>
      </c>
      <c r="C2453">
        <v>1.08739132695324</v>
      </c>
      <c r="D2453">
        <v>1.0606790760053699</v>
      </c>
      <c r="E2453">
        <v>0.84622306156666904</v>
      </c>
      <c r="F2453">
        <v>0.47054600937698199</v>
      </c>
      <c r="G2453">
        <v>0.187766330995456</v>
      </c>
      <c r="H2453">
        <v>0.10471027963439899</v>
      </c>
      <c r="I2453">
        <v>0.11159622781208201</v>
      </c>
      <c r="J2453">
        <v>0.102227317983016</v>
      </c>
      <c r="K2453">
        <v>5.3553118078208103E-2</v>
      </c>
      <c r="L2453">
        <v>1664.71797386807</v>
      </c>
      <c r="M2453">
        <v>31.702018631988999</v>
      </c>
      <c r="N2453">
        <v>52.857376187625903</v>
      </c>
      <c r="O2453">
        <v>52.303796794729998</v>
      </c>
      <c r="P2453">
        <v>-0.137332487143842</v>
      </c>
      <c r="Q2453">
        <v>9.3688874774281894E-2</v>
      </c>
      <c r="R2453">
        <v>0.99138562655876805</v>
      </c>
      <c r="S2453" t="s">
        <v>9070</v>
      </c>
      <c r="T2453" t="s">
        <v>13232</v>
      </c>
      <c r="U2453" t="s">
        <v>13232</v>
      </c>
      <c r="V2453" t="s">
        <v>13232</v>
      </c>
      <c r="W2453" t="s">
        <v>15634</v>
      </c>
      <c r="X2453">
        <v>1</v>
      </c>
      <c r="Y2453" t="s">
        <v>22116</v>
      </c>
      <c r="Z2453" t="s">
        <v>28584</v>
      </c>
      <c r="AA2453">
        <v>0.47689611616347699</v>
      </c>
      <c r="AB2453" t="str">
        <f>HYPERLINK("Melting_Curves/meltCurve_P49662_2_CASP4.pdf", "Melting_Curves/meltCurve_P49662_2_CASP4.pdf")</f>
        <v>Melting_Curves/meltCurve_P49662_2_CASP4.pdf</v>
      </c>
    </row>
    <row r="2454" spans="1:28" x14ac:dyDescent="0.25">
      <c r="A2454" t="s">
        <v>2458</v>
      </c>
      <c r="B2454">
        <v>0.99930955844802105</v>
      </c>
      <c r="C2454">
        <v>1.2242097773042</v>
      </c>
      <c r="D2454">
        <v>1.0771304550485401</v>
      </c>
      <c r="E2454">
        <v>1.16700285982049</v>
      </c>
      <c r="F2454">
        <v>1.1991862686477399</v>
      </c>
      <c r="G2454">
        <v>1.29891352323606</v>
      </c>
      <c r="H2454">
        <v>1.6255697410441601</v>
      </c>
      <c r="I2454">
        <v>2.1968633582680601</v>
      </c>
      <c r="J2454">
        <v>2.4187298921020202</v>
      </c>
      <c r="K2454">
        <v>1.8290364898145299</v>
      </c>
      <c r="L2454">
        <v>1539.3371280977001</v>
      </c>
      <c r="M2454">
        <v>28.913165943744499</v>
      </c>
      <c r="O2454">
        <v>52.987280131589301</v>
      </c>
      <c r="P2454">
        <v>6.82083221179937E-2</v>
      </c>
      <c r="Q2454">
        <v>1.5</v>
      </c>
      <c r="R2454">
        <v>0.29567502187224498</v>
      </c>
      <c r="S2454" t="s">
        <v>9071</v>
      </c>
      <c r="T2454" t="s">
        <v>13232</v>
      </c>
      <c r="U2454" t="s">
        <v>13232</v>
      </c>
      <c r="V2454" t="s">
        <v>13232</v>
      </c>
      <c r="W2454" t="s">
        <v>15635</v>
      </c>
      <c r="X2454">
        <v>4</v>
      </c>
      <c r="Y2454" t="s">
        <v>22117</v>
      </c>
      <c r="Z2454" t="s">
        <v>28585</v>
      </c>
      <c r="AA2454">
        <v>1.2758378471799079</v>
      </c>
      <c r="AB2454" t="str">
        <f>HYPERLINK("Melting_Curves/meltCurve_P49674_CSNK1E.pdf", "Melting_Curves/meltCurve_P49674_CSNK1E.pdf")</f>
        <v>Melting_Curves/meltCurve_P49674_CSNK1E.pdf</v>
      </c>
    </row>
    <row r="2455" spans="1:28" x14ac:dyDescent="0.25">
      <c r="A2455" t="s">
        <v>2459</v>
      </c>
      <c r="B2455">
        <v>0.99930955844802105</v>
      </c>
      <c r="C2455">
        <v>1.02421783791112</v>
      </c>
      <c r="D2455">
        <v>0.90787009274471298</v>
      </c>
      <c r="E2455">
        <v>0.81172413137185395</v>
      </c>
      <c r="F2455">
        <v>0.56970001834905704</v>
      </c>
      <c r="G2455">
        <v>0.42968354558587801</v>
      </c>
      <c r="H2455">
        <v>0.382345935863113</v>
      </c>
      <c r="I2455">
        <v>0.36866728806948101</v>
      </c>
      <c r="J2455">
        <v>0.34772299257268702</v>
      </c>
      <c r="K2455">
        <v>0.27916374171193298</v>
      </c>
      <c r="L2455">
        <v>967.39435116888296</v>
      </c>
      <c r="M2455">
        <v>18.630963391107102</v>
      </c>
      <c r="N2455">
        <v>54.988475409396401</v>
      </c>
      <c r="O2455">
        <v>51.336920367942497</v>
      </c>
      <c r="P2455">
        <v>-6.1428762243995898E-2</v>
      </c>
      <c r="Q2455">
        <v>0.32297081296709201</v>
      </c>
      <c r="R2455">
        <v>0.98922271198545597</v>
      </c>
      <c r="S2455" t="s">
        <v>9072</v>
      </c>
      <c r="T2455" t="s">
        <v>13232</v>
      </c>
      <c r="U2455" t="s">
        <v>13232</v>
      </c>
      <c r="V2455" t="s">
        <v>13232</v>
      </c>
      <c r="W2455" t="s">
        <v>15636</v>
      </c>
      <c r="X2455">
        <v>14</v>
      </c>
      <c r="Y2455" t="s">
        <v>22118</v>
      </c>
      <c r="Z2455" t="s">
        <v>28586</v>
      </c>
      <c r="AA2455">
        <v>0.60269375591752872</v>
      </c>
      <c r="AB2455" t="str">
        <f>HYPERLINK("Melting_Curves/meltCurve_P49711_CTCF.pdf", "Melting_Curves/meltCurve_P49711_CTCF.pdf")</f>
        <v>Melting_Curves/meltCurve_P49711_CTCF.pdf</v>
      </c>
    </row>
    <row r="2456" spans="1:28" x14ac:dyDescent="0.25">
      <c r="A2456" t="s">
        <v>2460</v>
      </c>
      <c r="B2456">
        <v>0.99930955844802105</v>
      </c>
      <c r="C2456">
        <v>1.1065497281535801</v>
      </c>
      <c r="D2456">
        <v>1.0306601465107199</v>
      </c>
      <c r="E2456">
        <v>1.05817801777916</v>
      </c>
      <c r="F2456">
        <v>0.90350878553679503</v>
      </c>
      <c r="G2456">
        <v>0.83888288574801395</v>
      </c>
      <c r="H2456">
        <v>0.74284496147790302</v>
      </c>
      <c r="I2456">
        <v>0.85862816806270603</v>
      </c>
      <c r="J2456">
        <v>0.82146748164647099</v>
      </c>
      <c r="K2456">
        <v>0.693362941761967</v>
      </c>
      <c r="L2456">
        <v>2053.0475758521502</v>
      </c>
      <c r="M2456">
        <v>38.004295011032497</v>
      </c>
      <c r="O2456">
        <v>53.8725432585044</v>
      </c>
      <c r="P2456">
        <v>-3.8202546553770998E-2</v>
      </c>
      <c r="Q2456">
        <v>0.78338627875038103</v>
      </c>
      <c r="R2456">
        <v>0.79537683365451295</v>
      </c>
      <c r="S2456" t="s">
        <v>9073</v>
      </c>
      <c r="T2456" t="s">
        <v>13232</v>
      </c>
      <c r="U2456" t="s">
        <v>13232</v>
      </c>
      <c r="V2456" t="s">
        <v>13232</v>
      </c>
      <c r="W2456" t="s">
        <v>15637</v>
      </c>
      <c r="X2456">
        <v>2</v>
      </c>
      <c r="Y2456" t="s">
        <v>22119</v>
      </c>
      <c r="Z2456" t="s">
        <v>28587</v>
      </c>
      <c r="AA2456">
        <v>0.88552165212439538</v>
      </c>
      <c r="AB2456" t="str">
        <f>HYPERLINK("Melting_Curves/meltCurve_P49716_CEBPD.pdf", "Melting_Curves/meltCurve_P49716_CEBPD.pdf")</f>
        <v>Melting_Curves/meltCurve_P49716_CEBPD.pdf</v>
      </c>
    </row>
    <row r="2457" spans="1:28" x14ac:dyDescent="0.25">
      <c r="A2457" t="s">
        <v>2461</v>
      </c>
      <c r="B2457">
        <v>0.99930955844802105</v>
      </c>
      <c r="C2457">
        <v>0.61561126434177105</v>
      </c>
      <c r="D2457">
        <v>0.66667352371094002</v>
      </c>
      <c r="E2457">
        <v>0.95909686306051001</v>
      </c>
      <c r="F2457">
        <v>1.25138189476274</v>
      </c>
      <c r="G2457">
        <v>1.10320867950496</v>
      </c>
      <c r="H2457">
        <v>0.30027072950214101</v>
      </c>
      <c r="I2457">
        <v>0.30232343989667798</v>
      </c>
      <c r="J2457">
        <v>0.29990627666455699</v>
      </c>
      <c r="K2457">
        <v>0.206452868481628</v>
      </c>
      <c r="L2457">
        <v>15000</v>
      </c>
      <c r="M2457">
        <v>249.02764738408999</v>
      </c>
      <c r="N2457">
        <v>60.422235313333204</v>
      </c>
      <c r="O2457">
        <v>60.230391089426597</v>
      </c>
      <c r="P2457">
        <v>-0.75501642587595597</v>
      </c>
      <c r="Q2457">
        <v>0.26956006660996201</v>
      </c>
      <c r="R2457">
        <v>0.74683287012516797</v>
      </c>
      <c r="S2457" t="s">
        <v>9074</v>
      </c>
      <c r="T2457" t="s">
        <v>13232</v>
      </c>
      <c r="U2457" t="s">
        <v>13232</v>
      </c>
      <c r="V2457" t="s">
        <v>13232</v>
      </c>
      <c r="W2457" t="s">
        <v>15638</v>
      </c>
      <c r="X2457">
        <v>12</v>
      </c>
      <c r="Y2457" t="s">
        <v>22120</v>
      </c>
      <c r="Z2457" t="s">
        <v>28588</v>
      </c>
      <c r="AA2457">
        <v>0.76230198867529042</v>
      </c>
      <c r="AB2457" t="str">
        <f>HYPERLINK("Melting_Curves/meltCurve_P49720_PSMB3.pdf", "Melting_Curves/meltCurve_P49720_PSMB3.pdf")</f>
        <v>Melting_Curves/meltCurve_P49720_PSMB3.pdf</v>
      </c>
    </row>
    <row r="2458" spans="1:28" x14ac:dyDescent="0.25">
      <c r="A2458" t="s">
        <v>2462</v>
      </c>
      <c r="B2458">
        <v>0.99930955844802105</v>
      </c>
      <c r="C2458">
        <v>0.69921300805763298</v>
      </c>
      <c r="D2458">
        <v>0.683679155001787</v>
      </c>
      <c r="E2458">
        <v>1.0605455045939201</v>
      </c>
      <c r="F2458">
        <v>1.4394983445567</v>
      </c>
      <c r="G2458">
        <v>1.4057430403878299</v>
      </c>
      <c r="H2458">
        <v>0.394586213408256</v>
      </c>
      <c r="I2458">
        <v>0.424390209745235</v>
      </c>
      <c r="J2458">
        <v>0.47572107726403001</v>
      </c>
      <c r="K2458">
        <v>0.28808833946073797</v>
      </c>
      <c r="L2458">
        <v>14887.6146700931</v>
      </c>
      <c r="M2458">
        <v>250</v>
      </c>
      <c r="N2458">
        <v>59.925242020039299</v>
      </c>
      <c r="O2458">
        <v>59.546647883233298</v>
      </c>
      <c r="P2458">
        <v>-0.63468852662428799</v>
      </c>
      <c r="Q2458">
        <v>0.39530281372003101</v>
      </c>
      <c r="R2458">
        <v>0.63831091564134201</v>
      </c>
      <c r="S2458" t="s">
        <v>9075</v>
      </c>
      <c r="T2458" t="s">
        <v>13232</v>
      </c>
      <c r="U2458" t="s">
        <v>13232</v>
      </c>
      <c r="V2458" t="s">
        <v>13232</v>
      </c>
      <c r="W2458" t="s">
        <v>15639</v>
      </c>
      <c r="X2458">
        <v>17</v>
      </c>
      <c r="Y2458" t="s">
        <v>22121</v>
      </c>
      <c r="Z2458" t="s">
        <v>28589</v>
      </c>
      <c r="AA2458">
        <v>0.78943625585060861</v>
      </c>
      <c r="AB2458" t="str">
        <f>HYPERLINK("Melting_Curves/meltCurve_P49721_PSMB2.pdf", "Melting_Curves/meltCurve_P49721_PSMB2.pdf")</f>
        <v>Melting_Curves/meltCurve_P49721_PSMB2.pdf</v>
      </c>
    </row>
    <row r="2459" spans="1:28" x14ac:dyDescent="0.25">
      <c r="A2459" t="s">
        <v>2463</v>
      </c>
      <c r="B2459">
        <v>0.99930955844802105</v>
      </c>
      <c r="C2459">
        <v>0.73339030142748196</v>
      </c>
      <c r="D2459">
        <v>0.86387236203359796</v>
      </c>
      <c r="E2459">
        <v>0.47752346482695002</v>
      </c>
      <c r="F2459">
        <v>0.19797692823249599</v>
      </c>
      <c r="G2459">
        <v>0.13259085266738899</v>
      </c>
      <c r="H2459">
        <v>7.92142346675479E-2</v>
      </c>
      <c r="I2459">
        <v>7.4873202626690893E-2</v>
      </c>
      <c r="J2459">
        <v>6.5095473922295102E-2</v>
      </c>
      <c r="K2459">
        <v>5.0575059617547102E-2</v>
      </c>
      <c r="L2459">
        <v>794.63902256353697</v>
      </c>
      <c r="M2459">
        <v>16.1771050253322</v>
      </c>
      <c r="N2459">
        <v>49.377369511502302</v>
      </c>
      <c r="O2459">
        <v>48.388987843383802</v>
      </c>
      <c r="P2459">
        <v>-8.0220540248057096E-2</v>
      </c>
      <c r="Q2459">
        <v>4.0248711884348302E-2</v>
      </c>
      <c r="R2459">
        <v>0.95939652830256095</v>
      </c>
      <c r="S2459" t="s">
        <v>9076</v>
      </c>
      <c r="T2459" t="s">
        <v>13232</v>
      </c>
      <c r="U2459" t="s">
        <v>13232</v>
      </c>
      <c r="V2459" t="s">
        <v>13232</v>
      </c>
      <c r="W2459" t="s">
        <v>13519</v>
      </c>
      <c r="X2459">
        <v>42</v>
      </c>
      <c r="Y2459" t="s">
        <v>22122</v>
      </c>
      <c r="Z2459" t="s">
        <v>28590</v>
      </c>
      <c r="AA2459">
        <v>0.35248659532341242</v>
      </c>
      <c r="AB2459" t="str">
        <f>HYPERLINK("Melting_Curves/meltCurve_P49736_MCM2.pdf", "Melting_Curves/meltCurve_P49736_MCM2.pdf")</f>
        <v>Melting_Curves/meltCurve_P49736_MCM2.pdf</v>
      </c>
    </row>
    <row r="2460" spans="1:28" x14ac:dyDescent="0.25">
      <c r="A2460" t="s">
        <v>2464</v>
      </c>
      <c r="B2460">
        <v>0.99930955844802105</v>
      </c>
      <c r="C2460">
        <v>0.94975667164139599</v>
      </c>
      <c r="D2460">
        <v>0.95542466035025397</v>
      </c>
      <c r="E2460">
        <v>0.94928812101693805</v>
      </c>
      <c r="F2460">
        <v>0.91488994790213796</v>
      </c>
      <c r="G2460">
        <v>0.59995850323931299</v>
      </c>
      <c r="H2460">
        <v>0.30072637469020802</v>
      </c>
      <c r="I2460">
        <v>0.16867497937273199</v>
      </c>
      <c r="J2460">
        <v>9.5553348514662406E-2</v>
      </c>
      <c r="K2460">
        <v>6.3554983847878999E-2</v>
      </c>
      <c r="L2460">
        <v>1217.91576064274</v>
      </c>
      <c r="M2460">
        <v>20.973823674999501</v>
      </c>
      <c r="N2460">
        <v>58.310052664198999</v>
      </c>
      <c r="O2460">
        <v>57.548222301687602</v>
      </c>
      <c r="P2460">
        <v>-8.7323555704936204E-2</v>
      </c>
      <c r="Q2460">
        <v>4.1628279001320802E-2</v>
      </c>
      <c r="R2460">
        <v>0.996144937580557</v>
      </c>
      <c r="S2460" t="s">
        <v>9077</v>
      </c>
      <c r="T2460" t="s">
        <v>13232</v>
      </c>
      <c r="U2460" t="s">
        <v>13232</v>
      </c>
      <c r="V2460" t="s">
        <v>13232</v>
      </c>
      <c r="W2460" t="s">
        <v>15640</v>
      </c>
      <c r="X2460">
        <v>22</v>
      </c>
      <c r="Y2460" t="s">
        <v>22123</v>
      </c>
      <c r="Z2460" t="s">
        <v>28591</v>
      </c>
      <c r="AA2460">
        <v>0.6291262375741018</v>
      </c>
      <c r="AB2460" t="str">
        <f>HYPERLINK("Melting_Curves/meltCurve_P49748_ACADVL.pdf", "Melting_Curves/meltCurve_P49748_ACADVL.pdf")</f>
        <v>Melting_Curves/meltCurve_P49748_ACADVL.pdf</v>
      </c>
    </row>
    <row r="2461" spans="1:28" x14ac:dyDescent="0.25">
      <c r="A2461" t="s">
        <v>2465</v>
      </c>
      <c r="B2461">
        <v>0.99930955844802105</v>
      </c>
      <c r="C2461">
        <v>1.11274002423365</v>
      </c>
      <c r="D2461">
        <v>1.06462587324307</v>
      </c>
      <c r="E2461">
        <v>0.94953964881503305</v>
      </c>
      <c r="F2461">
        <v>0.78509337748719898</v>
      </c>
      <c r="G2461">
        <v>0.68633811388038901</v>
      </c>
      <c r="H2461">
        <v>0.69660142271078895</v>
      </c>
      <c r="I2461">
        <v>0.72497365478890896</v>
      </c>
      <c r="J2461">
        <v>0.71893875338022895</v>
      </c>
      <c r="K2461">
        <v>0.54024164311253398</v>
      </c>
      <c r="L2461">
        <v>2117.5428693818499</v>
      </c>
      <c r="M2461">
        <v>40.574270681759799</v>
      </c>
      <c r="O2461">
        <v>52.0630001821443</v>
      </c>
      <c r="P2461">
        <v>-6.4115919037322694E-2</v>
      </c>
      <c r="Q2461">
        <v>0.67091844523897604</v>
      </c>
      <c r="R2461">
        <v>0.87714520596652001</v>
      </c>
      <c r="S2461" t="s">
        <v>9078</v>
      </c>
      <c r="T2461" t="s">
        <v>13232</v>
      </c>
      <c r="U2461" t="s">
        <v>13232</v>
      </c>
      <c r="V2461" t="s">
        <v>13232</v>
      </c>
      <c r="W2461" t="s">
        <v>15641</v>
      </c>
      <c r="X2461">
        <v>60</v>
      </c>
      <c r="Y2461" t="s">
        <v>22124</v>
      </c>
      <c r="Z2461" t="s">
        <v>28592</v>
      </c>
      <c r="AA2461">
        <v>0.8057805633335402</v>
      </c>
      <c r="AB2461" t="str">
        <f>HYPERLINK("Melting_Curves/meltCurve_P49750_4_YLPM1.pdf", "Melting_Curves/meltCurve_P49750_4_YLPM1.pdf")</f>
        <v>Melting_Curves/meltCurve_P49750_4_YLPM1.pdf</v>
      </c>
    </row>
    <row r="2462" spans="1:28" x14ac:dyDescent="0.25">
      <c r="A2462" t="s">
        <v>2466</v>
      </c>
      <c r="B2462">
        <v>0.99930955844802105</v>
      </c>
      <c r="C2462">
        <v>0.72382016749811195</v>
      </c>
      <c r="D2462">
        <v>0.52991912083842396</v>
      </c>
      <c r="E2462">
        <v>0.658161705922091</v>
      </c>
      <c r="F2462">
        <v>0.30477688849875101</v>
      </c>
      <c r="G2462">
        <v>0.156291268932264</v>
      </c>
      <c r="H2462">
        <v>9.2139741621441798E-2</v>
      </c>
      <c r="I2462">
        <v>7.5333397514926806E-2</v>
      </c>
      <c r="J2462">
        <v>6.4890601666800704E-2</v>
      </c>
      <c r="K2462">
        <v>3.0792763839193701E-2</v>
      </c>
      <c r="L2462">
        <v>482.22497541712102</v>
      </c>
      <c r="M2462">
        <v>9.8317808451473603</v>
      </c>
      <c r="N2462">
        <v>49.047571689694699</v>
      </c>
      <c r="O2462">
        <v>47.147683274510101</v>
      </c>
      <c r="P2462">
        <v>-5.2159949026387001E-2</v>
      </c>
      <c r="Q2462">
        <v>0</v>
      </c>
      <c r="R2462">
        <v>0.925516317228263</v>
      </c>
      <c r="S2462" t="s">
        <v>9079</v>
      </c>
      <c r="T2462" t="s">
        <v>13232</v>
      </c>
      <c r="U2462" t="s">
        <v>13232</v>
      </c>
      <c r="V2462" t="s">
        <v>13232</v>
      </c>
      <c r="W2462" t="s">
        <v>15642</v>
      </c>
      <c r="X2462">
        <v>6</v>
      </c>
      <c r="Y2462" t="s">
        <v>22125</v>
      </c>
      <c r="Z2462" t="s">
        <v>28593</v>
      </c>
      <c r="AA2462">
        <v>0.35156888399322972</v>
      </c>
      <c r="AB2462" t="str">
        <f>HYPERLINK("Melting_Curves/meltCurve_P49755_TMED10.pdf", "Melting_Curves/meltCurve_P49755_TMED10.pdf")</f>
        <v>Melting_Curves/meltCurve_P49755_TMED10.pdf</v>
      </c>
    </row>
    <row r="2463" spans="1:28" x14ac:dyDescent="0.25">
      <c r="A2463" t="s">
        <v>2467</v>
      </c>
      <c r="B2463">
        <v>0.99930955844802105</v>
      </c>
      <c r="C2463">
        <v>1.01166546601329</v>
      </c>
      <c r="D2463">
        <v>1.02006645782425</v>
      </c>
      <c r="E2463">
        <v>1.02490786343769</v>
      </c>
      <c r="F2463">
        <v>0.79386234416123802</v>
      </c>
      <c r="G2463">
        <v>0.59699850180762404</v>
      </c>
      <c r="H2463">
        <v>0.37345138028457198</v>
      </c>
      <c r="I2463">
        <v>0.30418823705317599</v>
      </c>
      <c r="J2463">
        <v>0.269862672652177</v>
      </c>
      <c r="K2463">
        <v>0.215158772545019</v>
      </c>
      <c r="L2463">
        <v>1135.4962493533801</v>
      </c>
      <c r="M2463">
        <v>20.039018159226799</v>
      </c>
      <c r="N2463">
        <v>58.376123755652998</v>
      </c>
      <c r="O2463">
        <v>56.109032932584</v>
      </c>
      <c r="P2463">
        <v>-6.9450689208097396E-2</v>
      </c>
      <c r="Q2463">
        <v>0.22218056955120399</v>
      </c>
      <c r="R2463">
        <v>0.99068274244833199</v>
      </c>
      <c r="S2463" t="s">
        <v>9080</v>
      </c>
      <c r="T2463" t="s">
        <v>13232</v>
      </c>
      <c r="U2463" t="s">
        <v>13232</v>
      </c>
      <c r="V2463" t="s">
        <v>13232</v>
      </c>
      <c r="W2463" t="s">
        <v>15643</v>
      </c>
      <c r="X2463">
        <v>28</v>
      </c>
      <c r="Y2463" t="s">
        <v>22126</v>
      </c>
      <c r="Z2463" t="s">
        <v>28594</v>
      </c>
      <c r="AA2463">
        <v>0.66392596999695308</v>
      </c>
      <c r="AB2463" t="str">
        <f>HYPERLINK("Melting_Curves/meltCurve_P49756_RBM25.pdf", "Melting_Curves/meltCurve_P49756_RBM25.pdf")</f>
        <v>Melting_Curves/meltCurve_P49756_RBM25.pdf</v>
      </c>
    </row>
    <row r="2464" spans="1:28" x14ac:dyDescent="0.25">
      <c r="A2464" t="s">
        <v>2468</v>
      </c>
      <c r="B2464">
        <v>0.99930955844802105</v>
      </c>
      <c r="C2464">
        <v>1.0472148977511</v>
      </c>
      <c r="D2464">
        <v>1.04074965766465</v>
      </c>
      <c r="E2464">
        <v>0.97758584497829404</v>
      </c>
      <c r="F2464">
        <v>0.79061873755485601</v>
      </c>
      <c r="G2464">
        <v>0.55915710658347395</v>
      </c>
      <c r="H2464">
        <v>0.42132850246696701</v>
      </c>
      <c r="I2464">
        <v>0.40679798615533602</v>
      </c>
      <c r="J2464">
        <v>0.39110652064086698</v>
      </c>
      <c r="K2464">
        <v>0.31631442934425102</v>
      </c>
      <c r="L2464">
        <v>1301.10733548551</v>
      </c>
      <c r="M2464">
        <v>23.650183839857402</v>
      </c>
      <c r="N2464">
        <v>58.146709891382997</v>
      </c>
      <c r="O2464">
        <v>54.625887727854298</v>
      </c>
      <c r="P2464">
        <v>-6.9258761762402393E-2</v>
      </c>
      <c r="Q2464">
        <v>0.36013062269157697</v>
      </c>
      <c r="R2464">
        <v>0.98863074153717601</v>
      </c>
      <c r="S2464" t="s">
        <v>9081</v>
      </c>
      <c r="T2464" t="s">
        <v>13232</v>
      </c>
      <c r="U2464" t="s">
        <v>13232</v>
      </c>
      <c r="V2464" t="s">
        <v>13232</v>
      </c>
      <c r="W2464" t="s">
        <v>15644</v>
      </c>
      <c r="X2464">
        <v>19</v>
      </c>
      <c r="Y2464" t="s">
        <v>22127</v>
      </c>
      <c r="Z2464" t="s">
        <v>28595</v>
      </c>
      <c r="AA2464">
        <v>0.68689210520538702</v>
      </c>
      <c r="AB2464" t="str">
        <f>HYPERLINK("Melting_Curves/meltCurve_P49757_3_NUMB.pdf", "Melting_Curves/meltCurve_P49757_3_NUMB.pdf")</f>
        <v>Melting_Curves/meltCurve_P49757_3_NUMB.pdf</v>
      </c>
    </row>
    <row r="2465" spans="1:28" x14ac:dyDescent="0.25">
      <c r="A2465" t="s">
        <v>2469</v>
      </c>
      <c r="B2465">
        <v>0.99930955844802105</v>
      </c>
      <c r="C2465">
        <v>0.83428464279332504</v>
      </c>
      <c r="D2465">
        <v>0.94508237204180601</v>
      </c>
      <c r="E2465">
        <v>0.84267890934127998</v>
      </c>
      <c r="F2465">
        <v>0.50955863237434496</v>
      </c>
      <c r="G2465">
        <v>0.230397686421737</v>
      </c>
      <c r="H2465">
        <v>0.126041571869731</v>
      </c>
      <c r="I2465">
        <v>0.108153574157954</v>
      </c>
      <c r="J2465">
        <v>9.8687420908185802E-2</v>
      </c>
      <c r="K2465">
        <v>7.4590096302646194E-2</v>
      </c>
      <c r="L2465">
        <v>1225.88248692416</v>
      </c>
      <c r="M2465">
        <v>23.191458535932</v>
      </c>
      <c r="N2465">
        <v>53.287049184837997</v>
      </c>
      <c r="O2465">
        <v>52.470920361674601</v>
      </c>
      <c r="P2465">
        <v>-0.101112422057521</v>
      </c>
      <c r="Q2465">
        <v>8.4945089300814305E-2</v>
      </c>
      <c r="R2465">
        <v>0.97921792469356195</v>
      </c>
      <c r="S2465" t="s">
        <v>9082</v>
      </c>
      <c r="T2465" t="s">
        <v>13232</v>
      </c>
      <c r="U2465" t="s">
        <v>13232</v>
      </c>
      <c r="V2465" t="s">
        <v>13232</v>
      </c>
      <c r="W2465" t="s">
        <v>15645</v>
      </c>
      <c r="X2465">
        <v>15</v>
      </c>
      <c r="Y2465" t="s">
        <v>22128</v>
      </c>
      <c r="Z2465" t="s">
        <v>28596</v>
      </c>
      <c r="AA2465">
        <v>0.48685428697262217</v>
      </c>
      <c r="AB2465" t="str">
        <f>HYPERLINK("Melting_Curves/meltCurve_P49770_EIF2B2.pdf", "Melting_Curves/meltCurve_P49770_EIF2B2.pdf")</f>
        <v>Melting_Curves/meltCurve_P49770_EIF2B2.pdf</v>
      </c>
    </row>
    <row r="2466" spans="1:28" x14ac:dyDescent="0.25">
      <c r="A2466" t="s">
        <v>2470</v>
      </c>
      <c r="B2466">
        <v>0.99930955844802105</v>
      </c>
      <c r="C2466">
        <v>1.1798908964549799</v>
      </c>
      <c r="D2466">
        <v>1.2177119608668101</v>
      </c>
      <c r="E2466">
        <v>1.1223593031066399</v>
      </c>
      <c r="F2466">
        <v>1.0070312117320901</v>
      </c>
      <c r="G2466">
        <v>0.84318101366491305</v>
      </c>
      <c r="H2466">
        <v>0.60579727456889199</v>
      </c>
      <c r="I2466">
        <v>0.42012859245831302</v>
      </c>
      <c r="J2466">
        <v>0.33094058653060798</v>
      </c>
      <c r="K2466">
        <v>0.253535217236601</v>
      </c>
      <c r="L2466">
        <v>1437.4717887173899</v>
      </c>
      <c r="M2466">
        <v>23.643615729626799</v>
      </c>
      <c r="N2466">
        <v>62.502180858304499</v>
      </c>
      <c r="O2466">
        <v>60.3675517110862</v>
      </c>
      <c r="P2466">
        <v>-7.4648462429849405E-2</v>
      </c>
      <c r="Q2466">
        <v>0.237634513421944</v>
      </c>
      <c r="R2466">
        <v>0.91869710191558296</v>
      </c>
      <c r="S2466" t="s">
        <v>9083</v>
      </c>
      <c r="T2466" t="s">
        <v>13232</v>
      </c>
      <c r="U2466" t="s">
        <v>13232</v>
      </c>
      <c r="V2466" t="s">
        <v>13232</v>
      </c>
      <c r="W2466" t="s">
        <v>15646</v>
      </c>
      <c r="X2466">
        <v>8</v>
      </c>
      <c r="Y2466" t="s">
        <v>22129</v>
      </c>
      <c r="Z2466" t="s">
        <v>28597</v>
      </c>
      <c r="AA2466">
        <v>0.77124654513840174</v>
      </c>
      <c r="AB2466" t="str">
        <f>HYPERLINK("Melting_Curves/meltCurve_P49773_HINT1.pdf", "Melting_Curves/meltCurve_P49773_HINT1.pdf")</f>
        <v>Melting_Curves/meltCurve_P49773_HINT1.pdf</v>
      </c>
    </row>
    <row r="2467" spans="1:28" x14ac:dyDescent="0.25">
      <c r="A2467" t="s">
        <v>2471</v>
      </c>
      <c r="B2467">
        <v>0.99930955844802105</v>
      </c>
      <c r="C2467">
        <v>0.920682919405996</v>
      </c>
      <c r="D2467">
        <v>0.88316696579719101</v>
      </c>
      <c r="E2467">
        <v>0.82281438123318296</v>
      </c>
      <c r="F2467">
        <v>0.739077154097047</v>
      </c>
      <c r="G2467">
        <v>0.59898788064730502</v>
      </c>
      <c r="H2467">
        <v>0.52352640695555297</v>
      </c>
      <c r="I2467">
        <v>0.42383859868580598</v>
      </c>
      <c r="J2467">
        <v>0.31663869407169598</v>
      </c>
      <c r="K2467">
        <v>0.18575591490393301</v>
      </c>
      <c r="L2467">
        <v>457.88674032651898</v>
      </c>
      <c r="M2467">
        <v>7.5996861491305499</v>
      </c>
      <c r="N2467">
        <v>60.250743409618202</v>
      </c>
      <c r="O2467">
        <v>56.503465015933102</v>
      </c>
      <c r="P2467">
        <v>-3.3670904351775402E-2</v>
      </c>
      <c r="Q2467">
        <v>0</v>
      </c>
      <c r="R2467">
        <v>0.98377037461386296</v>
      </c>
      <c r="S2467" t="s">
        <v>9084</v>
      </c>
      <c r="T2467" t="s">
        <v>13232</v>
      </c>
      <c r="U2467" t="s">
        <v>13232</v>
      </c>
      <c r="V2467" t="s">
        <v>13232</v>
      </c>
      <c r="W2467" t="s">
        <v>15647</v>
      </c>
      <c r="X2467">
        <v>5</v>
      </c>
      <c r="Y2467" t="s">
        <v>22130</v>
      </c>
      <c r="Z2467" t="s">
        <v>28598</v>
      </c>
      <c r="AA2467">
        <v>0.65419005752770176</v>
      </c>
      <c r="AB2467" t="str">
        <f>HYPERLINK("Melting_Curves/meltCurve_P49789_FHIT.pdf", "Melting_Curves/meltCurve_P49789_FHIT.pdf")</f>
        <v>Melting_Curves/meltCurve_P49789_FHIT.pdf</v>
      </c>
    </row>
    <row r="2468" spans="1:28" x14ac:dyDescent="0.25">
      <c r="A2468" t="s">
        <v>2472</v>
      </c>
      <c r="B2468">
        <v>0.99930955844802105</v>
      </c>
      <c r="C2468">
        <v>1.00460474961875</v>
      </c>
      <c r="D2468">
        <v>0.97705618398965599</v>
      </c>
      <c r="E2468">
        <v>0.792320293406092</v>
      </c>
      <c r="F2468">
        <v>0.57441865060816799</v>
      </c>
      <c r="G2468">
        <v>0.42616718394175301</v>
      </c>
      <c r="H2468">
        <v>0.34474869081890902</v>
      </c>
      <c r="I2468">
        <v>0.34280351070102799</v>
      </c>
      <c r="J2468">
        <v>0.32830326805290699</v>
      </c>
      <c r="K2468">
        <v>0.26844476174213899</v>
      </c>
      <c r="L2468">
        <v>1068.53682396371</v>
      </c>
      <c r="M2468">
        <v>20.526230624948798</v>
      </c>
      <c r="N2468">
        <v>54.606231403371197</v>
      </c>
      <c r="O2468">
        <v>51.570596676323298</v>
      </c>
      <c r="P2468">
        <v>-6.88391111384766E-2</v>
      </c>
      <c r="Q2468">
        <v>0.30820815096734899</v>
      </c>
      <c r="R2468">
        <v>0.99565998261945998</v>
      </c>
      <c r="S2468" t="s">
        <v>9085</v>
      </c>
      <c r="T2468" t="s">
        <v>13232</v>
      </c>
      <c r="U2468" t="s">
        <v>13232</v>
      </c>
      <c r="V2468" t="s">
        <v>13232</v>
      </c>
      <c r="W2468" t="s">
        <v>15648</v>
      </c>
      <c r="X2468">
        <v>109</v>
      </c>
      <c r="Y2468" t="s">
        <v>22131</v>
      </c>
      <c r="Z2468" t="s">
        <v>28599</v>
      </c>
      <c r="AA2468">
        <v>0.59537721367414631</v>
      </c>
      <c r="AB2468" t="str">
        <f>HYPERLINK("Melting_Curves/meltCurve_P49792_RANBP2.pdf", "Melting_Curves/meltCurve_P49792_RANBP2.pdf")</f>
        <v>Melting_Curves/meltCurve_P49792_RANBP2.pdf</v>
      </c>
    </row>
    <row r="2469" spans="1:28" x14ac:dyDescent="0.25">
      <c r="A2469" t="s">
        <v>2473</v>
      </c>
      <c r="B2469">
        <v>0.99930955844802105</v>
      </c>
      <c r="C2469">
        <v>0.55827495849470499</v>
      </c>
      <c r="D2469">
        <v>0.541344475690689</v>
      </c>
      <c r="E2469">
        <v>0.81731727375754204</v>
      </c>
      <c r="F2469">
        <v>0.46291480491617798</v>
      </c>
      <c r="G2469">
        <v>0.25489237942959098</v>
      </c>
      <c r="H2469">
        <v>0.54780709628508995</v>
      </c>
      <c r="I2469">
        <v>0.28921836654481797</v>
      </c>
      <c r="J2469">
        <v>0.32452301498525898</v>
      </c>
      <c r="K2469">
        <v>0.20232907749749701</v>
      </c>
      <c r="L2469">
        <v>235.44981139337901</v>
      </c>
      <c r="M2469">
        <v>4.4110689795860498</v>
      </c>
      <c r="N2469">
        <v>53.377041342539201</v>
      </c>
      <c r="O2469">
        <v>45.116074710109302</v>
      </c>
      <c r="P2469">
        <v>-2.46713089372784E-2</v>
      </c>
      <c r="Q2469">
        <v>0</v>
      </c>
      <c r="R2469">
        <v>0.62731325227455503</v>
      </c>
      <c r="S2469" t="s">
        <v>9086</v>
      </c>
      <c r="T2469" t="s">
        <v>13232</v>
      </c>
      <c r="U2469" t="s">
        <v>13232</v>
      </c>
      <c r="V2469" t="s">
        <v>13232</v>
      </c>
      <c r="W2469" t="s">
        <v>15649</v>
      </c>
      <c r="X2469">
        <v>5</v>
      </c>
      <c r="Y2469" t="s">
        <v>22132</v>
      </c>
      <c r="Z2469" t="s">
        <v>28600</v>
      </c>
      <c r="AA2469">
        <v>0.49337918693678912</v>
      </c>
      <c r="AB2469" t="str">
        <f>HYPERLINK("Melting_Curves/meltCurve_P49796_4_RGS3.pdf", "Melting_Curves/meltCurve_P49796_4_RGS3.pdf")</f>
        <v>Melting_Curves/meltCurve_P49796_4_RGS3.pdf</v>
      </c>
    </row>
    <row r="2470" spans="1:28" x14ac:dyDescent="0.25">
      <c r="A2470" t="s">
        <v>2474</v>
      </c>
      <c r="B2470">
        <v>0.99930955844802105</v>
      </c>
      <c r="C2470">
        <v>1.09071506556965</v>
      </c>
      <c r="D2470">
        <v>0.33391957408791001</v>
      </c>
      <c r="E2470">
        <v>0.61274467487894602</v>
      </c>
      <c r="F2470">
        <v>0.239426572371185</v>
      </c>
      <c r="G2470">
        <v>0.12208179145278</v>
      </c>
      <c r="H2470">
        <v>5.45709825210016E-2</v>
      </c>
      <c r="I2470">
        <v>4.02646091690851E-2</v>
      </c>
      <c r="J2470">
        <v>3.64052909455213E-2</v>
      </c>
      <c r="K2470">
        <v>2.7123020268634099E-2</v>
      </c>
      <c r="L2470">
        <v>628.17099645176199</v>
      </c>
      <c r="M2470">
        <v>12.9190020692033</v>
      </c>
      <c r="N2470">
        <v>48.663694385110702</v>
      </c>
      <c r="O2470">
        <v>47.502972719123903</v>
      </c>
      <c r="P2470">
        <v>-6.7644608978710705E-2</v>
      </c>
      <c r="Q2470">
        <v>5.2672973551268799E-3</v>
      </c>
      <c r="R2470">
        <v>0.85230670373867301</v>
      </c>
      <c r="S2470" t="s">
        <v>9087</v>
      </c>
      <c r="T2470" t="s">
        <v>13232</v>
      </c>
      <c r="U2470" t="s">
        <v>13232</v>
      </c>
      <c r="V2470" t="s">
        <v>13232</v>
      </c>
      <c r="W2470" t="s">
        <v>15650</v>
      </c>
      <c r="X2470">
        <v>15</v>
      </c>
      <c r="Y2470" t="s">
        <v>22133</v>
      </c>
      <c r="Z2470" t="s">
        <v>28601</v>
      </c>
      <c r="AA2470">
        <v>0.32408256100399979</v>
      </c>
      <c r="AB2470" t="str">
        <f>HYPERLINK("Melting_Curves/meltCurve_P49841_GSK3B.pdf", "Melting_Curves/meltCurve_P49841_GSK3B.pdf")</f>
        <v>Melting_Curves/meltCurve_P49841_GSK3B.pdf</v>
      </c>
    </row>
    <row r="2471" spans="1:28" x14ac:dyDescent="0.25">
      <c r="A2471" t="s">
        <v>2475</v>
      </c>
      <c r="B2471">
        <v>0.99930955844802105</v>
      </c>
      <c r="C2471">
        <v>0.77897680928615698</v>
      </c>
      <c r="D2471">
        <v>0.63016959804711004</v>
      </c>
      <c r="E2471">
        <v>0.46705214880493601</v>
      </c>
      <c r="F2471">
        <v>0.35573973100860701</v>
      </c>
      <c r="G2471">
        <v>0.29096027250025802</v>
      </c>
      <c r="H2471">
        <v>0.25764848314914601</v>
      </c>
      <c r="I2471">
        <v>0.27115727534408302</v>
      </c>
      <c r="J2471">
        <v>0.24977089355985799</v>
      </c>
      <c r="K2471">
        <v>0.21548807287029401</v>
      </c>
      <c r="L2471">
        <v>645.99487871643896</v>
      </c>
      <c r="M2471">
        <v>13.8946097548327</v>
      </c>
      <c r="N2471">
        <v>48.724470066988701</v>
      </c>
      <c r="O2471">
        <v>45.561200618711702</v>
      </c>
      <c r="P2471">
        <v>-5.8300132384918497E-2</v>
      </c>
      <c r="Q2471">
        <v>0.23542666079375599</v>
      </c>
      <c r="R2471">
        <v>0.98662413436055196</v>
      </c>
      <c r="S2471" t="s">
        <v>9088</v>
      </c>
      <c r="T2471" t="s">
        <v>13232</v>
      </c>
      <c r="U2471" t="s">
        <v>13232</v>
      </c>
      <c r="V2471" t="s">
        <v>13232</v>
      </c>
      <c r="W2471" t="s">
        <v>15651</v>
      </c>
      <c r="X2471">
        <v>16</v>
      </c>
      <c r="Y2471" t="s">
        <v>22134</v>
      </c>
      <c r="Z2471" t="s">
        <v>28602</v>
      </c>
      <c r="AA2471">
        <v>0.42603883337549048</v>
      </c>
      <c r="AB2471" t="str">
        <f>HYPERLINK("Melting_Curves/meltCurve_P49848_2_TAF6.pdf", "Melting_Curves/meltCurve_P49848_2_TAF6.pdf")</f>
        <v>Melting_Curves/meltCurve_P49848_2_TAF6.pdf</v>
      </c>
    </row>
    <row r="2472" spans="1:28" x14ac:dyDescent="0.25">
      <c r="A2472" t="s">
        <v>2476</v>
      </c>
      <c r="B2472">
        <v>0.99930955844802105</v>
      </c>
      <c r="C2472">
        <v>0.94150644382079196</v>
      </c>
      <c r="D2472">
        <v>0.95116581046237503</v>
      </c>
      <c r="E2472">
        <v>0.97761616793444495</v>
      </c>
      <c r="F2472">
        <v>0.94686374959575803</v>
      </c>
      <c r="G2472">
        <v>0.64499277192287696</v>
      </c>
      <c r="H2472">
        <v>0.21435078542307301</v>
      </c>
      <c r="I2472">
        <v>0.110969178571014</v>
      </c>
      <c r="J2472">
        <v>0.10249571750412501</v>
      </c>
      <c r="K2472">
        <v>7.36928643818026E-2</v>
      </c>
      <c r="L2472">
        <v>1874.09665459082</v>
      </c>
      <c r="M2472">
        <v>32.430827591161297</v>
      </c>
      <c r="N2472">
        <v>58.089548291756898</v>
      </c>
      <c r="O2472">
        <v>57.569118452556602</v>
      </c>
      <c r="P2472">
        <v>-0.12990719961644401</v>
      </c>
      <c r="Q2472">
        <v>7.7592861584858994E-2</v>
      </c>
      <c r="R2472">
        <v>0.99592936960207301</v>
      </c>
      <c r="S2472" t="s">
        <v>9089</v>
      </c>
      <c r="T2472" t="s">
        <v>13232</v>
      </c>
      <c r="U2472" t="s">
        <v>13232</v>
      </c>
      <c r="V2472" t="s">
        <v>13232</v>
      </c>
      <c r="W2472" t="s">
        <v>15652</v>
      </c>
      <c r="X2472">
        <v>17</v>
      </c>
      <c r="Y2472" t="s">
        <v>22135</v>
      </c>
      <c r="Z2472" t="s">
        <v>28603</v>
      </c>
      <c r="AA2472">
        <v>0.62983293045098199</v>
      </c>
      <c r="AB2472" t="str">
        <f>HYPERLINK("Melting_Curves/meltCurve_P49902_NT5C2.pdf", "Melting_Curves/meltCurve_P49902_NT5C2.pdf")</f>
        <v>Melting_Curves/meltCurve_P49902_NT5C2.pdf</v>
      </c>
    </row>
    <row r="2473" spans="1:28" x14ac:dyDescent="0.25">
      <c r="A2473" t="s">
        <v>2477</v>
      </c>
      <c r="B2473">
        <v>0.99930955844802105</v>
      </c>
      <c r="C2473">
        <v>0.88133686485899299</v>
      </c>
      <c r="D2473">
        <v>0.87754088460811397</v>
      </c>
      <c r="E2473">
        <v>0.78799216534465499</v>
      </c>
      <c r="F2473">
        <v>0.67128647280061304</v>
      </c>
      <c r="G2473">
        <v>0.54820903688103095</v>
      </c>
      <c r="H2473">
        <v>0.421519490991005</v>
      </c>
      <c r="I2473">
        <v>0.44526610579357501</v>
      </c>
      <c r="J2473">
        <v>0.37074087140286999</v>
      </c>
      <c r="K2473">
        <v>0.26643802844390402</v>
      </c>
      <c r="L2473">
        <v>410.93005919964298</v>
      </c>
      <c r="M2473">
        <v>7.1928230167339997</v>
      </c>
      <c r="N2473">
        <v>59.297936228213402</v>
      </c>
      <c r="O2473">
        <v>53.209744358479597</v>
      </c>
      <c r="P2473">
        <v>-2.9938459739182199E-2</v>
      </c>
      <c r="Q2473">
        <v>0.115591091653552</v>
      </c>
      <c r="R2473">
        <v>0.98235742963813499</v>
      </c>
      <c r="S2473" t="s">
        <v>9090</v>
      </c>
      <c r="T2473" t="s">
        <v>13232</v>
      </c>
      <c r="U2473" t="s">
        <v>13232</v>
      </c>
      <c r="V2473" t="s">
        <v>13232</v>
      </c>
      <c r="W2473" t="s">
        <v>15653</v>
      </c>
      <c r="X2473">
        <v>14</v>
      </c>
      <c r="Y2473" t="s">
        <v>22136</v>
      </c>
      <c r="Z2473" t="s">
        <v>28604</v>
      </c>
      <c r="AA2473">
        <v>0.62767150697728968</v>
      </c>
      <c r="AB2473" t="str">
        <f>HYPERLINK("Melting_Curves/meltCurve_P49903_SEPHS1.pdf", "Melting_Curves/meltCurve_P49903_SEPHS1.pdf")</f>
        <v>Melting_Curves/meltCurve_P49903_SEPHS1.pdf</v>
      </c>
    </row>
    <row r="2474" spans="1:28" x14ac:dyDescent="0.25">
      <c r="A2474" t="s">
        <v>2478</v>
      </c>
      <c r="B2474">
        <v>0.99930955844802105</v>
      </c>
      <c r="C2474">
        <v>1.02241608742076</v>
      </c>
      <c r="D2474">
        <v>0.90884423894345601</v>
      </c>
      <c r="E2474">
        <v>0.51169744632952596</v>
      </c>
      <c r="F2474">
        <v>0.152556547117284</v>
      </c>
      <c r="G2474">
        <v>0.16714306588355801</v>
      </c>
      <c r="H2474">
        <v>0.133265163507988</v>
      </c>
      <c r="I2474">
        <v>0.12366385771028</v>
      </c>
      <c r="J2474">
        <v>0.111170543542824</v>
      </c>
      <c r="K2474">
        <v>8.0556079960628899E-2</v>
      </c>
      <c r="L2474">
        <v>1724.9979980896601</v>
      </c>
      <c r="M2474">
        <v>34.808417991064097</v>
      </c>
      <c r="N2474">
        <v>49.930711325874903</v>
      </c>
      <c r="O2474">
        <v>49.394211513843103</v>
      </c>
      <c r="P2474">
        <v>-0.15596994880974399</v>
      </c>
      <c r="Q2474">
        <v>0.114698672031857</v>
      </c>
      <c r="R2474">
        <v>0.99458925256708297</v>
      </c>
      <c r="S2474" t="s">
        <v>9091</v>
      </c>
      <c r="T2474" t="s">
        <v>13232</v>
      </c>
      <c r="U2474" t="s">
        <v>13232</v>
      </c>
      <c r="V2474" t="s">
        <v>13232</v>
      </c>
      <c r="W2474" t="s">
        <v>15654</v>
      </c>
      <c r="X2474">
        <v>8</v>
      </c>
      <c r="Y2474" t="s">
        <v>22137</v>
      </c>
      <c r="Z2474" t="s">
        <v>28605</v>
      </c>
      <c r="AA2474">
        <v>0.4007440545697889</v>
      </c>
      <c r="AB2474" t="str">
        <f>HYPERLINK("Melting_Curves/meltCurve_P49914_MTHFS.pdf", "Melting_Curves/meltCurve_P49914_MTHFS.pdf")</f>
        <v>Melting_Curves/meltCurve_P49914_MTHFS.pdf</v>
      </c>
    </row>
    <row r="2475" spans="1:28" x14ac:dyDescent="0.25">
      <c r="A2475" t="s">
        <v>2479</v>
      </c>
      <c r="B2475">
        <v>0.99930955844802105</v>
      </c>
      <c r="C2475">
        <v>0.97518872673208901</v>
      </c>
      <c r="D2475">
        <v>1.0071231813213199</v>
      </c>
      <c r="E2475">
        <v>0.83480087978000805</v>
      </c>
      <c r="F2475">
        <v>0.23575803878854601</v>
      </c>
      <c r="G2475">
        <v>0.14075496057449299</v>
      </c>
      <c r="H2475">
        <v>8.2422372101714395E-2</v>
      </c>
      <c r="I2475">
        <v>6.9159182195579302E-2</v>
      </c>
      <c r="J2475">
        <v>6.12666145668882E-2</v>
      </c>
      <c r="K2475">
        <v>4.7031345611787401E-2</v>
      </c>
      <c r="L2475">
        <v>2690.2772392745301</v>
      </c>
      <c r="M2475">
        <v>52.301424245064403</v>
      </c>
      <c r="N2475">
        <v>51.605667157195498</v>
      </c>
      <c r="O2475">
        <v>51.362902017886498</v>
      </c>
      <c r="P2475">
        <v>-0.234670503649548</v>
      </c>
      <c r="Q2475">
        <v>7.8162838015362002E-2</v>
      </c>
      <c r="R2475">
        <v>0.99698990905154405</v>
      </c>
      <c r="S2475" t="s">
        <v>9092</v>
      </c>
      <c r="T2475" t="s">
        <v>13232</v>
      </c>
      <c r="U2475" t="s">
        <v>13232</v>
      </c>
      <c r="V2475" t="s">
        <v>13232</v>
      </c>
      <c r="W2475" t="s">
        <v>15655</v>
      </c>
      <c r="X2475">
        <v>40</v>
      </c>
      <c r="Y2475" t="s">
        <v>22138</v>
      </c>
      <c r="Z2475" t="s">
        <v>28606</v>
      </c>
      <c r="AA2475">
        <v>0.43153721170871512</v>
      </c>
      <c r="AB2475" t="str">
        <f>HYPERLINK("Melting_Curves/meltCurve_P49915_GMPS.pdf", "Melting_Curves/meltCurve_P49915_GMPS.pdf")</f>
        <v>Melting_Curves/meltCurve_P49915_GMPS.pdf</v>
      </c>
    </row>
    <row r="2476" spans="1:28" x14ac:dyDescent="0.25">
      <c r="A2476" t="s">
        <v>2480</v>
      </c>
      <c r="B2476">
        <v>0.99930955844802105</v>
      </c>
      <c r="C2476">
        <v>0.982557005389192</v>
      </c>
      <c r="D2476">
        <v>0.71939291994086196</v>
      </c>
      <c r="E2476">
        <v>0.39011611742979801</v>
      </c>
      <c r="F2476">
        <v>0.26149678573699098</v>
      </c>
      <c r="G2476">
        <v>0.19460883158936501</v>
      </c>
      <c r="H2476">
        <v>0.149876663221644</v>
      </c>
      <c r="I2476">
        <v>0.143267015580199</v>
      </c>
      <c r="J2476">
        <v>0.14070696351831599</v>
      </c>
      <c r="K2476">
        <v>0.106011748494934</v>
      </c>
      <c r="L2476">
        <v>992.38631837939397</v>
      </c>
      <c r="M2476">
        <v>20.6996640948859</v>
      </c>
      <c r="N2476">
        <v>48.705045837726303</v>
      </c>
      <c r="O2476">
        <v>47.501427659296503</v>
      </c>
      <c r="P2476">
        <v>-9.38609868987893E-2</v>
      </c>
      <c r="Q2476">
        <v>0.13845863919187801</v>
      </c>
      <c r="R2476">
        <v>0.99497227420843204</v>
      </c>
      <c r="S2476" t="s">
        <v>9093</v>
      </c>
      <c r="T2476" t="s">
        <v>13232</v>
      </c>
      <c r="U2476" t="s">
        <v>13232</v>
      </c>
      <c r="V2476" t="s">
        <v>13232</v>
      </c>
      <c r="W2476" t="s">
        <v>15656</v>
      </c>
      <c r="X2476">
        <v>31</v>
      </c>
      <c r="Y2476" t="s">
        <v>22139</v>
      </c>
      <c r="Z2476" t="s">
        <v>28607</v>
      </c>
      <c r="AA2476">
        <v>0.37793497056778458</v>
      </c>
      <c r="AB2476" t="str">
        <f>HYPERLINK("Melting_Curves/meltCurve_P49916_LIG3.pdf", "Melting_Curves/meltCurve_P49916_LIG3.pdf")</f>
        <v>Melting_Curves/meltCurve_P49916_LIG3.pdf</v>
      </c>
    </row>
    <row r="2477" spans="1:28" x14ac:dyDescent="0.25">
      <c r="A2477" t="s">
        <v>2481</v>
      </c>
      <c r="B2477">
        <v>0.99930955844802105</v>
      </c>
      <c r="C2477">
        <v>0.99747151604336504</v>
      </c>
      <c r="D2477">
        <v>0.89844792931446105</v>
      </c>
      <c r="E2477">
        <v>0.84363188616771301</v>
      </c>
      <c r="F2477">
        <v>0.70550174587562997</v>
      </c>
      <c r="G2477">
        <v>0.49058946911124701</v>
      </c>
      <c r="H2477">
        <v>0.31640910903139102</v>
      </c>
      <c r="I2477">
        <v>0.26249347679159801</v>
      </c>
      <c r="J2477">
        <v>0.220073004678429</v>
      </c>
      <c r="K2477">
        <v>0.16591259856520299</v>
      </c>
      <c r="L2477">
        <v>702.00301111179294</v>
      </c>
      <c r="M2477">
        <v>12.5957052988225</v>
      </c>
      <c r="N2477">
        <v>56.855922630033398</v>
      </c>
      <c r="O2477">
        <v>54.384670796108097</v>
      </c>
      <c r="P2477">
        <v>-5.1537830721648498E-2</v>
      </c>
      <c r="Q2477">
        <v>0.110075014887642</v>
      </c>
      <c r="R2477">
        <v>0.99686615786066402</v>
      </c>
      <c r="S2477" t="s">
        <v>9094</v>
      </c>
      <c r="T2477" t="s">
        <v>13232</v>
      </c>
      <c r="U2477" t="s">
        <v>13232</v>
      </c>
      <c r="V2477" t="s">
        <v>13232</v>
      </c>
      <c r="W2477" t="s">
        <v>15657</v>
      </c>
      <c r="X2477">
        <v>4</v>
      </c>
      <c r="Y2477" t="s">
        <v>22140</v>
      </c>
      <c r="Z2477" t="s">
        <v>28608</v>
      </c>
      <c r="AA2477">
        <v>0.59522783125758383</v>
      </c>
      <c r="AB2477" t="str">
        <f>HYPERLINK("Melting_Curves/meltCurve_P49918_2_CDKN1C.pdf", "Melting_Curves/meltCurve_P49918_2_CDKN1C.pdf")</f>
        <v>Melting_Curves/meltCurve_P49918_2_CDKN1C.pdf</v>
      </c>
    </row>
    <row r="2478" spans="1:28" x14ac:dyDescent="0.25">
      <c r="A2478" t="s">
        <v>2482</v>
      </c>
      <c r="B2478">
        <v>0.99930955844802105</v>
      </c>
      <c r="C2478">
        <v>0.80337528333880903</v>
      </c>
      <c r="D2478">
        <v>0.77412199905762102</v>
      </c>
      <c r="E2478">
        <v>0.74683470246555494</v>
      </c>
      <c r="F2478">
        <v>0.643727567578116</v>
      </c>
      <c r="G2478">
        <v>0.495245905920084</v>
      </c>
      <c r="H2478">
        <v>0.37976441041054299</v>
      </c>
      <c r="I2478">
        <v>0.25327248743351199</v>
      </c>
      <c r="J2478">
        <v>0.20457816559179201</v>
      </c>
      <c r="K2478">
        <v>0.15178590980623199</v>
      </c>
      <c r="L2478">
        <v>412.60323469944501</v>
      </c>
      <c r="M2478">
        <v>7.3675343918357203</v>
      </c>
      <c r="N2478">
        <v>56.002892247104697</v>
      </c>
      <c r="O2478">
        <v>52.320508742620397</v>
      </c>
      <c r="P2478">
        <v>-3.5257926205002302E-2</v>
      </c>
      <c r="Q2478">
        <v>0</v>
      </c>
      <c r="R2478">
        <v>0.96909323387609103</v>
      </c>
      <c r="S2478" t="s">
        <v>9095</v>
      </c>
      <c r="T2478" t="s">
        <v>13232</v>
      </c>
      <c r="U2478" t="s">
        <v>13232</v>
      </c>
      <c r="V2478" t="s">
        <v>13232</v>
      </c>
      <c r="W2478" t="s">
        <v>15658</v>
      </c>
      <c r="X2478">
        <v>33</v>
      </c>
      <c r="Y2478" t="s">
        <v>22141</v>
      </c>
      <c r="Z2478" t="s">
        <v>28609</v>
      </c>
      <c r="AA2478">
        <v>0.55215740806982472</v>
      </c>
      <c r="AB2478" t="str">
        <f>HYPERLINK("Melting_Curves/meltCurve_P49959_MRE11A.pdf", "Melting_Curves/meltCurve_P49959_MRE11A.pdf")</f>
        <v>Melting_Curves/meltCurve_P49959_MRE11A.pdf</v>
      </c>
    </row>
    <row r="2479" spans="1:28" x14ac:dyDescent="0.25">
      <c r="A2479" t="s">
        <v>2483</v>
      </c>
      <c r="B2479">
        <v>0.99930955844802105</v>
      </c>
      <c r="C2479">
        <v>1.1816856852312401</v>
      </c>
      <c r="D2479">
        <v>1.09969499648114</v>
      </c>
      <c r="E2479">
        <v>1.0579679172784</v>
      </c>
      <c r="F2479">
        <v>1.05346495999205</v>
      </c>
      <c r="G2479">
        <v>0.88093542864322405</v>
      </c>
      <c r="H2479">
        <v>1.02714783890794</v>
      </c>
      <c r="I2479">
        <v>0.95272516478068203</v>
      </c>
      <c r="J2479">
        <v>0.89044826339252703</v>
      </c>
      <c r="K2479">
        <v>0.31941075735465202</v>
      </c>
      <c r="L2479">
        <v>4372.3692151417599</v>
      </c>
      <c r="M2479">
        <v>63.213457839386699</v>
      </c>
      <c r="N2479">
        <v>69.168328650552795</v>
      </c>
      <c r="O2479">
        <v>69.099205361767702</v>
      </c>
      <c r="P2479">
        <v>-0.22870552108643299</v>
      </c>
      <c r="Q2479">
        <v>0</v>
      </c>
      <c r="R2479">
        <v>0.87161220341809198</v>
      </c>
      <c r="S2479" t="s">
        <v>9096</v>
      </c>
      <c r="T2479" t="s">
        <v>13232</v>
      </c>
      <c r="U2479" t="s">
        <v>13232</v>
      </c>
      <c r="V2479" t="s">
        <v>13232</v>
      </c>
      <c r="W2479" t="s">
        <v>15659</v>
      </c>
      <c r="X2479">
        <v>8</v>
      </c>
      <c r="Y2479" t="s">
        <v>22142</v>
      </c>
      <c r="Z2479" t="s">
        <v>28610</v>
      </c>
      <c r="AA2479">
        <v>0.95920656661919779</v>
      </c>
      <c r="AB2479" t="str">
        <f>HYPERLINK("Melting_Curves/meltCurve_P50053_KHK.pdf", "Melting_Curves/meltCurve_P50053_KHK.pdf")</f>
        <v>Melting_Curves/meltCurve_P50053_KHK.pdf</v>
      </c>
    </row>
    <row r="2480" spans="1:28" x14ac:dyDescent="0.25">
      <c r="A2480" t="s">
        <v>2484</v>
      </c>
      <c r="B2480">
        <v>0.99930955844802105</v>
      </c>
      <c r="C2480">
        <v>0.98680298373452602</v>
      </c>
      <c r="D2480">
        <v>0.96888953793456201</v>
      </c>
      <c r="E2480">
        <v>0.80589749878501404</v>
      </c>
      <c r="F2480">
        <v>0.47253796995139102</v>
      </c>
      <c r="G2480">
        <v>0.27316362376908498</v>
      </c>
      <c r="H2480">
        <v>0.15527518179036001</v>
      </c>
      <c r="I2480">
        <v>0.125263259408635</v>
      </c>
      <c r="J2480">
        <v>0.107626458032882</v>
      </c>
      <c r="K2480">
        <v>8.5620050673738804E-2</v>
      </c>
      <c r="L2480">
        <v>1147.8829379016499</v>
      </c>
      <c r="M2480">
        <v>21.838586333107699</v>
      </c>
      <c r="N2480">
        <v>53.126423909820701</v>
      </c>
      <c r="O2480">
        <v>52.127352112372002</v>
      </c>
      <c r="P2480">
        <v>-9.3897613717346007E-2</v>
      </c>
      <c r="Q2480">
        <v>0.10350921941565901</v>
      </c>
      <c r="R2480">
        <v>0.99728965782864798</v>
      </c>
      <c r="S2480" t="s">
        <v>9097</v>
      </c>
      <c r="T2480" t="s">
        <v>13232</v>
      </c>
      <c r="U2480" t="s">
        <v>13232</v>
      </c>
      <c r="V2480" t="s">
        <v>13232</v>
      </c>
      <c r="W2480" t="s">
        <v>15660</v>
      </c>
      <c r="X2480">
        <v>4</v>
      </c>
      <c r="Y2480" t="s">
        <v>22143</v>
      </c>
      <c r="Z2480" t="s">
        <v>28611</v>
      </c>
      <c r="AA2480">
        <v>0.48948105824892418</v>
      </c>
      <c r="AB2480" t="str">
        <f>HYPERLINK("Melting_Curves/meltCurve_P50135_HNMT.pdf", "Melting_Curves/meltCurve_P50135_HNMT.pdf")</f>
        <v>Melting_Curves/meltCurve_P50135_HNMT.pdf</v>
      </c>
    </row>
    <row r="2481" spans="1:28" x14ac:dyDescent="0.25">
      <c r="A2481" t="s">
        <v>2485</v>
      </c>
      <c r="B2481">
        <v>0.99930955844802105</v>
      </c>
      <c r="C2481">
        <v>0.94837582968761103</v>
      </c>
      <c r="D2481">
        <v>0.757653990118756</v>
      </c>
      <c r="E2481">
        <v>0.46240618683536</v>
      </c>
      <c r="F2481">
        <v>0.21387660664699601</v>
      </c>
      <c r="G2481">
        <v>0.12769275912938999</v>
      </c>
      <c r="H2481">
        <v>7.2217616128941994E-2</v>
      </c>
      <c r="I2481">
        <v>5.9001297546519303E-2</v>
      </c>
      <c r="J2481">
        <v>5.0438201639487201E-2</v>
      </c>
      <c r="K2481">
        <v>3.8861143688368301E-2</v>
      </c>
      <c r="L2481">
        <v>889.47947077589299</v>
      </c>
      <c r="M2481">
        <v>18.136599014469599</v>
      </c>
      <c r="N2481">
        <v>49.2872652125439</v>
      </c>
      <c r="O2481">
        <v>48.458773943778198</v>
      </c>
      <c r="P2481">
        <v>-8.9555225933182603E-2</v>
      </c>
      <c r="Q2481">
        <v>4.29235011597233E-2</v>
      </c>
      <c r="R2481">
        <v>0.99829131333460297</v>
      </c>
      <c r="S2481" t="s">
        <v>9098</v>
      </c>
      <c r="T2481" t="s">
        <v>13232</v>
      </c>
      <c r="U2481" t="s">
        <v>13232</v>
      </c>
      <c r="V2481" t="s">
        <v>13232</v>
      </c>
      <c r="W2481" t="s">
        <v>15661</v>
      </c>
      <c r="X2481">
        <v>12</v>
      </c>
      <c r="Y2481" t="s">
        <v>22144</v>
      </c>
      <c r="Z2481" t="s">
        <v>28612</v>
      </c>
      <c r="AA2481">
        <v>0.3477456397120956</v>
      </c>
      <c r="AB2481" t="str">
        <f>HYPERLINK("Melting_Curves/meltCurve_P50213_IDH3A.pdf", "Melting_Curves/meltCurve_P50213_IDH3A.pdf")</f>
        <v>Melting_Curves/meltCurve_P50213_IDH3A.pdf</v>
      </c>
    </row>
    <row r="2482" spans="1:28" x14ac:dyDescent="0.25">
      <c r="A2482" t="s">
        <v>2486</v>
      </c>
      <c r="B2482">
        <v>0.99930955844802105</v>
      </c>
      <c r="C2482">
        <v>1.02797067272242</v>
      </c>
      <c r="D2482">
        <v>0.99344175112733302</v>
      </c>
      <c r="E2482">
        <v>0.78902272912808302</v>
      </c>
      <c r="F2482">
        <v>0.63265535983814203</v>
      </c>
      <c r="G2482">
        <v>0.48708877496654202</v>
      </c>
      <c r="H2482">
        <v>0.40951453207224803</v>
      </c>
      <c r="I2482">
        <v>0.48122792978979501</v>
      </c>
      <c r="J2482">
        <v>0.447422742073184</v>
      </c>
      <c r="K2482">
        <v>0.40040454432227801</v>
      </c>
      <c r="L2482">
        <v>1229.9309784762199</v>
      </c>
      <c r="M2482">
        <v>23.912458317723999</v>
      </c>
      <c r="N2482">
        <v>56.099357802469598</v>
      </c>
      <c r="O2482">
        <v>51.079090497292498</v>
      </c>
      <c r="P2482">
        <v>-6.6532063449307302E-2</v>
      </c>
      <c r="Q2482">
        <v>0.43153625803391399</v>
      </c>
      <c r="R2482">
        <v>0.98899100101441695</v>
      </c>
      <c r="S2482" t="s">
        <v>9099</v>
      </c>
      <c r="T2482" t="s">
        <v>13232</v>
      </c>
      <c r="U2482" t="s">
        <v>13232</v>
      </c>
      <c r="V2482" t="s">
        <v>13232</v>
      </c>
      <c r="W2482" t="s">
        <v>15662</v>
      </c>
      <c r="X2482">
        <v>1</v>
      </c>
      <c r="Y2482" t="s">
        <v>22145</v>
      </c>
      <c r="Z2482" t="s">
        <v>28613</v>
      </c>
      <c r="AA2482">
        <v>0.65383549018305376</v>
      </c>
      <c r="AB2482" t="str">
        <f>HYPERLINK("Melting_Curves/meltCurve_P50219_MNX1.pdf", "Melting_Curves/meltCurve_P50219_MNX1.pdf")</f>
        <v>Melting_Curves/meltCurve_P50219_MNX1.pdf</v>
      </c>
    </row>
    <row r="2483" spans="1:28" x14ac:dyDescent="0.25">
      <c r="A2483" t="s">
        <v>2487</v>
      </c>
      <c r="B2483">
        <v>0.99930955844802105</v>
      </c>
      <c r="C2483">
        <v>0.74888655848586505</v>
      </c>
      <c r="D2483">
        <v>0.36744163186766499</v>
      </c>
      <c r="E2483">
        <v>0.29406170872627302</v>
      </c>
      <c r="F2483">
        <v>0.205862281236081</v>
      </c>
      <c r="G2483">
        <v>0.157474415520024</v>
      </c>
      <c r="H2483">
        <v>7.2848802366234602E-2</v>
      </c>
      <c r="I2483">
        <v>4.9873478013411299E-2</v>
      </c>
      <c r="J2483">
        <v>6.4845014413779795E-2</v>
      </c>
      <c r="K2483">
        <v>4.4039404046506699E-2</v>
      </c>
      <c r="L2483">
        <v>791.42471709447705</v>
      </c>
      <c r="M2483">
        <v>17.541178009642898</v>
      </c>
      <c r="N2483">
        <v>45.591576518796202</v>
      </c>
      <c r="O2483">
        <v>44.543970429758303</v>
      </c>
      <c r="P2483">
        <v>-9.0255629018228006E-2</v>
      </c>
      <c r="Q2483">
        <v>8.3271496896230299E-2</v>
      </c>
      <c r="R2483">
        <v>0.96609174345438797</v>
      </c>
      <c r="S2483" t="s">
        <v>9100</v>
      </c>
      <c r="T2483" t="s">
        <v>13232</v>
      </c>
      <c r="U2483" t="s">
        <v>13232</v>
      </c>
      <c r="V2483" t="s">
        <v>13232</v>
      </c>
      <c r="W2483" t="s">
        <v>15663</v>
      </c>
      <c r="X2483">
        <v>8</v>
      </c>
      <c r="Y2483" t="s">
        <v>22146</v>
      </c>
      <c r="Z2483" t="s">
        <v>28614</v>
      </c>
      <c r="AA2483">
        <v>0.26035299186715771</v>
      </c>
      <c r="AB2483" t="str">
        <f>HYPERLINK("Melting_Curves/meltCurve_P50224_SULT1A3.pdf", "Melting_Curves/meltCurve_P50224_SULT1A3.pdf")</f>
        <v>Melting_Curves/meltCurve_P50224_SULT1A3.pdf</v>
      </c>
    </row>
    <row r="2484" spans="1:28" x14ac:dyDescent="0.25">
      <c r="A2484" t="s">
        <v>2488</v>
      </c>
      <c r="B2484">
        <v>0.99930955844802105</v>
      </c>
      <c r="C2484">
        <v>0.97757178160953095</v>
      </c>
      <c r="D2484">
        <v>0.80271167062460103</v>
      </c>
      <c r="E2484">
        <v>0.44014221057709302</v>
      </c>
      <c r="F2484">
        <v>0.24835583604463399</v>
      </c>
      <c r="G2484">
        <v>0.15587407533561301</v>
      </c>
      <c r="H2484">
        <v>8.93175928026506E-2</v>
      </c>
      <c r="I2484">
        <v>7.5642852152765797E-2</v>
      </c>
      <c r="J2484">
        <v>6.8798237483868194E-2</v>
      </c>
      <c r="K2484">
        <v>5.1486050701115803E-2</v>
      </c>
      <c r="L2484">
        <v>969.54152313795998</v>
      </c>
      <c r="M2484">
        <v>19.742365674083398</v>
      </c>
      <c r="N2484">
        <v>49.478331706875601</v>
      </c>
      <c r="O2484">
        <v>48.614154434986702</v>
      </c>
      <c r="P2484">
        <v>-9.4585505517703297E-2</v>
      </c>
      <c r="Q2484">
        <v>6.83920163545024E-2</v>
      </c>
      <c r="R2484">
        <v>0.99824092319218305</v>
      </c>
      <c r="S2484" t="s">
        <v>9101</v>
      </c>
      <c r="T2484" t="s">
        <v>13232</v>
      </c>
      <c r="U2484" t="s">
        <v>13232</v>
      </c>
      <c r="V2484" t="s">
        <v>13232</v>
      </c>
      <c r="W2484" t="s">
        <v>15664</v>
      </c>
      <c r="X2484">
        <v>11</v>
      </c>
      <c r="Y2484" t="s">
        <v>22147</v>
      </c>
      <c r="Z2484" t="s">
        <v>28615</v>
      </c>
      <c r="AA2484">
        <v>0.36466397244249832</v>
      </c>
      <c r="AB2484" t="str">
        <f>HYPERLINK("Melting_Curves/meltCurve_P50225_SULT1A1.pdf", "Melting_Curves/meltCurve_P50225_SULT1A1.pdf")</f>
        <v>Melting_Curves/meltCurve_P50225_SULT1A1.pdf</v>
      </c>
    </row>
    <row r="2485" spans="1:28" x14ac:dyDescent="0.25">
      <c r="A2485" t="s">
        <v>2489</v>
      </c>
      <c r="B2485">
        <v>0.99930955844802105</v>
      </c>
      <c r="C2485">
        <v>1.07273786841073</v>
      </c>
      <c r="D2485">
        <v>1.18404644504233</v>
      </c>
      <c r="E2485">
        <v>1.10589013637002</v>
      </c>
      <c r="F2485">
        <v>1.17683855629069</v>
      </c>
      <c r="G2485">
        <v>0.85495894832851205</v>
      </c>
      <c r="H2485">
        <v>0.70693883459842399</v>
      </c>
      <c r="I2485">
        <v>0.65863593098479301</v>
      </c>
      <c r="J2485">
        <v>0.56064385740195199</v>
      </c>
      <c r="K2485">
        <v>0.38669149555759302</v>
      </c>
      <c r="L2485">
        <v>1175.78286771271</v>
      </c>
      <c r="M2485">
        <v>18.701242946793101</v>
      </c>
      <c r="N2485">
        <v>67.187657037068803</v>
      </c>
      <c r="O2485">
        <v>62.166262102793297</v>
      </c>
      <c r="P2485">
        <v>-4.8916951109109499E-2</v>
      </c>
      <c r="Q2485">
        <v>0.349593144075865</v>
      </c>
      <c r="R2485">
        <v>0.85259033782079496</v>
      </c>
      <c r="S2485" t="s">
        <v>9102</v>
      </c>
      <c r="T2485" t="s">
        <v>13232</v>
      </c>
      <c r="U2485" t="s">
        <v>13232</v>
      </c>
      <c r="V2485" t="s">
        <v>13232</v>
      </c>
      <c r="W2485" t="s">
        <v>15665</v>
      </c>
      <c r="X2485">
        <v>1</v>
      </c>
      <c r="Y2485" t="s">
        <v>22148</v>
      </c>
      <c r="Z2485" t="s">
        <v>28616</v>
      </c>
      <c r="AA2485">
        <v>0.84437502094022709</v>
      </c>
      <c r="AB2485" t="str">
        <f>HYPERLINK("Melting_Curves/meltCurve_P50238_CRIP1.pdf", "Melting_Curves/meltCurve_P50238_CRIP1.pdf")</f>
        <v>Melting_Curves/meltCurve_P50238_CRIP1.pdf</v>
      </c>
    </row>
    <row r="2486" spans="1:28" x14ac:dyDescent="0.25">
      <c r="A2486" t="s">
        <v>2490</v>
      </c>
      <c r="B2486">
        <v>0.99930955844802105</v>
      </c>
      <c r="C2486">
        <v>0.89634784180308802</v>
      </c>
      <c r="D2486">
        <v>1.1488061551782101</v>
      </c>
      <c r="E2486">
        <v>1.03388191918271</v>
      </c>
      <c r="F2486">
        <v>0.74230394654424903</v>
      </c>
      <c r="G2486">
        <v>0.38225121608901502</v>
      </c>
      <c r="H2486">
        <v>8.6986747441093595E-2</v>
      </c>
      <c r="I2486">
        <v>6.7815548149599905E-2</v>
      </c>
      <c r="J2486">
        <v>5.05033879534754E-2</v>
      </c>
      <c r="K2486">
        <v>4.0045058688980499E-2</v>
      </c>
      <c r="L2486">
        <v>1534.67169049993</v>
      </c>
      <c r="M2486">
        <v>27.646723478805601</v>
      </c>
      <c r="N2486">
        <v>55.667867661640003</v>
      </c>
      <c r="O2486">
        <v>55.2220682302369</v>
      </c>
      <c r="P2486">
        <v>-0.120445671949703</v>
      </c>
      <c r="Q2486">
        <v>3.7686889358555901E-2</v>
      </c>
      <c r="R2486">
        <v>0.97718068133898905</v>
      </c>
      <c r="S2486" t="s">
        <v>9103</v>
      </c>
      <c r="T2486" t="s">
        <v>13232</v>
      </c>
      <c r="U2486" t="s">
        <v>13232</v>
      </c>
      <c r="V2486" t="s">
        <v>13232</v>
      </c>
      <c r="W2486" t="s">
        <v>15666</v>
      </c>
      <c r="X2486">
        <v>46</v>
      </c>
      <c r="Y2486" t="s">
        <v>22149</v>
      </c>
      <c r="Z2486" t="s">
        <v>28617</v>
      </c>
      <c r="AA2486">
        <v>0.54264448500252138</v>
      </c>
      <c r="AB2486" t="str">
        <f>HYPERLINK("Melting_Curves/meltCurve_P50395_GDI2.pdf", "Melting_Curves/meltCurve_P50395_GDI2.pdf")</f>
        <v>Melting_Curves/meltCurve_P50395_GDI2.pdf</v>
      </c>
    </row>
    <row r="2487" spans="1:28" x14ac:dyDescent="0.25">
      <c r="A2487" t="s">
        <v>2491</v>
      </c>
      <c r="B2487">
        <v>0.99930955844802105</v>
      </c>
      <c r="C2487">
        <v>1.00231499017852</v>
      </c>
      <c r="D2487">
        <v>0.94926726021930596</v>
      </c>
      <c r="E2487">
        <v>0.89811813422715503</v>
      </c>
      <c r="F2487">
        <v>0.80020193375862703</v>
      </c>
      <c r="G2487">
        <v>0.71482400496835197</v>
      </c>
      <c r="H2487">
        <v>0.709246680259633</v>
      </c>
      <c r="I2487">
        <v>0.78341723679334396</v>
      </c>
      <c r="J2487">
        <v>0.72153438176163398</v>
      </c>
      <c r="K2487">
        <v>0.63418384064134603</v>
      </c>
      <c r="L2487">
        <v>964.79250861801199</v>
      </c>
      <c r="M2487">
        <v>18.8554665421326</v>
      </c>
      <c r="O2487">
        <v>50.602673355003603</v>
      </c>
      <c r="P2487">
        <v>-2.7879325345808899E-2</v>
      </c>
      <c r="Q2487">
        <v>0.70073178830742999</v>
      </c>
      <c r="R2487">
        <v>0.92349487442775102</v>
      </c>
      <c r="S2487" t="s">
        <v>9104</v>
      </c>
      <c r="T2487" t="s">
        <v>13232</v>
      </c>
      <c r="U2487" t="s">
        <v>13232</v>
      </c>
      <c r="V2487" t="s">
        <v>13232</v>
      </c>
      <c r="W2487" t="s">
        <v>15667</v>
      </c>
      <c r="X2487">
        <v>12</v>
      </c>
      <c r="Y2487" t="s">
        <v>22150</v>
      </c>
      <c r="Z2487" t="s">
        <v>28618</v>
      </c>
      <c r="AA2487">
        <v>0.81676539945917825</v>
      </c>
      <c r="AB2487" t="str">
        <f>HYPERLINK("Melting_Curves/meltCurve_P50402_EMD.pdf", "Melting_Curves/meltCurve_P50402_EMD.pdf")</f>
        <v>Melting_Curves/meltCurve_P50402_EMD.pdf</v>
      </c>
    </row>
    <row r="2488" spans="1:28" x14ac:dyDescent="0.25">
      <c r="A2488" t="s">
        <v>2492</v>
      </c>
      <c r="B2488">
        <v>0.99930955844802105</v>
      </c>
      <c r="C2488">
        <v>1.07392758973644</v>
      </c>
      <c r="D2488">
        <v>1.1120439943310001</v>
      </c>
      <c r="E2488">
        <v>1.0524999976251499</v>
      </c>
      <c r="F2488">
        <v>0.937540388474569</v>
      </c>
      <c r="G2488">
        <v>0.518274024036398</v>
      </c>
      <c r="H2488">
        <v>0.14796523844307399</v>
      </c>
      <c r="I2488">
        <v>0.12616981090873</v>
      </c>
      <c r="J2488">
        <v>0.101185986289461</v>
      </c>
      <c r="K2488">
        <v>7.6649858495482406E-2</v>
      </c>
      <c r="L2488">
        <v>2201.0268343286798</v>
      </c>
      <c r="M2488">
        <v>38.749063834930297</v>
      </c>
      <c r="N2488">
        <v>57.111892785082098</v>
      </c>
      <c r="O2488">
        <v>56.651413724075297</v>
      </c>
      <c r="P2488">
        <v>-0.15478856433888999</v>
      </c>
      <c r="Q2488">
        <v>9.4794128753605905E-2</v>
      </c>
      <c r="R2488">
        <v>0.98844627475464697</v>
      </c>
      <c r="S2488" t="s">
        <v>9105</v>
      </c>
      <c r="T2488" t="s">
        <v>13232</v>
      </c>
      <c r="U2488" t="s">
        <v>13232</v>
      </c>
      <c r="V2488" t="s">
        <v>13232</v>
      </c>
      <c r="W2488" t="s">
        <v>15668</v>
      </c>
      <c r="X2488">
        <v>24</v>
      </c>
      <c r="Y2488" t="s">
        <v>22151</v>
      </c>
      <c r="Z2488" t="s">
        <v>28619</v>
      </c>
      <c r="AA2488">
        <v>0.60551405613630438</v>
      </c>
      <c r="AB2488" t="str">
        <f>HYPERLINK("Melting_Curves/meltCurve_P50453_SERPINB9.pdf", "Melting_Curves/meltCurve_P50453_SERPINB9.pdf")</f>
        <v>Melting_Curves/meltCurve_P50453_SERPINB9.pdf</v>
      </c>
    </row>
    <row r="2489" spans="1:28" x14ac:dyDescent="0.25">
      <c r="A2489" t="s">
        <v>2493</v>
      </c>
      <c r="B2489">
        <v>0.99930955844802105</v>
      </c>
      <c r="C2489">
        <v>0.94024711574934605</v>
      </c>
      <c r="D2489">
        <v>0.769787892593637</v>
      </c>
      <c r="E2489">
        <v>0.55778865499992203</v>
      </c>
      <c r="F2489">
        <v>0.28868015088521298</v>
      </c>
      <c r="G2489">
        <v>0.18860621793761201</v>
      </c>
      <c r="H2489">
        <v>0.11590886987150401</v>
      </c>
      <c r="I2489">
        <v>0.103918448169127</v>
      </c>
      <c r="J2489">
        <v>0.119386495943063</v>
      </c>
      <c r="K2489">
        <v>7.5796077156098998E-2</v>
      </c>
      <c r="L2489">
        <v>806.401191834678</v>
      </c>
      <c r="M2489">
        <v>16.242211735309098</v>
      </c>
      <c r="N2489">
        <v>50.196075620052902</v>
      </c>
      <c r="O2489">
        <v>48.914180522698601</v>
      </c>
      <c r="P2489">
        <v>-7.6279703422470493E-2</v>
      </c>
      <c r="Q2489">
        <v>8.1188407923744293E-2</v>
      </c>
      <c r="R2489">
        <v>0.99562927710184401</v>
      </c>
      <c r="S2489" t="s">
        <v>9106</v>
      </c>
      <c r="T2489" t="s">
        <v>13232</v>
      </c>
      <c r="U2489" t="s">
        <v>13232</v>
      </c>
      <c r="V2489" t="s">
        <v>13232</v>
      </c>
      <c r="W2489" t="s">
        <v>15669</v>
      </c>
      <c r="X2489">
        <v>16</v>
      </c>
      <c r="Y2489" t="s">
        <v>22152</v>
      </c>
      <c r="Z2489" t="s">
        <v>28620</v>
      </c>
      <c r="AA2489">
        <v>0.39583748283768438</v>
      </c>
      <c r="AB2489" t="str">
        <f>HYPERLINK("Melting_Curves/meltCurve_P50454_SERPINH1.pdf", "Melting_Curves/meltCurve_P50454_SERPINH1.pdf")</f>
        <v>Melting_Curves/meltCurve_P50454_SERPINH1.pdf</v>
      </c>
    </row>
    <row r="2490" spans="1:28" x14ac:dyDescent="0.25">
      <c r="A2490" t="s">
        <v>2494</v>
      </c>
      <c r="B2490">
        <v>0.99930955844802105</v>
      </c>
      <c r="C2490">
        <v>0.99522951024262796</v>
      </c>
      <c r="D2490">
        <v>0.95968038640744602</v>
      </c>
      <c r="E2490">
        <v>0.83905492739277598</v>
      </c>
      <c r="F2490">
        <v>0.63280886985794005</v>
      </c>
      <c r="G2490">
        <v>0.48420277363917602</v>
      </c>
      <c r="H2490">
        <v>0.38962848359893598</v>
      </c>
      <c r="I2490">
        <v>0.37581906177839602</v>
      </c>
      <c r="J2490">
        <v>0.358252439466067</v>
      </c>
      <c r="K2490">
        <v>0.28103259628901001</v>
      </c>
      <c r="L2490">
        <v>905.19949646720795</v>
      </c>
      <c r="M2490">
        <v>17.069652151212701</v>
      </c>
      <c r="N2490">
        <v>56.356287229428901</v>
      </c>
      <c r="O2490">
        <v>52.317988020487199</v>
      </c>
      <c r="P2490">
        <v>-5.5677091610976101E-2</v>
      </c>
      <c r="Q2490">
        <v>0.31744683401286</v>
      </c>
      <c r="R2490">
        <v>0.99404753170581805</v>
      </c>
      <c r="S2490" t="s">
        <v>9107</v>
      </c>
      <c r="T2490" t="s">
        <v>13232</v>
      </c>
      <c r="U2490" t="s">
        <v>13232</v>
      </c>
      <c r="V2490" t="s">
        <v>13232</v>
      </c>
      <c r="W2490" t="s">
        <v>15670</v>
      </c>
      <c r="X2490">
        <v>14</v>
      </c>
      <c r="Y2490" t="s">
        <v>22153</v>
      </c>
      <c r="Z2490" t="s">
        <v>28621</v>
      </c>
      <c r="AA2490">
        <v>0.62603635567929383</v>
      </c>
      <c r="AB2490" t="str">
        <f>HYPERLINK("Melting_Curves/meltCurve_P50479_PDLIM4.pdf", "Melting_Curves/meltCurve_P50479_PDLIM4.pdf")</f>
        <v>Melting_Curves/meltCurve_P50479_PDLIM4.pdf</v>
      </c>
    </row>
    <row r="2491" spans="1:28" x14ac:dyDescent="0.25">
      <c r="A2491" t="s">
        <v>2495</v>
      </c>
      <c r="B2491">
        <v>0.99930955844802105</v>
      </c>
      <c r="C2491">
        <v>0.99635372686639501</v>
      </c>
      <c r="D2491">
        <v>1.0824927287136601</v>
      </c>
      <c r="E2491">
        <v>0.98757737323231398</v>
      </c>
      <c r="F2491">
        <v>0.807519287161094</v>
      </c>
      <c r="G2491">
        <v>0.32346846357867698</v>
      </c>
      <c r="H2491">
        <v>0.179625320056053</v>
      </c>
      <c r="I2491">
        <v>0.13879532522974899</v>
      </c>
      <c r="J2491">
        <v>0.131574424750625</v>
      </c>
      <c r="K2491">
        <v>0.101123385580756</v>
      </c>
      <c r="L2491">
        <v>1880.39088865147</v>
      </c>
      <c r="M2491">
        <v>34.195259100505403</v>
      </c>
      <c r="N2491">
        <v>55.465177832972103</v>
      </c>
      <c r="O2491">
        <v>54.802769058306701</v>
      </c>
      <c r="P2491">
        <v>-0.13617922575435301</v>
      </c>
      <c r="Q2491">
        <v>0.12701702741696</v>
      </c>
      <c r="R2491">
        <v>0.99487872820733603</v>
      </c>
      <c r="S2491" t="s">
        <v>9108</v>
      </c>
      <c r="T2491" t="s">
        <v>13232</v>
      </c>
      <c r="U2491" t="s">
        <v>13232</v>
      </c>
      <c r="V2491" t="s">
        <v>13232</v>
      </c>
      <c r="W2491" t="s">
        <v>15671</v>
      </c>
      <c r="X2491">
        <v>19</v>
      </c>
      <c r="Y2491" t="s">
        <v>22154</v>
      </c>
      <c r="Z2491" t="s">
        <v>28622</v>
      </c>
      <c r="AA2491">
        <v>0.56771515833549147</v>
      </c>
      <c r="AB2491" t="str">
        <f>HYPERLINK("Melting_Curves/meltCurve_P50502_ST13.pdf", "Melting_Curves/meltCurve_P50502_ST13.pdf")</f>
        <v>Melting_Curves/meltCurve_P50502_ST13.pdf</v>
      </c>
    </row>
    <row r="2492" spans="1:28" x14ac:dyDescent="0.25">
      <c r="A2492" t="s">
        <v>2496</v>
      </c>
      <c r="B2492">
        <v>0.99930955844802105</v>
      </c>
      <c r="C2492">
        <v>0.91431101972928897</v>
      </c>
      <c r="D2492">
        <v>0.88977108631213597</v>
      </c>
      <c r="E2492">
        <v>0.78631829718772295</v>
      </c>
      <c r="F2492">
        <v>0.62606310030225498</v>
      </c>
      <c r="G2492">
        <v>0.55262233692599105</v>
      </c>
      <c r="H2492">
        <v>0.48710508273403802</v>
      </c>
      <c r="I2492">
        <v>0.52048516697878899</v>
      </c>
      <c r="J2492">
        <v>0.47825170270342099</v>
      </c>
      <c r="K2492">
        <v>0.40560814958324698</v>
      </c>
      <c r="L2492">
        <v>606.76157408488405</v>
      </c>
      <c r="M2492">
        <v>11.8348944032034</v>
      </c>
      <c r="N2492">
        <v>60.986195612481801</v>
      </c>
      <c r="O2492">
        <v>49.870794800350197</v>
      </c>
      <c r="P2492">
        <v>-3.4173128606629799E-2</v>
      </c>
      <c r="Q2492">
        <v>0.42414097771739501</v>
      </c>
      <c r="R2492">
        <v>0.98034587929741002</v>
      </c>
      <c r="S2492" t="s">
        <v>9109</v>
      </c>
      <c r="T2492" t="s">
        <v>13232</v>
      </c>
      <c r="U2492" t="s">
        <v>13232</v>
      </c>
      <c r="V2492" t="s">
        <v>13232</v>
      </c>
      <c r="W2492" t="s">
        <v>15672</v>
      </c>
      <c r="X2492">
        <v>10</v>
      </c>
      <c r="Y2492" t="s">
        <v>22155</v>
      </c>
      <c r="Z2492" t="s">
        <v>28623</v>
      </c>
      <c r="AA2492">
        <v>0.65928161886214232</v>
      </c>
      <c r="AB2492" t="str">
        <f>HYPERLINK("Melting_Curves/meltCurve_P50542_3_PEX5.pdf", "Melting_Curves/meltCurve_P50542_3_PEX5.pdf")</f>
        <v>Melting_Curves/meltCurve_P50542_3_PEX5.pdf</v>
      </c>
    </row>
    <row r="2493" spans="1:28" x14ac:dyDescent="0.25">
      <c r="A2493" t="s">
        <v>2497</v>
      </c>
      <c r="B2493">
        <v>0.99930955844802105</v>
      </c>
      <c r="C2493">
        <v>1.0853600484007699</v>
      </c>
      <c r="D2493">
        <v>1.10055021205078</v>
      </c>
      <c r="E2493">
        <v>0.96308432589412896</v>
      </c>
      <c r="F2493">
        <v>0.60074953825870603</v>
      </c>
      <c r="G2493">
        <v>0.38576770181714198</v>
      </c>
      <c r="H2493">
        <v>0.297396984965213</v>
      </c>
      <c r="I2493">
        <v>0.30188500956136299</v>
      </c>
      <c r="J2493">
        <v>0.301900776368626</v>
      </c>
      <c r="K2493">
        <v>0.242558963461526</v>
      </c>
      <c r="L2493">
        <v>2163.3952601403898</v>
      </c>
      <c r="M2493">
        <v>40.973817413515697</v>
      </c>
      <c r="N2493">
        <v>53.983760260801198</v>
      </c>
      <c r="O2493">
        <v>52.674154222681601</v>
      </c>
      <c r="P2493">
        <v>-0.13681077262890901</v>
      </c>
      <c r="Q2493">
        <v>0.29648945286303702</v>
      </c>
      <c r="R2493">
        <v>0.97932393394797301</v>
      </c>
      <c r="S2493" t="s">
        <v>9110</v>
      </c>
      <c r="T2493" t="s">
        <v>13232</v>
      </c>
      <c r="U2493" t="s">
        <v>13232</v>
      </c>
      <c r="V2493" t="s">
        <v>13232</v>
      </c>
      <c r="W2493" t="s">
        <v>15673</v>
      </c>
      <c r="X2493">
        <v>26</v>
      </c>
      <c r="Y2493" t="s">
        <v>22156</v>
      </c>
      <c r="Z2493" t="s">
        <v>28624</v>
      </c>
      <c r="AA2493">
        <v>0.59908546325467471</v>
      </c>
      <c r="AB2493" t="str">
        <f>HYPERLINK("Melting_Curves/meltCurve_P50552_VASP.pdf", "Melting_Curves/meltCurve_P50552_VASP.pdf")</f>
        <v>Melting_Curves/meltCurve_P50552_VASP.pdf</v>
      </c>
    </row>
    <row r="2494" spans="1:28" x14ac:dyDescent="0.25">
      <c r="A2494" t="s">
        <v>2498</v>
      </c>
      <c r="B2494">
        <v>0.99930955844802105</v>
      </c>
      <c r="C2494">
        <v>0.76019685567161499</v>
      </c>
      <c r="D2494">
        <v>0.76213659572098602</v>
      </c>
      <c r="E2494">
        <v>0.49684125385571198</v>
      </c>
      <c r="F2494">
        <v>0.188892026311265</v>
      </c>
      <c r="G2494">
        <v>0.13180810571443799</v>
      </c>
      <c r="H2494">
        <v>8.9948904625321097E-2</v>
      </c>
      <c r="I2494">
        <v>7.8396768179326004E-2</v>
      </c>
      <c r="J2494">
        <v>7.0767145873264395E-2</v>
      </c>
      <c r="K2494">
        <v>5.5109295934552403E-2</v>
      </c>
      <c r="L2494">
        <v>694.59000447382505</v>
      </c>
      <c r="M2494">
        <v>14.254309649907</v>
      </c>
      <c r="N2494">
        <v>48.990962040960099</v>
      </c>
      <c r="O2494">
        <v>47.799476492742201</v>
      </c>
      <c r="P2494">
        <v>-7.1820086865565402E-2</v>
      </c>
      <c r="Q2494">
        <v>3.6771821592380398E-2</v>
      </c>
      <c r="R2494">
        <v>0.97464705983026001</v>
      </c>
      <c r="S2494" t="s">
        <v>9111</v>
      </c>
      <c r="T2494" t="s">
        <v>13232</v>
      </c>
      <c r="U2494" t="s">
        <v>13232</v>
      </c>
      <c r="V2494" t="s">
        <v>13232</v>
      </c>
      <c r="W2494" t="s">
        <v>15674</v>
      </c>
      <c r="X2494">
        <v>53</v>
      </c>
      <c r="Y2494" t="s">
        <v>20732</v>
      </c>
      <c r="Z2494" t="s">
        <v>28625</v>
      </c>
      <c r="AA2494">
        <v>0.34347064496423652</v>
      </c>
      <c r="AB2494" t="str">
        <f>HYPERLINK("Melting_Curves/meltCurve_P50570_4_DNM2.pdf", "Melting_Curves/meltCurve_P50570_4_DNM2.pdf")</f>
        <v>Melting_Curves/meltCurve_P50570_4_DNM2.pdf</v>
      </c>
    </row>
    <row r="2495" spans="1:28" x14ac:dyDescent="0.25">
      <c r="A2495" t="s">
        <v>2499</v>
      </c>
      <c r="B2495">
        <v>0.99930955844802105</v>
      </c>
      <c r="C2495">
        <v>1.0470837137940501</v>
      </c>
      <c r="D2495">
        <v>1.0069797929664499</v>
      </c>
      <c r="E2495">
        <v>0.93469101189980996</v>
      </c>
      <c r="F2495">
        <v>0.78995870466214602</v>
      </c>
      <c r="G2495">
        <v>0.65753209704734705</v>
      </c>
      <c r="H2495">
        <v>0.557619454209765</v>
      </c>
      <c r="I2495">
        <v>0.48555305533321302</v>
      </c>
      <c r="J2495">
        <v>0.31377538660115101</v>
      </c>
      <c r="K2495">
        <v>0.15257134465949501</v>
      </c>
      <c r="L2495">
        <v>632.03528750504199</v>
      </c>
      <c r="M2495">
        <v>10.2414868694784</v>
      </c>
      <c r="N2495">
        <v>61.713243903246102</v>
      </c>
      <c r="O2495">
        <v>59.499173073659698</v>
      </c>
      <c r="P2495">
        <v>-4.3051159015602303E-2</v>
      </c>
      <c r="Q2495">
        <v>0</v>
      </c>
      <c r="R2495">
        <v>0.97494763265218398</v>
      </c>
      <c r="S2495" t="s">
        <v>9112</v>
      </c>
      <c r="T2495" t="s">
        <v>13232</v>
      </c>
      <c r="U2495" t="s">
        <v>13232</v>
      </c>
      <c r="V2495" t="s">
        <v>13232</v>
      </c>
      <c r="W2495" t="s">
        <v>15675</v>
      </c>
      <c r="X2495">
        <v>18</v>
      </c>
      <c r="Y2495" t="s">
        <v>20443</v>
      </c>
      <c r="Z2495" t="s">
        <v>28626</v>
      </c>
      <c r="AA2495">
        <v>0.70663451560528601</v>
      </c>
      <c r="AB2495" t="str">
        <f>HYPERLINK("Melting_Curves/meltCurve_P50579_METAP2.pdf", "Melting_Curves/meltCurve_P50579_METAP2.pdf")</f>
        <v>Melting_Curves/meltCurve_P50579_METAP2.pdf</v>
      </c>
    </row>
    <row r="2496" spans="1:28" x14ac:dyDescent="0.25">
      <c r="A2496" t="s">
        <v>2500</v>
      </c>
      <c r="B2496">
        <v>0.99930955844802105</v>
      </c>
      <c r="C2496">
        <v>1.07946902014549</v>
      </c>
      <c r="D2496">
        <v>1.0526234376819801</v>
      </c>
      <c r="E2496">
        <v>0.66483547319173797</v>
      </c>
      <c r="F2496">
        <v>0.26751996464362399</v>
      </c>
      <c r="G2496">
        <v>0.20343560670508601</v>
      </c>
      <c r="H2496">
        <v>0.14040738246860399</v>
      </c>
      <c r="I2496">
        <v>0.13835625239997201</v>
      </c>
      <c r="J2496">
        <v>0.13461415439857399</v>
      </c>
      <c r="K2496">
        <v>9.18521323937974E-2</v>
      </c>
      <c r="L2496">
        <v>2030.6638726322001</v>
      </c>
      <c r="M2496">
        <v>40.112709422648699</v>
      </c>
      <c r="N2496">
        <v>51.041441276597602</v>
      </c>
      <c r="O2496">
        <v>50.498621967606397</v>
      </c>
      <c r="P2496">
        <v>-0.17081129238723999</v>
      </c>
      <c r="Q2496">
        <v>0.139851960957523</v>
      </c>
      <c r="R2496">
        <v>0.98985427177213903</v>
      </c>
      <c r="S2496" t="s">
        <v>9113</v>
      </c>
      <c r="T2496" t="s">
        <v>13232</v>
      </c>
      <c r="U2496" t="s">
        <v>13232</v>
      </c>
      <c r="V2496" t="s">
        <v>13232</v>
      </c>
      <c r="W2496" t="s">
        <v>15676</v>
      </c>
      <c r="X2496">
        <v>6</v>
      </c>
      <c r="Y2496" t="s">
        <v>22157</v>
      </c>
      <c r="Z2496" t="s">
        <v>28627</v>
      </c>
      <c r="AA2496">
        <v>0.44745078011915052</v>
      </c>
      <c r="AB2496" t="str">
        <f>HYPERLINK("Melting_Curves/meltCurve_P50583_NUDT2.pdf", "Melting_Curves/meltCurve_P50583_NUDT2.pdf")</f>
        <v>Melting_Curves/meltCurve_P50583_NUDT2.pdf</v>
      </c>
    </row>
    <row r="2497" spans="1:28" x14ac:dyDescent="0.25">
      <c r="A2497" t="s">
        <v>2501</v>
      </c>
      <c r="B2497">
        <v>0.99930955844802105</v>
      </c>
      <c r="C2497">
        <v>0.99363456268432204</v>
      </c>
      <c r="D2497">
        <v>0.99190226562293504</v>
      </c>
      <c r="E2497">
        <v>1.00462866465328</v>
      </c>
      <c r="F2497">
        <v>0.96385564382537103</v>
      </c>
      <c r="G2497">
        <v>0.52420258077976101</v>
      </c>
      <c r="H2497">
        <v>0.13993366403356</v>
      </c>
      <c r="I2497">
        <v>0.104737887541025</v>
      </c>
      <c r="J2497">
        <v>6.7279240767546405E-2</v>
      </c>
      <c r="K2497">
        <v>6.9712824962326794E-2</v>
      </c>
      <c r="L2497">
        <v>2291.7514074227201</v>
      </c>
      <c r="M2497">
        <v>40.253880203616298</v>
      </c>
      <c r="N2497">
        <v>57.169642097909097</v>
      </c>
      <c r="O2497">
        <v>56.792469182877198</v>
      </c>
      <c r="P2497">
        <v>-0.16357012534784099</v>
      </c>
      <c r="Q2497">
        <v>7.69056357656248E-2</v>
      </c>
      <c r="R2497">
        <v>0.99957723908747997</v>
      </c>
      <c r="S2497" t="s">
        <v>9114</v>
      </c>
      <c r="T2497" t="s">
        <v>13232</v>
      </c>
      <c r="U2497" t="s">
        <v>13232</v>
      </c>
      <c r="V2497" t="s">
        <v>13232</v>
      </c>
      <c r="W2497" t="s">
        <v>15677</v>
      </c>
      <c r="X2497">
        <v>10</v>
      </c>
      <c r="Y2497" t="s">
        <v>22158</v>
      </c>
      <c r="Z2497" t="s">
        <v>28628</v>
      </c>
      <c r="AA2497">
        <v>0.60146283959303082</v>
      </c>
      <c r="AB2497" t="str">
        <f>HYPERLINK("Melting_Curves/meltCurve_P50613_CDK7.pdf", "Melting_Curves/meltCurve_P50613_CDK7.pdf")</f>
        <v>Melting_Curves/meltCurve_P50613_CDK7.pdf</v>
      </c>
    </row>
    <row r="2498" spans="1:28" x14ac:dyDescent="0.25">
      <c r="A2498" t="s">
        <v>2502</v>
      </c>
      <c r="B2498">
        <v>0.99930955844802105</v>
      </c>
      <c r="C2498">
        <v>0.89676226001720905</v>
      </c>
      <c r="D2498">
        <v>0.75546083937491704</v>
      </c>
      <c r="E2498">
        <v>0.61717647784906704</v>
      </c>
      <c r="F2498">
        <v>0.294884606957868</v>
      </c>
      <c r="G2498">
        <v>0.174358529038527</v>
      </c>
      <c r="H2498">
        <v>7.8266987406658606E-2</v>
      </c>
      <c r="I2498">
        <v>5.0295104772189701E-2</v>
      </c>
      <c r="J2498">
        <v>4.0346472737676997E-2</v>
      </c>
      <c r="K2498">
        <v>3.1732591481977601E-2</v>
      </c>
      <c r="L2498">
        <v>694.37414030624302</v>
      </c>
      <c r="M2498">
        <v>13.735777853997099</v>
      </c>
      <c r="N2498">
        <v>50.552224523366597</v>
      </c>
      <c r="O2498">
        <v>49.5168641402053</v>
      </c>
      <c r="P2498">
        <v>-6.9358869817188404E-2</v>
      </c>
      <c r="Q2498">
        <v>0</v>
      </c>
      <c r="R2498">
        <v>0.99097800862295404</v>
      </c>
      <c r="S2498" t="s">
        <v>9115</v>
      </c>
      <c r="T2498" t="s">
        <v>13232</v>
      </c>
      <c r="U2498" t="s">
        <v>13232</v>
      </c>
      <c r="V2498" t="s">
        <v>13232</v>
      </c>
      <c r="W2498" t="s">
        <v>15678</v>
      </c>
      <c r="X2498">
        <v>16</v>
      </c>
      <c r="Y2498" t="s">
        <v>22159</v>
      </c>
      <c r="Z2498" t="s">
        <v>28629</v>
      </c>
      <c r="AA2498">
        <v>0.37887889152033127</v>
      </c>
      <c r="AB2498" t="str">
        <f>HYPERLINK("Melting_Curves/meltCurve_P50747_HLCS.pdf", "Melting_Curves/meltCurve_P50747_HLCS.pdf")</f>
        <v>Melting_Curves/meltCurve_P50747_HLCS.pdf</v>
      </c>
    </row>
    <row r="2499" spans="1:28" x14ac:dyDescent="0.25">
      <c r="A2499" t="s">
        <v>2503</v>
      </c>
      <c r="B2499">
        <v>0.99930955844802105</v>
      </c>
      <c r="C2499">
        <v>0.78378556413595801</v>
      </c>
      <c r="D2499">
        <v>0.75741228790398696</v>
      </c>
      <c r="E2499">
        <v>0.52668923725307704</v>
      </c>
      <c r="F2499">
        <v>0.24532339642918699</v>
      </c>
      <c r="G2499">
        <v>0.17718137529147801</v>
      </c>
      <c r="H2499">
        <v>0.119250751652071</v>
      </c>
      <c r="I2499">
        <v>9.7571506450430598E-2</v>
      </c>
      <c r="J2499">
        <v>8.8327297723832701E-2</v>
      </c>
      <c r="K2499">
        <v>6.6139419079436698E-2</v>
      </c>
      <c r="L2499">
        <v>647.83426413715097</v>
      </c>
      <c r="M2499">
        <v>13.1924916395366</v>
      </c>
      <c r="N2499">
        <v>49.495298655129297</v>
      </c>
      <c r="O2499">
        <v>48.019110458226898</v>
      </c>
      <c r="P2499">
        <v>-6.5312047687021105E-2</v>
      </c>
      <c r="Q2499">
        <v>4.9246560911859798E-2</v>
      </c>
      <c r="R2499">
        <v>0.98212873458022898</v>
      </c>
      <c r="S2499" t="s">
        <v>9116</v>
      </c>
      <c r="T2499" t="s">
        <v>13232</v>
      </c>
      <c r="U2499" t="s">
        <v>13232</v>
      </c>
      <c r="V2499" t="s">
        <v>13232</v>
      </c>
      <c r="W2499" t="s">
        <v>15679</v>
      </c>
      <c r="X2499">
        <v>34</v>
      </c>
      <c r="Y2499" t="s">
        <v>22160</v>
      </c>
      <c r="Z2499" t="s">
        <v>28630</v>
      </c>
      <c r="AA2499">
        <v>0.36735153289033928</v>
      </c>
      <c r="AB2499" t="str">
        <f>HYPERLINK("Melting_Curves/meltCurve_P50748_KNTC1.pdf", "Melting_Curves/meltCurve_P50748_KNTC1.pdf")</f>
        <v>Melting_Curves/meltCurve_P50748_KNTC1.pdf</v>
      </c>
    </row>
    <row r="2500" spans="1:28" x14ac:dyDescent="0.25">
      <c r="A2500" t="s">
        <v>2504</v>
      </c>
      <c r="B2500">
        <v>0.99930955844802105</v>
      </c>
      <c r="C2500">
        <v>0.99911118252305398</v>
      </c>
      <c r="D2500">
        <v>0.93194526084790097</v>
      </c>
      <c r="E2500">
        <v>0.85504920829426001</v>
      </c>
      <c r="F2500">
        <v>0.53833316516583696</v>
      </c>
      <c r="G2500">
        <v>0.205746987317179</v>
      </c>
      <c r="H2500">
        <v>0.10287420192817399</v>
      </c>
      <c r="I2500">
        <v>8.2216052658727598E-2</v>
      </c>
      <c r="J2500">
        <v>7.3928741596836003E-2</v>
      </c>
      <c r="K2500">
        <v>6.0817746728097997E-2</v>
      </c>
      <c r="L2500">
        <v>1334.59654590895</v>
      </c>
      <c r="M2500">
        <v>25.133017899155298</v>
      </c>
      <c r="N2500">
        <v>53.400405180137497</v>
      </c>
      <c r="O2500">
        <v>52.768582939919703</v>
      </c>
      <c r="P2500">
        <v>-0.11125602358532299</v>
      </c>
      <c r="Q2500">
        <v>6.5652355259125494E-2</v>
      </c>
      <c r="R2500">
        <v>0.99822979322523997</v>
      </c>
      <c r="S2500" t="s">
        <v>9117</v>
      </c>
      <c r="T2500" t="s">
        <v>13232</v>
      </c>
      <c r="U2500" t="s">
        <v>13232</v>
      </c>
      <c r="V2500" t="s">
        <v>13232</v>
      </c>
      <c r="W2500" t="s">
        <v>15680</v>
      </c>
      <c r="X2500">
        <v>13</v>
      </c>
      <c r="Y2500" t="s">
        <v>22161</v>
      </c>
      <c r="Z2500" t="s">
        <v>28631</v>
      </c>
      <c r="AA2500">
        <v>0.4822156199192778</v>
      </c>
      <c r="AB2500" t="str">
        <f>HYPERLINK("Melting_Curves/meltCurve_P50750_CDK9.pdf", "Melting_Curves/meltCurve_P50750_CDK9.pdf")</f>
        <v>Melting_Curves/meltCurve_P50750_CDK9.pdf</v>
      </c>
    </row>
    <row r="2501" spans="1:28" x14ac:dyDescent="0.25">
      <c r="A2501" t="s">
        <v>2505</v>
      </c>
      <c r="B2501">
        <v>0.99930955844802105</v>
      </c>
      <c r="C2501">
        <v>0.90109877716640596</v>
      </c>
      <c r="D2501">
        <v>0.86456111490059895</v>
      </c>
      <c r="E2501">
        <v>0.72322948830693601</v>
      </c>
      <c r="F2501">
        <v>0.45536197239120602</v>
      </c>
      <c r="G2501">
        <v>0.30019969021269399</v>
      </c>
      <c r="H2501">
        <v>0.19172815854992001</v>
      </c>
      <c r="I2501">
        <v>0.22202573759281599</v>
      </c>
      <c r="J2501">
        <v>0.19745069425742501</v>
      </c>
      <c r="K2501">
        <v>0.17543087909596999</v>
      </c>
      <c r="L2501">
        <v>807.96231559830801</v>
      </c>
      <c r="M2501">
        <v>15.7339280368994</v>
      </c>
      <c r="N2501">
        <v>52.664489168530302</v>
      </c>
      <c r="O2501">
        <v>50.543534431406499</v>
      </c>
      <c r="P2501">
        <v>-6.5203928171404399E-2</v>
      </c>
      <c r="Q2501">
        <v>0.162228042083638</v>
      </c>
      <c r="R2501">
        <v>0.98998997918144405</v>
      </c>
      <c r="S2501" t="s">
        <v>9118</v>
      </c>
      <c r="T2501" t="s">
        <v>13232</v>
      </c>
      <c r="U2501" t="s">
        <v>13232</v>
      </c>
      <c r="V2501" t="s">
        <v>13232</v>
      </c>
      <c r="W2501" t="s">
        <v>13783</v>
      </c>
      <c r="X2501">
        <v>84</v>
      </c>
      <c r="Y2501" t="s">
        <v>20323</v>
      </c>
      <c r="Z2501" t="s">
        <v>28632</v>
      </c>
      <c r="AA2501">
        <v>0.49693382288852761</v>
      </c>
      <c r="AB2501" t="str">
        <f>HYPERLINK("Melting_Curves/meltCurve_P50851_LRBA.pdf", "Melting_Curves/meltCurve_P50851_LRBA.pdf")</f>
        <v>Melting_Curves/meltCurve_P50851_LRBA.pdf</v>
      </c>
    </row>
    <row r="2502" spans="1:28" x14ac:dyDescent="0.25">
      <c r="A2502" t="s">
        <v>2506</v>
      </c>
      <c r="B2502">
        <v>0.99930955844802105</v>
      </c>
      <c r="C2502">
        <v>0.81612200974261995</v>
      </c>
      <c r="D2502">
        <v>0.34735576962198</v>
      </c>
      <c r="E2502">
        <v>0.21083539083244199</v>
      </c>
      <c r="F2502">
        <v>0.12855958675903001</v>
      </c>
      <c r="G2502">
        <v>8.6696387052795004E-2</v>
      </c>
      <c r="H2502">
        <v>5.1879560787366698E-2</v>
      </c>
      <c r="I2502">
        <v>4.3420924012502297E-2</v>
      </c>
      <c r="J2502">
        <v>3.98000231141915E-2</v>
      </c>
      <c r="K2502">
        <v>2.9716120865050401E-2</v>
      </c>
      <c r="L2502">
        <v>1173.85944267225</v>
      </c>
      <c r="M2502">
        <v>26.121180083385799</v>
      </c>
      <c r="N2502">
        <v>45.191231835420197</v>
      </c>
      <c r="O2502">
        <v>44.678085516844298</v>
      </c>
      <c r="P2502">
        <v>-0.136250550571555</v>
      </c>
      <c r="Q2502">
        <v>6.7830020991801507E-2</v>
      </c>
      <c r="R2502">
        <v>0.985272122457855</v>
      </c>
      <c r="S2502" t="s">
        <v>9119</v>
      </c>
      <c r="T2502" t="s">
        <v>13232</v>
      </c>
      <c r="U2502" t="s">
        <v>13232</v>
      </c>
      <c r="V2502" t="s">
        <v>13232</v>
      </c>
      <c r="W2502" t="s">
        <v>15681</v>
      </c>
      <c r="X2502">
        <v>7</v>
      </c>
      <c r="Y2502" t="s">
        <v>22162</v>
      </c>
      <c r="Z2502" t="s">
        <v>28633</v>
      </c>
      <c r="AA2502">
        <v>0.22970627750415759</v>
      </c>
      <c r="AB2502" t="str">
        <f>HYPERLINK("Melting_Curves/meltCurve_P50897_PPT1.pdf", "Melting_Curves/meltCurve_P50897_PPT1.pdf")</f>
        <v>Melting_Curves/meltCurve_P50897_PPT1.pdf</v>
      </c>
    </row>
    <row r="2503" spans="1:28" x14ac:dyDescent="0.25">
      <c r="A2503" t="s">
        <v>2507</v>
      </c>
      <c r="B2503">
        <v>0.99930955844802105</v>
      </c>
      <c r="C2503">
        <v>0.65604436968736402</v>
      </c>
      <c r="D2503">
        <v>0.69230542084575997</v>
      </c>
      <c r="E2503">
        <v>0.85444233269408898</v>
      </c>
      <c r="F2503">
        <v>1.0820480555198899</v>
      </c>
      <c r="G2503">
        <v>0.33627861046837898</v>
      </c>
      <c r="H2503">
        <v>0.12224300976261999</v>
      </c>
      <c r="I2503">
        <v>8.2307835887978298E-2</v>
      </c>
      <c r="J2503">
        <v>6.8793575998861406E-2</v>
      </c>
      <c r="K2503">
        <v>5.26150412408714E-2</v>
      </c>
      <c r="L2503">
        <v>14195.426626572</v>
      </c>
      <c r="M2503">
        <v>250</v>
      </c>
      <c r="N2503">
        <v>56.822148663596302</v>
      </c>
      <c r="O2503">
        <v>56.778084951799201</v>
      </c>
      <c r="P2503">
        <v>-1.0110748985654701</v>
      </c>
      <c r="Q2503">
        <v>8.1489852405424501E-2</v>
      </c>
      <c r="R2503">
        <v>0.83814934750968795</v>
      </c>
      <c r="S2503" t="s">
        <v>9120</v>
      </c>
      <c r="T2503" t="s">
        <v>13232</v>
      </c>
      <c r="U2503" t="s">
        <v>13232</v>
      </c>
      <c r="V2503" t="s">
        <v>13232</v>
      </c>
      <c r="W2503" t="s">
        <v>15682</v>
      </c>
      <c r="X2503">
        <v>43</v>
      </c>
      <c r="Y2503" t="s">
        <v>22163</v>
      </c>
      <c r="Z2503" t="s">
        <v>28634</v>
      </c>
      <c r="AA2503">
        <v>0.5953869735364109</v>
      </c>
      <c r="AB2503" t="str">
        <f>HYPERLINK("Melting_Curves/meltCurve_P50990_CCT8.pdf", "Melting_Curves/meltCurve_P50990_CCT8.pdf")</f>
        <v>Melting_Curves/meltCurve_P50990_CCT8.pdf</v>
      </c>
    </row>
    <row r="2504" spans="1:28" x14ac:dyDescent="0.25">
      <c r="A2504" t="s">
        <v>2508</v>
      </c>
      <c r="B2504">
        <v>0.99930955844802105</v>
      </c>
      <c r="C2504">
        <v>0.48694195468061102</v>
      </c>
      <c r="D2504">
        <v>0.51621382314323205</v>
      </c>
      <c r="E2504">
        <v>0.82664193443910094</v>
      </c>
      <c r="F2504">
        <v>1.18546709149173</v>
      </c>
      <c r="G2504">
        <v>0.31441455754905201</v>
      </c>
      <c r="H2504">
        <v>0.102467856165761</v>
      </c>
      <c r="I2504">
        <v>6.9750870886552394E-2</v>
      </c>
      <c r="J2504">
        <v>6.1332456342161501E-2</v>
      </c>
      <c r="K2504">
        <v>4.8357359461796499E-2</v>
      </c>
      <c r="L2504">
        <v>14191.0984101043</v>
      </c>
      <c r="M2504">
        <v>250</v>
      </c>
      <c r="N2504">
        <v>56.798913272609603</v>
      </c>
      <c r="O2504">
        <v>56.760761114491999</v>
      </c>
      <c r="P2504">
        <v>-1.0235095280573001</v>
      </c>
      <c r="Q2504">
        <v>7.0477124269241298E-2</v>
      </c>
      <c r="R2504">
        <v>0.64462554801970395</v>
      </c>
      <c r="S2504" t="s">
        <v>9121</v>
      </c>
      <c r="T2504" t="s">
        <v>13232</v>
      </c>
      <c r="U2504" t="s">
        <v>13232</v>
      </c>
      <c r="V2504" t="s">
        <v>13232</v>
      </c>
      <c r="W2504" t="s">
        <v>15683</v>
      </c>
      <c r="X2504">
        <v>36</v>
      </c>
      <c r="Y2504" t="s">
        <v>22164</v>
      </c>
      <c r="Z2504" t="s">
        <v>28635</v>
      </c>
      <c r="AA2504">
        <v>0.58999930347206264</v>
      </c>
      <c r="AB2504" t="str">
        <f>HYPERLINK("Melting_Curves/meltCurve_P50991_CCT4.pdf", "Melting_Curves/meltCurve_P50991_CCT4.pdf")</f>
        <v>Melting_Curves/meltCurve_P50991_CCT4.pdf</v>
      </c>
    </row>
    <row r="2505" spans="1:28" x14ac:dyDescent="0.25">
      <c r="A2505" t="s">
        <v>2509</v>
      </c>
      <c r="B2505">
        <v>0.99930955844802105</v>
      </c>
      <c r="C2505">
        <v>1.18830714965408</v>
      </c>
      <c r="D2505">
        <v>1.0952854273272901</v>
      </c>
      <c r="E2505">
        <v>0.79273057176139405</v>
      </c>
      <c r="F2505">
        <v>0.33857166821783102</v>
      </c>
      <c r="G2505">
        <v>0.26884068889185703</v>
      </c>
      <c r="H2505">
        <v>0.20806928424542101</v>
      </c>
      <c r="I2505">
        <v>0.194185282703284</v>
      </c>
      <c r="J2505">
        <v>0.18560093833848201</v>
      </c>
      <c r="K2505">
        <v>0.14446954898932601</v>
      </c>
      <c r="L2505">
        <v>2306.8646932813899</v>
      </c>
      <c r="M2505">
        <v>45.051502590975602</v>
      </c>
      <c r="N2505">
        <v>51.783866205400003</v>
      </c>
      <c r="O2505">
        <v>51.104470853641999</v>
      </c>
      <c r="P2505">
        <v>-0.17679472114647701</v>
      </c>
      <c r="Q2505">
        <v>0.19780797007971801</v>
      </c>
      <c r="R2505">
        <v>0.96770036023164097</v>
      </c>
      <c r="S2505" t="s">
        <v>9122</v>
      </c>
      <c r="T2505" t="s">
        <v>13232</v>
      </c>
      <c r="U2505" t="s">
        <v>13232</v>
      </c>
      <c r="V2505" t="s">
        <v>13232</v>
      </c>
      <c r="W2505" t="s">
        <v>15684</v>
      </c>
      <c r="X2505">
        <v>27</v>
      </c>
      <c r="Y2505" t="s">
        <v>22165</v>
      </c>
      <c r="Z2505" t="s">
        <v>28636</v>
      </c>
      <c r="AA2505">
        <v>0.49966261911269161</v>
      </c>
      <c r="AB2505" t="str">
        <f>HYPERLINK("Melting_Curves/meltCurve_P51003_PAPOLA.pdf", "Melting_Curves/meltCurve_P51003_PAPOLA.pdf")</f>
        <v>Melting_Curves/meltCurve_P51003_PAPOLA.pdf</v>
      </c>
    </row>
    <row r="2506" spans="1:28" x14ac:dyDescent="0.25">
      <c r="A2506" t="s">
        <v>2510</v>
      </c>
      <c r="B2506">
        <v>0.99930955844802105</v>
      </c>
      <c r="C2506">
        <v>0.92886651040509105</v>
      </c>
      <c r="D2506">
        <v>0.74072844203267196</v>
      </c>
      <c r="E2506">
        <v>0.52638699450600401</v>
      </c>
      <c r="F2506">
        <v>0.403367568094815</v>
      </c>
      <c r="G2506">
        <v>0.32014293952182499</v>
      </c>
      <c r="H2506">
        <v>0.32821263309930399</v>
      </c>
      <c r="I2506">
        <v>0.366994442612181</v>
      </c>
      <c r="J2506">
        <v>0.37280954135097</v>
      </c>
      <c r="K2506">
        <v>0.28043195338802301</v>
      </c>
      <c r="L2506">
        <v>914.93167730762002</v>
      </c>
      <c r="M2506">
        <v>19.3098833193303</v>
      </c>
      <c r="N2506">
        <v>50.141587122782603</v>
      </c>
      <c r="O2506">
        <v>46.882136645660403</v>
      </c>
      <c r="P2506">
        <v>-6.92730935546777E-2</v>
      </c>
      <c r="Q2506">
        <v>0.327277260462079</v>
      </c>
      <c r="R2506">
        <v>0.98808300627814905</v>
      </c>
      <c r="S2506" t="s">
        <v>9123</v>
      </c>
      <c r="T2506" t="s">
        <v>13232</v>
      </c>
      <c r="U2506" t="s">
        <v>13232</v>
      </c>
      <c r="V2506" t="s">
        <v>13232</v>
      </c>
      <c r="W2506" t="s">
        <v>15685</v>
      </c>
      <c r="X2506">
        <v>23</v>
      </c>
      <c r="Y2506" t="s">
        <v>22166</v>
      </c>
      <c r="Z2506" t="s">
        <v>28637</v>
      </c>
      <c r="AA2506">
        <v>0.5032859058815552</v>
      </c>
      <c r="AB2506" t="str">
        <f>HYPERLINK("Melting_Curves/meltCurve_P51116_FXR2.pdf", "Melting_Curves/meltCurve_P51116_FXR2.pdf")</f>
        <v>Melting_Curves/meltCurve_P51116_FXR2.pdf</v>
      </c>
    </row>
    <row r="2507" spans="1:28" x14ac:dyDescent="0.25">
      <c r="A2507" t="s">
        <v>2511</v>
      </c>
      <c r="B2507">
        <v>0.99930955844802105</v>
      </c>
      <c r="C2507">
        <v>0.992501663464885</v>
      </c>
      <c r="D2507">
        <v>1.02295532663585</v>
      </c>
      <c r="E2507">
        <v>0.98081888707543097</v>
      </c>
      <c r="F2507">
        <v>0.91426624346873797</v>
      </c>
      <c r="G2507">
        <v>0.59121068953904599</v>
      </c>
      <c r="H2507">
        <v>0.148123267380396</v>
      </c>
      <c r="I2507">
        <v>0.110142551199779</v>
      </c>
      <c r="J2507">
        <v>8.4647437380519303E-2</v>
      </c>
      <c r="K2507">
        <v>6.3559092006763906E-2</v>
      </c>
      <c r="L2507">
        <v>1911.6776889738101</v>
      </c>
      <c r="M2507">
        <v>33.361298527481601</v>
      </c>
      <c r="N2507">
        <v>57.551173256515803</v>
      </c>
      <c r="O2507">
        <v>57.097538748858398</v>
      </c>
      <c r="P2507">
        <v>-0.13625785556820499</v>
      </c>
      <c r="Q2507">
        <v>6.7187981463796606E-2</v>
      </c>
      <c r="R2507">
        <v>0.99831137713515095</v>
      </c>
      <c r="S2507" t="s">
        <v>9124</v>
      </c>
      <c r="T2507" t="s">
        <v>13232</v>
      </c>
      <c r="U2507" t="s">
        <v>13232</v>
      </c>
      <c r="V2507" t="s">
        <v>13232</v>
      </c>
      <c r="W2507" t="s">
        <v>15686</v>
      </c>
      <c r="X2507">
        <v>9</v>
      </c>
      <c r="Y2507" t="s">
        <v>22167</v>
      </c>
      <c r="Z2507" t="s">
        <v>28638</v>
      </c>
      <c r="AA2507">
        <v>0.61031085301490839</v>
      </c>
      <c r="AB2507" t="str">
        <f>HYPERLINK("Melting_Curves/meltCurve_P51148_RAB5C.pdf", "Melting_Curves/meltCurve_P51148_RAB5C.pdf")</f>
        <v>Melting_Curves/meltCurve_P51148_RAB5C.pdf</v>
      </c>
    </row>
    <row r="2508" spans="1:28" x14ac:dyDescent="0.25">
      <c r="A2508" t="s">
        <v>2512</v>
      </c>
      <c r="B2508">
        <v>0.99930955844802105</v>
      </c>
      <c r="C2508">
        <v>1.09091547640723</v>
      </c>
      <c r="D2508">
        <v>1.0693538700170899</v>
      </c>
      <c r="E2508">
        <v>1.03107741578389</v>
      </c>
      <c r="F2508">
        <v>0.86706136561369396</v>
      </c>
      <c r="G2508">
        <v>0.37546174169490698</v>
      </c>
      <c r="H2508">
        <v>0.13366924382724699</v>
      </c>
      <c r="I2508">
        <v>9.5241119089222698E-2</v>
      </c>
      <c r="J2508">
        <v>6.5996989955649898E-2</v>
      </c>
      <c r="K2508">
        <v>5.3209647027774302E-2</v>
      </c>
      <c r="L2508">
        <v>1927.09134273428</v>
      </c>
      <c r="M2508">
        <v>34.505374840215097</v>
      </c>
      <c r="N2508">
        <v>56.0955127680567</v>
      </c>
      <c r="O2508">
        <v>55.662433464958397</v>
      </c>
      <c r="P2508">
        <v>-0.144074976649812</v>
      </c>
      <c r="Q2508">
        <v>7.0343809396144694E-2</v>
      </c>
      <c r="R2508">
        <v>0.99178847094762401</v>
      </c>
      <c r="S2508" t="s">
        <v>9125</v>
      </c>
      <c r="T2508" t="s">
        <v>13232</v>
      </c>
      <c r="U2508" t="s">
        <v>13232</v>
      </c>
      <c r="V2508" t="s">
        <v>13232</v>
      </c>
      <c r="W2508" t="s">
        <v>15687</v>
      </c>
      <c r="X2508">
        <v>16</v>
      </c>
      <c r="Y2508" t="s">
        <v>22168</v>
      </c>
      <c r="Z2508" t="s">
        <v>28639</v>
      </c>
      <c r="AA2508">
        <v>0.56624132579392106</v>
      </c>
      <c r="AB2508" t="str">
        <f>HYPERLINK("Melting_Curves/meltCurve_P51149_RAB7A.pdf", "Melting_Curves/meltCurve_P51149_RAB7A.pdf")</f>
        <v>Melting_Curves/meltCurve_P51149_RAB7A.pdf</v>
      </c>
    </row>
    <row r="2509" spans="1:28" x14ac:dyDescent="0.25">
      <c r="A2509" t="s">
        <v>2513</v>
      </c>
      <c r="B2509">
        <v>0.99930955844802105</v>
      </c>
      <c r="C2509">
        <v>1.02324845064513</v>
      </c>
      <c r="D2509">
        <v>0.93016076670398895</v>
      </c>
      <c r="E2509">
        <v>0.76617130791201904</v>
      </c>
      <c r="F2509">
        <v>0.43132144851818899</v>
      </c>
      <c r="G2509">
        <v>0.179401854946422</v>
      </c>
      <c r="H2509">
        <v>8.4488745331112405E-2</v>
      </c>
      <c r="I2509">
        <v>7.1353591923861606E-2</v>
      </c>
      <c r="J2509">
        <v>6.2221712593957902E-2</v>
      </c>
      <c r="K2509">
        <v>4.6590765044501603E-2</v>
      </c>
      <c r="L2509">
        <v>1208.2334956689499</v>
      </c>
      <c r="M2509">
        <v>23.146446593297501</v>
      </c>
      <c r="N2509">
        <v>52.455412152823797</v>
      </c>
      <c r="O2509">
        <v>51.814579401409297</v>
      </c>
      <c r="P2509">
        <v>-0.10571905946735</v>
      </c>
      <c r="Q2509">
        <v>5.3385805315115401E-2</v>
      </c>
      <c r="R2509">
        <v>0.998504152769633</v>
      </c>
      <c r="S2509" t="s">
        <v>9126</v>
      </c>
      <c r="T2509" t="s">
        <v>13232</v>
      </c>
      <c r="U2509" t="s">
        <v>13232</v>
      </c>
      <c r="V2509" t="s">
        <v>13232</v>
      </c>
      <c r="W2509" t="s">
        <v>15688</v>
      </c>
      <c r="X2509">
        <v>7</v>
      </c>
      <c r="Y2509" t="s">
        <v>22169</v>
      </c>
      <c r="Z2509" t="s">
        <v>28640</v>
      </c>
      <c r="AA2509">
        <v>0.44834731402943262</v>
      </c>
      <c r="AB2509" t="str">
        <f>HYPERLINK("Melting_Curves/meltCurve_P51151_RAB9A.pdf", "Melting_Curves/meltCurve_P51151_RAB9A.pdf")</f>
        <v>Melting_Curves/meltCurve_P51151_RAB9A.pdf</v>
      </c>
    </row>
    <row r="2510" spans="1:28" x14ac:dyDescent="0.25">
      <c r="A2510" t="s">
        <v>2514</v>
      </c>
      <c r="B2510">
        <v>0.99930955844802105</v>
      </c>
      <c r="C2510">
        <v>0.97865173636082703</v>
      </c>
      <c r="D2510">
        <v>0.61099712611086898</v>
      </c>
      <c r="E2510">
        <v>0.33868046692829601</v>
      </c>
      <c r="F2510">
        <v>0.227721341610816</v>
      </c>
      <c r="G2510">
        <v>0.20239609288168001</v>
      </c>
      <c r="H2510">
        <v>0.17592955322642201</v>
      </c>
      <c r="I2510">
        <v>0.178869109897554</v>
      </c>
      <c r="J2510">
        <v>0.185397938973761</v>
      </c>
      <c r="K2510">
        <v>0.15419965942889299</v>
      </c>
      <c r="L2510">
        <v>1191.90081043996</v>
      </c>
      <c r="M2510">
        <v>25.5975840433725</v>
      </c>
      <c r="N2510">
        <v>47.405880830022802</v>
      </c>
      <c r="O2510">
        <v>46.281626620060003</v>
      </c>
      <c r="P2510">
        <v>-0.112994479564546</v>
      </c>
      <c r="Q2510">
        <v>0.18281283495215001</v>
      </c>
      <c r="R2510">
        <v>0.99186248145521105</v>
      </c>
      <c r="S2510" t="s">
        <v>9127</v>
      </c>
      <c r="T2510" t="s">
        <v>13232</v>
      </c>
      <c r="U2510" t="s">
        <v>13232</v>
      </c>
      <c r="V2510" t="s">
        <v>13232</v>
      </c>
      <c r="W2510" t="s">
        <v>15689</v>
      </c>
      <c r="X2510">
        <v>6</v>
      </c>
      <c r="Y2510" t="s">
        <v>22170</v>
      </c>
      <c r="Z2510" t="s">
        <v>28641</v>
      </c>
      <c r="AA2510">
        <v>0.36858288092238711</v>
      </c>
      <c r="AB2510" t="str">
        <f>HYPERLINK("Melting_Curves/meltCurve_P51157_RAB28.pdf", "Melting_Curves/meltCurve_P51157_RAB28.pdf")</f>
        <v>Melting_Curves/meltCurve_P51157_RAB28.pdf</v>
      </c>
    </row>
    <row r="2511" spans="1:28" x14ac:dyDescent="0.25">
      <c r="A2511" t="s">
        <v>2515</v>
      </c>
      <c r="B2511">
        <v>0.99930955844802105</v>
      </c>
      <c r="C2511">
        <v>0.87794621720063704</v>
      </c>
      <c r="D2511">
        <v>0.70199139756489704</v>
      </c>
      <c r="E2511">
        <v>0.67177041624770395</v>
      </c>
      <c r="F2511">
        <v>0.416711827656503</v>
      </c>
      <c r="G2511">
        <v>0.203802695470997</v>
      </c>
      <c r="H2511">
        <v>9.3704361067146094E-2</v>
      </c>
      <c r="I2511">
        <v>8.0112608965875104E-2</v>
      </c>
      <c r="J2511">
        <v>6.2505428859294596E-2</v>
      </c>
      <c r="K2511">
        <v>4.65110816268412E-2</v>
      </c>
      <c r="L2511">
        <v>601.16682459595995</v>
      </c>
      <c r="M2511">
        <v>11.7265466186597</v>
      </c>
      <c r="N2511">
        <v>51.265461561727903</v>
      </c>
      <c r="O2511">
        <v>49.842717967558599</v>
      </c>
      <c r="P2511">
        <v>-5.8833256635607498E-2</v>
      </c>
      <c r="Q2511">
        <v>0</v>
      </c>
      <c r="R2511">
        <v>0.98139748233647095</v>
      </c>
      <c r="S2511" t="s">
        <v>9128</v>
      </c>
      <c r="T2511" t="s">
        <v>13232</v>
      </c>
      <c r="U2511" t="s">
        <v>13232</v>
      </c>
      <c r="V2511" t="s">
        <v>13232</v>
      </c>
      <c r="W2511" t="s">
        <v>15690</v>
      </c>
      <c r="X2511">
        <v>8</v>
      </c>
      <c r="Y2511" t="s">
        <v>22171</v>
      </c>
      <c r="Z2511" t="s">
        <v>28642</v>
      </c>
      <c r="AA2511">
        <v>0.40863986398929242</v>
      </c>
      <c r="AB2511" t="str">
        <f>HYPERLINK("Melting_Curves/meltCurve_P51159_2_RAB27A.pdf", "Melting_Curves/meltCurve_P51159_2_RAB27A.pdf")</f>
        <v>Melting_Curves/meltCurve_P51159_2_RAB27A.pdf</v>
      </c>
    </row>
    <row r="2512" spans="1:28" x14ac:dyDescent="0.25">
      <c r="A2512" t="s">
        <v>2516</v>
      </c>
      <c r="B2512">
        <v>0.99930955844802105</v>
      </c>
      <c r="C2512">
        <v>1.30795525206939</v>
      </c>
      <c r="D2512">
        <v>1.2201737723894901</v>
      </c>
      <c r="E2512">
        <v>1.3212062925385299</v>
      </c>
      <c r="F2512">
        <v>1.3009092155475499</v>
      </c>
      <c r="G2512">
        <v>1.3360912910571801</v>
      </c>
      <c r="H2512">
        <v>1.3928658310402</v>
      </c>
      <c r="I2512">
        <v>1.6009085702029799</v>
      </c>
      <c r="J2512">
        <v>1.8474598717770701</v>
      </c>
      <c r="K2512">
        <v>1.4611302558705599</v>
      </c>
      <c r="L2512">
        <v>469.20215188238302</v>
      </c>
      <c r="M2512">
        <v>10.143390196534501</v>
      </c>
      <c r="O2512">
        <v>44.567046872874201</v>
      </c>
      <c r="P2512">
        <v>2.8462895303424499E-2</v>
      </c>
      <c r="Q2512">
        <v>1.5</v>
      </c>
      <c r="R2512">
        <v>0.55131282789854597</v>
      </c>
      <c r="S2512" t="s">
        <v>9129</v>
      </c>
      <c r="T2512" t="s">
        <v>13232</v>
      </c>
      <c r="U2512" t="s">
        <v>13232</v>
      </c>
      <c r="V2512" t="s">
        <v>13232</v>
      </c>
      <c r="W2512" t="s">
        <v>15691</v>
      </c>
      <c r="X2512">
        <v>1</v>
      </c>
      <c r="Y2512" t="s">
        <v>22172</v>
      </c>
      <c r="Z2512" t="s">
        <v>28643</v>
      </c>
      <c r="AA2512">
        <v>1.3658314882762601</v>
      </c>
      <c r="AB2512" t="str">
        <f>HYPERLINK("Melting_Curves/meltCurve_P51161_FABP6.pdf", "Melting_Curves/meltCurve_P51161_FABP6.pdf")</f>
        <v>Melting_Curves/meltCurve_P51161_FABP6.pdf</v>
      </c>
    </row>
    <row r="2513" spans="1:28" x14ac:dyDescent="0.25">
      <c r="A2513" t="s">
        <v>2517</v>
      </c>
      <c r="B2513">
        <v>0.99930955844802105</v>
      </c>
      <c r="C2513">
        <v>1.14090570619675</v>
      </c>
      <c r="D2513">
        <v>1.10859127887035</v>
      </c>
      <c r="E2513">
        <v>0.67705158228139695</v>
      </c>
      <c r="F2513">
        <v>0.23718027392997901</v>
      </c>
      <c r="G2513">
        <v>0.203710637569641</v>
      </c>
      <c r="H2513">
        <v>0.15624353751377901</v>
      </c>
      <c r="I2513">
        <v>0.149434845678865</v>
      </c>
      <c r="J2513">
        <v>0.12573576315854801</v>
      </c>
      <c r="K2513">
        <v>8.9629411956304E-2</v>
      </c>
      <c r="L2513">
        <v>2481.7306000562498</v>
      </c>
      <c r="M2513">
        <v>49.092240038720497</v>
      </c>
      <c r="N2513">
        <v>50.909811511769803</v>
      </c>
      <c r="O2513">
        <v>50.468730361777197</v>
      </c>
      <c r="P2513">
        <v>-0.20773449622113499</v>
      </c>
      <c r="Q2513">
        <v>0.145764258574448</v>
      </c>
      <c r="R2513">
        <v>0.97735046485933696</v>
      </c>
      <c r="S2513" t="s">
        <v>9130</v>
      </c>
      <c r="T2513" t="s">
        <v>13232</v>
      </c>
      <c r="U2513" t="s">
        <v>13232</v>
      </c>
      <c r="V2513" t="s">
        <v>13232</v>
      </c>
      <c r="W2513" t="s">
        <v>15692</v>
      </c>
      <c r="X2513">
        <v>6</v>
      </c>
      <c r="Y2513" t="s">
        <v>22173</v>
      </c>
      <c r="Z2513" t="s">
        <v>28644</v>
      </c>
      <c r="AA2513">
        <v>0.44821519319514258</v>
      </c>
      <c r="AB2513" t="str">
        <f>HYPERLINK("Melting_Curves/meltCurve_P51178_PLCD1.pdf", "Melting_Curves/meltCurve_P51178_PLCD1.pdf")</f>
        <v>Melting_Curves/meltCurve_P51178_PLCD1.pdf</v>
      </c>
    </row>
    <row r="2514" spans="1:28" x14ac:dyDescent="0.25">
      <c r="A2514" t="s">
        <v>2518</v>
      </c>
      <c r="B2514">
        <v>0.99930955844802105</v>
      </c>
      <c r="C2514">
        <v>1.0742380915914</v>
      </c>
      <c r="D2514">
        <v>1.1279584298127301</v>
      </c>
      <c r="E2514">
        <v>1.0326000569281599</v>
      </c>
      <c r="F2514">
        <v>0.546105261770365</v>
      </c>
      <c r="G2514">
        <v>0.149491264331543</v>
      </c>
      <c r="H2514">
        <v>6.56231785548783E-2</v>
      </c>
      <c r="I2514">
        <v>3.8257798243015798E-2</v>
      </c>
      <c r="J2514">
        <v>3.3039463964688501E-2</v>
      </c>
      <c r="K2514">
        <v>2.4463454995502801E-2</v>
      </c>
      <c r="L2514">
        <v>2934.95628954019</v>
      </c>
      <c r="M2514">
        <v>55.241731014306701</v>
      </c>
      <c r="N2514">
        <v>53.244763044716301</v>
      </c>
      <c r="O2514">
        <v>53.059844134823599</v>
      </c>
      <c r="P2514">
        <v>-0.24559197537531199</v>
      </c>
      <c r="Q2514">
        <v>5.64332999478682E-2</v>
      </c>
      <c r="R2514">
        <v>0.98519736181603301</v>
      </c>
      <c r="S2514" t="s">
        <v>9131</v>
      </c>
      <c r="T2514" t="s">
        <v>13232</v>
      </c>
      <c r="U2514" t="s">
        <v>13232</v>
      </c>
      <c r="V2514" t="s">
        <v>13232</v>
      </c>
      <c r="W2514" t="s">
        <v>15693</v>
      </c>
      <c r="X2514">
        <v>6</v>
      </c>
      <c r="Y2514" t="s">
        <v>22174</v>
      </c>
      <c r="Z2514" t="s">
        <v>28645</v>
      </c>
      <c r="AA2514">
        <v>0.47118962666255609</v>
      </c>
      <c r="AB2514" t="str">
        <f>HYPERLINK("Melting_Curves/meltCurve_P51452_DUSP3.pdf", "Melting_Curves/meltCurve_P51452_DUSP3.pdf")</f>
        <v>Melting_Curves/meltCurve_P51452_DUSP3.pdf</v>
      </c>
    </row>
    <row r="2515" spans="1:28" x14ac:dyDescent="0.25">
      <c r="A2515" t="s">
        <v>2519</v>
      </c>
      <c r="B2515">
        <v>0.99930955844802105</v>
      </c>
      <c r="C2515">
        <v>0.94045500506645796</v>
      </c>
      <c r="D2515">
        <v>0.80803550632791998</v>
      </c>
      <c r="E2515">
        <v>0.816150333516376</v>
      </c>
      <c r="F2515">
        <v>0.64688140889027801</v>
      </c>
      <c r="G2515">
        <v>0.33931791706082798</v>
      </c>
      <c r="H2515">
        <v>0.33730957475970103</v>
      </c>
      <c r="I2515">
        <v>0.233561801136628</v>
      </c>
      <c r="J2515">
        <v>0.20181293806814499</v>
      </c>
      <c r="K2515">
        <v>0.26106786050299602</v>
      </c>
      <c r="L2515">
        <v>692.93895274335296</v>
      </c>
      <c r="M2515">
        <v>13.0175749943231</v>
      </c>
      <c r="N2515">
        <v>55.0577462947779</v>
      </c>
      <c r="O2515">
        <v>52.021821399493703</v>
      </c>
      <c r="P2515">
        <v>-5.1596968446876702E-2</v>
      </c>
      <c r="Q2515">
        <v>0.175362034293019</v>
      </c>
      <c r="R2515">
        <v>0.96862474685192401</v>
      </c>
      <c r="S2515" t="s">
        <v>9132</v>
      </c>
      <c r="T2515" t="s">
        <v>13232</v>
      </c>
      <c r="U2515" t="s">
        <v>13232</v>
      </c>
      <c r="V2515" t="s">
        <v>13232</v>
      </c>
      <c r="W2515" t="s">
        <v>15694</v>
      </c>
      <c r="X2515">
        <v>1</v>
      </c>
      <c r="Y2515" t="s">
        <v>22175</v>
      </c>
      <c r="Z2515" t="s">
        <v>28646</v>
      </c>
      <c r="AA2515">
        <v>0.56008539808619162</v>
      </c>
      <c r="AB2515" t="str">
        <f>HYPERLINK("Melting_Curves/meltCurve_P51511_MMP15.pdf", "Melting_Curves/meltCurve_P51511_MMP15.pdf")</f>
        <v>Melting_Curves/meltCurve_P51511_MMP15.pdf</v>
      </c>
    </row>
    <row r="2516" spans="1:28" x14ac:dyDescent="0.25">
      <c r="A2516" t="s">
        <v>2520</v>
      </c>
      <c r="B2516">
        <v>0.99930955844802105</v>
      </c>
      <c r="C2516">
        <v>0.77050465820595804</v>
      </c>
      <c r="D2516">
        <v>0.77311688714370996</v>
      </c>
      <c r="E2516">
        <v>0.50462375801070902</v>
      </c>
      <c r="F2516">
        <v>0.39072138884705898</v>
      </c>
      <c r="G2516">
        <v>0.26221309489620998</v>
      </c>
      <c r="H2516">
        <v>0.18832545544673501</v>
      </c>
      <c r="I2516">
        <v>0.18668958417046699</v>
      </c>
      <c r="J2516">
        <v>0.17849293358562501</v>
      </c>
      <c r="K2516">
        <v>0.105366286212021</v>
      </c>
      <c r="L2516">
        <v>546.530113239358</v>
      </c>
      <c r="M2516">
        <v>11.078986181378101</v>
      </c>
      <c r="N2516">
        <v>50.385097528277903</v>
      </c>
      <c r="O2516">
        <v>47.804943941278403</v>
      </c>
      <c r="P2516">
        <v>-5.1959017474711502E-2</v>
      </c>
      <c r="Q2516">
        <v>0.10349814822815601</v>
      </c>
      <c r="R2516">
        <v>0.98136801569833598</v>
      </c>
      <c r="S2516" t="s">
        <v>9133</v>
      </c>
      <c r="T2516" t="s">
        <v>13232</v>
      </c>
      <c r="U2516" t="s">
        <v>13232</v>
      </c>
      <c r="V2516" t="s">
        <v>13232</v>
      </c>
      <c r="W2516" t="s">
        <v>15695</v>
      </c>
      <c r="X2516">
        <v>28</v>
      </c>
      <c r="Y2516" t="s">
        <v>22176</v>
      </c>
      <c r="Z2516" t="s">
        <v>28647</v>
      </c>
      <c r="AA2516">
        <v>0.41899733866005751</v>
      </c>
      <c r="AB2516" t="str">
        <f>HYPERLINK("Melting_Curves/meltCurve_P51531_2_SMARCA2.pdf", "Melting_Curves/meltCurve_P51531_2_SMARCA2.pdf")</f>
        <v>Melting_Curves/meltCurve_P51531_2_SMARCA2.pdf</v>
      </c>
    </row>
    <row r="2517" spans="1:28" x14ac:dyDescent="0.25">
      <c r="A2517" t="s">
        <v>2521</v>
      </c>
      <c r="B2517">
        <v>0.99930955844802105</v>
      </c>
      <c r="C2517">
        <v>0.75768009737113595</v>
      </c>
      <c r="D2517">
        <v>0.67751640273935498</v>
      </c>
      <c r="E2517">
        <v>0.44395917528849499</v>
      </c>
      <c r="F2517">
        <v>0.32531309398108099</v>
      </c>
      <c r="G2517">
        <v>0.24127568839424199</v>
      </c>
      <c r="H2517">
        <v>0.16538361043711</v>
      </c>
      <c r="I2517">
        <v>0.15000352614912199</v>
      </c>
      <c r="J2517">
        <v>0.135639814232238</v>
      </c>
      <c r="K2517">
        <v>0.109790933976395</v>
      </c>
      <c r="L2517">
        <v>562.21542600559906</v>
      </c>
      <c r="M2517">
        <v>11.7092870444977</v>
      </c>
      <c r="N2517">
        <v>48.960900736387899</v>
      </c>
      <c r="O2517">
        <v>46.678214846448</v>
      </c>
      <c r="P2517">
        <v>-5.6376534911576397E-2</v>
      </c>
      <c r="Q2517">
        <v>0.101274529330534</v>
      </c>
      <c r="R2517">
        <v>0.98745586741219604</v>
      </c>
      <c r="S2517" t="s">
        <v>9134</v>
      </c>
      <c r="T2517" t="s">
        <v>13232</v>
      </c>
      <c r="U2517" t="s">
        <v>13232</v>
      </c>
      <c r="V2517" t="s">
        <v>13232</v>
      </c>
      <c r="W2517" t="s">
        <v>15696</v>
      </c>
      <c r="X2517">
        <v>48</v>
      </c>
      <c r="Y2517" t="s">
        <v>22177</v>
      </c>
      <c r="Z2517" t="s">
        <v>28648</v>
      </c>
      <c r="AA2517">
        <v>0.3780458858199795</v>
      </c>
      <c r="AB2517" t="str">
        <f>HYPERLINK("Melting_Curves/meltCurve_P51532_5_SMARCA4.pdf", "Melting_Curves/meltCurve_P51532_5_SMARCA4.pdf")</f>
        <v>Melting_Curves/meltCurve_P51532_5_SMARCA4.pdf</v>
      </c>
    </row>
    <row r="2518" spans="1:28" x14ac:dyDescent="0.25">
      <c r="A2518" t="s">
        <v>2522</v>
      </c>
      <c r="B2518">
        <v>0.99930955844802105</v>
      </c>
      <c r="C2518">
        <v>0.93889145063430701</v>
      </c>
      <c r="D2518">
        <v>0.83063032822213401</v>
      </c>
      <c r="E2518">
        <v>0.50155922530473096</v>
      </c>
      <c r="F2518">
        <v>0.209410681665506</v>
      </c>
      <c r="G2518">
        <v>0.14649329486693899</v>
      </c>
      <c r="H2518">
        <v>9.2737085826564605E-2</v>
      </c>
      <c r="I2518">
        <v>7.8975650092656793E-2</v>
      </c>
      <c r="J2518">
        <v>7.0075327277762306E-2</v>
      </c>
      <c r="K2518">
        <v>5.1998617597580801E-2</v>
      </c>
      <c r="L2518">
        <v>1020.33224373118</v>
      </c>
      <c r="M2518">
        <v>20.651556550864498</v>
      </c>
      <c r="N2518">
        <v>49.747659893724801</v>
      </c>
      <c r="O2518">
        <v>48.950766994521402</v>
      </c>
      <c r="P2518">
        <v>-9.8520246958100202E-2</v>
      </c>
      <c r="Q2518">
        <v>6.5929313200302306E-2</v>
      </c>
      <c r="R2518">
        <v>0.99719479756896101</v>
      </c>
      <c r="S2518" t="s">
        <v>9135</v>
      </c>
      <c r="T2518" t="s">
        <v>13232</v>
      </c>
      <c r="U2518" t="s">
        <v>13232</v>
      </c>
      <c r="V2518" t="s">
        <v>13232</v>
      </c>
      <c r="W2518" t="s">
        <v>15697</v>
      </c>
      <c r="X2518">
        <v>22</v>
      </c>
      <c r="Y2518" t="s">
        <v>22178</v>
      </c>
      <c r="Z2518" t="s">
        <v>28649</v>
      </c>
      <c r="AA2518">
        <v>0.37105486949604932</v>
      </c>
      <c r="AB2518" t="str">
        <f>HYPERLINK("Melting_Curves/meltCurve_P51570_GALK1.pdf", "Melting_Curves/meltCurve_P51570_GALK1.pdf")</f>
        <v>Melting_Curves/meltCurve_P51570_GALK1.pdf</v>
      </c>
    </row>
    <row r="2519" spans="1:28" x14ac:dyDescent="0.25">
      <c r="A2519" t="s">
        <v>2523</v>
      </c>
      <c r="B2519">
        <v>0.99930955844802105</v>
      </c>
      <c r="C2519">
        <v>0.74084111112923601</v>
      </c>
      <c r="D2519">
        <v>0.55987911388118305</v>
      </c>
      <c r="E2519">
        <v>0.73749396428577696</v>
      </c>
      <c r="F2519">
        <v>0.37296998584254498</v>
      </c>
      <c r="G2519">
        <v>0.14742424647612701</v>
      </c>
      <c r="H2519">
        <v>8.0681578125709502E-2</v>
      </c>
      <c r="I2519">
        <v>7.2634693379961798E-2</v>
      </c>
      <c r="J2519">
        <v>5.2353238454255803E-2</v>
      </c>
      <c r="K2519">
        <v>4.4886685347818603E-2</v>
      </c>
      <c r="L2519">
        <v>505.88300548107702</v>
      </c>
      <c r="M2519">
        <v>10.121474704766699</v>
      </c>
      <c r="N2519">
        <v>49.981172454332601</v>
      </c>
      <c r="O2519">
        <v>48.147793853908802</v>
      </c>
      <c r="P2519">
        <v>-5.2578606496535202E-2</v>
      </c>
      <c r="Q2519">
        <v>0</v>
      </c>
      <c r="R2519">
        <v>0.90802688998300296</v>
      </c>
      <c r="S2519" t="s">
        <v>9136</v>
      </c>
      <c r="T2519" t="s">
        <v>13232</v>
      </c>
      <c r="U2519" t="s">
        <v>13232</v>
      </c>
      <c r="V2519" t="s">
        <v>13232</v>
      </c>
      <c r="W2519" t="s">
        <v>15698</v>
      </c>
      <c r="X2519">
        <v>3</v>
      </c>
      <c r="Y2519" t="s">
        <v>22179</v>
      </c>
      <c r="Z2519" t="s">
        <v>28650</v>
      </c>
      <c r="AA2519">
        <v>0.37723527995035788</v>
      </c>
      <c r="AB2519" t="str">
        <f>HYPERLINK("Melting_Curves/meltCurve_P51571_SSR4.pdf", "Melting_Curves/meltCurve_P51571_SSR4.pdf")</f>
        <v>Melting_Curves/meltCurve_P51571_SSR4.pdf</v>
      </c>
    </row>
    <row r="2520" spans="1:28" x14ac:dyDescent="0.25">
      <c r="A2520" t="s">
        <v>2524</v>
      </c>
      <c r="B2520">
        <v>0.99930955844802105</v>
      </c>
      <c r="C2520">
        <v>0.96844023582869199</v>
      </c>
      <c r="D2520">
        <v>0.78154442552943904</v>
      </c>
      <c r="E2520">
        <v>0.97945157706392805</v>
      </c>
      <c r="F2520">
        <v>0.59644356906294305</v>
      </c>
      <c r="G2520">
        <v>0.41945079980605099</v>
      </c>
      <c r="H2520">
        <v>0.48776453917763801</v>
      </c>
      <c r="I2520">
        <v>0.58503779128926103</v>
      </c>
      <c r="J2520">
        <v>0.69996510782504695</v>
      </c>
      <c r="K2520">
        <v>0.48171560262339702</v>
      </c>
      <c r="L2520">
        <v>4444.4700529777401</v>
      </c>
      <c r="M2520">
        <v>85.754833785477302</v>
      </c>
      <c r="O2520">
        <v>51.7994663887768</v>
      </c>
      <c r="P2520">
        <v>-0.19249591513845701</v>
      </c>
      <c r="Q2520">
        <v>0.53489805475718899</v>
      </c>
      <c r="R2520">
        <v>0.78063112637854803</v>
      </c>
      <c r="S2520" t="s">
        <v>9137</v>
      </c>
      <c r="T2520" t="s">
        <v>13232</v>
      </c>
      <c r="U2520" t="s">
        <v>13232</v>
      </c>
      <c r="V2520" t="s">
        <v>13232</v>
      </c>
      <c r="W2520" t="s">
        <v>15699</v>
      </c>
      <c r="X2520">
        <v>6</v>
      </c>
      <c r="Y2520" t="s">
        <v>22180</v>
      </c>
      <c r="Z2520" t="s">
        <v>28651</v>
      </c>
      <c r="AA2520">
        <v>0.71862669598130857</v>
      </c>
      <c r="AB2520" t="str">
        <f>HYPERLINK("Melting_Curves/meltCurve_P51572_BCAP31.pdf", "Melting_Curves/meltCurve_P51572_BCAP31.pdf")</f>
        <v>Melting_Curves/meltCurve_P51572_BCAP31.pdf</v>
      </c>
    </row>
    <row r="2521" spans="1:28" x14ac:dyDescent="0.25">
      <c r="A2521" t="s">
        <v>2525</v>
      </c>
      <c r="B2521">
        <v>0.99930955844802105</v>
      </c>
      <c r="C2521">
        <v>1.0657145295435499</v>
      </c>
      <c r="D2521">
        <v>1.07142355768918</v>
      </c>
      <c r="E2521">
        <v>0.95923141258790201</v>
      </c>
      <c r="F2521">
        <v>0.77518802532379605</v>
      </c>
      <c r="G2521">
        <v>0.412750145276294</v>
      </c>
      <c r="H2521">
        <v>0.140700323912958</v>
      </c>
      <c r="I2521">
        <v>0.101451381671845</v>
      </c>
      <c r="J2521">
        <v>8.4584159047874793E-2</v>
      </c>
      <c r="K2521">
        <v>6.3848971427484802E-2</v>
      </c>
      <c r="L2521">
        <v>1400.4359927057999</v>
      </c>
      <c r="M2521">
        <v>25.156950247684101</v>
      </c>
      <c r="N2521">
        <v>55.967938119622801</v>
      </c>
      <c r="O2521">
        <v>55.319753894707603</v>
      </c>
      <c r="P2521">
        <v>-0.106519626267366</v>
      </c>
      <c r="Q2521">
        <v>6.3071741241981297E-2</v>
      </c>
      <c r="R2521">
        <v>0.99374131719552505</v>
      </c>
      <c r="S2521" t="s">
        <v>9138</v>
      </c>
      <c r="T2521" t="s">
        <v>13232</v>
      </c>
      <c r="U2521" t="s">
        <v>13232</v>
      </c>
      <c r="V2521" t="s">
        <v>13232</v>
      </c>
      <c r="W2521" t="s">
        <v>15700</v>
      </c>
      <c r="X2521">
        <v>14</v>
      </c>
      <c r="Y2521" t="s">
        <v>22181</v>
      </c>
      <c r="Z2521" t="s">
        <v>28652</v>
      </c>
      <c r="AA2521">
        <v>0.56093746616006546</v>
      </c>
      <c r="AB2521" t="str">
        <f>HYPERLINK("Melting_Curves/meltCurve_P51580_TPMT.pdf", "Melting_Curves/meltCurve_P51580_TPMT.pdf")</f>
        <v>Melting_Curves/meltCurve_P51580_TPMT.pdf</v>
      </c>
    </row>
    <row r="2522" spans="1:28" x14ac:dyDescent="0.25">
      <c r="A2522" t="s">
        <v>2526</v>
      </c>
      <c r="B2522">
        <v>0.99930955844802105</v>
      </c>
      <c r="C2522">
        <v>1.1062338236916001</v>
      </c>
      <c r="D2522">
        <v>1.1545657112932299</v>
      </c>
      <c r="E2522">
        <v>1.06448870916712</v>
      </c>
      <c r="F2522">
        <v>0.98789573220405102</v>
      </c>
      <c r="G2522">
        <v>0.98103073262560503</v>
      </c>
      <c r="H2522">
        <v>1.00627290862079</v>
      </c>
      <c r="I2522">
        <v>1.1876812201093301</v>
      </c>
      <c r="J2522">
        <v>1.1104130613163601</v>
      </c>
      <c r="K2522">
        <v>0.92605392625948102</v>
      </c>
      <c r="L2522">
        <v>10264.971125518599</v>
      </c>
      <c r="M2522">
        <v>250</v>
      </c>
      <c r="O2522">
        <v>41.057254572663098</v>
      </c>
      <c r="P2522">
        <v>8.8737025577217896E-2</v>
      </c>
      <c r="Q2522">
        <v>1.0582927816847401</v>
      </c>
      <c r="R2522">
        <v>4.7929745539056899E-2</v>
      </c>
      <c r="S2522" t="s">
        <v>9139</v>
      </c>
      <c r="T2522" t="s">
        <v>13232</v>
      </c>
      <c r="U2522" t="s">
        <v>13232</v>
      </c>
      <c r="V2522" t="s">
        <v>13232</v>
      </c>
      <c r="W2522" t="s">
        <v>15701</v>
      </c>
      <c r="X2522">
        <v>5</v>
      </c>
      <c r="Y2522" t="s">
        <v>22182</v>
      </c>
      <c r="Z2522" t="s">
        <v>28653</v>
      </c>
      <c r="AA2522">
        <v>1.056228728507361</v>
      </c>
      <c r="AB2522" t="str">
        <f>HYPERLINK("Melting_Curves/meltCurve_P51587_BRCA2.pdf", "Melting_Curves/meltCurve_P51587_BRCA2.pdf")</f>
        <v>Melting_Curves/meltCurve_P51587_BRCA2.pdf</v>
      </c>
    </row>
    <row r="2523" spans="1:28" x14ac:dyDescent="0.25">
      <c r="A2523" t="s">
        <v>2527</v>
      </c>
      <c r="B2523">
        <v>0.99930955844802105</v>
      </c>
      <c r="C2523">
        <v>1.2080085197064001</v>
      </c>
      <c r="D2523">
        <v>1.1488526181646399</v>
      </c>
      <c r="E2523">
        <v>1.05366338666365</v>
      </c>
      <c r="F2523">
        <v>1.0175099275003701</v>
      </c>
      <c r="G2523">
        <v>0.64680950678812499</v>
      </c>
      <c r="H2523">
        <v>0.37314069666997102</v>
      </c>
      <c r="I2523">
        <v>0.21150168972758801</v>
      </c>
      <c r="J2523">
        <v>0.133253703452235</v>
      </c>
      <c r="K2523">
        <v>0.100739662126668</v>
      </c>
      <c r="L2523">
        <v>1506.25808406138</v>
      </c>
      <c r="M2523">
        <v>25.727219152255199</v>
      </c>
      <c r="N2523">
        <v>59.096452264465299</v>
      </c>
      <c r="O2523">
        <v>58.196965583270902</v>
      </c>
      <c r="P2523">
        <v>-9.8767982022923098E-2</v>
      </c>
      <c r="Q2523">
        <v>0.106327458449954</v>
      </c>
      <c r="R2523">
        <v>0.95549661550825205</v>
      </c>
      <c r="S2523" t="s">
        <v>9140</v>
      </c>
      <c r="T2523" t="s">
        <v>13232</v>
      </c>
      <c r="U2523" t="s">
        <v>13232</v>
      </c>
      <c r="V2523" t="s">
        <v>13232</v>
      </c>
      <c r="W2523" t="s">
        <v>15702</v>
      </c>
      <c r="X2523">
        <v>14</v>
      </c>
      <c r="Y2523" t="s">
        <v>22183</v>
      </c>
      <c r="Z2523" t="s">
        <v>28654</v>
      </c>
      <c r="AA2523">
        <v>0.66610676987966777</v>
      </c>
      <c r="AB2523" t="str">
        <f>HYPERLINK("Melting_Curves/meltCurve_P51606_RENBP.pdf", "Melting_Curves/meltCurve_P51606_RENBP.pdf")</f>
        <v>Melting_Curves/meltCurve_P51606_RENBP.pdf</v>
      </c>
    </row>
    <row r="2524" spans="1:28" x14ac:dyDescent="0.25">
      <c r="A2524" t="s">
        <v>2528</v>
      </c>
      <c r="B2524">
        <v>0.99930955844802105</v>
      </c>
      <c r="C2524">
        <v>1.1242987096335399</v>
      </c>
      <c r="D2524">
        <v>1.08991540134539</v>
      </c>
      <c r="E2524">
        <v>1.10671264682599</v>
      </c>
      <c r="F2524">
        <v>1.06488239852275</v>
      </c>
      <c r="G2524">
        <v>1.0457762818140599</v>
      </c>
      <c r="H2524">
        <v>1.0499176998230699</v>
      </c>
      <c r="I2524">
        <v>0.97504400776654498</v>
      </c>
      <c r="J2524">
        <v>1.18388816425068</v>
      </c>
      <c r="K2524">
        <v>0.95007099514525295</v>
      </c>
      <c r="L2524">
        <v>10261.8708847214</v>
      </c>
      <c r="M2524">
        <v>250</v>
      </c>
      <c r="O2524">
        <v>41.044844363937798</v>
      </c>
      <c r="P2524">
        <v>9.9908532563153796E-2</v>
      </c>
      <c r="Q2524">
        <v>1.0656117025669301</v>
      </c>
      <c r="R2524">
        <v>8.6249905693381895E-2</v>
      </c>
      <c r="S2524" t="s">
        <v>9141</v>
      </c>
      <c r="T2524" t="s">
        <v>13232</v>
      </c>
      <c r="U2524" t="s">
        <v>13232</v>
      </c>
      <c r="V2524" t="s">
        <v>13232</v>
      </c>
      <c r="W2524" t="s">
        <v>15703</v>
      </c>
      <c r="X2524">
        <v>14</v>
      </c>
      <c r="Y2524" t="s">
        <v>22184</v>
      </c>
      <c r="Z2524" t="s">
        <v>28655</v>
      </c>
      <c r="AA2524">
        <v>1.063315584978894</v>
      </c>
      <c r="AB2524" t="str">
        <f>HYPERLINK("Melting_Curves/meltCurve_P51608_MECP2.pdf", "Melting_Curves/meltCurve_P51608_MECP2.pdf")</f>
        <v>Melting_Curves/meltCurve_P51608_MECP2.pdf</v>
      </c>
    </row>
    <row r="2525" spans="1:28" x14ac:dyDescent="0.25">
      <c r="A2525" t="s">
        <v>2529</v>
      </c>
      <c r="B2525">
        <v>0.99930955844802105</v>
      </c>
      <c r="C2525">
        <v>0.97851517724519499</v>
      </c>
      <c r="D2525">
        <v>0.94522381810543399</v>
      </c>
      <c r="E2525">
        <v>0.92591574892612605</v>
      </c>
      <c r="F2525">
        <v>0.66016078683524304</v>
      </c>
      <c r="G2525">
        <v>0.48089329842703898</v>
      </c>
      <c r="H2525">
        <v>0.39707524824680801</v>
      </c>
      <c r="I2525">
        <v>0.39659811144021501</v>
      </c>
      <c r="J2525">
        <v>0.33886286459369902</v>
      </c>
      <c r="K2525">
        <v>0.303063170329543</v>
      </c>
      <c r="L2525">
        <v>1141.5836497160301</v>
      </c>
      <c r="M2525">
        <v>21.371860147889301</v>
      </c>
      <c r="N2525">
        <v>56.401127266614999</v>
      </c>
      <c r="O2525">
        <v>52.954204403328497</v>
      </c>
      <c r="P2525">
        <v>-6.6724158757054494E-2</v>
      </c>
      <c r="Q2525">
        <v>0.33871244743412998</v>
      </c>
      <c r="R2525">
        <v>0.98844820268861</v>
      </c>
      <c r="S2525" t="s">
        <v>9142</v>
      </c>
      <c r="T2525" t="s">
        <v>13232</v>
      </c>
      <c r="U2525" t="s">
        <v>13232</v>
      </c>
      <c r="V2525" t="s">
        <v>13232</v>
      </c>
      <c r="W2525" t="s">
        <v>15704</v>
      </c>
      <c r="X2525">
        <v>51</v>
      </c>
      <c r="Y2525" t="s">
        <v>22185</v>
      </c>
      <c r="Z2525" t="s">
        <v>28656</v>
      </c>
      <c r="AA2525">
        <v>0.6425157749380902</v>
      </c>
      <c r="AB2525" t="str">
        <f>HYPERLINK("Melting_Curves/meltCurve_P51610_HCFC1.pdf", "Melting_Curves/meltCurve_P51610_HCFC1.pdf")</f>
        <v>Melting_Curves/meltCurve_P51610_HCFC1.pdf</v>
      </c>
    </row>
    <row r="2526" spans="1:28" x14ac:dyDescent="0.25">
      <c r="A2526" t="s">
        <v>2530</v>
      </c>
      <c r="B2526">
        <v>0.99930955844802105</v>
      </c>
      <c r="C2526">
        <v>1.0597988822051301</v>
      </c>
      <c r="D2526">
        <v>1.0411543475334899</v>
      </c>
      <c r="E2526">
        <v>0.99178832220161195</v>
      </c>
      <c r="F2526">
        <v>0.94455105641427395</v>
      </c>
      <c r="G2526">
        <v>0.67273143455181295</v>
      </c>
      <c r="H2526">
        <v>0.36234144909008198</v>
      </c>
      <c r="I2526">
        <v>0.33305550133084899</v>
      </c>
      <c r="J2526">
        <v>0.32363982211056302</v>
      </c>
      <c r="K2526">
        <v>0.25375060738154398</v>
      </c>
      <c r="L2526">
        <v>1809.49358135837</v>
      </c>
      <c r="M2526">
        <v>31.606701964165602</v>
      </c>
      <c r="N2526">
        <v>58.848666011195903</v>
      </c>
      <c r="O2526">
        <v>57.022596790626203</v>
      </c>
      <c r="P2526">
        <v>-9.8650482345390395E-2</v>
      </c>
      <c r="Q2526">
        <v>0.28809061830698002</v>
      </c>
      <c r="R2526">
        <v>0.992419011537087</v>
      </c>
      <c r="S2526" t="s">
        <v>9143</v>
      </c>
      <c r="T2526" t="s">
        <v>13232</v>
      </c>
      <c r="U2526" t="s">
        <v>13232</v>
      </c>
      <c r="V2526" t="s">
        <v>13232</v>
      </c>
      <c r="W2526" t="s">
        <v>15705</v>
      </c>
      <c r="X2526">
        <v>53</v>
      </c>
      <c r="Y2526" t="s">
        <v>22185</v>
      </c>
      <c r="Z2526" t="s">
        <v>28657</v>
      </c>
      <c r="AA2526">
        <v>0.70176325611151003</v>
      </c>
      <c r="AB2526" t="str">
        <f>HYPERLINK("Melting_Curves/meltCurve_P51610_4_HCFC1.pdf", "Melting_Curves/meltCurve_P51610_4_HCFC1.pdf")</f>
        <v>Melting_Curves/meltCurve_P51610_4_HCFC1.pdf</v>
      </c>
    </row>
    <row r="2527" spans="1:28" x14ac:dyDescent="0.25">
      <c r="A2527" t="s">
        <v>2531</v>
      </c>
      <c r="B2527">
        <v>0.99930955844802105</v>
      </c>
      <c r="C2527">
        <v>0.858583395929154</v>
      </c>
      <c r="D2527">
        <v>0.716748679045215</v>
      </c>
      <c r="E2527">
        <v>0.553553701757035</v>
      </c>
      <c r="F2527">
        <v>0.33405549115702599</v>
      </c>
      <c r="G2527">
        <v>0.208637316397802</v>
      </c>
      <c r="H2527">
        <v>0.159603111482641</v>
      </c>
      <c r="I2527">
        <v>0.15308661157387701</v>
      </c>
      <c r="J2527">
        <v>0.14322597369533899</v>
      </c>
      <c r="K2527">
        <v>0.11736528844590099</v>
      </c>
      <c r="L2527">
        <v>643.98709081991797</v>
      </c>
      <c r="M2527">
        <v>13.0940534060113</v>
      </c>
      <c r="N2527">
        <v>50.0544517810728</v>
      </c>
      <c r="O2527">
        <v>48.076930111534999</v>
      </c>
      <c r="P2527">
        <v>-6.1149940365958701E-2</v>
      </c>
      <c r="Q2527">
        <v>0.102066329749747</v>
      </c>
      <c r="R2527">
        <v>0.99315168720055302</v>
      </c>
      <c r="S2527" t="s">
        <v>9144</v>
      </c>
      <c r="T2527" t="s">
        <v>13232</v>
      </c>
      <c r="U2527" t="s">
        <v>13232</v>
      </c>
      <c r="V2527" t="s">
        <v>13232</v>
      </c>
      <c r="W2527" t="s">
        <v>15706</v>
      </c>
      <c r="X2527">
        <v>16</v>
      </c>
      <c r="Y2527" t="s">
        <v>22186</v>
      </c>
      <c r="Z2527" t="s">
        <v>28658</v>
      </c>
      <c r="AA2527">
        <v>0.40501495564107781</v>
      </c>
      <c r="AB2527" t="str">
        <f>HYPERLINK("Melting_Curves/meltCurve_P51617_IRAK1.pdf", "Melting_Curves/meltCurve_P51617_IRAK1.pdf")</f>
        <v>Melting_Curves/meltCurve_P51617_IRAK1.pdf</v>
      </c>
    </row>
    <row r="2528" spans="1:28" x14ac:dyDescent="0.25">
      <c r="A2528" t="s">
        <v>2532</v>
      </c>
      <c r="B2528">
        <v>0.99930955844802105</v>
      </c>
      <c r="C2528">
        <v>0.88026880677032704</v>
      </c>
      <c r="D2528">
        <v>0.86154368353844901</v>
      </c>
      <c r="E2528">
        <v>0.90259214578596203</v>
      </c>
      <c r="F2528">
        <v>0.89936650579355404</v>
      </c>
      <c r="G2528">
        <v>0.32923066589348599</v>
      </c>
      <c r="H2528">
        <v>9.1516790902507195E-2</v>
      </c>
      <c r="I2528">
        <v>6.8017705589028393E-2</v>
      </c>
      <c r="J2528">
        <v>5.3919705054467901E-2</v>
      </c>
      <c r="K2528">
        <v>4.4695512183524501E-2</v>
      </c>
      <c r="L2528">
        <v>2078.5150509795999</v>
      </c>
      <c r="M2528">
        <v>37.3139059607606</v>
      </c>
      <c r="N2528">
        <v>55.868967629935803</v>
      </c>
      <c r="O2528">
        <v>55.544229749257099</v>
      </c>
      <c r="P2528">
        <v>-0.15916137507493899</v>
      </c>
      <c r="Q2528">
        <v>5.2313444937575899E-2</v>
      </c>
      <c r="R2528">
        <v>0.97478902478575902</v>
      </c>
      <c r="S2528" t="s">
        <v>9145</v>
      </c>
      <c r="T2528" t="s">
        <v>13232</v>
      </c>
      <c r="U2528" t="s">
        <v>13232</v>
      </c>
      <c r="V2528" t="s">
        <v>13232</v>
      </c>
      <c r="W2528" t="s">
        <v>15707</v>
      </c>
      <c r="X2528">
        <v>10</v>
      </c>
      <c r="Y2528" t="s">
        <v>22187</v>
      </c>
      <c r="Z2528" t="s">
        <v>28659</v>
      </c>
      <c r="AA2528">
        <v>0.55254067226208858</v>
      </c>
      <c r="AB2528" t="str">
        <f>HYPERLINK("Melting_Curves/meltCurve_P51649_ALDH5A1.pdf", "Melting_Curves/meltCurve_P51649_ALDH5A1.pdf")</f>
        <v>Melting_Curves/meltCurve_P51649_ALDH5A1.pdf</v>
      </c>
    </row>
    <row r="2529" spans="1:28" x14ac:dyDescent="0.25">
      <c r="A2529" t="s">
        <v>2533</v>
      </c>
      <c r="B2529">
        <v>0.99930955844802105</v>
      </c>
      <c r="C2529">
        <v>0.82239902514307195</v>
      </c>
      <c r="D2529">
        <v>0.82649001145408596</v>
      </c>
      <c r="E2529">
        <v>0.58936187756729996</v>
      </c>
      <c r="F2529">
        <v>0.30247485338305902</v>
      </c>
      <c r="G2529">
        <v>0.17804425329595</v>
      </c>
      <c r="H2529">
        <v>0.10962839723022801</v>
      </c>
      <c r="I2529">
        <v>8.5900064044779706E-2</v>
      </c>
      <c r="J2529">
        <v>7.4006793003021099E-2</v>
      </c>
      <c r="K2529">
        <v>5.5752874996636698E-2</v>
      </c>
      <c r="L2529">
        <v>712.11785865433501</v>
      </c>
      <c r="M2529">
        <v>14.164583012507499</v>
      </c>
      <c r="N2529">
        <v>50.5434677753614</v>
      </c>
      <c r="O2529">
        <v>49.304310658274503</v>
      </c>
      <c r="P2529">
        <v>-6.9223963368107405E-2</v>
      </c>
      <c r="Q2529">
        <v>3.6298250252150902E-2</v>
      </c>
      <c r="R2529">
        <v>0.98627984249462497</v>
      </c>
      <c r="S2529" t="s">
        <v>9146</v>
      </c>
      <c r="T2529" t="s">
        <v>13232</v>
      </c>
      <c r="U2529" t="s">
        <v>13232</v>
      </c>
      <c r="V2529" t="s">
        <v>13232</v>
      </c>
      <c r="W2529" t="s">
        <v>15708</v>
      </c>
      <c r="X2529">
        <v>9</v>
      </c>
      <c r="Y2529" t="s">
        <v>22188</v>
      </c>
      <c r="Z2529" t="s">
        <v>28660</v>
      </c>
      <c r="AA2529">
        <v>0.39148361888886801</v>
      </c>
      <c r="AB2529" t="str">
        <f>HYPERLINK("Melting_Curves/meltCurve_P51659_HSD17B4.pdf", "Melting_Curves/meltCurve_P51659_HSD17B4.pdf")</f>
        <v>Melting_Curves/meltCurve_P51659_HSD17B4.pdf</v>
      </c>
    </row>
    <row r="2530" spans="1:28" x14ac:dyDescent="0.25">
      <c r="A2530" t="s">
        <v>2534</v>
      </c>
      <c r="B2530">
        <v>0.99930955844802105</v>
      </c>
      <c r="C2530">
        <v>0.55088380012316196</v>
      </c>
      <c r="D2530">
        <v>0.61949666502351697</v>
      </c>
      <c r="E2530">
        <v>0.62073796019184502</v>
      </c>
      <c r="F2530">
        <v>0.25016389312012099</v>
      </c>
      <c r="G2530">
        <v>0.13221213854327099</v>
      </c>
      <c r="H2530">
        <v>6.1878221614782597E-2</v>
      </c>
      <c r="I2530">
        <v>5.1046879393707403E-2</v>
      </c>
      <c r="J2530">
        <v>4.2805368903744201E-2</v>
      </c>
      <c r="K2530">
        <v>3.25193094300237E-2</v>
      </c>
      <c r="L2530">
        <v>471.46673837506802</v>
      </c>
      <c r="M2530">
        <v>9.78133540295463</v>
      </c>
      <c r="N2530">
        <v>48.2006518342791</v>
      </c>
      <c r="O2530">
        <v>46.315495186218598</v>
      </c>
      <c r="P2530">
        <v>-5.2825258713754097E-2</v>
      </c>
      <c r="Q2530">
        <v>0</v>
      </c>
      <c r="R2530">
        <v>0.88997835936540004</v>
      </c>
      <c r="S2530" t="s">
        <v>9147</v>
      </c>
      <c r="T2530" t="s">
        <v>13232</v>
      </c>
      <c r="U2530" t="s">
        <v>13232</v>
      </c>
      <c r="V2530" t="s">
        <v>13232</v>
      </c>
      <c r="W2530" t="s">
        <v>15709</v>
      </c>
      <c r="X2530">
        <v>11</v>
      </c>
      <c r="Y2530" t="s">
        <v>22189</v>
      </c>
      <c r="Z2530" t="s">
        <v>28661</v>
      </c>
      <c r="AA2530">
        <v>0.32727263169905191</v>
      </c>
      <c r="AB2530" t="str">
        <f>HYPERLINK("Melting_Curves/meltCurve_P51665_PSMD7.pdf", "Melting_Curves/meltCurve_P51665_PSMD7.pdf")</f>
        <v>Melting_Curves/meltCurve_P51665_PSMD7.pdf</v>
      </c>
    </row>
    <row r="2531" spans="1:28" x14ac:dyDescent="0.25">
      <c r="A2531" t="s">
        <v>2535</v>
      </c>
      <c r="B2531">
        <v>0.99930955844802105</v>
      </c>
      <c r="C2531">
        <v>1.2449058577251599</v>
      </c>
      <c r="D2531">
        <v>1.2220550146745199</v>
      </c>
      <c r="E2531">
        <v>0.93348590900723105</v>
      </c>
      <c r="F2531">
        <v>0.31134599239191302</v>
      </c>
      <c r="G2531">
        <v>0.16257364059853799</v>
      </c>
      <c r="H2531">
        <v>7.3393154824737503E-2</v>
      </c>
      <c r="I2531">
        <v>5.1079820988105401E-2</v>
      </c>
      <c r="J2531">
        <v>3.8655381158370999E-2</v>
      </c>
      <c r="K2531">
        <v>2.7194166024418601E-2</v>
      </c>
      <c r="L2531">
        <v>3084.5196631213898</v>
      </c>
      <c r="M2531">
        <v>59.212465342340202</v>
      </c>
      <c r="N2531">
        <v>52.222628331381699</v>
      </c>
      <c r="O2531">
        <v>52.033086092712203</v>
      </c>
      <c r="P2531">
        <v>-0.26496609089613699</v>
      </c>
      <c r="Q2531">
        <v>6.8642222603434097E-2</v>
      </c>
      <c r="R2531">
        <v>0.95155906473299201</v>
      </c>
      <c r="S2531" t="s">
        <v>9148</v>
      </c>
      <c r="T2531" t="s">
        <v>13232</v>
      </c>
      <c r="U2531" t="s">
        <v>13232</v>
      </c>
      <c r="V2531" t="s">
        <v>13232</v>
      </c>
      <c r="W2531" t="s">
        <v>15710</v>
      </c>
      <c r="X2531">
        <v>3</v>
      </c>
      <c r="Y2531" t="s">
        <v>22190</v>
      </c>
      <c r="Z2531" t="s">
        <v>28662</v>
      </c>
      <c r="AA2531">
        <v>0.44557753522935573</v>
      </c>
      <c r="AB2531" t="str">
        <f>HYPERLINK("Melting_Curves/meltCurve_P51668_UBE2D1.pdf", "Melting_Curves/meltCurve_P51668_UBE2D1.pdf")</f>
        <v>Melting_Curves/meltCurve_P51668_UBE2D1.pdf</v>
      </c>
    </row>
    <row r="2532" spans="1:28" x14ac:dyDescent="0.25">
      <c r="A2532" t="s">
        <v>2536</v>
      </c>
      <c r="B2532">
        <v>0.99930955844802105</v>
      </c>
      <c r="C2532">
        <v>0.98816727014925898</v>
      </c>
      <c r="D2532">
        <v>0.981208173796698</v>
      </c>
      <c r="E2532">
        <v>0.93951012523677102</v>
      </c>
      <c r="F2532">
        <v>0.85002773959304601</v>
      </c>
      <c r="G2532">
        <v>0.68154425166874599</v>
      </c>
      <c r="H2532">
        <v>0.49605984748111998</v>
      </c>
      <c r="I2532">
        <v>0.33461152018868401</v>
      </c>
      <c r="J2532">
        <v>0.15266234790272801</v>
      </c>
      <c r="K2532">
        <v>0.11059574825641</v>
      </c>
      <c r="L2532">
        <v>840.20713208533505</v>
      </c>
      <c r="M2532">
        <v>13.932418151845001</v>
      </c>
      <c r="N2532">
        <v>60.305908481971599</v>
      </c>
      <c r="O2532">
        <v>59.104265849464603</v>
      </c>
      <c r="P2532">
        <v>-5.8939472035477197E-2</v>
      </c>
      <c r="Q2532">
        <v>0</v>
      </c>
      <c r="R2532">
        <v>0.99551204917764102</v>
      </c>
      <c r="S2532" t="s">
        <v>9149</v>
      </c>
      <c r="T2532" t="s">
        <v>13232</v>
      </c>
      <c r="U2532" t="s">
        <v>13232</v>
      </c>
      <c r="V2532" t="s">
        <v>13232</v>
      </c>
      <c r="W2532" t="s">
        <v>15711</v>
      </c>
      <c r="X2532">
        <v>8</v>
      </c>
      <c r="Y2532" t="s">
        <v>22191</v>
      </c>
      <c r="Z2532" t="s">
        <v>28663</v>
      </c>
      <c r="AA2532">
        <v>0.6811749680634942</v>
      </c>
      <c r="AB2532" t="str">
        <f>HYPERLINK("Melting_Curves/meltCurve_P51687_SUOX.pdf", "Melting_Curves/meltCurve_P51687_SUOX.pdf")</f>
        <v>Melting_Curves/meltCurve_P51687_SUOX.pdf</v>
      </c>
    </row>
    <row r="2533" spans="1:28" x14ac:dyDescent="0.25">
      <c r="A2533" t="s">
        <v>2537</v>
      </c>
      <c r="B2533">
        <v>0.99930955844802105</v>
      </c>
      <c r="C2533">
        <v>1.00966688676012</v>
      </c>
      <c r="D2533">
        <v>0.97204399938514296</v>
      </c>
      <c r="E2533">
        <v>1.0242935156566</v>
      </c>
      <c r="F2533">
        <v>0.92446007177798295</v>
      </c>
      <c r="G2533">
        <v>0.76673762780005394</v>
      </c>
      <c r="H2533">
        <v>0.56512396212459204</v>
      </c>
      <c r="I2533">
        <v>0.59120354050429302</v>
      </c>
      <c r="J2533">
        <v>0.56820178768353302</v>
      </c>
      <c r="K2533">
        <v>0.41227254157829502</v>
      </c>
      <c r="L2533">
        <v>1176.76506532962</v>
      </c>
      <c r="M2533">
        <v>20.4031712417517</v>
      </c>
      <c r="N2533">
        <v>67.8220599426691</v>
      </c>
      <c r="O2533">
        <v>57.130124928786003</v>
      </c>
      <c r="P2533">
        <v>-4.6752416106882501E-2</v>
      </c>
      <c r="Q2533">
        <v>0.47637729171606102</v>
      </c>
      <c r="R2533">
        <v>0.96367543999831495</v>
      </c>
      <c r="S2533" t="s">
        <v>9150</v>
      </c>
      <c r="T2533" t="s">
        <v>13232</v>
      </c>
      <c r="U2533" t="s">
        <v>13232</v>
      </c>
      <c r="V2533" t="s">
        <v>13232</v>
      </c>
      <c r="W2533" t="s">
        <v>15712</v>
      </c>
      <c r="X2533">
        <v>5</v>
      </c>
      <c r="Y2533" t="s">
        <v>22192</v>
      </c>
      <c r="Z2533" t="s">
        <v>28664</v>
      </c>
      <c r="AA2533">
        <v>0.79086631382040173</v>
      </c>
      <c r="AB2533" t="str">
        <f>HYPERLINK("Melting_Curves/meltCurve_P51688_SGSH.pdf", "Melting_Curves/meltCurve_P51688_SGSH.pdf")</f>
        <v>Melting_Curves/meltCurve_P51688_SGSH.pdf</v>
      </c>
    </row>
    <row r="2534" spans="1:28" x14ac:dyDescent="0.25">
      <c r="A2534" t="s">
        <v>2538</v>
      </c>
      <c r="B2534">
        <v>0.99930955844802105</v>
      </c>
      <c r="C2534">
        <v>0.97093423187361205</v>
      </c>
      <c r="D2534">
        <v>0.85049833729562496</v>
      </c>
      <c r="E2534">
        <v>0.425007650317896</v>
      </c>
      <c r="F2534">
        <v>0.20503179368772301</v>
      </c>
      <c r="G2534">
        <v>0.142719778662518</v>
      </c>
      <c r="H2534">
        <v>8.9160980963058994E-2</v>
      </c>
      <c r="I2534">
        <v>7.4292289008564993E-2</v>
      </c>
      <c r="J2534">
        <v>6.33544201052815E-2</v>
      </c>
      <c r="K2534">
        <v>4.9209623142100103E-2</v>
      </c>
      <c r="L2534">
        <v>1159.95074548296</v>
      </c>
      <c r="M2534">
        <v>23.6437780296793</v>
      </c>
      <c r="N2534">
        <v>49.385917385831597</v>
      </c>
      <c r="O2534">
        <v>48.712561235812103</v>
      </c>
      <c r="P2534">
        <v>-0.112566354664071</v>
      </c>
      <c r="Q2534">
        <v>7.2347626020938499E-2</v>
      </c>
      <c r="R2534">
        <v>0.99835503525686398</v>
      </c>
      <c r="S2534" t="s">
        <v>9151</v>
      </c>
      <c r="T2534" t="s">
        <v>13232</v>
      </c>
      <c r="U2534" t="s">
        <v>13232</v>
      </c>
      <c r="V2534" t="s">
        <v>13232</v>
      </c>
      <c r="W2534" t="s">
        <v>15713</v>
      </c>
      <c r="X2534">
        <v>37</v>
      </c>
      <c r="Y2534" t="s">
        <v>22193</v>
      </c>
      <c r="Z2534" t="s">
        <v>28665</v>
      </c>
      <c r="AA2534">
        <v>0.36170476279267427</v>
      </c>
      <c r="AB2534" t="str">
        <f>HYPERLINK("Melting_Curves/meltCurve_P51692_STAT5B.pdf", "Melting_Curves/meltCurve_P51692_STAT5B.pdf")</f>
        <v>Melting_Curves/meltCurve_P51692_STAT5B.pdf</v>
      </c>
    </row>
    <row r="2535" spans="1:28" x14ac:dyDescent="0.25">
      <c r="A2535" t="s">
        <v>2539</v>
      </c>
      <c r="B2535">
        <v>0.99930955844802105</v>
      </c>
      <c r="C2535">
        <v>0.86822978487263602</v>
      </c>
      <c r="D2535">
        <v>0.85587084386819201</v>
      </c>
      <c r="E2535">
        <v>0.86243159548890602</v>
      </c>
      <c r="F2535">
        <v>0.68576842695696205</v>
      </c>
      <c r="G2535">
        <v>0.45858465073478699</v>
      </c>
      <c r="H2535">
        <v>0.220126038442194</v>
      </c>
      <c r="I2535">
        <v>0.11744463195531001</v>
      </c>
      <c r="J2535">
        <v>8.8343961383240605E-2</v>
      </c>
      <c r="K2535">
        <v>7.9356687977662294E-2</v>
      </c>
      <c r="L2535">
        <v>744.57576605723295</v>
      </c>
      <c r="M2535">
        <v>13.339164083902901</v>
      </c>
      <c r="N2535">
        <v>55.818772913258599</v>
      </c>
      <c r="O2535">
        <v>54.609022817132498</v>
      </c>
      <c r="P2535">
        <v>-6.1076426049808001E-2</v>
      </c>
      <c r="Q2535">
        <v>0</v>
      </c>
      <c r="R2535">
        <v>0.97943021003894604</v>
      </c>
      <c r="S2535" t="s">
        <v>9152</v>
      </c>
      <c r="T2535" t="s">
        <v>13232</v>
      </c>
      <c r="U2535" t="s">
        <v>13232</v>
      </c>
      <c r="V2535" t="s">
        <v>13232</v>
      </c>
      <c r="W2535" t="s">
        <v>15714</v>
      </c>
      <c r="X2535">
        <v>5</v>
      </c>
      <c r="Y2535" t="s">
        <v>22194</v>
      </c>
      <c r="Z2535" t="s">
        <v>28666</v>
      </c>
      <c r="AA2535">
        <v>0.54706490939215613</v>
      </c>
      <c r="AB2535" t="str">
        <f>HYPERLINK("Melting_Curves/meltCurve_P51809_VAMP7.pdf", "Melting_Curves/meltCurve_P51809_VAMP7.pdf")</f>
        <v>Melting_Curves/meltCurve_P51809_VAMP7.pdf</v>
      </c>
    </row>
    <row r="2536" spans="1:28" x14ac:dyDescent="0.25">
      <c r="A2536" t="s">
        <v>2540</v>
      </c>
      <c r="B2536">
        <v>0.99930955844802105</v>
      </c>
      <c r="C2536">
        <v>1.1968997146736799</v>
      </c>
      <c r="D2536">
        <v>1.1308883143702999</v>
      </c>
      <c r="E2536">
        <v>1.02431196014908</v>
      </c>
      <c r="F2536">
        <v>1.03390970946397</v>
      </c>
      <c r="G2536">
        <v>0.98555757882263695</v>
      </c>
      <c r="H2536">
        <v>1.0039223483994499</v>
      </c>
      <c r="I2536">
        <v>1.1547760163705001</v>
      </c>
      <c r="J2536">
        <v>1.1472861557499101</v>
      </c>
      <c r="K2536">
        <v>0.88163126752104304</v>
      </c>
      <c r="L2536">
        <v>10245.545617367199</v>
      </c>
      <c r="M2536">
        <v>250</v>
      </c>
      <c r="O2536">
        <v>40.979559915481303</v>
      </c>
      <c r="P2536">
        <v>9.4759347211575598E-2</v>
      </c>
      <c r="Q2536">
        <v>1.0621311414215699</v>
      </c>
      <c r="R2536">
        <v>4.1130578382059101E-2</v>
      </c>
      <c r="S2536" t="s">
        <v>9153</v>
      </c>
      <c r="T2536" t="s">
        <v>13232</v>
      </c>
      <c r="U2536" t="s">
        <v>13232</v>
      </c>
      <c r="V2536" t="s">
        <v>13232</v>
      </c>
      <c r="W2536" t="s">
        <v>15715</v>
      </c>
      <c r="X2536">
        <v>20</v>
      </c>
      <c r="Y2536" t="s">
        <v>22195</v>
      </c>
      <c r="Z2536" t="s">
        <v>28667</v>
      </c>
      <c r="AA2536">
        <v>1.060091843726175</v>
      </c>
      <c r="AB2536" t="str">
        <f>HYPERLINK("Melting_Curves/meltCurve_P51825_3_AFF1.pdf", "Melting_Curves/meltCurve_P51825_3_AFF1.pdf")</f>
        <v>Melting_Curves/meltCurve_P51825_3_AFF1.pdf</v>
      </c>
    </row>
    <row r="2537" spans="1:28" x14ac:dyDescent="0.25">
      <c r="A2537" t="s">
        <v>2541</v>
      </c>
      <c r="B2537">
        <v>0.99930955844802105</v>
      </c>
      <c r="C2537">
        <v>1.0983361019295601</v>
      </c>
      <c r="D2537">
        <v>0.929895425858978</v>
      </c>
      <c r="E2537">
        <v>0.45580701173692401</v>
      </c>
      <c r="F2537">
        <v>0.25204083446902498</v>
      </c>
      <c r="G2537">
        <v>0.154471052861203</v>
      </c>
      <c r="H2537">
        <v>0.114366989138632</v>
      </c>
      <c r="I2537">
        <v>0.109740709845143</v>
      </c>
      <c r="J2537">
        <v>0.103672230411316</v>
      </c>
      <c r="K2537">
        <v>8.6666609040036299E-2</v>
      </c>
      <c r="L2537">
        <v>1505.15096467578</v>
      </c>
      <c r="M2537">
        <v>30.4468372467663</v>
      </c>
      <c r="N2537">
        <v>49.858334025508</v>
      </c>
      <c r="O2537">
        <v>49.223590053998201</v>
      </c>
      <c r="P2537">
        <v>-0.13703685403264401</v>
      </c>
      <c r="Q2537">
        <v>0.113812123913151</v>
      </c>
      <c r="R2537">
        <v>0.99028026140598602</v>
      </c>
      <c r="S2537" t="s">
        <v>9154</v>
      </c>
      <c r="T2537" t="s">
        <v>13232</v>
      </c>
      <c r="U2537" t="s">
        <v>13232</v>
      </c>
      <c r="V2537" t="s">
        <v>13232</v>
      </c>
      <c r="W2537" t="s">
        <v>15716</v>
      </c>
      <c r="X2537">
        <v>2</v>
      </c>
      <c r="Y2537" t="s">
        <v>22196</v>
      </c>
      <c r="Z2537" t="s">
        <v>28668</v>
      </c>
      <c r="AA2537">
        <v>0.39780069726933021</v>
      </c>
      <c r="AB2537" t="str">
        <f>HYPERLINK("Melting_Curves/meltCurve_P51857_2_AKR1D1.pdf", "Melting_Curves/meltCurve_P51857_2_AKR1D1.pdf")</f>
        <v>Melting_Curves/meltCurve_P51857_2_AKR1D1.pdf</v>
      </c>
    </row>
    <row r="2538" spans="1:28" x14ac:dyDescent="0.25">
      <c r="A2538" t="s">
        <v>2542</v>
      </c>
      <c r="B2538">
        <v>0.99930955844802105</v>
      </c>
      <c r="C2538">
        <v>0.84268449376925303</v>
      </c>
      <c r="D2538">
        <v>1.2395657772398001</v>
      </c>
      <c r="E2538">
        <v>1.0311486569866699</v>
      </c>
      <c r="F2538">
        <v>0.83987650029940497</v>
      </c>
      <c r="G2538">
        <v>0.70531223498376905</v>
      </c>
      <c r="H2538">
        <v>0.67932985982785099</v>
      </c>
      <c r="I2538">
        <v>0.71181659967342004</v>
      </c>
      <c r="J2538">
        <v>0.72044691472731204</v>
      </c>
      <c r="K2538">
        <v>0.611401075144688</v>
      </c>
      <c r="L2538">
        <v>13248.0074111947</v>
      </c>
      <c r="M2538">
        <v>250</v>
      </c>
      <c r="O2538">
        <v>52.988639770966699</v>
      </c>
      <c r="P2538">
        <v>-0.37076187036577402</v>
      </c>
      <c r="Q2538">
        <v>0.685661332833574</v>
      </c>
      <c r="R2538">
        <v>0.73902044844986903</v>
      </c>
      <c r="S2538" t="s">
        <v>9155</v>
      </c>
      <c r="T2538" t="s">
        <v>13232</v>
      </c>
      <c r="U2538" t="s">
        <v>13232</v>
      </c>
      <c r="V2538" t="s">
        <v>13232</v>
      </c>
      <c r="W2538" t="s">
        <v>15717</v>
      </c>
      <c r="X2538">
        <v>23</v>
      </c>
      <c r="Y2538" t="s">
        <v>22197</v>
      </c>
      <c r="Z2538" t="s">
        <v>28669</v>
      </c>
      <c r="AA2538">
        <v>0.82182047579937456</v>
      </c>
      <c r="AB2538" t="str">
        <f>HYPERLINK("Melting_Curves/meltCurve_P51858_HDGF.pdf", "Melting_Curves/meltCurve_P51858_HDGF.pdf")</f>
        <v>Melting_Curves/meltCurve_P51858_HDGF.pdf</v>
      </c>
    </row>
    <row r="2539" spans="1:28" x14ac:dyDescent="0.25">
      <c r="A2539" t="s">
        <v>2543</v>
      </c>
      <c r="B2539">
        <v>0.99930955844802105</v>
      </c>
      <c r="C2539">
        <v>1.0297390529341499</v>
      </c>
      <c r="D2539">
        <v>0.998756415582575</v>
      </c>
      <c r="E2539">
        <v>0.98168582162792495</v>
      </c>
      <c r="F2539">
        <v>0.83523970147543702</v>
      </c>
      <c r="G2539">
        <v>0.54303551407445205</v>
      </c>
      <c r="H2539">
        <v>0.21532763840913799</v>
      </c>
      <c r="I2539">
        <v>0.16925719749931301</v>
      </c>
      <c r="J2539">
        <v>0.14243932932270201</v>
      </c>
      <c r="K2539">
        <v>0.106360419530334</v>
      </c>
      <c r="L2539">
        <v>1364.79113982997</v>
      </c>
      <c r="M2539">
        <v>24.082694111477299</v>
      </c>
      <c r="N2539">
        <v>57.237851423390801</v>
      </c>
      <c r="O2539">
        <v>56.284617894913097</v>
      </c>
      <c r="P2539">
        <v>-9.5621496056643496E-2</v>
      </c>
      <c r="Q2539">
        <v>0.10609083919677401</v>
      </c>
      <c r="R2539">
        <v>0.997780848169872</v>
      </c>
      <c r="S2539" t="s">
        <v>9156</v>
      </c>
      <c r="T2539" t="s">
        <v>13232</v>
      </c>
      <c r="U2539" t="s">
        <v>13232</v>
      </c>
      <c r="V2539" t="s">
        <v>13232</v>
      </c>
      <c r="W2539" t="s">
        <v>15718</v>
      </c>
      <c r="X2539">
        <v>17</v>
      </c>
      <c r="Y2539" t="s">
        <v>22198</v>
      </c>
      <c r="Z2539" t="s">
        <v>28670</v>
      </c>
      <c r="AA2539">
        <v>0.61144005780328803</v>
      </c>
      <c r="AB2539" t="str">
        <f>HYPERLINK("Melting_Curves/meltCurve_P51946_CCNH.pdf", "Melting_Curves/meltCurve_P51946_CCNH.pdf")</f>
        <v>Melting_Curves/meltCurve_P51946_CCNH.pdf</v>
      </c>
    </row>
    <row r="2540" spans="1:28" x14ac:dyDescent="0.25">
      <c r="A2540" t="s">
        <v>2544</v>
      </c>
      <c r="B2540">
        <v>0.99930955844802105</v>
      </c>
      <c r="C2540">
        <v>0.94276509079298898</v>
      </c>
      <c r="D2540">
        <v>1.02363107832084</v>
      </c>
      <c r="E2540">
        <v>0.99809288909551797</v>
      </c>
      <c r="F2540">
        <v>0.87714741563433896</v>
      </c>
      <c r="G2540">
        <v>0.71590978147915196</v>
      </c>
      <c r="H2540">
        <v>0.58885458653548295</v>
      </c>
      <c r="I2540">
        <v>0.55739731203406395</v>
      </c>
      <c r="J2540">
        <v>0.43926749696288298</v>
      </c>
      <c r="K2540">
        <v>0.30896920511493298</v>
      </c>
      <c r="L2540">
        <v>654.99206305785799</v>
      </c>
      <c r="M2540">
        <v>10.5234473557594</v>
      </c>
      <c r="N2540">
        <v>64.202974486653304</v>
      </c>
      <c r="O2540">
        <v>60.11967238599</v>
      </c>
      <c r="P2540">
        <v>-3.7758935751143301E-2</v>
      </c>
      <c r="Q2540">
        <v>0.137489074133161</v>
      </c>
      <c r="R2540">
        <v>0.97520139991178001</v>
      </c>
      <c r="S2540" t="s">
        <v>9157</v>
      </c>
      <c r="T2540" t="s">
        <v>13232</v>
      </c>
      <c r="U2540" t="s">
        <v>13232</v>
      </c>
      <c r="V2540" t="s">
        <v>13232</v>
      </c>
      <c r="W2540" t="s">
        <v>15719</v>
      </c>
      <c r="X2540">
        <v>14</v>
      </c>
      <c r="Y2540" t="s">
        <v>22199</v>
      </c>
      <c r="Z2540" t="s">
        <v>28671</v>
      </c>
      <c r="AA2540">
        <v>0.75934006032922119</v>
      </c>
      <c r="AB2540" t="str">
        <f>HYPERLINK("Melting_Curves/meltCurve_P51948_MNAT1.pdf", "Melting_Curves/meltCurve_P51948_MNAT1.pdf")</f>
        <v>Melting_Curves/meltCurve_P51948_MNAT1.pdf</v>
      </c>
    </row>
    <row r="2541" spans="1:28" x14ac:dyDescent="0.25">
      <c r="A2541" t="s">
        <v>2545</v>
      </c>
      <c r="B2541">
        <v>0.99930955844802105</v>
      </c>
      <c r="C2541">
        <v>0.96383332609039396</v>
      </c>
      <c r="D2541">
        <v>0.97842270900756001</v>
      </c>
      <c r="E2541">
        <v>0.79611878128309399</v>
      </c>
      <c r="F2541">
        <v>0.38219689627953102</v>
      </c>
      <c r="G2541">
        <v>0.23135860749864701</v>
      </c>
      <c r="H2541">
        <v>0.141845368259476</v>
      </c>
      <c r="I2541">
        <v>0.12896551989278901</v>
      </c>
      <c r="J2541">
        <v>0.119868929006194</v>
      </c>
      <c r="K2541">
        <v>0.10649688357987901</v>
      </c>
      <c r="L2541">
        <v>1598.02281072913</v>
      </c>
      <c r="M2541">
        <v>30.894825653219101</v>
      </c>
      <c r="N2541">
        <v>52.2361569894139</v>
      </c>
      <c r="O2541">
        <v>51.509356805239101</v>
      </c>
      <c r="P2541">
        <v>-0.13037493377687201</v>
      </c>
      <c r="Q2541">
        <v>0.130535438835852</v>
      </c>
      <c r="R2541">
        <v>0.99579321553087596</v>
      </c>
      <c r="S2541" t="s">
        <v>9158</v>
      </c>
      <c r="T2541" t="s">
        <v>13232</v>
      </c>
      <c r="U2541" t="s">
        <v>13232</v>
      </c>
      <c r="V2541" t="s">
        <v>13232</v>
      </c>
      <c r="W2541" t="s">
        <v>15720</v>
      </c>
      <c r="X2541">
        <v>19</v>
      </c>
      <c r="Y2541" t="s">
        <v>22200</v>
      </c>
      <c r="Z2541" t="s">
        <v>28672</v>
      </c>
      <c r="AA2541">
        <v>0.47555671779959768</v>
      </c>
      <c r="AB2541" t="str">
        <f>HYPERLINK("Melting_Curves/meltCurve_P51991_HNRNPA3.pdf", "Melting_Curves/meltCurve_P51991_HNRNPA3.pdf")</f>
        <v>Melting_Curves/meltCurve_P51991_HNRNPA3.pdf</v>
      </c>
    </row>
    <row r="2542" spans="1:28" x14ac:dyDescent="0.25">
      <c r="A2542" t="s">
        <v>2546</v>
      </c>
      <c r="B2542">
        <v>0.99930955844802105</v>
      </c>
      <c r="C2542">
        <v>1.46775295019296</v>
      </c>
      <c r="D2542">
        <v>1.38778023438394</v>
      </c>
      <c r="E2542">
        <v>1.89351131081126</v>
      </c>
      <c r="F2542">
        <v>2.2823656125614602</v>
      </c>
      <c r="G2542">
        <v>1.5881515282104299</v>
      </c>
      <c r="H2542">
        <v>1.02874082294485</v>
      </c>
      <c r="I2542">
        <v>0.39225989725864902</v>
      </c>
      <c r="J2542">
        <v>0.17445037356110099</v>
      </c>
      <c r="K2542">
        <v>7.5089916299818094E-2</v>
      </c>
      <c r="L2542">
        <v>15000</v>
      </c>
      <c r="M2542">
        <v>235.195606914423</v>
      </c>
      <c r="N2542">
        <v>63.854635804835297</v>
      </c>
      <c r="O2542">
        <v>63.772090342300302</v>
      </c>
      <c r="P2542">
        <v>-0.80698289541038803</v>
      </c>
      <c r="Q2542">
        <v>0.124762802689361</v>
      </c>
      <c r="R2542">
        <v>0.35419638303484402</v>
      </c>
      <c r="S2542" t="s">
        <v>9159</v>
      </c>
      <c r="T2542" t="s">
        <v>13232</v>
      </c>
      <c r="U2542" t="s">
        <v>13232</v>
      </c>
      <c r="V2542" t="s">
        <v>13232</v>
      </c>
      <c r="W2542" t="s">
        <v>15721</v>
      </c>
      <c r="X2542">
        <v>1</v>
      </c>
      <c r="Y2542" t="s">
        <v>22201</v>
      </c>
      <c r="Z2542" t="s">
        <v>28673</v>
      </c>
      <c r="AA2542">
        <v>0.81854860669771734</v>
      </c>
      <c r="AB2542" t="str">
        <f>HYPERLINK("Melting_Curves/meltCurve_P52179_2_MYOM1.pdf", "Melting_Curves/meltCurve_P52179_2_MYOM1.pdf")</f>
        <v>Melting_Curves/meltCurve_P52179_2_MYOM1.pdf</v>
      </c>
    </row>
    <row r="2543" spans="1:28" x14ac:dyDescent="0.25">
      <c r="A2543" t="s">
        <v>2547</v>
      </c>
      <c r="B2543">
        <v>0.99930955844802105</v>
      </c>
      <c r="C2543">
        <v>1.04019694767106</v>
      </c>
      <c r="D2543">
        <v>0.98472474149220401</v>
      </c>
      <c r="E2543">
        <v>0.78898211633006099</v>
      </c>
      <c r="F2543">
        <v>0.555584191711464</v>
      </c>
      <c r="G2543">
        <v>0.40615934296816802</v>
      </c>
      <c r="H2543">
        <v>0.32622117585736998</v>
      </c>
      <c r="I2543">
        <v>0.30685038888383998</v>
      </c>
      <c r="J2543">
        <v>0.29952789318016398</v>
      </c>
      <c r="K2543">
        <v>0.24084889908798501</v>
      </c>
      <c r="L2543">
        <v>1112.1190137157701</v>
      </c>
      <c r="M2543">
        <v>21.351977444468499</v>
      </c>
      <c r="N2543">
        <v>54.200961774842099</v>
      </c>
      <c r="O2543">
        <v>51.634667070101401</v>
      </c>
      <c r="P2543">
        <v>-7.4151451233239296E-2</v>
      </c>
      <c r="Q2543">
        <v>0.282747813894758</v>
      </c>
      <c r="R2543">
        <v>0.99334878861421105</v>
      </c>
      <c r="S2543" t="s">
        <v>9160</v>
      </c>
      <c r="T2543" t="s">
        <v>13232</v>
      </c>
      <c r="U2543" t="s">
        <v>13232</v>
      </c>
      <c r="V2543" t="s">
        <v>13232</v>
      </c>
      <c r="W2543" t="s">
        <v>15722</v>
      </c>
      <c r="X2543">
        <v>56</v>
      </c>
      <c r="Y2543" t="s">
        <v>20744</v>
      </c>
      <c r="Z2543" t="s">
        <v>28674</v>
      </c>
      <c r="AA2543">
        <v>0.58049712739769455</v>
      </c>
      <c r="AB2543" t="str">
        <f>HYPERLINK("Melting_Curves/meltCurve_P52272_2_HNRNPM.pdf", "Melting_Curves/meltCurve_P52272_2_HNRNPM.pdf")</f>
        <v>Melting_Curves/meltCurve_P52272_2_HNRNPM.pdf</v>
      </c>
    </row>
    <row r="2544" spans="1:28" x14ac:dyDescent="0.25">
      <c r="A2544" t="s">
        <v>2548</v>
      </c>
      <c r="B2544">
        <v>0.99930955844802105</v>
      </c>
      <c r="C2544">
        <v>0.91636723416204702</v>
      </c>
      <c r="D2544">
        <v>0.61078524107375898</v>
      </c>
      <c r="E2544">
        <v>0.25001528549010998</v>
      </c>
      <c r="F2544">
        <v>0.12854525601459801</v>
      </c>
      <c r="G2544">
        <v>8.3872306263487503E-2</v>
      </c>
      <c r="H2544">
        <v>4.2572589069882101E-2</v>
      </c>
      <c r="I2544">
        <v>3.3793141747145899E-2</v>
      </c>
      <c r="J2544">
        <v>3.0086238436318399E-2</v>
      </c>
      <c r="K2544">
        <v>2.24938385202678E-2</v>
      </c>
      <c r="L2544">
        <v>1009.10817090822</v>
      </c>
      <c r="M2544">
        <v>21.459869543462201</v>
      </c>
      <c r="N2544">
        <v>47.193853107092004</v>
      </c>
      <c r="O2544">
        <v>46.620420390487403</v>
      </c>
      <c r="P2544">
        <v>-0.110780139314325</v>
      </c>
      <c r="Q2544">
        <v>3.73679670437463E-2</v>
      </c>
      <c r="R2544">
        <v>0.99801940498956698</v>
      </c>
      <c r="S2544" t="s">
        <v>9161</v>
      </c>
      <c r="T2544" t="s">
        <v>13232</v>
      </c>
      <c r="U2544" t="s">
        <v>13232</v>
      </c>
      <c r="V2544" t="s">
        <v>13232</v>
      </c>
      <c r="W2544" t="s">
        <v>15723</v>
      </c>
      <c r="X2544">
        <v>16</v>
      </c>
      <c r="Y2544" t="s">
        <v>22202</v>
      </c>
      <c r="Z2544" t="s">
        <v>28675</v>
      </c>
      <c r="AA2544">
        <v>0.27476734268940362</v>
      </c>
      <c r="AB2544" t="str">
        <f>HYPERLINK("Melting_Curves/meltCurve_P52292_KPNA2.pdf", "Melting_Curves/meltCurve_P52292_KPNA2.pdf")</f>
        <v>Melting_Curves/meltCurve_P52292_KPNA2.pdf</v>
      </c>
    </row>
    <row r="2545" spans="1:28" x14ac:dyDescent="0.25">
      <c r="A2545" t="s">
        <v>2549</v>
      </c>
      <c r="B2545">
        <v>0.99930955844802105</v>
      </c>
      <c r="C2545">
        <v>1.0214632252196301</v>
      </c>
      <c r="D2545">
        <v>0.97386758438318199</v>
      </c>
      <c r="E2545">
        <v>0.74546228842158802</v>
      </c>
      <c r="F2545">
        <v>0.334635576808477</v>
      </c>
      <c r="G2545">
        <v>0.243382370237225</v>
      </c>
      <c r="H2545">
        <v>0.15162472786039699</v>
      </c>
      <c r="I2545">
        <v>0.19995517065392401</v>
      </c>
      <c r="J2545">
        <v>0.197435870748423</v>
      </c>
      <c r="K2545">
        <v>0.150453627438424</v>
      </c>
      <c r="L2545">
        <v>1893.6179178438599</v>
      </c>
      <c r="M2545">
        <v>37.113776275274802</v>
      </c>
      <c r="N2545">
        <v>51.6565824467447</v>
      </c>
      <c r="O2545">
        <v>50.874517263676303</v>
      </c>
      <c r="P2545">
        <v>-0.14898986222368901</v>
      </c>
      <c r="Q2545">
        <v>0.18307790414970199</v>
      </c>
      <c r="R2545">
        <v>0.99591847375951303</v>
      </c>
      <c r="S2545" t="s">
        <v>9162</v>
      </c>
      <c r="T2545" t="s">
        <v>13232</v>
      </c>
      <c r="U2545" t="s">
        <v>13232</v>
      </c>
      <c r="V2545" t="s">
        <v>13232</v>
      </c>
      <c r="W2545" t="s">
        <v>15724</v>
      </c>
      <c r="X2545">
        <v>15</v>
      </c>
      <c r="Y2545" t="s">
        <v>22203</v>
      </c>
      <c r="Z2545" t="s">
        <v>28676</v>
      </c>
      <c r="AA2545">
        <v>0.48656420686188301</v>
      </c>
      <c r="AB2545" t="str">
        <f>HYPERLINK("Melting_Curves/meltCurve_P52294_KPNA1.pdf", "Melting_Curves/meltCurve_P52294_KPNA1.pdf")</f>
        <v>Melting_Curves/meltCurve_P52294_KPNA1.pdf</v>
      </c>
    </row>
    <row r="2546" spans="1:28" x14ac:dyDescent="0.25">
      <c r="A2546" t="s">
        <v>2550</v>
      </c>
      <c r="B2546">
        <v>0.99930955844802105</v>
      </c>
      <c r="C2546">
        <v>0.78966899286702796</v>
      </c>
      <c r="D2546">
        <v>0.80408787359137801</v>
      </c>
      <c r="E2546">
        <v>0.60665857084159303</v>
      </c>
      <c r="F2546">
        <v>0.26397265918402901</v>
      </c>
      <c r="G2546">
        <v>0.17490842001203999</v>
      </c>
      <c r="H2546">
        <v>0.10559184627281699</v>
      </c>
      <c r="I2546">
        <v>8.87656222207443E-2</v>
      </c>
      <c r="J2546">
        <v>7.7379359365553402E-2</v>
      </c>
      <c r="K2546">
        <v>5.5018051150567397E-2</v>
      </c>
      <c r="L2546">
        <v>677.63815793666197</v>
      </c>
      <c r="M2546">
        <v>13.5384761503524</v>
      </c>
      <c r="N2546">
        <v>50.293960550339698</v>
      </c>
      <c r="O2546">
        <v>48.998584406892903</v>
      </c>
      <c r="P2546">
        <v>-6.6914753637135102E-2</v>
      </c>
      <c r="Q2546">
        <v>3.1431981550338099E-2</v>
      </c>
      <c r="R2546">
        <v>0.97480516109875603</v>
      </c>
      <c r="S2546" t="s">
        <v>9163</v>
      </c>
      <c r="T2546" t="s">
        <v>13232</v>
      </c>
      <c r="U2546" t="s">
        <v>13232</v>
      </c>
      <c r="V2546" t="s">
        <v>13232</v>
      </c>
      <c r="W2546" t="s">
        <v>15725</v>
      </c>
      <c r="X2546">
        <v>7</v>
      </c>
      <c r="Y2546" t="s">
        <v>22204</v>
      </c>
      <c r="Z2546" t="s">
        <v>28677</v>
      </c>
      <c r="AA2546">
        <v>0.38349735589572709</v>
      </c>
      <c r="AB2546" t="str">
        <f>HYPERLINK("Melting_Curves/meltCurve_P52298_NCBP2.pdf", "Melting_Curves/meltCurve_P52298_NCBP2.pdf")</f>
        <v>Melting_Curves/meltCurve_P52298_NCBP2.pdf</v>
      </c>
    </row>
    <row r="2547" spans="1:28" x14ac:dyDescent="0.25">
      <c r="A2547" t="s">
        <v>2551</v>
      </c>
      <c r="B2547">
        <v>0.99930955844802105</v>
      </c>
      <c r="C2547">
        <v>1.11419261377551</v>
      </c>
      <c r="D2547">
        <v>1.1082717546444201</v>
      </c>
      <c r="E2547">
        <v>0.90279216919679794</v>
      </c>
      <c r="F2547">
        <v>0.38873151717794802</v>
      </c>
      <c r="G2547">
        <v>0.20361190122530701</v>
      </c>
      <c r="H2547">
        <v>0.113501452832335</v>
      </c>
      <c r="I2547">
        <v>9.8542295361477003E-2</v>
      </c>
      <c r="J2547">
        <v>8.0561236841361794E-2</v>
      </c>
      <c r="K2547">
        <v>6.5290463995591602E-2</v>
      </c>
      <c r="L2547">
        <v>2362.0120245695798</v>
      </c>
      <c r="M2547">
        <v>45.265708242302502</v>
      </c>
      <c r="N2547">
        <v>52.458008970829901</v>
      </c>
      <c r="O2547">
        <v>52.079509547181402</v>
      </c>
      <c r="P2547">
        <v>-0.19419617719288401</v>
      </c>
      <c r="Q2547">
        <v>0.106287804878567</v>
      </c>
      <c r="R2547">
        <v>0.98235151364861595</v>
      </c>
      <c r="S2547" t="s">
        <v>9164</v>
      </c>
      <c r="T2547" t="s">
        <v>13232</v>
      </c>
      <c r="U2547" t="s">
        <v>13232</v>
      </c>
      <c r="V2547" t="s">
        <v>13232</v>
      </c>
      <c r="W2547" t="s">
        <v>15726</v>
      </c>
      <c r="X2547">
        <v>25</v>
      </c>
      <c r="Y2547" t="s">
        <v>22205</v>
      </c>
      <c r="Z2547" t="s">
        <v>28678</v>
      </c>
      <c r="AA2547">
        <v>0.47167850460356858</v>
      </c>
      <c r="AB2547" t="str">
        <f>HYPERLINK("Melting_Curves/meltCurve_P52306_RAP1GDS1.pdf", "Melting_Curves/meltCurve_P52306_RAP1GDS1.pdf")</f>
        <v>Melting_Curves/meltCurve_P52306_RAP1GDS1.pdf</v>
      </c>
    </row>
    <row r="2548" spans="1:28" x14ac:dyDescent="0.25">
      <c r="A2548" t="s">
        <v>2552</v>
      </c>
      <c r="B2548">
        <v>0.99930955844802105</v>
      </c>
      <c r="C2548">
        <v>1.0288573682989599</v>
      </c>
      <c r="D2548">
        <v>1.0349000568740401</v>
      </c>
      <c r="E2548">
        <v>0.88782770198697902</v>
      </c>
      <c r="F2548">
        <v>0.52923342841200405</v>
      </c>
      <c r="G2548">
        <v>0.22703991388597899</v>
      </c>
      <c r="H2548">
        <v>0.126899469129584</v>
      </c>
      <c r="I2548">
        <v>0.109062608671517</v>
      </c>
      <c r="J2548">
        <v>9.5776720968494003E-2</v>
      </c>
      <c r="K2548">
        <v>7.7546091434708794E-2</v>
      </c>
      <c r="L2548">
        <v>1570.46090659841</v>
      </c>
      <c r="M2548">
        <v>29.625618021792299</v>
      </c>
      <c r="N2548">
        <v>53.4110962186354</v>
      </c>
      <c r="O2548">
        <v>52.770453358700699</v>
      </c>
      <c r="P2548">
        <v>-0.126361091673512</v>
      </c>
      <c r="Q2548">
        <v>9.9686347048070598E-2</v>
      </c>
      <c r="R2548">
        <v>0.99699776108750504</v>
      </c>
      <c r="S2548" t="s">
        <v>9165</v>
      </c>
      <c r="T2548" t="s">
        <v>13232</v>
      </c>
      <c r="U2548" t="s">
        <v>13232</v>
      </c>
      <c r="V2548" t="s">
        <v>13232</v>
      </c>
      <c r="W2548" t="s">
        <v>15727</v>
      </c>
      <c r="X2548">
        <v>13</v>
      </c>
      <c r="Y2548" t="s">
        <v>22206</v>
      </c>
      <c r="Z2548" t="s">
        <v>28679</v>
      </c>
      <c r="AA2548">
        <v>0.49611398990026889</v>
      </c>
      <c r="AB2548" t="str">
        <f>HYPERLINK("Melting_Curves/meltCurve_P52566_ARHGDIB.pdf", "Melting_Curves/meltCurve_P52566_ARHGDIB.pdf")</f>
        <v>Melting_Curves/meltCurve_P52566_ARHGDIB.pdf</v>
      </c>
    </row>
    <row r="2549" spans="1:28" x14ac:dyDescent="0.25">
      <c r="A2549" t="s">
        <v>2553</v>
      </c>
      <c r="B2549">
        <v>0.99930955844802105</v>
      </c>
      <c r="C2549">
        <v>1.1385498376840499</v>
      </c>
      <c r="D2549">
        <v>1.1541053032586901</v>
      </c>
      <c r="E2549">
        <v>1.0107204894252499</v>
      </c>
      <c r="F2549">
        <v>0.79492459140968896</v>
      </c>
      <c r="G2549">
        <v>0.44845311400800603</v>
      </c>
      <c r="H2549">
        <v>0.24343787408516099</v>
      </c>
      <c r="I2549">
        <v>0.24232892416357199</v>
      </c>
      <c r="J2549">
        <v>0.24865266472806599</v>
      </c>
      <c r="K2549">
        <v>0.194746248593587</v>
      </c>
      <c r="L2549">
        <v>1674.93524702223</v>
      </c>
      <c r="M2549">
        <v>30.377162509915799</v>
      </c>
      <c r="N2549">
        <v>56.214269256273802</v>
      </c>
      <c r="O2549">
        <v>54.900682500566901</v>
      </c>
      <c r="P2549">
        <v>-0.10782753851150299</v>
      </c>
      <c r="Q2549">
        <v>0.22049753366566199</v>
      </c>
      <c r="R2549">
        <v>0.96795033833617905</v>
      </c>
      <c r="S2549" t="s">
        <v>9166</v>
      </c>
      <c r="T2549" t="s">
        <v>13232</v>
      </c>
      <c r="U2549" t="s">
        <v>13232</v>
      </c>
      <c r="V2549" t="s">
        <v>13232</v>
      </c>
      <c r="W2549" t="s">
        <v>15728</v>
      </c>
      <c r="X2549">
        <v>15</v>
      </c>
      <c r="Y2549" t="s">
        <v>22207</v>
      </c>
      <c r="Z2549" t="s">
        <v>28680</v>
      </c>
      <c r="AA2549">
        <v>0.61888942390481771</v>
      </c>
      <c r="AB2549" t="str">
        <f>HYPERLINK("Melting_Curves/meltCurve_P52594_2_AGFG1.pdf", "Melting_Curves/meltCurve_P52594_2_AGFG1.pdf")</f>
        <v>Melting_Curves/meltCurve_P52594_2_AGFG1.pdf</v>
      </c>
    </row>
    <row r="2550" spans="1:28" x14ac:dyDescent="0.25">
      <c r="A2550" t="s">
        <v>2554</v>
      </c>
      <c r="B2550">
        <v>0.99930955844802105</v>
      </c>
      <c r="C2550">
        <v>0.73200399019064799</v>
      </c>
      <c r="D2550">
        <v>1.2468785640309099</v>
      </c>
      <c r="E2550">
        <v>1.08273792553253</v>
      </c>
      <c r="F2550">
        <v>0.48248003406468798</v>
      </c>
      <c r="G2550">
        <v>0.447388755684407</v>
      </c>
      <c r="H2550">
        <v>0.195200799366086</v>
      </c>
      <c r="I2550">
        <v>0.14557440492424101</v>
      </c>
      <c r="J2550">
        <v>0.12547923427590801</v>
      </c>
      <c r="K2550">
        <v>0.102873354654979</v>
      </c>
      <c r="L2550">
        <v>1397.45335045961</v>
      </c>
      <c r="M2550">
        <v>25.928961278310599</v>
      </c>
      <c r="N2550">
        <v>54.602604704970702</v>
      </c>
      <c r="O2550">
        <v>53.577923696098502</v>
      </c>
      <c r="P2550">
        <v>-0.103733554739977</v>
      </c>
      <c r="Q2550">
        <v>0.14261642999801799</v>
      </c>
      <c r="R2550">
        <v>0.86687066878399899</v>
      </c>
      <c r="S2550" t="s">
        <v>9167</v>
      </c>
      <c r="T2550" t="s">
        <v>13232</v>
      </c>
      <c r="U2550" t="s">
        <v>13232</v>
      </c>
      <c r="V2550" t="s">
        <v>13232</v>
      </c>
      <c r="W2550" t="s">
        <v>15729</v>
      </c>
      <c r="X2550">
        <v>17</v>
      </c>
      <c r="Y2550" t="s">
        <v>22208</v>
      </c>
      <c r="Z2550" t="s">
        <v>28681</v>
      </c>
      <c r="AA2550">
        <v>0.54715750117643269</v>
      </c>
      <c r="AB2550" t="str">
        <f>HYPERLINK("Melting_Curves/meltCurve_P52597_HNRNPF.pdf", "Melting_Curves/meltCurve_P52597_HNRNPF.pdf")</f>
        <v>Melting_Curves/meltCurve_P52597_HNRNPF.pdf</v>
      </c>
    </row>
    <row r="2551" spans="1:28" x14ac:dyDescent="0.25">
      <c r="A2551" t="s">
        <v>2555</v>
      </c>
      <c r="B2551">
        <v>0.99930955844802105</v>
      </c>
      <c r="C2551">
        <v>0.84699484014399595</v>
      </c>
      <c r="D2551">
        <v>0.66673392698331702</v>
      </c>
      <c r="E2551">
        <v>0.313417375557274</v>
      </c>
      <c r="F2551">
        <v>0.17334141950739801</v>
      </c>
      <c r="G2551">
        <v>0.12908058997432101</v>
      </c>
      <c r="H2551">
        <v>7.9177540057082899E-2</v>
      </c>
      <c r="I2551">
        <v>6.4251214603823797E-2</v>
      </c>
      <c r="J2551">
        <v>5.41895467960785E-2</v>
      </c>
      <c r="K2551">
        <v>4.3316644635028399E-2</v>
      </c>
      <c r="L2551">
        <v>840.36861701526504</v>
      </c>
      <c r="M2551">
        <v>17.731111454744401</v>
      </c>
      <c r="N2551">
        <v>47.711187712766304</v>
      </c>
      <c r="O2551">
        <v>46.804608437131897</v>
      </c>
      <c r="P2551">
        <v>-8.9465234102405797E-2</v>
      </c>
      <c r="Q2551">
        <v>5.5407836513068798E-2</v>
      </c>
      <c r="R2551">
        <v>0.99722613696187901</v>
      </c>
      <c r="S2551" t="s">
        <v>9168</v>
      </c>
      <c r="T2551" t="s">
        <v>13232</v>
      </c>
      <c r="U2551" t="s">
        <v>13232</v>
      </c>
      <c r="V2551" t="s">
        <v>13232</v>
      </c>
      <c r="W2551" t="s">
        <v>15730</v>
      </c>
      <c r="X2551">
        <v>16</v>
      </c>
      <c r="Y2551" t="s">
        <v>22209</v>
      </c>
      <c r="Z2551" t="s">
        <v>28682</v>
      </c>
      <c r="AA2551">
        <v>0.30593598385012422</v>
      </c>
      <c r="AB2551" t="str">
        <f>HYPERLINK("Melting_Curves/meltCurve_P52630_4_STAT2.pdf", "Melting_Curves/meltCurve_P52630_4_STAT2.pdf")</f>
        <v>Melting_Curves/meltCurve_P52630_4_STAT2.pdf</v>
      </c>
    </row>
    <row r="2552" spans="1:28" x14ac:dyDescent="0.25">
      <c r="A2552" t="s">
        <v>2556</v>
      </c>
      <c r="B2552">
        <v>0.99930955844802105</v>
      </c>
      <c r="C2552">
        <v>0.99007701399071502</v>
      </c>
      <c r="D2552">
        <v>0.98883923589147005</v>
      </c>
      <c r="E2552">
        <v>0.96351147260388903</v>
      </c>
      <c r="F2552">
        <v>0.80517903114649403</v>
      </c>
      <c r="G2552">
        <v>0.78148667683851802</v>
      </c>
      <c r="H2552">
        <v>0.79681483515243001</v>
      </c>
      <c r="I2552">
        <v>0.67170667416024998</v>
      </c>
      <c r="J2552">
        <v>0.71299237634356905</v>
      </c>
      <c r="K2552">
        <v>0.47169000659383498</v>
      </c>
      <c r="L2552">
        <v>405.425912357713</v>
      </c>
      <c r="M2552">
        <v>5.5764067855771797</v>
      </c>
      <c r="O2552">
        <v>64.964229882095594</v>
      </c>
      <c r="P2552">
        <v>-2.1549590901332599E-2</v>
      </c>
      <c r="Q2552">
        <v>0</v>
      </c>
      <c r="R2552">
        <v>0.888626383856427</v>
      </c>
      <c r="S2552" t="s">
        <v>9169</v>
      </c>
      <c r="T2552" t="s">
        <v>13232</v>
      </c>
      <c r="U2552" t="s">
        <v>13232</v>
      </c>
      <c r="V2552" t="s">
        <v>13232</v>
      </c>
      <c r="W2552" t="s">
        <v>15731</v>
      </c>
      <c r="X2552">
        <v>4</v>
      </c>
      <c r="Y2552" t="s">
        <v>22210</v>
      </c>
      <c r="Z2552" t="s">
        <v>28683</v>
      </c>
      <c r="AA2552">
        <v>0.82604286569605745</v>
      </c>
      <c r="AB2552" t="str">
        <f>HYPERLINK("Melting_Curves/meltCurve_P52655_GTF2A1.pdf", "Melting_Curves/meltCurve_P52655_GTF2A1.pdf")</f>
        <v>Melting_Curves/meltCurve_P52655_GTF2A1.pdf</v>
      </c>
    </row>
    <row r="2553" spans="1:28" x14ac:dyDescent="0.25">
      <c r="A2553" t="s">
        <v>2557</v>
      </c>
      <c r="B2553">
        <v>0.99930955844802105</v>
      </c>
      <c r="C2553">
        <v>1.03923294950291</v>
      </c>
      <c r="D2553">
        <v>1.1161662849390701</v>
      </c>
      <c r="E2553">
        <v>0.97390294342665895</v>
      </c>
      <c r="F2553">
        <v>1.08898907877641</v>
      </c>
      <c r="G2553">
        <v>0.85026230058881302</v>
      </c>
      <c r="H2553">
        <v>0.76220761846802598</v>
      </c>
      <c r="I2553">
        <v>0.65828763838690396</v>
      </c>
      <c r="J2553">
        <v>0.52418155283932</v>
      </c>
      <c r="K2553">
        <v>0.22920796677272601</v>
      </c>
      <c r="L2553">
        <v>1047.54083058228</v>
      </c>
      <c r="M2553">
        <v>15.8188985618108</v>
      </c>
      <c r="N2553">
        <v>66.220826143020403</v>
      </c>
      <c r="O2553">
        <v>65.189680022351894</v>
      </c>
      <c r="P2553">
        <v>-6.0669863749815402E-2</v>
      </c>
      <c r="Q2553">
        <v>0</v>
      </c>
      <c r="R2553">
        <v>0.93871993667948805</v>
      </c>
      <c r="S2553" t="s">
        <v>9170</v>
      </c>
      <c r="T2553" t="s">
        <v>13232</v>
      </c>
      <c r="U2553" t="s">
        <v>13232</v>
      </c>
      <c r="V2553" t="s">
        <v>13232</v>
      </c>
      <c r="W2553" t="s">
        <v>15732</v>
      </c>
      <c r="X2553">
        <v>5</v>
      </c>
      <c r="Y2553" t="s">
        <v>22211</v>
      </c>
      <c r="Z2553" t="s">
        <v>28684</v>
      </c>
      <c r="AA2553">
        <v>0.83910524704543143</v>
      </c>
      <c r="AB2553" t="str">
        <f>HYPERLINK("Melting_Curves/meltCurve_P52657_GTF2A2.pdf", "Melting_Curves/meltCurve_P52657_GTF2A2.pdf")</f>
        <v>Melting_Curves/meltCurve_P52657_GTF2A2.pdf</v>
      </c>
    </row>
    <row r="2554" spans="1:28" x14ac:dyDescent="0.25">
      <c r="A2554" t="s">
        <v>2558</v>
      </c>
      <c r="B2554">
        <v>0.99930955844802105</v>
      </c>
      <c r="C2554">
        <v>0.47777115469049602</v>
      </c>
      <c r="D2554">
        <v>0.22051705443133601</v>
      </c>
      <c r="E2554">
        <v>0.19762809765633599</v>
      </c>
      <c r="F2554">
        <v>0.13421295085958401</v>
      </c>
      <c r="G2554">
        <v>0.105510752780879</v>
      </c>
      <c r="H2554">
        <v>7.9862354620915593E-2</v>
      </c>
      <c r="I2554">
        <v>8.8886206004748405E-2</v>
      </c>
      <c r="J2554">
        <v>0.11174667298242801</v>
      </c>
      <c r="K2554">
        <v>7.5467418895971694E-2</v>
      </c>
      <c r="L2554">
        <v>1833.8370976722499</v>
      </c>
      <c r="M2554">
        <v>43.026681097940603</v>
      </c>
      <c r="N2554">
        <v>42.8958752554271</v>
      </c>
      <c r="O2554">
        <v>42.5291700206649</v>
      </c>
      <c r="P2554">
        <v>-0.22244246901850501</v>
      </c>
      <c r="Q2554">
        <v>0.120519765075721</v>
      </c>
      <c r="R2554">
        <v>0.97638780932600999</v>
      </c>
      <c r="S2554" t="s">
        <v>9171</v>
      </c>
      <c r="T2554" t="s">
        <v>13232</v>
      </c>
      <c r="U2554" t="s">
        <v>13232</v>
      </c>
      <c r="V2554" t="s">
        <v>13232</v>
      </c>
      <c r="W2554" t="s">
        <v>15733</v>
      </c>
      <c r="X2554">
        <v>46</v>
      </c>
      <c r="Y2554" t="s">
        <v>22212</v>
      </c>
      <c r="Z2554" t="s">
        <v>28685</v>
      </c>
      <c r="AA2554">
        <v>0.20101253489898621</v>
      </c>
      <c r="AB2554" t="str">
        <f>HYPERLINK("Melting_Curves/meltCurve_P52701_MSH6.pdf", "Melting_Curves/meltCurve_P52701_MSH6.pdf")</f>
        <v>Melting_Curves/meltCurve_P52701_MSH6.pdf</v>
      </c>
    </row>
    <row r="2555" spans="1:28" x14ac:dyDescent="0.25">
      <c r="A2555" t="s">
        <v>2559</v>
      </c>
      <c r="B2555">
        <v>0.99930955844802105</v>
      </c>
      <c r="C2555">
        <v>0.92076674198556296</v>
      </c>
      <c r="D2555">
        <v>0.61891322049914399</v>
      </c>
      <c r="E2555">
        <v>0.33801932755798703</v>
      </c>
      <c r="F2555">
        <v>0.20579976490763899</v>
      </c>
      <c r="G2555">
        <v>0.15126699942744601</v>
      </c>
      <c r="H2555">
        <v>8.7374247123547799E-2</v>
      </c>
      <c r="I2555">
        <v>7.0800174075505401E-2</v>
      </c>
      <c r="J2555">
        <v>6.6530618003512607E-2</v>
      </c>
      <c r="K2555">
        <v>4.9707103146768801E-2</v>
      </c>
      <c r="L2555">
        <v>849.85498248322995</v>
      </c>
      <c r="M2555">
        <v>17.922221023526902</v>
      </c>
      <c r="N2555">
        <v>47.8246442078309</v>
      </c>
      <c r="O2555">
        <v>46.840508797809697</v>
      </c>
      <c r="P2555">
        <v>-8.8916272237197197E-2</v>
      </c>
      <c r="Q2555">
        <v>7.0500085836858198E-2</v>
      </c>
      <c r="R2555">
        <v>0.99427298745939596</v>
      </c>
      <c r="S2555" t="s">
        <v>9172</v>
      </c>
      <c r="T2555" t="s">
        <v>13232</v>
      </c>
      <c r="U2555" t="s">
        <v>13232</v>
      </c>
      <c r="V2555" t="s">
        <v>13232</v>
      </c>
      <c r="W2555" t="s">
        <v>15734</v>
      </c>
      <c r="X2555">
        <v>31</v>
      </c>
      <c r="Y2555" t="s">
        <v>22213</v>
      </c>
      <c r="Z2555" t="s">
        <v>28686</v>
      </c>
      <c r="AA2555">
        <v>0.31735549579637679</v>
      </c>
      <c r="AB2555" t="str">
        <f>HYPERLINK("Melting_Curves/meltCurve_P52732_KIF11.pdf", "Melting_Curves/meltCurve_P52732_KIF11.pdf")</f>
        <v>Melting_Curves/meltCurve_P52732_KIF11.pdf</v>
      </c>
    </row>
    <row r="2556" spans="1:28" x14ac:dyDescent="0.25">
      <c r="A2556" t="s">
        <v>2560</v>
      </c>
      <c r="B2556">
        <v>0.99930955844802105</v>
      </c>
      <c r="C2556">
        <v>1.6225662369097</v>
      </c>
      <c r="D2556">
        <v>1.35762968922597</v>
      </c>
      <c r="E2556">
        <v>0.79719441343688002</v>
      </c>
      <c r="F2556">
        <v>0.36286804989150301</v>
      </c>
      <c r="G2556">
        <v>0.33091789518444198</v>
      </c>
      <c r="H2556">
        <v>0.27129651106703301</v>
      </c>
      <c r="I2556">
        <v>0.21347509623779301</v>
      </c>
      <c r="J2556">
        <v>0.22829828247150899</v>
      </c>
      <c r="K2556">
        <v>0.19698222095495799</v>
      </c>
      <c r="L2556">
        <v>2591.9671751074902</v>
      </c>
      <c r="M2556">
        <v>50.733514178772197</v>
      </c>
      <c r="N2556">
        <v>51.791486453048499</v>
      </c>
      <c r="O2556">
        <v>51.010648983510301</v>
      </c>
      <c r="P2556">
        <v>-0.186843974162342</v>
      </c>
      <c r="Q2556">
        <v>0.24854212132248199</v>
      </c>
      <c r="R2556">
        <v>0.78762934167291798</v>
      </c>
      <c r="S2556" t="s">
        <v>9173</v>
      </c>
      <c r="T2556" t="s">
        <v>13232</v>
      </c>
      <c r="U2556" t="s">
        <v>13232</v>
      </c>
      <c r="V2556" t="s">
        <v>13232</v>
      </c>
      <c r="W2556" t="s">
        <v>15735</v>
      </c>
      <c r="X2556">
        <v>7</v>
      </c>
      <c r="Y2556" t="s">
        <v>22214</v>
      </c>
      <c r="Z2556" t="s">
        <v>28687</v>
      </c>
      <c r="AA2556">
        <v>0.52797162541938347</v>
      </c>
      <c r="AB2556" t="str">
        <f>HYPERLINK("Melting_Curves/meltCurve_P52735_3_VAV2.pdf", "Melting_Curves/meltCurve_P52735_3_VAV2.pdf")</f>
        <v>Melting_Curves/meltCurve_P52735_3_VAV2.pdf</v>
      </c>
    </row>
    <row r="2557" spans="1:28" x14ac:dyDescent="0.25">
      <c r="A2557" t="s">
        <v>2561</v>
      </c>
      <c r="B2557">
        <v>0.99930955844802105</v>
      </c>
      <c r="C2557">
        <v>1.03154566412314</v>
      </c>
      <c r="D2557">
        <v>0.94670918702631701</v>
      </c>
      <c r="E2557">
        <v>0.85228349711749796</v>
      </c>
      <c r="F2557">
        <v>0.71148656435972701</v>
      </c>
      <c r="G2557">
        <v>0.65498652807744395</v>
      </c>
      <c r="H2557">
        <v>0.468008755343709</v>
      </c>
      <c r="I2557">
        <v>0.42081582780924298</v>
      </c>
      <c r="J2557">
        <v>0.348969904555259</v>
      </c>
      <c r="K2557">
        <v>0.203996850865762</v>
      </c>
      <c r="L2557">
        <v>504.21169942806898</v>
      </c>
      <c r="M2557">
        <v>8.3149960603147193</v>
      </c>
      <c r="N2557">
        <v>60.638836882859898</v>
      </c>
      <c r="O2557">
        <v>57.435288959843398</v>
      </c>
      <c r="P2557">
        <v>-3.6228309511377003E-2</v>
      </c>
      <c r="Q2557">
        <v>0</v>
      </c>
      <c r="R2557">
        <v>0.98377536950345401</v>
      </c>
      <c r="S2557" t="s">
        <v>9174</v>
      </c>
      <c r="T2557" t="s">
        <v>13232</v>
      </c>
      <c r="U2557" t="s">
        <v>13232</v>
      </c>
      <c r="V2557" t="s">
        <v>13232</v>
      </c>
      <c r="W2557" t="s">
        <v>15736</v>
      </c>
      <c r="X2557">
        <v>10</v>
      </c>
      <c r="Y2557" t="s">
        <v>22215</v>
      </c>
      <c r="Z2557" t="s">
        <v>28688</v>
      </c>
      <c r="AA2557">
        <v>0.66869842206328678</v>
      </c>
      <c r="AB2557" t="str">
        <f>HYPERLINK("Melting_Curves/meltCurve_P52739_2_ZNF131.pdf", "Melting_Curves/meltCurve_P52739_2_ZNF131.pdf")</f>
        <v>Melting_Curves/meltCurve_P52739_2_ZNF131.pdf</v>
      </c>
    </row>
    <row r="2558" spans="1:28" x14ac:dyDescent="0.25">
      <c r="A2558" t="s">
        <v>2562</v>
      </c>
      <c r="B2558">
        <v>0.99930955844802105</v>
      </c>
      <c r="C2558">
        <v>0.95525730259899599</v>
      </c>
      <c r="D2558">
        <v>0.97449776179963299</v>
      </c>
      <c r="E2558">
        <v>0.92605878539479902</v>
      </c>
      <c r="F2558">
        <v>0.73204560075466196</v>
      </c>
      <c r="G2558">
        <v>0.64300469769716895</v>
      </c>
      <c r="H2558">
        <v>0.58430658860481599</v>
      </c>
      <c r="I2558">
        <v>0.59762332221272596</v>
      </c>
      <c r="J2558">
        <v>0.49209395452263099</v>
      </c>
      <c r="K2558">
        <v>0.43139731031949302</v>
      </c>
      <c r="L2558">
        <v>645.08771097584997</v>
      </c>
      <c r="M2558">
        <v>11.6594299380614</v>
      </c>
      <c r="N2558">
        <v>66.573173591993395</v>
      </c>
      <c r="O2558">
        <v>53.775162524155</v>
      </c>
      <c r="P2558">
        <v>-3.0891981381619901E-2</v>
      </c>
      <c r="Q2558">
        <v>0.43023843609859902</v>
      </c>
      <c r="R2558">
        <v>0.96451371962468302</v>
      </c>
      <c r="S2558" t="s">
        <v>9175</v>
      </c>
      <c r="T2558" t="s">
        <v>13232</v>
      </c>
      <c r="U2558" t="s">
        <v>13232</v>
      </c>
      <c r="V2558" t="s">
        <v>13232</v>
      </c>
      <c r="W2558" t="s">
        <v>15737</v>
      </c>
      <c r="X2558">
        <v>6</v>
      </c>
      <c r="Y2558" t="s">
        <v>22216</v>
      </c>
      <c r="Z2558" t="s">
        <v>28689</v>
      </c>
      <c r="AA2558">
        <v>0.73437078454732496</v>
      </c>
      <c r="AB2558" t="str">
        <f>HYPERLINK("Melting_Curves/meltCurve_P52747_2_ZNF143.pdf", "Melting_Curves/meltCurve_P52747_2_ZNF143.pdf")</f>
        <v>Melting_Curves/meltCurve_P52747_2_ZNF143.pdf</v>
      </c>
    </row>
    <row r="2559" spans="1:28" x14ac:dyDescent="0.25">
      <c r="A2559" t="s">
        <v>2563</v>
      </c>
      <c r="B2559">
        <v>0.99930955844802105</v>
      </c>
      <c r="C2559">
        <v>1.0647047958504201</v>
      </c>
      <c r="D2559">
        <v>1.0565555846538801</v>
      </c>
      <c r="E2559">
        <v>0.99765637883969904</v>
      </c>
      <c r="F2559">
        <v>0.903281123869766</v>
      </c>
      <c r="G2559">
        <v>0.77371288505842095</v>
      </c>
      <c r="H2559">
        <v>0.78334781684275501</v>
      </c>
      <c r="I2559">
        <v>0.80713163891353501</v>
      </c>
      <c r="J2559">
        <v>0.82770451971019998</v>
      </c>
      <c r="K2559">
        <v>0.66481778574774997</v>
      </c>
      <c r="L2559">
        <v>3585.42544480889</v>
      </c>
      <c r="M2559">
        <v>67.333867037615803</v>
      </c>
      <c r="O2559">
        <v>53.201562785377398</v>
      </c>
      <c r="P2559">
        <v>-7.2524025128418296E-2</v>
      </c>
      <c r="Q2559">
        <v>0.77079050877976896</v>
      </c>
      <c r="R2559">
        <v>0.86134527187404497</v>
      </c>
      <c r="S2559" t="s">
        <v>9176</v>
      </c>
      <c r="T2559" t="s">
        <v>13232</v>
      </c>
      <c r="U2559" t="s">
        <v>13232</v>
      </c>
      <c r="V2559" t="s">
        <v>13232</v>
      </c>
      <c r="W2559" t="s">
        <v>15738</v>
      </c>
      <c r="X2559">
        <v>21</v>
      </c>
      <c r="Y2559" t="s">
        <v>22217</v>
      </c>
      <c r="Z2559" t="s">
        <v>28690</v>
      </c>
      <c r="AA2559">
        <v>0.87230913030365431</v>
      </c>
      <c r="AB2559" t="str">
        <f>HYPERLINK("Melting_Curves/meltCurve_P52756_RBM5.pdf", "Melting_Curves/meltCurve_P52756_RBM5.pdf")</f>
        <v>Melting_Curves/meltCurve_P52756_RBM5.pdf</v>
      </c>
    </row>
    <row r="2560" spans="1:28" x14ac:dyDescent="0.25">
      <c r="A2560" t="s">
        <v>2564</v>
      </c>
      <c r="B2560">
        <v>0.99930955844802105</v>
      </c>
      <c r="C2560">
        <v>1.1527072852398801</v>
      </c>
      <c r="D2560">
        <v>1.2530690305785599</v>
      </c>
      <c r="E2560">
        <v>1.1072479784287901</v>
      </c>
      <c r="F2560">
        <v>1.0320533720120399</v>
      </c>
      <c r="G2560">
        <v>0.91321049633304496</v>
      </c>
      <c r="H2560">
        <v>0.98486854176379401</v>
      </c>
      <c r="I2560">
        <v>0.90380873902161996</v>
      </c>
      <c r="J2560">
        <v>0.95580672986508097</v>
      </c>
      <c r="K2560">
        <v>0.684518531836531</v>
      </c>
      <c r="L2560">
        <v>2611.36788556805</v>
      </c>
      <c r="M2560">
        <v>36.502689586760297</v>
      </c>
      <c r="Q2560">
        <v>0</v>
      </c>
      <c r="R2560">
        <v>0.47059021612936902</v>
      </c>
      <c r="S2560" t="s">
        <v>9177</v>
      </c>
      <c r="T2560" t="s">
        <v>13232</v>
      </c>
      <c r="U2560" t="s">
        <v>13232</v>
      </c>
      <c r="V2560" t="s">
        <v>13232</v>
      </c>
      <c r="W2560" t="s">
        <v>15739</v>
      </c>
      <c r="X2560">
        <v>8</v>
      </c>
      <c r="Y2560" t="s">
        <v>22218</v>
      </c>
      <c r="Z2560" t="s">
        <v>28691</v>
      </c>
      <c r="AA2560">
        <v>0.97809617146622096</v>
      </c>
      <c r="AB2560" t="str">
        <f>HYPERLINK("Melting_Curves/meltCurve_P52758_HRSP12.pdf", "Melting_Curves/meltCurve_P52758_HRSP12.pdf")</f>
        <v>Melting_Curves/meltCurve_P52758_HRSP12.pdf</v>
      </c>
    </row>
    <row r="2561" spans="1:28" x14ac:dyDescent="0.25">
      <c r="A2561" t="s">
        <v>2565</v>
      </c>
      <c r="B2561">
        <v>0.99930955844802105</v>
      </c>
      <c r="C2561">
        <v>1.04239992267224</v>
      </c>
      <c r="D2561">
        <v>1.0345970602909</v>
      </c>
      <c r="E2561">
        <v>0.98750615811282505</v>
      </c>
      <c r="F2561">
        <v>0.94785600267665004</v>
      </c>
      <c r="G2561">
        <v>0.77650418779361996</v>
      </c>
      <c r="H2561">
        <v>0.433034301922469</v>
      </c>
      <c r="I2561">
        <v>0.135712309816372</v>
      </c>
      <c r="J2561">
        <v>8.7032126267095E-2</v>
      </c>
      <c r="K2561">
        <v>7.1166533681419897E-2</v>
      </c>
      <c r="L2561">
        <v>1531.75866395195</v>
      </c>
      <c r="M2561">
        <v>25.596575630724399</v>
      </c>
      <c r="N2561">
        <v>59.974152608753002</v>
      </c>
      <c r="O2561">
        <v>59.480655738618999</v>
      </c>
      <c r="P2561">
        <v>-0.104642261644321</v>
      </c>
      <c r="Q2561">
        <v>2.7352062068854099E-2</v>
      </c>
      <c r="R2561">
        <v>0.99542155132653998</v>
      </c>
      <c r="S2561" t="s">
        <v>9178</v>
      </c>
      <c r="T2561" t="s">
        <v>13232</v>
      </c>
      <c r="U2561" t="s">
        <v>13232</v>
      </c>
      <c r="V2561" t="s">
        <v>13232</v>
      </c>
      <c r="W2561" t="s">
        <v>15740</v>
      </c>
      <c r="X2561">
        <v>29</v>
      </c>
      <c r="Y2561" t="s">
        <v>22219</v>
      </c>
      <c r="Z2561" t="s">
        <v>28692</v>
      </c>
      <c r="AA2561">
        <v>0.67786425738463574</v>
      </c>
      <c r="AB2561" t="str">
        <f>HYPERLINK("Melting_Curves/meltCurve_P52788_SMS.pdf", "Melting_Curves/meltCurve_P52788_SMS.pdf")</f>
        <v>Melting_Curves/meltCurve_P52788_SMS.pdf</v>
      </c>
    </row>
    <row r="2562" spans="1:28" x14ac:dyDescent="0.25">
      <c r="A2562" t="s">
        <v>2566</v>
      </c>
      <c r="B2562">
        <v>0.99930955844802105</v>
      </c>
      <c r="C2562">
        <v>0.71876227516362701</v>
      </c>
      <c r="D2562">
        <v>0.40049583721389898</v>
      </c>
      <c r="E2562">
        <v>0.27232161539795302</v>
      </c>
      <c r="F2562">
        <v>0.13462932034192401</v>
      </c>
      <c r="G2562">
        <v>0.100340595120335</v>
      </c>
      <c r="H2562">
        <v>6.13941340923118E-2</v>
      </c>
      <c r="I2562">
        <v>5.2686358802964503E-2</v>
      </c>
      <c r="J2562">
        <v>4.7913701853425403E-2</v>
      </c>
      <c r="K2562">
        <v>3.71651692914454E-2</v>
      </c>
      <c r="L2562">
        <v>799.30869100979305</v>
      </c>
      <c r="M2562">
        <v>17.691604678455299</v>
      </c>
      <c r="N2562">
        <v>45.503983874524003</v>
      </c>
      <c r="O2562">
        <v>44.614722128240302</v>
      </c>
      <c r="P2562">
        <v>-9.3275775952109299E-2</v>
      </c>
      <c r="Q2562">
        <v>5.91575819508618E-2</v>
      </c>
      <c r="R2562">
        <v>0.98302528494114505</v>
      </c>
      <c r="S2562" t="s">
        <v>9179</v>
      </c>
      <c r="T2562" t="s">
        <v>13232</v>
      </c>
      <c r="U2562" t="s">
        <v>13232</v>
      </c>
      <c r="V2562" t="s">
        <v>13232</v>
      </c>
      <c r="W2562" t="s">
        <v>15741</v>
      </c>
      <c r="X2562">
        <v>42</v>
      </c>
      <c r="Y2562" t="s">
        <v>22220</v>
      </c>
      <c r="Z2562" t="s">
        <v>28693</v>
      </c>
      <c r="AA2562">
        <v>0.24230089122095169</v>
      </c>
      <c r="AB2562" t="str">
        <f>HYPERLINK("Melting_Curves/meltCurve_P52789_HK2.pdf", "Melting_Curves/meltCurve_P52789_HK2.pdf")</f>
        <v>Melting_Curves/meltCurve_P52789_HK2.pdf</v>
      </c>
    </row>
    <row r="2563" spans="1:28" x14ac:dyDescent="0.25">
      <c r="A2563" t="s">
        <v>2567</v>
      </c>
      <c r="B2563">
        <v>0.99930955844802105</v>
      </c>
      <c r="C2563">
        <v>1.09198162932641</v>
      </c>
      <c r="D2563">
        <v>1.04188784133433</v>
      </c>
      <c r="E2563">
        <v>0.97304583967571201</v>
      </c>
      <c r="F2563">
        <v>0.78014368468763495</v>
      </c>
      <c r="G2563">
        <v>0.66395565817295898</v>
      </c>
      <c r="H2563">
        <v>0.681077957328039</v>
      </c>
      <c r="I2563">
        <v>0.747874681307787</v>
      </c>
      <c r="J2563">
        <v>1.0370047039082599</v>
      </c>
      <c r="K2563">
        <v>0.67264459048145797</v>
      </c>
      <c r="L2563">
        <v>4052.24115823803</v>
      </c>
      <c r="M2563">
        <v>78.956923227250698</v>
      </c>
      <c r="O2563">
        <v>51.289277213728703</v>
      </c>
      <c r="P2563">
        <v>-9.20886335155333E-2</v>
      </c>
      <c r="Q2563">
        <v>0.76072222257917099</v>
      </c>
      <c r="R2563">
        <v>0.59799241065632402</v>
      </c>
      <c r="S2563" t="s">
        <v>9180</v>
      </c>
      <c r="T2563" t="s">
        <v>13232</v>
      </c>
      <c r="U2563" t="s">
        <v>13232</v>
      </c>
      <c r="V2563" t="s">
        <v>13232</v>
      </c>
      <c r="W2563" t="s">
        <v>15742</v>
      </c>
      <c r="X2563">
        <v>5</v>
      </c>
      <c r="Y2563" t="s">
        <v>22221</v>
      </c>
      <c r="Z2563" t="s">
        <v>28694</v>
      </c>
      <c r="AA2563">
        <v>0.85124356073523433</v>
      </c>
      <c r="AB2563" t="str">
        <f>HYPERLINK("Melting_Curves/meltCurve_P52815_MRPL12.pdf", "Melting_Curves/meltCurve_P52815_MRPL12.pdf")</f>
        <v>Melting_Curves/meltCurve_P52815_MRPL12.pdf</v>
      </c>
    </row>
    <row r="2564" spans="1:28" x14ac:dyDescent="0.25">
      <c r="A2564" t="s">
        <v>2568</v>
      </c>
      <c r="B2564">
        <v>0.99930955844802105</v>
      </c>
      <c r="C2564">
        <v>1.33248634785856</v>
      </c>
      <c r="D2564">
        <v>0.96096252041448604</v>
      </c>
      <c r="E2564">
        <v>0.55262907498830005</v>
      </c>
      <c r="F2564">
        <v>0.48853760651552203</v>
      </c>
      <c r="G2564">
        <v>0.47980490094585798</v>
      </c>
      <c r="H2564">
        <v>0.43383774084538401</v>
      </c>
      <c r="I2564">
        <v>0.52433242932048796</v>
      </c>
      <c r="J2564">
        <v>0.44059550831643401</v>
      </c>
      <c r="K2564">
        <v>0.33710180289351599</v>
      </c>
      <c r="L2564">
        <v>2457.1400797343099</v>
      </c>
      <c r="M2564">
        <v>50.571695791397701</v>
      </c>
      <c r="N2564">
        <v>50.880891312132697</v>
      </c>
      <c r="O2564">
        <v>48.511452593263201</v>
      </c>
      <c r="P2564">
        <v>-0.14364132007226901</v>
      </c>
      <c r="Q2564">
        <v>0.44884227926030101</v>
      </c>
      <c r="R2564">
        <v>0.86202298575984404</v>
      </c>
      <c r="S2564" t="s">
        <v>9181</v>
      </c>
      <c r="T2564" t="s">
        <v>13232</v>
      </c>
      <c r="U2564" t="s">
        <v>13232</v>
      </c>
      <c r="V2564" t="s">
        <v>13232</v>
      </c>
      <c r="W2564" t="s">
        <v>15743</v>
      </c>
      <c r="X2564">
        <v>7</v>
      </c>
      <c r="Y2564" t="s">
        <v>22222</v>
      </c>
      <c r="Z2564" t="s">
        <v>28695</v>
      </c>
      <c r="AA2564">
        <v>0.60776150640197135</v>
      </c>
      <c r="AB2564" t="str">
        <f>HYPERLINK("Melting_Curves/meltCurve_P52824_DGKQ.pdf", "Melting_Curves/meltCurve_P52824_DGKQ.pdf")</f>
        <v>Melting_Curves/meltCurve_P52824_DGKQ.pdf</v>
      </c>
    </row>
    <row r="2565" spans="1:28" x14ac:dyDescent="0.25">
      <c r="A2565" t="s">
        <v>2569</v>
      </c>
      <c r="B2565">
        <v>0.99930955844802105</v>
      </c>
      <c r="C2565">
        <v>1.0761042133996399</v>
      </c>
      <c r="D2565">
        <v>1.0383286728043699</v>
      </c>
      <c r="E2565">
        <v>0.94306181327709904</v>
      </c>
      <c r="F2565">
        <v>0.87757356878557902</v>
      </c>
      <c r="G2565">
        <v>0.74319925350801996</v>
      </c>
      <c r="H2565">
        <v>0.54128748785487901</v>
      </c>
      <c r="I2565">
        <v>0.25670665035828399</v>
      </c>
      <c r="J2565">
        <v>0.114142706069382</v>
      </c>
      <c r="K2565">
        <v>8.8145758413970501E-2</v>
      </c>
      <c r="L2565">
        <v>1069.26028293478</v>
      </c>
      <c r="M2565">
        <v>17.6360394406952</v>
      </c>
      <c r="N2565">
        <v>60.6292752541951</v>
      </c>
      <c r="O2565">
        <v>59.865862873097903</v>
      </c>
      <c r="P2565">
        <v>-7.3652085570922704E-2</v>
      </c>
      <c r="Q2565">
        <v>0</v>
      </c>
      <c r="R2565">
        <v>0.986407970086013</v>
      </c>
      <c r="S2565" t="s">
        <v>9182</v>
      </c>
      <c r="T2565" t="s">
        <v>13232</v>
      </c>
      <c r="U2565" t="s">
        <v>13232</v>
      </c>
      <c r="V2565" t="s">
        <v>13232</v>
      </c>
      <c r="W2565" t="s">
        <v>15744</v>
      </c>
      <c r="X2565">
        <v>45</v>
      </c>
      <c r="Y2565" t="s">
        <v>22223</v>
      </c>
      <c r="Z2565" t="s">
        <v>28696</v>
      </c>
      <c r="AA2565">
        <v>0.69396041187795732</v>
      </c>
      <c r="AB2565" t="str">
        <f>HYPERLINK("Melting_Curves/meltCurve_P52888_THOP1.pdf", "Melting_Curves/meltCurve_P52888_THOP1.pdf")</f>
        <v>Melting_Curves/meltCurve_P52888_THOP1.pdf</v>
      </c>
    </row>
    <row r="2566" spans="1:28" x14ac:dyDescent="0.25">
      <c r="A2566" t="s">
        <v>2570</v>
      </c>
      <c r="B2566">
        <v>0.99930955844802105</v>
      </c>
      <c r="C2566">
        <v>1.0843755959864401</v>
      </c>
      <c r="D2566">
        <v>1.0139138732211399</v>
      </c>
      <c r="E2566">
        <v>1.07263502614549</v>
      </c>
      <c r="F2566">
        <v>1.02797099223469</v>
      </c>
      <c r="G2566">
        <v>0.805317458764787</v>
      </c>
      <c r="H2566">
        <v>0.50335920162956604</v>
      </c>
      <c r="I2566">
        <v>0.182657625409678</v>
      </c>
      <c r="J2566">
        <v>8.6551727724068703E-2</v>
      </c>
      <c r="K2566">
        <v>7.1385228966380804E-2</v>
      </c>
      <c r="L2566">
        <v>1644.6711478565801</v>
      </c>
      <c r="M2566">
        <v>27.161227483368702</v>
      </c>
      <c r="N2566">
        <v>60.687310079034297</v>
      </c>
      <c r="O2566">
        <v>60.226810623157803</v>
      </c>
      <c r="P2566">
        <v>-0.109438033508684</v>
      </c>
      <c r="Q2566">
        <v>2.9346170223900299E-2</v>
      </c>
      <c r="R2566">
        <v>0.98808883822066895</v>
      </c>
      <c r="S2566" t="s">
        <v>9183</v>
      </c>
      <c r="T2566" t="s">
        <v>13232</v>
      </c>
      <c r="U2566" t="s">
        <v>13232</v>
      </c>
      <c r="V2566" t="s">
        <v>13232</v>
      </c>
      <c r="W2566" t="s">
        <v>15745</v>
      </c>
      <c r="X2566">
        <v>18</v>
      </c>
      <c r="Y2566" t="s">
        <v>22224</v>
      </c>
      <c r="Z2566" t="s">
        <v>28697</v>
      </c>
      <c r="AA2566">
        <v>0.70054608431109933</v>
      </c>
      <c r="AB2566" t="str">
        <f>HYPERLINK("Melting_Curves/meltCurve_P52907_CAPZA1.pdf", "Melting_Curves/meltCurve_P52907_CAPZA1.pdf")</f>
        <v>Melting_Curves/meltCurve_P52907_CAPZA1.pdf</v>
      </c>
    </row>
    <row r="2567" spans="1:28" x14ac:dyDescent="0.25">
      <c r="A2567" t="s">
        <v>2571</v>
      </c>
      <c r="B2567">
        <v>0.99930955844802105</v>
      </c>
      <c r="C2567">
        <v>0.850701624972653</v>
      </c>
      <c r="D2567">
        <v>0.76729269354765495</v>
      </c>
      <c r="E2567">
        <v>0.54096162341891096</v>
      </c>
      <c r="F2567">
        <v>0.35701215015611198</v>
      </c>
      <c r="G2567">
        <v>0.302896958378085</v>
      </c>
      <c r="H2567">
        <v>0.28098094473923801</v>
      </c>
      <c r="I2567">
        <v>0.30266491106666799</v>
      </c>
      <c r="J2567">
        <v>0.29309263763679499</v>
      </c>
      <c r="K2567">
        <v>0.241445839012352</v>
      </c>
      <c r="L2567">
        <v>761.39898834465805</v>
      </c>
      <c r="M2567">
        <v>15.888335238095699</v>
      </c>
      <c r="N2567">
        <v>50.260536520629202</v>
      </c>
      <c r="O2567">
        <v>47.182001266456702</v>
      </c>
      <c r="P2567">
        <v>-6.2195675949123203E-2</v>
      </c>
      <c r="Q2567">
        <v>0.26127433395694</v>
      </c>
      <c r="R2567">
        <v>0.98862513515697603</v>
      </c>
      <c r="S2567" t="s">
        <v>9184</v>
      </c>
      <c r="T2567" t="s">
        <v>13232</v>
      </c>
      <c r="U2567" t="s">
        <v>13232</v>
      </c>
      <c r="V2567" t="s">
        <v>13232</v>
      </c>
      <c r="W2567" t="s">
        <v>15746</v>
      </c>
      <c r="X2567">
        <v>30</v>
      </c>
      <c r="Y2567" t="s">
        <v>22225</v>
      </c>
      <c r="Z2567" t="s">
        <v>28698</v>
      </c>
      <c r="AA2567">
        <v>0.47334373797764562</v>
      </c>
      <c r="AB2567" t="str">
        <f>HYPERLINK("Melting_Curves/meltCurve_P52948_5_NUP98.pdf", "Melting_Curves/meltCurve_P52948_5_NUP98.pdf")</f>
        <v>Melting_Curves/meltCurve_P52948_5_NUP98.pdf</v>
      </c>
    </row>
    <row r="2568" spans="1:28" x14ac:dyDescent="0.25">
      <c r="A2568" t="s">
        <v>2572</v>
      </c>
      <c r="B2568">
        <v>0.99930955844802105</v>
      </c>
      <c r="C2568">
        <v>1.0738001459592601</v>
      </c>
      <c r="D2568">
        <v>1.1181740900416299</v>
      </c>
      <c r="E2568">
        <v>1.0171980736747099</v>
      </c>
      <c r="F2568">
        <v>0.41297478664847198</v>
      </c>
      <c r="G2568">
        <v>0.160684734019097</v>
      </c>
      <c r="H2568">
        <v>8.9339544289666603E-2</v>
      </c>
      <c r="I2568">
        <v>7.1329423042828202E-2</v>
      </c>
      <c r="J2568">
        <v>6.4951457142555902E-2</v>
      </c>
      <c r="K2568">
        <v>5.0303285980113403E-2</v>
      </c>
      <c r="L2568">
        <v>13218.770554729501</v>
      </c>
      <c r="M2568">
        <v>250</v>
      </c>
      <c r="N2568">
        <v>52.915711330566999</v>
      </c>
      <c r="O2568">
        <v>52.871698393878198</v>
      </c>
      <c r="P2568">
        <v>-1.07888334397759</v>
      </c>
      <c r="Q2568">
        <v>8.7321681887197702E-2</v>
      </c>
      <c r="R2568">
        <v>0.98700349939210896</v>
      </c>
      <c r="S2568" t="s">
        <v>9185</v>
      </c>
      <c r="T2568" t="s">
        <v>13232</v>
      </c>
      <c r="U2568" t="s">
        <v>13232</v>
      </c>
      <c r="V2568" t="s">
        <v>13232</v>
      </c>
      <c r="W2568" t="s">
        <v>15747</v>
      </c>
      <c r="X2568">
        <v>16</v>
      </c>
      <c r="Y2568" t="s">
        <v>22226</v>
      </c>
      <c r="Z2568" t="s">
        <v>28699</v>
      </c>
      <c r="AA2568">
        <v>0.47909998666032222</v>
      </c>
      <c r="AB2568" t="str">
        <f>HYPERLINK("Melting_Curves/meltCurve_P53004_BLVRA.pdf", "Melting_Curves/meltCurve_P53004_BLVRA.pdf")</f>
        <v>Melting_Curves/meltCurve_P53004_BLVRA.pdf</v>
      </c>
    </row>
    <row r="2569" spans="1:28" x14ac:dyDescent="0.25">
      <c r="A2569" t="s">
        <v>2573</v>
      </c>
      <c r="B2569">
        <v>0.99930955844802105</v>
      </c>
      <c r="C2569">
        <v>0.85990260446755595</v>
      </c>
      <c r="D2569">
        <v>0.71126809472266905</v>
      </c>
      <c r="E2569">
        <v>0.464948925384495</v>
      </c>
      <c r="F2569">
        <v>0.24175111854587999</v>
      </c>
      <c r="G2569">
        <v>0.14529840515290099</v>
      </c>
      <c r="H2569">
        <v>9.1725230792187695E-2</v>
      </c>
      <c r="I2569">
        <v>8.4195233732774696E-2</v>
      </c>
      <c r="J2569">
        <v>6.7630360788669006E-2</v>
      </c>
      <c r="K2569">
        <v>6.2320942493510702E-2</v>
      </c>
      <c r="L2569">
        <v>722.92738140486495</v>
      </c>
      <c r="M2569">
        <v>14.852478070369701</v>
      </c>
      <c r="N2569">
        <v>49.023704628193698</v>
      </c>
      <c r="O2569">
        <v>47.817048762699699</v>
      </c>
      <c r="P2569">
        <v>-7.3755689867334606E-2</v>
      </c>
      <c r="Q2569">
        <v>5.0284037838764298E-2</v>
      </c>
      <c r="R2569">
        <v>0.99671833415362898</v>
      </c>
      <c r="S2569" t="s">
        <v>9186</v>
      </c>
      <c r="T2569" t="s">
        <v>13232</v>
      </c>
      <c r="U2569" t="s">
        <v>13232</v>
      </c>
      <c r="V2569" t="s">
        <v>13232</v>
      </c>
      <c r="W2569" t="s">
        <v>15748</v>
      </c>
      <c r="X2569">
        <v>6</v>
      </c>
      <c r="Y2569" t="s">
        <v>22227</v>
      </c>
      <c r="Z2569" t="s">
        <v>28700</v>
      </c>
      <c r="AA2569">
        <v>0.34906255446632978</v>
      </c>
      <c r="AB2569" t="str">
        <f>HYPERLINK("Melting_Curves/meltCurve_P53350_PLK1.pdf", "Melting_Curves/meltCurve_P53350_PLK1.pdf")</f>
        <v>Melting_Curves/meltCurve_P53350_PLK1.pdf</v>
      </c>
    </row>
    <row r="2570" spans="1:28" x14ac:dyDescent="0.25">
      <c r="A2570" t="s">
        <v>2574</v>
      </c>
      <c r="B2570">
        <v>0.99930955844802105</v>
      </c>
      <c r="C2570">
        <v>0.98171559866635705</v>
      </c>
      <c r="D2570">
        <v>0.96156896312429296</v>
      </c>
      <c r="E2570">
        <v>0.708500806840485</v>
      </c>
      <c r="F2570">
        <v>0.27557178886211597</v>
      </c>
      <c r="G2570">
        <v>0.126029626393902</v>
      </c>
      <c r="H2570">
        <v>7.1044935558707001E-2</v>
      </c>
      <c r="I2570">
        <v>6.2355565782079597E-2</v>
      </c>
      <c r="J2570">
        <v>5.6184099747845502E-2</v>
      </c>
      <c r="K2570">
        <v>4.2573718461400303E-2</v>
      </c>
      <c r="L2570">
        <v>1650.7606387128601</v>
      </c>
      <c r="M2570">
        <v>32.269918594327102</v>
      </c>
      <c r="N2570">
        <v>51.363744332131297</v>
      </c>
      <c r="O2570">
        <v>50.9595370120391</v>
      </c>
      <c r="P2570">
        <v>-0.14857360796556199</v>
      </c>
      <c r="Q2570">
        <v>6.1515425911597497E-2</v>
      </c>
      <c r="R2570">
        <v>0.99864866489030701</v>
      </c>
      <c r="S2570" t="s">
        <v>9187</v>
      </c>
      <c r="T2570" t="s">
        <v>13232</v>
      </c>
      <c r="U2570" t="s">
        <v>13232</v>
      </c>
      <c r="V2570" t="s">
        <v>13232</v>
      </c>
      <c r="W2570" t="s">
        <v>15749</v>
      </c>
      <c r="X2570">
        <v>14</v>
      </c>
      <c r="Y2570" t="s">
        <v>22228</v>
      </c>
      <c r="Z2570" t="s">
        <v>28701</v>
      </c>
      <c r="AA2570">
        <v>0.41557966209064878</v>
      </c>
      <c r="AB2570" t="str">
        <f>HYPERLINK("Melting_Curves/meltCurve_P53365_ARFIP2.pdf", "Melting_Curves/meltCurve_P53365_ARFIP2.pdf")</f>
        <v>Melting_Curves/meltCurve_P53365_ARFIP2.pdf</v>
      </c>
    </row>
    <row r="2571" spans="1:28" x14ac:dyDescent="0.25">
      <c r="A2571" t="s">
        <v>2575</v>
      </c>
      <c r="B2571">
        <v>0.99930955844802105</v>
      </c>
      <c r="C2571">
        <v>0.99941014246735405</v>
      </c>
      <c r="D2571">
        <v>0.91643400567141597</v>
      </c>
      <c r="E2571">
        <v>0.91000508718657802</v>
      </c>
      <c r="F2571">
        <v>0.66786068038970303</v>
      </c>
      <c r="G2571">
        <v>0.40244161633325598</v>
      </c>
      <c r="H2571">
        <v>0.32504007003734398</v>
      </c>
      <c r="I2571">
        <v>0.33150215471338701</v>
      </c>
      <c r="J2571">
        <v>0.28336771866563998</v>
      </c>
      <c r="K2571">
        <v>0.23637652775069501</v>
      </c>
      <c r="L2571">
        <v>1229.3281068338599</v>
      </c>
      <c r="M2571">
        <v>22.9807336998987</v>
      </c>
      <c r="N2571">
        <v>55.411071071027997</v>
      </c>
      <c r="O2571">
        <v>53.093730574229703</v>
      </c>
      <c r="P2571">
        <v>-7.8534910160238502E-2</v>
      </c>
      <c r="Q2571">
        <v>0.27423848068441598</v>
      </c>
      <c r="R2571">
        <v>0.99022553974022198</v>
      </c>
      <c r="S2571" t="s">
        <v>9188</v>
      </c>
      <c r="T2571" t="s">
        <v>13232</v>
      </c>
      <c r="U2571" t="s">
        <v>13232</v>
      </c>
      <c r="V2571" t="s">
        <v>13232</v>
      </c>
      <c r="W2571" t="s">
        <v>15750</v>
      </c>
      <c r="X2571">
        <v>12</v>
      </c>
      <c r="Y2571" t="s">
        <v>22229</v>
      </c>
      <c r="Z2571" t="s">
        <v>28702</v>
      </c>
      <c r="AA2571">
        <v>0.60849594967652387</v>
      </c>
      <c r="AB2571" t="str">
        <f>HYPERLINK("Melting_Curves/meltCurve_P53367_ARFIP1.pdf", "Melting_Curves/meltCurve_P53367_ARFIP1.pdf")</f>
        <v>Melting_Curves/meltCurve_P53367_ARFIP1.pdf</v>
      </c>
    </row>
    <row r="2572" spans="1:28" x14ac:dyDescent="0.25">
      <c r="A2572" t="s">
        <v>2576</v>
      </c>
      <c r="B2572">
        <v>0.99930955844802105</v>
      </c>
      <c r="C2572">
        <v>1.1094883392339701</v>
      </c>
      <c r="D2572">
        <v>1.07396299418385</v>
      </c>
      <c r="E2572">
        <v>0.79275308818730905</v>
      </c>
      <c r="F2572">
        <v>0.33681259881361097</v>
      </c>
      <c r="G2572">
        <v>0.246421535693649</v>
      </c>
      <c r="H2572">
        <v>0.16917444361286099</v>
      </c>
      <c r="I2572">
        <v>0.145971597494228</v>
      </c>
      <c r="J2572">
        <v>0.12805734414043399</v>
      </c>
      <c r="K2572">
        <v>0.102328899926827</v>
      </c>
      <c r="L2572">
        <v>2067.2378743044001</v>
      </c>
      <c r="M2572">
        <v>40.210085072694703</v>
      </c>
      <c r="N2572">
        <v>51.8816746189637</v>
      </c>
      <c r="O2572">
        <v>51.284265946512299</v>
      </c>
      <c r="P2572">
        <v>-0.16605666480418901</v>
      </c>
      <c r="Q2572">
        <v>0.15284172158017001</v>
      </c>
      <c r="R2572">
        <v>0.98295432057479504</v>
      </c>
      <c r="S2572" t="s">
        <v>9189</v>
      </c>
      <c r="T2572" t="s">
        <v>13232</v>
      </c>
      <c r="U2572" t="s">
        <v>13232</v>
      </c>
      <c r="V2572" t="s">
        <v>13232</v>
      </c>
      <c r="W2572" t="s">
        <v>15751</v>
      </c>
      <c r="X2572">
        <v>12</v>
      </c>
      <c r="Y2572" t="s">
        <v>22229</v>
      </c>
      <c r="Z2572" t="s">
        <v>28703</v>
      </c>
      <c r="AA2572">
        <v>0.4780488075823236</v>
      </c>
      <c r="AB2572" t="str">
        <f>HYPERLINK("Melting_Curves/meltCurve_P53367_2_ARFIP1.pdf", "Melting_Curves/meltCurve_P53367_2_ARFIP1.pdf")</f>
        <v>Melting_Curves/meltCurve_P53367_2_ARFIP1.pdf</v>
      </c>
    </row>
    <row r="2573" spans="1:28" x14ac:dyDescent="0.25">
      <c r="A2573" t="s">
        <v>2577</v>
      </c>
      <c r="B2573">
        <v>0.99930955844802105</v>
      </c>
      <c r="C2573">
        <v>1.0029637694240501</v>
      </c>
      <c r="D2573">
        <v>0.90975586468084102</v>
      </c>
      <c r="E2573">
        <v>0.570184627484847</v>
      </c>
      <c r="F2573">
        <v>0.25635408359397899</v>
      </c>
      <c r="G2573">
        <v>0.15845707452496799</v>
      </c>
      <c r="H2573">
        <v>8.7639931650679195E-2</v>
      </c>
      <c r="I2573">
        <v>5.6698132025474302E-2</v>
      </c>
      <c r="J2573">
        <v>5.0408313436449199E-2</v>
      </c>
      <c r="K2573">
        <v>4.0692882700858003E-2</v>
      </c>
      <c r="L2573">
        <v>1181.529217126</v>
      </c>
      <c r="M2573">
        <v>23.475243963217999</v>
      </c>
      <c r="N2573">
        <v>50.6003074181763</v>
      </c>
      <c r="O2573">
        <v>49.969899035628004</v>
      </c>
      <c r="P2573">
        <v>-0.110548333451012</v>
      </c>
      <c r="Q2573">
        <v>5.8754213721421401E-2</v>
      </c>
      <c r="R2573">
        <v>0.99773598381730799</v>
      </c>
      <c r="S2573" t="s">
        <v>9190</v>
      </c>
      <c r="T2573" t="s">
        <v>13232</v>
      </c>
      <c r="U2573" t="s">
        <v>13232</v>
      </c>
      <c r="V2573" t="s">
        <v>13232</v>
      </c>
      <c r="W2573" t="s">
        <v>15752</v>
      </c>
      <c r="X2573">
        <v>7</v>
      </c>
      <c r="Y2573" t="s">
        <v>22230</v>
      </c>
      <c r="Z2573" t="s">
        <v>28704</v>
      </c>
      <c r="AA2573">
        <v>0.39245097549334312</v>
      </c>
      <c r="AB2573" t="str">
        <f>HYPERLINK("Melting_Curves/meltCurve_P53384_2_NUBP1.pdf", "Melting_Curves/meltCurve_P53384_2_NUBP1.pdf")</f>
        <v>Melting_Curves/meltCurve_P53384_2_NUBP1.pdf</v>
      </c>
    </row>
    <row r="2574" spans="1:28" x14ac:dyDescent="0.25">
      <c r="A2574" t="s">
        <v>2578</v>
      </c>
      <c r="B2574">
        <v>0.99930955844802105</v>
      </c>
      <c r="C2574">
        <v>1.04263911285349</v>
      </c>
      <c r="D2574">
        <v>0.91225339775466896</v>
      </c>
      <c r="E2574">
        <v>0.81223861571718703</v>
      </c>
      <c r="F2574">
        <v>0.68550845294296703</v>
      </c>
      <c r="G2574">
        <v>0.64554209659096895</v>
      </c>
      <c r="H2574">
        <v>0.61385889362324697</v>
      </c>
      <c r="I2574">
        <v>0.74391825257146205</v>
      </c>
      <c r="J2574">
        <v>0.67176724433956003</v>
      </c>
      <c r="K2574">
        <v>0.58992270231308297</v>
      </c>
      <c r="L2574">
        <v>1208.1428170756999</v>
      </c>
      <c r="M2574">
        <v>24.5643411068273</v>
      </c>
      <c r="O2574">
        <v>48.860312378782801</v>
      </c>
      <c r="P2574">
        <v>-4.4092904000648199E-2</v>
      </c>
      <c r="Q2574">
        <v>0.64918871774919396</v>
      </c>
      <c r="R2574">
        <v>0.92027223329590702</v>
      </c>
      <c r="S2574" t="s">
        <v>9191</v>
      </c>
      <c r="T2574" t="s">
        <v>13232</v>
      </c>
      <c r="U2574" t="s">
        <v>13232</v>
      </c>
      <c r="V2574" t="s">
        <v>13232</v>
      </c>
      <c r="W2574" t="s">
        <v>15753</v>
      </c>
      <c r="X2574">
        <v>1</v>
      </c>
      <c r="Y2574" t="s">
        <v>22231</v>
      </c>
      <c r="Z2574" t="s">
        <v>28705</v>
      </c>
      <c r="AA2574">
        <v>0.75979644728098561</v>
      </c>
      <c r="AB2574" t="str">
        <f>HYPERLINK("Melting_Curves/meltCurve_P53567_CEBPG.pdf", "Melting_Curves/meltCurve_P53567_CEBPG.pdf")</f>
        <v>Melting_Curves/meltCurve_P53567_CEBPG.pdf</v>
      </c>
    </row>
    <row r="2575" spans="1:28" x14ac:dyDescent="0.25">
      <c r="A2575" t="s">
        <v>2579</v>
      </c>
      <c r="B2575">
        <v>0.99930955844802105</v>
      </c>
      <c r="C2575">
        <v>0.95822692726467196</v>
      </c>
      <c r="D2575">
        <v>0.40832344957592598</v>
      </c>
      <c r="E2575">
        <v>0.26856620327213998</v>
      </c>
      <c r="F2575">
        <v>0.222153063918437</v>
      </c>
      <c r="G2575">
        <v>0.19812162597364799</v>
      </c>
      <c r="H2575">
        <v>0.184309557146947</v>
      </c>
      <c r="I2575">
        <v>0.18338831490811999</v>
      </c>
      <c r="J2575">
        <v>0.15559093549288899</v>
      </c>
      <c r="K2575">
        <v>0.13252639149078299</v>
      </c>
      <c r="L2575">
        <v>2334.6533218455402</v>
      </c>
      <c r="M2575">
        <v>51.721643167027402</v>
      </c>
      <c r="N2575">
        <v>45.562091306796603</v>
      </c>
      <c r="O2575">
        <v>45.071481779199502</v>
      </c>
      <c r="P2575">
        <v>-0.23215901303183401</v>
      </c>
      <c r="Q2575">
        <v>0.19076484834065</v>
      </c>
      <c r="R2575">
        <v>0.98862266227239903</v>
      </c>
      <c r="S2575" t="s">
        <v>9192</v>
      </c>
      <c r="T2575" t="s">
        <v>13232</v>
      </c>
      <c r="U2575" t="s">
        <v>13232</v>
      </c>
      <c r="V2575" t="s">
        <v>13232</v>
      </c>
      <c r="W2575" t="s">
        <v>15754</v>
      </c>
      <c r="X2575">
        <v>6</v>
      </c>
      <c r="Y2575" t="s">
        <v>22232</v>
      </c>
      <c r="Z2575" t="s">
        <v>28706</v>
      </c>
      <c r="AA2575">
        <v>0.33091012537044739</v>
      </c>
      <c r="AB2575" t="str">
        <f>HYPERLINK("Melting_Curves/meltCurve_P53582_METAP1.pdf", "Melting_Curves/meltCurve_P53582_METAP1.pdf")</f>
        <v>Melting_Curves/meltCurve_P53582_METAP1.pdf</v>
      </c>
    </row>
    <row r="2576" spans="1:28" x14ac:dyDescent="0.25">
      <c r="A2576" t="s">
        <v>2580</v>
      </c>
      <c r="B2576">
        <v>0.99930955844802105</v>
      </c>
      <c r="C2576">
        <v>0.98919731069491801</v>
      </c>
      <c r="D2576">
        <v>0.73107039840697796</v>
      </c>
      <c r="E2576">
        <v>0.35554002457113698</v>
      </c>
      <c r="F2576">
        <v>0.17018495646358101</v>
      </c>
      <c r="G2576">
        <v>0.12856470810725601</v>
      </c>
      <c r="H2576">
        <v>8.5593332289573207E-2</v>
      </c>
      <c r="I2576">
        <v>8.3604786379271795E-2</v>
      </c>
      <c r="J2576">
        <v>7.43384222135621E-2</v>
      </c>
      <c r="K2576">
        <v>6.18257231494765E-2</v>
      </c>
      <c r="L2576">
        <v>1097.2900907461501</v>
      </c>
      <c r="M2576">
        <v>22.8395155023989</v>
      </c>
      <c r="N2576">
        <v>48.406878998305302</v>
      </c>
      <c r="O2576">
        <v>47.679730941310297</v>
      </c>
      <c r="P2576">
        <v>-0.110322602893624</v>
      </c>
      <c r="Q2576">
        <v>7.8780660571956596E-2</v>
      </c>
      <c r="R2576">
        <v>0.997209844092668</v>
      </c>
      <c r="S2576" t="s">
        <v>9193</v>
      </c>
      <c r="T2576" t="s">
        <v>13232</v>
      </c>
      <c r="U2576" t="s">
        <v>13232</v>
      </c>
      <c r="V2576" t="s">
        <v>13232</v>
      </c>
      <c r="W2576" t="s">
        <v>15755</v>
      </c>
      <c r="X2576">
        <v>7</v>
      </c>
      <c r="Y2576" t="s">
        <v>22233</v>
      </c>
      <c r="Z2576" t="s">
        <v>28707</v>
      </c>
      <c r="AA2576">
        <v>0.33564013912061591</v>
      </c>
      <c r="AB2576" t="str">
        <f>HYPERLINK("Melting_Curves/meltCurve_P53597_SUCLG1.pdf", "Melting_Curves/meltCurve_P53597_SUCLG1.pdf")</f>
        <v>Melting_Curves/meltCurve_P53597_SUCLG1.pdf</v>
      </c>
    </row>
    <row r="2577" spans="1:28" x14ac:dyDescent="0.25">
      <c r="A2577" t="s">
        <v>2581</v>
      </c>
      <c r="B2577">
        <v>0.99930955844802105</v>
      </c>
      <c r="C2577">
        <v>1.0731945625505801</v>
      </c>
      <c r="D2577">
        <v>1.0120364052269799</v>
      </c>
      <c r="E2577">
        <v>0.89057580240414103</v>
      </c>
      <c r="F2577">
        <v>0.37373894927634599</v>
      </c>
      <c r="G2577">
        <v>0.20081273847186801</v>
      </c>
      <c r="H2577">
        <v>0.124365812332964</v>
      </c>
      <c r="I2577">
        <v>0.10880323873404101</v>
      </c>
      <c r="J2577">
        <v>9.1871813742571695E-2</v>
      </c>
      <c r="K2577">
        <v>6.6173262023832294E-2</v>
      </c>
      <c r="L2577">
        <v>2327.0125026139499</v>
      </c>
      <c r="M2577">
        <v>44.706549153234</v>
      </c>
      <c r="N2577">
        <v>52.349828411778397</v>
      </c>
      <c r="O2577">
        <v>51.946995030752298</v>
      </c>
      <c r="P2577">
        <v>-0.19091228241087399</v>
      </c>
      <c r="Q2577">
        <v>0.112675317899224</v>
      </c>
      <c r="R2577">
        <v>0.99221935562097396</v>
      </c>
      <c r="S2577" t="s">
        <v>9194</v>
      </c>
      <c r="T2577" t="s">
        <v>13232</v>
      </c>
      <c r="U2577" t="s">
        <v>13232</v>
      </c>
      <c r="V2577" t="s">
        <v>13232</v>
      </c>
      <c r="W2577" t="s">
        <v>15756</v>
      </c>
      <c r="X2577">
        <v>17</v>
      </c>
      <c r="Y2577" t="s">
        <v>22234</v>
      </c>
      <c r="Z2577" t="s">
        <v>28708</v>
      </c>
      <c r="AA2577">
        <v>0.47165953074109379</v>
      </c>
      <c r="AB2577" t="str">
        <f>HYPERLINK("Melting_Curves/meltCurve_P53602_MVD.pdf", "Melting_Curves/meltCurve_P53602_MVD.pdf")</f>
        <v>Melting_Curves/meltCurve_P53602_MVD.pdf</v>
      </c>
    </row>
    <row r="2578" spans="1:28" x14ac:dyDescent="0.25">
      <c r="A2578" t="s">
        <v>2582</v>
      </c>
      <c r="B2578">
        <v>0.99930955844802105</v>
      </c>
      <c r="C2578">
        <v>1.1380365535543799</v>
      </c>
      <c r="D2578">
        <v>1.0661766590661801</v>
      </c>
      <c r="E2578">
        <v>0.79429618846507499</v>
      </c>
      <c r="F2578">
        <v>0.441618658371706</v>
      </c>
      <c r="G2578">
        <v>0.199030058929688</v>
      </c>
      <c r="H2578">
        <v>0.11482670385810199</v>
      </c>
      <c r="I2578">
        <v>0.103943844918943</v>
      </c>
      <c r="J2578">
        <v>8.7126276477434095E-2</v>
      </c>
      <c r="K2578">
        <v>6.6164511414467206E-2</v>
      </c>
      <c r="L2578">
        <v>1522.74037880622</v>
      </c>
      <c r="M2578">
        <v>29.157665470160701</v>
      </c>
      <c r="N2578">
        <v>52.599612503372697</v>
      </c>
      <c r="O2578">
        <v>51.980555367367799</v>
      </c>
      <c r="P2578">
        <v>-0.12706545043103201</v>
      </c>
      <c r="Q2578">
        <v>9.390763666561E-2</v>
      </c>
      <c r="R2578">
        <v>0.98424160592946497</v>
      </c>
      <c r="S2578" t="s">
        <v>9195</v>
      </c>
      <c r="T2578" t="s">
        <v>13232</v>
      </c>
      <c r="U2578" t="s">
        <v>13232</v>
      </c>
      <c r="V2578" t="s">
        <v>13232</v>
      </c>
      <c r="W2578" t="s">
        <v>15757</v>
      </c>
      <c r="X2578">
        <v>12</v>
      </c>
      <c r="Y2578" t="s">
        <v>22235</v>
      </c>
      <c r="Z2578" t="s">
        <v>28709</v>
      </c>
      <c r="AA2578">
        <v>0.46926634304802739</v>
      </c>
      <c r="AB2578" t="str">
        <f>HYPERLINK("Melting_Curves/meltCurve_P53609_PGGT1B.pdf", "Melting_Curves/meltCurve_P53609_PGGT1B.pdf")</f>
        <v>Melting_Curves/meltCurve_P53609_PGGT1B.pdf</v>
      </c>
    </row>
    <row r="2579" spans="1:28" x14ac:dyDescent="0.25">
      <c r="A2579" t="s">
        <v>2583</v>
      </c>
      <c r="B2579">
        <v>0.99930955844802105</v>
      </c>
      <c r="C2579">
        <v>0.97525391686073903</v>
      </c>
      <c r="D2579">
        <v>0.91493385913775405</v>
      </c>
      <c r="E2579">
        <v>0.69665496463701404</v>
      </c>
      <c r="F2579">
        <v>0.304109991084829</v>
      </c>
      <c r="G2579">
        <v>0.188004230967761</v>
      </c>
      <c r="H2579">
        <v>0.10442166359618001</v>
      </c>
      <c r="I2579">
        <v>8.7214744839848896E-2</v>
      </c>
      <c r="J2579">
        <v>7.9729307013674103E-2</v>
      </c>
      <c r="K2579">
        <v>5.7098391215312697E-2</v>
      </c>
      <c r="L2579">
        <v>1257.79863854565</v>
      </c>
      <c r="M2579">
        <v>24.6149182689085</v>
      </c>
      <c r="N2579">
        <v>51.462557780105101</v>
      </c>
      <c r="O2579">
        <v>50.765357219089502</v>
      </c>
      <c r="P2579">
        <v>-0.111547560071576</v>
      </c>
      <c r="Q2579">
        <v>7.9798574984558099E-2</v>
      </c>
      <c r="R2579">
        <v>0.99548240131776</v>
      </c>
      <c r="S2579" t="s">
        <v>9196</v>
      </c>
      <c r="T2579" t="s">
        <v>13232</v>
      </c>
      <c r="U2579" t="s">
        <v>13232</v>
      </c>
      <c r="V2579" t="s">
        <v>13232</v>
      </c>
      <c r="W2579" t="s">
        <v>15758</v>
      </c>
      <c r="X2579">
        <v>5</v>
      </c>
      <c r="Y2579" t="s">
        <v>22236</v>
      </c>
      <c r="Z2579" t="s">
        <v>28710</v>
      </c>
      <c r="AA2579">
        <v>0.42882283647292818</v>
      </c>
      <c r="AB2579" t="str">
        <f>HYPERLINK("Melting_Curves/meltCurve_P53611_RABGGTB.pdf", "Melting_Curves/meltCurve_P53611_RABGGTB.pdf")</f>
        <v>Melting_Curves/meltCurve_P53611_RABGGTB.pdf</v>
      </c>
    </row>
    <row r="2580" spans="1:28" x14ac:dyDescent="0.25">
      <c r="A2580" t="s">
        <v>2584</v>
      </c>
      <c r="B2580">
        <v>0.99930955844802105</v>
      </c>
      <c r="C2580">
        <v>0.71859750013282897</v>
      </c>
      <c r="D2580">
        <v>0.719483533933029</v>
      </c>
      <c r="E2580">
        <v>0.688208319754402</v>
      </c>
      <c r="F2580">
        <v>0.36306918736735999</v>
      </c>
      <c r="G2580">
        <v>0.19891083299461901</v>
      </c>
      <c r="H2580">
        <v>8.6267804861389394E-2</v>
      </c>
      <c r="I2580">
        <v>5.9706554187473601E-2</v>
      </c>
      <c r="J2580">
        <v>5.2663916879393001E-2</v>
      </c>
      <c r="K2580">
        <v>3.8279581493596601E-2</v>
      </c>
      <c r="L2580">
        <v>554.16677180694296</v>
      </c>
      <c r="M2580">
        <v>10.947855348588901</v>
      </c>
      <c r="N2580">
        <v>50.618751703223097</v>
      </c>
      <c r="O2580">
        <v>49.017755081545303</v>
      </c>
      <c r="P2580">
        <v>-5.58553589752223E-2</v>
      </c>
      <c r="Q2580">
        <v>0</v>
      </c>
      <c r="R2580">
        <v>0.95031318205583104</v>
      </c>
      <c r="S2580" t="s">
        <v>9197</v>
      </c>
      <c r="T2580" t="s">
        <v>13232</v>
      </c>
      <c r="U2580" t="s">
        <v>13232</v>
      </c>
      <c r="V2580" t="s">
        <v>13232</v>
      </c>
      <c r="W2580" t="s">
        <v>15424</v>
      </c>
      <c r="X2580">
        <v>48</v>
      </c>
      <c r="Y2580" t="s">
        <v>22237</v>
      </c>
      <c r="Z2580" t="s">
        <v>28711</v>
      </c>
      <c r="AA2580">
        <v>0.3920244550560224</v>
      </c>
      <c r="AB2580" t="str">
        <f>HYPERLINK("Melting_Curves/meltCurve_P53618_COPB1.pdf", "Melting_Curves/meltCurve_P53618_COPB1.pdf")</f>
        <v>Melting_Curves/meltCurve_P53618_COPB1.pdf</v>
      </c>
    </row>
    <row r="2581" spans="1:28" x14ac:dyDescent="0.25">
      <c r="A2581" t="s">
        <v>2585</v>
      </c>
      <c r="B2581">
        <v>0.99930955844802105</v>
      </c>
      <c r="C2581">
        <v>0.58536917438150105</v>
      </c>
      <c r="D2581">
        <v>0.61439016380993605</v>
      </c>
      <c r="E2581">
        <v>0.63355850933552105</v>
      </c>
      <c r="F2581">
        <v>0.26915644724113902</v>
      </c>
      <c r="G2581">
        <v>0.12776029629442401</v>
      </c>
      <c r="H2581">
        <v>6.87089480860862E-2</v>
      </c>
      <c r="I2581">
        <v>5.7185121858459899E-2</v>
      </c>
      <c r="J2581">
        <v>4.9822362599039501E-2</v>
      </c>
      <c r="K2581">
        <v>3.8579357205451303E-2</v>
      </c>
      <c r="L2581">
        <v>476.53591823637902</v>
      </c>
      <c r="M2581">
        <v>9.8276836532575995</v>
      </c>
      <c r="N2581">
        <v>48.489139172699701</v>
      </c>
      <c r="O2581">
        <v>46.609411192962199</v>
      </c>
      <c r="P2581">
        <v>-5.2740373951133297E-2</v>
      </c>
      <c r="Q2581">
        <v>0</v>
      </c>
      <c r="R2581">
        <v>0.90132349008757096</v>
      </c>
      <c r="S2581" t="s">
        <v>9198</v>
      </c>
      <c r="T2581" t="s">
        <v>13232</v>
      </c>
      <c r="U2581" t="s">
        <v>13232</v>
      </c>
      <c r="V2581" t="s">
        <v>13232</v>
      </c>
      <c r="W2581" t="s">
        <v>15759</v>
      </c>
      <c r="X2581">
        <v>59</v>
      </c>
      <c r="Y2581" t="s">
        <v>22238</v>
      </c>
      <c r="Z2581" t="s">
        <v>28712</v>
      </c>
      <c r="AA2581">
        <v>0.33527736442458939</v>
      </c>
      <c r="AB2581" t="str">
        <f>HYPERLINK("Melting_Curves/meltCurve_P53621_COPA.pdf", "Melting_Curves/meltCurve_P53621_COPA.pdf")</f>
        <v>Melting_Curves/meltCurve_P53621_COPA.pdf</v>
      </c>
    </row>
    <row r="2582" spans="1:28" x14ac:dyDescent="0.25">
      <c r="A2582" t="s">
        <v>2586</v>
      </c>
      <c r="B2582">
        <v>0.99930955844802105</v>
      </c>
      <c r="C2582">
        <v>0.91128423611432097</v>
      </c>
      <c r="D2582">
        <v>0.89346256649151401</v>
      </c>
      <c r="E2582">
        <v>0.88329183835430702</v>
      </c>
      <c r="F2582">
        <v>0.78227115645377399</v>
      </c>
      <c r="G2582">
        <v>0.52793849920795399</v>
      </c>
      <c r="H2582">
        <v>0.27544423455032802</v>
      </c>
      <c r="I2582">
        <v>0.208796351111079</v>
      </c>
      <c r="J2582">
        <v>0.14717515905499601</v>
      </c>
      <c r="K2582">
        <v>8.0811450047578406E-2</v>
      </c>
      <c r="L2582">
        <v>754.424801596782</v>
      </c>
      <c r="M2582">
        <v>13.1506314524473</v>
      </c>
      <c r="N2582">
        <v>57.367966504596701</v>
      </c>
      <c r="O2582">
        <v>56.090041442609497</v>
      </c>
      <c r="P2582">
        <v>-5.8623833376628097E-2</v>
      </c>
      <c r="Q2582">
        <v>0</v>
      </c>
      <c r="R2582">
        <v>0.98832264619684995</v>
      </c>
      <c r="S2582" t="s">
        <v>9199</v>
      </c>
      <c r="T2582" t="s">
        <v>13232</v>
      </c>
      <c r="U2582" t="s">
        <v>13232</v>
      </c>
      <c r="V2582" t="s">
        <v>13232</v>
      </c>
      <c r="W2582" t="s">
        <v>15760</v>
      </c>
      <c r="X2582">
        <v>13</v>
      </c>
      <c r="Y2582" t="s">
        <v>22239</v>
      </c>
      <c r="Z2582" t="s">
        <v>28713</v>
      </c>
      <c r="AA2582">
        <v>0.59444623712838029</v>
      </c>
      <c r="AB2582" t="str">
        <f>HYPERLINK("Melting_Curves/meltCurve_P53634_CTSC.pdf", "Melting_Curves/meltCurve_P53634_CTSC.pdf")</f>
        <v>Melting_Curves/meltCurve_P53634_CTSC.pdf</v>
      </c>
    </row>
    <row r="2583" spans="1:28" x14ac:dyDescent="0.25">
      <c r="A2583" t="s">
        <v>2587</v>
      </c>
      <c r="B2583">
        <v>0.99930955844802105</v>
      </c>
      <c r="C2583">
        <v>0.86506840719202704</v>
      </c>
      <c r="D2583">
        <v>1.1922954656070399</v>
      </c>
      <c r="E2583">
        <v>0.95503866117180503</v>
      </c>
      <c r="F2583">
        <v>0.233387476091514</v>
      </c>
      <c r="G2583">
        <v>0.20267608960505001</v>
      </c>
      <c r="H2583">
        <v>0.139233139807103</v>
      </c>
      <c r="I2583">
        <v>0.13147391953644399</v>
      </c>
      <c r="J2583">
        <v>0.140107381292705</v>
      </c>
      <c r="K2583">
        <v>0.108903415651498</v>
      </c>
      <c r="L2583">
        <v>4448.4031241740004</v>
      </c>
      <c r="M2583">
        <v>86.080686106732401</v>
      </c>
      <c r="N2583">
        <v>51.882476436224799</v>
      </c>
      <c r="O2583">
        <v>51.649262569218301</v>
      </c>
      <c r="P2583">
        <v>-0.35651142133877101</v>
      </c>
      <c r="Q2583">
        <v>0.14435857750757</v>
      </c>
      <c r="R2583">
        <v>0.96621397190582903</v>
      </c>
      <c r="S2583" t="s">
        <v>9200</v>
      </c>
      <c r="T2583" t="s">
        <v>13232</v>
      </c>
      <c r="U2583" t="s">
        <v>13232</v>
      </c>
      <c r="V2583" t="s">
        <v>13232</v>
      </c>
      <c r="W2583" t="s">
        <v>15761</v>
      </c>
      <c r="X2583">
        <v>21</v>
      </c>
      <c r="Y2583" t="s">
        <v>22240</v>
      </c>
      <c r="Z2583" t="s">
        <v>28714</v>
      </c>
      <c r="AA2583">
        <v>0.4780621680540873</v>
      </c>
      <c r="AB2583" t="str">
        <f>HYPERLINK("Melting_Curves/meltCurve_P53675_2_CLTCL1.pdf", "Melting_Curves/meltCurve_P53675_2_CLTCL1.pdf")</f>
        <v>Melting_Curves/meltCurve_P53675_2_CLTCL1.pdf</v>
      </c>
    </row>
    <row r="2584" spans="1:28" x14ac:dyDescent="0.25">
      <c r="A2584" t="s">
        <v>2588</v>
      </c>
      <c r="B2584">
        <v>0.99930955844802105</v>
      </c>
      <c r="C2584">
        <v>0.91367521157626297</v>
      </c>
      <c r="D2584">
        <v>0.92120222159643705</v>
      </c>
      <c r="E2584">
        <v>0.78545735409041195</v>
      </c>
      <c r="F2584">
        <v>0.62518524739083503</v>
      </c>
      <c r="G2584">
        <v>0.47374827379987999</v>
      </c>
      <c r="H2584">
        <v>0.302559103703472</v>
      </c>
      <c r="I2584">
        <v>0.18502455111923199</v>
      </c>
      <c r="J2584">
        <v>7.3823032389310206E-2</v>
      </c>
      <c r="K2584">
        <v>4.7658344294864902E-2</v>
      </c>
      <c r="L2584">
        <v>645.00072383695499</v>
      </c>
      <c r="M2584">
        <v>11.570113020772</v>
      </c>
      <c r="N2584">
        <v>55.747163846986403</v>
      </c>
      <c r="O2584">
        <v>54.159870452849901</v>
      </c>
      <c r="P2584">
        <v>-5.3422049422238403E-2</v>
      </c>
      <c r="Q2584">
        <v>0</v>
      </c>
      <c r="R2584">
        <v>0.99148881056375904</v>
      </c>
      <c r="S2584" t="s">
        <v>9201</v>
      </c>
      <c r="T2584" t="s">
        <v>13232</v>
      </c>
      <c r="U2584" t="s">
        <v>13232</v>
      </c>
      <c r="V2584" t="s">
        <v>13232</v>
      </c>
      <c r="W2584" t="s">
        <v>15762</v>
      </c>
      <c r="X2584">
        <v>12</v>
      </c>
      <c r="Y2584" t="s">
        <v>22241</v>
      </c>
      <c r="Z2584" t="s">
        <v>28715</v>
      </c>
      <c r="AA2584">
        <v>0.54644822043578545</v>
      </c>
      <c r="AB2584" t="str">
        <f>HYPERLINK("Melting_Curves/meltCurve_P53677_AP3M2.pdf", "Melting_Curves/meltCurve_P53677_AP3M2.pdf")</f>
        <v>Melting_Curves/meltCurve_P53677_AP3M2.pdf</v>
      </c>
    </row>
    <row r="2585" spans="1:28" x14ac:dyDescent="0.25">
      <c r="A2585" t="s">
        <v>2589</v>
      </c>
      <c r="B2585">
        <v>0.99930955844802105</v>
      </c>
      <c r="C2585">
        <v>0.89267090744570499</v>
      </c>
      <c r="D2585">
        <v>0.86840113842521005</v>
      </c>
      <c r="E2585">
        <v>0.83464735719844596</v>
      </c>
      <c r="F2585">
        <v>0.73551545888813596</v>
      </c>
      <c r="G2585">
        <v>0.370768559709997</v>
      </c>
      <c r="H2585">
        <v>0.13691402264695299</v>
      </c>
      <c r="I2585">
        <v>0.11602344483791401</v>
      </c>
      <c r="J2585">
        <v>7.4250252453606502E-2</v>
      </c>
      <c r="K2585">
        <v>6.1974956667680103E-2</v>
      </c>
      <c r="L2585">
        <v>897.86062744187905</v>
      </c>
      <c r="M2585">
        <v>16.25368751233</v>
      </c>
      <c r="N2585">
        <v>55.320989682910898</v>
      </c>
      <c r="O2585">
        <v>54.424553930802098</v>
      </c>
      <c r="P2585">
        <v>-7.3793743650967705E-2</v>
      </c>
      <c r="Q2585">
        <v>1.16964156983905E-2</v>
      </c>
      <c r="R2585">
        <v>0.98074403089175</v>
      </c>
      <c r="S2585" t="s">
        <v>9202</v>
      </c>
      <c r="T2585" t="s">
        <v>13232</v>
      </c>
      <c r="U2585" t="s">
        <v>13232</v>
      </c>
      <c r="V2585" t="s">
        <v>13232</v>
      </c>
      <c r="W2585" t="s">
        <v>15763</v>
      </c>
      <c r="X2585">
        <v>5</v>
      </c>
      <c r="Y2585" t="s">
        <v>22242</v>
      </c>
      <c r="Z2585" t="s">
        <v>28716</v>
      </c>
      <c r="AA2585">
        <v>0.53093110017147738</v>
      </c>
      <c r="AB2585" t="str">
        <f>HYPERLINK("Melting_Curves/meltCurve_P53680_AP2S1.pdf", "Melting_Curves/meltCurve_P53680_AP2S1.pdf")</f>
        <v>Melting_Curves/meltCurve_P53680_AP2S1.pdf</v>
      </c>
    </row>
    <row r="2586" spans="1:28" x14ac:dyDescent="0.25">
      <c r="A2586" t="s">
        <v>2590</v>
      </c>
      <c r="B2586">
        <v>0.99930955844802105</v>
      </c>
      <c r="C2586">
        <v>1.05688254225982</v>
      </c>
      <c r="D2586">
        <v>1.0707318910472801</v>
      </c>
      <c r="E2586">
        <v>1.07679676332828</v>
      </c>
      <c r="F2586">
        <v>0.95347293950579803</v>
      </c>
      <c r="G2586">
        <v>0.82125821087371997</v>
      </c>
      <c r="H2586">
        <v>0.87916723689524001</v>
      </c>
      <c r="I2586">
        <v>0.964628390482551</v>
      </c>
      <c r="J2586">
        <v>0.88508871047920901</v>
      </c>
      <c r="K2586">
        <v>0.80251917195280098</v>
      </c>
      <c r="L2586">
        <v>13280.638889416899</v>
      </c>
      <c r="M2586">
        <v>250</v>
      </c>
      <c r="O2586">
        <v>53.119156668567399</v>
      </c>
      <c r="P2586">
        <v>-0.15233164851040701</v>
      </c>
      <c r="Q2586">
        <v>0.87053234237412103</v>
      </c>
      <c r="R2586">
        <v>0.67131830057539399</v>
      </c>
      <c r="S2586" t="s">
        <v>9203</v>
      </c>
      <c r="T2586" t="s">
        <v>13232</v>
      </c>
      <c r="U2586" t="s">
        <v>13232</v>
      </c>
      <c r="V2586" t="s">
        <v>13232</v>
      </c>
      <c r="W2586" t="s">
        <v>15764</v>
      </c>
      <c r="X2586">
        <v>2</v>
      </c>
      <c r="Y2586" t="s">
        <v>22243</v>
      </c>
      <c r="Z2586" t="s">
        <v>28717</v>
      </c>
      <c r="AA2586">
        <v>0.9271759635516964</v>
      </c>
      <c r="AB2586" t="str">
        <f>HYPERLINK("Melting_Curves/meltCurve_P53701_HCCS.pdf", "Melting_Curves/meltCurve_P53701_HCCS.pdf")</f>
        <v>Melting_Curves/meltCurve_P53701_HCCS.pdf</v>
      </c>
    </row>
    <row r="2587" spans="1:28" x14ac:dyDescent="0.25">
      <c r="A2587" t="s">
        <v>2591</v>
      </c>
      <c r="B2587">
        <v>0.99930955844802105</v>
      </c>
      <c r="C2587">
        <v>1.1652207922645399</v>
      </c>
      <c r="D2587">
        <v>1.1409332061522299</v>
      </c>
      <c r="E2587">
        <v>0.93066874088612395</v>
      </c>
      <c r="F2587">
        <v>0.566940108441362</v>
      </c>
      <c r="G2587">
        <v>0.16780052760662101</v>
      </c>
      <c r="H2587">
        <v>9.4074359961697995E-2</v>
      </c>
      <c r="I2587">
        <v>7.6392607247925098E-2</v>
      </c>
      <c r="J2587">
        <v>6.7783558846118405E-2</v>
      </c>
      <c r="K2587">
        <v>5.4080210522406302E-2</v>
      </c>
      <c r="L2587">
        <v>1957.37833608657</v>
      </c>
      <c r="M2587">
        <v>36.756107945101</v>
      </c>
      <c r="N2587">
        <v>53.484725645070498</v>
      </c>
      <c r="O2587">
        <v>53.096267045502501</v>
      </c>
      <c r="P2587">
        <v>-0.160332300947679</v>
      </c>
      <c r="Q2587">
        <v>7.3566858459930398E-2</v>
      </c>
      <c r="R2587">
        <v>0.97691186380798101</v>
      </c>
      <c r="S2587" t="s">
        <v>9204</v>
      </c>
      <c r="T2587" t="s">
        <v>13232</v>
      </c>
      <c r="U2587" t="s">
        <v>13232</v>
      </c>
      <c r="V2587" t="s">
        <v>13232</v>
      </c>
      <c r="W2587" t="s">
        <v>15765</v>
      </c>
      <c r="X2587">
        <v>10</v>
      </c>
      <c r="Y2587" t="s">
        <v>22244</v>
      </c>
      <c r="Z2587" t="s">
        <v>28718</v>
      </c>
      <c r="AA2587">
        <v>0.48687259294761842</v>
      </c>
      <c r="AB2587" t="str">
        <f>HYPERLINK("Melting_Curves/meltCurve_P53778_MAPK12.pdf", "Melting_Curves/meltCurve_P53778_MAPK12.pdf")</f>
        <v>Melting_Curves/meltCurve_P53778_MAPK12.pdf</v>
      </c>
    </row>
    <row r="2588" spans="1:28" x14ac:dyDescent="0.25">
      <c r="A2588" t="s">
        <v>2592</v>
      </c>
      <c r="B2588">
        <v>0.99930955844802105</v>
      </c>
      <c r="C2588">
        <v>1.0731419671343101</v>
      </c>
      <c r="D2588">
        <v>0.91343545523861702</v>
      </c>
      <c r="E2588">
        <v>0.877279763313074</v>
      </c>
      <c r="F2588">
        <v>0.70332961913321201</v>
      </c>
      <c r="G2588">
        <v>0.50117008734785295</v>
      </c>
      <c r="H2588">
        <v>0.38241454485585702</v>
      </c>
      <c r="I2588">
        <v>0.38198292461412398</v>
      </c>
      <c r="J2588">
        <v>0.43967404686040101</v>
      </c>
      <c r="K2588">
        <v>0.27287299128537101</v>
      </c>
      <c r="L2588">
        <v>978.27854416424202</v>
      </c>
      <c r="M2588">
        <v>18.2461810838175</v>
      </c>
      <c r="N2588">
        <v>57.143491699260203</v>
      </c>
      <c r="O2588">
        <v>52.983946723334903</v>
      </c>
      <c r="P2588">
        <v>-5.7003399596463701E-2</v>
      </c>
      <c r="Q2588">
        <v>0.337916422831394</v>
      </c>
      <c r="R2588">
        <v>0.97026220542228503</v>
      </c>
      <c r="S2588" t="s">
        <v>9205</v>
      </c>
      <c r="T2588" t="s">
        <v>13232</v>
      </c>
      <c r="U2588" t="s">
        <v>13232</v>
      </c>
      <c r="V2588" t="s">
        <v>13232</v>
      </c>
      <c r="W2588" t="s">
        <v>15766</v>
      </c>
      <c r="X2588">
        <v>1</v>
      </c>
      <c r="Y2588" t="s">
        <v>22245</v>
      </c>
      <c r="Z2588" t="s">
        <v>28719</v>
      </c>
      <c r="AA2588">
        <v>0.64888110725868897</v>
      </c>
      <c r="AB2588" t="str">
        <f>HYPERLINK("Melting_Curves/meltCurve_P53794_SLC5A3.pdf", "Melting_Curves/meltCurve_P53794_SLC5A3.pdf")</f>
        <v>Melting_Curves/meltCurve_P53794_SLC5A3.pdf</v>
      </c>
    </row>
    <row r="2589" spans="1:28" x14ac:dyDescent="0.25">
      <c r="A2589" t="s">
        <v>2593</v>
      </c>
      <c r="B2589">
        <v>0.99930955844802105</v>
      </c>
      <c r="C2589">
        <v>0.82026781307874197</v>
      </c>
      <c r="D2589">
        <v>0.87258009646481105</v>
      </c>
      <c r="E2589">
        <v>0.94672002996988203</v>
      </c>
      <c r="F2589">
        <v>0.63979927848754703</v>
      </c>
      <c r="G2589">
        <v>0.46096655241971302</v>
      </c>
      <c r="H2589">
        <v>0.298939326486097</v>
      </c>
      <c r="I2589">
        <v>0.26264189397974702</v>
      </c>
      <c r="J2589">
        <v>0.24196172450445799</v>
      </c>
      <c r="K2589">
        <v>0.17280275643347301</v>
      </c>
      <c r="L2589">
        <v>727.62777609579996</v>
      </c>
      <c r="M2589">
        <v>13.2178408042827</v>
      </c>
      <c r="N2589">
        <v>56.419108514746803</v>
      </c>
      <c r="O2589">
        <v>53.8346483431094</v>
      </c>
      <c r="P2589">
        <v>-5.2963305481630397E-2</v>
      </c>
      <c r="Q2589">
        <v>0.137290639252479</v>
      </c>
      <c r="R2589">
        <v>0.94693147780869502</v>
      </c>
      <c r="S2589" t="s">
        <v>9206</v>
      </c>
      <c r="T2589" t="s">
        <v>13232</v>
      </c>
      <c r="U2589" t="s">
        <v>13232</v>
      </c>
      <c r="V2589" t="s">
        <v>13232</v>
      </c>
      <c r="W2589" t="s">
        <v>15767</v>
      </c>
      <c r="X2589">
        <v>2</v>
      </c>
      <c r="Y2589" t="s">
        <v>22246</v>
      </c>
      <c r="Z2589" t="s">
        <v>28720</v>
      </c>
      <c r="AA2589">
        <v>0.58874005535540519</v>
      </c>
      <c r="AB2589" t="str">
        <f>HYPERLINK("Melting_Curves/meltCurve_P53803_POLR2K.pdf", "Melting_Curves/meltCurve_P53803_POLR2K.pdf")</f>
        <v>Melting_Curves/meltCurve_P53803_POLR2K.pdf</v>
      </c>
    </row>
    <row r="2590" spans="1:28" x14ac:dyDescent="0.25">
      <c r="A2590" t="s">
        <v>2594</v>
      </c>
      <c r="B2590">
        <v>0.99930955844802105</v>
      </c>
      <c r="C2590">
        <v>0.91806645356763905</v>
      </c>
      <c r="D2590">
        <v>0.88667928144866104</v>
      </c>
      <c r="E2590">
        <v>0.58946439550125995</v>
      </c>
      <c r="F2590">
        <v>0.27856044813737901</v>
      </c>
      <c r="G2590">
        <v>0.16787938021521601</v>
      </c>
      <c r="H2590">
        <v>7.5449793642942894E-2</v>
      </c>
      <c r="I2590">
        <v>4.2172776118109899E-2</v>
      </c>
      <c r="J2590">
        <v>2.7761398095849401E-2</v>
      </c>
      <c r="K2590">
        <v>2.5472480089097301E-2</v>
      </c>
      <c r="L2590">
        <v>941.58766533838798</v>
      </c>
      <c r="M2590">
        <v>18.601719900669</v>
      </c>
      <c r="N2590">
        <v>50.766883852051002</v>
      </c>
      <c r="O2590">
        <v>50.0441991309755</v>
      </c>
      <c r="P2590">
        <v>-9.0468588973715805E-2</v>
      </c>
      <c r="Q2590">
        <v>2.6491764887956099E-2</v>
      </c>
      <c r="R2590">
        <v>0.99576352115068101</v>
      </c>
      <c r="S2590" t="s">
        <v>9207</v>
      </c>
      <c r="T2590" t="s">
        <v>13232</v>
      </c>
      <c r="U2590" t="s">
        <v>13232</v>
      </c>
      <c r="V2590" t="s">
        <v>13232</v>
      </c>
      <c r="W2590" t="s">
        <v>15768</v>
      </c>
      <c r="X2590">
        <v>3</v>
      </c>
      <c r="Y2590" t="s">
        <v>22247</v>
      </c>
      <c r="Z2590" t="s">
        <v>28721</v>
      </c>
      <c r="AA2590">
        <v>0.38656234419038982</v>
      </c>
      <c r="AB2590" t="str">
        <f>HYPERLINK("Melting_Curves/meltCurve_P53805_RCAN1.pdf", "Melting_Curves/meltCurve_P53805_RCAN1.pdf")</f>
        <v>Melting_Curves/meltCurve_P53805_RCAN1.pdf</v>
      </c>
    </row>
    <row r="2591" spans="1:28" x14ac:dyDescent="0.25">
      <c r="A2591" t="s">
        <v>2595</v>
      </c>
      <c r="B2591">
        <v>0.99930955844802105</v>
      </c>
      <c r="C2591">
        <v>1.0651199485121901</v>
      </c>
      <c r="D2591">
        <v>1.07837939238281</v>
      </c>
      <c r="E2591">
        <v>0.95095579286194298</v>
      </c>
      <c r="F2591">
        <v>0.87158576538147903</v>
      </c>
      <c r="G2591">
        <v>0.78100356500329005</v>
      </c>
      <c r="H2591">
        <v>0.72254720631070002</v>
      </c>
      <c r="I2591">
        <v>0.83230160502717099</v>
      </c>
      <c r="J2591">
        <v>0.78481278349278505</v>
      </c>
      <c r="K2591">
        <v>0.624038358635849</v>
      </c>
      <c r="L2591">
        <v>1469.0666809196</v>
      </c>
      <c r="M2591">
        <v>27.635927192408602</v>
      </c>
      <c r="O2591">
        <v>52.881842820548002</v>
      </c>
      <c r="P2591">
        <v>-3.4079842966226702E-2</v>
      </c>
      <c r="Q2591">
        <v>0.73915271980754305</v>
      </c>
      <c r="R2591">
        <v>0.82664468471400998</v>
      </c>
      <c r="S2591" t="s">
        <v>9208</v>
      </c>
      <c r="T2591" t="s">
        <v>13232</v>
      </c>
      <c r="U2591" t="s">
        <v>13232</v>
      </c>
      <c r="V2591" t="s">
        <v>13232</v>
      </c>
      <c r="W2591" t="s">
        <v>15769</v>
      </c>
      <c r="X2591">
        <v>12</v>
      </c>
      <c r="Y2591" t="s">
        <v>22248</v>
      </c>
      <c r="Z2591" t="s">
        <v>28722</v>
      </c>
      <c r="AA2591">
        <v>0.85554693833744211</v>
      </c>
      <c r="AB2591" t="str">
        <f>HYPERLINK("Melting_Curves/meltCurve_P53814_5_SMTN.pdf", "Melting_Curves/meltCurve_P53814_5_SMTN.pdf")</f>
        <v>Melting_Curves/meltCurve_P53814_5_SMTN.pdf</v>
      </c>
    </row>
    <row r="2592" spans="1:28" x14ac:dyDescent="0.25">
      <c r="A2592" t="s">
        <v>2596</v>
      </c>
      <c r="B2592">
        <v>0.99930955844802105</v>
      </c>
      <c r="C2592">
        <v>0.995149192643217</v>
      </c>
      <c r="D2592">
        <v>1.0560476285623199</v>
      </c>
      <c r="E2592">
        <v>1.2660289403782099</v>
      </c>
      <c r="F2592">
        <v>1.03246343153486</v>
      </c>
      <c r="G2592">
        <v>1.0181875106862599</v>
      </c>
      <c r="H2592">
        <v>1.13902372915648</v>
      </c>
      <c r="I2592">
        <v>1.14667431067044</v>
      </c>
      <c r="J2592">
        <v>1.1598188361472499</v>
      </c>
      <c r="K2592">
        <v>0.94102910622265701</v>
      </c>
      <c r="L2592">
        <v>11489.2974134331</v>
      </c>
      <c r="M2592">
        <v>250</v>
      </c>
      <c r="O2592">
        <v>45.9542489872331</v>
      </c>
      <c r="P2592">
        <v>0.136631596592525</v>
      </c>
      <c r="Q2592">
        <v>1.10046083780031</v>
      </c>
      <c r="R2592">
        <v>0.19210843869167801</v>
      </c>
      <c r="S2592" t="s">
        <v>9209</v>
      </c>
      <c r="T2592" t="s">
        <v>13232</v>
      </c>
      <c r="U2592" t="s">
        <v>13232</v>
      </c>
      <c r="V2592" t="s">
        <v>13232</v>
      </c>
      <c r="W2592" t="s">
        <v>15770</v>
      </c>
      <c r="X2592">
        <v>5</v>
      </c>
      <c r="Y2592" t="s">
        <v>22249</v>
      </c>
      <c r="Z2592" t="s">
        <v>28723</v>
      </c>
      <c r="AA2592">
        <v>1.0805039264315921</v>
      </c>
      <c r="AB2592" t="str">
        <f>HYPERLINK("Melting_Curves/meltCurve_P53985_SLC16A1.pdf", "Melting_Curves/meltCurve_P53985_SLC16A1.pdf")</f>
        <v>Melting_Curves/meltCurve_P53985_SLC16A1.pdf</v>
      </c>
    </row>
    <row r="2593" spans="1:28" x14ac:dyDescent="0.25">
      <c r="A2593" t="s">
        <v>2597</v>
      </c>
      <c r="B2593">
        <v>0.99930955844802105</v>
      </c>
      <c r="C2593">
        <v>1.04756376790621</v>
      </c>
      <c r="D2593">
        <v>1.05131588387838</v>
      </c>
      <c r="E2593">
        <v>0.82750444416260605</v>
      </c>
      <c r="F2593">
        <v>0.28523991888043998</v>
      </c>
      <c r="G2593">
        <v>0.142629216995217</v>
      </c>
      <c r="H2593">
        <v>7.0818464784179302E-2</v>
      </c>
      <c r="I2593">
        <v>6.34304770652519E-2</v>
      </c>
      <c r="J2593">
        <v>7.6858179306587504E-2</v>
      </c>
      <c r="K2593">
        <v>4.6426265690292998E-2</v>
      </c>
      <c r="L2593">
        <v>2339.6292323060902</v>
      </c>
      <c r="M2593">
        <v>45.3330584249412</v>
      </c>
      <c r="N2593">
        <v>51.798886344123702</v>
      </c>
      <c r="O2593">
        <v>51.509653450254397</v>
      </c>
      <c r="P2593">
        <v>-0.20324250185471901</v>
      </c>
      <c r="Q2593">
        <v>7.6264607662350103E-2</v>
      </c>
      <c r="R2593">
        <v>0.99502933371104896</v>
      </c>
      <c r="S2593" t="s">
        <v>9210</v>
      </c>
      <c r="T2593" t="s">
        <v>13232</v>
      </c>
      <c r="U2593" t="s">
        <v>13232</v>
      </c>
      <c r="V2593" t="s">
        <v>13232</v>
      </c>
      <c r="W2593" t="s">
        <v>15771</v>
      </c>
      <c r="X2593">
        <v>8</v>
      </c>
      <c r="Y2593" t="s">
        <v>22250</v>
      </c>
      <c r="Z2593" t="s">
        <v>28724</v>
      </c>
      <c r="AA2593">
        <v>0.4363043596865982</v>
      </c>
      <c r="AB2593" t="str">
        <f>HYPERLINK("Melting_Curves/meltCurve_P53990_2_IST1.pdf", "Melting_Curves/meltCurve_P53990_2_IST1.pdf")</f>
        <v>Melting_Curves/meltCurve_P53990_2_IST1.pdf</v>
      </c>
    </row>
    <row r="2594" spans="1:28" x14ac:dyDescent="0.25">
      <c r="A2594" t="s">
        <v>2598</v>
      </c>
      <c r="B2594">
        <v>0.99930955844802105</v>
      </c>
      <c r="C2594">
        <v>0.93531028147297102</v>
      </c>
      <c r="D2594">
        <v>0.86079971750447504</v>
      </c>
      <c r="E2594">
        <v>0.724467105125016</v>
      </c>
      <c r="F2594">
        <v>0.17336698886295701</v>
      </c>
      <c r="G2594">
        <v>0.119962371896353</v>
      </c>
      <c r="H2594">
        <v>6.7377703829698099E-2</v>
      </c>
      <c r="I2594">
        <v>5.7585095792088203E-2</v>
      </c>
      <c r="J2594">
        <v>4.95530577619126E-2</v>
      </c>
      <c r="K2594">
        <v>3.9587822106555703E-2</v>
      </c>
      <c r="L2594">
        <v>2309.4677196902499</v>
      </c>
      <c r="M2594">
        <v>45.387433960391803</v>
      </c>
      <c r="N2594">
        <v>51.033187764094201</v>
      </c>
      <c r="O2594">
        <v>50.784933542769103</v>
      </c>
      <c r="P2594">
        <v>-0.20949856303619899</v>
      </c>
      <c r="Q2594">
        <v>6.2352165808233703E-2</v>
      </c>
      <c r="R2594">
        <v>0.98384928703493402</v>
      </c>
      <c r="S2594" t="s">
        <v>9211</v>
      </c>
      <c r="T2594" t="s">
        <v>13232</v>
      </c>
      <c r="U2594" t="s">
        <v>13232</v>
      </c>
      <c r="V2594" t="s">
        <v>13232</v>
      </c>
      <c r="W2594" t="s">
        <v>15772</v>
      </c>
      <c r="X2594">
        <v>35</v>
      </c>
      <c r="Y2594" t="s">
        <v>22251</v>
      </c>
      <c r="Z2594" t="s">
        <v>28725</v>
      </c>
      <c r="AA2594">
        <v>0.40506948580775209</v>
      </c>
      <c r="AB2594" t="str">
        <f>HYPERLINK("Melting_Curves/meltCurve_P53992_SEC24C.pdf", "Melting_Curves/meltCurve_P53992_SEC24C.pdf")</f>
        <v>Melting_Curves/meltCurve_P53992_SEC24C.pdf</v>
      </c>
    </row>
    <row r="2595" spans="1:28" x14ac:dyDescent="0.25">
      <c r="A2595" t="s">
        <v>2599</v>
      </c>
      <c r="B2595">
        <v>0.99930955844802105</v>
      </c>
      <c r="C2595">
        <v>0.96059535753521796</v>
      </c>
      <c r="D2595">
        <v>0.97100663082029004</v>
      </c>
      <c r="E2595">
        <v>0.81724525543739002</v>
      </c>
      <c r="F2595">
        <v>0.55200645647076396</v>
      </c>
      <c r="G2595">
        <v>0.35024998431042897</v>
      </c>
      <c r="H2595">
        <v>0.24604540075737599</v>
      </c>
      <c r="I2595">
        <v>0.24476303204642599</v>
      </c>
      <c r="J2595">
        <v>0.23630523984926999</v>
      </c>
      <c r="K2595">
        <v>0.21048414241992899</v>
      </c>
      <c r="L2595">
        <v>1166.0479132733601</v>
      </c>
      <c r="M2595">
        <v>22.225735801750801</v>
      </c>
      <c r="N2595">
        <v>53.888220084784102</v>
      </c>
      <c r="O2595">
        <v>52.0446802634888</v>
      </c>
      <c r="P2595">
        <v>-8.3049029959182397E-2</v>
      </c>
      <c r="Q2595">
        <v>0.22213277998705699</v>
      </c>
      <c r="R2595">
        <v>0.99790499714120995</v>
      </c>
      <c r="S2595" t="s">
        <v>9212</v>
      </c>
      <c r="T2595" t="s">
        <v>13232</v>
      </c>
      <c r="U2595" t="s">
        <v>13232</v>
      </c>
      <c r="V2595" t="s">
        <v>13232</v>
      </c>
      <c r="W2595" t="s">
        <v>15773</v>
      </c>
      <c r="X2595">
        <v>10</v>
      </c>
      <c r="Y2595" t="s">
        <v>22252</v>
      </c>
      <c r="Z2595" t="s">
        <v>28726</v>
      </c>
      <c r="AA2595">
        <v>0.55419380053477207</v>
      </c>
      <c r="AB2595" t="str">
        <f>HYPERLINK("Melting_Curves/meltCurve_P53999_SUB1.pdf", "Melting_Curves/meltCurve_P53999_SUB1.pdf")</f>
        <v>Melting_Curves/meltCurve_P53999_SUB1.pdf</v>
      </c>
    </row>
    <row r="2596" spans="1:28" x14ac:dyDescent="0.25">
      <c r="A2596" t="s">
        <v>2600</v>
      </c>
      <c r="B2596">
        <v>0.99930955844802105</v>
      </c>
      <c r="C2596">
        <v>0.64598327837098501</v>
      </c>
      <c r="D2596">
        <v>0.51123594699967101</v>
      </c>
      <c r="E2596">
        <v>0.210771304751284</v>
      </c>
      <c r="F2596">
        <v>0.123795357632719</v>
      </c>
      <c r="G2596">
        <v>8.33390061482914E-2</v>
      </c>
      <c r="H2596">
        <v>4.4684500508341302E-2</v>
      </c>
      <c r="I2596">
        <v>3.8706367582217703E-2</v>
      </c>
      <c r="J2596">
        <v>3.26684793788862E-2</v>
      </c>
      <c r="K2596">
        <v>2.4380067404779299E-2</v>
      </c>
      <c r="L2596">
        <v>727.92135518650002</v>
      </c>
      <c r="M2596">
        <v>15.995715276335501</v>
      </c>
      <c r="N2596">
        <v>45.688151532727098</v>
      </c>
      <c r="O2596">
        <v>44.813836918537604</v>
      </c>
      <c r="P2596">
        <v>-8.6503156302053505E-2</v>
      </c>
      <c r="Q2596">
        <v>3.06819223558015E-2</v>
      </c>
      <c r="R2596">
        <v>0.98151125835026198</v>
      </c>
      <c r="S2596" t="s">
        <v>9213</v>
      </c>
      <c r="T2596" t="s">
        <v>13232</v>
      </c>
      <c r="U2596" t="s">
        <v>13232</v>
      </c>
      <c r="V2596" t="s">
        <v>13232</v>
      </c>
      <c r="W2596" t="s">
        <v>15774</v>
      </c>
      <c r="X2596">
        <v>35</v>
      </c>
      <c r="Y2596" t="s">
        <v>22253</v>
      </c>
      <c r="Z2596" t="s">
        <v>28727</v>
      </c>
      <c r="AA2596">
        <v>0.234401702337768</v>
      </c>
      <c r="AB2596" t="str">
        <f>HYPERLINK("Melting_Curves/meltCurve_P54136_RARS.pdf", "Melting_Curves/meltCurve_P54136_RARS.pdf")</f>
        <v>Melting_Curves/meltCurve_P54136_RARS.pdf</v>
      </c>
    </row>
    <row r="2597" spans="1:28" x14ac:dyDescent="0.25">
      <c r="A2597" t="s">
        <v>2601</v>
      </c>
      <c r="B2597">
        <v>0.99930955844802105</v>
      </c>
      <c r="C2597">
        <v>0.85468771967183399</v>
      </c>
      <c r="D2597">
        <v>0.81509615773453903</v>
      </c>
      <c r="E2597">
        <v>0.65710625418724</v>
      </c>
      <c r="F2597">
        <v>0.52115806617723703</v>
      </c>
      <c r="G2597">
        <v>0.35222488736299701</v>
      </c>
      <c r="H2597">
        <v>0.20705725749985701</v>
      </c>
      <c r="I2597">
        <v>0.15474829258817199</v>
      </c>
      <c r="J2597">
        <v>0.14281934337341801</v>
      </c>
      <c r="K2597">
        <v>0.10891937954398399</v>
      </c>
      <c r="L2597">
        <v>506.11510557177297</v>
      </c>
      <c r="M2597">
        <v>9.5322689400406304</v>
      </c>
      <c r="N2597">
        <v>53.184441352929603</v>
      </c>
      <c r="O2597">
        <v>50.915785190976003</v>
      </c>
      <c r="P2597">
        <v>-4.6458733294785497E-2</v>
      </c>
      <c r="Q2597">
        <v>7.9581342750379893E-3</v>
      </c>
      <c r="R2597">
        <v>0.99411757484200503</v>
      </c>
      <c r="S2597" t="s">
        <v>9214</v>
      </c>
      <c r="T2597" t="s">
        <v>13232</v>
      </c>
      <c r="U2597" t="s">
        <v>13232</v>
      </c>
      <c r="V2597" t="s">
        <v>13232</v>
      </c>
      <c r="W2597" t="s">
        <v>15775</v>
      </c>
      <c r="X2597">
        <v>21</v>
      </c>
      <c r="Y2597" t="s">
        <v>22254</v>
      </c>
      <c r="Z2597" t="s">
        <v>28728</v>
      </c>
      <c r="AA2597">
        <v>0.47595673036432778</v>
      </c>
      <c r="AB2597" t="str">
        <f>HYPERLINK("Melting_Curves/meltCurve_P54198_HIRA.pdf", "Melting_Curves/meltCurve_P54198_HIRA.pdf")</f>
        <v>Melting_Curves/meltCurve_P54198_HIRA.pdf</v>
      </c>
    </row>
    <row r="2598" spans="1:28" x14ac:dyDescent="0.25">
      <c r="A2598" t="s">
        <v>2602</v>
      </c>
      <c r="B2598">
        <v>0.99930955844802105</v>
      </c>
      <c r="C2598">
        <v>0.74009053620836196</v>
      </c>
      <c r="D2598">
        <v>0.71430872676795798</v>
      </c>
      <c r="E2598">
        <v>0.61712742411844301</v>
      </c>
      <c r="F2598">
        <v>0.55814666390350498</v>
      </c>
      <c r="G2598">
        <v>0.30473246870053899</v>
      </c>
      <c r="H2598">
        <v>0.18476086710429901</v>
      </c>
      <c r="I2598">
        <v>0.205706620005223</v>
      </c>
      <c r="J2598">
        <v>0.12215221352229499</v>
      </c>
      <c r="K2598">
        <v>0.14897071590739999</v>
      </c>
      <c r="L2598">
        <v>410.13439622371999</v>
      </c>
      <c r="M2598">
        <v>7.8576160248838702</v>
      </c>
      <c r="N2598">
        <v>52.195778267293001</v>
      </c>
      <c r="O2598">
        <v>49.139261581139799</v>
      </c>
      <c r="P2598">
        <v>-4.0024607367057201E-2</v>
      </c>
      <c r="Q2598">
        <v>0</v>
      </c>
      <c r="R2598">
        <v>0.95951902993500005</v>
      </c>
      <c r="S2598" t="s">
        <v>9215</v>
      </c>
      <c r="T2598" t="s">
        <v>13232</v>
      </c>
      <c r="U2598" t="s">
        <v>13232</v>
      </c>
      <c r="V2598" t="s">
        <v>13232</v>
      </c>
      <c r="W2598" t="s">
        <v>15776</v>
      </c>
      <c r="X2598">
        <v>6</v>
      </c>
      <c r="Y2598" t="s">
        <v>22255</v>
      </c>
      <c r="Z2598" t="s">
        <v>28729</v>
      </c>
      <c r="AA2598">
        <v>0.45307726679373062</v>
      </c>
      <c r="AB2598" t="str">
        <f>HYPERLINK("Melting_Curves/meltCurve_P54259_ATN1.pdf", "Melting_Curves/meltCurve_P54259_ATN1.pdf")</f>
        <v>Melting_Curves/meltCurve_P54259_ATN1.pdf</v>
      </c>
    </row>
    <row r="2599" spans="1:28" x14ac:dyDescent="0.25">
      <c r="A2599" t="s">
        <v>2603</v>
      </c>
      <c r="B2599">
        <v>0.99930955844802105</v>
      </c>
      <c r="C2599">
        <v>1.0942061691538501</v>
      </c>
      <c r="D2599">
        <v>1.11580174984373</v>
      </c>
      <c r="E2599">
        <v>1.0181888387978699</v>
      </c>
      <c r="F2599">
        <v>0.69135666664532502</v>
      </c>
      <c r="G2599">
        <v>0.35484387114889399</v>
      </c>
      <c r="H2599">
        <v>0.24442190547492401</v>
      </c>
      <c r="I2599">
        <v>0.20961625593102901</v>
      </c>
      <c r="J2599">
        <v>0.20724952631194499</v>
      </c>
      <c r="K2599">
        <v>0.16747030641132499</v>
      </c>
      <c r="L2599">
        <v>1782.40665447366</v>
      </c>
      <c r="M2599">
        <v>32.967498257900999</v>
      </c>
      <c r="N2599">
        <v>54.942374984861502</v>
      </c>
      <c r="O2599">
        <v>53.867824494689899</v>
      </c>
      <c r="P2599">
        <v>-0.121705580398957</v>
      </c>
      <c r="Q2599">
        <v>0.204551949631116</v>
      </c>
      <c r="R2599">
        <v>0.97928647556376702</v>
      </c>
      <c r="S2599" t="s">
        <v>9216</v>
      </c>
      <c r="T2599" t="s">
        <v>13232</v>
      </c>
      <c r="U2599" t="s">
        <v>13232</v>
      </c>
      <c r="V2599" t="s">
        <v>13232</v>
      </c>
      <c r="W2599" t="s">
        <v>15777</v>
      </c>
      <c r="X2599">
        <v>7</v>
      </c>
      <c r="Y2599" t="s">
        <v>22256</v>
      </c>
      <c r="Z2599" t="s">
        <v>28730</v>
      </c>
      <c r="AA2599">
        <v>0.58185229572383512</v>
      </c>
      <c r="AB2599" t="str">
        <f>HYPERLINK("Melting_Curves/meltCurve_P54274_2_TERF1.pdf", "Melting_Curves/meltCurve_P54274_2_TERF1.pdf")</f>
        <v>Melting_Curves/meltCurve_P54274_2_TERF1.pdf</v>
      </c>
    </row>
    <row r="2600" spans="1:28" x14ac:dyDescent="0.25">
      <c r="A2600" t="s">
        <v>2604</v>
      </c>
      <c r="B2600">
        <v>0.99930955844802105</v>
      </c>
      <c r="C2600">
        <v>1.0029890363559499</v>
      </c>
      <c r="D2600">
        <v>0.99099300069340202</v>
      </c>
      <c r="E2600">
        <v>0.907901042509073</v>
      </c>
      <c r="F2600">
        <v>0.79244673429864798</v>
      </c>
      <c r="G2600">
        <v>0.57257136577184198</v>
      </c>
      <c r="H2600">
        <v>0.300641085229918</v>
      </c>
      <c r="I2600">
        <v>0.22363850401010599</v>
      </c>
      <c r="J2600">
        <v>0.18002414772915001</v>
      </c>
      <c r="K2600">
        <v>0.157866012512446</v>
      </c>
      <c r="L2600">
        <v>976.33940184319101</v>
      </c>
      <c r="M2600">
        <v>17.185318578132101</v>
      </c>
      <c r="N2600">
        <v>57.7007485599067</v>
      </c>
      <c r="O2600">
        <v>56.059877883589401</v>
      </c>
      <c r="P2600">
        <v>-6.7734191574901695E-2</v>
      </c>
      <c r="Q2600">
        <v>0.116235016470823</v>
      </c>
      <c r="R2600">
        <v>0.99856169226364599</v>
      </c>
      <c r="S2600" t="s">
        <v>9217</v>
      </c>
      <c r="T2600" t="s">
        <v>13232</v>
      </c>
      <c r="U2600" t="s">
        <v>13232</v>
      </c>
      <c r="V2600" t="s">
        <v>13232</v>
      </c>
      <c r="W2600" t="s">
        <v>15778</v>
      </c>
      <c r="X2600">
        <v>18</v>
      </c>
      <c r="Y2600" t="s">
        <v>22257</v>
      </c>
      <c r="Z2600" t="s">
        <v>28731</v>
      </c>
      <c r="AA2600">
        <v>0.6243935287677328</v>
      </c>
      <c r="AB2600" t="str">
        <f>HYPERLINK("Melting_Curves/meltCurve_P54277_3_PMS1.pdf", "Melting_Curves/meltCurve_P54277_3_PMS1.pdf")</f>
        <v>Melting_Curves/meltCurve_P54277_3_PMS1.pdf</v>
      </c>
    </row>
    <row r="2601" spans="1:28" x14ac:dyDescent="0.25">
      <c r="A2601" t="s">
        <v>2605</v>
      </c>
      <c r="B2601">
        <v>0.99930955844802105</v>
      </c>
      <c r="C2601">
        <v>1.00455517353502</v>
      </c>
      <c r="D2601">
        <v>0.807074187350032</v>
      </c>
      <c r="E2601">
        <v>0.51284823672657998</v>
      </c>
      <c r="F2601">
        <v>0.27449136215861902</v>
      </c>
      <c r="G2601">
        <v>0.18478596746909501</v>
      </c>
      <c r="H2601">
        <v>0.131863928695578</v>
      </c>
      <c r="I2601">
        <v>0.130617844105584</v>
      </c>
      <c r="J2601">
        <v>0.121618222396667</v>
      </c>
      <c r="K2601">
        <v>9.3864653683429097E-2</v>
      </c>
      <c r="L2601">
        <v>995.82197247078898</v>
      </c>
      <c r="M2601">
        <v>20.179293211801401</v>
      </c>
      <c r="N2601">
        <v>49.983776467273501</v>
      </c>
      <c r="O2601">
        <v>48.8717397656985</v>
      </c>
      <c r="P2601">
        <v>-9.1555968267689594E-2</v>
      </c>
      <c r="Q2601">
        <v>0.113079220050915</v>
      </c>
      <c r="R2601">
        <v>0.99678289874339998</v>
      </c>
      <c r="S2601" t="s">
        <v>9218</v>
      </c>
      <c r="T2601" t="s">
        <v>13232</v>
      </c>
      <c r="U2601" t="s">
        <v>13232</v>
      </c>
      <c r="V2601" t="s">
        <v>13232</v>
      </c>
      <c r="W2601" t="s">
        <v>15779</v>
      </c>
      <c r="X2601">
        <v>17</v>
      </c>
      <c r="Y2601" t="s">
        <v>22258</v>
      </c>
      <c r="Z2601" t="s">
        <v>28732</v>
      </c>
      <c r="AA2601">
        <v>0.40163375417094282</v>
      </c>
      <c r="AB2601" t="str">
        <f>HYPERLINK("Melting_Curves/meltCurve_P54278_PMS2.pdf", "Melting_Curves/meltCurve_P54278_PMS2.pdf")</f>
        <v>Melting_Curves/meltCurve_P54278_PMS2.pdf</v>
      </c>
    </row>
    <row r="2602" spans="1:28" x14ac:dyDescent="0.25">
      <c r="A2602" t="s">
        <v>2606</v>
      </c>
      <c r="B2602">
        <v>0.99930955844802105</v>
      </c>
      <c r="C2602">
        <v>0.94243929778968505</v>
      </c>
      <c r="D2602">
        <v>0.61347894749960297</v>
      </c>
      <c r="E2602">
        <v>0.276223041774945</v>
      </c>
      <c r="F2602">
        <v>0.155825035060038</v>
      </c>
      <c r="G2602">
        <v>0.11098771036951199</v>
      </c>
      <c r="H2602">
        <v>6.5260791244630897E-2</v>
      </c>
      <c r="I2602">
        <v>5.5070539918713302E-2</v>
      </c>
      <c r="J2602">
        <v>4.8402270122788603E-2</v>
      </c>
      <c r="K2602">
        <v>3.76879262201796E-2</v>
      </c>
      <c r="L2602">
        <v>1010.12612772967</v>
      </c>
      <c r="M2602">
        <v>21.4475268132915</v>
      </c>
      <c r="N2602">
        <v>47.375800205415999</v>
      </c>
      <c r="O2602">
        <v>46.6938484182064</v>
      </c>
      <c r="P2602">
        <v>-0.108037981311693</v>
      </c>
      <c r="Q2602">
        <v>5.9176449122122603E-2</v>
      </c>
      <c r="R2602">
        <v>0.99573171951624295</v>
      </c>
      <c r="S2602" t="s">
        <v>9219</v>
      </c>
      <c r="T2602" t="s">
        <v>13232</v>
      </c>
      <c r="U2602" t="s">
        <v>13232</v>
      </c>
      <c r="V2602" t="s">
        <v>13232</v>
      </c>
      <c r="W2602" t="s">
        <v>15780</v>
      </c>
      <c r="X2602">
        <v>51</v>
      </c>
      <c r="Y2602" t="s">
        <v>22259</v>
      </c>
      <c r="Z2602" t="s">
        <v>28733</v>
      </c>
      <c r="AA2602">
        <v>0.29352116197633121</v>
      </c>
      <c r="AB2602" t="str">
        <f>HYPERLINK("Melting_Curves/meltCurve_P54577_YARS.pdf", "Melting_Curves/meltCurve_P54577_YARS.pdf")</f>
        <v>Melting_Curves/meltCurve_P54577_YARS.pdf</v>
      </c>
    </row>
    <row r="2603" spans="1:28" x14ac:dyDescent="0.25">
      <c r="A2603" t="s">
        <v>2607</v>
      </c>
      <c r="B2603">
        <v>0.99930955844802105</v>
      </c>
      <c r="C2603">
        <v>0.94683775894725997</v>
      </c>
      <c r="D2603">
        <v>0.97755137780230805</v>
      </c>
      <c r="E2603">
        <v>0.88591223435205602</v>
      </c>
      <c r="F2603">
        <v>0.27402618485103603</v>
      </c>
      <c r="G2603">
        <v>0.17119447326696799</v>
      </c>
      <c r="H2603">
        <v>9.1712235558700103E-2</v>
      </c>
      <c r="I2603">
        <v>7.1006045002745197E-2</v>
      </c>
      <c r="J2603">
        <v>6.0322563721427497E-2</v>
      </c>
      <c r="K2603">
        <v>4.7444908874030002E-2</v>
      </c>
      <c r="L2603">
        <v>2824.96489597762</v>
      </c>
      <c r="M2603">
        <v>54.608050078366098</v>
      </c>
      <c r="N2603">
        <v>51.911304689127697</v>
      </c>
      <c r="O2603">
        <v>51.662402409569701</v>
      </c>
      <c r="P2603">
        <v>-0.24150242950633</v>
      </c>
      <c r="Q2603">
        <v>8.6098656837351198E-2</v>
      </c>
      <c r="R2603">
        <v>0.99295236633517203</v>
      </c>
      <c r="S2603" t="s">
        <v>9220</v>
      </c>
      <c r="T2603" t="s">
        <v>13232</v>
      </c>
      <c r="U2603" t="s">
        <v>13232</v>
      </c>
      <c r="V2603" t="s">
        <v>13232</v>
      </c>
      <c r="W2603" t="s">
        <v>15781</v>
      </c>
      <c r="X2603">
        <v>32</v>
      </c>
      <c r="Y2603" t="s">
        <v>22260</v>
      </c>
      <c r="Z2603" t="s">
        <v>28734</v>
      </c>
      <c r="AA2603">
        <v>0.44523125605272768</v>
      </c>
      <c r="AB2603" t="str">
        <f>HYPERLINK("Melting_Curves/meltCurve_P54578_USP14.pdf", "Melting_Curves/meltCurve_P54578_USP14.pdf")</f>
        <v>Melting_Curves/meltCurve_P54578_USP14.pdf</v>
      </c>
    </row>
    <row r="2604" spans="1:28" x14ac:dyDescent="0.25">
      <c r="A2604" t="s">
        <v>2608</v>
      </c>
      <c r="B2604">
        <v>0.99930955844802105</v>
      </c>
      <c r="C2604">
        <v>0.95712519684526598</v>
      </c>
      <c r="D2604">
        <v>0.90596967777095405</v>
      </c>
      <c r="E2604">
        <v>0.78604149414637803</v>
      </c>
      <c r="F2604">
        <v>0.43690882555392002</v>
      </c>
      <c r="G2604">
        <v>0.20544691235402099</v>
      </c>
      <c r="H2604">
        <v>8.6214047761592097E-2</v>
      </c>
      <c r="I2604">
        <v>5.9219509769423501E-2</v>
      </c>
      <c r="J2604">
        <v>4.2038431218403102E-2</v>
      </c>
      <c r="K2604">
        <v>3.115898947427E-2</v>
      </c>
      <c r="L2604">
        <v>1059.3171938251501</v>
      </c>
      <c r="M2604">
        <v>20.1766155076327</v>
      </c>
      <c r="N2604">
        <v>52.665059158339702</v>
      </c>
      <c r="O2604">
        <v>51.994630774809899</v>
      </c>
      <c r="P2604">
        <v>-9.4082364254421402E-2</v>
      </c>
      <c r="Q2604">
        <v>3.02386728760888E-2</v>
      </c>
      <c r="R2604">
        <v>0.99618002762129498</v>
      </c>
      <c r="S2604" t="s">
        <v>9221</v>
      </c>
      <c r="T2604" t="s">
        <v>13232</v>
      </c>
      <c r="U2604" t="s">
        <v>13232</v>
      </c>
      <c r="V2604" t="s">
        <v>13232</v>
      </c>
      <c r="W2604" t="s">
        <v>15782</v>
      </c>
      <c r="X2604">
        <v>10</v>
      </c>
      <c r="Y2604" t="s">
        <v>22261</v>
      </c>
      <c r="Z2604" t="s">
        <v>28735</v>
      </c>
      <c r="AA2604">
        <v>0.44755915833488369</v>
      </c>
      <c r="AB2604" t="str">
        <f>HYPERLINK("Melting_Curves/meltCurve_P54619_2_PRKAG1.pdf", "Melting_Curves/meltCurve_P54619_2_PRKAG1.pdf")</f>
        <v>Melting_Curves/meltCurve_P54619_2_PRKAG1.pdf</v>
      </c>
    </row>
    <row r="2605" spans="1:28" x14ac:dyDescent="0.25">
      <c r="A2605" t="s">
        <v>2609</v>
      </c>
      <c r="B2605">
        <v>0.99930955844802105</v>
      </c>
      <c r="C2605">
        <v>1.02056499673349</v>
      </c>
      <c r="D2605">
        <v>1.00348558286553</v>
      </c>
      <c r="E2605">
        <v>0.93620846298363902</v>
      </c>
      <c r="F2605">
        <v>0.89877369443356003</v>
      </c>
      <c r="G2605">
        <v>0.66045916383074998</v>
      </c>
      <c r="H2605">
        <v>0.37685956942205101</v>
      </c>
      <c r="I2605">
        <v>0.183485135992947</v>
      </c>
      <c r="J2605">
        <v>0.106737884417375</v>
      </c>
      <c r="K2605">
        <v>7.1186646259731895E-2</v>
      </c>
      <c r="L2605">
        <v>1080.12208675785</v>
      </c>
      <c r="M2605">
        <v>18.289346498362502</v>
      </c>
      <c r="N2605">
        <v>59.107223589358497</v>
      </c>
      <c r="O2605">
        <v>58.364988115099102</v>
      </c>
      <c r="P2605">
        <v>-7.7745313831322799E-2</v>
      </c>
      <c r="Q2605">
        <v>7.6421627646561302E-3</v>
      </c>
      <c r="R2605">
        <v>0.99856098000905202</v>
      </c>
      <c r="S2605" t="s">
        <v>9222</v>
      </c>
      <c r="T2605" t="s">
        <v>13232</v>
      </c>
      <c r="U2605" t="s">
        <v>13232</v>
      </c>
      <c r="V2605" t="s">
        <v>13232</v>
      </c>
      <c r="W2605" t="s">
        <v>15783</v>
      </c>
      <c r="X2605">
        <v>13</v>
      </c>
      <c r="Y2605" t="s">
        <v>22262</v>
      </c>
      <c r="Z2605" t="s">
        <v>28736</v>
      </c>
      <c r="AA2605">
        <v>0.64837451426248893</v>
      </c>
      <c r="AB2605" t="str">
        <f>HYPERLINK("Melting_Curves/meltCurve_P54687_4_BCAT1.pdf", "Melting_Curves/meltCurve_P54687_4_BCAT1.pdf")</f>
        <v>Melting_Curves/meltCurve_P54687_4_BCAT1.pdf</v>
      </c>
    </row>
    <row r="2606" spans="1:28" x14ac:dyDescent="0.25">
      <c r="A2606" t="s">
        <v>2610</v>
      </c>
      <c r="B2606">
        <v>0.99930955844802105</v>
      </c>
      <c r="C2606">
        <v>1.1773862017387899</v>
      </c>
      <c r="D2606">
        <v>1.1913334344645601</v>
      </c>
      <c r="E2606">
        <v>1.1349202421034199</v>
      </c>
      <c r="F2606">
        <v>1.0736201970724499</v>
      </c>
      <c r="G2606">
        <v>1.01092388394179</v>
      </c>
      <c r="H2606">
        <v>1.1641665943994199</v>
      </c>
      <c r="I2606">
        <v>1.1450868237523899</v>
      </c>
      <c r="J2606">
        <v>1.18120749275418</v>
      </c>
      <c r="K2606">
        <v>0.92274491612996301</v>
      </c>
      <c r="L2606">
        <v>10261.1304661541</v>
      </c>
      <c r="M2606">
        <v>250</v>
      </c>
      <c r="O2606">
        <v>41.041883227236902</v>
      </c>
      <c r="P2606">
        <v>0.16943889545801299</v>
      </c>
      <c r="Q2606">
        <v>1.1112654945000899</v>
      </c>
      <c r="R2606">
        <v>0.14372159359463599</v>
      </c>
      <c r="S2606" t="s">
        <v>9223</v>
      </c>
      <c r="T2606" t="s">
        <v>13232</v>
      </c>
      <c r="U2606" t="s">
        <v>13232</v>
      </c>
      <c r="V2606" t="s">
        <v>13232</v>
      </c>
      <c r="W2606" t="s">
        <v>15784</v>
      </c>
      <c r="X2606">
        <v>19</v>
      </c>
      <c r="Y2606" t="s">
        <v>22263</v>
      </c>
      <c r="Z2606" t="s">
        <v>28737</v>
      </c>
      <c r="AA2606">
        <v>1.107382666939013</v>
      </c>
      <c r="AB2606" t="str">
        <f>HYPERLINK("Melting_Curves/meltCurve_P54727_RAD23B.pdf", "Melting_Curves/meltCurve_P54727_RAD23B.pdf")</f>
        <v>Melting_Curves/meltCurve_P54727_RAD23B.pdf</v>
      </c>
    </row>
    <row r="2607" spans="1:28" x14ac:dyDescent="0.25">
      <c r="A2607" t="s">
        <v>2611</v>
      </c>
      <c r="B2607">
        <v>0.99930955844802105</v>
      </c>
      <c r="C2607">
        <v>0.86779557499678905</v>
      </c>
      <c r="D2607">
        <v>0.87098592421194798</v>
      </c>
      <c r="E2607">
        <v>0.90209483951255198</v>
      </c>
      <c r="F2607">
        <v>0.90455316515715001</v>
      </c>
      <c r="G2607">
        <v>0.62604280512074295</v>
      </c>
      <c r="H2607">
        <v>0.193840046593828</v>
      </c>
      <c r="I2607">
        <v>9.8709626557834607E-2</v>
      </c>
      <c r="J2607">
        <v>6.5641536009280396E-2</v>
      </c>
      <c r="K2607">
        <v>4.6011176940505702E-2</v>
      </c>
      <c r="L2607">
        <v>1486.24714106794</v>
      </c>
      <c r="M2607">
        <v>25.731606097407798</v>
      </c>
      <c r="N2607">
        <v>57.889157234918699</v>
      </c>
      <c r="O2607">
        <v>57.414128088732703</v>
      </c>
      <c r="P2607">
        <v>-0.108910383756645</v>
      </c>
      <c r="Q2607">
        <v>2.7978318398139201E-2</v>
      </c>
      <c r="R2607">
        <v>0.971424025131988</v>
      </c>
      <c r="S2607" t="s">
        <v>9224</v>
      </c>
      <c r="T2607" t="s">
        <v>13232</v>
      </c>
      <c r="U2607" t="s">
        <v>13232</v>
      </c>
      <c r="V2607" t="s">
        <v>13232</v>
      </c>
      <c r="W2607" t="s">
        <v>15785</v>
      </c>
      <c r="X2607">
        <v>17</v>
      </c>
      <c r="Y2607" t="s">
        <v>22264</v>
      </c>
      <c r="Z2607" t="s">
        <v>28738</v>
      </c>
      <c r="AA2607">
        <v>0.61159321997887495</v>
      </c>
      <c r="AB2607" t="str">
        <f>HYPERLINK("Melting_Curves/meltCurve_P54802_NAGLU.pdf", "Melting_Curves/meltCurve_P54802_NAGLU.pdf")</f>
        <v>Melting_Curves/meltCurve_P54802_NAGLU.pdf</v>
      </c>
    </row>
    <row r="2608" spans="1:28" x14ac:dyDescent="0.25">
      <c r="A2608" t="s">
        <v>2612</v>
      </c>
      <c r="B2608">
        <v>0.99930955844802105</v>
      </c>
      <c r="C2608">
        <v>0.80043427672531098</v>
      </c>
      <c r="D2608">
        <v>0.61327240510336201</v>
      </c>
      <c r="E2608">
        <v>0.343472259337196</v>
      </c>
      <c r="F2608">
        <v>0.178476775569372</v>
      </c>
      <c r="G2608">
        <v>0.11650487329435601</v>
      </c>
      <c r="H2608">
        <v>7.1309149102624106E-2</v>
      </c>
      <c r="I2608">
        <v>6.0027725522627903E-2</v>
      </c>
      <c r="J2608">
        <v>5.8151493628070199E-2</v>
      </c>
      <c r="K2608">
        <v>3.9416553253795901E-2</v>
      </c>
      <c r="L2608">
        <v>727.09738149514703</v>
      </c>
      <c r="M2608">
        <v>15.4057032467224</v>
      </c>
      <c r="N2608">
        <v>47.475931565578001</v>
      </c>
      <c r="O2608">
        <v>46.422855747735397</v>
      </c>
      <c r="P2608">
        <v>-7.9377074502791301E-2</v>
      </c>
      <c r="Q2608">
        <v>4.3322088864089003E-2</v>
      </c>
      <c r="R2608">
        <v>0.99572516190042903</v>
      </c>
      <c r="S2608" t="s">
        <v>9225</v>
      </c>
      <c r="T2608" t="s">
        <v>13232</v>
      </c>
      <c r="U2608" t="s">
        <v>13232</v>
      </c>
      <c r="V2608" t="s">
        <v>13232</v>
      </c>
      <c r="W2608" t="s">
        <v>15786</v>
      </c>
      <c r="X2608">
        <v>23</v>
      </c>
      <c r="Y2608" t="s">
        <v>22265</v>
      </c>
      <c r="Z2608" t="s">
        <v>28739</v>
      </c>
      <c r="AA2608">
        <v>0.29713114191883339</v>
      </c>
      <c r="AB2608" t="str">
        <f>HYPERLINK("Melting_Curves/meltCurve_P54886_2_ALDH18A1.pdf", "Melting_Curves/meltCurve_P54886_2_ALDH18A1.pdf")</f>
        <v>Melting_Curves/meltCurve_P54886_2_ALDH18A1.pdf</v>
      </c>
    </row>
    <row r="2609" spans="1:28" x14ac:dyDescent="0.25">
      <c r="A2609" t="s">
        <v>2613</v>
      </c>
      <c r="B2609">
        <v>0.99930955844802105</v>
      </c>
      <c r="C2609">
        <v>0.97488732748450901</v>
      </c>
      <c r="D2609">
        <v>0.94170537298685997</v>
      </c>
      <c r="E2609">
        <v>0.90832892017</v>
      </c>
      <c r="F2609">
        <v>0.64970409352123604</v>
      </c>
      <c r="G2609">
        <v>0.265076572984692</v>
      </c>
      <c r="H2609">
        <v>0.15748256110966</v>
      </c>
      <c r="I2609">
        <v>0.12626958189083001</v>
      </c>
      <c r="J2609">
        <v>0.12060572191206</v>
      </c>
      <c r="K2609">
        <v>9.3671790620146897E-2</v>
      </c>
      <c r="L2609">
        <v>1438.4690350293199</v>
      </c>
      <c r="M2609">
        <v>26.7145176272473</v>
      </c>
      <c r="N2609">
        <v>54.3446672157772</v>
      </c>
      <c r="O2609">
        <v>53.546956938468803</v>
      </c>
      <c r="P2609">
        <v>-0.11116754516548299</v>
      </c>
      <c r="Q2609">
        <v>0.108706013080363</v>
      </c>
      <c r="R2609">
        <v>0.99751788211548498</v>
      </c>
      <c r="S2609" t="s">
        <v>9226</v>
      </c>
      <c r="T2609" t="s">
        <v>13232</v>
      </c>
      <c r="U2609" t="s">
        <v>13232</v>
      </c>
      <c r="V2609" t="s">
        <v>13232</v>
      </c>
      <c r="W2609" t="s">
        <v>15787</v>
      </c>
      <c r="X2609">
        <v>20</v>
      </c>
      <c r="Y2609" t="s">
        <v>22266</v>
      </c>
      <c r="Z2609" t="s">
        <v>28740</v>
      </c>
      <c r="AA2609">
        <v>0.5273571133029179</v>
      </c>
      <c r="AB2609" t="str">
        <f>HYPERLINK("Melting_Curves/meltCurve_P54920_NAPA.pdf", "Melting_Curves/meltCurve_P54920_NAPA.pdf")</f>
        <v>Melting_Curves/meltCurve_P54920_NAPA.pdf</v>
      </c>
    </row>
    <row r="2610" spans="1:28" x14ac:dyDescent="0.25">
      <c r="A2610" t="s">
        <v>2614</v>
      </c>
      <c r="B2610">
        <v>0.99930955844802105</v>
      </c>
      <c r="C2610">
        <v>0.97858775817960897</v>
      </c>
      <c r="D2610">
        <v>0.96006325819253002</v>
      </c>
      <c r="E2610">
        <v>0.78083936293468703</v>
      </c>
      <c r="F2610">
        <v>0.27186805008772003</v>
      </c>
      <c r="G2610">
        <v>0.17489953351537399</v>
      </c>
      <c r="H2610">
        <v>0.109268311185186</v>
      </c>
      <c r="I2610">
        <v>9.6856605763337406E-2</v>
      </c>
      <c r="J2610">
        <v>9.0817183832866397E-2</v>
      </c>
      <c r="K2610">
        <v>6.2299623771587598E-2</v>
      </c>
      <c r="L2610">
        <v>2147.5087752227</v>
      </c>
      <c r="M2610">
        <v>41.8732671358772</v>
      </c>
      <c r="N2610">
        <v>51.566400996474997</v>
      </c>
      <c r="O2610">
        <v>51.169358431755001</v>
      </c>
      <c r="P2610">
        <v>-0.183746337895248</v>
      </c>
      <c r="Q2610">
        <v>0.101845503762484</v>
      </c>
      <c r="R2610">
        <v>0.995484254266913</v>
      </c>
      <c r="S2610" t="s">
        <v>9227</v>
      </c>
      <c r="T2610" t="s">
        <v>13232</v>
      </c>
      <c r="U2610" t="s">
        <v>13232</v>
      </c>
      <c r="V2610" t="s">
        <v>13232</v>
      </c>
      <c r="W2610" t="s">
        <v>15788</v>
      </c>
      <c r="X2610">
        <v>9</v>
      </c>
      <c r="Y2610" t="s">
        <v>22267</v>
      </c>
      <c r="Z2610" t="s">
        <v>28741</v>
      </c>
      <c r="AA2610">
        <v>0.44263185202868383</v>
      </c>
      <c r="AB2610" t="str">
        <f>HYPERLINK("Melting_Curves/meltCurve_P54922_ADPRH.pdf", "Melting_Curves/meltCurve_P54922_ADPRH.pdf")</f>
        <v>Melting_Curves/meltCurve_P54922_ADPRH.pdf</v>
      </c>
    </row>
    <row r="2611" spans="1:28" x14ac:dyDescent="0.25">
      <c r="A2611" t="s">
        <v>2615</v>
      </c>
      <c r="B2611">
        <v>0.99930955844802105</v>
      </c>
      <c r="C2611">
        <v>1.1049845745251801</v>
      </c>
      <c r="D2611">
        <v>1.1121648855180799</v>
      </c>
      <c r="E2611">
        <v>1.1435662506469</v>
      </c>
      <c r="F2611">
        <v>1.0786307701425299</v>
      </c>
      <c r="G2611">
        <v>0.79455255285028104</v>
      </c>
      <c r="H2611">
        <v>0.78422950034092698</v>
      </c>
      <c r="I2611">
        <v>0.65175880072555803</v>
      </c>
      <c r="J2611">
        <v>0.65420539810654199</v>
      </c>
      <c r="K2611">
        <v>0.54397467130188704</v>
      </c>
      <c r="L2611">
        <v>1291.3854625515601</v>
      </c>
      <c r="M2611">
        <v>21.557716675681601</v>
      </c>
      <c r="O2611">
        <v>59.3953254424503</v>
      </c>
      <c r="P2611">
        <v>-3.8961897079442899E-2</v>
      </c>
      <c r="Q2611">
        <v>0.57062279628090196</v>
      </c>
      <c r="R2611">
        <v>0.84353898923881299</v>
      </c>
      <c r="S2611" t="s">
        <v>9228</v>
      </c>
      <c r="T2611" t="s">
        <v>13232</v>
      </c>
      <c r="U2611" t="s">
        <v>13232</v>
      </c>
      <c r="V2611" t="s">
        <v>13232</v>
      </c>
      <c r="W2611" t="s">
        <v>15789</v>
      </c>
      <c r="X2611">
        <v>5</v>
      </c>
      <c r="Y2611" t="s">
        <v>22268</v>
      </c>
      <c r="Z2611" t="s">
        <v>28742</v>
      </c>
      <c r="AA2611">
        <v>0.85907242958567209</v>
      </c>
      <c r="AB2611" t="str">
        <f>HYPERLINK("Melting_Curves/meltCurve_P55008_AIF1.pdf", "Melting_Curves/meltCurve_P55008_AIF1.pdf")</f>
        <v>Melting_Curves/meltCurve_P55008_AIF1.pdf</v>
      </c>
    </row>
    <row r="2612" spans="1:28" x14ac:dyDescent="0.25">
      <c r="A2612" t="s">
        <v>2616</v>
      </c>
      <c r="B2612">
        <v>0.99930955844802105</v>
      </c>
      <c r="C2612">
        <v>0.89154727112861498</v>
      </c>
      <c r="D2612">
        <v>0.76981322281881204</v>
      </c>
      <c r="E2612">
        <v>0.63459908060560699</v>
      </c>
      <c r="F2612">
        <v>0.25119520491386699</v>
      </c>
      <c r="G2612">
        <v>0.15369008965594499</v>
      </c>
      <c r="H2612">
        <v>7.8356801741147494E-2</v>
      </c>
      <c r="I2612">
        <v>5.8295699059411399E-2</v>
      </c>
      <c r="J2612">
        <v>4.9387738070635602E-2</v>
      </c>
      <c r="K2612">
        <v>3.7144833578305898E-2</v>
      </c>
      <c r="L2612">
        <v>769.22920330293005</v>
      </c>
      <c r="M2612">
        <v>15.2886171363391</v>
      </c>
      <c r="N2612">
        <v>50.4338807826582</v>
      </c>
      <c r="O2612">
        <v>49.476613029090103</v>
      </c>
      <c r="P2612">
        <v>-7.5878809757324694E-2</v>
      </c>
      <c r="Q2612">
        <v>1.7864200770123701E-2</v>
      </c>
      <c r="R2612">
        <v>0.98492938498550098</v>
      </c>
      <c r="S2612" t="s">
        <v>9229</v>
      </c>
      <c r="T2612" t="s">
        <v>13232</v>
      </c>
      <c r="U2612" t="s">
        <v>13232</v>
      </c>
      <c r="V2612" t="s">
        <v>13232</v>
      </c>
      <c r="W2612" t="s">
        <v>15790</v>
      </c>
      <c r="X2612">
        <v>17</v>
      </c>
      <c r="Y2612" t="s">
        <v>22269</v>
      </c>
      <c r="Z2612" t="s">
        <v>28743</v>
      </c>
      <c r="AA2612">
        <v>0.37794692062403212</v>
      </c>
      <c r="AB2612" t="str">
        <f>HYPERLINK("Melting_Curves/meltCurve_P55010_EIF5.pdf", "Melting_Curves/meltCurve_P55010_EIF5.pdf")</f>
        <v>Melting_Curves/meltCurve_P55010_EIF5.pdf</v>
      </c>
    </row>
    <row r="2613" spans="1:28" x14ac:dyDescent="0.25">
      <c r="A2613" t="s">
        <v>2617</v>
      </c>
      <c r="B2613">
        <v>0.99930955844802105</v>
      </c>
      <c r="C2613">
        <v>0.850780288109384</v>
      </c>
      <c r="D2613">
        <v>0.900623637248263</v>
      </c>
      <c r="E2613">
        <v>0.84891510325223596</v>
      </c>
      <c r="F2613">
        <v>0.69676478182506296</v>
      </c>
      <c r="G2613">
        <v>0.52067791872820102</v>
      </c>
      <c r="H2613">
        <v>0.33777423186720401</v>
      </c>
      <c r="I2613">
        <v>0.28818857051973901</v>
      </c>
      <c r="J2613">
        <v>0.26557729073839198</v>
      </c>
      <c r="K2613">
        <v>0.21564140766348899</v>
      </c>
      <c r="L2613">
        <v>566.2144716148</v>
      </c>
      <c r="M2613">
        <v>10.0667152302871</v>
      </c>
      <c r="N2613">
        <v>57.449934287744298</v>
      </c>
      <c r="O2613">
        <v>54.161885058254803</v>
      </c>
      <c r="P2613">
        <v>-4.2067697357216202E-2</v>
      </c>
      <c r="Q2613">
        <v>9.5082807662018695E-2</v>
      </c>
      <c r="R2613">
        <v>0.978202961319521</v>
      </c>
      <c r="S2613" t="s">
        <v>9230</v>
      </c>
      <c r="T2613" t="s">
        <v>13232</v>
      </c>
      <c r="U2613" t="s">
        <v>13232</v>
      </c>
      <c r="V2613" t="s">
        <v>13232</v>
      </c>
      <c r="W2613" t="s">
        <v>15791</v>
      </c>
      <c r="X2613">
        <v>14</v>
      </c>
      <c r="Y2613" t="s">
        <v>22270</v>
      </c>
      <c r="Z2613" t="s">
        <v>28744</v>
      </c>
      <c r="AA2613">
        <v>0.60310837984318466</v>
      </c>
      <c r="AB2613" t="str">
        <f>HYPERLINK("Melting_Curves/meltCurve_P55036_PSMD4.pdf", "Melting_Curves/meltCurve_P55036_PSMD4.pdf")</f>
        <v>Melting_Curves/meltCurve_P55036_PSMD4.pdf</v>
      </c>
    </row>
    <row r="2614" spans="1:28" x14ac:dyDescent="0.25">
      <c r="A2614" t="s">
        <v>2618</v>
      </c>
      <c r="B2614">
        <v>0.99930955844802105</v>
      </c>
      <c r="C2614">
        <v>1.03937956802776</v>
      </c>
      <c r="D2614">
        <v>1.02380376951435</v>
      </c>
      <c r="E2614">
        <v>0.79556746197144701</v>
      </c>
      <c r="F2614">
        <v>0.405471647827785</v>
      </c>
      <c r="G2614">
        <v>0.161155726735591</v>
      </c>
      <c r="H2614">
        <v>9.8949826710126296E-2</v>
      </c>
      <c r="I2614">
        <v>7.7307928716685806E-2</v>
      </c>
      <c r="J2614">
        <v>6.6969946673824804E-2</v>
      </c>
      <c r="K2614">
        <v>4.9181462601603602E-2</v>
      </c>
      <c r="L2614">
        <v>1580.0677362852</v>
      </c>
      <c r="M2614">
        <v>30.3432528730876</v>
      </c>
      <c r="N2614">
        <v>52.347345026371599</v>
      </c>
      <c r="O2614">
        <v>51.848489676874202</v>
      </c>
      <c r="P2614">
        <v>-0.135557224412647</v>
      </c>
      <c r="Q2614">
        <v>7.3481468558250398E-2</v>
      </c>
      <c r="R2614">
        <v>0.99718284392110101</v>
      </c>
      <c r="S2614" t="s">
        <v>9231</v>
      </c>
      <c r="T2614" t="s">
        <v>13232</v>
      </c>
      <c r="U2614" t="s">
        <v>13232</v>
      </c>
      <c r="V2614" t="s">
        <v>13232</v>
      </c>
      <c r="W2614" t="s">
        <v>15792</v>
      </c>
      <c r="X2614">
        <v>22</v>
      </c>
      <c r="Y2614" t="s">
        <v>22271</v>
      </c>
      <c r="Z2614" t="s">
        <v>28745</v>
      </c>
      <c r="AA2614">
        <v>0.45214140763453847</v>
      </c>
      <c r="AB2614" t="str">
        <f>HYPERLINK("Melting_Curves/meltCurve_P55039_DRG2.pdf", "Melting_Curves/meltCurve_P55039_DRG2.pdf")</f>
        <v>Melting_Curves/meltCurve_P55039_DRG2.pdf</v>
      </c>
    </row>
    <row r="2615" spans="1:28" x14ac:dyDescent="0.25">
      <c r="A2615" t="s">
        <v>2619</v>
      </c>
      <c r="B2615">
        <v>0.99930955844802105</v>
      </c>
      <c r="C2615">
        <v>1.0167888588345799</v>
      </c>
      <c r="D2615">
        <v>1.0133946819286901</v>
      </c>
      <c r="E2615">
        <v>0.86820833620415305</v>
      </c>
      <c r="F2615">
        <v>0.18282261076092099</v>
      </c>
      <c r="G2615">
        <v>0.129410437659711</v>
      </c>
      <c r="H2615">
        <v>7.4127940226040301E-2</v>
      </c>
      <c r="I2615">
        <v>6.2556333027699695E-2</v>
      </c>
      <c r="J2615">
        <v>5.7354320164957097E-2</v>
      </c>
      <c r="K2615">
        <v>4.2809646152348398E-2</v>
      </c>
      <c r="L2615">
        <v>3336.4066340572599</v>
      </c>
      <c r="M2615">
        <v>64.936687520970693</v>
      </c>
      <c r="N2615">
        <v>51.503877692119197</v>
      </c>
      <c r="O2615">
        <v>51.330717138183203</v>
      </c>
      <c r="P2615">
        <v>-0.29329530570393297</v>
      </c>
      <c r="Q2615">
        <v>7.2631854828348205E-2</v>
      </c>
      <c r="R2615">
        <v>0.997497187429921</v>
      </c>
      <c r="S2615" t="s">
        <v>9232</v>
      </c>
      <c r="T2615" t="s">
        <v>13232</v>
      </c>
      <c r="U2615" t="s">
        <v>13232</v>
      </c>
      <c r="V2615" t="s">
        <v>13232</v>
      </c>
      <c r="W2615" t="s">
        <v>15793</v>
      </c>
      <c r="X2615">
        <v>44</v>
      </c>
      <c r="Y2615" t="s">
        <v>22272</v>
      </c>
      <c r="Z2615" t="s">
        <v>28746</v>
      </c>
      <c r="AA2615">
        <v>0.42563750926575911</v>
      </c>
      <c r="AB2615" t="str">
        <f>HYPERLINK("Melting_Curves/meltCurve_P55060_3_CSE1L.pdf", "Melting_Curves/meltCurve_P55060_3_CSE1L.pdf")</f>
        <v>Melting_Curves/meltCurve_P55060_3_CSE1L.pdf</v>
      </c>
    </row>
    <row r="2616" spans="1:28" x14ac:dyDescent="0.25">
      <c r="A2616" t="s">
        <v>2620</v>
      </c>
      <c r="B2616">
        <v>0.99930955844802105</v>
      </c>
      <c r="C2616">
        <v>0.64644460309755503</v>
      </c>
      <c r="D2616">
        <v>0.750322160781004</v>
      </c>
      <c r="E2616">
        <v>0.77705624653760297</v>
      </c>
      <c r="F2616">
        <v>1.4965389589863101</v>
      </c>
      <c r="G2616">
        <v>1.1700070948978201</v>
      </c>
      <c r="H2616">
        <v>0.25650794197986798</v>
      </c>
      <c r="I2616">
        <v>0.24835413605201101</v>
      </c>
      <c r="J2616">
        <v>0.163980886479862</v>
      </c>
      <c r="K2616">
        <v>5.0216667363158399E-2</v>
      </c>
      <c r="L2616">
        <v>12823.456451022301</v>
      </c>
      <c r="M2616">
        <v>212.20365235992799</v>
      </c>
      <c r="N2616">
        <v>60.535124487578699</v>
      </c>
      <c r="O2616">
        <v>60.424583857344402</v>
      </c>
      <c r="P2616">
        <v>-0.74260459290305603</v>
      </c>
      <c r="Q2616">
        <v>0.15417904702257201</v>
      </c>
      <c r="R2616">
        <v>0.73997991561958498</v>
      </c>
      <c r="S2616" t="s">
        <v>9233</v>
      </c>
      <c r="T2616" t="s">
        <v>13232</v>
      </c>
      <c r="U2616" t="s">
        <v>13232</v>
      </c>
      <c r="V2616" t="s">
        <v>13232</v>
      </c>
      <c r="W2616" t="s">
        <v>15794</v>
      </c>
      <c r="X2616">
        <v>53</v>
      </c>
      <c r="Y2616" t="s">
        <v>22273</v>
      </c>
      <c r="Z2616" t="s">
        <v>28747</v>
      </c>
      <c r="AA2616">
        <v>0.73030626592408898</v>
      </c>
      <c r="AB2616" t="str">
        <f>HYPERLINK("Melting_Curves/meltCurve_P55072_VCP.pdf", "Melting_Curves/meltCurve_P55072_VCP.pdf")</f>
        <v>Melting_Curves/meltCurve_P55072_VCP.pdf</v>
      </c>
    </row>
    <row r="2617" spans="1:28" x14ac:dyDescent="0.25">
      <c r="A2617" t="s">
        <v>2621</v>
      </c>
      <c r="B2617">
        <v>0.99930955844802105</v>
      </c>
      <c r="C2617">
        <v>1.05549423446168</v>
      </c>
      <c r="D2617">
        <v>1.0141458688785301</v>
      </c>
      <c r="E2617">
        <v>0.97127055742388102</v>
      </c>
      <c r="F2617">
        <v>0.837922550642486</v>
      </c>
      <c r="G2617">
        <v>0.79263298539009297</v>
      </c>
      <c r="H2617">
        <v>0.93441751733036804</v>
      </c>
      <c r="I2617">
        <v>1.1617990330877199</v>
      </c>
      <c r="J2617">
        <v>1.4276267839096899</v>
      </c>
      <c r="K2617">
        <v>1.0037278747062599</v>
      </c>
      <c r="L2617">
        <v>15000</v>
      </c>
      <c r="M2617">
        <v>235.47464691764199</v>
      </c>
      <c r="O2617">
        <v>63.696534360124602</v>
      </c>
      <c r="P2617">
        <v>0.199329196739294</v>
      </c>
      <c r="Q2617">
        <v>1.2156763526682199</v>
      </c>
      <c r="R2617">
        <v>0.40762536427530499</v>
      </c>
      <c r="S2617" t="s">
        <v>9234</v>
      </c>
      <c r="T2617" t="s">
        <v>13232</v>
      </c>
      <c r="U2617" t="s">
        <v>13232</v>
      </c>
      <c r="V2617" t="s">
        <v>13232</v>
      </c>
      <c r="W2617" t="s">
        <v>15795</v>
      </c>
      <c r="X2617">
        <v>20</v>
      </c>
      <c r="Y2617" t="s">
        <v>22274</v>
      </c>
      <c r="Z2617" t="s">
        <v>28748</v>
      </c>
      <c r="AA2617">
        <v>1.045256765099343</v>
      </c>
      <c r="AB2617" t="str">
        <f>HYPERLINK("Melting_Curves/meltCurve_P55081_MFAP1.pdf", "Melting_Curves/meltCurve_P55081_MFAP1.pdf")</f>
        <v>Melting_Curves/meltCurve_P55081_MFAP1.pdf</v>
      </c>
    </row>
    <row r="2618" spans="1:28" x14ac:dyDescent="0.25">
      <c r="A2618" t="s">
        <v>2622</v>
      </c>
      <c r="B2618">
        <v>0.99930955844802105</v>
      </c>
      <c r="C2618">
        <v>0.99126404908212495</v>
      </c>
      <c r="D2618">
        <v>1.0057361980592101</v>
      </c>
      <c r="E2618">
        <v>0.92509117328692503</v>
      </c>
      <c r="F2618">
        <v>0.82714648383689804</v>
      </c>
      <c r="G2618">
        <v>0.74336462627480004</v>
      </c>
      <c r="H2618">
        <v>0.71093960444081095</v>
      </c>
      <c r="I2618">
        <v>0.78293355308296597</v>
      </c>
      <c r="J2618">
        <v>0.74272156289512203</v>
      </c>
      <c r="K2618">
        <v>0.55756745309806499</v>
      </c>
      <c r="L2618">
        <v>704.47177878595005</v>
      </c>
      <c r="M2618">
        <v>12.9951490411588</v>
      </c>
      <c r="O2618">
        <v>52.974834450145103</v>
      </c>
      <c r="P2618">
        <v>-2.1315606799284102E-2</v>
      </c>
      <c r="Q2618">
        <v>0.65248861731475605</v>
      </c>
      <c r="R2618">
        <v>0.86232357689402594</v>
      </c>
      <c r="S2618" t="s">
        <v>9235</v>
      </c>
      <c r="T2618" t="s">
        <v>13232</v>
      </c>
      <c r="U2618" t="s">
        <v>13232</v>
      </c>
      <c r="V2618" t="s">
        <v>13232</v>
      </c>
      <c r="W2618" t="s">
        <v>15796</v>
      </c>
      <c r="X2618">
        <v>13</v>
      </c>
      <c r="Y2618" t="s">
        <v>22275</v>
      </c>
      <c r="Z2618" t="s">
        <v>28749</v>
      </c>
      <c r="AA2618">
        <v>0.82534957915092244</v>
      </c>
      <c r="AB2618" t="str">
        <f>HYPERLINK("Melting_Curves/meltCurve_P55145_MANF.pdf", "Melting_Curves/meltCurve_P55145_MANF.pdf")</f>
        <v>Melting_Curves/meltCurve_P55145_MANF.pdf</v>
      </c>
    </row>
    <row r="2619" spans="1:28" x14ac:dyDescent="0.25">
      <c r="A2619" t="s">
        <v>2623</v>
      </c>
      <c r="B2619">
        <v>0.99930955844802105</v>
      </c>
      <c r="C2619">
        <v>0.76084362920892001</v>
      </c>
      <c r="D2619">
        <v>0.76879681550492895</v>
      </c>
      <c r="E2619">
        <v>0.68690255185997295</v>
      </c>
      <c r="F2619">
        <v>0.224435749271963</v>
      </c>
      <c r="G2619">
        <v>0.121777905305904</v>
      </c>
      <c r="H2619">
        <v>8.4467680695569397E-2</v>
      </c>
      <c r="I2619">
        <v>4.6998197059333599E-2</v>
      </c>
      <c r="J2619">
        <v>4.6888463235598997E-2</v>
      </c>
      <c r="K2619">
        <v>3.4074147151906001E-2</v>
      </c>
      <c r="L2619">
        <v>682.98361447912202</v>
      </c>
      <c r="M2619">
        <v>13.5899409984019</v>
      </c>
      <c r="N2619">
        <v>50.256554095177002</v>
      </c>
      <c r="O2619">
        <v>49.2058164077892</v>
      </c>
      <c r="P2619">
        <v>-6.9056687986835202E-2</v>
      </c>
      <c r="Q2619">
        <v>0</v>
      </c>
      <c r="R2619">
        <v>0.94889042592126505</v>
      </c>
      <c r="S2619" t="s">
        <v>9236</v>
      </c>
      <c r="T2619" t="s">
        <v>13232</v>
      </c>
      <c r="U2619" t="s">
        <v>13232</v>
      </c>
      <c r="V2619" t="s">
        <v>13232</v>
      </c>
      <c r="W2619" t="s">
        <v>15797</v>
      </c>
      <c r="X2619">
        <v>13</v>
      </c>
      <c r="Y2619" t="s">
        <v>22276</v>
      </c>
      <c r="Z2619" t="s">
        <v>28750</v>
      </c>
      <c r="AA2619">
        <v>0.36985399369276861</v>
      </c>
      <c r="AB2619" t="str">
        <f>HYPERLINK("Melting_Curves/meltCurve_P55160_NCKAP1L.pdf", "Melting_Curves/meltCurve_P55160_NCKAP1L.pdf")</f>
        <v>Melting_Curves/meltCurve_P55160_NCKAP1L.pdf</v>
      </c>
    </row>
    <row r="2620" spans="1:28" x14ac:dyDescent="0.25">
      <c r="A2620" t="s">
        <v>2624</v>
      </c>
      <c r="B2620">
        <v>0.99930955844802105</v>
      </c>
      <c r="C2620">
        <v>0.98516684564941004</v>
      </c>
      <c r="D2620">
        <v>1.0357667234065999</v>
      </c>
      <c r="E2620">
        <v>0.94886183790605105</v>
      </c>
      <c r="F2620">
        <v>0.68807770996266804</v>
      </c>
      <c r="G2620">
        <v>0.62618996326234</v>
      </c>
      <c r="H2620">
        <v>0.51499493227527005</v>
      </c>
      <c r="I2620">
        <v>0.52740179642438201</v>
      </c>
      <c r="J2620">
        <v>0.47527164294572799</v>
      </c>
      <c r="K2620">
        <v>0.366768828831467</v>
      </c>
      <c r="L2620">
        <v>957.01418977610604</v>
      </c>
      <c r="M2620">
        <v>17.688467045092398</v>
      </c>
      <c r="N2620">
        <v>61.299243485884197</v>
      </c>
      <c r="O2620">
        <v>53.426552563090901</v>
      </c>
      <c r="P2620">
        <v>-4.6576888037249402E-2</v>
      </c>
      <c r="Q2620">
        <v>0.43730318064902302</v>
      </c>
      <c r="R2620">
        <v>0.957806701992993</v>
      </c>
      <c r="S2620" t="s">
        <v>9237</v>
      </c>
      <c r="T2620" t="s">
        <v>13232</v>
      </c>
      <c r="U2620" t="s">
        <v>13232</v>
      </c>
      <c r="V2620" t="s">
        <v>13232</v>
      </c>
      <c r="W2620" t="s">
        <v>15798</v>
      </c>
      <c r="X2620">
        <v>76</v>
      </c>
      <c r="Y2620" t="s">
        <v>20621</v>
      </c>
      <c r="Z2620" t="s">
        <v>28751</v>
      </c>
      <c r="AA2620">
        <v>0.71105136304967631</v>
      </c>
      <c r="AB2620" t="str">
        <f>HYPERLINK("Melting_Curves/meltCurve_P55196_3_MLLT4.pdf", "Melting_Curves/meltCurve_P55196_3_MLLT4.pdf")</f>
        <v>Melting_Curves/meltCurve_P55196_3_MLLT4.pdf</v>
      </c>
    </row>
    <row r="2621" spans="1:28" x14ac:dyDescent="0.25">
      <c r="A2621" t="s">
        <v>2625</v>
      </c>
      <c r="B2621">
        <v>0.99930955844802105</v>
      </c>
      <c r="C2621">
        <v>0.97778679710525696</v>
      </c>
      <c r="D2621">
        <v>0.92572409248935095</v>
      </c>
      <c r="E2621">
        <v>0.80063553257570297</v>
      </c>
      <c r="F2621">
        <v>0.69423496801895901</v>
      </c>
      <c r="G2621">
        <v>0.55068991006498802</v>
      </c>
      <c r="H2621">
        <v>0.47458736896812997</v>
      </c>
      <c r="I2621">
        <v>0.436389542637448</v>
      </c>
      <c r="J2621">
        <v>0.37299882303910298</v>
      </c>
      <c r="K2621">
        <v>0.33800908784183697</v>
      </c>
      <c r="L2621">
        <v>603.03837146174703</v>
      </c>
      <c r="M2621">
        <v>11.096839967525</v>
      </c>
      <c r="N2621">
        <v>59.282233118973501</v>
      </c>
      <c r="O2621">
        <v>52.667971445239303</v>
      </c>
      <c r="P2621">
        <v>-3.6797220833683801E-2</v>
      </c>
      <c r="Q2621">
        <v>0.30163782599824102</v>
      </c>
      <c r="R2621">
        <v>0.99717884544225199</v>
      </c>
      <c r="S2621" t="s">
        <v>9238</v>
      </c>
      <c r="T2621" t="s">
        <v>13232</v>
      </c>
      <c r="U2621" t="s">
        <v>13232</v>
      </c>
      <c r="V2621" t="s">
        <v>13232</v>
      </c>
      <c r="W2621" t="s">
        <v>15799</v>
      </c>
      <c r="X2621">
        <v>2</v>
      </c>
      <c r="Y2621" t="s">
        <v>22277</v>
      </c>
      <c r="Z2621" t="s">
        <v>28752</v>
      </c>
      <c r="AA2621">
        <v>0.65428460233619368</v>
      </c>
      <c r="AB2621" t="str">
        <f>HYPERLINK("Melting_Curves/meltCurve_P55198_MLLT6.pdf", "Melting_Curves/meltCurve_P55198_MLLT6.pdf")</f>
        <v>Melting_Curves/meltCurve_P55198_MLLT6.pdf</v>
      </c>
    </row>
    <row r="2622" spans="1:28" x14ac:dyDescent="0.25">
      <c r="A2622" t="s">
        <v>2626</v>
      </c>
      <c r="B2622">
        <v>0.99930955844802105</v>
      </c>
      <c r="C2622">
        <v>1.1004304623977701</v>
      </c>
      <c r="D2622">
        <v>0.99259426952121599</v>
      </c>
      <c r="E2622">
        <v>0.90402945090154496</v>
      </c>
      <c r="F2622">
        <v>0.71761993027978299</v>
      </c>
      <c r="G2622">
        <v>0.53207602833382095</v>
      </c>
      <c r="H2622">
        <v>0.44086525998021903</v>
      </c>
      <c r="I2622">
        <v>0.41891661411350301</v>
      </c>
      <c r="J2622">
        <v>0.40311593984733102</v>
      </c>
      <c r="K2622">
        <v>0.32315249027413301</v>
      </c>
      <c r="L2622">
        <v>1078.11973812425</v>
      </c>
      <c r="M2622">
        <v>19.993255853110298</v>
      </c>
      <c r="N2622">
        <v>57.8123825176854</v>
      </c>
      <c r="O2622">
        <v>53.393390661602801</v>
      </c>
      <c r="P2622">
        <v>-5.9007526097928198E-2</v>
      </c>
      <c r="Q2622">
        <v>0.36968556096699601</v>
      </c>
      <c r="R2622">
        <v>0.97996594881098897</v>
      </c>
      <c r="S2622" t="s">
        <v>9239</v>
      </c>
      <c r="T2622" t="s">
        <v>13232</v>
      </c>
      <c r="U2622" t="s">
        <v>13232</v>
      </c>
      <c r="V2622" t="s">
        <v>13232</v>
      </c>
      <c r="W2622" t="s">
        <v>15800</v>
      </c>
      <c r="X2622">
        <v>20</v>
      </c>
      <c r="Y2622" t="s">
        <v>22278</v>
      </c>
      <c r="Z2622" t="s">
        <v>28753</v>
      </c>
      <c r="AA2622">
        <v>0.67082059314307263</v>
      </c>
      <c r="AB2622" t="str">
        <f>HYPERLINK("Melting_Curves/meltCurve_P55199_ELL.pdf", "Melting_Curves/meltCurve_P55199_ELL.pdf")</f>
        <v>Melting_Curves/meltCurve_P55199_ELL.pdf</v>
      </c>
    </row>
    <row r="2623" spans="1:28" x14ac:dyDescent="0.25">
      <c r="A2623" t="s">
        <v>2627</v>
      </c>
      <c r="B2623">
        <v>0.99930955844802105</v>
      </c>
      <c r="C2623">
        <v>0.96764191962165003</v>
      </c>
      <c r="D2623">
        <v>0.85205072413892802</v>
      </c>
      <c r="E2623">
        <v>0.54951447610701798</v>
      </c>
      <c r="F2623">
        <v>0.215541924236831</v>
      </c>
      <c r="G2623">
        <v>0.146415869901317</v>
      </c>
      <c r="H2623">
        <v>7.5481874982260597E-2</v>
      </c>
      <c r="I2623">
        <v>7.8501355450566801E-2</v>
      </c>
      <c r="J2623">
        <v>6.4181712345164094E-2</v>
      </c>
      <c r="K2623">
        <v>4.92355555736139E-2</v>
      </c>
      <c r="L2623">
        <v>1097.9353202607099</v>
      </c>
      <c r="M2623">
        <v>22.023194145007601</v>
      </c>
      <c r="N2623">
        <v>50.151313334082097</v>
      </c>
      <c r="O2623">
        <v>49.448008836241797</v>
      </c>
      <c r="P2623">
        <v>-0.104524623457071</v>
      </c>
      <c r="Q2623">
        <v>6.1277021490537403E-2</v>
      </c>
      <c r="R2623">
        <v>0.99666416096471599</v>
      </c>
      <c r="S2623" t="s">
        <v>9240</v>
      </c>
      <c r="T2623" t="s">
        <v>13232</v>
      </c>
      <c r="U2623" t="s">
        <v>13232</v>
      </c>
      <c r="V2623" t="s">
        <v>13232</v>
      </c>
      <c r="W2623" t="s">
        <v>15801</v>
      </c>
      <c r="X2623">
        <v>3</v>
      </c>
      <c r="Y2623" t="s">
        <v>22279</v>
      </c>
      <c r="Z2623" t="s">
        <v>28754</v>
      </c>
      <c r="AA2623">
        <v>0.38040899792461491</v>
      </c>
      <c r="AB2623" t="str">
        <f>HYPERLINK("Melting_Curves/meltCurve_P55211_CASP9.pdf", "Melting_Curves/meltCurve_P55211_CASP9.pdf")</f>
        <v>Melting_Curves/meltCurve_P55211_CASP9.pdf</v>
      </c>
    </row>
    <row r="2624" spans="1:28" x14ac:dyDescent="0.25">
      <c r="A2624" t="s">
        <v>2628</v>
      </c>
      <c r="B2624">
        <v>0.99930955844802105</v>
      </c>
      <c r="C2624">
        <v>1.01196806931432</v>
      </c>
      <c r="D2624">
        <v>0.98686556092506195</v>
      </c>
      <c r="E2624">
        <v>0.88387396870965296</v>
      </c>
      <c r="F2624">
        <v>0.75806022902904302</v>
      </c>
      <c r="G2624">
        <v>0.60593832128676695</v>
      </c>
      <c r="H2624">
        <v>0.532106514635455</v>
      </c>
      <c r="I2624">
        <v>0.51523010814974302</v>
      </c>
      <c r="J2624">
        <v>0.48125338716760002</v>
      </c>
      <c r="K2624">
        <v>0.30989176177071198</v>
      </c>
      <c r="L2624">
        <v>636.18848957380396</v>
      </c>
      <c r="M2624">
        <v>11.2638033445965</v>
      </c>
      <c r="N2624">
        <v>62.1879864164938</v>
      </c>
      <c r="O2624">
        <v>54.788339242735603</v>
      </c>
      <c r="P2624">
        <v>-3.4849633876225201E-2</v>
      </c>
      <c r="Q2624">
        <v>0.32215943387191098</v>
      </c>
      <c r="R2624">
        <v>0.97028911044435795</v>
      </c>
      <c r="S2624" t="s">
        <v>9241</v>
      </c>
      <c r="T2624" t="s">
        <v>13232</v>
      </c>
      <c r="U2624" t="s">
        <v>13232</v>
      </c>
      <c r="V2624" t="s">
        <v>13232</v>
      </c>
      <c r="W2624" t="s">
        <v>15802</v>
      </c>
      <c r="X2624">
        <v>23</v>
      </c>
      <c r="Y2624" t="s">
        <v>22280</v>
      </c>
      <c r="Z2624" t="s">
        <v>28755</v>
      </c>
      <c r="AA2624">
        <v>0.70734255301840887</v>
      </c>
      <c r="AB2624" t="str">
        <f>HYPERLINK("Melting_Curves/meltCurve_P55212_CASP6.pdf", "Melting_Curves/meltCurve_P55212_CASP6.pdf")</f>
        <v>Melting_Curves/meltCurve_P55212_CASP6.pdf</v>
      </c>
    </row>
    <row r="2625" spans="1:28" x14ac:dyDescent="0.25">
      <c r="A2625" t="s">
        <v>2629</v>
      </c>
      <c r="B2625">
        <v>0.99930955844802105</v>
      </c>
      <c r="C2625">
        <v>1.14089806187164</v>
      </c>
      <c r="D2625">
        <v>1.1299805268184999</v>
      </c>
      <c r="E2625">
        <v>0.99742655025077298</v>
      </c>
      <c r="F2625">
        <v>0.499379880843691</v>
      </c>
      <c r="G2625">
        <v>0.193274806914462</v>
      </c>
      <c r="H2625">
        <v>0.110054327046421</v>
      </c>
      <c r="I2625">
        <v>8.8550498446597806E-2</v>
      </c>
      <c r="J2625">
        <v>7.54767083821416E-2</v>
      </c>
      <c r="K2625">
        <v>6.1045653755833103E-2</v>
      </c>
      <c r="L2625">
        <v>2911.70891817446</v>
      </c>
      <c r="M2625">
        <v>55.116402695582302</v>
      </c>
      <c r="N2625">
        <v>53.046117710490201</v>
      </c>
      <c r="O2625">
        <v>52.758949174143098</v>
      </c>
      <c r="P2625">
        <v>-0.23472876166804499</v>
      </c>
      <c r="Q2625">
        <v>0.101245035524187</v>
      </c>
      <c r="R2625">
        <v>0.97766353069608503</v>
      </c>
      <c r="S2625" t="s">
        <v>9242</v>
      </c>
      <c r="T2625" t="s">
        <v>13232</v>
      </c>
      <c r="U2625" t="s">
        <v>13232</v>
      </c>
      <c r="V2625" t="s">
        <v>13232</v>
      </c>
      <c r="W2625" t="s">
        <v>15803</v>
      </c>
      <c r="X2625">
        <v>22</v>
      </c>
      <c r="Y2625" t="s">
        <v>22281</v>
      </c>
      <c r="Z2625" t="s">
        <v>28756</v>
      </c>
      <c r="AA2625">
        <v>0.48728508948288468</v>
      </c>
      <c r="AB2625" t="str">
        <f>HYPERLINK("Melting_Curves/meltCurve_P55263_ADK.pdf", "Melting_Curves/meltCurve_P55263_ADK.pdf")</f>
        <v>Melting_Curves/meltCurve_P55263_ADK.pdf</v>
      </c>
    </row>
    <row r="2626" spans="1:28" x14ac:dyDescent="0.25">
      <c r="A2626" t="s">
        <v>2630</v>
      </c>
      <c r="B2626">
        <v>0.99930955844802105</v>
      </c>
      <c r="C2626">
        <v>0.99284980717605298</v>
      </c>
      <c r="D2626">
        <v>0.96105915713550805</v>
      </c>
      <c r="E2626">
        <v>0.94286348281702304</v>
      </c>
      <c r="F2626">
        <v>0.70370967705565701</v>
      </c>
      <c r="G2626">
        <v>0.370680742114052</v>
      </c>
      <c r="H2626">
        <v>0.29259004688013102</v>
      </c>
      <c r="I2626">
        <v>0.282103721341741</v>
      </c>
      <c r="J2626">
        <v>0.26601454829340299</v>
      </c>
      <c r="K2626">
        <v>0.214255041051996</v>
      </c>
      <c r="L2626">
        <v>1575.08230620517</v>
      </c>
      <c r="M2626">
        <v>29.274757388943399</v>
      </c>
      <c r="N2626">
        <v>55.141116650053597</v>
      </c>
      <c r="O2626">
        <v>53.554246965407202</v>
      </c>
      <c r="P2626">
        <v>-0.10191806735888601</v>
      </c>
      <c r="Q2626">
        <v>0.25422360429398499</v>
      </c>
      <c r="R2626">
        <v>0.99638887088493999</v>
      </c>
      <c r="S2626" t="s">
        <v>9243</v>
      </c>
      <c r="T2626" t="s">
        <v>13232</v>
      </c>
      <c r="U2626" t="s">
        <v>13232</v>
      </c>
      <c r="V2626" t="s">
        <v>13232</v>
      </c>
      <c r="W2626" t="s">
        <v>15804</v>
      </c>
      <c r="X2626">
        <v>44</v>
      </c>
      <c r="Y2626" t="s">
        <v>22282</v>
      </c>
      <c r="Z2626" t="s">
        <v>28757</v>
      </c>
      <c r="AA2626">
        <v>0.60248982805025852</v>
      </c>
      <c r="AB2626" t="str">
        <f>HYPERLINK("Melting_Curves/meltCurve_P55265_5_ADAR.pdf", "Melting_Curves/meltCurve_P55265_5_ADAR.pdf")</f>
        <v>Melting_Curves/meltCurve_P55265_5_ADAR.pdf</v>
      </c>
    </row>
    <row r="2627" spans="1:28" x14ac:dyDescent="0.25">
      <c r="A2627" t="s">
        <v>2631</v>
      </c>
      <c r="B2627">
        <v>0.99930955844802105</v>
      </c>
      <c r="C2627">
        <v>1.0191375775861</v>
      </c>
      <c r="D2627">
        <v>1.01030769229677</v>
      </c>
      <c r="E2627">
        <v>0.88705550869721195</v>
      </c>
      <c r="F2627">
        <v>0.79802331309038899</v>
      </c>
      <c r="G2627">
        <v>0.65867558081293298</v>
      </c>
      <c r="H2627">
        <v>0.59526373488565298</v>
      </c>
      <c r="I2627">
        <v>0.60783328972311101</v>
      </c>
      <c r="J2627">
        <v>0.55250897553981504</v>
      </c>
      <c r="K2627">
        <v>0.476767710082667</v>
      </c>
      <c r="L2627">
        <v>834.53220354789801</v>
      </c>
      <c r="M2627">
        <v>15.359924575037899</v>
      </c>
      <c r="O2627">
        <v>53.435839247445401</v>
      </c>
      <c r="P2627">
        <v>-3.4924379848697402E-2</v>
      </c>
      <c r="Q2627">
        <v>0.51404923760534804</v>
      </c>
      <c r="R2627">
        <v>0.97921280806956601</v>
      </c>
      <c r="S2627" t="s">
        <v>9244</v>
      </c>
      <c r="T2627" t="s">
        <v>13232</v>
      </c>
      <c r="U2627" t="s">
        <v>13232</v>
      </c>
      <c r="V2627" t="s">
        <v>13232</v>
      </c>
      <c r="W2627" t="s">
        <v>15805</v>
      </c>
      <c r="X2627">
        <v>7</v>
      </c>
      <c r="Y2627" t="s">
        <v>22283</v>
      </c>
      <c r="Z2627" t="s">
        <v>28758</v>
      </c>
      <c r="AA2627">
        <v>0.75571151038847217</v>
      </c>
      <c r="AB2627" t="str">
        <f>HYPERLINK("Melting_Curves/meltCurve_P55327_2_TPD52.pdf", "Melting_Curves/meltCurve_P55327_2_TPD52.pdf")</f>
        <v>Melting_Curves/meltCurve_P55327_2_TPD52.pdf</v>
      </c>
    </row>
    <row r="2628" spans="1:28" x14ac:dyDescent="0.25">
      <c r="A2628" t="s">
        <v>2632</v>
      </c>
      <c r="B2628">
        <v>0.99930955844802105</v>
      </c>
      <c r="C2628">
        <v>0.96123807057196597</v>
      </c>
      <c r="D2628">
        <v>0.91350350120529999</v>
      </c>
      <c r="E2628">
        <v>0.83794304036915701</v>
      </c>
      <c r="F2628">
        <v>0.577265856627597</v>
      </c>
      <c r="G2628">
        <v>0.29243052492190702</v>
      </c>
      <c r="H2628">
        <v>0.151330590132915</v>
      </c>
      <c r="I2628">
        <v>0.15344398610884299</v>
      </c>
      <c r="J2628">
        <v>0.102305457393063</v>
      </c>
      <c r="K2628">
        <v>8.5874615971996193E-2</v>
      </c>
      <c r="L2628">
        <v>1023.16534970096</v>
      </c>
      <c r="M2628">
        <v>19.133366282394501</v>
      </c>
      <c r="N2628">
        <v>54.007236429930501</v>
      </c>
      <c r="O2628">
        <v>52.901565313834503</v>
      </c>
      <c r="P2628">
        <v>-8.26596245971538E-2</v>
      </c>
      <c r="Q2628">
        <v>8.5857692118544507E-2</v>
      </c>
      <c r="R2628">
        <v>0.99612286437784203</v>
      </c>
      <c r="S2628" t="s">
        <v>9245</v>
      </c>
      <c r="T2628" t="s">
        <v>13232</v>
      </c>
      <c r="U2628" t="s">
        <v>13232</v>
      </c>
      <c r="V2628" t="s">
        <v>13232</v>
      </c>
      <c r="W2628" t="s">
        <v>15806</v>
      </c>
      <c r="X2628">
        <v>4</v>
      </c>
      <c r="Y2628" t="s">
        <v>22284</v>
      </c>
      <c r="Z2628" t="s">
        <v>28759</v>
      </c>
      <c r="AA2628">
        <v>0.50992937034758512</v>
      </c>
      <c r="AB2628" t="str">
        <f>HYPERLINK("Melting_Curves/meltCurve_P55345_PRMT2.pdf", "Melting_Curves/meltCurve_P55345_PRMT2.pdf")</f>
        <v>Melting_Curves/meltCurve_P55345_PRMT2.pdf</v>
      </c>
    </row>
    <row r="2629" spans="1:28" x14ac:dyDescent="0.25">
      <c r="A2629" t="s">
        <v>2633</v>
      </c>
      <c r="B2629">
        <v>0.99930955844802105</v>
      </c>
      <c r="C2629">
        <v>1.0461306337482099</v>
      </c>
      <c r="D2629">
        <v>0.99910465275517202</v>
      </c>
      <c r="E2629">
        <v>0.81165960381777003</v>
      </c>
      <c r="F2629">
        <v>0.51578045475843104</v>
      </c>
      <c r="G2629">
        <v>0.38249397574011801</v>
      </c>
      <c r="H2629">
        <v>0.31135771534928203</v>
      </c>
      <c r="I2629">
        <v>0.303795799284308</v>
      </c>
      <c r="J2629">
        <v>0.31542942808914198</v>
      </c>
      <c r="K2629">
        <v>0.25988825400885801</v>
      </c>
      <c r="L2629">
        <v>1476.38923007416</v>
      </c>
      <c r="M2629">
        <v>28.557526608065601</v>
      </c>
      <c r="N2629">
        <v>53.4166846039696</v>
      </c>
      <c r="O2629">
        <v>51.447266337670598</v>
      </c>
      <c r="P2629">
        <v>-9.7081242967424194E-2</v>
      </c>
      <c r="Q2629">
        <v>0.30042618656926001</v>
      </c>
      <c r="R2629">
        <v>0.99375588733101605</v>
      </c>
      <c r="S2629" t="s">
        <v>9246</v>
      </c>
      <c r="T2629" t="s">
        <v>13232</v>
      </c>
      <c r="U2629" t="s">
        <v>13232</v>
      </c>
      <c r="V2629" t="s">
        <v>13232</v>
      </c>
      <c r="W2629" t="s">
        <v>15807</v>
      </c>
      <c r="X2629">
        <v>2</v>
      </c>
      <c r="Y2629" t="s">
        <v>22285</v>
      </c>
      <c r="Z2629" t="s">
        <v>28760</v>
      </c>
      <c r="AA2629">
        <v>0.57813701870756584</v>
      </c>
      <c r="AB2629" t="str">
        <f>HYPERLINK("Melting_Curves/meltCurve_P55347_2_PKNOX1.pdf", "Melting_Curves/meltCurve_P55347_2_PKNOX1.pdf")</f>
        <v>Melting_Curves/meltCurve_P55347_2_PKNOX1.pdf</v>
      </c>
    </row>
    <row r="2630" spans="1:28" x14ac:dyDescent="0.25">
      <c r="A2630" t="s">
        <v>2634</v>
      </c>
      <c r="B2630">
        <v>0.99930955844802105</v>
      </c>
      <c r="C2630">
        <v>1.0107708558030699</v>
      </c>
      <c r="D2630">
        <v>1.0471112800333899</v>
      </c>
      <c r="E2630">
        <v>1.03372974959908</v>
      </c>
      <c r="F2630">
        <v>0.75159484584036096</v>
      </c>
      <c r="G2630">
        <v>0.28618690243627998</v>
      </c>
      <c r="H2630">
        <v>0.112404329163448</v>
      </c>
      <c r="I2630">
        <v>7.1857492658336797E-2</v>
      </c>
      <c r="J2630">
        <v>5.2581193563421898E-2</v>
      </c>
      <c r="K2630">
        <v>4.6063858701704097E-2</v>
      </c>
      <c r="L2630">
        <v>1784.16105996392</v>
      </c>
      <c r="M2630">
        <v>32.4894313666017</v>
      </c>
      <c r="N2630">
        <v>55.128513689958297</v>
      </c>
      <c r="O2630">
        <v>54.708328206937502</v>
      </c>
      <c r="P2630">
        <v>-0.13969497899161901</v>
      </c>
      <c r="Q2630">
        <v>5.90857192167836E-2</v>
      </c>
      <c r="R2630">
        <v>0.99539624949105898</v>
      </c>
      <c r="S2630" t="s">
        <v>9247</v>
      </c>
      <c r="T2630" t="s">
        <v>13232</v>
      </c>
      <c r="U2630" t="s">
        <v>13232</v>
      </c>
      <c r="V2630" t="s">
        <v>13232</v>
      </c>
      <c r="W2630" t="s">
        <v>15808</v>
      </c>
      <c r="X2630">
        <v>13</v>
      </c>
      <c r="Y2630" t="s">
        <v>22286</v>
      </c>
      <c r="Z2630" t="s">
        <v>28761</v>
      </c>
      <c r="AA2630">
        <v>0.53223596232232029</v>
      </c>
      <c r="AB2630" t="str">
        <f>HYPERLINK("Melting_Curves/meltCurve_P55735_SEC13.pdf", "Melting_Curves/meltCurve_P55735_SEC13.pdf")</f>
        <v>Melting_Curves/meltCurve_P55735_SEC13.pdf</v>
      </c>
    </row>
    <row r="2631" spans="1:28" x14ac:dyDescent="0.25">
      <c r="A2631" t="s">
        <v>2635</v>
      </c>
      <c r="B2631">
        <v>0.99930955844802105</v>
      </c>
      <c r="C2631">
        <v>0.807342378193876</v>
      </c>
      <c r="D2631">
        <v>0.72792898963448605</v>
      </c>
      <c r="E2631">
        <v>0.49771321043317401</v>
      </c>
      <c r="F2631">
        <v>0.243671975226568</v>
      </c>
      <c r="G2631">
        <v>0.13952856655335999</v>
      </c>
      <c r="H2631">
        <v>6.1067540481577198E-2</v>
      </c>
      <c r="I2631">
        <v>4.5976052362425003E-2</v>
      </c>
      <c r="J2631">
        <v>3.6049541218096399E-2</v>
      </c>
      <c r="K2631">
        <v>2.8069368908422501E-2</v>
      </c>
      <c r="L2631">
        <v>648.59721719415802</v>
      </c>
      <c r="M2631">
        <v>13.1720958191555</v>
      </c>
      <c r="N2631">
        <v>49.240244347383303</v>
      </c>
      <c r="O2631">
        <v>48.146809574579898</v>
      </c>
      <c r="P2631">
        <v>-6.8406935212530107E-2</v>
      </c>
      <c r="Q2631">
        <v>0</v>
      </c>
      <c r="R2631">
        <v>0.99126418478463296</v>
      </c>
      <c r="S2631" t="s">
        <v>9248</v>
      </c>
      <c r="T2631" t="s">
        <v>13232</v>
      </c>
      <c r="U2631" t="s">
        <v>13232</v>
      </c>
      <c r="V2631" t="s">
        <v>13232</v>
      </c>
      <c r="W2631" t="s">
        <v>15809</v>
      </c>
      <c r="X2631">
        <v>7</v>
      </c>
      <c r="Y2631" t="s">
        <v>22287</v>
      </c>
      <c r="Z2631" t="s">
        <v>28762</v>
      </c>
      <c r="AA2631">
        <v>0.33892360042581321</v>
      </c>
      <c r="AB2631" t="str">
        <f>HYPERLINK("Melting_Curves/meltCurve_P55769_NHP2L1.pdf", "Melting_Curves/meltCurve_P55769_NHP2L1.pdf")</f>
        <v>Melting_Curves/meltCurve_P55769_NHP2L1.pdf</v>
      </c>
    </row>
    <row r="2632" spans="1:28" x14ac:dyDescent="0.25">
      <c r="A2632" t="s">
        <v>2636</v>
      </c>
      <c r="B2632">
        <v>0.99930955844802105</v>
      </c>
      <c r="C2632">
        <v>1.03184113994143</v>
      </c>
      <c r="D2632">
        <v>0.893025936707186</v>
      </c>
      <c r="E2632">
        <v>1.0222611142098501</v>
      </c>
      <c r="F2632">
        <v>0.81967075808284395</v>
      </c>
      <c r="G2632">
        <v>0.67994945378563298</v>
      </c>
      <c r="H2632">
        <v>0.61609394563571296</v>
      </c>
      <c r="I2632">
        <v>0.54917562882615001</v>
      </c>
      <c r="J2632">
        <v>0.48834514648412802</v>
      </c>
      <c r="K2632">
        <v>0.49045597819979098</v>
      </c>
      <c r="L2632">
        <v>912.06448852303299</v>
      </c>
      <c r="M2632">
        <v>16.2663339919396</v>
      </c>
      <c r="N2632">
        <v>68.530034691243301</v>
      </c>
      <c r="O2632">
        <v>55.243791976851099</v>
      </c>
      <c r="P2632">
        <v>-3.8720913684181499E-2</v>
      </c>
      <c r="Q2632">
        <v>0.47402215119748797</v>
      </c>
      <c r="R2632">
        <v>0.95360387062283802</v>
      </c>
      <c r="S2632" t="s">
        <v>9249</v>
      </c>
      <c r="T2632" t="s">
        <v>13232</v>
      </c>
      <c r="U2632" t="s">
        <v>13232</v>
      </c>
      <c r="V2632" t="s">
        <v>13232</v>
      </c>
      <c r="W2632" t="s">
        <v>15810</v>
      </c>
      <c r="X2632">
        <v>1</v>
      </c>
      <c r="Y2632" t="s">
        <v>22288</v>
      </c>
      <c r="Z2632" t="s">
        <v>28763</v>
      </c>
      <c r="AA2632">
        <v>0.76439167337626823</v>
      </c>
      <c r="AB2632" t="str">
        <f>HYPERLINK("Melting_Curves/meltCurve_P55771_PAX9.pdf", "Melting_Curves/meltCurve_P55771_PAX9.pdf")</f>
        <v>Melting_Curves/meltCurve_P55771_PAX9.pdf</v>
      </c>
    </row>
    <row r="2633" spans="1:28" x14ac:dyDescent="0.25">
      <c r="A2633" t="s">
        <v>2637</v>
      </c>
      <c r="B2633">
        <v>0.99930955844802105</v>
      </c>
      <c r="C2633">
        <v>1.0747800754632399</v>
      </c>
      <c r="D2633">
        <v>1.0133699081688901</v>
      </c>
      <c r="E2633">
        <v>0.97541271719321099</v>
      </c>
      <c r="F2633">
        <v>0.79940681629335097</v>
      </c>
      <c r="G2633">
        <v>0.66739489796015306</v>
      </c>
      <c r="H2633">
        <v>0.71782537423399995</v>
      </c>
      <c r="I2633">
        <v>0.71487096271397699</v>
      </c>
      <c r="J2633">
        <v>0.79924163121228098</v>
      </c>
      <c r="K2633">
        <v>0.61235775266634596</v>
      </c>
      <c r="L2633">
        <v>3065.4031964628498</v>
      </c>
      <c r="M2633">
        <v>58.607339978904299</v>
      </c>
      <c r="O2633">
        <v>52.2433003969334</v>
      </c>
      <c r="P2633">
        <v>-8.3509983786641304E-2</v>
      </c>
      <c r="Q2633">
        <v>0.702232900376626</v>
      </c>
      <c r="R2633">
        <v>0.89731585205953102</v>
      </c>
      <c r="S2633" t="s">
        <v>9250</v>
      </c>
      <c r="T2633" t="s">
        <v>13232</v>
      </c>
      <c r="U2633" t="s">
        <v>13232</v>
      </c>
      <c r="V2633" t="s">
        <v>13232</v>
      </c>
      <c r="W2633" t="s">
        <v>15811</v>
      </c>
      <c r="X2633">
        <v>7</v>
      </c>
      <c r="Y2633" t="s">
        <v>22289</v>
      </c>
      <c r="Z2633" t="s">
        <v>28764</v>
      </c>
      <c r="AA2633">
        <v>0.82485719311725569</v>
      </c>
      <c r="AB2633" t="str">
        <f>HYPERLINK("Melting_Curves/meltCurve_P55789_GFER.pdf", "Melting_Curves/meltCurve_P55789_GFER.pdf")</f>
        <v>Melting_Curves/meltCurve_P55789_GFER.pdf</v>
      </c>
    </row>
    <row r="2634" spans="1:28" x14ac:dyDescent="0.25">
      <c r="A2634" t="s">
        <v>2638</v>
      </c>
      <c r="B2634">
        <v>0.99930955844802105</v>
      </c>
      <c r="C2634">
        <v>0.82870675018343798</v>
      </c>
      <c r="D2634">
        <v>0.76653091988771704</v>
      </c>
      <c r="E2634">
        <v>0.44058217592663101</v>
      </c>
      <c r="F2634">
        <v>0.284101596180873</v>
      </c>
      <c r="G2634">
        <v>0.21325341104783499</v>
      </c>
      <c r="H2634">
        <v>0.16359256750137099</v>
      </c>
      <c r="I2634">
        <v>0.14148661345067201</v>
      </c>
      <c r="J2634">
        <v>0.133469224048885</v>
      </c>
      <c r="K2634">
        <v>0.10861807839823701</v>
      </c>
      <c r="L2634">
        <v>734.69131914061904</v>
      </c>
      <c r="M2634">
        <v>15.1873847961454</v>
      </c>
      <c r="N2634">
        <v>49.240205119758798</v>
      </c>
      <c r="O2634">
        <v>47.559659778341498</v>
      </c>
      <c r="P2634">
        <v>-7.0491849860088995E-2</v>
      </c>
      <c r="Q2634">
        <v>0.117097276825993</v>
      </c>
      <c r="R2634">
        <v>0.99225286561370196</v>
      </c>
      <c r="S2634" t="s">
        <v>9251</v>
      </c>
      <c r="T2634" t="s">
        <v>13232</v>
      </c>
      <c r="U2634" t="s">
        <v>13232</v>
      </c>
      <c r="V2634" t="s">
        <v>13232</v>
      </c>
      <c r="W2634" t="s">
        <v>15812</v>
      </c>
      <c r="X2634">
        <v>12</v>
      </c>
      <c r="Y2634" t="s">
        <v>22290</v>
      </c>
      <c r="Z2634" t="s">
        <v>28765</v>
      </c>
      <c r="AA2634">
        <v>0.38538374841046752</v>
      </c>
      <c r="AB2634" t="str">
        <f>HYPERLINK("Melting_Curves/meltCurve_P55795_HNRNPH2.pdf", "Melting_Curves/meltCurve_P55795_HNRNPH2.pdf")</f>
        <v>Melting_Curves/meltCurve_P55795_HNRNPH2.pdf</v>
      </c>
    </row>
    <row r="2635" spans="1:28" x14ac:dyDescent="0.25">
      <c r="A2635" t="s">
        <v>2639</v>
      </c>
      <c r="B2635">
        <v>0.99930955844802105</v>
      </c>
      <c r="C2635">
        <v>1.0417801972984899</v>
      </c>
      <c r="D2635">
        <v>1.04655486268541</v>
      </c>
      <c r="E2635">
        <v>1.0609558884604899</v>
      </c>
      <c r="F2635">
        <v>1.0390814116240901</v>
      </c>
      <c r="G2635">
        <v>1.06153623340081</v>
      </c>
      <c r="H2635">
        <v>1.08929811084691</v>
      </c>
      <c r="I2635">
        <v>1.27513989724649</v>
      </c>
      <c r="J2635">
        <v>1.2049899248402201</v>
      </c>
      <c r="K2635">
        <v>0.94982170092835605</v>
      </c>
      <c r="L2635">
        <v>507.72867740092499</v>
      </c>
      <c r="M2635">
        <v>9.9374847404227502</v>
      </c>
      <c r="O2635">
        <v>49.152468795546497</v>
      </c>
      <c r="P2635">
        <v>6.61767922455606E-3</v>
      </c>
      <c r="Q2635">
        <v>1.13086339828778</v>
      </c>
      <c r="R2635">
        <v>0.188960512777583</v>
      </c>
      <c r="S2635" t="s">
        <v>9252</v>
      </c>
      <c r="T2635" t="s">
        <v>13232</v>
      </c>
      <c r="U2635" t="s">
        <v>13232</v>
      </c>
      <c r="V2635" t="s">
        <v>13232</v>
      </c>
      <c r="W2635" t="s">
        <v>15813</v>
      </c>
      <c r="X2635">
        <v>3</v>
      </c>
      <c r="Y2635" t="s">
        <v>22291</v>
      </c>
      <c r="Z2635" t="s">
        <v>28766</v>
      </c>
      <c r="AA2635">
        <v>1.0770368630217551</v>
      </c>
      <c r="AB2635" t="str">
        <f>HYPERLINK("Melting_Curves/meltCurve_P55854_SUMO3.pdf", "Melting_Curves/meltCurve_P55854_SUMO3.pdf")</f>
        <v>Melting_Curves/meltCurve_P55854_SUMO3.pdf</v>
      </c>
    </row>
    <row r="2636" spans="1:28" x14ac:dyDescent="0.25">
      <c r="A2636" t="s">
        <v>2640</v>
      </c>
      <c r="B2636">
        <v>0.99930955844802105</v>
      </c>
      <c r="C2636">
        <v>0.84479463225982598</v>
      </c>
      <c r="D2636">
        <v>0.56418436342758704</v>
      </c>
      <c r="E2636">
        <v>0.45722471029481399</v>
      </c>
      <c r="F2636">
        <v>0.264377660717171</v>
      </c>
      <c r="G2636">
        <v>0.17610811672634399</v>
      </c>
      <c r="H2636">
        <v>9.6845546984787201E-2</v>
      </c>
      <c r="I2636">
        <v>7.9203503451430596E-2</v>
      </c>
      <c r="J2636">
        <v>6.87301851659185E-2</v>
      </c>
      <c r="K2636">
        <v>5.3341393475919999E-2</v>
      </c>
      <c r="L2636">
        <v>600.33399376243801</v>
      </c>
      <c r="M2636">
        <v>12.4969825354625</v>
      </c>
      <c r="N2636">
        <v>48.380942054552598</v>
      </c>
      <c r="O2636">
        <v>46.858025167909901</v>
      </c>
      <c r="P2636">
        <v>-6.3864318702032505E-2</v>
      </c>
      <c r="Q2636">
        <v>4.2348486834919298E-2</v>
      </c>
      <c r="R2636">
        <v>0.985022020297457</v>
      </c>
      <c r="S2636" t="s">
        <v>9253</v>
      </c>
      <c r="T2636" t="s">
        <v>13232</v>
      </c>
      <c r="U2636" t="s">
        <v>13232</v>
      </c>
      <c r="V2636" t="s">
        <v>13232</v>
      </c>
      <c r="W2636" t="s">
        <v>15814</v>
      </c>
      <c r="X2636">
        <v>38</v>
      </c>
      <c r="Y2636" t="s">
        <v>22292</v>
      </c>
      <c r="Z2636" t="s">
        <v>28767</v>
      </c>
      <c r="AA2636">
        <v>0.33371443078895902</v>
      </c>
      <c r="AB2636" t="str">
        <f>HYPERLINK("Melting_Curves/meltCurve_P55884_EIF3B.pdf", "Melting_Curves/meltCurve_P55884_EIF3B.pdf")</f>
        <v>Melting_Curves/meltCurve_P55884_EIF3B.pdf</v>
      </c>
    </row>
    <row r="2637" spans="1:28" x14ac:dyDescent="0.25">
      <c r="A2637" t="s">
        <v>2641</v>
      </c>
      <c r="B2637">
        <v>0.99930955844802105</v>
      </c>
      <c r="C2637">
        <v>1.00489208241035</v>
      </c>
      <c r="D2637">
        <v>1.0130776145550799</v>
      </c>
      <c r="E2637">
        <v>0.97714952637709895</v>
      </c>
      <c r="F2637">
        <v>0.84738684522816299</v>
      </c>
      <c r="G2637">
        <v>0.74039415630992</v>
      </c>
      <c r="H2637">
        <v>0.68941900673868795</v>
      </c>
      <c r="I2637">
        <v>0.692304030166074</v>
      </c>
      <c r="J2637">
        <v>0.63194584955356803</v>
      </c>
      <c r="K2637">
        <v>0.45242865474095301</v>
      </c>
      <c r="L2637">
        <v>474.68177905767698</v>
      </c>
      <c r="M2637">
        <v>7.1515445882884503</v>
      </c>
      <c r="O2637">
        <v>61.772617671070201</v>
      </c>
      <c r="P2637">
        <v>-2.4072072566318999E-2</v>
      </c>
      <c r="Q2637">
        <v>0.16971728972070199</v>
      </c>
      <c r="R2637">
        <v>0.93871534899258802</v>
      </c>
      <c r="S2637" t="s">
        <v>9254</v>
      </c>
      <c r="T2637" t="s">
        <v>13232</v>
      </c>
      <c r="U2637" t="s">
        <v>13232</v>
      </c>
      <c r="V2637" t="s">
        <v>13232</v>
      </c>
      <c r="W2637" t="s">
        <v>15815</v>
      </c>
      <c r="X2637">
        <v>12</v>
      </c>
      <c r="Y2637" t="s">
        <v>22293</v>
      </c>
      <c r="Z2637" t="s">
        <v>28768</v>
      </c>
      <c r="AA2637">
        <v>0.8092940291383306</v>
      </c>
      <c r="AB2637" t="str">
        <f>HYPERLINK("Melting_Curves/meltCurve_P55957_BID.pdf", "Melting_Curves/meltCurve_P55957_BID.pdf")</f>
        <v>Melting_Curves/meltCurve_P55957_BID.pdf</v>
      </c>
    </row>
    <row r="2638" spans="1:28" x14ac:dyDescent="0.25">
      <c r="A2638" t="s">
        <v>2642</v>
      </c>
      <c r="B2638">
        <v>0.99930955844802105</v>
      </c>
      <c r="C2638">
        <v>1.0322654628538399</v>
      </c>
      <c r="D2638">
        <v>1.0695820686462501</v>
      </c>
      <c r="E2638">
        <v>1.02024321691694</v>
      </c>
      <c r="F2638">
        <v>0.892445708030013</v>
      </c>
      <c r="G2638">
        <v>0.81052613614600999</v>
      </c>
      <c r="H2638">
        <v>0.747455843034317</v>
      </c>
      <c r="I2638">
        <v>0.82334733513260705</v>
      </c>
      <c r="J2638">
        <v>0.77717425132828899</v>
      </c>
      <c r="K2638">
        <v>0.68177367678738998</v>
      </c>
      <c r="L2638">
        <v>1839.81677402841</v>
      </c>
      <c r="M2638">
        <v>34.148423260645899</v>
      </c>
      <c r="O2638">
        <v>53.693307060638404</v>
      </c>
      <c r="P2638">
        <v>-3.8319972882496202E-2</v>
      </c>
      <c r="Q2638">
        <v>0.75899115999212297</v>
      </c>
      <c r="R2638">
        <v>0.88934739470572199</v>
      </c>
      <c r="S2638" t="s">
        <v>9255</v>
      </c>
      <c r="T2638" t="s">
        <v>13232</v>
      </c>
      <c r="U2638" t="s">
        <v>13232</v>
      </c>
      <c r="V2638" t="s">
        <v>13232</v>
      </c>
      <c r="W2638" t="s">
        <v>15816</v>
      </c>
      <c r="X2638">
        <v>7</v>
      </c>
      <c r="Y2638" t="s">
        <v>22294</v>
      </c>
      <c r="Z2638" t="s">
        <v>28769</v>
      </c>
      <c r="AA2638">
        <v>0.87170143600566419</v>
      </c>
      <c r="AB2638" t="str">
        <f>HYPERLINK("Melting_Curves/meltCurve_P56181_2_NDUFV3.pdf", "Melting_Curves/meltCurve_P56181_2_NDUFV3.pdf")</f>
        <v>Melting_Curves/meltCurve_P56181_2_NDUFV3.pdf</v>
      </c>
    </row>
    <row r="2639" spans="1:28" x14ac:dyDescent="0.25">
      <c r="A2639" t="s">
        <v>2643</v>
      </c>
      <c r="B2639">
        <v>0.99930955844802105</v>
      </c>
      <c r="C2639">
        <v>0.82339747304076605</v>
      </c>
      <c r="D2639">
        <v>0.55369499733348904</v>
      </c>
      <c r="E2639">
        <v>0.40695002978815797</v>
      </c>
      <c r="F2639">
        <v>0.33169223442042001</v>
      </c>
      <c r="G2639">
        <v>0.32585917534984898</v>
      </c>
      <c r="H2639">
        <v>0.30926096202851899</v>
      </c>
      <c r="I2639">
        <v>0.367205690690872</v>
      </c>
      <c r="J2639">
        <v>0.43380296671128898</v>
      </c>
      <c r="K2639">
        <v>0.29837150940158302</v>
      </c>
      <c r="L2639">
        <v>1173.4132294599201</v>
      </c>
      <c r="M2639">
        <v>26.2723182930307</v>
      </c>
      <c r="N2639">
        <v>46.755886510477602</v>
      </c>
      <c r="O2639">
        <v>44.407124196038197</v>
      </c>
      <c r="P2639">
        <v>-9.6775489533828293E-2</v>
      </c>
      <c r="Q2639">
        <v>0.34570315476261498</v>
      </c>
      <c r="R2639">
        <v>0.97237446560145102</v>
      </c>
      <c r="S2639" t="s">
        <v>9256</v>
      </c>
      <c r="T2639" t="s">
        <v>13232</v>
      </c>
      <c r="U2639" t="s">
        <v>13232</v>
      </c>
      <c r="V2639" t="s">
        <v>13232</v>
      </c>
      <c r="W2639" t="s">
        <v>15817</v>
      </c>
      <c r="X2639">
        <v>13</v>
      </c>
      <c r="Y2639" t="s">
        <v>22295</v>
      </c>
      <c r="Z2639" t="s">
        <v>28770</v>
      </c>
      <c r="AA2639">
        <v>0.45341938153656652</v>
      </c>
      <c r="AB2639" t="str">
        <f>HYPERLINK("Melting_Curves/meltCurve_P56182_RRP1.pdf", "Melting_Curves/meltCurve_P56182_RRP1.pdf")</f>
        <v>Melting_Curves/meltCurve_P56182_RRP1.pdf</v>
      </c>
    </row>
    <row r="2640" spans="1:28" x14ac:dyDescent="0.25">
      <c r="A2640" t="s">
        <v>2644</v>
      </c>
      <c r="B2640">
        <v>0.99930955844802105</v>
      </c>
      <c r="C2640">
        <v>0.63646783738583201</v>
      </c>
      <c r="D2640">
        <v>0.448399576924148</v>
      </c>
      <c r="E2640">
        <v>0.23398140410253301</v>
      </c>
      <c r="F2640">
        <v>0.15081848028365399</v>
      </c>
      <c r="G2640">
        <v>0.107358641218574</v>
      </c>
      <c r="H2640">
        <v>6.6232951389767203E-2</v>
      </c>
      <c r="I2640">
        <v>6.2176027934359397E-2</v>
      </c>
      <c r="J2640">
        <v>5.3411988477142798E-2</v>
      </c>
      <c r="K2640">
        <v>4.0257692454622303E-2</v>
      </c>
      <c r="L2640">
        <v>741.89956612671199</v>
      </c>
      <c r="M2640">
        <v>16.487405158165402</v>
      </c>
      <c r="N2640">
        <v>45.3508090825894</v>
      </c>
      <c r="O2640">
        <v>44.351613997901502</v>
      </c>
      <c r="P2640">
        <v>-8.7347421289900307E-2</v>
      </c>
      <c r="Q2640">
        <v>6.0196788621757598E-2</v>
      </c>
      <c r="R2640">
        <v>0.98004609375563601</v>
      </c>
      <c r="S2640" t="s">
        <v>9257</v>
      </c>
      <c r="T2640" t="s">
        <v>13232</v>
      </c>
      <c r="U2640" t="s">
        <v>13232</v>
      </c>
      <c r="V2640" t="s">
        <v>13232</v>
      </c>
      <c r="W2640" t="s">
        <v>15818</v>
      </c>
      <c r="X2640">
        <v>36</v>
      </c>
      <c r="Y2640" t="s">
        <v>22296</v>
      </c>
      <c r="Z2640" t="s">
        <v>28771</v>
      </c>
      <c r="AA2640">
        <v>0.24141703880628229</v>
      </c>
      <c r="AB2640" t="str">
        <f>HYPERLINK("Melting_Curves/meltCurve_P56192_MARS.pdf", "Melting_Curves/meltCurve_P56192_MARS.pdf")</f>
        <v>Melting_Curves/meltCurve_P56192_MARS.pdf</v>
      </c>
    </row>
    <row r="2641" spans="1:28" x14ac:dyDescent="0.25">
      <c r="A2641" t="s">
        <v>2645</v>
      </c>
      <c r="B2641">
        <v>0.99930955844802105</v>
      </c>
      <c r="C2641">
        <v>1.1542762875528501</v>
      </c>
      <c r="D2641">
        <v>1.14188077896508</v>
      </c>
      <c r="E2641">
        <v>1.28917918898494</v>
      </c>
      <c r="F2641">
        <v>1.22359200495247</v>
      </c>
      <c r="G2641">
        <v>1.1330643692365201</v>
      </c>
      <c r="H2641">
        <v>1.2529072872621601</v>
      </c>
      <c r="I2641">
        <v>1.2492014586131399</v>
      </c>
      <c r="J2641">
        <v>1.2939527974469101</v>
      </c>
      <c r="K2641">
        <v>0.96762886186479102</v>
      </c>
      <c r="L2641">
        <v>2998.8409265714499</v>
      </c>
      <c r="M2641">
        <v>71.212412420760003</v>
      </c>
      <c r="O2641">
        <v>42.078039149091801</v>
      </c>
      <c r="P2641">
        <v>8.2134090636709095E-2</v>
      </c>
      <c r="Q2641">
        <v>1.1941257492144399</v>
      </c>
      <c r="R2641">
        <v>0.28777755395961802</v>
      </c>
      <c r="S2641" t="s">
        <v>9258</v>
      </c>
      <c r="T2641" t="s">
        <v>13232</v>
      </c>
      <c r="U2641" t="s">
        <v>13232</v>
      </c>
      <c r="V2641" t="s">
        <v>13232</v>
      </c>
      <c r="W2641" t="s">
        <v>15819</v>
      </c>
      <c r="X2641">
        <v>5</v>
      </c>
      <c r="Y2641" t="s">
        <v>22297</v>
      </c>
      <c r="Z2641" t="s">
        <v>28772</v>
      </c>
      <c r="AA2641">
        <v>1.180209619686005</v>
      </c>
      <c r="AB2641" t="str">
        <f>HYPERLINK("Melting_Curves/meltCurve_P56211_ARPP19.pdf", "Melting_Curves/meltCurve_P56211_ARPP19.pdf")</f>
        <v>Melting_Curves/meltCurve_P56211_ARPP19.pdf</v>
      </c>
    </row>
    <row r="2642" spans="1:28" x14ac:dyDescent="0.25">
      <c r="A2642" t="s">
        <v>2646</v>
      </c>
      <c r="B2642">
        <v>0.99930955844802105</v>
      </c>
      <c r="C2642">
        <v>1.0516506392295599</v>
      </c>
      <c r="D2642">
        <v>1.02412540039142</v>
      </c>
      <c r="E2642">
        <v>1.0676437951470199</v>
      </c>
      <c r="F2642">
        <v>0.86820755093589097</v>
      </c>
      <c r="G2642">
        <v>0.73712751176680802</v>
      </c>
      <c r="H2642">
        <v>0.75486455139897402</v>
      </c>
      <c r="I2642">
        <v>0.85002060457678796</v>
      </c>
      <c r="J2642">
        <v>0.81392050923791004</v>
      </c>
      <c r="K2642">
        <v>0.67673860867365099</v>
      </c>
      <c r="L2642">
        <v>13236.248484878901</v>
      </c>
      <c r="M2642">
        <v>250</v>
      </c>
      <c r="O2642">
        <v>52.941605938333801</v>
      </c>
      <c r="P2642">
        <v>-0.27561693677416299</v>
      </c>
      <c r="Q2642">
        <v>0.76653434872875503</v>
      </c>
      <c r="R2642">
        <v>0.85678428272224105</v>
      </c>
      <c r="S2642" t="s">
        <v>9259</v>
      </c>
      <c r="T2642" t="s">
        <v>13232</v>
      </c>
      <c r="U2642" t="s">
        <v>13232</v>
      </c>
      <c r="V2642" t="s">
        <v>13232</v>
      </c>
      <c r="W2642" t="s">
        <v>15820</v>
      </c>
      <c r="X2642">
        <v>5</v>
      </c>
      <c r="Y2642" t="s">
        <v>22298</v>
      </c>
      <c r="Z2642" t="s">
        <v>28773</v>
      </c>
      <c r="AA2642">
        <v>0.86729642316588729</v>
      </c>
      <c r="AB2642" t="str">
        <f>HYPERLINK("Melting_Curves/meltCurve_P56277_CMC4.pdf", "Melting_Curves/meltCurve_P56277_CMC4.pdf")</f>
        <v>Melting_Curves/meltCurve_P56277_CMC4.pdf</v>
      </c>
    </row>
    <row r="2643" spans="1:28" x14ac:dyDescent="0.25">
      <c r="A2643" t="s">
        <v>2647</v>
      </c>
      <c r="B2643">
        <v>0.99930955844802105</v>
      </c>
      <c r="C2643">
        <v>0.81292306651546598</v>
      </c>
      <c r="D2643">
        <v>0.57398414423000899</v>
      </c>
      <c r="E2643">
        <v>0.372624641933815</v>
      </c>
      <c r="F2643">
        <v>0.23910317659576899</v>
      </c>
      <c r="G2643">
        <v>0.17069096180113</v>
      </c>
      <c r="H2643">
        <v>0.13169072219796399</v>
      </c>
      <c r="I2643">
        <v>0.125648275599544</v>
      </c>
      <c r="J2643">
        <v>0.130350908379081</v>
      </c>
      <c r="K2643">
        <v>0.10219305773326499</v>
      </c>
      <c r="L2643">
        <v>727.44674765957802</v>
      </c>
      <c r="M2643">
        <v>15.5852186732189</v>
      </c>
      <c r="N2643">
        <v>47.470184181013103</v>
      </c>
      <c r="O2643">
        <v>45.927247190096303</v>
      </c>
      <c r="P2643">
        <v>-7.5100964690735697E-2</v>
      </c>
      <c r="Q2643">
        <v>0.114833051239229</v>
      </c>
      <c r="R2643">
        <v>0.99358705881195297</v>
      </c>
      <c r="S2643" t="s">
        <v>9260</v>
      </c>
      <c r="T2643" t="s">
        <v>13232</v>
      </c>
      <c r="U2643" t="s">
        <v>13232</v>
      </c>
      <c r="V2643" t="s">
        <v>13232</v>
      </c>
      <c r="W2643" t="s">
        <v>15821</v>
      </c>
      <c r="X2643">
        <v>5</v>
      </c>
      <c r="Y2643" t="s">
        <v>22299</v>
      </c>
      <c r="Z2643" t="s">
        <v>28774</v>
      </c>
      <c r="AA2643">
        <v>0.33446967668509048</v>
      </c>
      <c r="AB2643" t="str">
        <f>HYPERLINK("Melting_Curves/meltCurve_P56282_3_POLE2.pdf", "Melting_Curves/meltCurve_P56282_3_POLE2.pdf")</f>
        <v>Melting_Curves/meltCurve_P56282_3_POLE2.pdf</v>
      </c>
    </row>
    <row r="2644" spans="1:28" x14ac:dyDescent="0.25">
      <c r="A2644" t="s">
        <v>2648</v>
      </c>
      <c r="B2644">
        <v>0.99930955844802105</v>
      </c>
      <c r="C2644">
        <v>0.87336952279261304</v>
      </c>
      <c r="D2644">
        <v>0.90652642154581797</v>
      </c>
      <c r="E2644">
        <v>0.843939645929632</v>
      </c>
      <c r="F2644">
        <v>0.58119182210633502</v>
      </c>
      <c r="G2644">
        <v>0.35630881818128202</v>
      </c>
      <c r="H2644">
        <v>0.18645584320036701</v>
      </c>
      <c r="I2644">
        <v>0.15023580546478699</v>
      </c>
      <c r="J2644">
        <v>9.5661426069692607E-2</v>
      </c>
      <c r="K2644">
        <v>7.9360418558036702E-2</v>
      </c>
      <c r="L2644">
        <v>779.41906261436804</v>
      </c>
      <c r="M2644">
        <v>14.3596412094616</v>
      </c>
      <c r="N2644">
        <v>54.583413448270598</v>
      </c>
      <c r="O2644">
        <v>53.258342666816397</v>
      </c>
      <c r="P2644">
        <v>-6.4815058576646101E-2</v>
      </c>
      <c r="Q2644">
        <v>3.8547329158506803E-2</v>
      </c>
      <c r="R2644">
        <v>0.98682499413302205</v>
      </c>
      <c r="S2644" t="s">
        <v>9261</v>
      </c>
      <c r="T2644" t="s">
        <v>13232</v>
      </c>
      <c r="U2644" t="s">
        <v>13232</v>
      </c>
      <c r="V2644" t="s">
        <v>13232</v>
      </c>
      <c r="W2644" t="s">
        <v>15822</v>
      </c>
      <c r="X2644">
        <v>3</v>
      </c>
      <c r="Y2644" t="s">
        <v>22300</v>
      </c>
      <c r="Z2644" t="s">
        <v>28775</v>
      </c>
      <c r="AA2644">
        <v>0.51657998151000739</v>
      </c>
      <c r="AB2644" t="str">
        <f>HYPERLINK("Melting_Curves/meltCurve_P56377_AP1S2.pdf", "Melting_Curves/meltCurve_P56377_AP1S2.pdf")</f>
        <v>Melting_Curves/meltCurve_P56377_AP1S2.pdf</v>
      </c>
    </row>
    <row r="2645" spans="1:28" x14ac:dyDescent="0.25">
      <c r="A2645" t="s">
        <v>2649</v>
      </c>
      <c r="B2645">
        <v>0.99930955844802105</v>
      </c>
      <c r="C2645">
        <v>1.1376932455350801</v>
      </c>
      <c r="D2645">
        <v>1.0759629686327701</v>
      </c>
      <c r="E2645">
        <v>1.0327674978527699</v>
      </c>
      <c r="F2645">
        <v>0.92137190351184595</v>
      </c>
      <c r="G2645">
        <v>0.76397020206828103</v>
      </c>
      <c r="H2645">
        <v>0.72152769177402398</v>
      </c>
      <c r="I2645">
        <v>0.79498778780913704</v>
      </c>
      <c r="J2645">
        <v>0.75918959608938197</v>
      </c>
      <c r="K2645">
        <v>0.59842032804016498</v>
      </c>
      <c r="L2645">
        <v>2167.1799169953301</v>
      </c>
      <c r="M2645">
        <v>39.756508896717001</v>
      </c>
      <c r="O2645">
        <v>54.373961495904602</v>
      </c>
      <c r="P2645">
        <v>-5.1595640618272799E-2</v>
      </c>
      <c r="Q2645">
        <v>0.71773650161400804</v>
      </c>
      <c r="R2645">
        <v>0.82978749235676796</v>
      </c>
      <c r="S2645" t="s">
        <v>9262</v>
      </c>
      <c r="T2645" t="s">
        <v>13232</v>
      </c>
      <c r="U2645" t="s">
        <v>13232</v>
      </c>
      <c r="V2645" t="s">
        <v>13232</v>
      </c>
      <c r="W2645" t="s">
        <v>15823</v>
      </c>
      <c r="X2645">
        <v>21</v>
      </c>
      <c r="Y2645" t="s">
        <v>22301</v>
      </c>
      <c r="Z2645" t="s">
        <v>28776</v>
      </c>
      <c r="AA2645">
        <v>0.85534401425127904</v>
      </c>
      <c r="AB2645" t="str">
        <f>HYPERLINK("Melting_Curves/meltCurve_P56524_HDAC4.pdf", "Melting_Curves/meltCurve_P56524_HDAC4.pdf")</f>
        <v>Melting_Curves/meltCurve_P56524_HDAC4.pdf</v>
      </c>
    </row>
    <row r="2646" spans="1:28" x14ac:dyDescent="0.25">
      <c r="A2646" t="s">
        <v>2650</v>
      </c>
      <c r="B2646">
        <v>0.99930955844802105</v>
      </c>
      <c r="C2646">
        <v>1.0847379642153601</v>
      </c>
      <c r="D2646">
        <v>1.0993555290314301</v>
      </c>
      <c r="E2646">
        <v>1.0300150406994899</v>
      </c>
      <c r="F2646">
        <v>0.85641262033498</v>
      </c>
      <c r="G2646">
        <v>0.60590278794338204</v>
      </c>
      <c r="H2646">
        <v>0.257994019690301</v>
      </c>
      <c r="I2646">
        <v>0.144163767272704</v>
      </c>
      <c r="J2646">
        <v>0.10159283515879799</v>
      </c>
      <c r="K2646">
        <v>7.7118542840249896E-2</v>
      </c>
      <c r="L2646">
        <v>1374.91651056354</v>
      </c>
      <c r="M2646">
        <v>23.8601258566421</v>
      </c>
      <c r="N2646">
        <v>57.965953977247402</v>
      </c>
      <c r="O2646">
        <v>57.223831454307302</v>
      </c>
      <c r="P2646">
        <v>-9.73989639460036E-2</v>
      </c>
      <c r="Q2646">
        <v>6.5645880335296405E-2</v>
      </c>
      <c r="R2646">
        <v>0.98717041542942796</v>
      </c>
      <c r="S2646" t="s">
        <v>9263</v>
      </c>
      <c r="T2646" t="s">
        <v>13232</v>
      </c>
      <c r="U2646" t="s">
        <v>13232</v>
      </c>
      <c r="V2646" t="s">
        <v>13232</v>
      </c>
      <c r="W2646" t="s">
        <v>15824</v>
      </c>
      <c r="X2646">
        <v>9</v>
      </c>
      <c r="Y2646" t="s">
        <v>22302</v>
      </c>
      <c r="Z2646" t="s">
        <v>28777</v>
      </c>
      <c r="AA2646">
        <v>0.62336746212368632</v>
      </c>
      <c r="AB2646" t="str">
        <f>HYPERLINK("Melting_Curves/meltCurve_P56537_EIF6.pdf", "Melting_Curves/meltCurve_P56537_EIF6.pdf")</f>
        <v>Melting_Curves/meltCurve_P56537_EIF6.pdf</v>
      </c>
    </row>
    <row r="2647" spans="1:28" x14ac:dyDescent="0.25">
      <c r="A2647" t="s">
        <v>2651</v>
      </c>
      <c r="B2647">
        <v>0.99930955844802105</v>
      </c>
      <c r="C2647">
        <v>1.2147284328953301</v>
      </c>
      <c r="D2647">
        <v>1.1398983064591199</v>
      </c>
      <c r="E2647">
        <v>1.3607685540390599</v>
      </c>
      <c r="F2647">
        <v>1.0189529544129701</v>
      </c>
      <c r="G2647">
        <v>0.50142030562991002</v>
      </c>
      <c r="H2647">
        <v>0.34913302898222198</v>
      </c>
      <c r="I2647">
        <v>0.27898011487546798</v>
      </c>
      <c r="J2647">
        <v>0.28709142997550002</v>
      </c>
      <c r="K2647">
        <v>0.24607558171939201</v>
      </c>
      <c r="L2647">
        <v>5193.0605601659299</v>
      </c>
      <c r="M2647">
        <v>91.960665949268801</v>
      </c>
      <c r="N2647">
        <v>57.008296265722301</v>
      </c>
      <c r="O2647">
        <v>56.443757593385698</v>
      </c>
      <c r="P2647">
        <v>-0.28918041616100998</v>
      </c>
      <c r="Q2647">
        <v>0.29002557625257902</v>
      </c>
      <c r="R2647">
        <v>0.88711285698752496</v>
      </c>
      <c r="S2647" t="s">
        <v>9264</v>
      </c>
      <c r="T2647" t="s">
        <v>13232</v>
      </c>
      <c r="U2647" t="s">
        <v>13232</v>
      </c>
      <c r="V2647" t="s">
        <v>13232</v>
      </c>
      <c r="W2647" t="s">
        <v>15825</v>
      </c>
      <c r="X2647">
        <v>2</v>
      </c>
      <c r="Y2647" t="s">
        <v>22303</v>
      </c>
      <c r="Z2647" t="s">
        <v>28778</v>
      </c>
      <c r="AA2647">
        <v>0.68033302897160142</v>
      </c>
      <c r="AB2647" t="str">
        <f>HYPERLINK("Melting_Curves/meltCurve_P56597_NME5.pdf", "Melting_Curves/meltCurve_P56597_NME5.pdf")</f>
        <v>Melting_Curves/meltCurve_P56597_NME5.pdf</v>
      </c>
    </row>
    <row r="2648" spans="1:28" x14ac:dyDescent="0.25">
      <c r="A2648" t="s">
        <v>2652</v>
      </c>
      <c r="B2648">
        <v>0.99930955844802105</v>
      </c>
      <c r="C2648">
        <v>0.968535955004036</v>
      </c>
      <c r="D2648">
        <v>0.93622050841470905</v>
      </c>
      <c r="E2648">
        <v>0.94984652694845895</v>
      </c>
      <c r="F2648">
        <v>0.81776097252424795</v>
      </c>
      <c r="G2648">
        <v>0.79893656246201505</v>
      </c>
      <c r="H2648">
        <v>0.73838546890689705</v>
      </c>
      <c r="I2648">
        <v>0.81029110979059804</v>
      </c>
      <c r="J2648">
        <v>0.77294509539231104</v>
      </c>
      <c r="K2648">
        <v>0.66890782486734501</v>
      </c>
      <c r="L2648">
        <v>520.66540193093294</v>
      </c>
      <c r="M2648">
        <v>9.7049036657300398</v>
      </c>
      <c r="O2648">
        <v>51.520421828064102</v>
      </c>
      <c r="P2648">
        <v>-1.42827543550794E-2</v>
      </c>
      <c r="Q2648">
        <v>0.69687386617830605</v>
      </c>
      <c r="R2648">
        <v>0.87528280280078596</v>
      </c>
      <c r="S2648" t="s">
        <v>9265</v>
      </c>
      <c r="T2648" t="s">
        <v>13232</v>
      </c>
      <c r="U2648" t="s">
        <v>13232</v>
      </c>
      <c r="V2648" t="s">
        <v>13232</v>
      </c>
      <c r="W2648" t="s">
        <v>15826</v>
      </c>
      <c r="X2648">
        <v>10</v>
      </c>
      <c r="Y2648" t="s">
        <v>22304</v>
      </c>
      <c r="Z2648" t="s">
        <v>28779</v>
      </c>
      <c r="AA2648">
        <v>0.84460197095692069</v>
      </c>
      <c r="AB2648" t="str">
        <f>HYPERLINK("Melting_Curves/meltCurve_P56645_PER3.pdf", "Melting_Curves/meltCurve_P56645_PER3.pdf")</f>
        <v>Melting_Curves/meltCurve_P56645_PER3.pdf</v>
      </c>
    </row>
    <row r="2649" spans="1:28" x14ac:dyDescent="0.25">
      <c r="A2649" t="s">
        <v>2653</v>
      </c>
      <c r="B2649">
        <v>0.99930955844802105</v>
      </c>
      <c r="C2649">
        <v>1.1135965087476201</v>
      </c>
      <c r="D2649">
        <v>1.0827506095267101</v>
      </c>
      <c r="E2649">
        <v>1.00632842044565</v>
      </c>
      <c r="F2649">
        <v>0.921500715581971</v>
      </c>
      <c r="G2649">
        <v>0.79956629396252499</v>
      </c>
      <c r="H2649">
        <v>0.84597758698820902</v>
      </c>
      <c r="I2649">
        <v>0.86923576970582705</v>
      </c>
      <c r="J2649">
        <v>0.85030802793840299</v>
      </c>
      <c r="K2649">
        <v>0.66058079064290898</v>
      </c>
      <c r="L2649">
        <v>13270.8639685546</v>
      </c>
      <c r="M2649">
        <v>250</v>
      </c>
      <c r="O2649">
        <v>53.080081062012901</v>
      </c>
      <c r="P2649">
        <v>-0.229448581288166</v>
      </c>
      <c r="Q2649">
        <v>0.80513369240315102</v>
      </c>
      <c r="R2649">
        <v>0.71808660782854195</v>
      </c>
      <c r="S2649" t="s">
        <v>9266</v>
      </c>
      <c r="T2649" t="s">
        <v>13232</v>
      </c>
      <c r="U2649" t="s">
        <v>13232</v>
      </c>
      <c r="V2649" t="s">
        <v>13232</v>
      </c>
      <c r="W2649" t="s">
        <v>15827</v>
      </c>
      <c r="X2649">
        <v>14</v>
      </c>
      <c r="Y2649" t="s">
        <v>22305</v>
      </c>
      <c r="Z2649" t="s">
        <v>28780</v>
      </c>
      <c r="AA2649">
        <v>0.89013600416670768</v>
      </c>
      <c r="AB2649" t="str">
        <f>HYPERLINK("Melting_Curves/meltCurve_P56945_5_BCAR1.pdf", "Melting_Curves/meltCurve_P56945_5_BCAR1.pdf")</f>
        <v>Melting_Curves/meltCurve_P56945_5_BCAR1.pdf</v>
      </c>
    </row>
    <row r="2650" spans="1:28" x14ac:dyDescent="0.25">
      <c r="A2650" t="s">
        <v>2654</v>
      </c>
      <c r="B2650">
        <v>0.99930955844802105</v>
      </c>
      <c r="C2650">
        <v>0.97966730598350704</v>
      </c>
      <c r="D2650">
        <v>0.94164481089569596</v>
      </c>
      <c r="E2650">
        <v>0.74366316362525897</v>
      </c>
      <c r="F2650">
        <v>0.35942093004932302</v>
      </c>
      <c r="G2650">
        <v>0.20611570207535801</v>
      </c>
      <c r="H2650">
        <v>0.11918653381611501</v>
      </c>
      <c r="I2650">
        <v>4.9063754319396302E-2</v>
      </c>
      <c r="J2650">
        <v>3.5776336014643903E-2</v>
      </c>
      <c r="K2650">
        <v>2.7980839207612102E-2</v>
      </c>
      <c r="L2650">
        <v>1128.8333976168699</v>
      </c>
      <c r="M2650">
        <v>21.762249924662498</v>
      </c>
      <c r="N2650">
        <v>52.102463810146503</v>
      </c>
      <c r="O2650">
        <v>51.439140665470099</v>
      </c>
      <c r="P2650">
        <v>-0.100899475421944</v>
      </c>
      <c r="Q2650">
        <v>4.6043345894256897E-2</v>
      </c>
      <c r="R2650">
        <v>0.99463379367864102</v>
      </c>
      <c r="S2650" t="s">
        <v>9267</v>
      </c>
      <c r="T2650" t="s">
        <v>13232</v>
      </c>
      <c r="U2650" t="s">
        <v>13232</v>
      </c>
      <c r="V2650" t="s">
        <v>13232</v>
      </c>
      <c r="W2650" t="s">
        <v>15828</v>
      </c>
      <c r="X2650">
        <v>5</v>
      </c>
      <c r="Y2650" t="s">
        <v>22306</v>
      </c>
      <c r="Z2650" t="s">
        <v>28781</v>
      </c>
      <c r="AA2650">
        <v>0.43484491318860391</v>
      </c>
      <c r="AB2650" t="str">
        <f>HYPERLINK("Melting_Curves/meltCurve_P57060_RWDD2B.pdf", "Melting_Curves/meltCurve_P57060_RWDD2B.pdf")</f>
        <v>Melting_Curves/meltCurve_P57060_RWDD2B.pdf</v>
      </c>
    </row>
    <row r="2651" spans="1:28" x14ac:dyDescent="0.25">
      <c r="A2651" t="s">
        <v>2655</v>
      </c>
      <c r="B2651">
        <v>0.99930955844802105</v>
      </c>
      <c r="C2651">
        <v>0.86168228413766101</v>
      </c>
      <c r="D2651">
        <v>0.87881725806897504</v>
      </c>
      <c r="E2651">
        <v>0.73646430294429299</v>
      </c>
      <c r="F2651">
        <v>0.46419119455404101</v>
      </c>
      <c r="G2651">
        <v>0.30231818360660401</v>
      </c>
      <c r="H2651">
        <v>0.21708259266062499</v>
      </c>
      <c r="I2651">
        <v>0.169440772491216</v>
      </c>
      <c r="J2651">
        <v>0.15362322641440601</v>
      </c>
      <c r="K2651">
        <v>0.107850951529278</v>
      </c>
      <c r="L2651">
        <v>685.18729023384105</v>
      </c>
      <c r="M2651">
        <v>13.1117493158649</v>
      </c>
      <c r="N2651">
        <v>53.050505138218398</v>
      </c>
      <c r="O2651">
        <v>51.086771998286999</v>
      </c>
      <c r="P2651">
        <v>-5.8464021984754998E-2</v>
      </c>
      <c r="Q2651">
        <v>8.8991770175671794E-2</v>
      </c>
      <c r="R2651">
        <v>0.98685787037750705</v>
      </c>
      <c r="S2651" t="s">
        <v>9268</v>
      </c>
      <c r="T2651" t="s">
        <v>13232</v>
      </c>
      <c r="U2651" t="s">
        <v>13232</v>
      </c>
      <c r="V2651" t="s">
        <v>13232</v>
      </c>
      <c r="W2651" t="s">
        <v>15829</v>
      </c>
      <c r="X2651">
        <v>2</v>
      </c>
      <c r="Y2651" t="s">
        <v>22307</v>
      </c>
      <c r="Z2651" t="s">
        <v>28782</v>
      </c>
      <c r="AA2651">
        <v>0.48564286286314973</v>
      </c>
      <c r="AB2651" t="str">
        <f>HYPERLINK("Melting_Curves/meltCurve_P57075_3_UBASH3A.pdf", "Melting_Curves/meltCurve_P57075_3_UBASH3A.pdf")</f>
        <v>Melting_Curves/meltCurve_P57075_3_UBASH3A.pdf</v>
      </c>
    </row>
    <row r="2652" spans="1:28" x14ac:dyDescent="0.25">
      <c r="A2652" t="s">
        <v>2656</v>
      </c>
      <c r="B2652">
        <v>0.99930955844802105</v>
      </c>
      <c r="C2652">
        <v>1.2325753689321199</v>
      </c>
      <c r="D2652">
        <v>0.29432562081049701</v>
      </c>
      <c r="E2652">
        <v>0.39317102939853399</v>
      </c>
      <c r="F2652">
        <v>0.16650710853884201</v>
      </c>
      <c r="G2652">
        <v>0.10960269726215099</v>
      </c>
      <c r="H2652">
        <v>6.08930135908941E-2</v>
      </c>
      <c r="I2652">
        <v>5.58025813584841E-2</v>
      </c>
      <c r="J2652">
        <v>4.2963933945958002E-2</v>
      </c>
      <c r="K2652">
        <v>3.4993217877273899E-2</v>
      </c>
      <c r="L2652">
        <v>11434.7703325397</v>
      </c>
      <c r="M2652">
        <v>250</v>
      </c>
      <c r="N2652">
        <v>45.790999171405701</v>
      </c>
      <c r="O2652">
        <v>45.7361543427077</v>
      </c>
      <c r="P2652">
        <v>-1.1978774516205399</v>
      </c>
      <c r="Q2652">
        <v>0.123419073050831</v>
      </c>
      <c r="R2652">
        <v>0.908593741556322</v>
      </c>
      <c r="S2652" t="s">
        <v>9269</v>
      </c>
      <c r="T2652" t="s">
        <v>13232</v>
      </c>
      <c r="U2652" t="s">
        <v>13232</v>
      </c>
      <c r="V2652" t="s">
        <v>13232</v>
      </c>
      <c r="W2652" t="s">
        <v>15830</v>
      </c>
      <c r="X2652">
        <v>13</v>
      </c>
      <c r="Y2652" t="s">
        <v>22308</v>
      </c>
      <c r="Z2652" t="s">
        <v>28783</v>
      </c>
      <c r="AA2652">
        <v>0.29118174514881801</v>
      </c>
      <c r="AB2652" t="str">
        <f>HYPERLINK("Melting_Curves/meltCurve_P57076_C21orf59.pdf", "Melting_Curves/meltCurve_P57076_C21orf59.pdf")</f>
        <v>Melting_Curves/meltCurve_P57076_C21orf59.pdf</v>
      </c>
    </row>
    <row r="2653" spans="1:28" x14ac:dyDescent="0.25">
      <c r="A2653" t="s">
        <v>2657</v>
      </c>
      <c r="B2653">
        <v>0.99930955844802105</v>
      </c>
      <c r="C2653">
        <v>0.99637687765914695</v>
      </c>
      <c r="D2653">
        <v>0.97530984861428804</v>
      </c>
      <c r="E2653">
        <v>0.910547713402443</v>
      </c>
      <c r="F2653">
        <v>0.772959283259539</v>
      </c>
      <c r="G2653">
        <v>0.244728879656925</v>
      </c>
      <c r="H2653">
        <v>0.103571757054349</v>
      </c>
      <c r="I2653">
        <v>8.4760458897653199E-2</v>
      </c>
      <c r="J2653">
        <v>6.3190141566630401E-2</v>
      </c>
      <c r="K2653">
        <v>5.3654785346546503E-2</v>
      </c>
      <c r="L2653">
        <v>1764.47456025307</v>
      </c>
      <c r="M2653">
        <v>32.276837365347902</v>
      </c>
      <c r="N2653">
        <v>54.896612246791001</v>
      </c>
      <c r="O2653">
        <v>54.458315161264203</v>
      </c>
      <c r="P2653">
        <v>-0.13881290909576399</v>
      </c>
      <c r="Q2653">
        <v>6.31692807297871E-2</v>
      </c>
      <c r="R2653">
        <v>0.99788175641393995</v>
      </c>
      <c r="S2653" t="s">
        <v>9270</v>
      </c>
      <c r="T2653" t="s">
        <v>13232</v>
      </c>
      <c r="U2653" t="s">
        <v>13232</v>
      </c>
      <c r="V2653" t="s">
        <v>13232</v>
      </c>
      <c r="W2653" t="s">
        <v>15831</v>
      </c>
      <c r="X2653">
        <v>17</v>
      </c>
      <c r="Y2653" t="s">
        <v>22309</v>
      </c>
      <c r="Z2653" t="s">
        <v>28784</v>
      </c>
      <c r="AA2653">
        <v>0.52656709941618984</v>
      </c>
      <c r="AB2653" t="str">
        <f>HYPERLINK("Melting_Curves/meltCurve_P57081_WDR4.pdf", "Melting_Curves/meltCurve_P57081_WDR4.pdf")</f>
        <v>Melting_Curves/meltCurve_P57081_WDR4.pdf</v>
      </c>
    </row>
    <row r="2654" spans="1:28" x14ac:dyDescent="0.25">
      <c r="A2654" t="s">
        <v>2658</v>
      </c>
      <c r="B2654">
        <v>0.99930955844802105</v>
      </c>
      <c r="C2654">
        <v>0.71242908501021596</v>
      </c>
      <c r="D2654">
        <v>0.56271260806790802</v>
      </c>
      <c r="E2654">
        <v>0.614901194119715</v>
      </c>
      <c r="F2654">
        <v>0.34376335968403099</v>
      </c>
      <c r="G2654">
        <v>0.196792234277609</v>
      </c>
      <c r="H2654">
        <v>0.108982539896584</v>
      </c>
      <c r="I2654">
        <v>0.10661263022236001</v>
      </c>
      <c r="J2654">
        <v>8.79985453134461E-2</v>
      </c>
      <c r="K2654">
        <v>7.8431230073020497E-2</v>
      </c>
      <c r="L2654">
        <v>446.24185154655402</v>
      </c>
      <c r="M2654">
        <v>9.0449777405774601</v>
      </c>
      <c r="N2654">
        <v>49.3358706707943</v>
      </c>
      <c r="O2654">
        <v>47.103466923813201</v>
      </c>
      <c r="P2654">
        <v>-4.80400907601942E-2</v>
      </c>
      <c r="Q2654">
        <v>0</v>
      </c>
      <c r="R2654">
        <v>0.94529845389619205</v>
      </c>
      <c r="S2654" t="s">
        <v>9271</v>
      </c>
      <c r="T2654" t="s">
        <v>13232</v>
      </c>
      <c r="U2654" t="s">
        <v>13232</v>
      </c>
      <c r="V2654" t="s">
        <v>13232</v>
      </c>
      <c r="W2654" t="s">
        <v>15832</v>
      </c>
      <c r="X2654">
        <v>3</v>
      </c>
      <c r="Y2654" t="s">
        <v>22310</v>
      </c>
      <c r="Z2654" t="s">
        <v>28785</v>
      </c>
      <c r="AA2654">
        <v>0.36594482060851857</v>
      </c>
      <c r="AB2654" t="str">
        <f>HYPERLINK("Melting_Curves/meltCurve_P57088_TMEM33.pdf", "Melting_Curves/meltCurve_P57088_TMEM33.pdf")</f>
        <v>Melting_Curves/meltCurve_P57088_TMEM33.pdf</v>
      </c>
    </row>
    <row r="2655" spans="1:28" x14ac:dyDescent="0.25">
      <c r="A2655" t="s">
        <v>2659</v>
      </c>
      <c r="B2655">
        <v>0.99930955844802105</v>
      </c>
      <c r="C2655">
        <v>0.74081530034898702</v>
      </c>
      <c r="D2655">
        <v>0.70439054511295296</v>
      </c>
      <c r="E2655">
        <v>0.65499191092751896</v>
      </c>
      <c r="F2655">
        <v>0.441615693266453</v>
      </c>
      <c r="G2655">
        <v>0.38369184304263598</v>
      </c>
      <c r="H2655">
        <v>0.20875059597663501</v>
      </c>
      <c r="I2655">
        <v>0.209258065818237</v>
      </c>
      <c r="J2655">
        <v>0.13533346260443499</v>
      </c>
      <c r="K2655">
        <v>0.13496126878588999</v>
      </c>
      <c r="L2655">
        <v>395.219493335702</v>
      </c>
      <c r="M2655">
        <v>7.5757343979556904</v>
      </c>
      <c r="N2655">
        <v>52.169131413777698</v>
      </c>
      <c r="O2655">
        <v>48.9060147717801</v>
      </c>
      <c r="P2655">
        <v>-3.8779630762050099E-2</v>
      </c>
      <c r="Q2655">
        <v>0</v>
      </c>
      <c r="R2655">
        <v>0.96491879817496495</v>
      </c>
      <c r="S2655" t="s">
        <v>9272</v>
      </c>
      <c r="T2655" t="s">
        <v>13232</v>
      </c>
      <c r="U2655" t="s">
        <v>13232</v>
      </c>
      <c r="V2655" t="s">
        <v>13232</v>
      </c>
      <c r="W2655" t="s">
        <v>15833</v>
      </c>
      <c r="X2655">
        <v>1</v>
      </c>
      <c r="Y2655" t="s">
        <v>22311</v>
      </c>
      <c r="Z2655" t="s">
        <v>28786</v>
      </c>
      <c r="AA2655">
        <v>0.45374119134883512</v>
      </c>
      <c r="AB2655" t="str">
        <f>HYPERLINK("Melting_Curves/meltCurve_P57105_SYNJ2BP.pdf", "Melting_Curves/meltCurve_P57105_SYNJ2BP.pdf")</f>
        <v>Melting_Curves/meltCurve_P57105_SYNJ2BP.pdf</v>
      </c>
    </row>
    <row r="2656" spans="1:28" x14ac:dyDescent="0.25">
      <c r="A2656" t="s">
        <v>2660</v>
      </c>
      <c r="B2656">
        <v>0.99930955844802105</v>
      </c>
      <c r="C2656">
        <v>1.0213972899960599</v>
      </c>
      <c r="D2656">
        <v>0.99798063014548499</v>
      </c>
      <c r="E2656">
        <v>0.97469131728753999</v>
      </c>
      <c r="F2656">
        <v>0.85657534008881697</v>
      </c>
      <c r="G2656">
        <v>0.64579220588411701</v>
      </c>
      <c r="H2656">
        <v>0.59374068150152803</v>
      </c>
      <c r="I2656">
        <v>0.60093327916601103</v>
      </c>
      <c r="J2656">
        <v>0.55315714549989603</v>
      </c>
      <c r="K2656">
        <v>0.46547047476276598</v>
      </c>
      <c r="L2656">
        <v>1278.36087987624</v>
      </c>
      <c r="M2656">
        <v>23.30596581584</v>
      </c>
      <c r="O2656">
        <v>54.452182586809499</v>
      </c>
      <c r="P2656">
        <v>-5.0064968048869E-2</v>
      </c>
      <c r="Q2656">
        <v>0.53212007935614303</v>
      </c>
      <c r="R2656">
        <v>0.97759682613193299</v>
      </c>
      <c r="S2656" t="s">
        <v>9273</v>
      </c>
      <c r="T2656" t="s">
        <v>13232</v>
      </c>
      <c r="U2656" t="s">
        <v>13232</v>
      </c>
      <c r="V2656" t="s">
        <v>13232</v>
      </c>
      <c r="W2656" t="s">
        <v>15834</v>
      </c>
      <c r="X2656">
        <v>5</v>
      </c>
      <c r="Y2656" t="s">
        <v>22312</v>
      </c>
      <c r="Z2656" t="s">
        <v>28787</v>
      </c>
      <c r="AA2656">
        <v>0.76862913204079297</v>
      </c>
      <c r="AB2656" t="str">
        <f>HYPERLINK("Melting_Curves/meltCurve_P57682_KLF3.pdf", "Melting_Curves/meltCurve_P57682_KLF3.pdf")</f>
        <v>Melting_Curves/meltCurve_P57682_KLF3.pdf</v>
      </c>
    </row>
    <row r="2657" spans="1:28" x14ac:dyDescent="0.25">
      <c r="A2657" t="s">
        <v>2661</v>
      </c>
      <c r="B2657">
        <v>0.99930955844802105</v>
      </c>
      <c r="C2657">
        <v>1.0378581487408001</v>
      </c>
      <c r="D2657">
        <v>0.672919318175635</v>
      </c>
      <c r="E2657">
        <v>0.42032452147596</v>
      </c>
      <c r="F2657">
        <v>0.25244641774756599</v>
      </c>
      <c r="G2657">
        <v>0.13383645975137001</v>
      </c>
      <c r="H2657">
        <v>7.9737463322324495E-2</v>
      </c>
      <c r="I2657">
        <v>7.0634917918885001E-2</v>
      </c>
      <c r="J2657">
        <v>6.0556960438109902E-2</v>
      </c>
      <c r="K2657">
        <v>4.57498422578533E-2</v>
      </c>
      <c r="L2657">
        <v>878.65246418540596</v>
      </c>
      <c r="M2657">
        <v>18.083030660449001</v>
      </c>
      <c r="N2657">
        <v>48.931159739948797</v>
      </c>
      <c r="O2657">
        <v>48.0073509272042</v>
      </c>
      <c r="P2657">
        <v>-8.8593294346406601E-2</v>
      </c>
      <c r="Q2657">
        <v>5.9245458602135398E-2</v>
      </c>
      <c r="R2657">
        <v>0.98485135550966096</v>
      </c>
      <c r="S2657" t="s">
        <v>9274</v>
      </c>
      <c r="T2657" t="s">
        <v>13232</v>
      </c>
      <c r="U2657" t="s">
        <v>13232</v>
      </c>
      <c r="V2657" t="s">
        <v>13232</v>
      </c>
      <c r="W2657" t="s">
        <v>15835</v>
      </c>
      <c r="X2657">
        <v>30</v>
      </c>
      <c r="Y2657" t="s">
        <v>22313</v>
      </c>
      <c r="Z2657" t="s">
        <v>28788</v>
      </c>
      <c r="AA2657">
        <v>0.3448920577805491</v>
      </c>
      <c r="AB2657" t="str">
        <f>HYPERLINK("Melting_Curves/meltCurve_P57737_3_CORO7.pdf", "Melting_Curves/meltCurve_P57737_3_CORO7.pdf")</f>
        <v>Melting_Curves/meltCurve_P57737_3_CORO7.pdf</v>
      </c>
    </row>
    <row r="2658" spans="1:28" x14ac:dyDescent="0.25">
      <c r="A2658" t="s">
        <v>2662</v>
      </c>
      <c r="B2658">
        <v>0.99930955844802105</v>
      </c>
      <c r="C2658">
        <v>0.78302576093732401</v>
      </c>
      <c r="D2658">
        <v>0.68206619597607498</v>
      </c>
      <c r="E2658">
        <v>0.477592462839599</v>
      </c>
      <c r="F2658">
        <v>0.32421238637906702</v>
      </c>
      <c r="G2658">
        <v>0.245126255803921</v>
      </c>
      <c r="H2658">
        <v>0.18080122838044199</v>
      </c>
      <c r="I2658">
        <v>0.17166744058436401</v>
      </c>
      <c r="J2658">
        <v>0.158673636576251</v>
      </c>
      <c r="K2658">
        <v>0.122646108619515</v>
      </c>
      <c r="L2658">
        <v>583.03211822111598</v>
      </c>
      <c r="M2658">
        <v>12.121022027263299</v>
      </c>
      <c r="N2658">
        <v>49.232309626569197</v>
      </c>
      <c r="O2658">
        <v>46.8477778508828</v>
      </c>
      <c r="P2658">
        <v>-5.6833273127946803E-2</v>
      </c>
      <c r="Q2658">
        <v>0.121560385504493</v>
      </c>
      <c r="R2658">
        <v>0.99000523097803705</v>
      </c>
      <c r="S2658" t="s">
        <v>9275</v>
      </c>
      <c r="T2658" t="s">
        <v>13232</v>
      </c>
      <c r="U2658" t="s">
        <v>13232</v>
      </c>
      <c r="V2658" t="s">
        <v>13232</v>
      </c>
      <c r="W2658" t="s">
        <v>15836</v>
      </c>
      <c r="X2658">
        <v>11</v>
      </c>
      <c r="Y2658" t="s">
        <v>22314</v>
      </c>
      <c r="Z2658" t="s">
        <v>28789</v>
      </c>
      <c r="AA2658">
        <v>0.39231474736985811</v>
      </c>
      <c r="AB2658" t="str">
        <f>HYPERLINK("Melting_Curves/meltCurve_P57740_NUP107.pdf", "Melting_Curves/meltCurve_P57740_NUP107.pdf")</f>
        <v>Melting_Curves/meltCurve_P57740_NUP107.pdf</v>
      </c>
    </row>
    <row r="2659" spans="1:28" x14ac:dyDescent="0.25">
      <c r="A2659" t="s">
        <v>2663</v>
      </c>
      <c r="B2659">
        <v>0.99930955844802105</v>
      </c>
      <c r="C2659">
        <v>0.97289377208958705</v>
      </c>
      <c r="D2659">
        <v>0.817086774833511</v>
      </c>
      <c r="E2659">
        <v>0.47765108603863898</v>
      </c>
      <c r="F2659">
        <v>0.20182641245027699</v>
      </c>
      <c r="G2659">
        <v>0.14089051755319901</v>
      </c>
      <c r="H2659">
        <v>9.0047352704758193E-2</v>
      </c>
      <c r="I2659">
        <v>8.7094218641846299E-2</v>
      </c>
      <c r="J2659">
        <v>8.3805423237027193E-2</v>
      </c>
      <c r="K2659">
        <v>5.6892173579760001E-2</v>
      </c>
      <c r="L2659">
        <v>1072.2695454223799</v>
      </c>
      <c r="M2659">
        <v>21.803305317551398</v>
      </c>
      <c r="N2659">
        <v>49.547580847216302</v>
      </c>
      <c r="O2659">
        <v>48.771124956196203</v>
      </c>
      <c r="P2659">
        <v>-0.103403622699049</v>
      </c>
      <c r="Q2659">
        <v>7.4820218157894594E-2</v>
      </c>
      <c r="R2659">
        <v>0.997977981401721</v>
      </c>
      <c r="S2659" t="s">
        <v>9276</v>
      </c>
      <c r="T2659" t="s">
        <v>13232</v>
      </c>
      <c r="U2659" t="s">
        <v>13232</v>
      </c>
      <c r="V2659" t="s">
        <v>13232</v>
      </c>
      <c r="W2659" t="s">
        <v>15837</v>
      </c>
      <c r="X2659">
        <v>5</v>
      </c>
      <c r="Y2659" t="s">
        <v>22315</v>
      </c>
      <c r="Z2659" t="s">
        <v>28790</v>
      </c>
      <c r="AA2659">
        <v>0.36876172636612647</v>
      </c>
      <c r="AB2659" t="str">
        <f>HYPERLINK("Melting_Curves/meltCurve_P57764_GSDMD.pdf", "Melting_Curves/meltCurve_P57764_GSDMD.pdf")</f>
        <v>Melting_Curves/meltCurve_P57764_GSDMD.pdf</v>
      </c>
    </row>
    <row r="2660" spans="1:28" x14ac:dyDescent="0.25">
      <c r="A2660" t="s">
        <v>2664</v>
      </c>
      <c r="B2660">
        <v>0.99930955844802105</v>
      </c>
      <c r="C2660">
        <v>1.13636714133557</v>
      </c>
      <c r="D2660">
        <v>1.10401170922262</v>
      </c>
      <c r="E2660">
        <v>0.85307274960009005</v>
      </c>
      <c r="F2660">
        <v>0.64929747005643601</v>
      </c>
      <c r="G2660">
        <v>0.39470774695045502</v>
      </c>
      <c r="H2660">
        <v>0.19490962480208801</v>
      </c>
      <c r="I2660">
        <v>0.13952063918820101</v>
      </c>
      <c r="J2660">
        <v>0.128950471433603</v>
      </c>
      <c r="K2660">
        <v>8.5407848299806896E-2</v>
      </c>
      <c r="L2660">
        <v>1092.63132742786</v>
      </c>
      <c r="M2660">
        <v>20.018758165918602</v>
      </c>
      <c r="N2660">
        <v>55.165732285881496</v>
      </c>
      <c r="O2660">
        <v>54.044481495885002</v>
      </c>
      <c r="P2660">
        <v>-8.3745289971677198E-2</v>
      </c>
      <c r="Q2660">
        <v>9.5683289039344699E-2</v>
      </c>
      <c r="R2660">
        <v>0.97709935976294204</v>
      </c>
      <c r="S2660" t="s">
        <v>9277</v>
      </c>
      <c r="T2660" t="s">
        <v>13232</v>
      </c>
      <c r="U2660" t="s">
        <v>13232</v>
      </c>
      <c r="V2660" t="s">
        <v>13232</v>
      </c>
      <c r="W2660" t="s">
        <v>15838</v>
      </c>
      <c r="X2660">
        <v>4</v>
      </c>
      <c r="Y2660" t="s">
        <v>22316</v>
      </c>
      <c r="Z2660" t="s">
        <v>28791</v>
      </c>
      <c r="AA2660">
        <v>0.54733542318154338</v>
      </c>
      <c r="AB2660" t="str">
        <f>HYPERLINK("Melting_Curves/meltCurve_P57768_SNX16.pdf", "Melting_Curves/meltCurve_P57768_SNX16.pdf")</f>
        <v>Melting_Curves/meltCurve_P57768_SNX16.pdf</v>
      </c>
    </row>
    <row r="2661" spans="1:28" x14ac:dyDescent="0.25">
      <c r="A2661" t="s">
        <v>2665</v>
      </c>
      <c r="B2661">
        <v>0.99930955844802105</v>
      </c>
      <c r="C2661">
        <v>0.81695400712357402</v>
      </c>
      <c r="D2661">
        <v>0.50259466976058398</v>
      </c>
      <c r="E2661">
        <v>0.27097917647518199</v>
      </c>
      <c r="F2661">
        <v>0.185732825768646</v>
      </c>
      <c r="G2661">
        <v>0.13444921634340701</v>
      </c>
      <c r="H2661">
        <v>0.10892881222577901</v>
      </c>
      <c r="I2661">
        <v>0.102355931932088</v>
      </c>
      <c r="J2661">
        <v>0.103152876057559</v>
      </c>
      <c r="K2661">
        <v>7.6999426997295201E-2</v>
      </c>
      <c r="L2661">
        <v>895.83371554711198</v>
      </c>
      <c r="M2661">
        <v>19.555602219748302</v>
      </c>
      <c r="N2661">
        <v>46.362622200034401</v>
      </c>
      <c r="O2661">
        <v>45.338605811476299</v>
      </c>
      <c r="P2661">
        <v>-9.6616021870500404E-2</v>
      </c>
      <c r="Q2661">
        <v>0.10403579957582</v>
      </c>
      <c r="R2661">
        <v>0.99465713278471801</v>
      </c>
      <c r="S2661" t="s">
        <v>9278</v>
      </c>
      <c r="T2661" t="s">
        <v>13232</v>
      </c>
      <c r="U2661" t="s">
        <v>13232</v>
      </c>
      <c r="V2661" t="s">
        <v>13232</v>
      </c>
      <c r="W2661" t="s">
        <v>15839</v>
      </c>
      <c r="X2661">
        <v>14</v>
      </c>
      <c r="Y2661" t="s">
        <v>22317</v>
      </c>
      <c r="Z2661" t="s">
        <v>28792</v>
      </c>
      <c r="AA2661">
        <v>0.29233321985173211</v>
      </c>
      <c r="AB2661" t="str">
        <f>HYPERLINK("Melting_Curves/meltCurve_P57772_EEFSEC.pdf", "Melting_Curves/meltCurve_P57772_EEFSEC.pdf")</f>
        <v>Melting_Curves/meltCurve_P57772_EEFSEC.pdf</v>
      </c>
    </row>
    <row r="2662" spans="1:28" x14ac:dyDescent="0.25">
      <c r="A2662" t="s">
        <v>2666</v>
      </c>
      <c r="B2662">
        <v>0.99930955844802105</v>
      </c>
      <c r="C2662">
        <v>1.27153135904824</v>
      </c>
      <c r="D2662">
        <v>0.67267662701590503</v>
      </c>
      <c r="E2662">
        <v>0.35983673189121201</v>
      </c>
      <c r="F2662">
        <v>0.18265218775217901</v>
      </c>
      <c r="G2662">
        <v>0.13315524733567799</v>
      </c>
      <c r="H2662">
        <v>8.5484845181792099E-2</v>
      </c>
      <c r="I2662">
        <v>8.1437227416128605E-2</v>
      </c>
      <c r="J2662">
        <v>7.6354278062253506E-2</v>
      </c>
      <c r="K2662">
        <v>5.9473358916298798E-2</v>
      </c>
      <c r="L2662">
        <v>1288.6320613390201</v>
      </c>
      <c r="M2662">
        <v>26.834457442299101</v>
      </c>
      <c r="N2662">
        <v>48.381289108839603</v>
      </c>
      <c r="O2662">
        <v>47.757245955945997</v>
      </c>
      <c r="P2662">
        <v>-0.127770236151346</v>
      </c>
      <c r="Q2662">
        <v>9.0439440124814002E-2</v>
      </c>
      <c r="R2662">
        <v>0.93583270490842096</v>
      </c>
      <c r="S2662" t="s">
        <v>9279</v>
      </c>
      <c r="T2662" t="s">
        <v>13232</v>
      </c>
      <c r="U2662" t="s">
        <v>13232</v>
      </c>
      <c r="V2662" t="s">
        <v>13232</v>
      </c>
      <c r="W2662" t="s">
        <v>15840</v>
      </c>
      <c r="X2662">
        <v>18</v>
      </c>
      <c r="Y2662" t="s">
        <v>22318</v>
      </c>
      <c r="Z2662" t="s">
        <v>28793</v>
      </c>
      <c r="AA2662">
        <v>0.34056194483893631</v>
      </c>
      <c r="AB2662" t="str">
        <f>HYPERLINK("Melting_Curves/meltCurve_P58004_SESN2.pdf", "Melting_Curves/meltCurve_P58004_SESN2.pdf")</f>
        <v>Melting_Curves/meltCurve_P58004_SESN2.pdf</v>
      </c>
    </row>
    <row r="2663" spans="1:28" x14ac:dyDescent="0.25">
      <c r="A2663" t="s">
        <v>2667</v>
      </c>
      <c r="B2663">
        <v>0.99930955844802105</v>
      </c>
      <c r="C2663">
        <v>0.66173178747979999</v>
      </c>
      <c r="D2663">
        <v>0.55731834921012302</v>
      </c>
      <c r="E2663">
        <v>0.42825886494674598</v>
      </c>
      <c r="F2663">
        <v>0.37713645103693599</v>
      </c>
      <c r="G2663">
        <v>0.23709549273343999</v>
      </c>
      <c r="H2663">
        <v>0.167554029687673</v>
      </c>
      <c r="I2663">
        <v>0.15476834163959499</v>
      </c>
      <c r="J2663">
        <v>0.13548889069235101</v>
      </c>
      <c r="K2663">
        <v>9.7813825478673705E-2</v>
      </c>
      <c r="L2663">
        <v>458.945547336429</v>
      </c>
      <c r="M2663">
        <v>9.7180478341708394</v>
      </c>
      <c r="N2663">
        <v>48.150438423935597</v>
      </c>
      <c r="O2663">
        <v>45.356474324682097</v>
      </c>
      <c r="P2663">
        <v>-4.9033321585904198E-2</v>
      </c>
      <c r="Q2663">
        <v>8.5094663889667105E-2</v>
      </c>
      <c r="R2663">
        <v>0.95780924931171396</v>
      </c>
      <c r="S2663" t="s">
        <v>9280</v>
      </c>
      <c r="T2663" t="s">
        <v>13232</v>
      </c>
      <c r="U2663" t="s">
        <v>13232</v>
      </c>
      <c r="V2663" t="s">
        <v>13232</v>
      </c>
      <c r="W2663" t="s">
        <v>15841</v>
      </c>
      <c r="X2663">
        <v>14</v>
      </c>
      <c r="Y2663" t="s">
        <v>22319</v>
      </c>
      <c r="Z2663" t="s">
        <v>28794</v>
      </c>
      <c r="AA2663">
        <v>0.35943644091547677</v>
      </c>
      <c r="AB2663" t="str">
        <f>HYPERLINK("Melting_Curves/meltCurve_P58107_EPPK1.pdf", "Melting_Curves/meltCurve_P58107_EPPK1.pdf")</f>
        <v>Melting_Curves/meltCurve_P58107_EPPK1.pdf</v>
      </c>
    </row>
    <row r="2664" spans="1:28" x14ac:dyDescent="0.25">
      <c r="A2664" t="s">
        <v>2668</v>
      </c>
      <c r="B2664">
        <v>0.99930955844802105</v>
      </c>
      <c r="C2664">
        <v>0.95786816393137697</v>
      </c>
      <c r="D2664">
        <v>0.90120583136747501</v>
      </c>
      <c r="E2664">
        <v>0.78808495737600404</v>
      </c>
      <c r="F2664">
        <v>0.72756013804518205</v>
      </c>
      <c r="G2664">
        <v>0.802024090529039</v>
      </c>
      <c r="H2664">
        <v>0.88608913880163798</v>
      </c>
      <c r="I2664">
        <v>1.21022656298494</v>
      </c>
      <c r="J2664">
        <v>1.16015188045215</v>
      </c>
      <c r="K2664">
        <v>0.91725188243655598</v>
      </c>
      <c r="L2664">
        <v>10715.539479839899</v>
      </c>
      <c r="M2664">
        <v>250</v>
      </c>
      <c r="O2664">
        <v>42.859437364390502</v>
      </c>
      <c r="P2664">
        <v>-0.11071909258003799</v>
      </c>
      <c r="Q2664">
        <v>0.92407431112466498</v>
      </c>
      <c r="R2664">
        <v>2.58374380757521E-2</v>
      </c>
      <c r="S2664" t="s">
        <v>9281</v>
      </c>
      <c r="T2664" t="s">
        <v>13232</v>
      </c>
      <c r="U2664" t="s">
        <v>13232</v>
      </c>
      <c r="V2664" t="s">
        <v>13232</v>
      </c>
      <c r="W2664" t="s">
        <v>15842</v>
      </c>
      <c r="X2664">
        <v>2</v>
      </c>
      <c r="Y2664" t="s">
        <v>22320</v>
      </c>
      <c r="Z2664" t="s">
        <v>28795</v>
      </c>
      <c r="AA2664">
        <v>0.93132373283502667</v>
      </c>
      <c r="AB2664" t="str">
        <f>HYPERLINK("Melting_Curves/meltCurve_P58335_2_ANTXR2.pdf", "Melting_Curves/meltCurve_P58335_2_ANTXR2.pdf")</f>
        <v>Melting_Curves/meltCurve_P58335_2_ANTXR2.pdf</v>
      </c>
    </row>
    <row r="2665" spans="1:28" x14ac:dyDescent="0.25">
      <c r="A2665" t="s">
        <v>2669</v>
      </c>
      <c r="B2665">
        <v>0.99930955844802105</v>
      </c>
      <c r="C2665">
        <v>1.01530643524925</v>
      </c>
      <c r="D2665">
        <v>1.10039612700222</v>
      </c>
      <c r="E2665">
        <v>0.98388229681467698</v>
      </c>
      <c r="F2665">
        <v>0.77233787633837803</v>
      </c>
      <c r="G2665">
        <v>0.39924280670039197</v>
      </c>
      <c r="H2665">
        <v>0.19259885109370001</v>
      </c>
      <c r="I2665">
        <v>0.16374145784513</v>
      </c>
      <c r="J2665">
        <v>0.16037353556667</v>
      </c>
      <c r="K2665">
        <v>0.13765703674825899</v>
      </c>
      <c r="L2665">
        <v>1566.0795428240301</v>
      </c>
      <c r="M2665">
        <v>28.406078234212998</v>
      </c>
      <c r="N2665">
        <v>55.8099192795639</v>
      </c>
      <c r="O2665">
        <v>54.860782901325202</v>
      </c>
      <c r="P2665">
        <v>-0.110556464572313</v>
      </c>
      <c r="Q2665">
        <v>0.145934182182412</v>
      </c>
      <c r="R2665">
        <v>0.99199058669103102</v>
      </c>
      <c r="S2665" t="s">
        <v>9282</v>
      </c>
      <c r="T2665" t="s">
        <v>13232</v>
      </c>
      <c r="U2665" t="s">
        <v>13232</v>
      </c>
      <c r="V2665" t="s">
        <v>13232</v>
      </c>
      <c r="W2665" t="s">
        <v>15843</v>
      </c>
      <c r="X2665">
        <v>8</v>
      </c>
      <c r="Y2665" t="s">
        <v>22321</v>
      </c>
      <c r="Z2665" t="s">
        <v>28796</v>
      </c>
      <c r="AA2665">
        <v>0.58299910936169019</v>
      </c>
      <c r="AB2665" t="str">
        <f>HYPERLINK("Melting_Curves/meltCurve_P58546_MTPN.pdf", "Melting_Curves/meltCurve_P58546_MTPN.pdf")</f>
        <v>Melting_Curves/meltCurve_P58546_MTPN.pdf</v>
      </c>
    </row>
    <row r="2666" spans="1:28" x14ac:dyDescent="0.25">
      <c r="A2666" t="s">
        <v>2670</v>
      </c>
      <c r="B2666">
        <v>0.99930955844802105</v>
      </c>
      <c r="C2666">
        <v>0.86381768560003902</v>
      </c>
      <c r="D2666">
        <v>0.85988766755287704</v>
      </c>
      <c r="E2666">
        <v>0.51649292784760104</v>
      </c>
      <c r="F2666">
        <v>0.26192661737879802</v>
      </c>
      <c r="G2666">
        <v>0.17824260874354</v>
      </c>
      <c r="H2666">
        <v>0.112074485261294</v>
      </c>
      <c r="I2666">
        <v>0.103278477100694</v>
      </c>
      <c r="J2666">
        <v>8.9890529545258904E-2</v>
      </c>
      <c r="K2666">
        <v>7.1276759401790998E-2</v>
      </c>
      <c r="L2666">
        <v>897.52983321622503</v>
      </c>
      <c r="M2666">
        <v>18.100613595972199</v>
      </c>
      <c r="N2666">
        <v>50.063308353552102</v>
      </c>
      <c r="O2666">
        <v>48.9922592394635</v>
      </c>
      <c r="P2666">
        <v>-8.50431506887417E-2</v>
      </c>
      <c r="Q2666">
        <v>7.9311901585436204E-2</v>
      </c>
      <c r="R2666">
        <v>0.99120120760096697</v>
      </c>
      <c r="S2666" t="s">
        <v>9283</v>
      </c>
      <c r="T2666" t="s">
        <v>13232</v>
      </c>
      <c r="U2666" t="s">
        <v>13232</v>
      </c>
      <c r="V2666" t="s">
        <v>13232</v>
      </c>
      <c r="W2666" t="s">
        <v>15844</v>
      </c>
      <c r="X2666">
        <v>4</v>
      </c>
      <c r="Y2666" t="s">
        <v>22322</v>
      </c>
      <c r="Z2666" t="s">
        <v>28797</v>
      </c>
      <c r="AA2666">
        <v>0.38911216609520322</v>
      </c>
      <c r="AB2666" t="str">
        <f>HYPERLINK("Melting_Curves/meltCurve_P59780_AP3S2.pdf", "Melting_Curves/meltCurve_P59780_AP3S2.pdf")</f>
        <v>Melting_Curves/meltCurve_P59780_AP3S2.pdf</v>
      </c>
    </row>
    <row r="2667" spans="1:28" x14ac:dyDescent="0.25">
      <c r="A2667" t="s">
        <v>2671</v>
      </c>
      <c r="B2667">
        <v>0.99930955844802105</v>
      </c>
      <c r="C2667">
        <v>1.3680983463583201</v>
      </c>
      <c r="D2667">
        <v>1.3815034836439199</v>
      </c>
      <c r="E2667">
        <v>1.1423779059102599</v>
      </c>
      <c r="F2667">
        <v>1.3184296016580099</v>
      </c>
      <c r="G2667">
        <v>1.2483479201066801</v>
      </c>
      <c r="H2667">
        <v>1.5467170852675101</v>
      </c>
      <c r="I2667">
        <v>1.9294086353817499</v>
      </c>
      <c r="J2667">
        <v>2.0309514951157701</v>
      </c>
      <c r="K2667">
        <v>1.5391006086236501</v>
      </c>
      <c r="L2667">
        <v>2125.50449718239</v>
      </c>
      <c r="M2667">
        <v>50.403614116814502</v>
      </c>
      <c r="O2667">
        <v>42.103465704102398</v>
      </c>
      <c r="P2667">
        <v>0.14964225105468501</v>
      </c>
      <c r="Q2667">
        <v>1.5</v>
      </c>
      <c r="R2667">
        <v>0.25646471523214698</v>
      </c>
      <c r="S2667" t="s">
        <v>9284</v>
      </c>
      <c r="T2667" t="s">
        <v>13232</v>
      </c>
      <c r="U2667" t="s">
        <v>13232</v>
      </c>
      <c r="V2667" t="s">
        <v>13232</v>
      </c>
      <c r="W2667" t="s">
        <v>15845</v>
      </c>
      <c r="X2667">
        <v>3</v>
      </c>
      <c r="Y2667" t="s">
        <v>22323</v>
      </c>
      <c r="Z2667" t="s">
        <v>28798</v>
      </c>
      <c r="AA2667">
        <v>1.462162439284111</v>
      </c>
      <c r="AB2667" t="str">
        <f>HYPERLINK("Melting_Curves/meltCurve_P59817_ZNF280A.pdf", "Melting_Curves/meltCurve_P59817_ZNF280A.pdf")</f>
        <v>Melting_Curves/meltCurve_P59817_ZNF280A.pdf</v>
      </c>
    </row>
    <row r="2668" spans="1:28" x14ac:dyDescent="0.25">
      <c r="A2668" t="s">
        <v>2672</v>
      </c>
      <c r="B2668">
        <v>0.99930955844802105</v>
      </c>
      <c r="C2668">
        <v>1.0129901718773699</v>
      </c>
      <c r="D2668">
        <v>0.96166079630527301</v>
      </c>
      <c r="E2668">
        <v>0.80077373960319698</v>
      </c>
      <c r="F2668">
        <v>0.52613066428546396</v>
      </c>
      <c r="G2668">
        <v>0.35297834659671401</v>
      </c>
      <c r="H2668">
        <v>0.321431787401672</v>
      </c>
      <c r="I2668">
        <v>0.26722956864155401</v>
      </c>
      <c r="J2668">
        <v>0.243777641033424</v>
      </c>
      <c r="K2668">
        <v>0.21153218771580901</v>
      </c>
      <c r="L2668">
        <v>1145.7768361859401</v>
      </c>
      <c r="M2668">
        <v>22.0062541590822</v>
      </c>
      <c r="N2668">
        <v>53.733910262093097</v>
      </c>
      <c r="O2668">
        <v>51.641739211657203</v>
      </c>
      <c r="P2668">
        <v>-8.0171087652382997E-2</v>
      </c>
      <c r="Q2668">
        <v>0.24747173215305401</v>
      </c>
      <c r="R2668">
        <v>0.99505985366618899</v>
      </c>
      <c r="S2668" t="s">
        <v>9285</v>
      </c>
      <c r="T2668" t="s">
        <v>13232</v>
      </c>
      <c r="U2668" t="s">
        <v>13232</v>
      </c>
      <c r="V2668" t="s">
        <v>13232</v>
      </c>
      <c r="W2668" t="s">
        <v>15846</v>
      </c>
      <c r="X2668">
        <v>5</v>
      </c>
      <c r="Y2668" t="s">
        <v>22324</v>
      </c>
      <c r="Z2668" t="s">
        <v>28799</v>
      </c>
      <c r="AA2668">
        <v>0.55888537364454249</v>
      </c>
      <c r="AB2668" t="str">
        <f>HYPERLINK("Melting_Curves/meltCurve_P59923_ZNF445.pdf", "Melting_Curves/meltCurve_P59923_ZNF445.pdf")</f>
        <v>Melting_Curves/meltCurve_P59923_ZNF445.pdf</v>
      </c>
    </row>
    <row r="2669" spans="1:28" x14ac:dyDescent="0.25">
      <c r="A2669" t="s">
        <v>2673</v>
      </c>
      <c r="B2669">
        <v>0.99930955844802105</v>
      </c>
      <c r="C2669">
        <v>0.92340277310678698</v>
      </c>
      <c r="D2669">
        <v>0.91633545223814294</v>
      </c>
      <c r="E2669">
        <v>0.96848633144475005</v>
      </c>
      <c r="F2669">
        <v>0.92908395541975197</v>
      </c>
      <c r="G2669">
        <v>0.64130533660382105</v>
      </c>
      <c r="H2669">
        <v>0.19339510768889001</v>
      </c>
      <c r="I2669">
        <v>8.4689375777737094E-2</v>
      </c>
      <c r="J2669">
        <v>5.5562135095016403E-2</v>
      </c>
      <c r="K2669">
        <v>4.0278234643656902E-2</v>
      </c>
      <c r="L2669">
        <v>1750.7991632941</v>
      </c>
      <c r="M2669">
        <v>30.2391017219493</v>
      </c>
      <c r="N2669">
        <v>58.033929360703802</v>
      </c>
      <c r="O2669">
        <v>57.647077515208899</v>
      </c>
      <c r="P2669">
        <v>-0.126672748651143</v>
      </c>
      <c r="Q2669">
        <v>3.4062921965951801E-2</v>
      </c>
      <c r="R2669">
        <v>0.99155947390365395</v>
      </c>
      <c r="S2669" t="s">
        <v>9286</v>
      </c>
      <c r="T2669" t="s">
        <v>13232</v>
      </c>
      <c r="U2669" t="s">
        <v>13232</v>
      </c>
      <c r="V2669" t="s">
        <v>13232</v>
      </c>
      <c r="W2669" t="s">
        <v>15847</v>
      </c>
      <c r="X2669">
        <v>13</v>
      </c>
      <c r="Y2669" t="s">
        <v>22325</v>
      </c>
      <c r="Z2669" t="s">
        <v>28800</v>
      </c>
      <c r="AA2669">
        <v>0.61664341451192284</v>
      </c>
      <c r="AB2669" t="str">
        <f>HYPERLINK("Melting_Curves/meltCurve_P59998_ARPC4.pdf", "Melting_Curves/meltCurve_P59998_ARPC4.pdf")</f>
        <v>Melting_Curves/meltCurve_P59998_ARPC4.pdf</v>
      </c>
    </row>
    <row r="2670" spans="1:28" x14ac:dyDescent="0.25">
      <c r="A2670" t="s">
        <v>2674</v>
      </c>
      <c r="B2670">
        <v>0.99930955844802105</v>
      </c>
      <c r="C2670">
        <v>1.1009178916217</v>
      </c>
      <c r="D2670">
        <v>1.19198522032128</v>
      </c>
      <c r="E2670">
        <v>1.0653025521449899</v>
      </c>
      <c r="F2670">
        <v>0.99081460224467799</v>
      </c>
      <c r="G2670">
        <v>0.91339846568055805</v>
      </c>
      <c r="H2670">
        <v>0.64446124755928402</v>
      </c>
      <c r="I2670">
        <v>0.24424925843928699</v>
      </c>
      <c r="J2670">
        <v>0.11960616129121</v>
      </c>
      <c r="K2670">
        <v>9.3798000477144303E-2</v>
      </c>
      <c r="L2670">
        <v>2254.7453770409602</v>
      </c>
      <c r="M2670">
        <v>36.581432004804597</v>
      </c>
      <c r="N2670">
        <v>61.902758220924703</v>
      </c>
      <c r="O2670">
        <v>61.452988879538403</v>
      </c>
      <c r="P2670">
        <v>-0.13797909560987301</v>
      </c>
      <c r="Q2670">
        <v>7.2840477317270197E-2</v>
      </c>
      <c r="R2670">
        <v>0.96742901759518296</v>
      </c>
      <c r="S2670" t="s">
        <v>9287</v>
      </c>
      <c r="T2670" t="s">
        <v>13232</v>
      </c>
      <c r="U2670" t="s">
        <v>13232</v>
      </c>
      <c r="V2670" t="s">
        <v>13232</v>
      </c>
      <c r="W2670" t="s">
        <v>15848</v>
      </c>
      <c r="X2670">
        <v>24</v>
      </c>
      <c r="Y2670" t="s">
        <v>22326</v>
      </c>
      <c r="Z2670" t="s">
        <v>28801</v>
      </c>
      <c r="AA2670">
        <v>0.74534893410439584</v>
      </c>
      <c r="AB2670" t="str">
        <f>HYPERLINK("Melting_Curves/meltCurve_P60174_1_TPI1.pdf", "Melting_Curves/meltCurve_P60174_1_TPI1.pdf")</f>
        <v>Melting_Curves/meltCurve_P60174_1_TPI1.pdf</v>
      </c>
    </row>
    <row r="2671" spans="1:28" x14ac:dyDescent="0.25">
      <c r="A2671" t="s">
        <v>2675</v>
      </c>
      <c r="B2671">
        <v>0.99930955844802105</v>
      </c>
      <c r="C2671">
        <v>0.71697790912688697</v>
      </c>
      <c r="D2671">
        <v>0.61609671775093799</v>
      </c>
      <c r="E2671">
        <v>0.31417989645097799</v>
      </c>
      <c r="F2671">
        <v>0.215747368760074</v>
      </c>
      <c r="G2671">
        <v>0.14983340392380501</v>
      </c>
      <c r="H2671">
        <v>0.10214148902829</v>
      </c>
      <c r="I2671">
        <v>9.9501805706040197E-2</v>
      </c>
      <c r="J2671">
        <v>8.4178311070069997E-2</v>
      </c>
      <c r="K2671">
        <v>6.8460221927180001E-2</v>
      </c>
      <c r="L2671">
        <v>669.93062817686098</v>
      </c>
      <c r="M2671">
        <v>14.3734279649697</v>
      </c>
      <c r="N2671">
        <v>47.135582892196602</v>
      </c>
      <c r="O2671">
        <v>45.734620998915801</v>
      </c>
      <c r="P2671">
        <v>-7.2750445802822E-2</v>
      </c>
      <c r="Q2671">
        <v>7.4175698164955894E-2</v>
      </c>
      <c r="R2671">
        <v>0.98576657758614905</v>
      </c>
      <c r="S2671" t="s">
        <v>9288</v>
      </c>
      <c r="T2671" t="s">
        <v>13232</v>
      </c>
      <c r="U2671" t="s">
        <v>13232</v>
      </c>
      <c r="V2671" t="s">
        <v>13232</v>
      </c>
      <c r="W2671" t="s">
        <v>15849</v>
      </c>
      <c r="X2671">
        <v>11</v>
      </c>
      <c r="Y2671" t="s">
        <v>22327</v>
      </c>
      <c r="Z2671" t="s">
        <v>28802</v>
      </c>
      <c r="AA2671">
        <v>0.30631890737130851</v>
      </c>
      <c r="AB2671" t="str">
        <f>HYPERLINK("Melting_Curves/meltCurve_P60228_EIF3E.pdf", "Melting_Curves/meltCurve_P60228_EIF3E.pdf")</f>
        <v>Melting_Curves/meltCurve_P60228_EIF3E.pdf</v>
      </c>
    </row>
    <row r="2672" spans="1:28" x14ac:dyDescent="0.25">
      <c r="A2672" t="s">
        <v>2676</v>
      </c>
      <c r="B2672">
        <v>0.99930955844802105</v>
      </c>
      <c r="C2672">
        <v>1.4672714482121001</v>
      </c>
      <c r="D2672">
        <v>1.27682470324472</v>
      </c>
      <c r="E2672">
        <v>1.55107703572019</v>
      </c>
      <c r="F2672">
        <v>1.8923657181525999</v>
      </c>
      <c r="G2672">
        <v>1.868771598738</v>
      </c>
      <c r="H2672">
        <v>1.49177921751687</v>
      </c>
      <c r="I2672">
        <v>2.1376863140329299</v>
      </c>
      <c r="J2672">
        <v>1.97431537724409</v>
      </c>
      <c r="K2672">
        <v>1.7461792912193199</v>
      </c>
      <c r="L2672">
        <v>5131.4199751965898</v>
      </c>
      <c r="M2672">
        <v>122.267093643397</v>
      </c>
      <c r="O2672">
        <v>41.957712506726303</v>
      </c>
      <c r="P2672">
        <v>0.36425691873871002</v>
      </c>
      <c r="Q2672">
        <v>1.5</v>
      </c>
      <c r="R2672">
        <v>4.9775417915637103E-2</v>
      </c>
      <c r="S2672" t="s">
        <v>9289</v>
      </c>
      <c r="T2672" t="s">
        <v>13232</v>
      </c>
      <c r="U2672" t="s">
        <v>13232</v>
      </c>
      <c r="V2672" t="s">
        <v>13232</v>
      </c>
      <c r="W2672" t="s">
        <v>15850</v>
      </c>
      <c r="X2672">
        <v>3</v>
      </c>
      <c r="Y2672" t="s">
        <v>22328</v>
      </c>
      <c r="Z2672" t="s">
        <v>28803</v>
      </c>
      <c r="AA2672">
        <v>1.4670178642577429</v>
      </c>
      <c r="AB2672" t="str">
        <f>HYPERLINK("Melting_Curves/meltCurve_P60468_SEC61B.pdf", "Melting_Curves/meltCurve_P60468_SEC61B.pdf")</f>
        <v>Melting_Curves/meltCurve_P60468_SEC61B.pdf</v>
      </c>
    </row>
    <row r="2673" spans="1:28" x14ac:dyDescent="0.25">
      <c r="A2673" t="s">
        <v>2677</v>
      </c>
      <c r="B2673">
        <v>0.99930955844802105</v>
      </c>
      <c r="C2673">
        <v>0.94299276720923597</v>
      </c>
      <c r="D2673">
        <v>0.89880785723363299</v>
      </c>
      <c r="E2673">
        <v>0.80544984197789005</v>
      </c>
      <c r="F2673">
        <v>0.67720060952562999</v>
      </c>
      <c r="G2673">
        <v>0.48577996503406001</v>
      </c>
      <c r="H2673">
        <v>0.331278839150982</v>
      </c>
      <c r="I2673">
        <v>0.20891543839842</v>
      </c>
      <c r="J2673">
        <v>0.14593360574637301</v>
      </c>
      <c r="K2673">
        <v>9.7768953500880093E-2</v>
      </c>
      <c r="L2673">
        <v>608.39797124537495</v>
      </c>
      <c r="M2673">
        <v>10.7614685410908</v>
      </c>
      <c r="N2673">
        <v>56.534847204509802</v>
      </c>
      <c r="O2673">
        <v>54.687598967911399</v>
      </c>
      <c r="P2673">
        <v>-4.92132505755003E-2</v>
      </c>
      <c r="Q2673">
        <v>0</v>
      </c>
      <c r="R2673">
        <v>0.99798151001371205</v>
      </c>
      <c r="S2673" t="s">
        <v>9290</v>
      </c>
      <c r="T2673" t="s">
        <v>13232</v>
      </c>
      <c r="U2673" t="s">
        <v>13232</v>
      </c>
      <c r="V2673" t="s">
        <v>13232</v>
      </c>
      <c r="W2673" t="s">
        <v>15851</v>
      </c>
      <c r="X2673">
        <v>15</v>
      </c>
      <c r="Y2673" t="s">
        <v>22329</v>
      </c>
      <c r="Z2673" t="s">
        <v>28804</v>
      </c>
      <c r="AA2673">
        <v>0.56979073353639309</v>
      </c>
      <c r="AB2673" t="str">
        <f>HYPERLINK("Melting_Curves/meltCurve_P60510_PPP4C.pdf", "Melting_Curves/meltCurve_P60510_PPP4C.pdf")</f>
        <v>Melting_Curves/meltCurve_P60510_PPP4C.pdf</v>
      </c>
    </row>
    <row r="2674" spans="1:28" x14ac:dyDescent="0.25">
      <c r="A2674" t="s">
        <v>2678</v>
      </c>
      <c r="B2674">
        <v>0.99930955844802105</v>
      </c>
      <c r="C2674">
        <v>1.15158564188569</v>
      </c>
      <c r="D2674">
        <v>1.06507193380515</v>
      </c>
      <c r="E2674">
        <v>1.0398210796923499</v>
      </c>
      <c r="F2674">
        <v>0.80461724894171804</v>
      </c>
      <c r="G2674">
        <v>0.485404961398129</v>
      </c>
      <c r="H2674">
        <v>0.228627532005551</v>
      </c>
      <c r="I2674">
        <v>0.13694737799002499</v>
      </c>
      <c r="J2674">
        <v>0.101701443185842</v>
      </c>
      <c r="K2674">
        <v>7.7835064968256304E-2</v>
      </c>
      <c r="L2674">
        <v>1369.4279215781401</v>
      </c>
      <c r="M2674">
        <v>24.2675656595788</v>
      </c>
      <c r="N2674">
        <v>56.858973769032403</v>
      </c>
      <c r="O2674">
        <v>56.051377527770399</v>
      </c>
      <c r="P2674">
        <v>-9.9192475815331194E-2</v>
      </c>
      <c r="Q2674">
        <v>8.3584912283628895E-2</v>
      </c>
      <c r="R2674">
        <v>0.98004590685745196</v>
      </c>
      <c r="S2674" t="s">
        <v>9291</v>
      </c>
      <c r="T2674" t="s">
        <v>13232</v>
      </c>
      <c r="U2674" t="s">
        <v>13232</v>
      </c>
      <c r="V2674" t="s">
        <v>13232</v>
      </c>
      <c r="W2674" t="s">
        <v>15852</v>
      </c>
      <c r="X2674">
        <v>6</v>
      </c>
      <c r="Y2674" t="s">
        <v>22330</v>
      </c>
      <c r="Z2674" t="s">
        <v>28805</v>
      </c>
      <c r="AA2674">
        <v>0.59425073918027804</v>
      </c>
      <c r="AB2674" t="str">
        <f>HYPERLINK("Melting_Curves/meltCurve_P60520_GABARAPL2.pdf", "Melting_Curves/meltCurve_P60520_GABARAPL2.pdf")</f>
        <v>Melting_Curves/meltCurve_P60520_GABARAPL2.pdf</v>
      </c>
    </row>
    <row r="2675" spans="1:28" x14ac:dyDescent="0.25">
      <c r="A2675" t="s">
        <v>2679</v>
      </c>
      <c r="B2675">
        <v>0.99930955844802105</v>
      </c>
      <c r="C2675">
        <v>1.02678434152751</v>
      </c>
      <c r="D2675">
        <v>0.90795697838474798</v>
      </c>
      <c r="E2675">
        <v>0.567020084517879</v>
      </c>
      <c r="F2675">
        <v>0.28070205841763401</v>
      </c>
      <c r="G2675">
        <v>0.220680871214923</v>
      </c>
      <c r="H2675">
        <v>0.133058680446695</v>
      </c>
      <c r="I2675">
        <v>0.12455746439007</v>
      </c>
      <c r="J2675">
        <v>9.9972962823401998E-2</v>
      </c>
      <c r="K2675">
        <v>8.0979583230407506E-2</v>
      </c>
      <c r="L2675">
        <v>1192.1939548960499</v>
      </c>
      <c r="M2675">
        <v>23.7956084452527</v>
      </c>
      <c r="N2675">
        <v>50.6533090455329</v>
      </c>
      <c r="O2675">
        <v>49.751609165360698</v>
      </c>
      <c r="P2675">
        <v>-0.105920354104567</v>
      </c>
      <c r="Q2675">
        <v>0.114185806201531</v>
      </c>
      <c r="R2675">
        <v>0.99472080366523297</v>
      </c>
      <c r="S2675" t="s">
        <v>9292</v>
      </c>
      <c r="T2675" t="s">
        <v>13232</v>
      </c>
      <c r="U2675" t="s">
        <v>13232</v>
      </c>
      <c r="V2675" t="s">
        <v>13232</v>
      </c>
      <c r="W2675" t="s">
        <v>15853</v>
      </c>
      <c r="X2675">
        <v>4</v>
      </c>
      <c r="Y2675" t="s">
        <v>22331</v>
      </c>
      <c r="Z2675" t="s">
        <v>28806</v>
      </c>
      <c r="AA2675">
        <v>0.42120089797733962</v>
      </c>
      <c r="AB2675" t="str">
        <f>HYPERLINK("Melting_Curves/meltCurve_P60604_2_UBE2G2.pdf", "Melting_Curves/meltCurve_P60604_2_UBE2G2.pdf")</f>
        <v>Melting_Curves/meltCurve_P60604_2_UBE2G2.pdf</v>
      </c>
    </row>
    <row r="2676" spans="1:28" x14ac:dyDescent="0.25">
      <c r="A2676" t="s">
        <v>2680</v>
      </c>
      <c r="B2676">
        <v>0.99930955844802105</v>
      </c>
      <c r="C2676">
        <v>0.83514437524072704</v>
      </c>
      <c r="D2676">
        <v>0.81888667771461499</v>
      </c>
      <c r="E2676">
        <v>0.8675476011762</v>
      </c>
      <c r="F2676">
        <v>0.79119651160489002</v>
      </c>
      <c r="G2676">
        <v>0.67199099649374505</v>
      </c>
      <c r="H2676">
        <v>0.62485859783516995</v>
      </c>
      <c r="I2676">
        <v>0.674308424524942</v>
      </c>
      <c r="J2676">
        <v>0.65014736106469695</v>
      </c>
      <c r="K2676">
        <v>0.545905382232453</v>
      </c>
      <c r="L2676">
        <v>256.06787010774002</v>
      </c>
      <c r="M2676">
        <v>4.2665125138098201</v>
      </c>
      <c r="O2676">
        <v>50.249357771244497</v>
      </c>
      <c r="P2676">
        <v>-1.3836619849626501E-2</v>
      </c>
      <c r="Q2676">
        <v>0.354877804178303</v>
      </c>
      <c r="R2676">
        <v>0.86293814364716304</v>
      </c>
      <c r="S2676" t="s">
        <v>9293</v>
      </c>
      <c r="T2676" t="s">
        <v>13232</v>
      </c>
      <c r="U2676" t="s">
        <v>13232</v>
      </c>
      <c r="V2676" t="s">
        <v>13232</v>
      </c>
      <c r="W2676" t="s">
        <v>15854</v>
      </c>
      <c r="X2676">
        <v>9</v>
      </c>
      <c r="Y2676" t="s">
        <v>22332</v>
      </c>
      <c r="Z2676" t="s">
        <v>28807</v>
      </c>
      <c r="AA2676">
        <v>0.746781631513455</v>
      </c>
      <c r="AB2676" t="str">
        <f>HYPERLINK("Melting_Curves/meltCurve_P60660_2_MYL6.pdf", "Melting_Curves/meltCurve_P60660_2_MYL6.pdf")</f>
        <v>Melting_Curves/meltCurve_P60660_2_MYL6.pdf</v>
      </c>
    </row>
    <row r="2677" spans="1:28" x14ac:dyDescent="0.25">
      <c r="A2677" t="s">
        <v>2681</v>
      </c>
      <c r="B2677">
        <v>0.99930955844802105</v>
      </c>
      <c r="C2677">
        <v>0.92775485592583296</v>
      </c>
      <c r="D2677">
        <v>0.81970038169622295</v>
      </c>
      <c r="E2677">
        <v>0.79962554900795602</v>
      </c>
      <c r="F2677">
        <v>0.38786287734236602</v>
      </c>
      <c r="G2677">
        <v>0.13072226782653101</v>
      </c>
      <c r="H2677">
        <v>0.10634716033984799</v>
      </c>
      <c r="I2677">
        <v>8.2508418699737393E-2</v>
      </c>
      <c r="J2677">
        <v>8.7774934780563502E-2</v>
      </c>
      <c r="K2677">
        <v>6.22814666266224E-2</v>
      </c>
      <c r="L2677">
        <v>1259.5316739848699</v>
      </c>
      <c r="M2677">
        <v>24.294533165278299</v>
      </c>
      <c r="N2677">
        <v>52.156485193339002</v>
      </c>
      <c r="O2677">
        <v>51.4968077370782</v>
      </c>
      <c r="P2677">
        <v>-0.109961380872138</v>
      </c>
      <c r="Q2677">
        <v>6.76791805149137E-2</v>
      </c>
      <c r="R2677">
        <v>0.97837043432137905</v>
      </c>
      <c r="S2677" t="s">
        <v>9294</v>
      </c>
      <c r="T2677" t="s">
        <v>13232</v>
      </c>
      <c r="U2677" t="s">
        <v>13232</v>
      </c>
      <c r="V2677" t="s">
        <v>13232</v>
      </c>
      <c r="W2677" t="s">
        <v>15855</v>
      </c>
      <c r="X2677">
        <v>9</v>
      </c>
      <c r="Y2677" t="s">
        <v>22333</v>
      </c>
      <c r="Z2677" t="s">
        <v>28808</v>
      </c>
      <c r="AA2677">
        <v>0.44474656892134939</v>
      </c>
      <c r="AB2677" t="str">
        <f>HYPERLINK("Melting_Curves/meltCurve_P60763_RAC3.pdf", "Melting_Curves/meltCurve_P60763_RAC3.pdf")</f>
        <v>Melting_Curves/meltCurve_P60763_RAC3.pdf</v>
      </c>
    </row>
    <row r="2678" spans="1:28" x14ac:dyDescent="0.25">
      <c r="A2678" t="s">
        <v>2682</v>
      </c>
      <c r="B2678">
        <v>0.99930955844802105</v>
      </c>
      <c r="C2678">
        <v>1.0247320813733201</v>
      </c>
      <c r="D2678">
        <v>0.89527631107428696</v>
      </c>
      <c r="E2678">
        <v>0.58063769140884802</v>
      </c>
      <c r="F2678">
        <v>0.19644142534603601</v>
      </c>
      <c r="G2678">
        <v>0.12635362452198401</v>
      </c>
      <c r="H2678">
        <v>6.9784465891744099E-2</v>
      </c>
      <c r="I2678">
        <v>5.7984790920633002E-2</v>
      </c>
      <c r="J2678">
        <v>5.0843469189735098E-2</v>
      </c>
      <c r="K2678">
        <v>3.84372686661342E-2</v>
      </c>
      <c r="L2678">
        <v>1388.8688416386899</v>
      </c>
      <c r="M2678">
        <v>27.663445898044898</v>
      </c>
      <c r="N2678">
        <v>50.4202521668388</v>
      </c>
      <c r="O2678">
        <v>49.945763803096199</v>
      </c>
      <c r="P2678">
        <v>-0.130787660755248</v>
      </c>
      <c r="Q2678">
        <v>5.54711327812938E-2</v>
      </c>
      <c r="R2678">
        <v>0.99620172421284903</v>
      </c>
      <c r="S2678" t="s">
        <v>9295</v>
      </c>
      <c r="T2678" t="s">
        <v>13232</v>
      </c>
      <c r="U2678" t="s">
        <v>13232</v>
      </c>
      <c r="V2678" t="s">
        <v>13232</v>
      </c>
      <c r="W2678" t="s">
        <v>15856</v>
      </c>
      <c r="X2678">
        <v>30</v>
      </c>
      <c r="Y2678" t="s">
        <v>22334</v>
      </c>
      <c r="Z2678" t="s">
        <v>28809</v>
      </c>
      <c r="AA2678">
        <v>0.38370064704929541</v>
      </c>
      <c r="AB2678" t="str">
        <f>HYPERLINK("Melting_Curves/meltCurve_P60842_EIF4A1.pdf", "Melting_Curves/meltCurve_P60842_EIF4A1.pdf")</f>
        <v>Melting_Curves/meltCurve_P60842_EIF4A1.pdf</v>
      </c>
    </row>
    <row r="2679" spans="1:28" x14ac:dyDescent="0.25">
      <c r="A2679" t="s">
        <v>2683</v>
      </c>
      <c r="B2679">
        <v>0.99930955844802105</v>
      </c>
      <c r="C2679">
        <v>0.92179648581427898</v>
      </c>
      <c r="D2679">
        <v>0.79424306466687999</v>
      </c>
      <c r="E2679">
        <v>0.50403702926210103</v>
      </c>
      <c r="F2679">
        <v>0.293062967631259</v>
      </c>
      <c r="G2679">
        <v>0.180503580880817</v>
      </c>
      <c r="H2679">
        <v>0.11942719374069601</v>
      </c>
      <c r="I2679">
        <v>0.105316011604566</v>
      </c>
      <c r="J2679">
        <v>9.9864762533170406E-2</v>
      </c>
      <c r="K2679">
        <v>8.4681041119316194E-2</v>
      </c>
      <c r="L2679">
        <v>829.36593387966604</v>
      </c>
      <c r="M2679">
        <v>16.791967658470298</v>
      </c>
      <c r="N2679">
        <v>49.941599754001999</v>
      </c>
      <c r="O2679">
        <v>48.706111060226903</v>
      </c>
      <c r="P2679">
        <v>-7.8907758992038404E-2</v>
      </c>
      <c r="Q2679">
        <v>8.4552600773415004E-2</v>
      </c>
      <c r="R2679">
        <v>0.999366168135152</v>
      </c>
      <c r="S2679" t="s">
        <v>9296</v>
      </c>
      <c r="T2679" t="s">
        <v>13232</v>
      </c>
      <c r="U2679" t="s">
        <v>13232</v>
      </c>
      <c r="V2679" t="s">
        <v>13232</v>
      </c>
      <c r="W2679" t="s">
        <v>15857</v>
      </c>
      <c r="X2679">
        <v>4</v>
      </c>
      <c r="Y2679" t="s">
        <v>22335</v>
      </c>
      <c r="Z2679" t="s">
        <v>28810</v>
      </c>
      <c r="AA2679">
        <v>0.38912602897566673</v>
      </c>
      <c r="AB2679" t="str">
        <f>HYPERLINK("Melting_Curves/meltCurve_P60866_RPS20.pdf", "Melting_Curves/meltCurve_P60866_RPS20.pdf")</f>
        <v>Melting_Curves/meltCurve_P60866_RPS20.pdf</v>
      </c>
    </row>
    <row r="2680" spans="1:28" x14ac:dyDescent="0.25">
      <c r="A2680" t="s">
        <v>2684</v>
      </c>
      <c r="B2680">
        <v>0.99930955844802105</v>
      </c>
      <c r="C2680">
        <v>0.81267170386488397</v>
      </c>
      <c r="D2680">
        <v>0.86189368771549202</v>
      </c>
      <c r="E2680">
        <v>0.90050679007567003</v>
      </c>
      <c r="F2680">
        <v>0.94895914510613699</v>
      </c>
      <c r="G2680">
        <v>0.68442512232849295</v>
      </c>
      <c r="H2680">
        <v>0.23765117148067899</v>
      </c>
      <c r="I2680">
        <v>0.122099665112591</v>
      </c>
      <c r="J2680">
        <v>9.0213834604451995E-2</v>
      </c>
      <c r="K2680">
        <v>6.1657065344398299E-2</v>
      </c>
      <c r="L2680">
        <v>1715.9149389367601</v>
      </c>
      <c r="M2680">
        <v>29.483558123242499</v>
      </c>
      <c r="N2680">
        <v>58.451094065682199</v>
      </c>
      <c r="O2680">
        <v>57.933260368922497</v>
      </c>
      <c r="P2680">
        <v>-0.119636665355426</v>
      </c>
      <c r="Q2680">
        <v>5.9693437265403902E-2</v>
      </c>
      <c r="R2680">
        <v>0.95474262367640295</v>
      </c>
      <c r="S2680" t="s">
        <v>9297</v>
      </c>
      <c r="T2680" t="s">
        <v>13232</v>
      </c>
      <c r="U2680" t="s">
        <v>13232</v>
      </c>
      <c r="V2680" t="s">
        <v>13232</v>
      </c>
      <c r="W2680" t="s">
        <v>15858</v>
      </c>
      <c r="X2680">
        <v>19</v>
      </c>
      <c r="Y2680" t="s">
        <v>22336</v>
      </c>
      <c r="Z2680" t="s">
        <v>28811</v>
      </c>
      <c r="AA2680">
        <v>0.63645680904111301</v>
      </c>
      <c r="AB2680" t="str">
        <f>HYPERLINK("Melting_Curves/meltCurve_P60891_PRPS1.pdf", "Melting_Curves/meltCurve_P60891_PRPS1.pdf")</f>
        <v>Melting_Curves/meltCurve_P60891_PRPS1.pdf</v>
      </c>
    </row>
    <row r="2681" spans="1:28" x14ac:dyDescent="0.25">
      <c r="A2681" t="s">
        <v>2685</v>
      </c>
      <c r="B2681">
        <v>0.99930955844802105</v>
      </c>
      <c r="C2681">
        <v>0.734080173343861</v>
      </c>
      <c r="D2681">
        <v>0.73334960505874003</v>
      </c>
      <c r="E2681">
        <v>1.0490908712818701</v>
      </c>
      <c r="F2681">
        <v>1.08248062230176</v>
      </c>
      <c r="G2681">
        <v>1.0592651443749199</v>
      </c>
      <c r="H2681">
        <v>0.348235598830202</v>
      </c>
      <c r="I2681">
        <v>0.35453672544901599</v>
      </c>
      <c r="J2681">
        <v>0.291668801516695</v>
      </c>
      <c r="K2681">
        <v>0.26360500626436201</v>
      </c>
      <c r="L2681">
        <v>15000</v>
      </c>
      <c r="M2681">
        <v>248.57539352082901</v>
      </c>
      <c r="N2681">
        <v>60.571147454444898</v>
      </c>
      <c r="O2681">
        <v>60.339956527497201</v>
      </c>
      <c r="P2681">
        <v>-0.717559361930727</v>
      </c>
      <c r="Q2681">
        <v>0.30326969451248997</v>
      </c>
      <c r="R2681">
        <v>0.85405759332625397</v>
      </c>
      <c r="S2681" t="s">
        <v>9298</v>
      </c>
      <c r="T2681" t="s">
        <v>13232</v>
      </c>
      <c r="U2681" t="s">
        <v>13232</v>
      </c>
      <c r="V2681" t="s">
        <v>13232</v>
      </c>
      <c r="W2681" t="s">
        <v>15859</v>
      </c>
      <c r="X2681">
        <v>20</v>
      </c>
      <c r="Y2681" t="s">
        <v>22337</v>
      </c>
      <c r="Z2681" t="s">
        <v>28812</v>
      </c>
      <c r="AA2681">
        <v>0.77581723862088348</v>
      </c>
      <c r="AB2681" t="str">
        <f>HYPERLINK("Melting_Curves/meltCurve_P60900_PSMA6.pdf", "Melting_Curves/meltCurve_P60900_PSMA6.pdf")</f>
        <v>Melting_Curves/meltCurve_P60900_PSMA6.pdf</v>
      </c>
    </row>
    <row r="2682" spans="1:28" x14ac:dyDescent="0.25">
      <c r="A2682" t="s">
        <v>2686</v>
      </c>
      <c r="B2682">
        <v>0.99930955844802105</v>
      </c>
      <c r="C2682">
        <v>1.17076360413395</v>
      </c>
      <c r="D2682">
        <v>1.2102112167599901</v>
      </c>
      <c r="E2682">
        <v>1.1136871988525101</v>
      </c>
      <c r="F2682">
        <v>0.866570643105394</v>
      </c>
      <c r="G2682">
        <v>0.25410492948141</v>
      </c>
      <c r="H2682">
        <v>0.128287331276697</v>
      </c>
      <c r="I2682">
        <v>0.10380026505083</v>
      </c>
      <c r="J2682">
        <v>9.2972201510873195E-2</v>
      </c>
      <c r="K2682">
        <v>6.7196470399957603E-2</v>
      </c>
      <c r="L2682">
        <v>2607.34567629204</v>
      </c>
      <c r="M2682">
        <v>47.313030418552302</v>
      </c>
      <c r="N2682">
        <v>55.356839074318302</v>
      </c>
      <c r="O2682">
        <v>55.010226926812699</v>
      </c>
      <c r="P2682">
        <v>-0.19445198812584499</v>
      </c>
      <c r="Q2682">
        <v>9.5654095864716598E-2</v>
      </c>
      <c r="R2682">
        <v>0.96141159685806299</v>
      </c>
      <c r="S2682" t="s">
        <v>9299</v>
      </c>
      <c r="T2682" t="s">
        <v>13232</v>
      </c>
      <c r="U2682" t="s">
        <v>13232</v>
      </c>
      <c r="V2682" t="s">
        <v>13232</v>
      </c>
      <c r="W2682" t="s">
        <v>15860</v>
      </c>
      <c r="X2682">
        <v>11</v>
      </c>
      <c r="Y2682" t="s">
        <v>22338</v>
      </c>
      <c r="Z2682" t="s">
        <v>28813</v>
      </c>
      <c r="AA2682">
        <v>0.55354911078317559</v>
      </c>
      <c r="AB2682" t="str">
        <f>HYPERLINK("Melting_Curves/meltCurve_P60953_CDC42.pdf", "Melting_Curves/meltCurve_P60953_CDC42.pdf")</f>
        <v>Melting_Curves/meltCurve_P60953_CDC42.pdf</v>
      </c>
    </row>
    <row r="2683" spans="1:28" x14ac:dyDescent="0.25">
      <c r="A2683" t="s">
        <v>2687</v>
      </c>
      <c r="B2683">
        <v>0.99930955844802105</v>
      </c>
      <c r="C2683">
        <v>1.07104615304877</v>
      </c>
      <c r="D2683">
        <v>1.0472507850886399</v>
      </c>
      <c r="E2683">
        <v>0.90538866021373199</v>
      </c>
      <c r="F2683">
        <v>0.56838091713779504</v>
      </c>
      <c r="G2683">
        <v>0.20573889783111099</v>
      </c>
      <c r="H2683">
        <v>0.13992141151672499</v>
      </c>
      <c r="I2683">
        <v>0.13487767754084401</v>
      </c>
      <c r="J2683">
        <v>0.123656775405025</v>
      </c>
      <c r="K2683">
        <v>8.6347948197334101E-2</v>
      </c>
      <c r="L2683">
        <v>1787.7145673546299</v>
      </c>
      <c r="M2683">
        <v>33.665351055885303</v>
      </c>
      <c r="N2683">
        <v>53.532682733327</v>
      </c>
      <c r="O2683">
        <v>52.916186272011103</v>
      </c>
      <c r="P2683">
        <v>-0.14020180158633</v>
      </c>
      <c r="Q2683">
        <v>0.118510418210689</v>
      </c>
      <c r="R2683">
        <v>0.99455595640924999</v>
      </c>
      <c r="S2683" t="s">
        <v>9300</v>
      </c>
      <c r="T2683" t="s">
        <v>13232</v>
      </c>
      <c r="U2683" t="s">
        <v>13232</v>
      </c>
      <c r="V2683" t="s">
        <v>13232</v>
      </c>
      <c r="W2683" t="s">
        <v>15861</v>
      </c>
      <c r="X2683">
        <v>9</v>
      </c>
      <c r="Y2683" t="s">
        <v>22338</v>
      </c>
      <c r="Z2683" t="s">
        <v>28814</v>
      </c>
      <c r="AA2683">
        <v>0.50806174380874392</v>
      </c>
      <c r="AB2683" t="str">
        <f>HYPERLINK("Melting_Curves/meltCurve_P60953_1_CDC42.pdf", "Melting_Curves/meltCurve_P60953_1_CDC42.pdf")</f>
        <v>Melting_Curves/meltCurve_P60953_1_CDC42.pdf</v>
      </c>
    </row>
    <row r="2684" spans="1:28" x14ac:dyDescent="0.25">
      <c r="A2684" t="s">
        <v>2688</v>
      </c>
      <c r="B2684">
        <v>0.99930955844802105</v>
      </c>
      <c r="C2684">
        <v>1.0961281955295801</v>
      </c>
      <c r="D2684">
        <v>1.0911446018547</v>
      </c>
      <c r="E2684">
        <v>1.04743164595214</v>
      </c>
      <c r="F2684">
        <v>0.58640622291600397</v>
      </c>
      <c r="G2684">
        <v>0.22155605051045499</v>
      </c>
      <c r="H2684">
        <v>0.12815844979159499</v>
      </c>
      <c r="I2684">
        <v>0.107031633044575</v>
      </c>
      <c r="J2684">
        <v>9.7263624280694794E-2</v>
      </c>
      <c r="K2684">
        <v>7.4497886348153297E-2</v>
      </c>
      <c r="L2684">
        <v>2706.9504626193402</v>
      </c>
      <c r="M2684">
        <v>50.853178036981198</v>
      </c>
      <c r="N2684">
        <v>53.513108183234998</v>
      </c>
      <c r="O2684">
        <v>53.148580252329999</v>
      </c>
      <c r="P2684">
        <v>-0.211052118809261</v>
      </c>
      <c r="Q2684">
        <v>0.1176864854791</v>
      </c>
      <c r="R2684">
        <v>0.98345594057215702</v>
      </c>
      <c r="S2684" t="s">
        <v>9301</v>
      </c>
      <c r="T2684" t="s">
        <v>13232</v>
      </c>
      <c r="U2684" t="s">
        <v>13232</v>
      </c>
      <c r="V2684" t="s">
        <v>13232</v>
      </c>
      <c r="W2684" t="s">
        <v>15862</v>
      </c>
      <c r="X2684">
        <v>13</v>
      </c>
      <c r="Y2684" t="s">
        <v>22339</v>
      </c>
      <c r="Z2684" t="s">
        <v>28815</v>
      </c>
      <c r="AA2684">
        <v>0.50880955184175147</v>
      </c>
      <c r="AB2684" t="str">
        <f>HYPERLINK("Melting_Curves/meltCurve_P60981_2_DSTN.pdf", "Melting_Curves/meltCurve_P60981_2_DSTN.pdf")</f>
        <v>Melting_Curves/meltCurve_P60981_2_DSTN.pdf</v>
      </c>
    </row>
    <row r="2685" spans="1:28" x14ac:dyDescent="0.25">
      <c r="A2685" t="s">
        <v>2689</v>
      </c>
      <c r="B2685">
        <v>0.99930955844802105</v>
      </c>
      <c r="C2685">
        <v>1.0781712510664601</v>
      </c>
      <c r="D2685">
        <v>1.1263397631587999</v>
      </c>
      <c r="E2685">
        <v>1.0511072453672201</v>
      </c>
      <c r="F2685">
        <v>0.95640128298706795</v>
      </c>
      <c r="G2685">
        <v>0.87148231021474698</v>
      </c>
      <c r="H2685">
        <v>0.83086091472910095</v>
      </c>
      <c r="I2685">
        <v>0.85444216050833899</v>
      </c>
      <c r="J2685">
        <v>0.69846449864508298</v>
      </c>
      <c r="K2685">
        <v>0.45147306737735099</v>
      </c>
      <c r="L2685">
        <v>954.97449715690595</v>
      </c>
      <c r="M2685">
        <v>13.624981675934899</v>
      </c>
      <c r="O2685">
        <v>68.631839457728205</v>
      </c>
      <c r="P2685">
        <v>-4.96380050896396E-2</v>
      </c>
      <c r="Q2685">
        <v>0</v>
      </c>
      <c r="R2685">
        <v>0.87380468364633301</v>
      </c>
      <c r="S2685" t="s">
        <v>9302</v>
      </c>
      <c r="T2685" t="s">
        <v>13232</v>
      </c>
      <c r="U2685" t="s">
        <v>13232</v>
      </c>
      <c r="V2685" t="s">
        <v>13232</v>
      </c>
      <c r="W2685" t="s">
        <v>15863</v>
      </c>
      <c r="X2685">
        <v>8</v>
      </c>
      <c r="Y2685" t="s">
        <v>22340</v>
      </c>
      <c r="Z2685" t="s">
        <v>28816</v>
      </c>
      <c r="AA2685">
        <v>0.89947717304423602</v>
      </c>
      <c r="AB2685" t="str">
        <f>HYPERLINK("Melting_Curves/meltCurve_P60983_GMFB.pdf", "Melting_Curves/meltCurve_P60983_GMFB.pdf")</f>
        <v>Melting_Curves/meltCurve_P60983_GMFB.pdf</v>
      </c>
    </row>
    <row r="2686" spans="1:28" x14ac:dyDescent="0.25">
      <c r="A2686" t="s">
        <v>2690</v>
      </c>
      <c r="B2686">
        <v>0.99930955844802105</v>
      </c>
      <c r="C2686">
        <v>1.00965772969642</v>
      </c>
      <c r="D2686">
        <v>0.90211019527188996</v>
      </c>
      <c r="E2686">
        <v>0.89953088844971296</v>
      </c>
      <c r="F2686">
        <v>0.82019428286895102</v>
      </c>
      <c r="G2686">
        <v>0.366928739589514</v>
      </c>
      <c r="H2686">
        <v>0.109303779957795</v>
      </c>
      <c r="I2686">
        <v>8.1005357485003801E-2</v>
      </c>
      <c r="J2686">
        <v>7.0264581660127196E-2</v>
      </c>
      <c r="K2686">
        <v>4.9295437654112602E-2</v>
      </c>
      <c r="L2686">
        <v>1461.5845756788499</v>
      </c>
      <c r="M2686">
        <v>26.306254130100701</v>
      </c>
      <c r="N2686">
        <v>55.766722134568298</v>
      </c>
      <c r="O2686">
        <v>55.242256425420102</v>
      </c>
      <c r="P2686">
        <v>-0.11352905068182</v>
      </c>
      <c r="Q2686">
        <v>4.6381592556664998E-2</v>
      </c>
      <c r="R2686">
        <v>0.99209357897457195</v>
      </c>
      <c r="S2686" t="s">
        <v>9303</v>
      </c>
      <c r="T2686" t="s">
        <v>13232</v>
      </c>
      <c r="U2686" t="s">
        <v>13232</v>
      </c>
      <c r="V2686" t="s">
        <v>13232</v>
      </c>
      <c r="W2686" t="s">
        <v>15864</v>
      </c>
      <c r="X2686">
        <v>11</v>
      </c>
      <c r="Y2686" t="s">
        <v>22341</v>
      </c>
      <c r="Z2686" t="s">
        <v>28817</v>
      </c>
      <c r="AA2686">
        <v>0.54905522186751621</v>
      </c>
      <c r="AB2686" t="str">
        <f>HYPERLINK("Melting_Curves/meltCurve_P61006_RAB8A.pdf", "Melting_Curves/meltCurve_P61006_RAB8A.pdf")</f>
        <v>Melting_Curves/meltCurve_P61006_RAB8A.pdf</v>
      </c>
    </row>
    <row r="2687" spans="1:28" x14ac:dyDescent="0.25">
      <c r="A2687" t="s">
        <v>2691</v>
      </c>
      <c r="B2687">
        <v>0.99930955844802105</v>
      </c>
      <c r="C2687">
        <v>0.88016251286732305</v>
      </c>
      <c r="D2687">
        <v>0.70695829123597798</v>
      </c>
      <c r="E2687">
        <v>0.85791048672776604</v>
      </c>
      <c r="F2687">
        <v>0.45599820731172502</v>
      </c>
      <c r="G2687">
        <v>0.185189562711431</v>
      </c>
      <c r="H2687">
        <v>0.100942730205556</v>
      </c>
      <c r="I2687">
        <v>7.8125252965664194E-2</v>
      </c>
      <c r="J2687">
        <v>7.0165927347565896E-2</v>
      </c>
      <c r="K2687">
        <v>5.6759056903740501E-2</v>
      </c>
      <c r="L2687">
        <v>724.61993343404595</v>
      </c>
      <c r="M2687">
        <v>13.776447514614</v>
      </c>
      <c r="N2687">
        <v>52.598476408020701</v>
      </c>
      <c r="O2687">
        <v>51.527329885767998</v>
      </c>
      <c r="P2687">
        <v>-6.6849904660537501E-2</v>
      </c>
      <c r="Q2687">
        <v>0</v>
      </c>
      <c r="R2687">
        <v>0.94246928295899202</v>
      </c>
      <c r="S2687" t="s">
        <v>9304</v>
      </c>
      <c r="T2687" t="s">
        <v>13232</v>
      </c>
      <c r="U2687" t="s">
        <v>13232</v>
      </c>
      <c r="V2687" t="s">
        <v>13232</v>
      </c>
      <c r="W2687" t="s">
        <v>15865</v>
      </c>
      <c r="X2687">
        <v>2</v>
      </c>
      <c r="Y2687" t="s">
        <v>22342</v>
      </c>
      <c r="Z2687" t="s">
        <v>28818</v>
      </c>
      <c r="AA2687">
        <v>0.44458426781475419</v>
      </c>
      <c r="AB2687" t="str">
        <f>HYPERLINK("Melting_Curves/meltCurve_P61009_SPCS3.pdf", "Melting_Curves/meltCurve_P61009_SPCS3.pdf")</f>
        <v>Melting_Curves/meltCurve_P61009_SPCS3.pdf</v>
      </c>
    </row>
    <row r="2688" spans="1:28" x14ac:dyDescent="0.25">
      <c r="A2688" t="s">
        <v>2692</v>
      </c>
      <c r="B2688">
        <v>0.99930955844802105</v>
      </c>
      <c r="C2688">
        <v>0.70659844252895498</v>
      </c>
      <c r="D2688">
        <v>0.71424748361806401</v>
      </c>
      <c r="E2688">
        <v>0.39134538121856499</v>
      </c>
      <c r="F2688">
        <v>0.20155009872194199</v>
      </c>
      <c r="G2688">
        <v>0.114027954443965</v>
      </c>
      <c r="H2688">
        <v>6.0261112950379003E-2</v>
      </c>
      <c r="I2688">
        <v>5.06854676002313E-2</v>
      </c>
      <c r="J2688">
        <v>4.4669916154052698E-2</v>
      </c>
      <c r="K2688">
        <v>3.4048482797260603E-2</v>
      </c>
      <c r="L2688">
        <v>626.54319172558996</v>
      </c>
      <c r="M2688">
        <v>13.051249838817199</v>
      </c>
      <c r="N2688">
        <v>48.081214973801799</v>
      </c>
      <c r="O2688">
        <v>46.921280881325202</v>
      </c>
      <c r="P2688">
        <v>-6.8850825245504094E-2</v>
      </c>
      <c r="Q2688">
        <v>1.00548118445611E-2</v>
      </c>
      <c r="R2688">
        <v>0.97710966321786197</v>
      </c>
      <c r="S2688" t="s">
        <v>9305</v>
      </c>
      <c r="T2688" t="s">
        <v>13232</v>
      </c>
      <c r="U2688" t="s">
        <v>13232</v>
      </c>
      <c r="V2688" t="s">
        <v>13232</v>
      </c>
      <c r="W2688" t="s">
        <v>15866</v>
      </c>
      <c r="X2688">
        <v>20</v>
      </c>
      <c r="Y2688" t="s">
        <v>22343</v>
      </c>
      <c r="Z2688" t="s">
        <v>28819</v>
      </c>
      <c r="AA2688">
        <v>0.30751246078156452</v>
      </c>
      <c r="AB2688" t="str">
        <f>HYPERLINK("Melting_Curves/meltCurve_P61011_SRP54.pdf", "Melting_Curves/meltCurve_P61011_SRP54.pdf")</f>
        <v>Melting_Curves/meltCurve_P61011_SRP54.pdf</v>
      </c>
    </row>
    <row r="2689" spans="1:28" x14ac:dyDescent="0.25">
      <c r="A2689" t="s">
        <v>2693</v>
      </c>
      <c r="B2689">
        <v>0.99930955844802105</v>
      </c>
      <c r="C2689">
        <v>0.98975782045765703</v>
      </c>
      <c r="D2689">
        <v>0.94613481469623295</v>
      </c>
      <c r="E2689">
        <v>0.93978255850020298</v>
      </c>
      <c r="F2689">
        <v>0.78345569763740996</v>
      </c>
      <c r="G2689">
        <v>0.507543686176399</v>
      </c>
      <c r="H2689">
        <v>0.229919952640215</v>
      </c>
      <c r="I2689">
        <v>0.102863775178988</v>
      </c>
      <c r="J2689">
        <v>8.1248288250534498E-2</v>
      </c>
      <c r="K2689">
        <v>6.0611855456921201E-2</v>
      </c>
      <c r="L2689">
        <v>1060.8761112954101</v>
      </c>
      <c r="M2689">
        <v>18.684942717490401</v>
      </c>
      <c r="N2689">
        <v>56.908486060826903</v>
      </c>
      <c r="O2689">
        <v>56.138688491902499</v>
      </c>
      <c r="P2689">
        <v>-8.1455170186581993E-2</v>
      </c>
      <c r="Q2689">
        <v>2.1116919118420601E-2</v>
      </c>
      <c r="R2689">
        <v>0.99797402352790399</v>
      </c>
      <c r="S2689" t="s">
        <v>9306</v>
      </c>
      <c r="T2689" t="s">
        <v>13232</v>
      </c>
      <c r="U2689" t="s">
        <v>13232</v>
      </c>
      <c r="V2689" t="s">
        <v>13232</v>
      </c>
      <c r="W2689" t="s">
        <v>15867</v>
      </c>
      <c r="X2689">
        <v>12</v>
      </c>
      <c r="Y2689" t="s">
        <v>22344</v>
      </c>
      <c r="Z2689" t="s">
        <v>28820</v>
      </c>
      <c r="AA2689">
        <v>0.58168783081135211</v>
      </c>
      <c r="AB2689" t="str">
        <f>HYPERLINK("Melting_Curves/meltCurve_P61019_RAB2A.pdf", "Melting_Curves/meltCurve_P61019_RAB2A.pdf")</f>
        <v>Melting_Curves/meltCurve_P61019_RAB2A.pdf</v>
      </c>
    </row>
    <row r="2690" spans="1:28" x14ac:dyDescent="0.25">
      <c r="A2690" t="s">
        <v>2694</v>
      </c>
      <c r="B2690">
        <v>0.99930955844802105</v>
      </c>
      <c r="C2690">
        <v>1.0626625409896899</v>
      </c>
      <c r="D2690">
        <v>1.06578378647045</v>
      </c>
      <c r="E2690">
        <v>0.98516092774700603</v>
      </c>
      <c r="F2690">
        <v>1.00763230914792</v>
      </c>
      <c r="G2690">
        <v>0.67443215130690604</v>
      </c>
      <c r="H2690">
        <v>0.13020130202260199</v>
      </c>
      <c r="I2690">
        <v>9.6615343765771106E-2</v>
      </c>
      <c r="J2690">
        <v>8.2436517905658493E-2</v>
      </c>
      <c r="K2690">
        <v>6.3901267925002198E-2</v>
      </c>
      <c r="L2690">
        <v>3021.3387305064798</v>
      </c>
      <c r="M2690">
        <v>52.396699600542199</v>
      </c>
      <c r="N2690">
        <v>57.853536091989497</v>
      </c>
      <c r="O2690">
        <v>57.578958238501201</v>
      </c>
      <c r="P2690">
        <v>-0.20945058667259001</v>
      </c>
      <c r="Q2690">
        <v>7.9336053004574303E-2</v>
      </c>
      <c r="R2690">
        <v>0.995279510867496</v>
      </c>
      <c r="S2690" t="s">
        <v>9307</v>
      </c>
      <c r="T2690" t="s">
        <v>13232</v>
      </c>
      <c r="U2690" t="s">
        <v>13232</v>
      </c>
      <c r="V2690" t="s">
        <v>13232</v>
      </c>
      <c r="W2690" t="s">
        <v>15868</v>
      </c>
      <c r="X2690">
        <v>8</v>
      </c>
      <c r="Y2690" t="s">
        <v>22345</v>
      </c>
      <c r="Z2690" t="s">
        <v>28821</v>
      </c>
      <c r="AA2690">
        <v>0.62351140968879826</v>
      </c>
      <c r="AB2690" t="str">
        <f>HYPERLINK("Melting_Curves/meltCurve_P61020_RAB5B.pdf", "Melting_Curves/meltCurve_P61020_RAB5B.pdf")</f>
        <v>Melting_Curves/meltCurve_P61020_RAB5B.pdf</v>
      </c>
    </row>
    <row r="2691" spans="1:28" x14ac:dyDescent="0.25">
      <c r="A2691" t="s">
        <v>2695</v>
      </c>
      <c r="B2691">
        <v>0.99930955844802105</v>
      </c>
      <c r="C2691">
        <v>0.84152629751077701</v>
      </c>
      <c r="D2691">
        <v>0.78593679891327595</v>
      </c>
      <c r="E2691">
        <v>0.72336522161377104</v>
      </c>
      <c r="F2691">
        <v>0.53589142042131199</v>
      </c>
      <c r="G2691">
        <v>0.384018583456115</v>
      </c>
      <c r="H2691">
        <v>0.34343602443097199</v>
      </c>
      <c r="I2691">
        <v>0.41088660212700101</v>
      </c>
      <c r="J2691">
        <v>0.33175543124686302</v>
      </c>
      <c r="K2691">
        <v>0.28910085695204502</v>
      </c>
      <c r="L2691">
        <v>526.56391285981999</v>
      </c>
      <c r="M2691">
        <v>10.4458360765883</v>
      </c>
      <c r="N2691">
        <v>54.503440892162097</v>
      </c>
      <c r="O2691">
        <v>48.666575851589201</v>
      </c>
      <c r="P2691">
        <v>-3.9087322048012199E-2</v>
      </c>
      <c r="Q2691">
        <v>0.27187693719554101</v>
      </c>
      <c r="R2691">
        <v>0.96540498800705099</v>
      </c>
      <c r="S2691" t="s">
        <v>9308</v>
      </c>
      <c r="T2691" t="s">
        <v>13232</v>
      </c>
      <c r="U2691" t="s">
        <v>13232</v>
      </c>
      <c r="V2691" t="s">
        <v>13232</v>
      </c>
      <c r="W2691" t="s">
        <v>15869</v>
      </c>
      <c r="X2691">
        <v>3</v>
      </c>
      <c r="Y2691" t="s">
        <v>22346</v>
      </c>
      <c r="Z2691" t="s">
        <v>28822</v>
      </c>
      <c r="AA2691">
        <v>0.55453952126446471</v>
      </c>
      <c r="AB2691" t="str">
        <f>HYPERLINK("Melting_Curves/meltCurve_P61024_CKS1B.pdf", "Melting_Curves/meltCurve_P61024_CKS1B.pdf")</f>
        <v>Melting_Curves/meltCurve_P61024_CKS1B.pdf</v>
      </c>
    </row>
    <row r="2692" spans="1:28" x14ac:dyDescent="0.25">
      <c r="A2692" t="s">
        <v>2696</v>
      </c>
      <c r="B2692">
        <v>0.99930955844802105</v>
      </c>
      <c r="C2692">
        <v>1.2079291202929201</v>
      </c>
      <c r="D2692">
        <v>1.1270133915103999</v>
      </c>
      <c r="E2692">
        <v>1.1048989396967801</v>
      </c>
      <c r="F2692">
        <v>1.0803148943052101</v>
      </c>
      <c r="G2692">
        <v>0.49780389154298099</v>
      </c>
      <c r="H2692">
        <v>0.15473057836565501</v>
      </c>
      <c r="I2692">
        <v>0.132650712677716</v>
      </c>
      <c r="J2692">
        <v>0.117608058527433</v>
      </c>
      <c r="K2692">
        <v>8.6098847408976303E-2</v>
      </c>
      <c r="L2692">
        <v>9413.9704416026507</v>
      </c>
      <c r="M2692">
        <v>165.44932996477499</v>
      </c>
      <c r="N2692">
        <v>56.9964963108619</v>
      </c>
      <c r="O2692">
        <v>56.891104719545197</v>
      </c>
      <c r="P2692">
        <v>-0.63778597656982206</v>
      </c>
      <c r="Q2692">
        <v>0.122768318795155</v>
      </c>
      <c r="R2692">
        <v>0.96379224024617005</v>
      </c>
      <c r="S2692" t="s">
        <v>9309</v>
      </c>
      <c r="T2692" t="s">
        <v>13232</v>
      </c>
      <c r="U2692" t="s">
        <v>13232</v>
      </c>
      <c r="V2692" t="s">
        <v>13232</v>
      </c>
      <c r="W2692" t="s">
        <v>15870</v>
      </c>
      <c r="X2692">
        <v>11</v>
      </c>
      <c r="Y2692" t="s">
        <v>22347</v>
      </c>
      <c r="Z2692" t="s">
        <v>28823</v>
      </c>
      <c r="AA2692">
        <v>0.61712518641316949</v>
      </c>
      <c r="AB2692" t="str">
        <f>HYPERLINK("Melting_Curves/meltCurve_P61026_RAB10.pdf", "Melting_Curves/meltCurve_P61026_RAB10.pdf")</f>
        <v>Melting_Curves/meltCurve_P61026_RAB10.pdf</v>
      </c>
    </row>
    <row r="2693" spans="1:28" x14ac:dyDescent="0.25">
      <c r="A2693" t="s">
        <v>2697</v>
      </c>
      <c r="B2693">
        <v>0.99930955844802105</v>
      </c>
      <c r="C2693">
        <v>1.0159516853548001</v>
      </c>
      <c r="D2693">
        <v>1.0854049687227401</v>
      </c>
      <c r="E2693">
        <v>0.84070323034759398</v>
      </c>
      <c r="F2693">
        <v>0.35437136895920501</v>
      </c>
      <c r="G2693">
        <v>0.22183999081356701</v>
      </c>
      <c r="H2693">
        <v>0.108203891131453</v>
      </c>
      <c r="I2693">
        <v>5.47960840055794E-2</v>
      </c>
      <c r="J2693">
        <v>4.20753369679122E-2</v>
      </c>
      <c r="K2693">
        <v>3.2207395735485297E-2</v>
      </c>
      <c r="L2693">
        <v>1858.2076157126</v>
      </c>
      <c r="M2693">
        <v>35.730617598418199</v>
      </c>
      <c r="N2693">
        <v>52.254407243206998</v>
      </c>
      <c r="O2693">
        <v>51.843934959023002</v>
      </c>
      <c r="P2693">
        <v>-0.15884283643727101</v>
      </c>
      <c r="Q2693">
        <v>7.8100349268644606E-2</v>
      </c>
      <c r="R2693">
        <v>0.98568038300198302</v>
      </c>
      <c r="S2693" t="s">
        <v>9310</v>
      </c>
      <c r="T2693" t="s">
        <v>13232</v>
      </c>
      <c r="U2693" t="s">
        <v>13232</v>
      </c>
      <c r="V2693" t="s">
        <v>13232</v>
      </c>
      <c r="W2693" t="s">
        <v>15871</v>
      </c>
      <c r="X2693">
        <v>5</v>
      </c>
      <c r="Y2693" t="s">
        <v>22348</v>
      </c>
      <c r="Z2693" t="s">
        <v>28824</v>
      </c>
      <c r="AA2693">
        <v>0.45120105754395151</v>
      </c>
      <c r="AB2693" t="str">
        <f>HYPERLINK("Melting_Curves/meltCurve_P61077_UBE2D3.pdf", "Melting_Curves/meltCurve_P61077_UBE2D3.pdf")</f>
        <v>Melting_Curves/meltCurve_P61077_UBE2D3.pdf</v>
      </c>
    </row>
    <row r="2694" spans="1:28" x14ac:dyDescent="0.25">
      <c r="A2694" t="s">
        <v>2698</v>
      </c>
      <c r="B2694">
        <v>0.99930955844802105</v>
      </c>
      <c r="C2694">
        <v>1.0276048784085701</v>
      </c>
      <c r="D2694">
        <v>1.04284092932893</v>
      </c>
      <c r="E2694">
        <v>0.94012621005114105</v>
      </c>
      <c r="F2694">
        <v>0.72212723479488705</v>
      </c>
      <c r="G2694">
        <v>0.29013395379633899</v>
      </c>
      <c r="H2694">
        <v>0.117509231118387</v>
      </c>
      <c r="I2694">
        <v>9.3921053187613596E-2</v>
      </c>
      <c r="J2694">
        <v>8.56646831831058E-2</v>
      </c>
      <c r="K2694">
        <v>6.6648234370186799E-2</v>
      </c>
      <c r="L2694">
        <v>1570.30148703282</v>
      </c>
      <c r="M2694">
        <v>28.763039999423</v>
      </c>
      <c r="N2694">
        <v>54.907576650971698</v>
      </c>
      <c r="O2694">
        <v>54.332567578001203</v>
      </c>
      <c r="P2694">
        <v>-0.12233625303225901</v>
      </c>
      <c r="Q2694">
        <v>7.5648264013285199E-2</v>
      </c>
      <c r="R2694">
        <v>0.99818819565350803</v>
      </c>
      <c r="S2694" t="s">
        <v>9311</v>
      </c>
      <c r="T2694" t="s">
        <v>13232</v>
      </c>
      <c r="U2694" t="s">
        <v>13232</v>
      </c>
      <c r="V2694" t="s">
        <v>13232</v>
      </c>
      <c r="W2694" t="s">
        <v>15872</v>
      </c>
      <c r="X2694">
        <v>11</v>
      </c>
      <c r="Y2694" t="s">
        <v>22349</v>
      </c>
      <c r="Z2694" t="s">
        <v>28825</v>
      </c>
      <c r="AA2694">
        <v>0.53194484839804168</v>
      </c>
      <c r="AB2694" t="str">
        <f>HYPERLINK("Melting_Curves/meltCurve_P61081_UBE2M.pdf", "Melting_Curves/meltCurve_P61081_UBE2M.pdf")</f>
        <v>Melting_Curves/meltCurve_P61081_UBE2M.pdf</v>
      </c>
    </row>
    <row r="2695" spans="1:28" x14ac:dyDescent="0.25">
      <c r="A2695" t="s">
        <v>2699</v>
      </c>
      <c r="B2695">
        <v>0.99930955844802105</v>
      </c>
      <c r="C2695">
        <v>1.1386340886367401</v>
      </c>
      <c r="D2695">
        <v>1.2221983828170999</v>
      </c>
      <c r="E2695">
        <v>1.1210041369719601</v>
      </c>
      <c r="F2695">
        <v>0.915638790004485</v>
      </c>
      <c r="G2695">
        <v>0.50138903133013402</v>
      </c>
      <c r="H2695">
        <v>0.13378535639055</v>
      </c>
      <c r="I2695">
        <v>9.5624195390713498E-2</v>
      </c>
      <c r="J2695">
        <v>8.0017559165130703E-2</v>
      </c>
      <c r="K2695">
        <v>5.8058877831677597E-2</v>
      </c>
      <c r="L2695">
        <v>2129.4567359613402</v>
      </c>
      <c r="M2695">
        <v>37.518244840565401</v>
      </c>
      <c r="N2695">
        <v>56.993639074947801</v>
      </c>
      <c r="O2695">
        <v>56.597372543777503</v>
      </c>
      <c r="P2695">
        <v>-0.153813266180965</v>
      </c>
      <c r="Q2695">
        <v>7.1875222803747696E-2</v>
      </c>
      <c r="R2695">
        <v>0.96186753426250504</v>
      </c>
      <c r="S2695" t="s">
        <v>9312</v>
      </c>
      <c r="T2695" t="s">
        <v>13232</v>
      </c>
      <c r="U2695" t="s">
        <v>13232</v>
      </c>
      <c r="V2695" t="s">
        <v>13232</v>
      </c>
      <c r="W2695" t="s">
        <v>15873</v>
      </c>
      <c r="X2695">
        <v>18</v>
      </c>
      <c r="Y2695" t="s">
        <v>22350</v>
      </c>
      <c r="Z2695" t="s">
        <v>28826</v>
      </c>
      <c r="AA2695">
        <v>0.59440460532245087</v>
      </c>
      <c r="AB2695" t="str">
        <f>HYPERLINK("Melting_Curves/meltCurve_P61086_UBE2K.pdf", "Melting_Curves/meltCurve_P61086_UBE2K.pdf")</f>
        <v>Melting_Curves/meltCurve_P61086_UBE2K.pdf</v>
      </c>
    </row>
    <row r="2696" spans="1:28" x14ac:dyDescent="0.25">
      <c r="A2696" t="s">
        <v>2700</v>
      </c>
      <c r="B2696">
        <v>0.99930955844802105</v>
      </c>
      <c r="C2696">
        <v>1.08647345608249</v>
      </c>
      <c r="D2696">
        <v>1.1296086938941099</v>
      </c>
      <c r="E2696">
        <v>1.03043814069925</v>
      </c>
      <c r="F2696">
        <v>0.76058970335179399</v>
      </c>
      <c r="G2696">
        <v>0.32320224765044198</v>
      </c>
      <c r="H2696">
        <v>0.124294381758428</v>
      </c>
      <c r="I2696">
        <v>9.0268206386357297E-2</v>
      </c>
      <c r="J2696">
        <v>7.1896457850766496E-2</v>
      </c>
      <c r="K2696">
        <v>5.5568137333315101E-2</v>
      </c>
      <c r="L2696">
        <v>1720.4634345862801</v>
      </c>
      <c r="M2696">
        <v>31.226568193349198</v>
      </c>
      <c r="N2696">
        <v>55.368927983148801</v>
      </c>
      <c r="O2696">
        <v>54.871662612416898</v>
      </c>
      <c r="P2696">
        <v>-0.132128185829642</v>
      </c>
      <c r="Q2696">
        <v>7.1296863861699006E-2</v>
      </c>
      <c r="R2696">
        <v>0.98471408994731802</v>
      </c>
      <c r="S2696" t="s">
        <v>9313</v>
      </c>
      <c r="T2696" t="s">
        <v>13232</v>
      </c>
      <c r="U2696" t="s">
        <v>13232</v>
      </c>
      <c r="V2696" t="s">
        <v>13232</v>
      </c>
      <c r="W2696" t="s">
        <v>15874</v>
      </c>
      <c r="X2696">
        <v>13</v>
      </c>
      <c r="Y2696" t="s">
        <v>22351</v>
      </c>
      <c r="Z2696" t="s">
        <v>28827</v>
      </c>
      <c r="AA2696">
        <v>0.54433884825634693</v>
      </c>
      <c r="AB2696" t="str">
        <f>HYPERLINK("Melting_Curves/meltCurve_P61088_UBE2N.pdf", "Melting_Curves/meltCurve_P61088_UBE2N.pdf")</f>
        <v>Melting_Curves/meltCurve_P61088_UBE2N.pdf</v>
      </c>
    </row>
    <row r="2697" spans="1:28" x14ac:dyDescent="0.25">
      <c r="A2697" t="s">
        <v>2701</v>
      </c>
      <c r="B2697">
        <v>0.99930955844802105</v>
      </c>
      <c r="C2697">
        <v>0.97000387002970101</v>
      </c>
      <c r="D2697">
        <v>0.91936355753949905</v>
      </c>
      <c r="E2697">
        <v>0.87631655936880803</v>
      </c>
      <c r="F2697">
        <v>0.78829321395515795</v>
      </c>
      <c r="G2697">
        <v>0.36152710611990202</v>
      </c>
      <c r="H2697">
        <v>0.12019601891912</v>
      </c>
      <c r="I2697">
        <v>9.5307192539923605E-2</v>
      </c>
      <c r="J2697">
        <v>7.2581545585853696E-2</v>
      </c>
      <c r="K2697">
        <v>5.34495815228321E-2</v>
      </c>
      <c r="L2697">
        <v>1280.0573788468</v>
      </c>
      <c r="M2697">
        <v>23.122523261939701</v>
      </c>
      <c r="N2697">
        <v>55.585147105837301</v>
      </c>
      <c r="O2697">
        <v>54.950683894146898</v>
      </c>
      <c r="P2697">
        <v>-0.100491123224798</v>
      </c>
      <c r="Q2697">
        <v>4.4748861113548498E-2</v>
      </c>
      <c r="R2697">
        <v>0.99300827412622505</v>
      </c>
      <c r="S2697" t="s">
        <v>9314</v>
      </c>
      <c r="T2697" t="s">
        <v>13232</v>
      </c>
      <c r="U2697" t="s">
        <v>13232</v>
      </c>
      <c r="V2697" t="s">
        <v>13232</v>
      </c>
      <c r="W2697" t="s">
        <v>15875</v>
      </c>
      <c r="X2697">
        <v>16</v>
      </c>
      <c r="Y2697" t="s">
        <v>22352</v>
      </c>
      <c r="Z2697" t="s">
        <v>28828</v>
      </c>
      <c r="AA2697">
        <v>0.5438884086854171</v>
      </c>
      <c r="AB2697" t="str">
        <f>HYPERLINK("Melting_Curves/meltCurve_P61106_RAB14.pdf", "Melting_Curves/meltCurve_P61106_RAB14.pdf")</f>
        <v>Melting_Curves/meltCurve_P61106_RAB14.pdf</v>
      </c>
    </row>
    <row r="2698" spans="1:28" x14ac:dyDescent="0.25">
      <c r="A2698" t="s">
        <v>2702</v>
      </c>
      <c r="B2698">
        <v>0.99930955844802105</v>
      </c>
      <c r="C2698">
        <v>1.1421040326157801</v>
      </c>
      <c r="D2698">
        <v>1.15560037690344</v>
      </c>
      <c r="E2698">
        <v>1.14951104922223</v>
      </c>
      <c r="F2698">
        <v>0.96448809822270798</v>
      </c>
      <c r="G2698">
        <v>1.1165837106021701</v>
      </c>
      <c r="H2698">
        <v>1.0722785348686501</v>
      </c>
      <c r="I2698">
        <v>0.85097560006956596</v>
      </c>
      <c r="J2698">
        <v>0.67914065541517799</v>
      </c>
      <c r="K2698">
        <v>0.52084636545576601</v>
      </c>
      <c r="L2698">
        <v>2832.7438760653299</v>
      </c>
      <c r="M2698">
        <v>42.982126136200002</v>
      </c>
      <c r="O2698">
        <v>65.762978972769005</v>
      </c>
      <c r="P2698">
        <v>-8.3179891141430803E-2</v>
      </c>
      <c r="Q2698">
        <v>0.49093733461654898</v>
      </c>
      <c r="R2698">
        <v>0.78717872828047097</v>
      </c>
      <c r="S2698" t="s">
        <v>9315</v>
      </c>
      <c r="T2698" t="s">
        <v>13232</v>
      </c>
      <c r="U2698" t="s">
        <v>13232</v>
      </c>
      <c r="V2698" t="s">
        <v>13232</v>
      </c>
      <c r="W2698" t="s">
        <v>15876</v>
      </c>
      <c r="X2698">
        <v>7</v>
      </c>
      <c r="Y2698" t="s">
        <v>22353</v>
      </c>
      <c r="Z2698" t="s">
        <v>28829</v>
      </c>
      <c r="AA2698">
        <v>0.93011376366768039</v>
      </c>
      <c r="AB2698" t="str">
        <f>HYPERLINK("Melting_Curves/meltCurve_P61129_ZC3H6.pdf", "Melting_Curves/meltCurve_P61129_ZC3H6.pdf")</f>
        <v>Melting_Curves/meltCurve_P61129_ZC3H6.pdf</v>
      </c>
    </row>
    <row r="2699" spans="1:28" x14ac:dyDescent="0.25">
      <c r="A2699" t="s">
        <v>2703</v>
      </c>
      <c r="B2699">
        <v>0.99930955844802105</v>
      </c>
      <c r="C2699">
        <v>0.88810477728938697</v>
      </c>
      <c r="D2699">
        <v>0.90679103137774297</v>
      </c>
      <c r="E2699">
        <v>0.95897440699973302</v>
      </c>
      <c r="F2699">
        <v>0.91752738609912698</v>
      </c>
      <c r="G2699">
        <v>0.63879410486437804</v>
      </c>
      <c r="H2699">
        <v>0.20031810784507401</v>
      </c>
      <c r="I2699">
        <v>9.9126318068994995E-2</v>
      </c>
      <c r="J2699">
        <v>7.5348904704579903E-2</v>
      </c>
      <c r="K2699">
        <v>5.9886285889282499E-2</v>
      </c>
      <c r="L2699">
        <v>1704.42552685583</v>
      </c>
      <c r="M2699">
        <v>29.489994260667299</v>
      </c>
      <c r="N2699">
        <v>58.007273057630002</v>
      </c>
      <c r="O2699">
        <v>57.532925565529503</v>
      </c>
      <c r="P2699">
        <v>-0.121641174260673</v>
      </c>
      <c r="Q2699">
        <v>5.0752803133341899E-2</v>
      </c>
      <c r="R2699">
        <v>0.98491856811241196</v>
      </c>
      <c r="S2699" t="s">
        <v>9316</v>
      </c>
      <c r="T2699" t="s">
        <v>13232</v>
      </c>
      <c r="U2699" t="s">
        <v>13232</v>
      </c>
      <c r="V2699" t="s">
        <v>13232</v>
      </c>
      <c r="W2699" t="s">
        <v>15877</v>
      </c>
      <c r="X2699">
        <v>23</v>
      </c>
      <c r="Y2699" t="s">
        <v>22354</v>
      </c>
      <c r="Z2699" t="s">
        <v>28830</v>
      </c>
      <c r="AA2699">
        <v>0.62032111566940284</v>
      </c>
      <c r="AB2699" t="str">
        <f>HYPERLINK("Melting_Curves/meltCurve_P61158_ACTR3.pdf", "Melting_Curves/meltCurve_P61158_ACTR3.pdf")</f>
        <v>Melting_Curves/meltCurve_P61158_ACTR3.pdf</v>
      </c>
    </row>
    <row r="2700" spans="1:28" x14ac:dyDescent="0.25">
      <c r="A2700" t="s">
        <v>2704</v>
      </c>
      <c r="B2700">
        <v>0.99930955844802105</v>
      </c>
      <c r="C2700">
        <v>0.85367371920016499</v>
      </c>
      <c r="D2700">
        <v>0.86534151289232697</v>
      </c>
      <c r="E2700">
        <v>0.90684855625253402</v>
      </c>
      <c r="F2700">
        <v>0.81624633798886204</v>
      </c>
      <c r="G2700">
        <v>0.57609046242436401</v>
      </c>
      <c r="H2700">
        <v>0.18447907932893101</v>
      </c>
      <c r="I2700">
        <v>9.40636854851086E-2</v>
      </c>
      <c r="J2700">
        <v>7.1863501370289004E-2</v>
      </c>
      <c r="K2700">
        <v>5.6834667157237201E-2</v>
      </c>
      <c r="L2700">
        <v>1082.10276674087</v>
      </c>
      <c r="M2700">
        <v>18.909212129749701</v>
      </c>
      <c r="N2700">
        <v>57.226222845647598</v>
      </c>
      <c r="O2700">
        <v>56.597716934191098</v>
      </c>
      <c r="P2700">
        <v>-8.3528014949359602E-2</v>
      </c>
      <c r="Q2700">
        <v>0</v>
      </c>
      <c r="R2700">
        <v>0.96797633821220597</v>
      </c>
      <c r="S2700" t="s">
        <v>9317</v>
      </c>
      <c r="T2700" t="s">
        <v>13232</v>
      </c>
      <c r="U2700" t="s">
        <v>13232</v>
      </c>
      <c r="V2700" t="s">
        <v>13232</v>
      </c>
      <c r="W2700" t="s">
        <v>15878</v>
      </c>
      <c r="X2700">
        <v>22</v>
      </c>
      <c r="Y2700" t="s">
        <v>22355</v>
      </c>
      <c r="Z2700" t="s">
        <v>28831</v>
      </c>
      <c r="AA2700">
        <v>0.58702462326871929</v>
      </c>
      <c r="AB2700" t="str">
        <f>HYPERLINK("Melting_Curves/meltCurve_P61160_ACTR2.pdf", "Melting_Curves/meltCurve_P61160_ACTR2.pdf")</f>
        <v>Melting_Curves/meltCurve_P61160_ACTR2.pdf</v>
      </c>
    </row>
    <row r="2701" spans="1:28" x14ac:dyDescent="0.25">
      <c r="A2701" t="s">
        <v>2705</v>
      </c>
      <c r="B2701">
        <v>0.99930955844802105</v>
      </c>
      <c r="C2701">
        <v>0.65625439940057695</v>
      </c>
      <c r="D2701">
        <v>0.72492592629413</v>
      </c>
      <c r="E2701">
        <v>0.89048415129835301</v>
      </c>
      <c r="F2701">
        <v>0.63090409232036804</v>
      </c>
      <c r="G2701">
        <v>0.33703611813877798</v>
      </c>
      <c r="H2701">
        <v>0.11788240390454099</v>
      </c>
      <c r="I2701">
        <v>7.9563190294767702E-2</v>
      </c>
      <c r="J2701">
        <v>6.6665545066498202E-2</v>
      </c>
      <c r="K2701">
        <v>5.1980733013192899E-2</v>
      </c>
      <c r="L2701">
        <v>658.08464057962703</v>
      </c>
      <c r="M2701">
        <v>12.181823772583201</v>
      </c>
      <c r="N2701">
        <v>54.021848424062298</v>
      </c>
      <c r="O2701">
        <v>52.627910703499303</v>
      </c>
      <c r="P2701">
        <v>-5.7880855539166602E-2</v>
      </c>
      <c r="Q2701">
        <v>0</v>
      </c>
      <c r="R2701">
        <v>0.86643803106611605</v>
      </c>
      <c r="S2701" t="s">
        <v>9318</v>
      </c>
      <c r="T2701" t="s">
        <v>13232</v>
      </c>
      <c r="U2701" t="s">
        <v>13232</v>
      </c>
      <c r="V2701" t="s">
        <v>13232</v>
      </c>
      <c r="W2701" t="s">
        <v>15879</v>
      </c>
      <c r="X2701">
        <v>18</v>
      </c>
      <c r="Y2701" t="s">
        <v>22356</v>
      </c>
      <c r="Z2701" t="s">
        <v>28832</v>
      </c>
      <c r="AA2701">
        <v>0.49309617123968458</v>
      </c>
      <c r="AB2701" t="str">
        <f>HYPERLINK("Melting_Curves/meltCurve_P61163_ACTR1A.pdf", "Melting_Curves/meltCurve_P61163_ACTR1A.pdf")</f>
        <v>Melting_Curves/meltCurve_P61163_ACTR1A.pdf</v>
      </c>
    </row>
    <row r="2702" spans="1:28" x14ac:dyDescent="0.25">
      <c r="A2702" t="s">
        <v>2706</v>
      </c>
      <c r="B2702">
        <v>0.99930955844802105</v>
      </c>
      <c r="C2702">
        <v>0.83586349915611402</v>
      </c>
      <c r="D2702">
        <v>0.86871879415444397</v>
      </c>
      <c r="E2702">
        <v>0.97785455350048001</v>
      </c>
      <c r="F2702">
        <v>0.93501944534195403</v>
      </c>
      <c r="G2702">
        <v>0.43531109296279802</v>
      </c>
      <c r="H2702">
        <v>0.13872144448562801</v>
      </c>
      <c r="I2702">
        <v>8.9542104396164404E-2</v>
      </c>
      <c r="J2702">
        <v>7.3961354095180995E-2</v>
      </c>
      <c r="K2702">
        <v>5.68578498330648E-2</v>
      </c>
      <c r="L2702">
        <v>2104.7625765821899</v>
      </c>
      <c r="M2702">
        <v>37.334588638673203</v>
      </c>
      <c r="N2702">
        <v>56.612577552974201</v>
      </c>
      <c r="O2702">
        <v>56.2146641613772</v>
      </c>
      <c r="P2702">
        <v>-0.154028537572275</v>
      </c>
      <c r="Q2702">
        <v>7.2319926661452302E-2</v>
      </c>
      <c r="R2702">
        <v>0.971461659872628</v>
      </c>
      <c r="S2702" t="s">
        <v>9319</v>
      </c>
      <c r="T2702" t="s">
        <v>13232</v>
      </c>
      <c r="U2702" t="s">
        <v>13232</v>
      </c>
      <c r="V2702" t="s">
        <v>13232</v>
      </c>
      <c r="W2702" t="s">
        <v>15880</v>
      </c>
      <c r="X2702">
        <v>27</v>
      </c>
      <c r="Y2702" t="s">
        <v>22357</v>
      </c>
      <c r="Z2702" t="s">
        <v>28833</v>
      </c>
      <c r="AA2702">
        <v>0.58280177382931142</v>
      </c>
      <c r="AB2702" t="str">
        <f>HYPERLINK("Melting_Curves/meltCurve_P61201_COPS2.pdf", "Melting_Curves/meltCurve_P61201_COPS2.pdf")</f>
        <v>Melting_Curves/meltCurve_P61201_COPS2.pdf</v>
      </c>
    </row>
    <row r="2703" spans="1:28" x14ac:dyDescent="0.25">
      <c r="A2703" t="s">
        <v>2707</v>
      </c>
      <c r="B2703">
        <v>0.99930955844802105</v>
      </c>
      <c r="C2703">
        <v>0.85349954838674302</v>
      </c>
      <c r="D2703">
        <v>0.89564614497352302</v>
      </c>
      <c r="E2703">
        <v>1.0544675329736499</v>
      </c>
      <c r="F2703">
        <v>1.1289372355296099</v>
      </c>
      <c r="G2703">
        <v>0.84433647574655601</v>
      </c>
      <c r="H2703">
        <v>0.76818843889465904</v>
      </c>
      <c r="I2703">
        <v>0.76273867574624599</v>
      </c>
      <c r="J2703">
        <v>0.65760845928390099</v>
      </c>
      <c r="K2703">
        <v>0.54478001698426304</v>
      </c>
      <c r="L2703">
        <v>966.04626279255206</v>
      </c>
      <c r="M2703">
        <v>15.228936814380599</v>
      </c>
      <c r="O2703">
        <v>62.371277201299101</v>
      </c>
      <c r="P2703">
        <v>-3.2372588546389497E-2</v>
      </c>
      <c r="Q2703">
        <v>0.46971283692612098</v>
      </c>
      <c r="R2703">
        <v>0.75476607604812396</v>
      </c>
      <c r="S2703" t="s">
        <v>9320</v>
      </c>
      <c r="T2703" t="s">
        <v>13232</v>
      </c>
      <c r="U2703" t="s">
        <v>13232</v>
      </c>
      <c r="V2703" t="s">
        <v>13232</v>
      </c>
      <c r="W2703" t="s">
        <v>15881</v>
      </c>
      <c r="X2703">
        <v>3</v>
      </c>
      <c r="Y2703" t="s">
        <v>22358</v>
      </c>
      <c r="Z2703" t="s">
        <v>28834</v>
      </c>
      <c r="AA2703">
        <v>0.877785051285637</v>
      </c>
      <c r="AB2703" t="str">
        <f>HYPERLINK("Melting_Curves/meltCurve_P61218_POLR2F.pdf", "Melting_Curves/meltCurve_P61218_POLR2F.pdf")</f>
        <v>Melting_Curves/meltCurve_P61218_POLR2F.pdf</v>
      </c>
    </row>
    <row r="2704" spans="1:28" x14ac:dyDescent="0.25">
      <c r="A2704" t="s">
        <v>2708</v>
      </c>
      <c r="B2704">
        <v>0.99930955844802105</v>
      </c>
      <c r="C2704">
        <v>1.0196951928495599</v>
      </c>
      <c r="D2704">
        <v>1.0352321259946899</v>
      </c>
      <c r="E2704">
        <v>0.98238294921588798</v>
      </c>
      <c r="F2704">
        <v>0.87268420391428403</v>
      </c>
      <c r="G2704">
        <v>0.55947135073633103</v>
      </c>
      <c r="H2704">
        <v>0.16935236988942801</v>
      </c>
      <c r="I2704">
        <v>7.2119677383648398E-2</v>
      </c>
      <c r="J2704">
        <v>5.3720185172211297E-2</v>
      </c>
      <c r="K2704">
        <v>4.1948007752251298E-2</v>
      </c>
      <c r="L2704">
        <v>1527.44529868225</v>
      </c>
      <c r="M2704">
        <v>26.682315962415299</v>
      </c>
      <c r="N2704">
        <v>57.362793659073802</v>
      </c>
      <c r="O2704">
        <v>56.926957569296199</v>
      </c>
      <c r="P2704">
        <v>-0.114071012645169</v>
      </c>
      <c r="Q2704">
        <v>2.65240867829479E-2</v>
      </c>
      <c r="R2704">
        <v>0.99828539160947505</v>
      </c>
      <c r="S2704" t="s">
        <v>9321</v>
      </c>
      <c r="T2704" t="s">
        <v>13232</v>
      </c>
      <c r="U2704" t="s">
        <v>13232</v>
      </c>
      <c r="V2704" t="s">
        <v>13232</v>
      </c>
      <c r="W2704" t="s">
        <v>15882</v>
      </c>
      <c r="X2704">
        <v>38</v>
      </c>
      <c r="Y2704" t="s">
        <v>22359</v>
      </c>
      <c r="Z2704" t="s">
        <v>28835</v>
      </c>
      <c r="AA2704">
        <v>0.59400011755776327</v>
      </c>
      <c r="AB2704" t="str">
        <f>HYPERLINK("Melting_Curves/meltCurve_P61221_ABCE1.pdf", "Melting_Curves/meltCurve_P61221_ABCE1.pdf")</f>
        <v>Melting_Curves/meltCurve_P61221_ABCE1.pdf</v>
      </c>
    </row>
    <row r="2705" spans="1:28" x14ac:dyDescent="0.25">
      <c r="A2705" t="s">
        <v>2709</v>
      </c>
      <c r="B2705">
        <v>0.99930955844802105</v>
      </c>
      <c r="C2705">
        <v>1.0467041592925901</v>
      </c>
      <c r="D2705">
        <v>1.08095357877753</v>
      </c>
      <c r="E2705">
        <v>1.03800344031782</v>
      </c>
      <c r="F2705">
        <v>0.81280691885581202</v>
      </c>
      <c r="G2705">
        <v>0.51102822208582199</v>
      </c>
      <c r="H2705">
        <v>0.241055106274185</v>
      </c>
      <c r="I2705">
        <v>0.15114674680896101</v>
      </c>
      <c r="J2705">
        <v>0.104612059813824</v>
      </c>
      <c r="K2705">
        <v>6.2920985886977199E-2</v>
      </c>
      <c r="L2705">
        <v>1307.7043861781201</v>
      </c>
      <c r="M2705">
        <v>23.0374466024447</v>
      </c>
      <c r="N2705">
        <v>57.160273228179399</v>
      </c>
      <c r="O2705">
        <v>56.341766253371603</v>
      </c>
      <c r="P2705">
        <v>-9.4684321272726898E-2</v>
      </c>
      <c r="Q2705">
        <v>7.3754528069945896E-2</v>
      </c>
      <c r="R2705">
        <v>0.98962187668952895</v>
      </c>
      <c r="S2705" t="s">
        <v>9322</v>
      </c>
      <c r="T2705" t="s">
        <v>13232</v>
      </c>
      <c r="U2705" t="s">
        <v>13232</v>
      </c>
      <c r="V2705" t="s">
        <v>13232</v>
      </c>
      <c r="W2705" t="s">
        <v>15883</v>
      </c>
      <c r="X2705">
        <v>12</v>
      </c>
      <c r="Y2705" t="s">
        <v>22360</v>
      </c>
      <c r="Z2705" t="s">
        <v>28836</v>
      </c>
      <c r="AA2705">
        <v>0.60085106404898847</v>
      </c>
      <c r="AB2705" t="str">
        <f>HYPERLINK("Melting_Curves/meltCurve_P61224_RAP1B.pdf", "Melting_Curves/meltCurve_P61224_RAP1B.pdf")</f>
        <v>Melting_Curves/meltCurve_P61224_RAP1B.pdf</v>
      </c>
    </row>
    <row r="2706" spans="1:28" x14ac:dyDescent="0.25">
      <c r="A2706" t="s">
        <v>2710</v>
      </c>
      <c r="B2706">
        <v>0.99930955844802105</v>
      </c>
      <c r="C2706">
        <v>0.84759812725914696</v>
      </c>
      <c r="D2706">
        <v>0.89363441686099898</v>
      </c>
      <c r="E2706">
        <v>0.86236319112410598</v>
      </c>
      <c r="F2706">
        <v>0.54003855715504601</v>
      </c>
      <c r="G2706">
        <v>0.30344992184960001</v>
      </c>
      <c r="H2706">
        <v>0.186301987553084</v>
      </c>
      <c r="I2706">
        <v>9.4172336214751406E-2</v>
      </c>
      <c r="J2706">
        <v>0.107650090462704</v>
      </c>
      <c r="K2706">
        <v>7.7009385455309595E-2</v>
      </c>
      <c r="L2706">
        <v>881.75371901344397</v>
      </c>
      <c r="M2706">
        <v>16.4434653967452</v>
      </c>
      <c r="N2706">
        <v>54.016618494441197</v>
      </c>
      <c r="O2706">
        <v>52.8490895055319</v>
      </c>
      <c r="P2706">
        <v>-7.3402255230288899E-2</v>
      </c>
      <c r="Q2706">
        <v>5.6410792012039399E-2</v>
      </c>
      <c r="R2706">
        <v>0.97654795157568797</v>
      </c>
      <c r="S2706" t="s">
        <v>9323</v>
      </c>
      <c r="T2706" t="s">
        <v>13232</v>
      </c>
      <c r="U2706" t="s">
        <v>13232</v>
      </c>
      <c r="V2706" t="s">
        <v>13232</v>
      </c>
      <c r="W2706" t="s">
        <v>15884</v>
      </c>
      <c r="X2706">
        <v>3</v>
      </c>
      <c r="Y2706" t="s">
        <v>22361</v>
      </c>
      <c r="Z2706" t="s">
        <v>28837</v>
      </c>
      <c r="AA2706">
        <v>0.50232638625059822</v>
      </c>
      <c r="AB2706" t="str">
        <f>HYPERLINK("Melting_Curves/meltCurve_P61225_RAP2B.pdf", "Melting_Curves/meltCurve_P61225_RAP2B.pdf")</f>
        <v>Melting_Curves/meltCurve_P61225_RAP2B.pdf</v>
      </c>
    </row>
    <row r="2707" spans="1:28" x14ac:dyDescent="0.25">
      <c r="A2707" t="s">
        <v>2711</v>
      </c>
      <c r="B2707">
        <v>0.99930955844802105</v>
      </c>
      <c r="C2707">
        <v>0.86625681619786998</v>
      </c>
      <c r="D2707">
        <v>0.67619582951576795</v>
      </c>
      <c r="E2707">
        <v>0.47127464763119298</v>
      </c>
      <c r="F2707">
        <v>0.35715105573399802</v>
      </c>
      <c r="G2707">
        <v>0.23959395381676701</v>
      </c>
      <c r="H2707">
        <v>0.13867800299668401</v>
      </c>
      <c r="I2707">
        <v>0.13343194472199901</v>
      </c>
      <c r="J2707">
        <v>0.134328472307887</v>
      </c>
      <c r="K2707">
        <v>9.8457396456004501E-2</v>
      </c>
      <c r="L2707">
        <v>609.32542941514896</v>
      </c>
      <c r="M2707">
        <v>12.490820746240599</v>
      </c>
      <c r="N2707">
        <v>49.5826542615413</v>
      </c>
      <c r="O2707">
        <v>47.582145400644301</v>
      </c>
      <c r="P2707">
        <v>-5.96452296754049E-2</v>
      </c>
      <c r="Q2707">
        <v>9.1344746014016404E-2</v>
      </c>
      <c r="R2707">
        <v>0.99417836657331204</v>
      </c>
      <c r="S2707" t="s">
        <v>9324</v>
      </c>
      <c r="T2707" t="s">
        <v>13232</v>
      </c>
      <c r="U2707" t="s">
        <v>13232</v>
      </c>
      <c r="V2707" t="s">
        <v>13232</v>
      </c>
      <c r="W2707" t="s">
        <v>15885</v>
      </c>
      <c r="X2707">
        <v>20</v>
      </c>
      <c r="Y2707" t="s">
        <v>22362</v>
      </c>
      <c r="Z2707" t="s">
        <v>28838</v>
      </c>
      <c r="AA2707">
        <v>0.38891423125924979</v>
      </c>
      <c r="AB2707" t="str">
        <f>HYPERLINK("Melting_Curves/meltCurve_P61247_RPS3A.pdf", "Melting_Curves/meltCurve_P61247_RPS3A.pdf")</f>
        <v>Melting_Curves/meltCurve_P61247_RPS3A.pdf</v>
      </c>
    </row>
    <row r="2708" spans="1:28" x14ac:dyDescent="0.25">
      <c r="A2708" t="s">
        <v>2712</v>
      </c>
      <c r="B2708">
        <v>0.99930955844802105</v>
      </c>
      <c r="C2708">
        <v>0.954941458998809</v>
      </c>
      <c r="D2708">
        <v>0.798148194677191</v>
      </c>
      <c r="E2708">
        <v>0.609208280416078</v>
      </c>
      <c r="F2708">
        <v>0.39343207250317702</v>
      </c>
      <c r="G2708">
        <v>0.249333207797415</v>
      </c>
      <c r="H2708">
        <v>0.15886076958950299</v>
      </c>
      <c r="I2708">
        <v>0.14790319090167001</v>
      </c>
      <c r="J2708">
        <v>0.13718586103911501</v>
      </c>
      <c r="K2708">
        <v>0.105327970835165</v>
      </c>
      <c r="L2708">
        <v>735.74518158109595</v>
      </c>
      <c r="M2708">
        <v>14.5515562590241</v>
      </c>
      <c r="N2708">
        <v>51.351724345368602</v>
      </c>
      <c r="O2708">
        <v>49.635169695561302</v>
      </c>
      <c r="P2708">
        <v>-6.59459860702825E-2</v>
      </c>
      <c r="Q2708">
        <v>0.100338748139037</v>
      </c>
      <c r="R2708">
        <v>0.99772957149730901</v>
      </c>
      <c r="S2708" t="s">
        <v>9325</v>
      </c>
      <c r="T2708" t="s">
        <v>13232</v>
      </c>
      <c r="U2708" t="s">
        <v>13232</v>
      </c>
      <c r="V2708" t="s">
        <v>13232</v>
      </c>
      <c r="W2708" t="s">
        <v>15886</v>
      </c>
      <c r="X2708">
        <v>9</v>
      </c>
      <c r="Y2708" t="s">
        <v>22363</v>
      </c>
      <c r="Z2708" t="s">
        <v>28839</v>
      </c>
      <c r="AA2708">
        <v>0.43924381822449482</v>
      </c>
      <c r="AB2708" t="str">
        <f>HYPERLINK("Melting_Curves/meltCurve_P61254_RPL26.pdf", "Melting_Curves/meltCurve_P61254_RPL26.pdf")</f>
        <v>Melting_Curves/meltCurve_P61254_RPL26.pdf</v>
      </c>
    </row>
    <row r="2709" spans="1:28" x14ac:dyDescent="0.25">
      <c r="A2709" t="s">
        <v>2713</v>
      </c>
      <c r="B2709">
        <v>0.99930955844802105</v>
      </c>
      <c r="C2709">
        <v>0.97565907081903602</v>
      </c>
      <c r="D2709">
        <v>0.989898528525475</v>
      </c>
      <c r="E2709">
        <v>0.98831042818677395</v>
      </c>
      <c r="F2709">
        <v>0.99978244839317298</v>
      </c>
      <c r="G2709">
        <v>0.85624192270703003</v>
      </c>
      <c r="H2709">
        <v>0.54558701140118504</v>
      </c>
      <c r="I2709">
        <v>0.53205308476031499</v>
      </c>
      <c r="J2709">
        <v>0.48706660483000602</v>
      </c>
      <c r="K2709">
        <v>0.32233607462186398</v>
      </c>
      <c r="L2709">
        <v>1409.21721930585</v>
      </c>
      <c r="M2709">
        <v>23.666567443480201</v>
      </c>
      <c r="N2709">
        <v>63.362520577600598</v>
      </c>
      <c r="O2709">
        <v>59.124389713249698</v>
      </c>
      <c r="P2709">
        <v>-6.2058303174615699E-2</v>
      </c>
      <c r="Q2709">
        <v>0.37986811789064301</v>
      </c>
      <c r="R2709">
        <v>0.97164564395352604</v>
      </c>
      <c r="S2709" t="s">
        <v>9326</v>
      </c>
      <c r="T2709" t="s">
        <v>13232</v>
      </c>
      <c r="U2709" t="s">
        <v>13232</v>
      </c>
      <c r="V2709" t="s">
        <v>13232</v>
      </c>
      <c r="W2709" t="s">
        <v>15887</v>
      </c>
      <c r="X2709">
        <v>21</v>
      </c>
      <c r="Y2709" t="s">
        <v>22364</v>
      </c>
      <c r="Z2709" t="s">
        <v>28840</v>
      </c>
      <c r="AA2709">
        <v>0.7889837744208329</v>
      </c>
      <c r="AB2709" t="str">
        <f>HYPERLINK("Melting_Curves/meltCurve_P61289_PSME3.pdf", "Melting_Curves/meltCurve_P61289_PSME3.pdf")</f>
        <v>Melting_Curves/meltCurve_P61289_PSME3.pdf</v>
      </c>
    </row>
    <row r="2710" spans="1:28" x14ac:dyDescent="0.25">
      <c r="A2710" t="s">
        <v>2714</v>
      </c>
      <c r="B2710">
        <v>0.99930955844802105</v>
      </c>
      <c r="C2710">
        <v>1.07921491336389</v>
      </c>
      <c r="D2710">
        <v>1.0834551995550199</v>
      </c>
      <c r="E2710">
        <v>0.71495385890163599</v>
      </c>
      <c r="F2710">
        <v>0.23589265410165799</v>
      </c>
      <c r="G2710">
        <v>0.119474893998801</v>
      </c>
      <c r="H2710">
        <v>6.2174289971180997E-2</v>
      </c>
      <c r="I2710">
        <v>4.6103779433148501E-2</v>
      </c>
      <c r="J2710">
        <v>4.0971583075043297E-2</v>
      </c>
      <c r="K2710">
        <v>2.9892131566133299E-2</v>
      </c>
      <c r="L2710">
        <v>2066.1198387822901</v>
      </c>
      <c r="M2710">
        <v>40.437155024653102</v>
      </c>
      <c r="N2710">
        <v>51.245798285070698</v>
      </c>
      <c r="O2710">
        <v>50.970107256438901</v>
      </c>
      <c r="P2710">
        <v>-0.18718416704440799</v>
      </c>
      <c r="Q2710">
        <v>5.6236460092393498E-2</v>
      </c>
      <c r="R2710">
        <v>0.99053372813457796</v>
      </c>
      <c r="S2710" t="s">
        <v>9327</v>
      </c>
      <c r="T2710" t="s">
        <v>13232</v>
      </c>
      <c r="U2710" t="s">
        <v>13232</v>
      </c>
      <c r="V2710" t="s">
        <v>13232</v>
      </c>
      <c r="W2710" t="s">
        <v>15888</v>
      </c>
      <c r="X2710">
        <v>8</v>
      </c>
      <c r="Y2710" t="s">
        <v>22365</v>
      </c>
      <c r="Z2710" t="s">
        <v>28841</v>
      </c>
      <c r="AA2710">
        <v>0.40851945414322338</v>
      </c>
      <c r="AB2710" t="str">
        <f>HYPERLINK("Melting_Curves/meltCurve_P61326_MAGOH.pdf", "Melting_Curves/meltCurve_P61326_MAGOH.pdf")</f>
        <v>Melting_Curves/meltCurve_P61326_MAGOH.pdf</v>
      </c>
    </row>
    <row r="2711" spans="1:28" x14ac:dyDescent="0.25">
      <c r="A2711" t="s">
        <v>2715</v>
      </c>
      <c r="B2711">
        <v>0.99930955844802105</v>
      </c>
      <c r="C2711">
        <v>0.87698127826066496</v>
      </c>
      <c r="D2711">
        <v>0.88447517346839699</v>
      </c>
      <c r="E2711">
        <v>0.79914642034392303</v>
      </c>
      <c r="F2711">
        <v>0.33041125538673299</v>
      </c>
      <c r="G2711">
        <v>0.141466537620514</v>
      </c>
      <c r="H2711">
        <v>7.6140965777192496E-2</v>
      </c>
      <c r="I2711">
        <v>6.5715872375168002E-2</v>
      </c>
      <c r="J2711">
        <v>5.0315586169479301E-2</v>
      </c>
      <c r="K2711">
        <v>4.6426985110926598E-2</v>
      </c>
      <c r="L2711">
        <v>1590.7694120972501</v>
      </c>
      <c r="M2711">
        <v>30.755327825695499</v>
      </c>
      <c r="N2711">
        <v>51.939526889019497</v>
      </c>
      <c r="O2711">
        <v>51.5061988324616</v>
      </c>
      <c r="P2711">
        <v>-0.140314076999982</v>
      </c>
      <c r="Q2711">
        <v>6.0065416094290898E-2</v>
      </c>
      <c r="R2711">
        <v>0.98152483851000805</v>
      </c>
      <c r="S2711" t="s">
        <v>9328</v>
      </c>
      <c r="T2711" t="s">
        <v>13232</v>
      </c>
      <c r="U2711" t="s">
        <v>13232</v>
      </c>
      <c r="V2711" t="s">
        <v>13232</v>
      </c>
      <c r="W2711" t="s">
        <v>15889</v>
      </c>
      <c r="X2711">
        <v>5</v>
      </c>
      <c r="Y2711" t="s">
        <v>22366</v>
      </c>
      <c r="Z2711" t="s">
        <v>28842</v>
      </c>
      <c r="AA2711">
        <v>0.43306298256907161</v>
      </c>
      <c r="AB2711" t="str">
        <f>HYPERLINK("Melting_Curves/meltCurve_P61353_RPL27.pdf", "Melting_Curves/meltCurve_P61353_RPL27.pdf")</f>
        <v>Melting_Curves/meltCurve_P61353_RPL27.pdf</v>
      </c>
    </row>
    <row r="2712" spans="1:28" x14ac:dyDescent="0.25">
      <c r="A2712" t="s">
        <v>2716</v>
      </c>
      <c r="B2712">
        <v>0.99930955844802105</v>
      </c>
      <c r="C2712">
        <v>0.92097708671465595</v>
      </c>
      <c r="D2712">
        <v>0.977352979809196</v>
      </c>
      <c r="E2712">
        <v>0.81787748248393499</v>
      </c>
      <c r="F2712">
        <v>0.69974661327393695</v>
      </c>
      <c r="G2712">
        <v>0.609830032123025</v>
      </c>
      <c r="H2712">
        <v>0.52554144029619398</v>
      </c>
      <c r="I2712">
        <v>0.54315095510368006</v>
      </c>
      <c r="J2712">
        <v>0.53688348392306695</v>
      </c>
      <c r="K2712">
        <v>0.38999002334556598</v>
      </c>
      <c r="L2712">
        <v>620.90887083318205</v>
      </c>
      <c r="M2712">
        <v>11.6497138606624</v>
      </c>
      <c r="N2712">
        <v>64.210003549477307</v>
      </c>
      <c r="O2712">
        <v>51.800378152457</v>
      </c>
      <c r="P2712">
        <v>-3.2003096307305398E-2</v>
      </c>
      <c r="Q2712">
        <v>0.430947596191396</v>
      </c>
      <c r="R2712">
        <v>0.95984528462086904</v>
      </c>
      <c r="S2712" t="s">
        <v>9329</v>
      </c>
      <c r="T2712" t="s">
        <v>13232</v>
      </c>
      <c r="U2712" t="s">
        <v>13232</v>
      </c>
      <c r="V2712" t="s">
        <v>13232</v>
      </c>
      <c r="W2712" t="s">
        <v>15890</v>
      </c>
      <c r="X2712">
        <v>9</v>
      </c>
      <c r="Y2712" t="s">
        <v>22367</v>
      </c>
      <c r="Z2712" t="s">
        <v>28843</v>
      </c>
      <c r="AA2712">
        <v>0.69950782055679483</v>
      </c>
      <c r="AB2712" t="str">
        <f>HYPERLINK("Melting_Curves/meltCurve_P61457_PCBD1.pdf", "Melting_Curves/meltCurve_P61457_PCBD1.pdf")</f>
        <v>Melting_Curves/meltCurve_P61457_PCBD1.pdf</v>
      </c>
    </row>
    <row r="2713" spans="1:28" x14ac:dyDescent="0.25">
      <c r="A2713" t="s">
        <v>2717</v>
      </c>
      <c r="B2713">
        <v>0.99930955844802105</v>
      </c>
      <c r="C2713">
        <v>1.09271521734454</v>
      </c>
      <c r="D2713">
        <v>1.08165331524375</v>
      </c>
      <c r="E2713">
        <v>0.99555797862399897</v>
      </c>
      <c r="F2713">
        <v>0.69676170434725004</v>
      </c>
      <c r="G2713">
        <v>0.347774298450087</v>
      </c>
      <c r="H2713">
        <v>0.17291289018046499</v>
      </c>
      <c r="I2713">
        <v>0.104347601054147</v>
      </c>
      <c r="J2713">
        <v>7.6847577571429904E-2</v>
      </c>
      <c r="K2713">
        <v>5.3839757197749902E-2</v>
      </c>
      <c r="L2713">
        <v>1401.9469248170501</v>
      </c>
      <c r="M2713">
        <v>25.5109477657581</v>
      </c>
      <c r="N2713">
        <v>55.305809524122303</v>
      </c>
      <c r="O2713">
        <v>54.620362782225001</v>
      </c>
      <c r="P2713">
        <v>-0.108037110910132</v>
      </c>
      <c r="Q2713">
        <v>7.4757353758937495E-2</v>
      </c>
      <c r="R2713">
        <v>0.98696053799703298</v>
      </c>
      <c r="S2713" t="s">
        <v>9330</v>
      </c>
      <c r="T2713" t="s">
        <v>13232</v>
      </c>
      <c r="U2713" t="s">
        <v>13232</v>
      </c>
      <c r="V2713" t="s">
        <v>13232</v>
      </c>
      <c r="W2713" t="s">
        <v>15891</v>
      </c>
      <c r="X2713">
        <v>12</v>
      </c>
      <c r="Y2713" t="s">
        <v>22368</v>
      </c>
      <c r="Z2713" t="s">
        <v>28844</v>
      </c>
      <c r="AA2713">
        <v>0.54424340723741638</v>
      </c>
      <c r="AB2713" t="str">
        <f>HYPERLINK("Melting_Curves/meltCurve_P61586_RHOA.pdf", "Melting_Curves/meltCurve_P61586_RHOA.pdf")</f>
        <v>Melting_Curves/meltCurve_P61586_RHOA.pdf</v>
      </c>
    </row>
    <row r="2714" spans="1:28" x14ac:dyDescent="0.25">
      <c r="A2714" t="s">
        <v>2718</v>
      </c>
      <c r="B2714">
        <v>0.99930955844802105</v>
      </c>
      <c r="C2714">
        <v>1.0218443870601399</v>
      </c>
      <c r="D2714">
        <v>0.95847279629305604</v>
      </c>
      <c r="E2714">
        <v>0.94144824357026302</v>
      </c>
      <c r="F2714">
        <v>0.40029151650565598</v>
      </c>
      <c r="G2714">
        <v>0.24853845041152101</v>
      </c>
      <c r="H2714">
        <v>0.186578473028369</v>
      </c>
      <c r="I2714">
        <v>0.18316021121437101</v>
      </c>
      <c r="J2714">
        <v>0.18211269657378601</v>
      </c>
      <c r="K2714">
        <v>0.14246957329608101</v>
      </c>
      <c r="L2714">
        <v>3050.0645427096301</v>
      </c>
      <c r="M2714">
        <v>58.555888357159297</v>
      </c>
      <c r="N2714">
        <v>52.507893657179501</v>
      </c>
      <c r="O2714">
        <v>52.027440543220898</v>
      </c>
      <c r="P2714">
        <v>-0.228776212477588</v>
      </c>
      <c r="Q2714">
        <v>0.18692129651513101</v>
      </c>
      <c r="R2714">
        <v>0.99477142393534201</v>
      </c>
      <c r="S2714" t="s">
        <v>9331</v>
      </c>
      <c r="T2714" t="s">
        <v>13232</v>
      </c>
      <c r="U2714" t="s">
        <v>13232</v>
      </c>
      <c r="V2714" t="s">
        <v>13232</v>
      </c>
      <c r="W2714" t="s">
        <v>15892</v>
      </c>
      <c r="X2714">
        <v>5</v>
      </c>
      <c r="Y2714" t="s">
        <v>22369</v>
      </c>
      <c r="Z2714" t="s">
        <v>28845</v>
      </c>
      <c r="AA2714">
        <v>0.51590034248527272</v>
      </c>
      <c r="AB2714" t="str">
        <f>HYPERLINK("Melting_Curves/meltCurve_P61599_NAA20.pdf", "Melting_Curves/meltCurve_P61599_NAA20.pdf")</f>
        <v>Melting_Curves/meltCurve_P61599_NAA20.pdf</v>
      </c>
    </row>
    <row r="2715" spans="1:28" x14ac:dyDescent="0.25">
      <c r="A2715" t="s">
        <v>2719</v>
      </c>
      <c r="B2715">
        <v>0.99930955844802105</v>
      </c>
      <c r="C2715">
        <v>0.99175675140575503</v>
      </c>
      <c r="D2715">
        <v>1.04824963434781</v>
      </c>
      <c r="E2715">
        <v>0.98108767398496299</v>
      </c>
      <c r="F2715">
        <v>0.89929631102890695</v>
      </c>
      <c r="G2715">
        <v>0.83212021852864004</v>
      </c>
      <c r="H2715">
        <v>0.77460368977913197</v>
      </c>
      <c r="I2715">
        <v>0.81164270301275598</v>
      </c>
      <c r="J2715">
        <v>0.81655487316193898</v>
      </c>
      <c r="K2715">
        <v>0.619969367409134</v>
      </c>
      <c r="L2715">
        <v>457.57434541996702</v>
      </c>
      <c r="M2715">
        <v>6.7160799070589103</v>
      </c>
      <c r="O2715">
        <v>62.853496592232098</v>
      </c>
      <c r="P2715">
        <v>-1.54747423773491E-2</v>
      </c>
      <c r="Q2715">
        <v>0.42195539104532398</v>
      </c>
      <c r="R2715">
        <v>0.84438037973607605</v>
      </c>
      <c r="S2715" t="s">
        <v>9332</v>
      </c>
      <c r="T2715" t="s">
        <v>13232</v>
      </c>
      <c r="U2715" t="s">
        <v>13232</v>
      </c>
      <c r="V2715" t="s">
        <v>13232</v>
      </c>
      <c r="W2715" t="s">
        <v>15893</v>
      </c>
      <c r="X2715">
        <v>13</v>
      </c>
      <c r="Y2715" t="s">
        <v>22370</v>
      </c>
      <c r="Z2715" t="s">
        <v>28846</v>
      </c>
      <c r="AA2715">
        <v>0.87922534085820025</v>
      </c>
      <c r="AB2715" t="str">
        <f>HYPERLINK("Melting_Curves/meltCurve_P61604_HSPE1.pdf", "Melting_Curves/meltCurve_P61604_HSPE1.pdf")</f>
        <v>Melting_Curves/meltCurve_P61604_HSPE1.pdf</v>
      </c>
    </row>
    <row r="2716" spans="1:28" x14ac:dyDescent="0.25">
      <c r="A2716" t="s">
        <v>2720</v>
      </c>
      <c r="B2716">
        <v>0.99930955844802105</v>
      </c>
      <c r="C2716">
        <v>0.86756699015046501</v>
      </c>
      <c r="D2716">
        <v>0.61105110539983298</v>
      </c>
      <c r="E2716">
        <v>0.74236138439813404</v>
      </c>
      <c r="F2716">
        <v>0.458382257529098</v>
      </c>
      <c r="G2716">
        <v>0.20704137885568399</v>
      </c>
      <c r="H2716">
        <v>0.114831779647584</v>
      </c>
      <c r="I2716">
        <v>0.11404728170332699</v>
      </c>
      <c r="J2716">
        <v>9.2357218332524402E-2</v>
      </c>
      <c r="K2716">
        <v>7.4244665665779294E-2</v>
      </c>
      <c r="L2716">
        <v>529.74908721456995</v>
      </c>
      <c r="M2716">
        <v>10.2830169581131</v>
      </c>
      <c r="N2716">
        <v>51.516878682757003</v>
      </c>
      <c r="O2716">
        <v>49.682672988177501</v>
      </c>
      <c r="P2716">
        <v>-5.1766095145703503E-2</v>
      </c>
      <c r="Q2716">
        <v>0</v>
      </c>
      <c r="R2716">
        <v>0.94303847968899901</v>
      </c>
      <c r="S2716" t="s">
        <v>9333</v>
      </c>
      <c r="T2716" t="s">
        <v>13232</v>
      </c>
      <c r="U2716" t="s">
        <v>13232</v>
      </c>
      <c r="V2716" t="s">
        <v>13232</v>
      </c>
      <c r="W2716" t="s">
        <v>15894</v>
      </c>
      <c r="X2716">
        <v>2</v>
      </c>
      <c r="Y2716" t="s">
        <v>22371</v>
      </c>
      <c r="Z2716" t="s">
        <v>28847</v>
      </c>
      <c r="AA2716">
        <v>0.42234209247715171</v>
      </c>
      <c r="AB2716" t="str">
        <f>HYPERLINK("Melting_Curves/meltCurve_P61619_SEC61A1.pdf", "Melting_Curves/meltCurve_P61619_SEC61A1.pdf")</f>
        <v>Melting_Curves/meltCurve_P61619_SEC61A1.pdf</v>
      </c>
    </row>
    <row r="2717" spans="1:28" x14ac:dyDescent="0.25">
      <c r="A2717" t="s">
        <v>2721</v>
      </c>
      <c r="B2717">
        <v>0.99930955844802105</v>
      </c>
      <c r="C2717">
        <v>1.2503325820360101</v>
      </c>
      <c r="D2717">
        <v>0.88275202063232505</v>
      </c>
      <c r="E2717">
        <v>0.86299385190063704</v>
      </c>
      <c r="F2717">
        <v>0.89137239171225302</v>
      </c>
      <c r="G2717">
        <v>1.5695844260835701</v>
      </c>
      <c r="H2717">
        <v>0.67687399772297097</v>
      </c>
      <c r="I2717">
        <v>1.1199311284909801</v>
      </c>
      <c r="J2717">
        <v>1.1106164522003099</v>
      </c>
      <c r="K2717">
        <v>0.42985994887658002</v>
      </c>
      <c r="L2717">
        <v>15000</v>
      </c>
      <c r="M2717">
        <v>214.567970503841</v>
      </c>
      <c r="N2717">
        <v>69.907914762622397</v>
      </c>
      <c r="O2717">
        <v>69.901844657358794</v>
      </c>
      <c r="P2717">
        <v>-0.76739023083843605</v>
      </c>
      <c r="Q2717">
        <v>0</v>
      </c>
      <c r="R2717">
        <v>0.36318567221148401</v>
      </c>
      <c r="S2717" t="s">
        <v>9334</v>
      </c>
      <c r="T2717" t="s">
        <v>13232</v>
      </c>
      <c r="U2717" t="s">
        <v>13232</v>
      </c>
      <c r="V2717" t="s">
        <v>13232</v>
      </c>
      <c r="W2717" t="s">
        <v>15895</v>
      </c>
      <c r="X2717">
        <v>2</v>
      </c>
      <c r="Y2717" t="s">
        <v>22372</v>
      </c>
      <c r="Z2717" t="s">
        <v>28848</v>
      </c>
      <c r="AA2717">
        <v>0.99091155592308455</v>
      </c>
      <c r="AB2717" t="str">
        <f>HYPERLINK("Melting_Curves/meltCurve_P61626_LYZ.pdf", "Melting_Curves/meltCurve_P61626_LYZ.pdf")</f>
        <v>Melting_Curves/meltCurve_P61626_LYZ.pdf</v>
      </c>
    </row>
    <row r="2718" spans="1:28" x14ac:dyDescent="0.25">
      <c r="A2718" t="s">
        <v>2722</v>
      </c>
      <c r="B2718">
        <v>0.99930955844802105</v>
      </c>
      <c r="C2718">
        <v>0.89120898958815997</v>
      </c>
      <c r="D2718">
        <v>0.76021808273228297</v>
      </c>
      <c r="E2718">
        <v>0.73129047847885298</v>
      </c>
      <c r="F2718">
        <v>0.642858380727793</v>
      </c>
      <c r="G2718">
        <v>0.56135102499354705</v>
      </c>
      <c r="H2718">
        <v>0.38747947798464299</v>
      </c>
      <c r="I2718">
        <v>0.21061571446291699</v>
      </c>
      <c r="J2718">
        <v>0.120017770316482</v>
      </c>
      <c r="K2718">
        <v>9.8929511449985894E-2</v>
      </c>
      <c r="L2718">
        <v>481.51564870237701</v>
      </c>
      <c r="M2718">
        <v>8.5969441865326992</v>
      </c>
      <c r="N2718">
        <v>56.010093614666197</v>
      </c>
      <c r="O2718">
        <v>53.226584055197698</v>
      </c>
      <c r="P2718">
        <v>-4.0413859525409497E-2</v>
      </c>
      <c r="Q2718">
        <v>0</v>
      </c>
      <c r="R2718">
        <v>0.959273174323512</v>
      </c>
      <c r="S2718" t="s">
        <v>9335</v>
      </c>
      <c r="T2718" t="s">
        <v>13232</v>
      </c>
      <c r="U2718" t="s">
        <v>13232</v>
      </c>
      <c r="V2718" t="s">
        <v>13232</v>
      </c>
      <c r="W2718" t="s">
        <v>15896</v>
      </c>
      <c r="X2718">
        <v>18</v>
      </c>
      <c r="Y2718" t="s">
        <v>22373</v>
      </c>
      <c r="Z2718" t="s">
        <v>28849</v>
      </c>
      <c r="AA2718">
        <v>0.55409292688600731</v>
      </c>
      <c r="AB2718" t="str">
        <f>HYPERLINK("Melting_Curves/meltCurve_P61758_VBP1.pdf", "Melting_Curves/meltCurve_P61758_VBP1.pdf")</f>
        <v>Melting_Curves/meltCurve_P61758_VBP1.pdf</v>
      </c>
    </row>
    <row r="2719" spans="1:28" x14ac:dyDescent="0.25">
      <c r="A2719" t="s">
        <v>2723</v>
      </c>
      <c r="B2719">
        <v>0.99930955844802105</v>
      </c>
      <c r="C2719">
        <v>0.96300414989662397</v>
      </c>
      <c r="D2719">
        <v>0.88697907901540796</v>
      </c>
      <c r="E2719">
        <v>0.42713120354719503</v>
      </c>
      <c r="F2719">
        <v>0.24001087383012201</v>
      </c>
      <c r="G2719">
        <v>0.17493444022820701</v>
      </c>
      <c r="H2719">
        <v>0.139917419186571</v>
      </c>
      <c r="I2719">
        <v>0.127535391065213</v>
      </c>
      <c r="J2719">
        <v>0.114322243507868</v>
      </c>
      <c r="K2719">
        <v>8.4917397676988596E-2</v>
      </c>
      <c r="L2719">
        <v>1295.1779487143101</v>
      </c>
      <c r="M2719">
        <v>26.4417149775703</v>
      </c>
      <c r="N2719">
        <v>49.510724336317899</v>
      </c>
      <c r="O2719">
        <v>48.7047963268489</v>
      </c>
      <c r="P2719">
        <v>-0.11904131496836801</v>
      </c>
      <c r="Q2719">
        <v>0.122928457301267</v>
      </c>
      <c r="R2719">
        <v>0.99699340095908895</v>
      </c>
      <c r="S2719" t="s">
        <v>9336</v>
      </c>
      <c r="T2719" t="s">
        <v>13232</v>
      </c>
      <c r="U2719" t="s">
        <v>13232</v>
      </c>
      <c r="V2719" t="s">
        <v>13232</v>
      </c>
      <c r="W2719" t="s">
        <v>15897</v>
      </c>
      <c r="X2719">
        <v>10</v>
      </c>
      <c r="Y2719" t="s">
        <v>22374</v>
      </c>
      <c r="Z2719" t="s">
        <v>28850</v>
      </c>
      <c r="AA2719">
        <v>0.3924577647104136</v>
      </c>
      <c r="AB2719" t="str">
        <f>HYPERLINK("Melting_Curves/meltCurve_P61764_STXBP1.pdf", "Melting_Curves/meltCurve_P61764_STXBP1.pdf")</f>
        <v>Melting_Curves/meltCurve_P61764_STXBP1.pdf</v>
      </c>
    </row>
    <row r="2720" spans="1:28" x14ac:dyDescent="0.25">
      <c r="A2720" t="s">
        <v>2724</v>
      </c>
      <c r="B2720">
        <v>0.99930955844802105</v>
      </c>
      <c r="C2720">
        <v>0.88350234534698002</v>
      </c>
      <c r="D2720">
        <v>0.93796547904414596</v>
      </c>
      <c r="E2720">
        <v>0.89400341182586895</v>
      </c>
      <c r="F2720">
        <v>0.70476947785646604</v>
      </c>
      <c r="G2720">
        <v>0.65135928394832299</v>
      </c>
      <c r="H2720">
        <v>0.372945078437181</v>
      </c>
      <c r="I2720">
        <v>0.100299166287129</v>
      </c>
      <c r="J2720">
        <v>4.7207422196901203E-2</v>
      </c>
      <c r="K2720">
        <v>3.7290137840946702E-2</v>
      </c>
      <c r="L2720">
        <v>878.77882207456798</v>
      </c>
      <c r="M2720">
        <v>15.212193813372799</v>
      </c>
      <c r="N2720">
        <v>57.768053419178102</v>
      </c>
      <c r="O2720">
        <v>56.797361524748403</v>
      </c>
      <c r="P2720">
        <v>-6.6964591548008504E-2</v>
      </c>
      <c r="Q2720">
        <v>0</v>
      </c>
      <c r="R2720">
        <v>0.963942736104905</v>
      </c>
      <c r="S2720" t="s">
        <v>9337</v>
      </c>
      <c r="T2720" t="s">
        <v>13232</v>
      </c>
      <c r="U2720" t="s">
        <v>13232</v>
      </c>
      <c r="V2720" t="s">
        <v>13232</v>
      </c>
      <c r="W2720" t="s">
        <v>15898</v>
      </c>
      <c r="X2720">
        <v>4</v>
      </c>
      <c r="Y2720" t="s">
        <v>22375</v>
      </c>
      <c r="Z2720" t="s">
        <v>28851</v>
      </c>
      <c r="AA2720">
        <v>0.60624029119282974</v>
      </c>
      <c r="AB2720" t="str">
        <f>HYPERLINK("Melting_Curves/meltCurve_P61923_COPZ1.pdf", "Melting_Curves/meltCurve_P61923_COPZ1.pdf")</f>
        <v>Melting_Curves/meltCurve_P61923_COPZ1.pdf</v>
      </c>
    </row>
    <row r="2721" spans="1:28" x14ac:dyDescent="0.25">
      <c r="A2721" t="s">
        <v>2725</v>
      </c>
      <c r="B2721">
        <v>0.99930955844802105</v>
      </c>
      <c r="C2721">
        <v>1.0832420714633599</v>
      </c>
      <c r="D2721">
        <v>1.15272146180264</v>
      </c>
      <c r="E2721">
        <v>1.10762433600448</v>
      </c>
      <c r="F2721">
        <v>1.0537256657384899</v>
      </c>
      <c r="G2721">
        <v>1.02894635294309</v>
      </c>
      <c r="H2721">
        <v>1.3281430539736401</v>
      </c>
      <c r="I2721">
        <v>1.40485335031084</v>
      </c>
      <c r="J2721">
        <v>1.4492570385261501</v>
      </c>
      <c r="K2721">
        <v>1.0816826725884101</v>
      </c>
      <c r="L2721">
        <v>409.27381651397502</v>
      </c>
      <c r="M2721">
        <v>7.1808599881882902</v>
      </c>
      <c r="O2721">
        <v>53.071974908465201</v>
      </c>
      <c r="P2721">
        <v>1.3069461369842101E-2</v>
      </c>
      <c r="Q2721">
        <v>1.3857215050712901</v>
      </c>
      <c r="R2721">
        <v>0.374176911034385</v>
      </c>
      <c r="S2721" t="s">
        <v>9338</v>
      </c>
      <c r="T2721" t="s">
        <v>13232</v>
      </c>
      <c r="U2721" t="s">
        <v>13232</v>
      </c>
      <c r="V2721" t="s">
        <v>13232</v>
      </c>
      <c r="W2721" t="s">
        <v>15899</v>
      </c>
      <c r="X2721">
        <v>3</v>
      </c>
      <c r="Y2721" t="s">
        <v>22376</v>
      </c>
      <c r="Z2721" t="s">
        <v>28852</v>
      </c>
      <c r="AA2721">
        <v>1.1636519615337451</v>
      </c>
      <c r="AB2721" t="str">
        <f>HYPERLINK("Melting_Curves/meltCurve_P61956_2_SUMO2.pdf", "Melting_Curves/meltCurve_P61956_2_SUMO2.pdf")</f>
        <v>Melting_Curves/meltCurve_P61956_2_SUMO2.pdf</v>
      </c>
    </row>
    <row r="2722" spans="1:28" x14ac:dyDescent="0.25">
      <c r="A2722" t="s">
        <v>2726</v>
      </c>
      <c r="B2722">
        <v>0.99930955844802105</v>
      </c>
      <c r="C2722">
        <v>0.84493602092712505</v>
      </c>
      <c r="D2722">
        <v>0.88265992383715997</v>
      </c>
      <c r="E2722">
        <v>0.76146769259126501</v>
      </c>
      <c r="F2722">
        <v>0.61860745127889805</v>
      </c>
      <c r="G2722">
        <v>0.48767352605341502</v>
      </c>
      <c r="H2722">
        <v>0.38337471893521002</v>
      </c>
      <c r="I2722">
        <v>0.31363948686918502</v>
      </c>
      <c r="J2722">
        <v>0.23233288446516201</v>
      </c>
      <c r="K2722">
        <v>0.15315666392952601</v>
      </c>
      <c r="L2722">
        <v>440.42604739515298</v>
      </c>
      <c r="M2722">
        <v>7.7594854757920899</v>
      </c>
      <c r="N2722">
        <v>56.7596973750315</v>
      </c>
      <c r="O2722">
        <v>53.359517595</v>
      </c>
      <c r="P2722">
        <v>-3.6400810730672799E-2</v>
      </c>
      <c r="Q2722">
        <v>0</v>
      </c>
      <c r="R2722">
        <v>0.98648994115084698</v>
      </c>
      <c r="S2722" t="s">
        <v>9339</v>
      </c>
      <c r="T2722" t="s">
        <v>13232</v>
      </c>
      <c r="U2722" t="s">
        <v>13232</v>
      </c>
      <c r="V2722" t="s">
        <v>13232</v>
      </c>
      <c r="W2722" t="s">
        <v>15900</v>
      </c>
      <c r="X2722">
        <v>5</v>
      </c>
      <c r="Y2722" t="s">
        <v>22377</v>
      </c>
      <c r="Z2722" t="s">
        <v>28853</v>
      </c>
      <c r="AA2722">
        <v>0.57192298948742315</v>
      </c>
      <c r="AB2722" t="str">
        <f>HYPERLINK("Melting_Curves/meltCurve_P61960_UFM1.pdf", "Melting_Curves/meltCurve_P61960_UFM1.pdf")</f>
        <v>Melting_Curves/meltCurve_P61960_UFM1.pdf</v>
      </c>
    </row>
    <row r="2723" spans="1:28" x14ac:dyDescent="0.25">
      <c r="A2723" t="s">
        <v>2727</v>
      </c>
      <c r="B2723">
        <v>0.99930955844802105</v>
      </c>
      <c r="C2723">
        <v>0.99512684991093203</v>
      </c>
      <c r="D2723">
        <v>0.96031014914574397</v>
      </c>
      <c r="E2723">
        <v>0.75188451545337698</v>
      </c>
      <c r="F2723">
        <v>0.43074805587109299</v>
      </c>
      <c r="G2723">
        <v>0.24595070532535601</v>
      </c>
      <c r="H2723">
        <v>0.13293555660039899</v>
      </c>
      <c r="I2723">
        <v>0.11471706690758</v>
      </c>
      <c r="J2723">
        <v>9.5891018969396002E-2</v>
      </c>
      <c r="K2723">
        <v>7.1152307913265697E-2</v>
      </c>
      <c r="L2723">
        <v>1118.4738195267901</v>
      </c>
      <c r="M2723">
        <v>21.472307426900699</v>
      </c>
      <c r="N2723">
        <v>52.5790707107017</v>
      </c>
      <c r="O2723">
        <v>51.6436523489742</v>
      </c>
      <c r="P2723">
        <v>-9.4522538022651995E-2</v>
      </c>
      <c r="Q2723">
        <v>9.0667097350923903E-2</v>
      </c>
      <c r="R2723">
        <v>0.99796015049511699</v>
      </c>
      <c r="S2723" t="s">
        <v>9340</v>
      </c>
      <c r="T2723" t="s">
        <v>13232</v>
      </c>
      <c r="U2723" t="s">
        <v>13232</v>
      </c>
      <c r="V2723" t="s">
        <v>13232</v>
      </c>
      <c r="W2723" t="s">
        <v>15901</v>
      </c>
      <c r="X2723">
        <v>11</v>
      </c>
      <c r="Y2723" t="s">
        <v>22378</v>
      </c>
      <c r="Z2723" t="s">
        <v>28854</v>
      </c>
      <c r="AA2723">
        <v>0.46816275073931901</v>
      </c>
      <c r="AB2723" t="str">
        <f>HYPERLINK("Melting_Curves/meltCurve_P61962_DCAF7.pdf", "Melting_Curves/meltCurve_P61962_DCAF7.pdf")</f>
        <v>Melting_Curves/meltCurve_P61962_DCAF7.pdf</v>
      </c>
    </row>
    <row r="2724" spans="1:28" x14ac:dyDescent="0.25">
      <c r="A2724" t="s">
        <v>2728</v>
      </c>
      <c r="B2724">
        <v>0.99930955844802105</v>
      </c>
      <c r="C2724">
        <v>0.89689288925424404</v>
      </c>
      <c r="D2724">
        <v>0.87316715144907897</v>
      </c>
      <c r="E2724">
        <v>0.80775726088960598</v>
      </c>
      <c r="F2724">
        <v>0.68613854195133706</v>
      </c>
      <c r="G2724">
        <v>0.575839160767039</v>
      </c>
      <c r="H2724">
        <v>0.41599981379476703</v>
      </c>
      <c r="I2724">
        <v>0.33460846339713002</v>
      </c>
      <c r="J2724">
        <v>0.24834197023240601</v>
      </c>
      <c r="K2724">
        <v>0.15187100978687801</v>
      </c>
      <c r="L2724">
        <v>482.29654852134399</v>
      </c>
      <c r="M2724">
        <v>8.2819769631397406</v>
      </c>
      <c r="N2724">
        <v>58.234471354351101</v>
      </c>
      <c r="O2724">
        <v>55.135490983150099</v>
      </c>
      <c r="P2724">
        <v>-3.7590146978763103E-2</v>
      </c>
      <c r="Q2724">
        <v>0</v>
      </c>
      <c r="R2724">
        <v>0.99031450203141302</v>
      </c>
      <c r="S2724" t="s">
        <v>9341</v>
      </c>
      <c r="T2724" t="s">
        <v>13232</v>
      </c>
      <c r="U2724" t="s">
        <v>13232</v>
      </c>
      <c r="V2724" t="s">
        <v>13232</v>
      </c>
      <c r="W2724" t="s">
        <v>15902</v>
      </c>
      <c r="X2724">
        <v>12</v>
      </c>
      <c r="Y2724" t="s">
        <v>22379</v>
      </c>
      <c r="Z2724" t="s">
        <v>28855</v>
      </c>
      <c r="AA2724">
        <v>0.61062746390844325</v>
      </c>
      <c r="AB2724" t="str">
        <f>HYPERLINK("Melting_Curves/meltCurve_P61964_WDR5.pdf", "Melting_Curves/meltCurve_P61964_WDR5.pdf")</f>
        <v>Melting_Curves/meltCurve_P61964_WDR5.pdf</v>
      </c>
    </row>
    <row r="2725" spans="1:28" x14ac:dyDescent="0.25">
      <c r="A2725" t="s">
        <v>2729</v>
      </c>
      <c r="B2725">
        <v>0.99930955844802105</v>
      </c>
      <c r="C2725">
        <v>0.89859052605113698</v>
      </c>
      <c r="D2725">
        <v>0.89299365732825897</v>
      </c>
      <c r="E2725">
        <v>0.83586765968107102</v>
      </c>
      <c r="F2725">
        <v>0.55293929502041805</v>
      </c>
      <c r="G2725">
        <v>0.33031255504468598</v>
      </c>
      <c r="H2725">
        <v>0.145633706195583</v>
      </c>
      <c r="I2725">
        <v>0.105013374897135</v>
      </c>
      <c r="J2725">
        <v>8.68088423391985E-2</v>
      </c>
      <c r="K2725">
        <v>7.3254951295652501E-2</v>
      </c>
      <c r="L2725">
        <v>844.29088481055805</v>
      </c>
      <c r="M2725">
        <v>15.6855508422973</v>
      </c>
      <c r="N2725">
        <v>54.089282289504801</v>
      </c>
      <c r="O2725">
        <v>52.973932375029101</v>
      </c>
      <c r="P2725">
        <v>-7.13105052056906E-2</v>
      </c>
      <c r="Q2725">
        <v>3.6749771155065197E-2</v>
      </c>
      <c r="R2725">
        <v>0.98962282689111003</v>
      </c>
      <c r="S2725" t="s">
        <v>9342</v>
      </c>
      <c r="T2725" t="s">
        <v>13232</v>
      </c>
      <c r="U2725" t="s">
        <v>13232</v>
      </c>
      <c r="V2725" t="s">
        <v>13232</v>
      </c>
      <c r="W2725" t="s">
        <v>15903</v>
      </c>
      <c r="X2725">
        <v>4</v>
      </c>
      <c r="Y2725" t="s">
        <v>22380</v>
      </c>
      <c r="Z2725" t="s">
        <v>28856</v>
      </c>
      <c r="AA2725">
        <v>0.49950215464258829</v>
      </c>
      <c r="AB2725" t="str">
        <f>HYPERLINK("Melting_Curves/meltCurve_P61966_AP1S1.pdf", "Melting_Curves/meltCurve_P61966_AP1S1.pdf")</f>
        <v>Melting_Curves/meltCurve_P61966_AP1S1.pdf</v>
      </c>
    </row>
    <row r="2726" spans="1:28" x14ac:dyDescent="0.25">
      <c r="A2726" t="s">
        <v>2730</v>
      </c>
      <c r="B2726">
        <v>0.99930955844802105</v>
      </c>
      <c r="C2726">
        <v>1.0268833330648901</v>
      </c>
      <c r="D2726">
        <v>1.03230000536306</v>
      </c>
      <c r="E2726">
        <v>0.98457172836612405</v>
      </c>
      <c r="F2726">
        <v>0.82504590407879996</v>
      </c>
      <c r="G2726">
        <v>0.65378819343714201</v>
      </c>
      <c r="H2726">
        <v>0.54404044320231204</v>
      </c>
      <c r="I2726">
        <v>0.43633359717882603</v>
      </c>
      <c r="J2726">
        <v>0.29437607608544902</v>
      </c>
      <c r="K2726">
        <v>0.14281012873837801</v>
      </c>
      <c r="L2726">
        <v>704.98607187534003</v>
      </c>
      <c r="M2726">
        <v>11.4711181844173</v>
      </c>
      <c r="N2726">
        <v>61.457484868720798</v>
      </c>
      <c r="O2726">
        <v>59.678738464118403</v>
      </c>
      <c r="P2726">
        <v>-4.8067416095089903E-2</v>
      </c>
      <c r="Q2726">
        <v>0</v>
      </c>
      <c r="R2726">
        <v>0.98223040964617103</v>
      </c>
      <c r="S2726" t="s">
        <v>9343</v>
      </c>
      <c r="T2726" t="s">
        <v>13232</v>
      </c>
      <c r="U2726" t="s">
        <v>13232</v>
      </c>
      <c r="V2726" t="s">
        <v>13232</v>
      </c>
      <c r="W2726" t="s">
        <v>15904</v>
      </c>
      <c r="X2726">
        <v>6</v>
      </c>
      <c r="Y2726" t="s">
        <v>22381</v>
      </c>
      <c r="Z2726" t="s">
        <v>28857</v>
      </c>
      <c r="AA2726">
        <v>0.7060375339586823</v>
      </c>
      <c r="AB2726" t="str">
        <f>HYPERLINK("Melting_Curves/meltCurve_P61970_NUTF2.pdf", "Melting_Curves/meltCurve_P61970_NUTF2.pdf")</f>
        <v>Melting_Curves/meltCurve_P61970_NUTF2.pdf</v>
      </c>
    </row>
    <row r="2727" spans="1:28" x14ac:dyDescent="0.25">
      <c r="A2727" t="s">
        <v>2731</v>
      </c>
      <c r="B2727">
        <v>0.99930955844802105</v>
      </c>
      <c r="C2727">
        <v>1.11217883665704</v>
      </c>
      <c r="D2727">
        <v>1.1476381051494799</v>
      </c>
      <c r="E2727">
        <v>1.02686257243858</v>
      </c>
      <c r="F2727">
        <v>0.76129565905333796</v>
      </c>
      <c r="G2727">
        <v>0.56225132649286602</v>
      </c>
      <c r="H2727">
        <v>0.43397447004591899</v>
      </c>
      <c r="I2727">
        <v>0.410271902256169</v>
      </c>
      <c r="J2727">
        <v>0.38620609132155598</v>
      </c>
      <c r="K2727">
        <v>0.303064762283412</v>
      </c>
      <c r="L2727">
        <v>1384.29993627625</v>
      </c>
      <c r="M2727">
        <v>25.194713639626599</v>
      </c>
      <c r="N2727">
        <v>57.944345476505198</v>
      </c>
      <c r="O2727">
        <v>54.601413884121499</v>
      </c>
      <c r="P2727">
        <v>-7.3327582245012499E-2</v>
      </c>
      <c r="Q2727">
        <v>0.364352607362952</v>
      </c>
      <c r="R2727">
        <v>0.94907921375790805</v>
      </c>
      <c r="S2727" t="s">
        <v>9344</v>
      </c>
      <c r="T2727" t="s">
        <v>13232</v>
      </c>
      <c r="U2727" t="s">
        <v>13232</v>
      </c>
      <c r="V2727" t="s">
        <v>13232</v>
      </c>
      <c r="W2727" t="s">
        <v>15905</v>
      </c>
      <c r="X2727">
        <v>28</v>
      </c>
      <c r="Y2727" t="s">
        <v>22382</v>
      </c>
      <c r="Z2727" t="s">
        <v>28858</v>
      </c>
      <c r="AA2727">
        <v>0.68679332790190284</v>
      </c>
      <c r="AB2727" t="str">
        <f>HYPERLINK("Melting_Curves/meltCurve_P61978_3_HNRNPK.pdf", "Melting_Curves/meltCurve_P61978_3_HNRNPK.pdf")</f>
        <v>Melting_Curves/meltCurve_P61978_3_HNRNPK.pdf</v>
      </c>
    </row>
    <row r="2728" spans="1:28" x14ac:dyDescent="0.25">
      <c r="A2728" t="s">
        <v>2732</v>
      </c>
      <c r="B2728">
        <v>0.99930955844802105</v>
      </c>
      <c r="C2728">
        <v>1.0219192650057101</v>
      </c>
      <c r="D2728">
        <v>0.87653643988181495</v>
      </c>
      <c r="E2728">
        <v>0.89443326453512295</v>
      </c>
      <c r="F2728">
        <v>0.86185234785598097</v>
      </c>
      <c r="G2728">
        <v>0.64277617875583204</v>
      </c>
      <c r="H2728">
        <v>0.31125264319256601</v>
      </c>
      <c r="I2728">
        <v>0.169678046572171</v>
      </c>
      <c r="J2728">
        <v>9.8945829937448604E-2</v>
      </c>
      <c r="K2728">
        <v>5.9814694464594101E-2</v>
      </c>
      <c r="L2728">
        <v>995.45780359303603</v>
      </c>
      <c r="M2728">
        <v>17.033372056841198</v>
      </c>
      <c r="N2728">
        <v>58.441617656476502</v>
      </c>
      <c r="O2728">
        <v>57.653939715798998</v>
      </c>
      <c r="P2728">
        <v>-7.3864928855517695E-2</v>
      </c>
      <c r="Q2728">
        <v>0</v>
      </c>
      <c r="R2728">
        <v>0.98681446220357405</v>
      </c>
      <c r="S2728" t="s">
        <v>9345</v>
      </c>
      <c r="T2728" t="s">
        <v>13232</v>
      </c>
      <c r="U2728" t="s">
        <v>13232</v>
      </c>
      <c r="V2728" t="s">
        <v>13232</v>
      </c>
      <c r="W2728" t="s">
        <v>15906</v>
      </c>
      <c r="X2728">
        <v>24</v>
      </c>
      <c r="Y2728" t="s">
        <v>22383</v>
      </c>
      <c r="Z2728" t="s">
        <v>28859</v>
      </c>
      <c r="AA2728">
        <v>0.62666588890980546</v>
      </c>
      <c r="AB2728" t="str">
        <f>HYPERLINK("Melting_Curves/meltCurve_P61981_YWHAG.pdf", "Melting_Curves/meltCurve_P61981_YWHAG.pdf")</f>
        <v>Melting_Curves/meltCurve_P61981_YWHAG.pdf</v>
      </c>
    </row>
    <row r="2729" spans="1:28" x14ac:dyDescent="0.25">
      <c r="A2729" t="s">
        <v>2733</v>
      </c>
      <c r="B2729">
        <v>0.99930955844802105</v>
      </c>
      <c r="C2729">
        <v>1.0172104175063199</v>
      </c>
      <c r="D2729">
        <v>0.95751533621241702</v>
      </c>
      <c r="E2729">
        <v>0.74784262303186699</v>
      </c>
      <c r="F2729">
        <v>0.38362313033463102</v>
      </c>
      <c r="G2729">
        <v>0.22417421495808099</v>
      </c>
      <c r="H2729">
        <v>0.1289411898992</v>
      </c>
      <c r="I2729">
        <v>9.9396181781773896E-2</v>
      </c>
      <c r="J2729">
        <v>0.10280300680363701</v>
      </c>
      <c r="K2729">
        <v>7.8960701456313204E-2</v>
      </c>
      <c r="L2729">
        <v>1284.5158523693001</v>
      </c>
      <c r="M2729">
        <v>24.8479824244829</v>
      </c>
      <c r="N2729">
        <v>52.165198346967799</v>
      </c>
      <c r="O2729">
        <v>51.3636394319633</v>
      </c>
      <c r="P2729">
        <v>-0.10880829215240399</v>
      </c>
      <c r="Q2729">
        <v>0.100335345945925</v>
      </c>
      <c r="R2729">
        <v>0.99703281523411702</v>
      </c>
      <c r="S2729" t="s">
        <v>9346</v>
      </c>
      <c r="T2729" t="s">
        <v>13232</v>
      </c>
      <c r="U2729" t="s">
        <v>13232</v>
      </c>
      <c r="V2729" t="s">
        <v>13232</v>
      </c>
      <c r="W2729" t="s">
        <v>15907</v>
      </c>
      <c r="X2729">
        <v>6</v>
      </c>
      <c r="Y2729" t="s">
        <v>22384</v>
      </c>
      <c r="Z2729" t="s">
        <v>28860</v>
      </c>
      <c r="AA2729">
        <v>0.4593391631069933</v>
      </c>
      <c r="AB2729" t="str">
        <f>HYPERLINK("Melting_Curves/meltCurve_P62070_RRAS2.pdf", "Melting_Curves/meltCurve_P62070_RRAS2.pdf")</f>
        <v>Melting_Curves/meltCurve_P62070_RRAS2.pdf</v>
      </c>
    </row>
    <row r="2730" spans="1:28" x14ac:dyDescent="0.25">
      <c r="A2730" t="s">
        <v>2734</v>
      </c>
      <c r="B2730">
        <v>0.99930955844802105</v>
      </c>
      <c r="C2730">
        <v>0.98447908432474696</v>
      </c>
      <c r="D2730">
        <v>0.967006245455308</v>
      </c>
      <c r="E2730">
        <v>0.89205640787538698</v>
      </c>
      <c r="F2730">
        <v>0.75816661415909403</v>
      </c>
      <c r="G2730">
        <v>0.70056106352305803</v>
      </c>
      <c r="H2730">
        <v>0.62409014433099996</v>
      </c>
      <c r="I2730">
        <v>0.66993380603584196</v>
      </c>
      <c r="J2730">
        <v>0.59598215601884896</v>
      </c>
      <c r="K2730">
        <v>0.491911941196577</v>
      </c>
      <c r="L2730">
        <v>583.20667947998299</v>
      </c>
      <c r="M2730">
        <v>10.6128177565437</v>
      </c>
      <c r="O2730">
        <v>53.1096215893321</v>
      </c>
      <c r="P2730">
        <v>-2.4553375690528099E-2</v>
      </c>
      <c r="Q2730">
        <v>0.50870136691111301</v>
      </c>
      <c r="R2730">
        <v>0.95716507755556501</v>
      </c>
      <c r="S2730" t="s">
        <v>9347</v>
      </c>
      <c r="T2730" t="s">
        <v>13232</v>
      </c>
      <c r="U2730" t="s">
        <v>13232</v>
      </c>
      <c r="V2730" t="s">
        <v>13232</v>
      </c>
      <c r="W2730" t="s">
        <v>15908</v>
      </c>
      <c r="X2730">
        <v>7</v>
      </c>
      <c r="Y2730" t="s">
        <v>22385</v>
      </c>
      <c r="Z2730" t="s">
        <v>28861</v>
      </c>
      <c r="AA2730">
        <v>0.76605638529288056</v>
      </c>
      <c r="AB2730" t="str">
        <f>HYPERLINK("Melting_Curves/meltCurve_P62072_TIMM10.pdf", "Melting_Curves/meltCurve_P62072_TIMM10.pdf")</f>
        <v>Melting_Curves/meltCurve_P62072_TIMM10.pdf</v>
      </c>
    </row>
    <row r="2731" spans="1:28" x14ac:dyDescent="0.25">
      <c r="A2731" t="s">
        <v>2735</v>
      </c>
      <c r="B2731">
        <v>0.99930955844802105</v>
      </c>
      <c r="C2731">
        <v>0.71380281780152399</v>
      </c>
      <c r="D2731">
        <v>0.50565818260685702</v>
      </c>
      <c r="E2731">
        <v>0.39579972026174698</v>
      </c>
      <c r="F2731">
        <v>0.28706040686522899</v>
      </c>
      <c r="G2731">
        <v>0.20205430052933199</v>
      </c>
      <c r="H2731">
        <v>0.16368004959063501</v>
      </c>
      <c r="I2731">
        <v>0.169705897102994</v>
      </c>
      <c r="J2731">
        <v>0.16810137295375199</v>
      </c>
      <c r="K2731">
        <v>0.12769674539950901</v>
      </c>
      <c r="L2731">
        <v>639.09950030590596</v>
      </c>
      <c r="M2731">
        <v>13.982491116869401</v>
      </c>
      <c r="N2731">
        <v>46.920461077135798</v>
      </c>
      <c r="O2731">
        <v>44.802678525729704</v>
      </c>
      <c r="P2731">
        <v>-6.6194459861821695E-2</v>
      </c>
      <c r="Q2731">
        <v>0.15171206882962701</v>
      </c>
      <c r="R2731">
        <v>0.97483025054868799</v>
      </c>
      <c r="S2731" t="s">
        <v>9348</v>
      </c>
      <c r="T2731" t="s">
        <v>13232</v>
      </c>
      <c r="U2731" t="s">
        <v>13232</v>
      </c>
      <c r="V2731" t="s">
        <v>13232</v>
      </c>
      <c r="W2731" t="s">
        <v>15909</v>
      </c>
      <c r="X2731">
        <v>10</v>
      </c>
      <c r="Y2731" t="s">
        <v>22386</v>
      </c>
      <c r="Z2731" t="s">
        <v>28862</v>
      </c>
      <c r="AA2731">
        <v>0.34248139219547918</v>
      </c>
      <c r="AB2731" t="str">
        <f>HYPERLINK("Melting_Curves/meltCurve_P62081_RPS7.pdf", "Melting_Curves/meltCurve_P62081_RPS7.pdf")</f>
        <v>Melting_Curves/meltCurve_P62081_RPS7.pdf</v>
      </c>
    </row>
    <row r="2732" spans="1:28" x14ac:dyDescent="0.25">
      <c r="A2732" t="s">
        <v>2736</v>
      </c>
      <c r="B2732">
        <v>0.99930955844802105</v>
      </c>
      <c r="C2732">
        <v>0.94820993916380902</v>
      </c>
      <c r="D2732">
        <v>0.63671221007862899</v>
      </c>
      <c r="E2732">
        <v>0.66277756959203704</v>
      </c>
      <c r="F2732">
        <v>0.441485878464213</v>
      </c>
      <c r="G2732">
        <v>0.25740281515824098</v>
      </c>
      <c r="H2732">
        <v>0.119545797840632</v>
      </c>
      <c r="I2732">
        <v>7.6323934149485406E-2</v>
      </c>
      <c r="J2732">
        <v>5.5378525315797601E-2</v>
      </c>
      <c r="K2732">
        <v>4.3116311851265403E-2</v>
      </c>
      <c r="L2732">
        <v>570.67984819941398</v>
      </c>
      <c r="M2732">
        <v>11.0957426736709</v>
      </c>
      <c r="N2732">
        <v>51.432325455490997</v>
      </c>
      <c r="O2732">
        <v>49.846492408957801</v>
      </c>
      <c r="P2732">
        <v>-5.5667725356706402E-2</v>
      </c>
      <c r="Q2732">
        <v>0</v>
      </c>
      <c r="R2732">
        <v>0.97077588973444295</v>
      </c>
      <c r="S2732" t="s">
        <v>9349</v>
      </c>
      <c r="T2732" t="s">
        <v>13232</v>
      </c>
      <c r="U2732" t="s">
        <v>13232</v>
      </c>
      <c r="V2732" t="s">
        <v>13232</v>
      </c>
      <c r="W2732" t="s">
        <v>15910</v>
      </c>
      <c r="X2732">
        <v>21</v>
      </c>
      <c r="Y2732" t="s">
        <v>22387</v>
      </c>
      <c r="Z2732" t="s">
        <v>28863</v>
      </c>
      <c r="AA2732">
        <v>0.41630972800684929</v>
      </c>
      <c r="AB2732" t="str">
        <f>HYPERLINK("Melting_Curves/meltCurve_P62136_PPP1CA.pdf", "Melting_Curves/meltCurve_P62136_PPP1CA.pdf")</f>
        <v>Melting_Curves/meltCurve_P62136_PPP1CA.pdf</v>
      </c>
    </row>
    <row r="2733" spans="1:28" x14ac:dyDescent="0.25">
      <c r="A2733" t="s">
        <v>2737</v>
      </c>
      <c r="B2733">
        <v>0.99930955844802105</v>
      </c>
      <c r="C2733">
        <v>0.93993814944922804</v>
      </c>
      <c r="D2733">
        <v>0.82641750634678102</v>
      </c>
      <c r="E2733">
        <v>0.64531400306947895</v>
      </c>
      <c r="F2733">
        <v>0.45449193844041402</v>
      </c>
      <c r="G2733">
        <v>0.30115869144313101</v>
      </c>
      <c r="H2733">
        <v>0.18789657045507899</v>
      </c>
      <c r="I2733">
        <v>0.160545599414849</v>
      </c>
      <c r="J2733">
        <v>0.147055008458499</v>
      </c>
      <c r="K2733">
        <v>0.112915682680618</v>
      </c>
      <c r="L2733">
        <v>670.461658364595</v>
      </c>
      <c r="M2733">
        <v>13.022253750986099</v>
      </c>
      <c r="N2733">
        <v>52.311313469297801</v>
      </c>
      <c r="O2733">
        <v>50.317081072232</v>
      </c>
      <c r="P2733">
        <v>-5.8702067505773198E-2</v>
      </c>
      <c r="Q2733">
        <v>9.2876399335750703E-2</v>
      </c>
      <c r="R2733">
        <v>0.99886459578664699</v>
      </c>
      <c r="S2733" t="s">
        <v>9350</v>
      </c>
      <c r="T2733" t="s">
        <v>13232</v>
      </c>
      <c r="U2733" t="s">
        <v>13232</v>
      </c>
      <c r="V2733" t="s">
        <v>13232</v>
      </c>
      <c r="W2733" t="s">
        <v>15911</v>
      </c>
      <c r="X2733">
        <v>16</v>
      </c>
      <c r="Y2733" t="s">
        <v>22388</v>
      </c>
      <c r="Z2733" t="s">
        <v>28864</v>
      </c>
      <c r="AA2733">
        <v>0.46576969821639103</v>
      </c>
      <c r="AB2733" t="str">
        <f>HYPERLINK("Melting_Curves/meltCurve_P62140_PPP1CB.pdf", "Melting_Curves/meltCurve_P62140_PPP1CB.pdf")</f>
        <v>Melting_Curves/meltCurve_P62140_PPP1CB.pdf</v>
      </c>
    </row>
    <row r="2734" spans="1:28" x14ac:dyDescent="0.25">
      <c r="A2734" t="s">
        <v>2738</v>
      </c>
      <c r="B2734">
        <v>0.99930955844802105</v>
      </c>
      <c r="C2734">
        <v>1.0551413880929601</v>
      </c>
      <c r="D2734">
        <v>1.1393020352335801</v>
      </c>
      <c r="E2734">
        <v>1.0843106127261</v>
      </c>
      <c r="F2734">
        <v>1.0143873193942099</v>
      </c>
      <c r="G2734">
        <v>0.98486795007904404</v>
      </c>
      <c r="H2734">
        <v>1.1147455513361999</v>
      </c>
      <c r="I2734">
        <v>1.1363841014479099</v>
      </c>
      <c r="J2734">
        <v>1.1479019578976</v>
      </c>
      <c r="K2734">
        <v>0.93089591047166098</v>
      </c>
      <c r="L2734">
        <v>10666.062028800599</v>
      </c>
      <c r="M2734">
        <v>250</v>
      </c>
      <c r="O2734">
        <v>42.661518134401703</v>
      </c>
      <c r="P2734">
        <v>0.101232080671917</v>
      </c>
      <c r="Q2734">
        <v>1.0690994274430901</v>
      </c>
      <c r="R2734">
        <v>8.4675817046100499E-2</v>
      </c>
      <c r="S2734" t="s">
        <v>9351</v>
      </c>
      <c r="T2734" t="s">
        <v>13232</v>
      </c>
      <c r="U2734" t="s">
        <v>13232</v>
      </c>
      <c r="V2734" t="s">
        <v>13232</v>
      </c>
      <c r="W2734" t="s">
        <v>15912</v>
      </c>
      <c r="X2734">
        <v>13</v>
      </c>
      <c r="Y2734" t="s">
        <v>22389</v>
      </c>
      <c r="Z2734" t="s">
        <v>28865</v>
      </c>
      <c r="AA2734">
        <v>1.062957652952798</v>
      </c>
      <c r="AB2734" t="str">
        <f>HYPERLINK("Melting_Curves/meltCurve_P62158_CALM1.pdf", "Melting_Curves/meltCurve_P62158_CALM1.pdf")</f>
        <v>Melting_Curves/meltCurve_P62158_CALM1.pdf</v>
      </c>
    </row>
    <row r="2735" spans="1:28" x14ac:dyDescent="0.25">
      <c r="A2735" t="s">
        <v>2739</v>
      </c>
      <c r="B2735">
        <v>0.99930955844802105</v>
      </c>
      <c r="C2735">
        <v>0.98154195836834102</v>
      </c>
      <c r="D2735">
        <v>0.92275502820531097</v>
      </c>
      <c r="E2735">
        <v>0.75538207088887599</v>
      </c>
      <c r="F2735">
        <v>0.58088602848106996</v>
      </c>
      <c r="G2735">
        <v>0.41070425220199402</v>
      </c>
      <c r="H2735">
        <v>0.32685027582444598</v>
      </c>
      <c r="I2735">
        <v>0.31332235935379898</v>
      </c>
      <c r="J2735">
        <v>0.306136768771613</v>
      </c>
      <c r="K2735">
        <v>0.22551775698344001</v>
      </c>
      <c r="L2735">
        <v>813.67418606108697</v>
      </c>
      <c r="M2735">
        <v>15.568051301608699</v>
      </c>
      <c r="N2735">
        <v>54.756019717213199</v>
      </c>
      <c r="O2735">
        <v>51.426043913229499</v>
      </c>
      <c r="P2735">
        <v>-5.6486247896577302E-2</v>
      </c>
      <c r="Q2735">
        <v>0.25369961826835402</v>
      </c>
      <c r="R2735">
        <v>0.99633731856441199</v>
      </c>
      <c r="S2735" t="s">
        <v>9352</v>
      </c>
      <c r="T2735" t="s">
        <v>13232</v>
      </c>
      <c r="U2735" t="s">
        <v>13232</v>
      </c>
      <c r="V2735" t="s">
        <v>13232</v>
      </c>
      <c r="W2735" t="s">
        <v>15913</v>
      </c>
      <c r="X2735">
        <v>4</v>
      </c>
      <c r="Y2735" t="s">
        <v>22390</v>
      </c>
      <c r="Z2735" t="s">
        <v>28866</v>
      </c>
      <c r="AA2735">
        <v>0.57445156832374467</v>
      </c>
      <c r="AB2735" t="str">
        <f>HYPERLINK("Melting_Curves/meltCurve_P62166_NCS1.pdf", "Melting_Curves/meltCurve_P62166_NCS1.pdf")</f>
        <v>Melting_Curves/meltCurve_P62166_NCS1.pdf</v>
      </c>
    </row>
    <row r="2736" spans="1:28" x14ac:dyDescent="0.25">
      <c r="A2736" t="s">
        <v>2740</v>
      </c>
      <c r="B2736">
        <v>0.99930955844802105</v>
      </c>
      <c r="C2736">
        <v>0.58022391105244497</v>
      </c>
      <c r="D2736">
        <v>0.60965484246165302</v>
      </c>
      <c r="E2736">
        <v>0.51339857036278302</v>
      </c>
      <c r="F2736">
        <v>0.29098492163450601</v>
      </c>
      <c r="G2736">
        <v>0.17693608094691099</v>
      </c>
      <c r="H2736">
        <v>7.6653662608886994E-2</v>
      </c>
      <c r="I2736">
        <v>5.5689024269378801E-2</v>
      </c>
      <c r="J2736">
        <v>4.8073959369136499E-2</v>
      </c>
      <c r="K2736">
        <v>3.9173886228212502E-2</v>
      </c>
      <c r="L2736">
        <v>457.48887057788698</v>
      </c>
      <c r="M2736">
        <v>9.5231636787605201</v>
      </c>
      <c r="N2736">
        <v>48.039589671631397</v>
      </c>
      <c r="O2736">
        <v>46.064413745890398</v>
      </c>
      <c r="P2736">
        <v>-5.1714240727404902E-2</v>
      </c>
      <c r="Q2736">
        <v>0</v>
      </c>
      <c r="R2736">
        <v>0.93483602811017297</v>
      </c>
      <c r="S2736" t="s">
        <v>9353</v>
      </c>
      <c r="T2736" t="s">
        <v>13232</v>
      </c>
      <c r="U2736" t="s">
        <v>13232</v>
      </c>
      <c r="V2736" t="s">
        <v>13232</v>
      </c>
      <c r="W2736" t="s">
        <v>15914</v>
      </c>
      <c r="X2736">
        <v>28</v>
      </c>
      <c r="Y2736" t="s">
        <v>22391</v>
      </c>
      <c r="Z2736" t="s">
        <v>28867</v>
      </c>
      <c r="AA2736">
        <v>0.32485671362467239</v>
      </c>
      <c r="AB2736" t="str">
        <f>HYPERLINK("Melting_Curves/meltCurve_P62191_PSMC1.pdf", "Melting_Curves/meltCurve_P62191_PSMC1.pdf")</f>
        <v>Melting_Curves/meltCurve_P62191_PSMC1.pdf</v>
      </c>
    </row>
    <row r="2737" spans="1:28" x14ac:dyDescent="0.25">
      <c r="A2737" t="s">
        <v>2741</v>
      </c>
      <c r="B2737">
        <v>0.99930955844802105</v>
      </c>
      <c r="C2737">
        <v>0.51618385723940197</v>
      </c>
      <c r="D2737">
        <v>0.54469230640903998</v>
      </c>
      <c r="E2737">
        <v>0.52470743352268101</v>
      </c>
      <c r="F2737">
        <v>0.29328939528812698</v>
      </c>
      <c r="G2737">
        <v>0.16922313951432699</v>
      </c>
      <c r="H2737">
        <v>8.76474243891988E-2</v>
      </c>
      <c r="I2737">
        <v>7.1433468684942603E-2</v>
      </c>
      <c r="J2737">
        <v>6.1161242416989801E-2</v>
      </c>
      <c r="K2737">
        <v>4.87099537726517E-2</v>
      </c>
      <c r="L2737">
        <v>416.02465092868903</v>
      </c>
      <c r="M2737">
        <v>8.7695890300823507</v>
      </c>
      <c r="N2737">
        <v>47.439470262988301</v>
      </c>
      <c r="O2737">
        <v>45.166623212837997</v>
      </c>
      <c r="P2737">
        <v>-4.8579067848620497E-2</v>
      </c>
      <c r="Q2737">
        <v>0</v>
      </c>
      <c r="R2737">
        <v>0.89897106610984201</v>
      </c>
      <c r="S2737" t="s">
        <v>9354</v>
      </c>
      <c r="T2737" t="s">
        <v>13232</v>
      </c>
      <c r="U2737" t="s">
        <v>13232</v>
      </c>
      <c r="V2737" t="s">
        <v>13232</v>
      </c>
      <c r="W2737" t="s">
        <v>15915</v>
      </c>
      <c r="X2737">
        <v>28</v>
      </c>
      <c r="Y2737" t="s">
        <v>22392</v>
      </c>
      <c r="Z2737" t="s">
        <v>28868</v>
      </c>
      <c r="AA2737">
        <v>0.31548402442161938</v>
      </c>
      <c r="AB2737" t="str">
        <f>HYPERLINK("Melting_Curves/meltCurve_P62195_2_PSMC5.pdf", "Melting_Curves/meltCurve_P62195_2_PSMC5.pdf")</f>
        <v>Melting_Curves/meltCurve_P62195_2_PSMC5.pdf</v>
      </c>
    </row>
    <row r="2738" spans="1:28" x14ac:dyDescent="0.25">
      <c r="A2738" t="s">
        <v>2742</v>
      </c>
      <c r="B2738">
        <v>0.99930955844802105</v>
      </c>
      <c r="C2738">
        <v>1.2648755990451499</v>
      </c>
      <c r="D2738">
        <v>1.1822080518564899</v>
      </c>
      <c r="E2738">
        <v>1.12488981159071</v>
      </c>
      <c r="F2738">
        <v>0.84289686461509505</v>
      </c>
      <c r="G2738">
        <v>0.441029442546642</v>
      </c>
      <c r="H2738">
        <v>0.16902293871797799</v>
      </c>
      <c r="I2738">
        <v>0.119327160412823</v>
      </c>
      <c r="J2738">
        <v>0.101697798611289</v>
      </c>
      <c r="K2738">
        <v>8.4413374967966304E-2</v>
      </c>
      <c r="L2738">
        <v>1830.0770798610899</v>
      </c>
      <c r="M2738">
        <v>32.618569750179098</v>
      </c>
      <c r="N2738">
        <v>56.482386138703099</v>
      </c>
      <c r="O2738">
        <v>55.895759039506103</v>
      </c>
      <c r="P2738">
        <v>-0.131618568906681</v>
      </c>
      <c r="Q2738">
        <v>9.7828570751526595E-2</v>
      </c>
      <c r="R2738">
        <v>0.943400094279083</v>
      </c>
      <c r="S2738" t="s">
        <v>9355</v>
      </c>
      <c r="T2738" t="s">
        <v>13232</v>
      </c>
      <c r="U2738" t="s">
        <v>13232</v>
      </c>
      <c r="V2738" t="s">
        <v>13232</v>
      </c>
      <c r="W2738" t="s">
        <v>15916</v>
      </c>
      <c r="X2738">
        <v>11</v>
      </c>
      <c r="Y2738" t="s">
        <v>22393</v>
      </c>
      <c r="Z2738" t="s">
        <v>28869</v>
      </c>
      <c r="AA2738">
        <v>0.58730757785127208</v>
      </c>
      <c r="AB2738" t="str">
        <f>HYPERLINK("Melting_Curves/meltCurve_P62241_RPS8.pdf", "Melting_Curves/meltCurve_P62241_RPS8.pdf")</f>
        <v>Melting_Curves/meltCurve_P62241_RPS8.pdf</v>
      </c>
    </row>
    <row r="2739" spans="1:28" x14ac:dyDescent="0.25">
      <c r="A2739" t="s">
        <v>2743</v>
      </c>
      <c r="B2739">
        <v>0.99930955844802105</v>
      </c>
      <c r="C2739">
        <v>0.70204522994505503</v>
      </c>
      <c r="D2739">
        <v>0.55984687689707002</v>
      </c>
      <c r="E2739">
        <v>0.53347346929901096</v>
      </c>
      <c r="F2739">
        <v>0.42103301337336801</v>
      </c>
      <c r="G2739">
        <v>0.26519951085944299</v>
      </c>
      <c r="H2739">
        <v>0.18376555099566699</v>
      </c>
      <c r="I2739">
        <v>0.176191915378619</v>
      </c>
      <c r="J2739">
        <v>0.16617536358679499</v>
      </c>
      <c r="K2739">
        <v>0.13366526006672</v>
      </c>
      <c r="L2739">
        <v>419.82119661542202</v>
      </c>
      <c r="M2739">
        <v>8.6607902691029697</v>
      </c>
      <c r="N2739">
        <v>49.444083860913402</v>
      </c>
      <c r="O2739">
        <v>46.097361010980698</v>
      </c>
      <c r="P2739">
        <v>-4.3335711608536498E-2</v>
      </c>
      <c r="Q2739">
        <v>7.8150636657347394E-2</v>
      </c>
      <c r="R2739">
        <v>0.95309146977967296</v>
      </c>
      <c r="S2739" t="s">
        <v>9356</v>
      </c>
      <c r="T2739" t="s">
        <v>13232</v>
      </c>
      <c r="U2739" t="s">
        <v>13232</v>
      </c>
      <c r="V2739" t="s">
        <v>13232</v>
      </c>
      <c r="W2739" t="s">
        <v>15917</v>
      </c>
      <c r="X2739">
        <v>9</v>
      </c>
      <c r="Y2739" t="s">
        <v>22394</v>
      </c>
      <c r="Z2739" t="s">
        <v>28870</v>
      </c>
      <c r="AA2739">
        <v>0.39630292231708591</v>
      </c>
      <c r="AB2739" t="str">
        <f>HYPERLINK("Melting_Curves/meltCurve_P62249_RPS16.pdf", "Melting_Curves/meltCurve_P62249_RPS16.pdf")</f>
        <v>Melting_Curves/meltCurve_P62249_RPS16.pdf</v>
      </c>
    </row>
    <row r="2740" spans="1:28" x14ac:dyDescent="0.25">
      <c r="A2740" t="s">
        <v>2744</v>
      </c>
      <c r="B2740">
        <v>0.99930955844802105</v>
      </c>
      <c r="C2740">
        <v>1.14320441938934</v>
      </c>
      <c r="D2740">
        <v>1.1718054147972401</v>
      </c>
      <c r="E2740">
        <v>1.15635799785566</v>
      </c>
      <c r="F2740">
        <v>0.90753823637994602</v>
      </c>
      <c r="G2740">
        <v>0.62875210796953096</v>
      </c>
      <c r="H2740">
        <v>0.25564986415445001</v>
      </c>
      <c r="I2740">
        <v>0.14723679662756101</v>
      </c>
      <c r="J2740">
        <v>0.10158442813717899</v>
      </c>
      <c r="K2740">
        <v>7.9117678646041203E-2</v>
      </c>
      <c r="L2740">
        <v>1688.61929464691</v>
      </c>
      <c r="M2740">
        <v>29.218832423946399</v>
      </c>
      <c r="N2740">
        <v>58.168990072578801</v>
      </c>
      <c r="O2740">
        <v>57.523480585479</v>
      </c>
      <c r="P2740">
        <v>-0.11603832233453901</v>
      </c>
      <c r="Q2740">
        <v>8.6222255163742101E-2</v>
      </c>
      <c r="R2740">
        <v>0.96035185064668505</v>
      </c>
      <c r="S2740" t="s">
        <v>9357</v>
      </c>
      <c r="T2740" t="s">
        <v>13232</v>
      </c>
      <c r="U2740" t="s">
        <v>13232</v>
      </c>
      <c r="V2740" t="s">
        <v>13232</v>
      </c>
      <c r="W2740" t="s">
        <v>15918</v>
      </c>
      <c r="X2740">
        <v>6</v>
      </c>
      <c r="Y2740" t="s">
        <v>22395</v>
      </c>
      <c r="Z2740" t="s">
        <v>28871</v>
      </c>
      <c r="AA2740">
        <v>0.63446446015308611</v>
      </c>
      <c r="AB2740" t="str">
        <f>HYPERLINK("Melting_Curves/meltCurve_P62253_UBE2G1.pdf", "Melting_Curves/meltCurve_P62253_UBE2G1.pdf")</f>
        <v>Melting_Curves/meltCurve_P62253_UBE2G1.pdf</v>
      </c>
    </row>
    <row r="2741" spans="1:28" x14ac:dyDescent="0.25">
      <c r="A2741" t="s">
        <v>2745</v>
      </c>
      <c r="B2741">
        <v>0.99930955844802105</v>
      </c>
      <c r="C2741">
        <v>1.10332822247121</v>
      </c>
      <c r="D2741">
        <v>1.14253429519576</v>
      </c>
      <c r="E2741">
        <v>1.1049290965624601</v>
      </c>
      <c r="F2741">
        <v>0.886566531572068</v>
      </c>
      <c r="G2741">
        <v>0.46270242341854401</v>
      </c>
      <c r="H2741">
        <v>0.18856682562152999</v>
      </c>
      <c r="I2741">
        <v>0.11801831042098</v>
      </c>
      <c r="J2741">
        <v>0.102986936585148</v>
      </c>
      <c r="K2741">
        <v>6.9541641322113906E-2</v>
      </c>
      <c r="L2741">
        <v>1872.98200061598</v>
      </c>
      <c r="M2741">
        <v>33.204264198973902</v>
      </c>
      <c r="N2741">
        <v>56.768605132960701</v>
      </c>
      <c r="O2741">
        <v>56.204454901789298</v>
      </c>
      <c r="P2741">
        <v>-0.13364699826374099</v>
      </c>
      <c r="Q2741">
        <v>9.5113340264877999E-2</v>
      </c>
      <c r="R2741">
        <v>0.97651878551564697</v>
      </c>
      <c r="S2741" t="s">
        <v>9358</v>
      </c>
      <c r="T2741" t="s">
        <v>13232</v>
      </c>
      <c r="U2741" t="s">
        <v>13232</v>
      </c>
      <c r="V2741" t="s">
        <v>13232</v>
      </c>
      <c r="W2741" t="s">
        <v>15919</v>
      </c>
      <c r="X2741">
        <v>7</v>
      </c>
      <c r="Y2741" t="s">
        <v>22396</v>
      </c>
      <c r="Z2741" t="s">
        <v>28872</v>
      </c>
      <c r="AA2741">
        <v>0.59502924412502167</v>
      </c>
      <c r="AB2741" t="str">
        <f>HYPERLINK("Melting_Curves/meltCurve_P62256_UBE2H.pdf", "Melting_Curves/meltCurve_P62256_UBE2H.pdf")</f>
        <v>Melting_Curves/meltCurve_P62256_UBE2H.pdf</v>
      </c>
    </row>
    <row r="2742" spans="1:28" x14ac:dyDescent="0.25">
      <c r="A2742" t="s">
        <v>2746</v>
      </c>
      <c r="B2742">
        <v>0.99930955844802105</v>
      </c>
      <c r="C2742">
        <v>1.13914215992302</v>
      </c>
      <c r="D2742">
        <v>1.1655186061473699</v>
      </c>
      <c r="E2742">
        <v>1.16249681088535</v>
      </c>
      <c r="F2742">
        <v>1.1157285091190301</v>
      </c>
      <c r="G2742">
        <v>0.98476840931974197</v>
      </c>
      <c r="H2742">
        <v>0.50196087580020898</v>
      </c>
      <c r="I2742">
        <v>0.17519413380569801</v>
      </c>
      <c r="J2742">
        <v>9.2513530347104495E-2</v>
      </c>
      <c r="K2742">
        <v>6.4502711459049705E-2</v>
      </c>
      <c r="L2742">
        <v>2921.9121406714899</v>
      </c>
      <c r="M2742">
        <v>48.023206660811503</v>
      </c>
      <c r="N2742">
        <v>61.060519499465698</v>
      </c>
      <c r="O2742">
        <v>60.738529562415401</v>
      </c>
      <c r="P2742">
        <v>-0.18217337136916201</v>
      </c>
      <c r="Q2742">
        <v>7.8367970347502397E-2</v>
      </c>
      <c r="R2742">
        <v>0.95693931673963395</v>
      </c>
      <c r="S2742" t="s">
        <v>9359</v>
      </c>
      <c r="T2742" t="s">
        <v>13232</v>
      </c>
      <c r="U2742" t="s">
        <v>13232</v>
      </c>
      <c r="V2742" t="s">
        <v>13232</v>
      </c>
      <c r="W2742" t="s">
        <v>15920</v>
      </c>
      <c r="X2742">
        <v>28</v>
      </c>
      <c r="Y2742" t="s">
        <v>22397</v>
      </c>
      <c r="Z2742" t="s">
        <v>28873</v>
      </c>
      <c r="AA2742">
        <v>0.72129169035211704</v>
      </c>
      <c r="AB2742" t="str">
        <f>HYPERLINK("Melting_Curves/meltCurve_P62258_YWHAE.pdf", "Melting_Curves/meltCurve_P62258_YWHAE.pdf")</f>
        <v>Melting_Curves/meltCurve_P62258_YWHAE.pdf</v>
      </c>
    </row>
    <row r="2743" spans="1:28" x14ac:dyDescent="0.25">
      <c r="A2743" t="s">
        <v>2747</v>
      </c>
      <c r="B2743">
        <v>0.99930955844802105</v>
      </c>
      <c r="C2743">
        <v>0.77108609113040505</v>
      </c>
      <c r="D2743">
        <v>0.45855685091810999</v>
      </c>
      <c r="E2743">
        <v>0.34384930358875099</v>
      </c>
      <c r="F2743">
        <v>0.248596322492174</v>
      </c>
      <c r="G2743">
        <v>0.15815231063583601</v>
      </c>
      <c r="H2743">
        <v>8.6607058790388103E-2</v>
      </c>
      <c r="I2743">
        <v>7.7947616426390004E-2</v>
      </c>
      <c r="J2743">
        <v>6.7603002953242494E-2</v>
      </c>
      <c r="K2743">
        <v>5.3940715316353499E-2</v>
      </c>
      <c r="L2743">
        <v>650.11332476717303</v>
      </c>
      <c r="M2743">
        <v>14.067931719293901</v>
      </c>
      <c r="N2743">
        <v>46.711570825497397</v>
      </c>
      <c r="O2743">
        <v>45.3087104772369</v>
      </c>
      <c r="P2743">
        <v>-7.2215136334151594E-2</v>
      </c>
      <c r="Q2743">
        <v>6.9785376697342194E-2</v>
      </c>
      <c r="R2743">
        <v>0.97675705589425699</v>
      </c>
      <c r="S2743" t="s">
        <v>9360</v>
      </c>
      <c r="T2743" t="s">
        <v>13232</v>
      </c>
      <c r="U2743" t="s">
        <v>13232</v>
      </c>
      <c r="V2743" t="s">
        <v>13232</v>
      </c>
      <c r="W2743" t="s">
        <v>15921</v>
      </c>
      <c r="X2743">
        <v>8</v>
      </c>
      <c r="Y2743" t="s">
        <v>22398</v>
      </c>
      <c r="Z2743" t="s">
        <v>28874</v>
      </c>
      <c r="AA2743">
        <v>0.29290790787467202</v>
      </c>
      <c r="AB2743" t="str">
        <f>HYPERLINK("Melting_Curves/meltCurve_P62263_RPS14.pdf", "Melting_Curves/meltCurve_P62263_RPS14.pdf")</f>
        <v>Melting_Curves/meltCurve_P62263_RPS14.pdf</v>
      </c>
    </row>
    <row r="2744" spans="1:28" x14ac:dyDescent="0.25">
      <c r="A2744" t="s">
        <v>2748</v>
      </c>
      <c r="B2744">
        <v>0.99930955844802105</v>
      </c>
      <c r="C2744">
        <v>0.70447884449462295</v>
      </c>
      <c r="D2744">
        <v>0.49666346271846101</v>
      </c>
      <c r="E2744">
        <v>0.48168662684438002</v>
      </c>
      <c r="F2744">
        <v>0.33303460898312898</v>
      </c>
      <c r="G2744">
        <v>0.19911439153441499</v>
      </c>
      <c r="H2744">
        <v>0.13607120527262001</v>
      </c>
      <c r="I2744">
        <v>0.120790090009015</v>
      </c>
      <c r="J2744">
        <v>0.114289506339519</v>
      </c>
      <c r="K2744">
        <v>8.9904340834351906E-2</v>
      </c>
      <c r="L2744">
        <v>478.31339503586798</v>
      </c>
      <c r="M2744">
        <v>10.1068093959026</v>
      </c>
      <c r="N2744">
        <v>47.975663691182099</v>
      </c>
      <c r="O2744">
        <v>45.585175049379203</v>
      </c>
      <c r="P2744">
        <v>-5.1906891943625202E-2</v>
      </c>
      <c r="Q2744">
        <v>6.3966087539218494E-2</v>
      </c>
      <c r="R2744">
        <v>0.95642150165748396</v>
      </c>
      <c r="S2744" t="s">
        <v>9361</v>
      </c>
      <c r="T2744" t="s">
        <v>13232</v>
      </c>
      <c r="U2744" t="s">
        <v>13232</v>
      </c>
      <c r="V2744" t="s">
        <v>13232</v>
      </c>
      <c r="W2744" t="s">
        <v>15922</v>
      </c>
      <c r="X2744">
        <v>9</v>
      </c>
      <c r="Y2744" t="s">
        <v>22399</v>
      </c>
      <c r="Z2744" t="s">
        <v>28875</v>
      </c>
      <c r="AA2744">
        <v>0.3440076263396038</v>
      </c>
      <c r="AB2744" t="str">
        <f>HYPERLINK("Melting_Curves/meltCurve_P62269_RPS18.pdf", "Melting_Curves/meltCurve_P62269_RPS18.pdf")</f>
        <v>Melting_Curves/meltCurve_P62269_RPS18.pdf</v>
      </c>
    </row>
    <row r="2745" spans="1:28" x14ac:dyDescent="0.25">
      <c r="A2745" t="s">
        <v>2749</v>
      </c>
      <c r="B2745">
        <v>0.99930955844802105</v>
      </c>
      <c r="C2745">
        <v>0.68217923440954897</v>
      </c>
      <c r="D2745">
        <v>0.58860349344683804</v>
      </c>
      <c r="E2745">
        <v>0.48005871396238903</v>
      </c>
      <c r="F2745">
        <v>0.27518709247969703</v>
      </c>
      <c r="G2745">
        <v>0.24023267611697899</v>
      </c>
      <c r="H2745">
        <v>0.14884505922753399</v>
      </c>
      <c r="I2745">
        <v>0.15178589254719399</v>
      </c>
      <c r="J2745">
        <v>0.224864175362948</v>
      </c>
      <c r="K2745">
        <v>0.24607281694277999</v>
      </c>
      <c r="L2745">
        <v>600.87083952610305</v>
      </c>
      <c r="M2745">
        <v>13.032494238995699</v>
      </c>
      <c r="N2745">
        <v>47.722834323400498</v>
      </c>
      <c r="O2745">
        <v>45.060574747983097</v>
      </c>
      <c r="P2745">
        <v>-5.9408438323941201E-2</v>
      </c>
      <c r="Q2745">
        <v>0.17851223824220799</v>
      </c>
      <c r="R2745">
        <v>0.94763758268049803</v>
      </c>
      <c r="S2745" t="s">
        <v>9362</v>
      </c>
      <c r="T2745" t="s">
        <v>13232</v>
      </c>
      <c r="U2745" t="s">
        <v>13232</v>
      </c>
      <c r="V2745" t="s">
        <v>13232</v>
      </c>
      <c r="W2745" t="s">
        <v>15923</v>
      </c>
      <c r="X2745">
        <v>4</v>
      </c>
      <c r="Y2745" t="s">
        <v>22400</v>
      </c>
      <c r="Z2745" t="s">
        <v>28876</v>
      </c>
      <c r="AA2745">
        <v>0.37734611940959339</v>
      </c>
      <c r="AB2745" t="str">
        <f>HYPERLINK("Melting_Curves/meltCurve_P62273_RPS29.pdf", "Melting_Curves/meltCurve_P62273_RPS29.pdf")</f>
        <v>Melting_Curves/meltCurve_P62273_RPS29.pdf</v>
      </c>
    </row>
    <row r="2746" spans="1:28" x14ac:dyDescent="0.25">
      <c r="A2746" t="s">
        <v>2750</v>
      </c>
      <c r="B2746">
        <v>0.99930955844802105</v>
      </c>
      <c r="C2746">
        <v>0.55127963169821603</v>
      </c>
      <c r="D2746">
        <v>0.49864639906121799</v>
      </c>
      <c r="E2746">
        <v>0.37989364635109601</v>
      </c>
      <c r="F2746">
        <v>0.30269348255300799</v>
      </c>
      <c r="G2746">
        <v>0.16927385273249099</v>
      </c>
      <c r="H2746">
        <v>8.6906632897432501E-2</v>
      </c>
      <c r="I2746">
        <v>7.2413641217805497E-2</v>
      </c>
      <c r="J2746">
        <v>5.4382574113002402E-2</v>
      </c>
      <c r="K2746">
        <v>4.3144339241128898E-2</v>
      </c>
      <c r="L2746">
        <v>445.97187962579301</v>
      </c>
      <c r="M2746">
        <v>9.5818969487813295</v>
      </c>
      <c r="N2746">
        <v>46.670897972818899</v>
      </c>
      <c r="O2746">
        <v>44.651338364349897</v>
      </c>
      <c r="P2746">
        <v>-5.2984468054017901E-2</v>
      </c>
      <c r="Q2746">
        <v>1.29408096035739E-2</v>
      </c>
      <c r="R2746">
        <v>0.93305164402768703</v>
      </c>
      <c r="S2746" t="s">
        <v>9363</v>
      </c>
      <c r="T2746" t="s">
        <v>13232</v>
      </c>
      <c r="U2746" t="s">
        <v>13232</v>
      </c>
      <c r="V2746" t="s">
        <v>13232</v>
      </c>
      <c r="W2746" t="s">
        <v>15924</v>
      </c>
      <c r="X2746">
        <v>9</v>
      </c>
      <c r="Y2746" t="s">
        <v>22401</v>
      </c>
      <c r="Z2746" t="s">
        <v>28877</v>
      </c>
      <c r="AA2746">
        <v>0.29129818695662718</v>
      </c>
      <c r="AB2746" t="str">
        <f>HYPERLINK("Melting_Curves/meltCurve_P62277_RPS13.pdf", "Melting_Curves/meltCurve_P62277_RPS13.pdf")</f>
        <v>Melting_Curves/meltCurve_P62277_RPS13.pdf</v>
      </c>
    </row>
    <row r="2747" spans="1:28" x14ac:dyDescent="0.25">
      <c r="A2747" t="s">
        <v>2751</v>
      </c>
      <c r="B2747">
        <v>0.99930955844802105</v>
      </c>
      <c r="C2747">
        <v>0.66644321331122403</v>
      </c>
      <c r="D2747">
        <v>0.51144575348816201</v>
      </c>
      <c r="E2747">
        <v>0.48564613463809803</v>
      </c>
      <c r="F2747">
        <v>0.374080062716036</v>
      </c>
      <c r="G2747">
        <v>0.25355659649724199</v>
      </c>
      <c r="H2747">
        <v>0.166760092090072</v>
      </c>
      <c r="I2747">
        <v>0.146614423414449</v>
      </c>
      <c r="J2747">
        <v>0.135222294455738</v>
      </c>
      <c r="K2747">
        <v>9.7244579226590494E-2</v>
      </c>
      <c r="L2747">
        <v>424.80123764670998</v>
      </c>
      <c r="M2747">
        <v>8.9213345790593905</v>
      </c>
      <c r="N2747">
        <v>48.3749671176245</v>
      </c>
      <c r="O2747">
        <v>45.406186759692901</v>
      </c>
      <c r="P2747">
        <v>-4.5947559395669302E-2</v>
      </c>
      <c r="Q2747">
        <v>6.5279992438523796E-2</v>
      </c>
      <c r="R2747">
        <v>0.94578596368032797</v>
      </c>
      <c r="S2747" t="s">
        <v>9364</v>
      </c>
      <c r="T2747" t="s">
        <v>13232</v>
      </c>
      <c r="U2747" t="s">
        <v>13232</v>
      </c>
      <c r="V2747" t="s">
        <v>13232</v>
      </c>
      <c r="W2747" t="s">
        <v>15925</v>
      </c>
      <c r="X2747">
        <v>8</v>
      </c>
      <c r="Y2747" t="s">
        <v>22402</v>
      </c>
      <c r="Z2747" t="s">
        <v>28878</v>
      </c>
      <c r="AA2747">
        <v>0.36320933013737239</v>
      </c>
      <c r="AB2747" t="str">
        <f>HYPERLINK("Melting_Curves/meltCurve_P62280_RPS11.pdf", "Melting_Curves/meltCurve_P62280_RPS11.pdf")</f>
        <v>Melting_Curves/meltCurve_P62280_RPS11.pdf</v>
      </c>
    </row>
    <row r="2748" spans="1:28" x14ac:dyDescent="0.25">
      <c r="A2748" t="s">
        <v>2752</v>
      </c>
      <c r="B2748">
        <v>0.99930955844802105</v>
      </c>
      <c r="C2748">
        <v>0.78621919272321406</v>
      </c>
      <c r="D2748">
        <v>0.83757604814540199</v>
      </c>
      <c r="E2748">
        <v>0.850588921864187</v>
      </c>
      <c r="F2748">
        <v>0.77246229276539202</v>
      </c>
      <c r="G2748">
        <v>0.57931042954465894</v>
      </c>
      <c r="H2748">
        <v>0.27198006263024399</v>
      </c>
      <c r="I2748">
        <v>0.22024004961323901</v>
      </c>
      <c r="J2748">
        <v>0.15799818184103701</v>
      </c>
      <c r="K2748">
        <v>8.1478629981883904E-2</v>
      </c>
      <c r="L2748">
        <v>659.76758246224097</v>
      </c>
      <c r="M2748">
        <v>11.512122223600599</v>
      </c>
      <c r="N2748">
        <v>57.310680503708397</v>
      </c>
      <c r="O2748">
        <v>55.663181718128399</v>
      </c>
      <c r="P2748">
        <v>-5.1719011874635498E-2</v>
      </c>
      <c r="Q2748">
        <v>0</v>
      </c>
      <c r="R2748">
        <v>0.941873927044663</v>
      </c>
      <c r="S2748" t="s">
        <v>9365</v>
      </c>
      <c r="T2748" t="s">
        <v>13232</v>
      </c>
      <c r="U2748" t="s">
        <v>13232</v>
      </c>
      <c r="V2748" t="s">
        <v>13232</v>
      </c>
      <c r="W2748" t="s">
        <v>15926</v>
      </c>
      <c r="X2748">
        <v>5</v>
      </c>
      <c r="Y2748" t="s">
        <v>22403</v>
      </c>
      <c r="Z2748" t="s">
        <v>28879</v>
      </c>
      <c r="AA2748">
        <v>0.59244899611087143</v>
      </c>
      <c r="AB2748" t="str">
        <f>HYPERLINK("Melting_Curves/meltCurve_P62304_SNRPE.pdf", "Melting_Curves/meltCurve_P62304_SNRPE.pdf")</f>
        <v>Melting_Curves/meltCurve_P62304_SNRPE.pdf</v>
      </c>
    </row>
    <row r="2749" spans="1:28" x14ac:dyDescent="0.25">
      <c r="A2749" t="s">
        <v>2753</v>
      </c>
      <c r="B2749">
        <v>0.99930955844802105</v>
      </c>
      <c r="C2749">
        <v>0.97063658099787598</v>
      </c>
      <c r="D2749">
        <v>1.0242040013507301</v>
      </c>
      <c r="E2749">
        <v>1.1775639998223699</v>
      </c>
      <c r="F2749">
        <v>1.0907078401996799</v>
      </c>
      <c r="G2749">
        <v>0.96525083840622605</v>
      </c>
      <c r="H2749">
        <v>0.63878479014732104</v>
      </c>
      <c r="I2749">
        <v>0.64851096287454901</v>
      </c>
      <c r="J2749">
        <v>0.60440423047679004</v>
      </c>
      <c r="K2749">
        <v>0.39368804278307501</v>
      </c>
      <c r="L2749">
        <v>1781.1694870967101</v>
      </c>
      <c r="M2749">
        <v>29.440924990327801</v>
      </c>
      <c r="O2749">
        <v>60.222708715325297</v>
      </c>
      <c r="P2749">
        <v>-6.2143222300494599E-2</v>
      </c>
      <c r="Q2749">
        <v>0.49153675340447101</v>
      </c>
      <c r="R2749">
        <v>0.87621832638826902</v>
      </c>
      <c r="S2749" t="s">
        <v>9366</v>
      </c>
      <c r="T2749" t="s">
        <v>13232</v>
      </c>
      <c r="U2749" t="s">
        <v>13232</v>
      </c>
      <c r="V2749" t="s">
        <v>13232</v>
      </c>
      <c r="W2749" t="s">
        <v>15927</v>
      </c>
      <c r="X2749">
        <v>3</v>
      </c>
      <c r="Y2749" t="s">
        <v>22404</v>
      </c>
      <c r="Z2749" t="s">
        <v>28880</v>
      </c>
      <c r="AA2749">
        <v>0.8420127776157309</v>
      </c>
      <c r="AB2749" t="str">
        <f>HYPERLINK("Melting_Curves/meltCurve_P62306_SNRPF.pdf", "Melting_Curves/meltCurve_P62306_SNRPF.pdf")</f>
        <v>Melting_Curves/meltCurve_P62306_SNRPF.pdf</v>
      </c>
    </row>
    <row r="2750" spans="1:28" x14ac:dyDescent="0.25">
      <c r="A2750" t="s">
        <v>2754</v>
      </c>
      <c r="B2750">
        <v>0.99930955844802105</v>
      </c>
      <c r="C2750">
        <v>0.88209438170142895</v>
      </c>
      <c r="D2750">
        <v>0.91632549908368299</v>
      </c>
      <c r="E2750">
        <v>1.00605597230168</v>
      </c>
      <c r="F2750">
        <v>0.98883487067012299</v>
      </c>
      <c r="G2750">
        <v>0.73234808282695596</v>
      </c>
      <c r="H2750">
        <v>0.36653691871238903</v>
      </c>
      <c r="I2750">
        <v>0.30104297905094501</v>
      </c>
      <c r="J2750">
        <v>0.24459210265777001</v>
      </c>
      <c r="K2750">
        <v>0.11585449828706799</v>
      </c>
      <c r="L2750">
        <v>1517.27755121306</v>
      </c>
      <c r="M2750">
        <v>25.839830382062001</v>
      </c>
      <c r="N2750">
        <v>59.656372922538502</v>
      </c>
      <c r="O2750">
        <v>58.370260066874003</v>
      </c>
      <c r="P2750">
        <v>-9.2200571222571998E-2</v>
      </c>
      <c r="Q2750">
        <v>0.16691280018711699</v>
      </c>
      <c r="R2750">
        <v>0.97252779365006503</v>
      </c>
      <c r="S2750" t="s">
        <v>9367</v>
      </c>
      <c r="T2750" t="s">
        <v>13232</v>
      </c>
      <c r="U2750" t="s">
        <v>13232</v>
      </c>
      <c r="V2750" t="s">
        <v>13232</v>
      </c>
      <c r="W2750" t="s">
        <v>15928</v>
      </c>
      <c r="X2750">
        <v>4</v>
      </c>
      <c r="Y2750" t="s">
        <v>22405</v>
      </c>
      <c r="Z2750" t="s">
        <v>28881</v>
      </c>
      <c r="AA2750">
        <v>0.69339532995627962</v>
      </c>
      <c r="AB2750" t="str">
        <f>HYPERLINK("Melting_Curves/meltCurve_P62308_SNRPG.pdf", "Melting_Curves/meltCurve_P62308_SNRPG.pdf")</f>
        <v>Melting_Curves/meltCurve_P62308_SNRPG.pdf</v>
      </c>
    </row>
    <row r="2751" spans="1:28" x14ac:dyDescent="0.25">
      <c r="A2751" t="s">
        <v>2755</v>
      </c>
      <c r="B2751">
        <v>0.99930955844802105</v>
      </c>
      <c r="C2751">
        <v>1.05236090991301</v>
      </c>
      <c r="D2751">
        <v>1.0756693377140401</v>
      </c>
      <c r="E2751">
        <v>0.99712848449853397</v>
      </c>
      <c r="F2751">
        <v>0.97266377300352103</v>
      </c>
      <c r="G2751">
        <v>0.80422239529547401</v>
      </c>
      <c r="H2751">
        <v>0.64775747091624003</v>
      </c>
      <c r="I2751">
        <v>0.54781079443732505</v>
      </c>
      <c r="J2751">
        <v>0.59304565011306798</v>
      </c>
      <c r="K2751">
        <v>0.39656320790303601</v>
      </c>
      <c r="L2751">
        <v>1067.7383535353399</v>
      </c>
      <c r="M2751">
        <v>17.901196047054299</v>
      </c>
      <c r="N2751">
        <v>66.903670872169002</v>
      </c>
      <c r="O2751">
        <v>58.916801562745299</v>
      </c>
      <c r="P2751">
        <v>-4.3429741634041799E-2</v>
      </c>
      <c r="Q2751">
        <v>0.42828119466139902</v>
      </c>
      <c r="R2751">
        <v>0.95477589969167198</v>
      </c>
      <c r="S2751" t="s">
        <v>9368</v>
      </c>
      <c r="T2751" t="s">
        <v>13232</v>
      </c>
      <c r="U2751" t="s">
        <v>13232</v>
      </c>
      <c r="V2751" t="s">
        <v>13232</v>
      </c>
      <c r="W2751" t="s">
        <v>15929</v>
      </c>
      <c r="X2751">
        <v>4</v>
      </c>
      <c r="Y2751" t="s">
        <v>22406</v>
      </c>
      <c r="Z2751" t="s">
        <v>28882</v>
      </c>
      <c r="AA2751">
        <v>0.80791723227540735</v>
      </c>
      <c r="AB2751" t="str">
        <f>HYPERLINK("Melting_Curves/meltCurve_P62310_LSM3.pdf", "Melting_Curves/meltCurve_P62310_LSM3.pdf")</f>
        <v>Melting_Curves/meltCurve_P62310_LSM3.pdf</v>
      </c>
    </row>
    <row r="2752" spans="1:28" x14ac:dyDescent="0.25">
      <c r="A2752" t="s">
        <v>2756</v>
      </c>
      <c r="B2752">
        <v>0.99930955844802105</v>
      </c>
      <c r="C2752">
        <v>1.02682377218465</v>
      </c>
      <c r="D2752">
        <v>1.1068930924191001</v>
      </c>
      <c r="E2752">
        <v>1.0002271624276999</v>
      </c>
      <c r="F2752">
        <v>1.05699098397332</v>
      </c>
      <c r="G2752">
        <v>0.91900636604142305</v>
      </c>
      <c r="H2752">
        <v>0.68031408838943397</v>
      </c>
      <c r="I2752">
        <v>0.56954312094040505</v>
      </c>
      <c r="J2752">
        <v>0.46946636598903102</v>
      </c>
      <c r="K2752">
        <v>0.26336245934457297</v>
      </c>
      <c r="L2752">
        <v>1097.9254049800099</v>
      </c>
      <c r="M2752">
        <v>17.1805364939102</v>
      </c>
      <c r="N2752">
        <v>65.179723621519003</v>
      </c>
      <c r="O2752">
        <v>63.058242031276698</v>
      </c>
      <c r="P2752">
        <v>-5.8399409757011501E-2</v>
      </c>
      <c r="Q2752">
        <v>0.14267035086677701</v>
      </c>
      <c r="R2752">
        <v>0.96435801320043202</v>
      </c>
      <c r="S2752" t="s">
        <v>9369</v>
      </c>
      <c r="T2752" t="s">
        <v>13232</v>
      </c>
      <c r="U2752" t="s">
        <v>13232</v>
      </c>
      <c r="V2752" t="s">
        <v>13232</v>
      </c>
      <c r="W2752" t="s">
        <v>15930</v>
      </c>
      <c r="X2752">
        <v>8</v>
      </c>
      <c r="Y2752" t="s">
        <v>22407</v>
      </c>
      <c r="Z2752" t="s">
        <v>28883</v>
      </c>
      <c r="AA2752">
        <v>0.8170677056249066</v>
      </c>
      <c r="AB2752" t="str">
        <f>HYPERLINK("Melting_Curves/meltCurve_P62312_LSM6.pdf", "Melting_Curves/meltCurve_P62312_LSM6.pdf")</f>
        <v>Melting_Curves/meltCurve_P62312_LSM6.pdf</v>
      </c>
    </row>
    <row r="2753" spans="1:28" x14ac:dyDescent="0.25">
      <c r="A2753" t="s">
        <v>2757</v>
      </c>
      <c r="B2753">
        <v>0.99930955844802105</v>
      </c>
      <c r="C2753">
        <v>0.82326585213178205</v>
      </c>
      <c r="D2753">
        <v>0.85289719133131003</v>
      </c>
      <c r="E2753">
        <v>0.91961304638533303</v>
      </c>
      <c r="F2753">
        <v>0.89902868845133099</v>
      </c>
      <c r="G2753">
        <v>0.66533126744655402</v>
      </c>
      <c r="H2753">
        <v>0.35297555628538402</v>
      </c>
      <c r="I2753">
        <v>0.28419187108308802</v>
      </c>
      <c r="J2753">
        <v>0.22637798747186699</v>
      </c>
      <c r="K2753">
        <v>0.14077328634714201</v>
      </c>
      <c r="L2753">
        <v>916.23621530927699</v>
      </c>
      <c r="M2753">
        <v>15.637602405228201</v>
      </c>
      <c r="N2753">
        <v>59.296919870782901</v>
      </c>
      <c r="O2753">
        <v>57.6587567266535</v>
      </c>
      <c r="P2753">
        <v>-6.2055557129432899E-2</v>
      </c>
      <c r="Q2753">
        <v>8.4836620572982094E-2</v>
      </c>
      <c r="R2753">
        <v>0.94343752330240704</v>
      </c>
      <c r="S2753" t="s">
        <v>9370</v>
      </c>
      <c r="T2753" t="s">
        <v>13232</v>
      </c>
      <c r="U2753" t="s">
        <v>13232</v>
      </c>
      <c r="V2753" t="s">
        <v>13232</v>
      </c>
      <c r="W2753" t="s">
        <v>15931</v>
      </c>
      <c r="X2753">
        <v>5</v>
      </c>
      <c r="Y2753" t="s">
        <v>22408</v>
      </c>
      <c r="Z2753" t="s">
        <v>28884</v>
      </c>
      <c r="AA2753">
        <v>0.66278521540699253</v>
      </c>
      <c r="AB2753" t="str">
        <f>HYPERLINK("Melting_Curves/meltCurve_P62314_SNRPD1.pdf", "Melting_Curves/meltCurve_P62314_SNRPD1.pdf")</f>
        <v>Melting_Curves/meltCurve_P62314_SNRPD1.pdf</v>
      </c>
    </row>
    <row r="2754" spans="1:28" x14ac:dyDescent="0.25">
      <c r="A2754" t="s">
        <v>2758</v>
      </c>
      <c r="B2754">
        <v>0.99930955844802105</v>
      </c>
      <c r="C2754">
        <v>0.94734566413223198</v>
      </c>
      <c r="D2754">
        <v>1.0127152381820701</v>
      </c>
      <c r="E2754">
        <v>1.18084826000624</v>
      </c>
      <c r="F2754">
        <v>1.3247274809412299</v>
      </c>
      <c r="G2754">
        <v>1.05690484890407</v>
      </c>
      <c r="H2754">
        <v>0.57270642788447901</v>
      </c>
      <c r="I2754">
        <v>0.451003739883442</v>
      </c>
      <c r="J2754">
        <v>0.37184812555673502</v>
      </c>
      <c r="K2754">
        <v>0.205084405920435</v>
      </c>
      <c r="L2754">
        <v>2858.77469272495</v>
      </c>
      <c r="M2754">
        <v>47.097258252582797</v>
      </c>
      <c r="N2754">
        <v>61.985992170456498</v>
      </c>
      <c r="O2754">
        <v>60.590244554719803</v>
      </c>
      <c r="P2754">
        <v>-0.13371884797613001</v>
      </c>
      <c r="Q2754">
        <v>0.31188772527487202</v>
      </c>
      <c r="R2754">
        <v>0.86753005672661399</v>
      </c>
      <c r="S2754" t="s">
        <v>9371</v>
      </c>
      <c r="T2754" t="s">
        <v>13232</v>
      </c>
      <c r="U2754" t="s">
        <v>13232</v>
      </c>
      <c r="V2754" t="s">
        <v>13232</v>
      </c>
      <c r="W2754" t="s">
        <v>15932</v>
      </c>
      <c r="X2754">
        <v>14</v>
      </c>
      <c r="Y2754" t="s">
        <v>22409</v>
      </c>
      <c r="Z2754" t="s">
        <v>28885</v>
      </c>
      <c r="AA2754">
        <v>0.78866989257169473</v>
      </c>
      <c r="AB2754" t="str">
        <f>HYPERLINK("Melting_Curves/meltCurve_P62316_SNRPD2.pdf", "Melting_Curves/meltCurve_P62316_SNRPD2.pdf")</f>
        <v>Melting_Curves/meltCurve_P62316_SNRPD2.pdf</v>
      </c>
    </row>
    <row r="2755" spans="1:28" x14ac:dyDescent="0.25">
      <c r="A2755" t="s">
        <v>2759</v>
      </c>
      <c r="B2755">
        <v>0.99930955844802105</v>
      </c>
      <c r="C2755">
        <v>1.3103434592827401</v>
      </c>
      <c r="D2755">
        <v>1.3750672576697001</v>
      </c>
      <c r="E2755">
        <v>1.45480472156689</v>
      </c>
      <c r="F2755">
        <v>1.3646367399661199</v>
      </c>
      <c r="G2755">
        <v>1.5209325935601301</v>
      </c>
      <c r="H2755">
        <v>1.65389190452942</v>
      </c>
      <c r="I2755">
        <v>1.77142835207283</v>
      </c>
      <c r="J2755">
        <v>1.6677220707061</v>
      </c>
      <c r="K2755">
        <v>1.2920523378643001</v>
      </c>
      <c r="L2755">
        <v>1012.25342597053</v>
      </c>
      <c r="M2755">
        <v>23.544916820645302</v>
      </c>
      <c r="O2755">
        <v>42.685913187023097</v>
      </c>
      <c r="P2755">
        <v>6.8949330711169696E-2</v>
      </c>
      <c r="Q2755">
        <v>1.5</v>
      </c>
      <c r="R2755">
        <v>0.56606227230750805</v>
      </c>
      <c r="S2755" t="s">
        <v>9372</v>
      </c>
      <c r="T2755" t="s">
        <v>13232</v>
      </c>
      <c r="U2755" t="s">
        <v>13232</v>
      </c>
      <c r="V2755" t="s">
        <v>13232</v>
      </c>
      <c r="W2755" t="s">
        <v>15933</v>
      </c>
      <c r="X2755">
        <v>9</v>
      </c>
      <c r="Y2755" t="s">
        <v>22410</v>
      </c>
      <c r="Z2755" t="s">
        <v>28886</v>
      </c>
      <c r="AA2755">
        <v>1.441902604008747</v>
      </c>
      <c r="AB2755" t="str">
        <f>HYPERLINK("Melting_Curves/meltCurve_P62328_TMSB4X.pdf", "Melting_Curves/meltCurve_P62328_TMSB4X.pdf")</f>
        <v>Melting_Curves/meltCurve_P62328_TMSB4X.pdf</v>
      </c>
    </row>
    <row r="2756" spans="1:28" x14ac:dyDescent="0.25">
      <c r="A2756" t="s">
        <v>2760</v>
      </c>
      <c r="B2756">
        <v>0.99930955844802105</v>
      </c>
      <c r="C2756">
        <v>0.98249234293133103</v>
      </c>
      <c r="D2756">
        <v>0.848479328330352</v>
      </c>
      <c r="E2756">
        <v>0.66089482387268506</v>
      </c>
      <c r="F2756">
        <v>0.308687964620592</v>
      </c>
      <c r="G2756">
        <v>0.180313060031209</v>
      </c>
      <c r="H2756">
        <v>0.13264153529457401</v>
      </c>
      <c r="I2756">
        <v>0.1118014900661</v>
      </c>
      <c r="J2756">
        <v>0.159777907038294</v>
      </c>
      <c r="K2756">
        <v>8.0095337737675396E-2</v>
      </c>
      <c r="L2756">
        <v>1074.49822253607</v>
      </c>
      <c r="M2756">
        <v>21.254852758364599</v>
      </c>
      <c r="N2756">
        <v>51.136166603212601</v>
      </c>
      <c r="O2756">
        <v>50.111971612391201</v>
      </c>
      <c r="P2756">
        <v>-9.4628250840465999E-2</v>
      </c>
      <c r="Q2756">
        <v>0.107613324077106</v>
      </c>
      <c r="R2756">
        <v>0.99168311286913302</v>
      </c>
      <c r="S2756" t="s">
        <v>9373</v>
      </c>
      <c r="T2756" t="s">
        <v>13232</v>
      </c>
      <c r="U2756" t="s">
        <v>13232</v>
      </c>
      <c r="V2756" t="s">
        <v>13232</v>
      </c>
      <c r="W2756" t="s">
        <v>15934</v>
      </c>
      <c r="X2756">
        <v>4</v>
      </c>
      <c r="Y2756" t="s">
        <v>22411</v>
      </c>
      <c r="Z2756" t="s">
        <v>28887</v>
      </c>
      <c r="AA2756">
        <v>0.43256065411712052</v>
      </c>
      <c r="AB2756" t="str">
        <f>HYPERLINK("Melting_Curves/meltCurve_P62330_ARF6.pdf", "Melting_Curves/meltCurve_P62330_ARF6.pdf")</f>
        <v>Melting_Curves/meltCurve_P62330_ARF6.pdf</v>
      </c>
    </row>
    <row r="2757" spans="1:28" x14ac:dyDescent="0.25">
      <c r="A2757" t="s">
        <v>2761</v>
      </c>
      <c r="B2757">
        <v>0.99930955844802105</v>
      </c>
      <c r="C2757">
        <v>0.62879799094595401</v>
      </c>
      <c r="D2757">
        <v>0.51074580020435201</v>
      </c>
      <c r="E2757">
        <v>0.39934450588920201</v>
      </c>
      <c r="F2757">
        <v>0.21022196068110799</v>
      </c>
      <c r="G2757">
        <v>0.13442823329325901</v>
      </c>
      <c r="H2757">
        <v>6.6211224659537299E-2</v>
      </c>
      <c r="I2757">
        <v>5.1783431083066302E-2</v>
      </c>
      <c r="J2757">
        <v>4.3960713491182003E-2</v>
      </c>
      <c r="K2757">
        <v>3.3308063038763297E-2</v>
      </c>
      <c r="L2757">
        <v>520.513363554394</v>
      </c>
      <c r="M2757">
        <v>11.1548375096953</v>
      </c>
      <c r="N2757">
        <v>46.765961318355799</v>
      </c>
      <c r="O2757">
        <v>45.238244604050898</v>
      </c>
      <c r="P2757">
        <v>-6.09136238294379E-2</v>
      </c>
      <c r="Q2757">
        <v>1.2179337719715E-2</v>
      </c>
      <c r="R2757">
        <v>0.96362897745060105</v>
      </c>
      <c r="S2757" t="s">
        <v>9374</v>
      </c>
      <c r="T2757" t="s">
        <v>13232</v>
      </c>
      <c r="U2757" t="s">
        <v>13232</v>
      </c>
      <c r="V2757" t="s">
        <v>13232</v>
      </c>
      <c r="W2757" t="s">
        <v>15935</v>
      </c>
      <c r="X2757">
        <v>33</v>
      </c>
      <c r="Y2757" t="s">
        <v>22412</v>
      </c>
      <c r="Z2757" t="s">
        <v>28888</v>
      </c>
      <c r="AA2757">
        <v>0.28010098258360222</v>
      </c>
      <c r="AB2757" t="str">
        <f>HYPERLINK("Melting_Curves/meltCurve_P62333_PSMC6.pdf", "Melting_Curves/meltCurve_P62333_PSMC6.pdf")</f>
        <v>Melting_Curves/meltCurve_P62333_PSMC6.pdf</v>
      </c>
    </row>
    <row r="2758" spans="1:28" x14ac:dyDescent="0.25">
      <c r="A2758" t="s">
        <v>2762</v>
      </c>
      <c r="B2758">
        <v>0.99930955844802105</v>
      </c>
      <c r="C2758">
        <v>1.07698352285387</v>
      </c>
      <c r="D2758">
        <v>1.0479052528478301</v>
      </c>
      <c r="E2758">
        <v>0.79692251023159799</v>
      </c>
      <c r="F2758">
        <v>0.28288741787815702</v>
      </c>
      <c r="G2758">
        <v>0.144994961762314</v>
      </c>
      <c r="H2758">
        <v>7.7517923031609801E-2</v>
      </c>
      <c r="I2758">
        <v>6.0897600946126999E-2</v>
      </c>
      <c r="J2758">
        <v>5.45340567971178E-2</v>
      </c>
      <c r="K2758">
        <v>3.94989154216039E-2</v>
      </c>
      <c r="L2758">
        <v>2146.03775428781</v>
      </c>
      <c r="M2758">
        <v>41.653889813860602</v>
      </c>
      <c r="N2758">
        <v>51.708991233522298</v>
      </c>
      <c r="O2758">
        <v>51.402382697060602</v>
      </c>
      <c r="P2758">
        <v>-0.18833251562480199</v>
      </c>
      <c r="Q2758">
        <v>7.0365530061193796E-2</v>
      </c>
      <c r="R2758">
        <v>0.99283733655526696</v>
      </c>
      <c r="S2758" t="s">
        <v>9375</v>
      </c>
      <c r="T2758" t="s">
        <v>13232</v>
      </c>
      <c r="U2758" t="s">
        <v>13232</v>
      </c>
      <c r="V2758" t="s">
        <v>13232</v>
      </c>
      <c r="W2758" t="s">
        <v>15936</v>
      </c>
      <c r="X2758">
        <v>6</v>
      </c>
      <c r="Y2758" t="s">
        <v>22413</v>
      </c>
      <c r="Z2758" t="s">
        <v>28889</v>
      </c>
      <c r="AA2758">
        <v>0.43041761640830001</v>
      </c>
      <c r="AB2758" t="str">
        <f>HYPERLINK("Melting_Curves/meltCurve_P62380_TBPL1.pdf", "Melting_Curves/meltCurve_P62380_TBPL1.pdf")</f>
        <v>Melting_Curves/meltCurve_P62380_TBPL1.pdf</v>
      </c>
    </row>
    <row r="2759" spans="1:28" x14ac:dyDescent="0.25">
      <c r="A2759" t="s">
        <v>2763</v>
      </c>
      <c r="B2759">
        <v>0.99930955844802105</v>
      </c>
      <c r="C2759">
        <v>0.83535548715427399</v>
      </c>
      <c r="D2759">
        <v>0.61531709966224102</v>
      </c>
      <c r="E2759">
        <v>0.47775755075953602</v>
      </c>
      <c r="F2759">
        <v>0.35792040516103002</v>
      </c>
      <c r="G2759">
        <v>0.26090232843615002</v>
      </c>
      <c r="H2759">
        <v>0.195022864586368</v>
      </c>
      <c r="I2759">
        <v>0.191602568180018</v>
      </c>
      <c r="J2759">
        <v>0.214296859083727</v>
      </c>
      <c r="K2759">
        <v>0.171581008973307</v>
      </c>
      <c r="L2759">
        <v>626.427764787819</v>
      </c>
      <c r="M2759">
        <v>13.2123542653976</v>
      </c>
      <c r="N2759">
        <v>49.006672100841797</v>
      </c>
      <c r="O2759">
        <v>46.3656207193049</v>
      </c>
      <c r="P2759">
        <v>-5.8804277246950497E-2</v>
      </c>
      <c r="Q2759">
        <v>0.17469831772066899</v>
      </c>
      <c r="R2759">
        <v>0.98784488386550495</v>
      </c>
      <c r="S2759" t="s">
        <v>9376</v>
      </c>
      <c r="T2759" t="s">
        <v>13232</v>
      </c>
      <c r="U2759" t="s">
        <v>13232</v>
      </c>
      <c r="V2759" t="s">
        <v>13232</v>
      </c>
      <c r="W2759" t="s">
        <v>15937</v>
      </c>
      <c r="X2759">
        <v>14</v>
      </c>
      <c r="Y2759" t="s">
        <v>22414</v>
      </c>
      <c r="Z2759" t="s">
        <v>28890</v>
      </c>
      <c r="AA2759">
        <v>0.40672015700215142</v>
      </c>
      <c r="AB2759" t="str">
        <f>HYPERLINK("Melting_Curves/meltCurve_P62424_RPL7A.pdf", "Melting_Curves/meltCurve_P62424_RPL7A.pdf")</f>
        <v>Melting_Curves/meltCurve_P62424_RPL7A.pdf</v>
      </c>
    </row>
    <row r="2760" spans="1:28" x14ac:dyDescent="0.25">
      <c r="A2760" t="s">
        <v>2764</v>
      </c>
      <c r="B2760">
        <v>0.99930955844802105</v>
      </c>
      <c r="C2760">
        <v>0.945156512809187</v>
      </c>
      <c r="D2760">
        <v>1.0117535515610301</v>
      </c>
      <c r="E2760">
        <v>1.0914616943134701</v>
      </c>
      <c r="F2760">
        <v>1.0393014833513701</v>
      </c>
      <c r="G2760">
        <v>0.83581795989979502</v>
      </c>
      <c r="H2760">
        <v>0.60654168518089502</v>
      </c>
      <c r="I2760">
        <v>0.28417630187829401</v>
      </c>
      <c r="J2760">
        <v>8.3927258829347706E-2</v>
      </c>
      <c r="K2760">
        <v>6.8103828187844703E-2</v>
      </c>
      <c r="L2760">
        <v>1580.34283345828</v>
      </c>
      <c r="M2760">
        <v>25.602756081458999</v>
      </c>
      <c r="N2760">
        <v>61.725477077963198</v>
      </c>
      <c r="O2760">
        <v>61.352625873483298</v>
      </c>
      <c r="P2760">
        <v>-0.10432752751035999</v>
      </c>
      <c r="Q2760">
        <v>0</v>
      </c>
      <c r="R2760">
        <v>0.98612569591435695</v>
      </c>
      <c r="S2760" t="s">
        <v>9377</v>
      </c>
      <c r="T2760" t="s">
        <v>13232</v>
      </c>
      <c r="U2760" t="s">
        <v>13232</v>
      </c>
      <c r="V2760" t="s">
        <v>13232</v>
      </c>
      <c r="W2760" t="s">
        <v>15938</v>
      </c>
      <c r="X2760">
        <v>7</v>
      </c>
      <c r="Y2760" t="s">
        <v>22415</v>
      </c>
      <c r="Z2760" t="s">
        <v>28891</v>
      </c>
      <c r="AA2760">
        <v>0.72933402307514283</v>
      </c>
      <c r="AB2760" t="str">
        <f>HYPERLINK("Melting_Curves/meltCurve_P62487_POLR2G.pdf", "Melting_Curves/meltCurve_P62487_POLR2G.pdf")</f>
        <v>Melting_Curves/meltCurve_P62487_POLR2G.pdf</v>
      </c>
    </row>
    <row r="2761" spans="1:28" x14ac:dyDescent="0.25">
      <c r="A2761" t="s">
        <v>2765</v>
      </c>
      <c r="B2761">
        <v>0.99930955844802105</v>
      </c>
      <c r="C2761">
        <v>1.0725581536529101</v>
      </c>
      <c r="D2761">
        <v>1.06989158143924</v>
      </c>
      <c r="E2761">
        <v>0.90966395568650105</v>
      </c>
      <c r="F2761">
        <v>0.266680439017624</v>
      </c>
      <c r="G2761">
        <v>0.15624550023521999</v>
      </c>
      <c r="H2761">
        <v>9.4571249791742001E-2</v>
      </c>
      <c r="I2761">
        <v>8.1529838643341498E-2</v>
      </c>
      <c r="J2761">
        <v>7.6358877286287694E-2</v>
      </c>
      <c r="K2761">
        <v>5.7695790655001897E-2</v>
      </c>
      <c r="L2761">
        <v>3176.4859177230201</v>
      </c>
      <c r="M2761">
        <v>61.350258616260099</v>
      </c>
      <c r="N2761">
        <v>51.948786923749701</v>
      </c>
      <c r="O2761">
        <v>51.721315935953797</v>
      </c>
      <c r="P2761">
        <v>-0.269209068919673</v>
      </c>
      <c r="Q2761">
        <v>9.2173863622330002E-2</v>
      </c>
      <c r="R2761">
        <v>0.99207434885855506</v>
      </c>
      <c r="S2761" t="s">
        <v>9378</v>
      </c>
      <c r="T2761" t="s">
        <v>13232</v>
      </c>
      <c r="U2761" t="s">
        <v>13232</v>
      </c>
      <c r="V2761" t="s">
        <v>13232</v>
      </c>
      <c r="W2761" t="s">
        <v>15939</v>
      </c>
      <c r="X2761">
        <v>20</v>
      </c>
      <c r="Y2761" t="s">
        <v>22416</v>
      </c>
      <c r="Z2761" t="s">
        <v>28892</v>
      </c>
      <c r="AA2761">
        <v>0.44990779663024638</v>
      </c>
      <c r="AB2761" t="str">
        <f>HYPERLINK("Melting_Curves/meltCurve_P62495_ETF1.pdf", "Melting_Curves/meltCurve_P62495_ETF1.pdf")</f>
        <v>Melting_Curves/meltCurve_P62495_ETF1.pdf</v>
      </c>
    </row>
    <row r="2762" spans="1:28" x14ac:dyDescent="0.25">
      <c r="A2762" t="s">
        <v>2766</v>
      </c>
      <c r="B2762">
        <v>0.99930955844802105</v>
      </c>
      <c r="C2762">
        <v>1.05962690630319</v>
      </c>
      <c r="D2762">
        <v>1.03525809352776</v>
      </c>
      <c r="E2762">
        <v>1.07560930809411</v>
      </c>
      <c r="F2762">
        <v>0.94707667404752205</v>
      </c>
      <c r="G2762">
        <v>0.92302677193538696</v>
      </c>
      <c r="H2762">
        <v>0.94380202437629002</v>
      </c>
      <c r="I2762">
        <v>1.0215457654325</v>
      </c>
      <c r="J2762">
        <v>1.02902571242525</v>
      </c>
      <c r="K2762">
        <v>0.815592089638702</v>
      </c>
      <c r="L2762">
        <v>15000</v>
      </c>
      <c r="M2762">
        <v>212.798930393099</v>
      </c>
      <c r="Q2762">
        <v>0</v>
      </c>
      <c r="R2762">
        <v>0.57252443660848196</v>
      </c>
      <c r="S2762" t="s">
        <v>9379</v>
      </c>
      <c r="T2762" t="s">
        <v>13232</v>
      </c>
      <c r="U2762" t="s">
        <v>13232</v>
      </c>
      <c r="V2762" t="s">
        <v>13232</v>
      </c>
      <c r="W2762" t="s">
        <v>15940</v>
      </c>
      <c r="X2762">
        <v>14</v>
      </c>
      <c r="Y2762" t="s">
        <v>22417</v>
      </c>
      <c r="Z2762" t="s">
        <v>28893</v>
      </c>
      <c r="AA2762">
        <v>0.99780192644567522</v>
      </c>
      <c r="AB2762" t="str">
        <f>HYPERLINK("Melting_Curves/meltCurve_P62633_2_CNBP.pdf", "Melting_Curves/meltCurve_P62633_2_CNBP.pdf")</f>
        <v>Melting_Curves/meltCurve_P62633_2_CNBP.pdf</v>
      </c>
    </row>
    <row r="2763" spans="1:28" x14ac:dyDescent="0.25">
      <c r="A2763" t="s">
        <v>2767</v>
      </c>
      <c r="B2763">
        <v>0.99930955844802105</v>
      </c>
      <c r="C2763">
        <v>1.0245168261576501</v>
      </c>
      <c r="D2763">
        <v>0.914802239310605</v>
      </c>
      <c r="E2763">
        <v>0.90127885324236101</v>
      </c>
      <c r="F2763">
        <v>1.0578083390133299</v>
      </c>
      <c r="G2763">
        <v>0.95164093787804205</v>
      </c>
      <c r="H2763">
        <v>0.88426442145274797</v>
      </c>
      <c r="I2763">
        <v>0.91963099150729899</v>
      </c>
      <c r="J2763">
        <v>0.92135046011261701</v>
      </c>
      <c r="K2763">
        <v>0.739716337362471</v>
      </c>
      <c r="L2763">
        <v>665.652463623416</v>
      </c>
      <c r="M2763">
        <v>8.2110428210341908</v>
      </c>
      <c r="Q2763">
        <v>0</v>
      </c>
      <c r="R2763">
        <v>0.54241778431457899</v>
      </c>
      <c r="S2763" t="s">
        <v>9380</v>
      </c>
      <c r="T2763" t="s">
        <v>13232</v>
      </c>
      <c r="U2763" t="s">
        <v>13232</v>
      </c>
      <c r="V2763" t="s">
        <v>13232</v>
      </c>
      <c r="W2763" t="s">
        <v>15941</v>
      </c>
      <c r="X2763">
        <v>14</v>
      </c>
      <c r="Y2763" t="s">
        <v>22417</v>
      </c>
      <c r="Z2763" t="s">
        <v>28894</v>
      </c>
      <c r="AA2763">
        <v>0.95094112843195</v>
      </c>
      <c r="AB2763" t="str">
        <f>HYPERLINK("Melting_Curves/meltCurve_P62633_3_CNBP.pdf", "Melting_Curves/meltCurve_P62633_3_CNBP.pdf")</f>
        <v>Melting_Curves/meltCurve_P62633_3_CNBP.pdf</v>
      </c>
    </row>
    <row r="2764" spans="1:28" x14ac:dyDescent="0.25">
      <c r="A2764" t="s">
        <v>2768</v>
      </c>
      <c r="B2764">
        <v>0.99930955844802105</v>
      </c>
      <c r="C2764">
        <v>1.00294677778598</v>
      </c>
      <c r="D2764">
        <v>1.11481949251018</v>
      </c>
      <c r="E2764">
        <v>1.12511645583661</v>
      </c>
      <c r="F2764">
        <v>0.96021375628316097</v>
      </c>
      <c r="G2764">
        <v>1.0706074133565699</v>
      </c>
      <c r="H2764">
        <v>1.0312880386438099</v>
      </c>
      <c r="I2764">
        <v>1.0256307845568999</v>
      </c>
      <c r="J2764">
        <v>1.1245487326241701</v>
      </c>
      <c r="K2764">
        <v>0.84924979315541904</v>
      </c>
      <c r="L2764">
        <v>15000</v>
      </c>
      <c r="M2764">
        <v>212.55689329538299</v>
      </c>
      <c r="Q2764">
        <v>0</v>
      </c>
      <c r="R2764">
        <v>0.20430816111441299</v>
      </c>
      <c r="S2764" t="s">
        <v>9381</v>
      </c>
      <c r="T2764" t="s">
        <v>13232</v>
      </c>
      <c r="U2764" t="s">
        <v>13232</v>
      </c>
      <c r="V2764" t="s">
        <v>13232</v>
      </c>
      <c r="W2764" t="s">
        <v>15942</v>
      </c>
      <c r="X2764">
        <v>14</v>
      </c>
      <c r="Y2764" t="s">
        <v>22417</v>
      </c>
      <c r="Z2764" t="s">
        <v>28895</v>
      </c>
      <c r="AA2764">
        <v>0.99823793843082465</v>
      </c>
      <c r="AB2764" t="str">
        <f>HYPERLINK("Melting_Curves/meltCurve_P62633_4_CNBP.pdf", "Melting_Curves/meltCurve_P62633_4_CNBP.pdf")</f>
        <v>Melting_Curves/meltCurve_P62633_4_CNBP.pdf</v>
      </c>
    </row>
    <row r="2765" spans="1:28" x14ac:dyDescent="0.25">
      <c r="A2765" t="s">
        <v>2769</v>
      </c>
      <c r="B2765">
        <v>0.99930955844802105</v>
      </c>
      <c r="C2765">
        <v>1.0757114880609699</v>
      </c>
      <c r="D2765">
        <v>0.96101226675472695</v>
      </c>
      <c r="E2765">
        <v>1.07070805925418</v>
      </c>
      <c r="F2765">
        <v>0.95484005800967497</v>
      </c>
      <c r="G2765">
        <v>0.723059813837304</v>
      </c>
      <c r="H2765">
        <v>0.78445650816649004</v>
      </c>
      <c r="I2765">
        <v>0.73697141051575199</v>
      </c>
      <c r="J2765">
        <v>0.73438053334821796</v>
      </c>
      <c r="K2765">
        <v>0.62622530738605198</v>
      </c>
      <c r="L2765">
        <v>13337.1504296682</v>
      </c>
      <c r="M2765">
        <v>250</v>
      </c>
      <c r="O2765">
        <v>53.345191597446998</v>
      </c>
      <c r="P2765">
        <v>-0.326858550723857</v>
      </c>
      <c r="Q2765">
        <v>0.72101870814483304</v>
      </c>
      <c r="R2765">
        <v>0.89252213188472895</v>
      </c>
      <c r="S2765" t="s">
        <v>9382</v>
      </c>
      <c r="T2765" t="s">
        <v>13232</v>
      </c>
      <c r="U2765" t="s">
        <v>13232</v>
      </c>
      <c r="V2765" t="s">
        <v>13232</v>
      </c>
      <c r="W2765" t="s">
        <v>15943</v>
      </c>
      <c r="X2765">
        <v>13</v>
      </c>
      <c r="Y2765" t="s">
        <v>22417</v>
      </c>
      <c r="Z2765" t="s">
        <v>28896</v>
      </c>
      <c r="AA2765">
        <v>0.84517849976888404</v>
      </c>
      <c r="AB2765" t="str">
        <f>HYPERLINK("Melting_Curves/meltCurve_P62633_5_CNBP.pdf", "Melting_Curves/meltCurve_P62633_5_CNBP.pdf")</f>
        <v>Melting_Curves/meltCurve_P62633_5_CNBP.pdf</v>
      </c>
    </row>
    <row r="2766" spans="1:28" x14ac:dyDescent="0.25">
      <c r="A2766" t="s">
        <v>2770</v>
      </c>
      <c r="B2766">
        <v>0.99930955844802105</v>
      </c>
      <c r="C2766">
        <v>0.50910845250179904</v>
      </c>
      <c r="D2766">
        <v>0.56942778236010805</v>
      </c>
      <c r="E2766">
        <v>0.52502579354874701</v>
      </c>
      <c r="F2766">
        <v>0.29004036346104101</v>
      </c>
      <c r="G2766">
        <v>0.155776006938012</v>
      </c>
      <c r="H2766">
        <v>0.11426524416147001</v>
      </c>
      <c r="I2766">
        <v>6.7687325929847997E-2</v>
      </c>
      <c r="J2766">
        <v>7.06658749958642E-2</v>
      </c>
      <c r="K2766">
        <v>5.8615435658175299E-2</v>
      </c>
      <c r="L2766">
        <v>413.02945977707702</v>
      </c>
      <c r="M2766">
        <v>8.6867928509472101</v>
      </c>
      <c r="N2766">
        <v>47.546830371345699</v>
      </c>
      <c r="O2766">
        <v>45.228713288356097</v>
      </c>
      <c r="P2766">
        <v>-4.8055808566444903E-2</v>
      </c>
      <c r="Q2766">
        <v>0</v>
      </c>
      <c r="R2766">
        <v>0.89617007035601903</v>
      </c>
      <c r="S2766" t="s">
        <v>9383</v>
      </c>
      <c r="T2766" t="s">
        <v>13232</v>
      </c>
      <c r="U2766" t="s">
        <v>13232</v>
      </c>
      <c r="V2766" t="s">
        <v>13232</v>
      </c>
      <c r="W2766" t="s">
        <v>15944</v>
      </c>
      <c r="X2766">
        <v>4</v>
      </c>
      <c r="Y2766" t="s">
        <v>22418</v>
      </c>
      <c r="Z2766" t="s">
        <v>28897</v>
      </c>
      <c r="AA2766">
        <v>0.31932935111988009</v>
      </c>
      <c r="AB2766" t="str">
        <f>HYPERLINK("Melting_Curves/meltCurve_P62699_YPEL5.pdf", "Melting_Curves/meltCurve_P62699_YPEL5.pdf")</f>
        <v>Melting_Curves/meltCurve_P62699_YPEL5.pdf</v>
      </c>
    </row>
    <row r="2767" spans="1:28" x14ac:dyDescent="0.25">
      <c r="A2767" t="s">
        <v>2771</v>
      </c>
      <c r="B2767">
        <v>0.99930955844802105</v>
      </c>
      <c r="C2767">
        <v>0.67178232178013997</v>
      </c>
      <c r="D2767">
        <v>0.45070758834809099</v>
      </c>
      <c r="E2767">
        <v>0.33509628227027</v>
      </c>
      <c r="F2767">
        <v>0.21775812821946</v>
      </c>
      <c r="G2767">
        <v>0.11536515484047399</v>
      </c>
      <c r="H2767">
        <v>6.3916930269102307E-2</v>
      </c>
      <c r="I2767">
        <v>5.3836732391253597E-2</v>
      </c>
      <c r="J2767">
        <v>5.1787530237113702E-2</v>
      </c>
      <c r="K2767">
        <v>3.9526648924851103E-2</v>
      </c>
      <c r="L2767">
        <v>604.97177413023496</v>
      </c>
      <c r="M2767">
        <v>13.185705703168701</v>
      </c>
      <c r="N2767">
        <v>46.1908077682684</v>
      </c>
      <c r="O2767">
        <v>44.864092169360497</v>
      </c>
      <c r="P2767">
        <v>-7.0376941879419896E-2</v>
      </c>
      <c r="Q2767">
        <v>4.2335929558114403E-2</v>
      </c>
      <c r="R2767">
        <v>0.97264807682256904</v>
      </c>
      <c r="S2767" t="s">
        <v>9384</v>
      </c>
      <c r="T2767" t="s">
        <v>13232</v>
      </c>
      <c r="U2767" t="s">
        <v>13232</v>
      </c>
      <c r="V2767" t="s">
        <v>13232</v>
      </c>
      <c r="W2767" t="s">
        <v>15945</v>
      </c>
      <c r="X2767">
        <v>13</v>
      </c>
      <c r="Y2767" t="s">
        <v>22419</v>
      </c>
      <c r="Z2767" t="s">
        <v>28898</v>
      </c>
      <c r="AA2767">
        <v>0.26681984509428169</v>
      </c>
      <c r="AB2767" t="str">
        <f>HYPERLINK("Melting_Curves/meltCurve_P62701_RPS4X.pdf", "Melting_Curves/meltCurve_P62701_RPS4X.pdf")</f>
        <v>Melting_Curves/meltCurve_P62701_RPS4X.pdf</v>
      </c>
    </row>
    <row r="2768" spans="1:28" x14ac:dyDescent="0.25">
      <c r="A2768" t="s">
        <v>2772</v>
      </c>
      <c r="B2768">
        <v>0.99930955844802105</v>
      </c>
      <c r="C2768">
        <v>0.90065209543249003</v>
      </c>
      <c r="D2768">
        <v>0.89863652239093705</v>
      </c>
      <c r="E2768">
        <v>0.88333745795239105</v>
      </c>
      <c r="F2768">
        <v>0.78680402771200297</v>
      </c>
      <c r="G2768">
        <v>0.39838966917968699</v>
      </c>
      <c r="H2768">
        <v>0.21777821232914499</v>
      </c>
      <c r="I2768">
        <v>9.9016895962556598E-2</v>
      </c>
      <c r="J2768">
        <v>5.5613314996545898E-2</v>
      </c>
      <c r="K2768">
        <v>4.7176512399221403E-2</v>
      </c>
      <c r="L2768">
        <v>976.05845931741896</v>
      </c>
      <c r="M2768">
        <v>17.4036931553436</v>
      </c>
      <c r="N2768">
        <v>56.120309309413102</v>
      </c>
      <c r="O2768">
        <v>55.358682054341699</v>
      </c>
      <c r="P2768">
        <v>-7.8152451922218702E-2</v>
      </c>
      <c r="Q2768">
        <v>5.6888803807706801E-3</v>
      </c>
      <c r="R2768">
        <v>0.98622509486093002</v>
      </c>
      <c r="S2768" t="s">
        <v>9385</v>
      </c>
      <c r="T2768" t="s">
        <v>13232</v>
      </c>
      <c r="U2768" t="s">
        <v>13232</v>
      </c>
      <c r="V2768" t="s">
        <v>13232</v>
      </c>
      <c r="W2768" t="s">
        <v>15946</v>
      </c>
      <c r="X2768">
        <v>20</v>
      </c>
      <c r="Y2768" t="s">
        <v>22420</v>
      </c>
      <c r="Z2768" t="s">
        <v>28899</v>
      </c>
      <c r="AA2768">
        <v>0.5538982962683171</v>
      </c>
      <c r="AB2768" t="str">
        <f>HYPERLINK("Melting_Curves/meltCurve_P62714_PPP2CB.pdf", "Melting_Curves/meltCurve_P62714_PPP2CB.pdf")</f>
        <v>Melting_Curves/meltCurve_P62714_PPP2CB.pdf</v>
      </c>
    </row>
    <row r="2769" spans="1:28" x14ac:dyDescent="0.25">
      <c r="A2769" t="s">
        <v>2773</v>
      </c>
      <c r="B2769">
        <v>0.99930955844802105</v>
      </c>
      <c r="C2769">
        <v>1.04249930903767</v>
      </c>
      <c r="D2769">
        <v>0.98794842699669405</v>
      </c>
      <c r="E2769">
        <v>1.01101733267508</v>
      </c>
      <c r="F2769">
        <v>0.95124308468667396</v>
      </c>
      <c r="G2769">
        <v>0.77910885343339997</v>
      </c>
      <c r="H2769">
        <v>0.80359997084180801</v>
      </c>
      <c r="I2769">
        <v>0.909870241358958</v>
      </c>
      <c r="J2769">
        <v>0.95504950492724505</v>
      </c>
      <c r="K2769">
        <v>0.72426456539233097</v>
      </c>
      <c r="L2769">
        <v>13296.330880327399</v>
      </c>
      <c r="M2769">
        <v>250</v>
      </c>
      <c r="O2769">
        <v>53.181904142302599</v>
      </c>
      <c r="P2769">
        <v>-0.19464013015255099</v>
      </c>
      <c r="Q2769">
        <v>0.83437862663267703</v>
      </c>
      <c r="R2769">
        <v>0.64416323063038505</v>
      </c>
      <c r="S2769" t="s">
        <v>9386</v>
      </c>
      <c r="T2769" t="s">
        <v>13232</v>
      </c>
      <c r="U2769" t="s">
        <v>13232</v>
      </c>
      <c r="V2769" t="s">
        <v>13232</v>
      </c>
      <c r="W2769" t="s">
        <v>15947</v>
      </c>
      <c r="X2769">
        <v>10</v>
      </c>
      <c r="Y2769" t="s">
        <v>22421</v>
      </c>
      <c r="Z2769" t="s">
        <v>28900</v>
      </c>
      <c r="AA2769">
        <v>0.90718646529784297</v>
      </c>
      <c r="AB2769" t="str">
        <f>HYPERLINK("Melting_Curves/meltCurve_P62750_RPL23A.pdf", "Melting_Curves/meltCurve_P62750_RPL23A.pdf")</f>
        <v>Melting_Curves/meltCurve_P62750_RPL23A.pdf</v>
      </c>
    </row>
    <row r="2770" spans="1:28" x14ac:dyDescent="0.25">
      <c r="A2770" t="s">
        <v>2774</v>
      </c>
      <c r="B2770">
        <v>0.99930955844802105</v>
      </c>
      <c r="C2770">
        <v>0.817299652856189</v>
      </c>
      <c r="D2770">
        <v>0.80093510529348499</v>
      </c>
      <c r="E2770">
        <v>0.68968367663735097</v>
      </c>
      <c r="F2770">
        <v>0.45490525676927401</v>
      </c>
      <c r="G2770">
        <v>0.28036466870785598</v>
      </c>
      <c r="H2770">
        <v>0.20395353199566299</v>
      </c>
      <c r="I2770">
        <v>0.21806089160488901</v>
      </c>
      <c r="J2770">
        <v>0.275232466689809</v>
      </c>
      <c r="K2770">
        <v>0.18258671382401001</v>
      </c>
      <c r="L2770">
        <v>614.17393171938397</v>
      </c>
      <c r="M2770">
        <v>12.1566160402575</v>
      </c>
      <c r="N2770">
        <v>52.194369023720803</v>
      </c>
      <c r="O2770">
        <v>49.212957564983697</v>
      </c>
      <c r="P2770">
        <v>-5.1804474724692101E-2</v>
      </c>
      <c r="Q2770">
        <v>0.16132313284619601</v>
      </c>
      <c r="R2770">
        <v>0.967364216505602</v>
      </c>
      <c r="S2770" t="s">
        <v>9387</v>
      </c>
      <c r="T2770" t="s">
        <v>13232</v>
      </c>
      <c r="U2770" t="s">
        <v>13232</v>
      </c>
      <c r="V2770" t="s">
        <v>13232</v>
      </c>
      <c r="W2770" t="s">
        <v>15948</v>
      </c>
      <c r="X2770">
        <v>13</v>
      </c>
      <c r="Y2770" t="s">
        <v>22422</v>
      </c>
      <c r="Z2770" t="s">
        <v>28901</v>
      </c>
      <c r="AA2770">
        <v>0.4830766961270862</v>
      </c>
      <c r="AB2770" t="str">
        <f>HYPERLINK("Melting_Curves/meltCurve_P62753_RPS6.pdf", "Melting_Curves/meltCurve_P62753_RPS6.pdf")</f>
        <v>Melting_Curves/meltCurve_P62753_RPS6.pdf</v>
      </c>
    </row>
    <row r="2771" spans="1:28" x14ac:dyDescent="0.25">
      <c r="A2771" t="s">
        <v>2775</v>
      </c>
      <c r="B2771">
        <v>0.99930955844802105</v>
      </c>
      <c r="C2771">
        <v>0.85960647287334901</v>
      </c>
      <c r="D2771">
        <v>0.66917907918388198</v>
      </c>
      <c r="E2771">
        <v>0.388944800065952</v>
      </c>
      <c r="F2771">
        <v>0.19686506671361501</v>
      </c>
      <c r="G2771">
        <v>0.118756089973233</v>
      </c>
      <c r="H2771">
        <v>7.2470449019632302E-2</v>
      </c>
      <c r="I2771">
        <v>6.0826251906113897E-2</v>
      </c>
      <c r="J2771">
        <v>5.3416781134467801E-2</v>
      </c>
      <c r="K2771">
        <v>4.1642583395389003E-2</v>
      </c>
      <c r="L2771">
        <v>765.60311404171898</v>
      </c>
      <c r="M2771">
        <v>15.960880859108</v>
      </c>
      <c r="N2771">
        <v>48.227621754609999</v>
      </c>
      <c r="O2771">
        <v>47.233435838481</v>
      </c>
      <c r="P2771">
        <v>-8.1000503813515298E-2</v>
      </c>
      <c r="Q2771">
        <v>4.1248599272095003E-2</v>
      </c>
      <c r="R2771">
        <v>0.99799179352244305</v>
      </c>
      <c r="S2771" t="s">
        <v>9388</v>
      </c>
      <c r="T2771" t="s">
        <v>13232</v>
      </c>
      <c r="U2771" t="s">
        <v>13232</v>
      </c>
      <c r="V2771" t="s">
        <v>13232</v>
      </c>
      <c r="W2771" t="s">
        <v>15949</v>
      </c>
      <c r="X2771">
        <v>9</v>
      </c>
      <c r="Y2771" t="s">
        <v>22423</v>
      </c>
      <c r="Z2771" t="s">
        <v>28902</v>
      </c>
      <c r="AA2771">
        <v>0.31769358664305353</v>
      </c>
      <c r="AB2771" t="str">
        <f>HYPERLINK("Melting_Curves/meltCurve_P62805_HIST1H4A.pdf", "Melting_Curves/meltCurve_P62805_HIST1H4A.pdf")</f>
        <v>Melting_Curves/meltCurve_P62805_HIST1H4A.pdf</v>
      </c>
    </row>
    <row r="2772" spans="1:28" x14ac:dyDescent="0.25">
      <c r="A2772" t="s">
        <v>2776</v>
      </c>
      <c r="B2772">
        <v>0.99930955844802105</v>
      </c>
      <c r="C2772">
        <v>0.89354817123016705</v>
      </c>
      <c r="D2772">
        <v>0.780247630778935</v>
      </c>
      <c r="E2772">
        <v>0.83808420550375995</v>
      </c>
      <c r="F2772">
        <v>0.72501327855747899</v>
      </c>
      <c r="G2772">
        <v>0.31693965426720999</v>
      </c>
      <c r="H2772">
        <v>0.102020012399738</v>
      </c>
      <c r="I2772">
        <v>7.66783934653337E-2</v>
      </c>
      <c r="J2772">
        <v>6.0030805615321599E-2</v>
      </c>
      <c r="K2772">
        <v>4.6288444667640399E-2</v>
      </c>
      <c r="L2772">
        <v>914.31254510093402</v>
      </c>
      <c r="M2772">
        <v>16.680336648657001</v>
      </c>
      <c r="N2772">
        <v>54.8137711421872</v>
      </c>
      <c r="O2772">
        <v>54.044144039582903</v>
      </c>
      <c r="P2772">
        <v>-7.71658409842053E-2</v>
      </c>
      <c r="Q2772">
        <v>0</v>
      </c>
      <c r="R2772">
        <v>0.96207131474538499</v>
      </c>
      <c r="S2772" t="s">
        <v>9389</v>
      </c>
      <c r="T2772" t="s">
        <v>13232</v>
      </c>
      <c r="U2772" t="s">
        <v>13232</v>
      </c>
      <c r="V2772" t="s">
        <v>13232</v>
      </c>
      <c r="W2772" t="s">
        <v>15950</v>
      </c>
      <c r="X2772">
        <v>15</v>
      </c>
      <c r="Y2772" t="s">
        <v>22424</v>
      </c>
      <c r="Z2772" t="s">
        <v>28903</v>
      </c>
      <c r="AA2772">
        <v>0.51102370091267268</v>
      </c>
      <c r="AB2772" t="str">
        <f>HYPERLINK("Melting_Curves/meltCurve_P62820_RAB1A.pdf", "Melting_Curves/meltCurve_P62820_RAB1A.pdf")</f>
        <v>Melting_Curves/meltCurve_P62820_RAB1A.pdf</v>
      </c>
    </row>
    <row r="2773" spans="1:28" x14ac:dyDescent="0.25">
      <c r="A2773" t="s">
        <v>2777</v>
      </c>
      <c r="B2773">
        <v>0.99930955844802105</v>
      </c>
      <c r="C2773">
        <v>1.0319385711475999</v>
      </c>
      <c r="D2773">
        <v>1.02861879853547</v>
      </c>
      <c r="E2773">
        <v>0.93281227150295398</v>
      </c>
      <c r="F2773">
        <v>0.78562034221390198</v>
      </c>
      <c r="G2773">
        <v>0.52416664572850402</v>
      </c>
      <c r="H2773">
        <v>0.19928504390467799</v>
      </c>
      <c r="I2773">
        <v>7.5952709725193995E-2</v>
      </c>
      <c r="J2773">
        <v>5.3608449736703499E-2</v>
      </c>
      <c r="K2773">
        <v>4.4869948050043199E-2</v>
      </c>
      <c r="L2773">
        <v>1130.72410664518</v>
      </c>
      <c r="M2773">
        <v>19.869518389313399</v>
      </c>
      <c r="N2773">
        <v>56.921647701758602</v>
      </c>
      <c r="O2773">
        <v>56.340451479820999</v>
      </c>
      <c r="P2773">
        <v>-8.7952566689776496E-2</v>
      </c>
      <c r="Q2773">
        <v>2.4676595939375498E-3</v>
      </c>
      <c r="R2773">
        <v>0.99682924352262203</v>
      </c>
      <c r="S2773" t="s">
        <v>9390</v>
      </c>
      <c r="T2773" t="s">
        <v>13232</v>
      </c>
      <c r="U2773" t="s">
        <v>13232</v>
      </c>
      <c r="V2773" t="s">
        <v>13232</v>
      </c>
      <c r="W2773" t="s">
        <v>15951</v>
      </c>
      <c r="X2773">
        <v>15</v>
      </c>
      <c r="Y2773" t="s">
        <v>22425</v>
      </c>
      <c r="Z2773" t="s">
        <v>28904</v>
      </c>
      <c r="AA2773">
        <v>0.57703623836738105</v>
      </c>
      <c r="AB2773" t="str">
        <f>HYPERLINK("Melting_Curves/meltCurve_P62826_RAN.pdf", "Melting_Curves/meltCurve_P62826_RAN.pdf")</f>
        <v>Melting_Curves/meltCurve_P62826_RAN.pdf</v>
      </c>
    </row>
    <row r="2774" spans="1:28" x14ac:dyDescent="0.25">
      <c r="A2774" t="s">
        <v>2778</v>
      </c>
      <c r="B2774">
        <v>0.99930955844802105</v>
      </c>
      <c r="C2774">
        <v>0.90995739759296801</v>
      </c>
      <c r="D2774">
        <v>0.58433201719366301</v>
      </c>
      <c r="E2774">
        <v>0.38833673000293201</v>
      </c>
      <c r="F2774">
        <v>0.25933863241652799</v>
      </c>
      <c r="G2774">
        <v>0.19219707856542301</v>
      </c>
      <c r="H2774">
        <v>0.16018258439938099</v>
      </c>
      <c r="I2774">
        <v>0.18172889357272701</v>
      </c>
      <c r="J2774">
        <v>0.17405141368553301</v>
      </c>
      <c r="K2774">
        <v>0.136077904973917</v>
      </c>
      <c r="L2774">
        <v>873.29524238389001</v>
      </c>
      <c r="M2774">
        <v>18.691351878143401</v>
      </c>
      <c r="N2774">
        <v>47.734627082083897</v>
      </c>
      <c r="O2774">
        <v>46.1969337341284</v>
      </c>
      <c r="P2774">
        <v>-8.4597331034990203E-2</v>
      </c>
      <c r="Q2774">
        <v>0.16368340390264699</v>
      </c>
      <c r="R2774">
        <v>0.99037341008416702</v>
      </c>
      <c r="S2774" t="s">
        <v>9391</v>
      </c>
      <c r="T2774" t="s">
        <v>13232</v>
      </c>
      <c r="U2774" t="s">
        <v>13232</v>
      </c>
      <c r="V2774" t="s">
        <v>13232</v>
      </c>
      <c r="W2774" t="s">
        <v>15952</v>
      </c>
      <c r="X2774">
        <v>7</v>
      </c>
      <c r="Y2774" t="s">
        <v>22426</v>
      </c>
      <c r="Z2774" t="s">
        <v>28905</v>
      </c>
      <c r="AA2774">
        <v>0.36547825215725233</v>
      </c>
      <c r="AB2774" t="str">
        <f>HYPERLINK("Melting_Curves/meltCurve_P62829_RPL23.pdf", "Melting_Curves/meltCurve_P62829_RPL23.pdf")</f>
        <v>Melting_Curves/meltCurve_P62829_RPL23.pdf</v>
      </c>
    </row>
    <row r="2775" spans="1:28" x14ac:dyDescent="0.25">
      <c r="A2775" t="s">
        <v>2779</v>
      </c>
      <c r="B2775">
        <v>0.99930955844802105</v>
      </c>
      <c r="C2775">
        <v>0.93622289781485102</v>
      </c>
      <c r="D2775">
        <v>0.91918901617516902</v>
      </c>
      <c r="E2775">
        <v>0.84435631370709996</v>
      </c>
      <c r="F2775">
        <v>0.59790434949108795</v>
      </c>
      <c r="G2775">
        <v>0.317103658119191</v>
      </c>
      <c r="H2775">
        <v>0.15002939606078899</v>
      </c>
      <c r="I2775">
        <v>0.10799512860779401</v>
      </c>
      <c r="J2775">
        <v>7.6219351621145306E-2</v>
      </c>
      <c r="K2775">
        <v>5.6182097986669198E-2</v>
      </c>
      <c r="L2775">
        <v>935.33296199886604</v>
      </c>
      <c r="M2775">
        <v>17.28926738565</v>
      </c>
      <c r="N2775">
        <v>54.355283797767498</v>
      </c>
      <c r="O2775">
        <v>53.390863028503198</v>
      </c>
      <c r="P2775">
        <v>-7.7792458658078004E-2</v>
      </c>
      <c r="Q2775">
        <v>3.9134219923349499E-2</v>
      </c>
      <c r="R2775">
        <v>0.99620155164698698</v>
      </c>
      <c r="S2775" t="s">
        <v>9392</v>
      </c>
      <c r="T2775" t="s">
        <v>13232</v>
      </c>
      <c r="U2775" t="s">
        <v>13232</v>
      </c>
      <c r="V2775" t="s">
        <v>13232</v>
      </c>
      <c r="W2775" t="s">
        <v>15953</v>
      </c>
      <c r="X2775">
        <v>12</v>
      </c>
      <c r="Y2775" t="s">
        <v>22427</v>
      </c>
      <c r="Z2775" t="s">
        <v>28906</v>
      </c>
      <c r="AA2775">
        <v>0.50696093815650756</v>
      </c>
      <c r="AB2775" t="str">
        <f>HYPERLINK("Melting_Curves/meltCurve_P62834_RAP1A.pdf", "Melting_Curves/meltCurve_P62834_RAP1A.pdf")</f>
        <v>Melting_Curves/meltCurve_P62834_RAP1A.pdf</v>
      </c>
    </row>
    <row r="2776" spans="1:28" x14ac:dyDescent="0.25">
      <c r="A2776" t="s">
        <v>2780</v>
      </c>
      <c r="B2776">
        <v>0.99930955844802105</v>
      </c>
      <c r="C2776">
        <v>1.1854290670310199</v>
      </c>
      <c r="D2776">
        <v>1.23525604091472</v>
      </c>
      <c r="E2776">
        <v>1.01832623297332</v>
      </c>
      <c r="F2776">
        <v>0.89909263683071206</v>
      </c>
      <c r="G2776">
        <v>0.85729049352382802</v>
      </c>
      <c r="H2776">
        <v>0.47708108766105101</v>
      </c>
      <c r="I2776">
        <v>0.155249294257163</v>
      </c>
      <c r="J2776">
        <v>0.110020641027837</v>
      </c>
      <c r="K2776">
        <v>8.2373182983355497E-2</v>
      </c>
      <c r="L2776">
        <v>1792.7207672208699</v>
      </c>
      <c r="M2776">
        <v>29.712875218328598</v>
      </c>
      <c r="N2776">
        <v>60.563710238620999</v>
      </c>
      <c r="O2776">
        <v>60.0634966689978</v>
      </c>
      <c r="P2776">
        <v>-0.117105153154043</v>
      </c>
      <c r="Q2776">
        <v>5.3111170250177801E-2</v>
      </c>
      <c r="R2776">
        <v>0.94579914365495699</v>
      </c>
      <c r="S2776" t="s">
        <v>9393</v>
      </c>
      <c r="T2776" t="s">
        <v>13232</v>
      </c>
      <c r="U2776" t="s">
        <v>13232</v>
      </c>
      <c r="V2776" t="s">
        <v>13232</v>
      </c>
      <c r="W2776" t="s">
        <v>15954</v>
      </c>
      <c r="X2776">
        <v>5</v>
      </c>
      <c r="Y2776" t="s">
        <v>22428</v>
      </c>
      <c r="Z2776" t="s">
        <v>28907</v>
      </c>
      <c r="AA2776">
        <v>0.70060882463351604</v>
      </c>
      <c r="AB2776" t="str">
        <f>HYPERLINK("Melting_Curves/meltCurve_P62837_UBE2D2.pdf", "Melting_Curves/meltCurve_P62837_UBE2D2.pdf")</f>
        <v>Melting_Curves/meltCurve_P62837_UBE2D2.pdf</v>
      </c>
    </row>
    <row r="2777" spans="1:28" x14ac:dyDescent="0.25">
      <c r="A2777" t="s">
        <v>2781</v>
      </c>
      <c r="B2777">
        <v>0.99930955844802105</v>
      </c>
      <c r="C2777">
        <v>0.631258899789224</v>
      </c>
      <c r="D2777">
        <v>0.44663717199562297</v>
      </c>
      <c r="E2777">
        <v>0.34291374807630998</v>
      </c>
      <c r="F2777">
        <v>0.21125361591098701</v>
      </c>
      <c r="G2777">
        <v>0.123133965767372</v>
      </c>
      <c r="H2777">
        <v>6.6344304038625193E-2</v>
      </c>
      <c r="I2777">
        <v>5.5345597210337001E-2</v>
      </c>
      <c r="J2777">
        <v>4.4810733922494898E-2</v>
      </c>
      <c r="K2777">
        <v>3.92185401604579E-2</v>
      </c>
      <c r="L2777">
        <v>578.39084626338399</v>
      </c>
      <c r="M2777">
        <v>12.644102474418499</v>
      </c>
      <c r="N2777">
        <v>46.041615702739101</v>
      </c>
      <c r="O2777">
        <v>44.644974103028296</v>
      </c>
      <c r="P2777">
        <v>-6.8037947871644702E-2</v>
      </c>
      <c r="Q2777">
        <v>3.9250435542014801E-2</v>
      </c>
      <c r="R2777">
        <v>0.96463456278877802</v>
      </c>
      <c r="S2777" t="s">
        <v>9394</v>
      </c>
      <c r="T2777" t="s">
        <v>13232</v>
      </c>
      <c r="U2777" t="s">
        <v>13232</v>
      </c>
      <c r="V2777" t="s">
        <v>13232</v>
      </c>
      <c r="W2777" t="s">
        <v>15955</v>
      </c>
      <c r="X2777">
        <v>3</v>
      </c>
      <c r="Y2777" t="s">
        <v>22429</v>
      </c>
      <c r="Z2777" t="s">
        <v>28908</v>
      </c>
      <c r="AA2777">
        <v>0.26370030058851601</v>
      </c>
      <c r="AB2777" t="str">
        <f>HYPERLINK("Melting_Curves/meltCurve_P62847_2_RPS24.pdf", "Melting_Curves/meltCurve_P62847_2_RPS24.pdf")</f>
        <v>Melting_Curves/meltCurve_P62847_2_RPS24.pdf</v>
      </c>
    </row>
    <row r="2778" spans="1:28" x14ac:dyDescent="0.25">
      <c r="A2778" t="s">
        <v>2782</v>
      </c>
      <c r="B2778">
        <v>0.99930955844802105</v>
      </c>
      <c r="C2778">
        <v>1.20774899417013</v>
      </c>
      <c r="D2778">
        <v>1.18829709127247</v>
      </c>
      <c r="E2778">
        <v>0.96129945694956598</v>
      </c>
      <c r="F2778">
        <v>0.70800348395142199</v>
      </c>
      <c r="G2778">
        <v>0.33730572361257</v>
      </c>
      <c r="H2778">
        <v>0.16747165184167401</v>
      </c>
      <c r="I2778">
        <v>0.13396441996863101</v>
      </c>
      <c r="J2778">
        <v>0.11059501609981599</v>
      </c>
      <c r="K2778">
        <v>0.105948875700971</v>
      </c>
      <c r="L2778">
        <v>1544.9890571461999</v>
      </c>
      <c r="M2778">
        <v>28.297659951966999</v>
      </c>
      <c r="N2778">
        <v>55.108011100568604</v>
      </c>
      <c r="O2778">
        <v>54.327286660033501</v>
      </c>
      <c r="P2778">
        <v>-0.115212052251935</v>
      </c>
      <c r="Q2778">
        <v>0.11524745572711401</v>
      </c>
      <c r="R2778">
        <v>0.95828819908324203</v>
      </c>
      <c r="S2778" t="s">
        <v>9395</v>
      </c>
      <c r="T2778" t="s">
        <v>13232</v>
      </c>
      <c r="U2778" t="s">
        <v>13232</v>
      </c>
      <c r="V2778" t="s">
        <v>13232</v>
      </c>
      <c r="W2778" t="s">
        <v>15956</v>
      </c>
      <c r="X2778">
        <v>4</v>
      </c>
      <c r="Y2778" t="s">
        <v>22430</v>
      </c>
      <c r="Z2778" t="s">
        <v>28909</v>
      </c>
      <c r="AA2778">
        <v>0.55229218571505967</v>
      </c>
      <c r="AB2778" t="str">
        <f>HYPERLINK("Melting_Curves/meltCurve_P62851_RPS25.pdf", "Melting_Curves/meltCurve_P62851_RPS25.pdf")</f>
        <v>Melting_Curves/meltCurve_P62851_RPS25.pdf</v>
      </c>
    </row>
    <row r="2779" spans="1:28" x14ac:dyDescent="0.25">
      <c r="A2779" t="s">
        <v>2783</v>
      </c>
      <c r="B2779">
        <v>0.99930955844802105</v>
      </c>
      <c r="C2779">
        <v>0.53344046910803</v>
      </c>
      <c r="D2779">
        <v>0.45032379403226103</v>
      </c>
      <c r="E2779">
        <v>0.52401879353570902</v>
      </c>
      <c r="F2779">
        <v>0.38904384621546101</v>
      </c>
      <c r="G2779">
        <v>0.214126237699028</v>
      </c>
      <c r="H2779">
        <v>0.116486496720328</v>
      </c>
      <c r="I2779">
        <v>0.101205625202535</v>
      </c>
      <c r="J2779">
        <v>9.4430327525035496E-2</v>
      </c>
      <c r="K2779">
        <v>8.2360396131593794E-2</v>
      </c>
      <c r="L2779">
        <v>362.48037332277897</v>
      </c>
      <c r="M2779">
        <v>7.6142883041266201</v>
      </c>
      <c r="N2779">
        <v>47.605286619746302</v>
      </c>
      <c r="O2779">
        <v>44.654686247578603</v>
      </c>
      <c r="P2779">
        <v>-4.2686657675998198E-2</v>
      </c>
      <c r="Q2779">
        <v>0</v>
      </c>
      <c r="R2779">
        <v>0.87373905188696299</v>
      </c>
      <c r="S2779" t="s">
        <v>9396</v>
      </c>
      <c r="T2779" t="s">
        <v>13232</v>
      </c>
      <c r="U2779" t="s">
        <v>13232</v>
      </c>
      <c r="V2779" t="s">
        <v>13232</v>
      </c>
      <c r="W2779" t="s">
        <v>15957</v>
      </c>
      <c r="X2779">
        <v>3</v>
      </c>
      <c r="Y2779" t="s">
        <v>22431</v>
      </c>
      <c r="Z2779" t="s">
        <v>28910</v>
      </c>
      <c r="AA2779">
        <v>0.33373033856121048</v>
      </c>
      <c r="AB2779" t="str">
        <f>HYPERLINK("Melting_Curves/meltCurve_P62854_RPS26.pdf", "Melting_Curves/meltCurve_P62854_RPS26.pdf")</f>
        <v>Melting_Curves/meltCurve_P62854_RPS26.pdf</v>
      </c>
    </row>
    <row r="2780" spans="1:28" x14ac:dyDescent="0.25">
      <c r="A2780" t="s">
        <v>2784</v>
      </c>
      <c r="B2780">
        <v>0.99930955844802105</v>
      </c>
      <c r="C2780">
        <v>0.95266854299267401</v>
      </c>
      <c r="D2780">
        <v>0.96186693294362902</v>
      </c>
      <c r="E2780">
        <v>0.891072740288121</v>
      </c>
      <c r="F2780">
        <v>0.73283966941509704</v>
      </c>
      <c r="G2780">
        <v>0.63261637086261702</v>
      </c>
      <c r="H2780">
        <v>0.52911390188894902</v>
      </c>
      <c r="I2780">
        <v>0.56995813754847602</v>
      </c>
      <c r="J2780">
        <v>0.52918202284896099</v>
      </c>
      <c r="K2780">
        <v>0.39174589145960298</v>
      </c>
      <c r="L2780">
        <v>646.98291622096303</v>
      </c>
      <c r="M2780">
        <v>11.824178643222</v>
      </c>
      <c r="N2780">
        <v>64.857863753636096</v>
      </c>
      <c r="O2780">
        <v>53.222264128927002</v>
      </c>
      <c r="P2780">
        <v>-3.2150874263397002E-2</v>
      </c>
      <c r="Q2780">
        <v>0.42128558463465099</v>
      </c>
      <c r="R2780">
        <v>0.96548143038496603</v>
      </c>
      <c r="S2780" t="s">
        <v>9397</v>
      </c>
      <c r="T2780" t="s">
        <v>13232</v>
      </c>
      <c r="U2780" t="s">
        <v>13232</v>
      </c>
      <c r="V2780" t="s">
        <v>13232</v>
      </c>
      <c r="W2780" t="s">
        <v>15958</v>
      </c>
      <c r="X2780">
        <v>5</v>
      </c>
      <c r="Y2780" t="s">
        <v>22432</v>
      </c>
      <c r="Z2780" t="s">
        <v>28911</v>
      </c>
      <c r="AA2780">
        <v>0.71936828336719205</v>
      </c>
      <c r="AB2780" t="str">
        <f>HYPERLINK("Melting_Curves/meltCurve_P62857_RPS28.pdf", "Melting_Curves/meltCurve_P62857_RPS28.pdf")</f>
        <v>Melting_Curves/meltCurve_P62857_RPS28.pdf</v>
      </c>
    </row>
    <row r="2781" spans="1:28" x14ac:dyDescent="0.25">
      <c r="A2781" t="s">
        <v>2785</v>
      </c>
      <c r="B2781">
        <v>0.99930955844802105</v>
      </c>
      <c r="C2781">
        <v>1.05063982922397</v>
      </c>
      <c r="D2781">
        <v>1.0056626253798899</v>
      </c>
      <c r="E2781">
        <v>0.84506393286501702</v>
      </c>
      <c r="F2781">
        <v>0.80118131225793099</v>
      </c>
      <c r="G2781">
        <v>0.59837259108125296</v>
      </c>
      <c r="H2781">
        <v>0.52684761669290903</v>
      </c>
      <c r="I2781">
        <v>0.50330944850412196</v>
      </c>
      <c r="J2781">
        <v>0.51632696903050601</v>
      </c>
      <c r="K2781">
        <v>0.41572502146643298</v>
      </c>
      <c r="L2781">
        <v>902.02328342687497</v>
      </c>
      <c r="M2781">
        <v>16.6745637850584</v>
      </c>
      <c r="N2781">
        <v>62.968285283841197</v>
      </c>
      <c r="O2781">
        <v>53.335681883273899</v>
      </c>
      <c r="P2781">
        <v>-4.2810880397407297E-2</v>
      </c>
      <c r="Q2781">
        <v>0.45229264646974898</v>
      </c>
      <c r="R2781">
        <v>0.97744268022785197</v>
      </c>
      <c r="S2781" t="s">
        <v>9398</v>
      </c>
      <c r="T2781" t="s">
        <v>13232</v>
      </c>
      <c r="U2781" t="s">
        <v>13232</v>
      </c>
      <c r="V2781" t="s">
        <v>13232</v>
      </c>
      <c r="W2781" t="s">
        <v>15959</v>
      </c>
      <c r="X2781">
        <v>1</v>
      </c>
      <c r="Y2781" t="s">
        <v>22433</v>
      </c>
      <c r="Z2781" t="s">
        <v>28912</v>
      </c>
      <c r="AA2781">
        <v>0.71938172542189949</v>
      </c>
      <c r="AB2781" t="str">
        <f>HYPERLINK("Melting_Curves/meltCurve_P62861_FAU.pdf", "Melting_Curves/meltCurve_P62861_FAU.pdf")</f>
        <v>Melting_Curves/meltCurve_P62861_FAU.pdf</v>
      </c>
    </row>
    <row r="2782" spans="1:28" x14ac:dyDescent="0.25">
      <c r="A2782" t="s">
        <v>2786</v>
      </c>
      <c r="B2782">
        <v>0.99930955844802105</v>
      </c>
      <c r="C2782">
        <v>0.76018719225759901</v>
      </c>
      <c r="D2782">
        <v>0.60853170622508901</v>
      </c>
      <c r="E2782">
        <v>0.70384578960564703</v>
      </c>
      <c r="F2782">
        <v>0.34628597369596797</v>
      </c>
      <c r="G2782">
        <v>0.18355722666778801</v>
      </c>
      <c r="H2782">
        <v>0.107669656863655</v>
      </c>
      <c r="I2782">
        <v>8.3757778921364406E-2</v>
      </c>
      <c r="J2782">
        <v>7.6796474037078399E-2</v>
      </c>
      <c r="K2782">
        <v>5.59321876413525E-2</v>
      </c>
      <c r="L2782">
        <v>503.74826623398502</v>
      </c>
      <c r="M2782">
        <v>10.0351741148838</v>
      </c>
      <c r="N2782">
        <v>50.198240834316998</v>
      </c>
      <c r="O2782">
        <v>48.327066036544103</v>
      </c>
      <c r="P2782">
        <v>-5.1937718208668299E-2</v>
      </c>
      <c r="Q2782">
        <v>0</v>
      </c>
      <c r="R2782">
        <v>0.939070115857496</v>
      </c>
      <c r="S2782" t="s">
        <v>9399</v>
      </c>
      <c r="T2782" t="s">
        <v>13232</v>
      </c>
      <c r="U2782" t="s">
        <v>13232</v>
      </c>
      <c r="V2782" t="s">
        <v>13232</v>
      </c>
      <c r="W2782" t="s">
        <v>15960</v>
      </c>
      <c r="X2782">
        <v>3</v>
      </c>
      <c r="Y2782" t="s">
        <v>22434</v>
      </c>
      <c r="Z2782" t="s">
        <v>28913</v>
      </c>
      <c r="AA2782">
        <v>0.38421650391594803</v>
      </c>
      <c r="AB2782" t="str">
        <f>HYPERLINK("Melting_Curves/meltCurve_P62873_GNB1.pdf", "Melting_Curves/meltCurve_P62873_GNB1.pdf")</f>
        <v>Melting_Curves/meltCurve_P62873_GNB1.pdf</v>
      </c>
    </row>
    <row r="2783" spans="1:28" x14ac:dyDescent="0.25">
      <c r="A2783" t="s">
        <v>2787</v>
      </c>
      <c r="B2783">
        <v>0.99930955844802105</v>
      </c>
      <c r="C2783">
        <v>0.61629353859726399</v>
      </c>
      <c r="D2783">
        <v>0.68598438869828504</v>
      </c>
      <c r="E2783">
        <v>0.56823907565633103</v>
      </c>
      <c r="F2783">
        <v>0.53759128103064302</v>
      </c>
      <c r="G2783">
        <v>0.42870333637185598</v>
      </c>
      <c r="H2783">
        <v>0.21873416579198901</v>
      </c>
      <c r="I2783">
        <v>0.24400570958096701</v>
      </c>
      <c r="J2783">
        <v>0.17403025696893301</v>
      </c>
      <c r="K2783">
        <v>0.14317041891520901</v>
      </c>
      <c r="L2783">
        <v>325.64843767646403</v>
      </c>
      <c r="M2783">
        <v>6.2662348393737002</v>
      </c>
      <c r="N2783">
        <v>51.968756832265697</v>
      </c>
      <c r="O2783">
        <v>47.427956736670502</v>
      </c>
      <c r="P2783">
        <v>-3.3121836802039402E-2</v>
      </c>
      <c r="Q2783">
        <v>0</v>
      </c>
      <c r="R2783">
        <v>0.90817192982546702</v>
      </c>
      <c r="S2783" t="s">
        <v>9400</v>
      </c>
      <c r="T2783" t="s">
        <v>13232</v>
      </c>
      <c r="U2783" t="s">
        <v>13232</v>
      </c>
      <c r="V2783" t="s">
        <v>13232</v>
      </c>
      <c r="W2783" t="s">
        <v>15961</v>
      </c>
      <c r="X2783">
        <v>2</v>
      </c>
      <c r="Y2783" t="s">
        <v>22435</v>
      </c>
      <c r="Z2783" t="s">
        <v>28914</v>
      </c>
      <c r="AA2783">
        <v>0.45584069552393019</v>
      </c>
      <c r="AB2783" t="str">
        <f>HYPERLINK("Melting_Curves/meltCurve_P62877_RBX1.pdf", "Melting_Curves/meltCurve_P62877_RBX1.pdf")</f>
        <v>Melting_Curves/meltCurve_P62877_RBX1.pdf</v>
      </c>
    </row>
    <row r="2784" spans="1:28" x14ac:dyDescent="0.25">
      <c r="A2784" t="s">
        <v>2788</v>
      </c>
      <c r="B2784">
        <v>0.99930955844802105</v>
      </c>
      <c r="C2784">
        <v>0.57168302781956004</v>
      </c>
      <c r="D2784">
        <v>0.44594732005902898</v>
      </c>
      <c r="E2784">
        <v>0.41106678906522798</v>
      </c>
      <c r="F2784">
        <v>0.39088034979310299</v>
      </c>
      <c r="G2784">
        <v>0.31202604111437798</v>
      </c>
      <c r="H2784">
        <v>0.25541852080209199</v>
      </c>
      <c r="I2784">
        <v>0.25696094777845901</v>
      </c>
      <c r="J2784">
        <v>0.229883015284578</v>
      </c>
      <c r="K2784">
        <v>0.17385452914115901</v>
      </c>
      <c r="L2784">
        <v>804.30251188718501</v>
      </c>
      <c r="M2784">
        <v>18.542548868068401</v>
      </c>
      <c r="N2784">
        <v>45.272072549719802</v>
      </c>
      <c r="O2784">
        <v>42.880995313345203</v>
      </c>
      <c r="P2784">
        <v>-7.8918782967334206E-2</v>
      </c>
      <c r="Q2784">
        <v>0.270010341340788</v>
      </c>
      <c r="R2784">
        <v>0.89409306173874603</v>
      </c>
      <c r="S2784" t="s">
        <v>9401</v>
      </c>
      <c r="T2784" t="s">
        <v>13232</v>
      </c>
      <c r="U2784" t="s">
        <v>13232</v>
      </c>
      <c r="V2784" t="s">
        <v>13232</v>
      </c>
      <c r="W2784" t="s">
        <v>15962</v>
      </c>
      <c r="X2784">
        <v>5</v>
      </c>
      <c r="Y2784" t="s">
        <v>22436</v>
      </c>
      <c r="Z2784" t="s">
        <v>28915</v>
      </c>
      <c r="AA2784">
        <v>0.37090472098083621</v>
      </c>
      <c r="AB2784" t="str">
        <f>HYPERLINK("Melting_Curves/meltCurve_P62913_2_RPL11.pdf", "Melting_Curves/meltCurve_P62913_2_RPL11.pdf")</f>
        <v>Melting_Curves/meltCurve_P62913_2_RPL11.pdf</v>
      </c>
    </row>
    <row r="2785" spans="1:28" x14ac:dyDescent="0.25">
      <c r="A2785" t="s">
        <v>2789</v>
      </c>
      <c r="B2785">
        <v>0.99930955844802105</v>
      </c>
      <c r="C2785">
        <v>0.962316805253847</v>
      </c>
      <c r="D2785">
        <v>1.0781946289862401</v>
      </c>
      <c r="E2785">
        <v>0.935425050167489</v>
      </c>
      <c r="F2785">
        <v>0.34520884517226402</v>
      </c>
      <c r="G2785">
        <v>0.15883200848684301</v>
      </c>
      <c r="H2785">
        <v>9.04468040257147E-2</v>
      </c>
      <c r="I2785">
        <v>7.2677049283928097E-2</v>
      </c>
      <c r="J2785">
        <v>6.2594345117171699E-2</v>
      </c>
      <c r="K2785">
        <v>4.99140900159704E-2</v>
      </c>
      <c r="L2785">
        <v>2964.37595068869</v>
      </c>
      <c r="M2785">
        <v>56.824619428473497</v>
      </c>
      <c r="N2785">
        <v>52.337900588384201</v>
      </c>
      <c r="O2785">
        <v>52.1026221983795</v>
      </c>
      <c r="P2785">
        <v>-0.24958265581815001</v>
      </c>
      <c r="Q2785">
        <v>8.4628954589853006E-2</v>
      </c>
      <c r="R2785">
        <v>0.99248336918494895</v>
      </c>
      <c r="S2785" t="s">
        <v>9402</v>
      </c>
      <c r="T2785" t="s">
        <v>13232</v>
      </c>
      <c r="U2785" t="s">
        <v>13232</v>
      </c>
      <c r="V2785" t="s">
        <v>13232</v>
      </c>
      <c r="W2785" t="s">
        <v>15963</v>
      </c>
      <c r="X2785">
        <v>17</v>
      </c>
      <c r="Y2785" t="s">
        <v>22437</v>
      </c>
      <c r="Z2785" t="s">
        <v>28916</v>
      </c>
      <c r="AA2785">
        <v>0.45750488478635992</v>
      </c>
      <c r="AB2785" t="str">
        <f>HYPERLINK("Melting_Curves/meltCurve_P62937_PPIA.pdf", "Melting_Curves/meltCurve_P62937_PPIA.pdf")</f>
        <v>Melting_Curves/meltCurve_P62937_PPIA.pdf</v>
      </c>
    </row>
    <row r="2786" spans="1:28" x14ac:dyDescent="0.25">
      <c r="A2786" t="s">
        <v>2790</v>
      </c>
      <c r="B2786">
        <v>0.99930955844802105</v>
      </c>
      <c r="C2786">
        <v>0.97543390002233898</v>
      </c>
      <c r="D2786">
        <v>0.94823525329709901</v>
      </c>
      <c r="E2786">
        <v>0.93717918824158197</v>
      </c>
      <c r="F2786">
        <v>0.79717719927606701</v>
      </c>
      <c r="G2786">
        <v>0.69219118388452405</v>
      </c>
      <c r="H2786">
        <v>0.57187531491039101</v>
      </c>
      <c r="I2786">
        <v>0.51414475976248997</v>
      </c>
      <c r="J2786">
        <v>0.39218851495472301</v>
      </c>
      <c r="K2786">
        <v>0.27136887265934201</v>
      </c>
      <c r="L2786">
        <v>523.57227157442503</v>
      </c>
      <c r="M2786">
        <v>8.2926334793776597</v>
      </c>
      <c r="N2786">
        <v>63.137029378243497</v>
      </c>
      <c r="O2786">
        <v>59.7850460251207</v>
      </c>
      <c r="P2786">
        <v>-3.4711156025438901E-2</v>
      </c>
      <c r="Q2786">
        <v>0</v>
      </c>
      <c r="R2786">
        <v>0.99004455966655502</v>
      </c>
      <c r="S2786" t="s">
        <v>9403</v>
      </c>
      <c r="T2786" t="s">
        <v>13232</v>
      </c>
      <c r="U2786" t="s">
        <v>13232</v>
      </c>
      <c r="V2786" t="s">
        <v>13232</v>
      </c>
      <c r="W2786" t="s">
        <v>15964</v>
      </c>
      <c r="X2786">
        <v>7</v>
      </c>
      <c r="Y2786" t="s">
        <v>22438</v>
      </c>
      <c r="Z2786" t="s">
        <v>28917</v>
      </c>
      <c r="AA2786">
        <v>0.72382552123003863</v>
      </c>
      <c r="AB2786" t="str">
        <f>HYPERLINK("Melting_Curves/meltCurve_P62942_FKBP1A.pdf", "Melting_Curves/meltCurve_P62942_FKBP1A.pdf")</f>
        <v>Melting_Curves/meltCurve_P62942_FKBP1A.pdf</v>
      </c>
    </row>
    <row r="2787" spans="1:28" x14ac:dyDescent="0.25">
      <c r="A2787" t="s">
        <v>2791</v>
      </c>
      <c r="B2787">
        <v>0.99930955844802105</v>
      </c>
      <c r="C2787">
        <v>1.4539550195878199</v>
      </c>
      <c r="D2787">
        <v>1.2158570408912199</v>
      </c>
      <c r="E2787">
        <v>1.3337153688748999</v>
      </c>
      <c r="F2787">
        <v>1.22158265123534</v>
      </c>
      <c r="G2787">
        <v>1.1141204211303599</v>
      </c>
      <c r="H2787">
        <v>1.1441235617119301</v>
      </c>
      <c r="I2787">
        <v>1.25467413456424</v>
      </c>
      <c r="J2787">
        <v>1.4803540906524799</v>
      </c>
      <c r="K2787">
        <v>1.1037126334881899</v>
      </c>
      <c r="L2787">
        <v>10246.2832840355</v>
      </c>
      <c r="M2787">
        <v>250</v>
      </c>
      <c r="O2787">
        <v>40.982495384335003</v>
      </c>
      <c r="P2787">
        <v>0.39347631511161602</v>
      </c>
      <c r="Q2787">
        <v>1.2580103548007699</v>
      </c>
      <c r="R2787">
        <v>0.28093529106697201</v>
      </c>
      <c r="S2787" t="s">
        <v>9404</v>
      </c>
      <c r="T2787" t="s">
        <v>13232</v>
      </c>
      <c r="U2787" t="s">
        <v>13232</v>
      </c>
      <c r="V2787" t="s">
        <v>13232</v>
      </c>
      <c r="W2787" t="s">
        <v>15965</v>
      </c>
      <c r="X2787">
        <v>11</v>
      </c>
      <c r="Y2787" t="s">
        <v>22439</v>
      </c>
      <c r="Z2787" t="s">
        <v>28918</v>
      </c>
      <c r="AA2787">
        <v>1.249516491514058</v>
      </c>
      <c r="AB2787" t="str">
        <f>HYPERLINK("Melting_Curves/meltCurve_P62979_RPS27A.pdf", "Melting_Curves/meltCurve_P62979_RPS27A.pdf")</f>
        <v>Melting_Curves/meltCurve_P62979_RPS27A.pdf</v>
      </c>
    </row>
    <row r="2788" spans="1:28" x14ac:dyDescent="0.25">
      <c r="A2788" t="s">
        <v>2792</v>
      </c>
      <c r="B2788">
        <v>0.99930955844802105</v>
      </c>
      <c r="C2788">
        <v>1.0457734288443801</v>
      </c>
      <c r="D2788">
        <v>1.0596824864411201</v>
      </c>
      <c r="E2788">
        <v>0.96499412306580901</v>
      </c>
      <c r="F2788">
        <v>0.801351232693711</v>
      </c>
      <c r="G2788">
        <v>0.51352946732637095</v>
      </c>
      <c r="H2788">
        <v>0.204418531601125</v>
      </c>
      <c r="I2788">
        <v>0.157944533040934</v>
      </c>
      <c r="J2788">
        <v>0.13559504569915601</v>
      </c>
      <c r="K2788">
        <v>0.10782632273452</v>
      </c>
      <c r="L2788">
        <v>1304.70365520633</v>
      </c>
      <c r="M2788">
        <v>23.1687768304242</v>
      </c>
      <c r="N2788">
        <v>56.8695790179071</v>
      </c>
      <c r="O2788">
        <v>55.898526913328503</v>
      </c>
      <c r="P2788">
        <v>-9.3110493823916202E-2</v>
      </c>
      <c r="Q2788">
        <v>0.10143815409042201</v>
      </c>
      <c r="R2788">
        <v>0.99440031790856098</v>
      </c>
      <c r="S2788" t="s">
        <v>9405</v>
      </c>
      <c r="T2788" t="s">
        <v>13232</v>
      </c>
      <c r="U2788" t="s">
        <v>13232</v>
      </c>
      <c r="V2788" t="s">
        <v>13232</v>
      </c>
      <c r="W2788" t="s">
        <v>15966</v>
      </c>
      <c r="X2788">
        <v>17</v>
      </c>
      <c r="Y2788" t="s">
        <v>22440</v>
      </c>
      <c r="Z2788" t="s">
        <v>28919</v>
      </c>
      <c r="AA2788">
        <v>0.59930710763600514</v>
      </c>
      <c r="AB2788" t="str">
        <f>HYPERLINK("Melting_Curves/meltCurve_P62993_GRB2.pdf", "Melting_Curves/meltCurve_P62993_GRB2.pdf")</f>
        <v>Melting_Curves/meltCurve_P62993_GRB2.pdf</v>
      </c>
    </row>
    <row r="2789" spans="1:28" x14ac:dyDescent="0.25">
      <c r="A2789" t="s">
        <v>2793</v>
      </c>
      <c r="B2789">
        <v>0.99930955844802105</v>
      </c>
      <c r="C2789">
        <v>0.782603998219078</v>
      </c>
      <c r="D2789">
        <v>0.74541085946196395</v>
      </c>
      <c r="E2789">
        <v>0.70363443886269195</v>
      </c>
      <c r="F2789">
        <v>0.45442272399045802</v>
      </c>
      <c r="G2789">
        <v>0.310312420967221</v>
      </c>
      <c r="H2789">
        <v>0.18627419116900901</v>
      </c>
      <c r="I2789">
        <v>0.159195903294613</v>
      </c>
      <c r="J2789">
        <v>0.13869208689509499</v>
      </c>
      <c r="K2789">
        <v>0.105768324186765</v>
      </c>
      <c r="L2789">
        <v>466.33628634299703</v>
      </c>
      <c r="M2789">
        <v>8.9080559112677005</v>
      </c>
      <c r="N2789">
        <v>52.349947914391798</v>
      </c>
      <c r="O2789">
        <v>49.913369249902203</v>
      </c>
      <c r="P2789">
        <v>-4.4651270624618197E-2</v>
      </c>
      <c r="Q2789">
        <v>0</v>
      </c>
      <c r="R2789">
        <v>0.97336451071346497</v>
      </c>
      <c r="S2789" t="s">
        <v>9406</v>
      </c>
      <c r="T2789" t="s">
        <v>13232</v>
      </c>
      <c r="U2789" t="s">
        <v>13232</v>
      </c>
      <c r="V2789" t="s">
        <v>13232</v>
      </c>
      <c r="W2789" t="s">
        <v>15967</v>
      </c>
      <c r="X2789">
        <v>5</v>
      </c>
      <c r="Y2789" t="s">
        <v>22441</v>
      </c>
      <c r="Z2789" t="s">
        <v>28920</v>
      </c>
      <c r="AA2789">
        <v>0.45264840046072791</v>
      </c>
      <c r="AB2789" t="str">
        <f>HYPERLINK("Melting_Curves/meltCurve_P62995_3_TRA2B.pdf", "Melting_Curves/meltCurve_P62995_3_TRA2B.pdf")</f>
        <v>Melting_Curves/meltCurve_P62995_3_TRA2B.pdf</v>
      </c>
    </row>
    <row r="2790" spans="1:28" x14ac:dyDescent="0.25">
      <c r="A2790" t="s">
        <v>2794</v>
      </c>
      <c r="B2790">
        <v>0.99930955844802105</v>
      </c>
      <c r="C2790">
        <v>1.3653213887022699</v>
      </c>
      <c r="D2790">
        <v>1.09911433588889</v>
      </c>
      <c r="E2790">
        <v>1.0619917783841299</v>
      </c>
      <c r="F2790">
        <v>0.99105958501773594</v>
      </c>
      <c r="G2790">
        <v>0.314927846867262</v>
      </c>
      <c r="H2790">
        <v>0.104556502220316</v>
      </c>
      <c r="I2790">
        <v>7.85827332097013E-2</v>
      </c>
      <c r="J2790">
        <v>6.4842727768894201E-2</v>
      </c>
      <c r="K2790">
        <v>5.2983734538967799E-2</v>
      </c>
      <c r="L2790">
        <v>3962.0182023474899</v>
      </c>
      <c r="M2790">
        <v>70.549648742212895</v>
      </c>
      <c r="N2790">
        <v>56.287385115970302</v>
      </c>
      <c r="O2790">
        <v>56.114218673727201</v>
      </c>
      <c r="P2790">
        <v>-0.29100074116284202</v>
      </c>
      <c r="Q2790">
        <v>7.4168290112174004E-2</v>
      </c>
      <c r="R2790">
        <v>0.94162645335821404</v>
      </c>
      <c r="S2790" t="s">
        <v>9407</v>
      </c>
      <c r="T2790" t="s">
        <v>13232</v>
      </c>
      <c r="U2790" t="s">
        <v>13232</v>
      </c>
      <c r="V2790" t="s">
        <v>13232</v>
      </c>
      <c r="W2790" t="s">
        <v>15968</v>
      </c>
      <c r="X2790">
        <v>11</v>
      </c>
      <c r="Y2790" t="s">
        <v>22442</v>
      </c>
      <c r="Z2790" t="s">
        <v>28921</v>
      </c>
      <c r="AA2790">
        <v>0.57400980284330716</v>
      </c>
      <c r="AB2790" t="str">
        <f>HYPERLINK("Melting_Curves/meltCurve_P63000_RAC1.pdf", "Melting_Curves/meltCurve_P63000_RAC1.pdf")</f>
        <v>Melting_Curves/meltCurve_P63000_RAC1.pdf</v>
      </c>
    </row>
    <row r="2791" spans="1:28" x14ac:dyDescent="0.25">
      <c r="A2791" t="s">
        <v>2795</v>
      </c>
      <c r="B2791">
        <v>0.99930955844802105</v>
      </c>
      <c r="C2791">
        <v>0.94337278599692498</v>
      </c>
      <c r="D2791">
        <v>0.95094912256623099</v>
      </c>
      <c r="E2791">
        <v>0.89756556159872003</v>
      </c>
      <c r="F2791">
        <v>0.63432152665332797</v>
      </c>
      <c r="G2791">
        <v>0.31867225718035602</v>
      </c>
      <c r="H2791">
        <v>0.12689319896274701</v>
      </c>
      <c r="I2791">
        <v>7.8659010626922196E-2</v>
      </c>
      <c r="J2791">
        <v>5.6777385501756802E-2</v>
      </c>
      <c r="K2791">
        <v>4.60782529118203E-2</v>
      </c>
      <c r="L2791">
        <v>1124.7755448451601</v>
      </c>
      <c r="M2791">
        <v>20.653785812498899</v>
      </c>
      <c r="N2791">
        <v>54.657438027481597</v>
      </c>
      <c r="O2791">
        <v>53.955751405494503</v>
      </c>
      <c r="P2791">
        <v>-9.2236422859429706E-2</v>
      </c>
      <c r="Q2791">
        <v>3.6197459094201398E-2</v>
      </c>
      <c r="R2791">
        <v>0.99693914584163501</v>
      </c>
      <c r="S2791" t="s">
        <v>9408</v>
      </c>
      <c r="T2791" t="s">
        <v>13232</v>
      </c>
      <c r="U2791" t="s">
        <v>13232</v>
      </c>
      <c r="V2791" t="s">
        <v>13232</v>
      </c>
      <c r="W2791" t="s">
        <v>15969</v>
      </c>
      <c r="X2791">
        <v>51</v>
      </c>
      <c r="Y2791" t="s">
        <v>22443</v>
      </c>
      <c r="Z2791" t="s">
        <v>28922</v>
      </c>
      <c r="AA2791">
        <v>0.51305334748977072</v>
      </c>
      <c r="AB2791" t="str">
        <f>HYPERLINK("Melting_Curves/meltCurve_P63010_AP2B1.pdf", "Melting_Curves/meltCurve_P63010_AP2B1.pdf")</f>
        <v>Melting_Curves/meltCurve_P63010_AP2B1.pdf</v>
      </c>
    </row>
    <row r="2792" spans="1:28" x14ac:dyDescent="0.25">
      <c r="A2792" t="s">
        <v>2796</v>
      </c>
      <c r="B2792">
        <v>0.99930955844802105</v>
      </c>
      <c r="C2792">
        <v>1.0281621985460401</v>
      </c>
      <c r="D2792">
        <v>1.0632456730137001</v>
      </c>
      <c r="E2792">
        <v>0.91833964145914704</v>
      </c>
      <c r="F2792">
        <v>1.0855233516188401</v>
      </c>
      <c r="G2792">
        <v>0.86323274342188705</v>
      </c>
      <c r="H2792">
        <v>0.30418964186875902</v>
      </c>
      <c r="I2792">
        <v>0.10399577351284101</v>
      </c>
      <c r="J2792">
        <v>6.7925262985999005E-2</v>
      </c>
      <c r="K2792">
        <v>5.0827836140798797E-2</v>
      </c>
      <c r="L2792">
        <v>2506.9835386483501</v>
      </c>
      <c r="M2792">
        <v>42.136910559961201</v>
      </c>
      <c r="N2792">
        <v>59.663224861055397</v>
      </c>
      <c r="O2792">
        <v>59.3626047264992</v>
      </c>
      <c r="P2792">
        <v>-0.16757994996495701</v>
      </c>
      <c r="Q2792">
        <v>5.5653064548269598E-2</v>
      </c>
      <c r="R2792">
        <v>0.989346068004333</v>
      </c>
      <c r="S2792" t="s">
        <v>9409</v>
      </c>
      <c r="T2792" t="s">
        <v>13232</v>
      </c>
      <c r="U2792" t="s">
        <v>13232</v>
      </c>
      <c r="V2792" t="s">
        <v>13232</v>
      </c>
      <c r="W2792" t="s">
        <v>15970</v>
      </c>
      <c r="X2792">
        <v>26</v>
      </c>
      <c r="Y2792" t="s">
        <v>22444</v>
      </c>
      <c r="Z2792" t="s">
        <v>28923</v>
      </c>
      <c r="AA2792">
        <v>0.67273767660289929</v>
      </c>
      <c r="AB2792" t="str">
        <f>HYPERLINK("Melting_Curves/meltCurve_P63104_YWHAZ.pdf", "Melting_Curves/meltCurve_P63104_YWHAZ.pdf")</f>
        <v>Melting_Curves/meltCurve_P63104_YWHAZ.pdf</v>
      </c>
    </row>
    <row r="2793" spans="1:28" x14ac:dyDescent="0.25">
      <c r="A2793" t="s">
        <v>2797</v>
      </c>
      <c r="B2793">
        <v>0.99930955844802105</v>
      </c>
      <c r="C2793">
        <v>0.99135915988086698</v>
      </c>
      <c r="D2793">
        <v>0.78012523750615004</v>
      </c>
      <c r="E2793">
        <v>0.95534639764516704</v>
      </c>
      <c r="F2793">
        <v>0.83531825985813402</v>
      </c>
      <c r="G2793">
        <v>0.30886531319870603</v>
      </c>
      <c r="H2793">
        <v>0.119321966005018</v>
      </c>
      <c r="I2793">
        <v>8.5608234861808893E-2</v>
      </c>
      <c r="J2793">
        <v>7.5643665018443898E-2</v>
      </c>
      <c r="K2793">
        <v>5.6849415018437002E-2</v>
      </c>
      <c r="L2793">
        <v>1844.8861008624599</v>
      </c>
      <c r="M2793">
        <v>33.373888868750001</v>
      </c>
      <c r="N2793">
        <v>55.5297453373135</v>
      </c>
      <c r="O2793">
        <v>55.081992043425799</v>
      </c>
      <c r="P2793">
        <v>-0.14089192364720701</v>
      </c>
      <c r="Q2793">
        <v>6.9862826117615795E-2</v>
      </c>
      <c r="R2793">
        <v>0.96970749050362504</v>
      </c>
      <c r="S2793" t="s">
        <v>9410</v>
      </c>
      <c r="T2793" t="s">
        <v>13232</v>
      </c>
      <c r="U2793" t="s">
        <v>13232</v>
      </c>
      <c r="V2793" t="s">
        <v>13232</v>
      </c>
      <c r="W2793" t="s">
        <v>15971</v>
      </c>
      <c r="X2793">
        <v>19</v>
      </c>
      <c r="Y2793" t="s">
        <v>22445</v>
      </c>
      <c r="Z2793" t="s">
        <v>28924</v>
      </c>
      <c r="AA2793">
        <v>0.54863886876933454</v>
      </c>
      <c r="AB2793" t="str">
        <f>HYPERLINK("Melting_Curves/meltCurve_P63151_PPP2R2A.pdf", "Melting_Curves/meltCurve_P63151_PPP2R2A.pdf")</f>
        <v>Melting_Curves/meltCurve_P63151_PPP2R2A.pdf</v>
      </c>
    </row>
    <row r="2794" spans="1:28" x14ac:dyDescent="0.25">
      <c r="A2794" t="s">
        <v>2798</v>
      </c>
      <c r="B2794">
        <v>0.99930955844802105</v>
      </c>
      <c r="C2794">
        <v>1.0467150535897001</v>
      </c>
      <c r="D2794">
        <v>1.0144730222117999</v>
      </c>
      <c r="E2794">
        <v>0.94706576455896896</v>
      </c>
      <c r="F2794">
        <v>0.78647554529958397</v>
      </c>
      <c r="G2794">
        <v>0.68363649069561505</v>
      </c>
      <c r="H2794">
        <v>0.73897770638258697</v>
      </c>
      <c r="I2794">
        <v>0.81131347514142804</v>
      </c>
      <c r="J2794">
        <v>0.96538708500304604</v>
      </c>
      <c r="K2794">
        <v>0.69049528162301099</v>
      </c>
      <c r="L2794">
        <v>4046.4124400321698</v>
      </c>
      <c r="M2794">
        <v>79.764390249882695</v>
      </c>
      <c r="O2794">
        <v>50.697722704985097</v>
      </c>
      <c r="P2794">
        <v>-8.7244778822824401E-2</v>
      </c>
      <c r="Q2794">
        <v>0.77819129393445197</v>
      </c>
      <c r="R2794">
        <v>0.68207057040207697</v>
      </c>
      <c r="S2794" t="s">
        <v>9411</v>
      </c>
      <c r="T2794" t="s">
        <v>13232</v>
      </c>
      <c r="U2794" t="s">
        <v>13232</v>
      </c>
      <c r="V2794" t="s">
        <v>13232</v>
      </c>
      <c r="W2794" t="s">
        <v>15972</v>
      </c>
      <c r="X2794">
        <v>5</v>
      </c>
      <c r="Y2794" t="s">
        <v>22446</v>
      </c>
      <c r="Z2794" t="s">
        <v>28925</v>
      </c>
      <c r="AA2794">
        <v>0.8577159914254715</v>
      </c>
      <c r="AB2794" t="str">
        <f>HYPERLINK("Melting_Curves/meltCurve_P63165_SUMO1.pdf", "Melting_Curves/meltCurve_P63165_SUMO1.pdf")</f>
        <v>Melting_Curves/meltCurve_P63165_SUMO1.pdf</v>
      </c>
    </row>
    <row r="2795" spans="1:28" x14ac:dyDescent="0.25">
      <c r="A2795" t="s">
        <v>2799</v>
      </c>
      <c r="B2795">
        <v>0.99930955844802105</v>
      </c>
      <c r="C2795">
        <v>1.1854056112203799</v>
      </c>
      <c r="D2795">
        <v>0.97888080069476902</v>
      </c>
      <c r="E2795">
        <v>0.87243616291890302</v>
      </c>
      <c r="F2795">
        <v>0.482520126281831</v>
      </c>
      <c r="G2795">
        <v>0.32495252104820499</v>
      </c>
      <c r="H2795">
        <v>0.20558828122836401</v>
      </c>
      <c r="I2795">
        <v>0.165083870854878</v>
      </c>
      <c r="J2795">
        <v>0.15621006609848201</v>
      </c>
      <c r="K2795">
        <v>9.6841430117206195E-2</v>
      </c>
      <c r="L2795">
        <v>1333.5508065062299</v>
      </c>
      <c r="M2795">
        <v>25.3088895410954</v>
      </c>
      <c r="N2795">
        <v>53.463708077406402</v>
      </c>
      <c r="O2795">
        <v>52.365322517443502</v>
      </c>
      <c r="P2795">
        <v>-0.10232191470657299</v>
      </c>
      <c r="Q2795">
        <v>0.153174388797061</v>
      </c>
      <c r="R2795">
        <v>0.96868354368182796</v>
      </c>
      <c r="S2795" t="s">
        <v>9412</v>
      </c>
      <c r="T2795" t="s">
        <v>13232</v>
      </c>
      <c r="U2795" t="s">
        <v>13232</v>
      </c>
      <c r="V2795" t="s">
        <v>13232</v>
      </c>
      <c r="W2795" t="s">
        <v>15973</v>
      </c>
      <c r="X2795">
        <v>6</v>
      </c>
      <c r="Y2795" t="s">
        <v>22447</v>
      </c>
      <c r="Z2795" t="s">
        <v>28926</v>
      </c>
      <c r="AA2795">
        <v>0.51900963827078905</v>
      </c>
      <c r="AB2795" t="str">
        <f>HYPERLINK("Melting_Curves/meltCurve_P63167_DYNLL1.pdf", "Melting_Curves/meltCurve_P63167_DYNLL1.pdf")</f>
        <v>Melting_Curves/meltCurve_P63167_DYNLL1.pdf</v>
      </c>
    </row>
    <row r="2796" spans="1:28" x14ac:dyDescent="0.25">
      <c r="A2796" t="s">
        <v>2800</v>
      </c>
      <c r="B2796">
        <v>0.99930955844802105</v>
      </c>
      <c r="C2796">
        <v>0.99147478054164495</v>
      </c>
      <c r="D2796">
        <v>1.18134243488233</v>
      </c>
      <c r="E2796">
        <v>0.91192909230423402</v>
      </c>
      <c r="F2796">
        <v>0.53594963767649495</v>
      </c>
      <c r="G2796">
        <v>0.36570327481716602</v>
      </c>
      <c r="H2796">
        <v>0.246924068717356</v>
      </c>
      <c r="I2796">
        <v>0.22074649826428</v>
      </c>
      <c r="J2796">
        <v>0.210957803121297</v>
      </c>
      <c r="K2796">
        <v>0.16208922524827599</v>
      </c>
      <c r="L2796">
        <v>1687.07679868384</v>
      </c>
      <c r="M2796">
        <v>31.978958759008599</v>
      </c>
      <c r="N2796">
        <v>53.730587687497497</v>
      </c>
      <c r="O2796">
        <v>52.550838895241803</v>
      </c>
      <c r="P2796">
        <v>-0.118650878746642</v>
      </c>
      <c r="Q2796">
        <v>0.22009091620358201</v>
      </c>
      <c r="R2796">
        <v>0.96579228170430798</v>
      </c>
      <c r="S2796" t="s">
        <v>9413</v>
      </c>
      <c r="T2796" t="s">
        <v>13232</v>
      </c>
      <c r="U2796" t="s">
        <v>13232</v>
      </c>
      <c r="V2796" t="s">
        <v>13232</v>
      </c>
      <c r="W2796" t="s">
        <v>15974</v>
      </c>
      <c r="X2796">
        <v>15</v>
      </c>
      <c r="Y2796" t="s">
        <v>22448</v>
      </c>
      <c r="Z2796" t="s">
        <v>28927</v>
      </c>
      <c r="AA2796">
        <v>0.55614722324379406</v>
      </c>
      <c r="AB2796" t="str">
        <f>HYPERLINK("Melting_Curves/meltCurve_P63241_EIF5A.pdf", "Melting_Curves/meltCurve_P63241_EIF5A.pdf")</f>
        <v>Melting_Curves/meltCurve_P63241_EIF5A.pdf</v>
      </c>
    </row>
    <row r="2797" spans="1:28" x14ac:dyDescent="0.25">
      <c r="A2797" t="s">
        <v>2801</v>
      </c>
      <c r="B2797">
        <v>0.99930955844802105</v>
      </c>
      <c r="C2797">
        <v>0.82726368135853201</v>
      </c>
      <c r="D2797">
        <v>0.46025710617082399</v>
      </c>
      <c r="E2797">
        <v>0.301564317631491</v>
      </c>
      <c r="F2797">
        <v>0.15811592252099199</v>
      </c>
      <c r="G2797">
        <v>9.9126330219020897E-2</v>
      </c>
      <c r="H2797">
        <v>6.0252415853090401E-2</v>
      </c>
      <c r="I2797">
        <v>5.12094914677797E-2</v>
      </c>
      <c r="J2797">
        <v>4.5951196949222402E-2</v>
      </c>
      <c r="K2797">
        <v>3.4595023987043401E-2</v>
      </c>
      <c r="L2797">
        <v>802.47203949215498</v>
      </c>
      <c r="M2797">
        <v>17.399752825335</v>
      </c>
      <c r="N2797">
        <v>46.414009313780703</v>
      </c>
      <c r="O2797">
        <v>45.523483297453801</v>
      </c>
      <c r="P2797">
        <v>-9.0568539668869893E-2</v>
      </c>
      <c r="Q2797">
        <v>5.2224957554927599E-2</v>
      </c>
      <c r="R2797">
        <v>0.98692750127057705</v>
      </c>
      <c r="S2797" t="s">
        <v>9414</v>
      </c>
      <c r="T2797" t="s">
        <v>13232</v>
      </c>
      <c r="U2797" t="s">
        <v>13232</v>
      </c>
      <c r="V2797" t="s">
        <v>13232</v>
      </c>
      <c r="W2797" t="s">
        <v>15975</v>
      </c>
      <c r="X2797">
        <v>17</v>
      </c>
      <c r="Y2797" t="s">
        <v>22449</v>
      </c>
      <c r="Z2797" t="s">
        <v>28928</v>
      </c>
      <c r="AA2797">
        <v>0.26545052409772152</v>
      </c>
      <c r="AB2797" t="str">
        <f>HYPERLINK("Melting_Curves/meltCurve_P63244_GNB2L1.pdf", "Melting_Curves/meltCurve_P63244_GNB2L1.pdf")</f>
        <v>Melting_Curves/meltCurve_P63244_GNB2L1.pdf</v>
      </c>
    </row>
    <row r="2798" spans="1:28" x14ac:dyDescent="0.25">
      <c r="A2798" t="s">
        <v>2802</v>
      </c>
      <c r="B2798">
        <v>0.99930955844802105</v>
      </c>
      <c r="C2798">
        <v>0.95042043437615598</v>
      </c>
      <c r="D2798">
        <v>0.67749886842853801</v>
      </c>
      <c r="E2798">
        <v>0.73111941032974703</v>
      </c>
      <c r="F2798">
        <v>0.26402135025962398</v>
      </c>
      <c r="G2798">
        <v>0.12924004241395301</v>
      </c>
      <c r="H2798">
        <v>8.0216119196934402E-2</v>
      </c>
      <c r="I2798">
        <v>6.6448451000781297E-2</v>
      </c>
      <c r="J2798">
        <v>6.0487741207883097E-2</v>
      </c>
      <c r="K2798">
        <v>4.5979047788808902E-2</v>
      </c>
      <c r="L2798">
        <v>749.7570161159</v>
      </c>
      <c r="M2798">
        <v>14.8114650408244</v>
      </c>
      <c r="N2798">
        <v>50.722158034427999</v>
      </c>
      <c r="O2798">
        <v>49.724177980357503</v>
      </c>
      <c r="P2798">
        <v>-7.3381899983424898E-2</v>
      </c>
      <c r="Q2798">
        <v>1.4691032614900601E-2</v>
      </c>
      <c r="R2798">
        <v>0.95537561185486597</v>
      </c>
      <c r="S2798" t="s">
        <v>9415</v>
      </c>
      <c r="T2798" t="s">
        <v>13232</v>
      </c>
      <c r="U2798" t="s">
        <v>13232</v>
      </c>
      <c r="V2798" t="s">
        <v>13232</v>
      </c>
      <c r="W2798" t="s">
        <v>15976</v>
      </c>
      <c r="X2798">
        <v>31</v>
      </c>
      <c r="Y2798" t="s">
        <v>22450</v>
      </c>
      <c r="Z2798" t="s">
        <v>28929</v>
      </c>
      <c r="AA2798">
        <v>0.38702962383351569</v>
      </c>
      <c r="AB2798" t="str">
        <f>HYPERLINK("Melting_Curves/meltCurve_P63261_ACTG1.pdf", "Melting_Curves/meltCurve_P63261_ACTG1.pdf")</f>
        <v>Melting_Curves/meltCurve_P63261_ACTG1.pdf</v>
      </c>
    </row>
    <row r="2799" spans="1:28" x14ac:dyDescent="0.25">
      <c r="A2799" t="s">
        <v>2803</v>
      </c>
      <c r="B2799">
        <v>0.99930955844802105</v>
      </c>
      <c r="C2799">
        <v>0.90709681297997802</v>
      </c>
      <c r="D2799">
        <v>0.819975123560575</v>
      </c>
      <c r="E2799">
        <v>0.57998189471700901</v>
      </c>
      <c r="F2799">
        <v>0.19876415897802699</v>
      </c>
      <c r="G2799">
        <v>0.130922074117757</v>
      </c>
      <c r="H2799">
        <v>8.3676632419418001E-2</v>
      </c>
      <c r="I2799">
        <v>7.2961093319592704E-2</v>
      </c>
      <c r="J2799">
        <v>6.8088574439529606E-2</v>
      </c>
      <c r="K2799">
        <v>5.1907610905366698E-2</v>
      </c>
      <c r="L2799">
        <v>984.28470457752303</v>
      </c>
      <c r="M2799">
        <v>19.764664000754099</v>
      </c>
      <c r="N2799">
        <v>50.082708471048903</v>
      </c>
      <c r="O2799">
        <v>49.2988289080646</v>
      </c>
      <c r="P2799">
        <v>-9.4945527120564394E-2</v>
      </c>
      <c r="Q2799">
        <v>5.2745144932747297E-2</v>
      </c>
      <c r="R2799">
        <v>0.98929298999918303</v>
      </c>
      <c r="S2799" t="s">
        <v>9416</v>
      </c>
      <c r="T2799" t="s">
        <v>13232</v>
      </c>
      <c r="U2799" t="s">
        <v>13232</v>
      </c>
      <c r="V2799" t="s">
        <v>13232</v>
      </c>
      <c r="W2799" t="s">
        <v>15977</v>
      </c>
      <c r="X2799">
        <v>3</v>
      </c>
      <c r="Y2799" t="s">
        <v>22451</v>
      </c>
      <c r="Z2799" t="s">
        <v>28930</v>
      </c>
      <c r="AA2799">
        <v>0.37569737414390458</v>
      </c>
      <c r="AB2799" t="str">
        <f>HYPERLINK("Melting_Curves/meltCurve_P63272_SUPT4H1.pdf", "Melting_Curves/meltCurve_P63272_SUPT4H1.pdf")</f>
        <v>Melting_Curves/meltCurve_P63272_SUPT4H1.pdf</v>
      </c>
    </row>
    <row r="2800" spans="1:28" x14ac:dyDescent="0.25">
      <c r="A2800" t="s">
        <v>2804</v>
      </c>
      <c r="B2800">
        <v>0.99930955844802105</v>
      </c>
      <c r="C2800">
        <v>1.0877353829015499</v>
      </c>
      <c r="D2800">
        <v>1.1069431118720701</v>
      </c>
      <c r="E2800">
        <v>1.0004777203427</v>
      </c>
      <c r="F2800">
        <v>0.64657628486652197</v>
      </c>
      <c r="G2800">
        <v>0.2368300962664</v>
      </c>
      <c r="H2800">
        <v>0.13239426459568801</v>
      </c>
      <c r="I2800">
        <v>0.10400141760161501</v>
      </c>
      <c r="J2800">
        <v>8.8760278722440897E-2</v>
      </c>
      <c r="K2800">
        <v>6.8229567292950502E-2</v>
      </c>
      <c r="L2800">
        <v>1896.04159018981</v>
      </c>
      <c r="M2800">
        <v>35.197353972466097</v>
      </c>
      <c r="N2800">
        <v>54.202422969828099</v>
      </c>
      <c r="O2800">
        <v>53.6958725746155</v>
      </c>
      <c r="P2800">
        <v>-0.147916795883934</v>
      </c>
      <c r="Q2800">
        <v>9.7376115680510397E-2</v>
      </c>
      <c r="R2800">
        <v>0.98671533252320598</v>
      </c>
      <c r="S2800" t="s">
        <v>9417</v>
      </c>
      <c r="T2800" t="s">
        <v>13232</v>
      </c>
      <c r="U2800" t="s">
        <v>13232</v>
      </c>
      <c r="V2800" t="s">
        <v>13232</v>
      </c>
      <c r="W2800" t="s">
        <v>15978</v>
      </c>
      <c r="X2800">
        <v>11</v>
      </c>
      <c r="Y2800" t="s">
        <v>22452</v>
      </c>
      <c r="Z2800" t="s">
        <v>28931</v>
      </c>
      <c r="AA2800">
        <v>0.51898334836733584</v>
      </c>
      <c r="AB2800" t="str">
        <f>HYPERLINK("Melting_Curves/meltCurve_P63279_UBE2I.pdf", "Melting_Curves/meltCurve_P63279_UBE2I.pdf")</f>
        <v>Melting_Curves/meltCurve_P63279_UBE2I.pdf</v>
      </c>
    </row>
    <row r="2801" spans="1:28" x14ac:dyDescent="0.25">
      <c r="A2801" t="s">
        <v>2805</v>
      </c>
      <c r="B2801">
        <v>0.99930955844802105</v>
      </c>
      <c r="C2801">
        <v>1.16508777516192</v>
      </c>
      <c r="D2801">
        <v>1.0986726680499901</v>
      </c>
      <c r="E2801">
        <v>1.11909674337653</v>
      </c>
      <c r="F2801">
        <v>0.940751949715528</v>
      </c>
      <c r="G2801">
        <v>0.838732749489561</v>
      </c>
      <c r="H2801">
        <v>0.60739701464255602</v>
      </c>
      <c r="I2801">
        <v>0.463816806207349</v>
      </c>
      <c r="J2801">
        <v>0.369357627250753</v>
      </c>
      <c r="K2801">
        <v>0.195074452139753</v>
      </c>
      <c r="L2801">
        <v>1060.0260801341101</v>
      </c>
      <c r="M2801">
        <v>17.0233304112426</v>
      </c>
      <c r="N2801">
        <v>63.232858359849303</v>
      </c>
      <c r="O2801">
        <v>61.428770529400303</v>
      </c>
      <c r="P2801">
        <v>-6.1367538046531299E-2</v>
      </c>
      <c r="Q2801">
        <v>0.114273961052693</v>
      </c>
      <c r="R2801">
        <v>0.94447756817845396</v>
      </c>
      <c r="S2801" t="s">
        <v>9418</v>
      </c>
      <c r="T2801" t="s">
        <v>13232</v>
      </c>
      <c r="U2801" t="s">
        <v>13232</v>
      </c>
      <c r="V2801" t="s">
        <v>13232</v>
      </c>
      <c r="W2801" t="s">
        <v>15979</v>
      </c>
      <c r="X2801">
        <v>2</v>
      </c>
      <c r="Y2801" t="s">
        <v>22453</v>
      </c>
      <c r="Z2801" t="s">
        <v>28932</v>
      </c>
      <c r="AA2801">
        <v>0.77096205367526571</v>
      </c>
      <c r="AB2801" t="str">
        <f>HYPERLINK("Melting_Curves/meltCurve_P63302_SEPW1.pdf", "Melting_Curves/meltCurve_P63302_SEPW1.pdf")</f>
        <v>Melting_Curves/meltCurve_P63302_SEPW1.pdf</v>
      </c>
    </row>
    <row r="2802" spans="1:28" x14ac:dyDescent="0.25">
      <c r="A2802" t="s">
        <v>2806</v>
      </c>
      <c r="B2802">
        <v>0.99930955844802105</v>
      </c>
      <c r="C2802">
        <v>1.04541097868237</v>
      </c>
      <c r="D2802">
        <v>1.12338639978446</v>
      </c>
      <c r="E2802">
        <v>0.95858256166773104</v>
      </c>
      <c r="F2802">
        <v>0.77123702112274595</v>
      </c>
      <c r="G2802">
        <v>0.97733808919427201</v>
      </c>
      <c r="H2802">
        <v>0.844025197479222</v>
      </c>
      <c r="I2802">
        <v>1.1080512297391401</v>
      </c>
      <c r="J2802">
        <v>0.88755630585848799</v>
      </c>
      <c r="K2802">
        <v>0.52915128111916399</v>
      </c>
      <c r="L2802">
        <v>15000</v>
      </c>
      <c r="M2802">
        <v>222.721039648615</v>
      </c>
      <c r="O2802">
        <v>67.343393425549195</v>
      </c>
      <c r="P2802">
        <v>-0.38938765716066498</v>
      </c>
      <c r="Q2802">
        <v>0.52904878356266705</v>
      </c>
      <c r="R2802">
        <v>0.62163342233906005</v>
      </c>
      <c r="S2802" t="s">
        <v>9419</v>
      </c>
      <c r="T2802" t="s">
        <v>13232</v>
      </c>
      <c r="U2802" t="s">
        <v>13232</v>
      </c>
      <c r="V2802" t="s">
        <v>13232</v>
      </c>
      <c r="W2802" t="s">
        <v>15980</v>
      </c>
      <c r="X2802">
        <v>6</v>
      </c>
      <c r="Y2802" t="s">
        <v>22454</v>
      </c>
      <c r="Z2802" t="s">
        <v>28933</v>
      </c>
      <c r="AA2802">
        <v>0.95844985665565885</v>
      </c>
      <c r="AB2802" t="str">
        <f>HYPERLINK("Melting_Curves/meltCurve_P63313_TMSB10.pdf", "Melting_Curves/meltCurve_P63313_TMSB10.pdf")</f>
        <v>Melting_Curves/meltCurve_P63313_TMSB10.pdf</v>
      </c>
    </row>
    <row r="2803" spans="1:28" x14ac:dyDescent="0.25">
      <c r="A2803" t="s">
        <v>2807</v>
      </c>
      <c r="B2803">
        <v>0.99930955844802105</v>
      </c>
      <c r="C2803">
        <v>0.92825920359144598</v>
      </c>
      <c r="D2803">
        <v>0.89099034129871701</v>
      </c>
      <c r="E2803">
        <v>0.912547043782586</v>
      </c>
      <c r="F2803">
        <v>0.80428886326884697</v>
      </c>
      <c r="G2803">
        <v>0.46308446668688003</v>
      </c>
      <c r="H2803">
        <v>0.24250477654605301</v>
      </c>
      <c r="I2803">
        <v>0.124683340682994</v>
      </c>
      <c r="J2803">
        <v>8.8843905566304393E-2</v>
      </c>
      <c r="K2803">
        <v>6.9300878083042194E-2</v>
      </c>
      <c r="L2803">
        <v>1004.74029850124</v>
      </c>
      <c r="M2803">
        <v>17.776274033878199</v>
      </c>
      <c r="N2803">
        <v>56.7192869965386</v>
      </c>
      <c r="O2803">
        <v>55.820689317234198</v>
      </c>
      <c r="P2803">
        <v>-7.7223769986106403E-2</v>
      </c>
      <c r="Q2803">
        <v>3.00643124757374E-2</v>
      </c>
      <c r="R2803">
        <v>0.98929109266151405</v>
      </c>
      <c r="S2803" t="s">
        <v>9420</v>
      </c>
      <c r="T2803" t="s">
        <v>13232</v>
      </c>
      <c r="U2803" t="s">
        <v>13232</v>
      </c>
      <c r="V2803" t="s">
        <v>13232</v>
      </c>
      <c r="W2803" t="s">
        <v>15981</v>
      </c>
      <c r="X2803">
        <v>20</v>
      </c>
      <c r="Y2803" t="s">
        <v>22455</v>
      </c>
      <c r="Z2803" t="s">
        <v>28934</v>
      </c>
      <c r="AA2803">
        <v>0.57822300523073444</v>
      </c>
      <c r="AB2803" t="str">
        <f>HYPERLINK("Melting_Curves/meltCurve_P67775_PPP2CA.pdf", "Melting_Curves/meltCurve_P67775_PPP2CA.pdf")</f>
        <v>Melting_Curves/meltCurve_P67775_PPP2CA.pdf</v>
      </c>
    </row>
    <row r="2804" spans="1:28" x14ac:dyDescent="0.25">
      <c r="A2804" t="s">
        <v>2808</v>
      </c>
      <c r="B2804">
        <v>0.99930955844802105</v>
      </c>
      <c r="C2804">
        <v>1.0354292396076099</v>
      </c>
      <c r="D2804">
        <v>1.03533679862797</v>
      </c>
      <c r="E2804">
        <v>1.2414781521390801</v>
      </c>
      <c r="F2804">
        <v>1.20685432399481</v>
      </c>
      <c r="G2804">
        <v>1.13823136892907</v>
      </c>
      <c r="H2804">
        <v>0.96859978325393903</v>
      </c>
      <c r="I2804">
        <v>1.12592890077465</v>
      </c>
      <c r="J2804">
        <v>1.23527293303426</v>
      </c>
      <c r="K2804">
        <v>1.0024383399546599</v>
      </c>
      <c r="L2804">
        <v>11545.935542523601</v>
      </c>
      <c r="M2804">
        <v>250</v>
      </c>
      <c r="O2804">
        <v>46.180786728864099</v>
      </c>
      <c r="P2804">
        <v>0.177641092024553</v>
      </c>
      <c r="Q2804">
        <v>1.1312576859733099</v>
      </c>
      <c r="R2804">
        <v>0.24771997190283801</v>
      </c>
      <c r="S2804" t="s">
        <v>9421</v>
      </c>
      <c r="T2804" t="s">
        <v>13232</v>
      </c>
      <c r="U2804" t="s">
        <v>13232</v>
      </c>
      <c r="V2804" t="s">
        <v>13232</v>
      </c>
      <c r="W2804" t="s">
        <v>15982</v>
      </c>
      <c r="X2804">
        <v>21</v>
      </c>
      <c r="Y2804" t="s">
        <v>22456</v>
      </c>
      <c r="Z2804" t="s">
        <v>28935</v>
      </c>
      <c r="AA2804">
        <v>1.104191591044922</v>
      </c>
      <c r="AB2804" t="str">
        <f>HYPERLINK("Melting_Curves/meltCurve_P67809_YBX1.pdf", "Melting_Curves/meltCurve_P67809_YBX1.pdf")</f>
        <v>Melting_Curves/meltCurve_P67809_YBX1.pdf</v>
      </c>
    </row>
    <row r="2805" spans="1:28" x14ac:dyDescent="0.25">
      <c r="A2805" t="s">
        <v>2809</v>
      </c>
      <c r="B2805">
        <v>0.99930955844802105</v>
      </c>
      <c r="C2805">
        <v>0.87088027625417397</v>
      </c>
      <c r="D2805">
        <v>0.91583003703722698</v>
      </c>
      <c r="E2805">
        <v>0.719153393224922</v>
      </c>
      <c r="F2805">
        <v>0.53314688264420895</v>
      </c>
      <c r="G2805">
        <v>0.24755313474895899</v>
      </c>
      <c r="H2805">
        <v>0.10511574849705101</v>
      </c>
      <c r="I2805">
        <v>9.0094209221877899E-2</v>
      </c>
      <c r="J2805">
        <v>7.9728423286747799E-2</v>
      </c>
      <c r="K2805">
        <v>6.0610267681415898E-2</v>
      </c>
      <c r="L2805">
        <v>806.89467474585194</v>
      </c>
      <c r="M2805">
        <v>15.258972024517901</v>
      </c>
      <c r="N2805">
        <v>53.057354898446803</v>
      </c>
      <c r="O2805">
        <v>51.996747918871499</v>
      </c>
      <c r="P2805">
        <v>-7.1548072425705198E-2</v>
      </c>
      <c r="Q2805">
        <v>2.4858127231861E-2</v>
      </c>
      <c r="R2805">
        <v>0.990168185965001</v>
      </c>
      <c r="S2805" t="s">
        <v>9422</v>
      </c>
      <c r="T2805" t="s">
        <v>13232</v>
      </c>
      <c r="U2805" t="s">
        <v>13232</v>
      </c>
      <c r="V2805" t="s">
        <v>13232</v>
      </c>
      <c r="W2805" t="s">
        <v>15983</v>
      </c>
      <c r="X2805">
        <v>8</v>
      </c>
      <c r="Y2805" t="s">
        <v>22457</v>
      </c>
      <c r="Z2805" t="s">
        <v>28936</v>
      </c>
      <c r="AA2805">
        <v>0.46410232511902438</v>
      </c>
      <c r="AB2805" t="str">
        <f>HYPERLINK("Melting_Curves/meltCurve_P67870_CSNK2B.pdf", "Melting_Curves/meltCurve_P67870_CSNK2B.pdf")</f>
        <v>Melting_Curves/meltCurve_P67870_CSNK2B.pdf</v>
      </c>
    </row>
    <row r="2806" spans="1:28" x14ac:dyDescent="0.25">
      <c r="A2806" t="s">
        <v>2810</v>
      </c>
      <c r="B2806">
        <v>0.99930955844802105</v>
      </c>
      <c r="C2806">
        <v>1.03964669757926</v>
      </c>
      <c r="D2806">
        <v>1.0049576951397701</v>
      </c>
      <c r="E2806">
        <v>1.02964908539189</v>
      </c>
      <c r="F2806">
        <v>0.96444967399357495</v>
      </c>
      <c r="G2806">
        <v>0.90757700360543703</v>
      </c>
      <c r="H2806">
        <v>0.98390094462526201</v>
      </c>
      <c r="I2806">
        <v>0.99321681789963601</v>
      </c>
      <c r="J2806">
        <v>0.98293590551725896</v>
      </c>
      <c r="K2806">
        <v>0.79424244889818196</v>
      </c>
      <c r="L2806">
        <v>4150.3281247972</v>
      </c>
      <c r="M2806">
        <v>57.939413774555902</v>
      </c>
      <c r="Q2806">
        <v>0</v>
      </c>
      <c r="R2806">
        <v>0.72788484353893601</v>
      </c>
      <c r="S2806" t="s">
        <v>9423</v>
      </c>
      <c r="T2806" t="s">
        <v>13232</v>
      </c>
      <c r="U2806" t="s">
        <v>13232</v>
      </c>
      <c r="V2806" t="s">
        <v>13232</v>
      </c>
      <c r="W2806" t="s">
        <v>15984</v>
      </c>
      <c r="X2806">
        <v>41</v>
      </c>
      <c r="Y2806" t="s">
        <v>20725</v>
      </c>
      <c r="Z2806" t="s">
        <v>28937</v>
      </c>
      <c r="AA2806">
        <v>0.99124447419387696</v>
      </c>
      <c r="AB2806" t="str">
        <f>HYPERLINK("Melting_Curves/meltCurve_P67936_TPM4.pdf", "Melting_Curves/meltCurve_P67936_TPM4.pdf")</f>
        <v>Melting_Curves/meltCurve_P67936_TPM4.pdf</v>
      </c>
    </row>
    <row r="2807" spans="1:28" x14ac:dyDescent="0.25">
      <c r="A2807" t="s">
        <v>2811</v>
      </c>
      <c r="B2807">
        <v>0.99930955844802105</v>
      </c>
      <c r="C2807">
        <v>1.0012326532937199</v>
      </c>
      <c r="D2807">
        <v>0.84077441985582302</v>
      </c>
      <c r="E2807">
        <v>0.82551806132705097</v>
      </c>
      <c r="F2807">
        <v>0.31759944766036302</v>
      </c>
      <c r="G2807">
        <v>0.13919775112511301</v>
      </c>
      <c r="H2807">
        <v>7.4584558821424202E-2</v>
      </c>
      <c r="I2807">
        <v>5.30999149695984E-2</v>
      </c>
      <c r="J2807">
        <v>4.0685141645727597E-2</v>
      </c>
      <c r="K2807">
        <v>3.2209114449714797E-2</v>
      </c>
      <c r="L2807">
        <v>1782.7536553544401</v>
      </c>
      <c r="M2807">
        <v>34.428885393592601</v>
      </c>
      <c r="N2807">
        <v>51.958030466913399</v>
      </c>
      <c r="O2807">
        <v>51.60699307406</v>
      </c>
      <c r="P2807">
        <v>-0.15754263255310799</v>
      </c>
      <c r="Q2807">
        <v>5.5412790870290503E-2</v>
      </c>
      <c r="R2807">
        <v>0.98350954161248405</v>
      </c>
      <c r="S2807" t="s">
        <v>9424</v>
      </c>
      <c r="T2807" t="s">
        <v>13232</v>
      </c>
      <c r="U2807" t="s">
        <v>13232</v>
      </c>
      <c r="V2807" t="s">
        <v>13232</v>
      </c>
      <c r="W2807" t="s">
        <v>15985</v>
      </c>
      <c r="X2807">
        <v>19</v>
      </c>
      <c r="Y2807" t="s">
        <v>22458</v>
      </c>
      <c r="Z2807" t="s">
        <v>28938</v>
      </c>
      <c r="AA2807">
        <v>0.43091266254036581</v>
      </c>
      <c r="AB2807" t="str">
        <f>HYPERLINK("Melting_Curves/meltCurve_P68032_ACTC1.pdf", "Melting_Curves/meltCurve_P68032_ACTC1.pdf")</f>
        <v>Melting_Curves/meltCurve_P68032_ACTC1.pdf</v>
      </c>
    </row>
    <row r="2808" spans="1:28" x14ac:dyDescent="0.25">
      <c r="A2808" t="s">
        <v>2812</v>
      </c>
      <c r="B2808">
        <v>0.99930955844802105</v>
      </c>
      <c r="C2808">
        <v>1.0409059770940201</v>
      </c>
      <c r="D2808">
        <v>1.0422854015826</v>
      </c>
      <c r="E2808">
        <v>1.0454587815997201</v>
      </c>
      <c r="F2808">
        <v>0.92705249781152399</v>
      </c>
      <c r="G2808">
        <v>0.86861651859682398</v>
      </c>
      <c r="H2808">
        <v>0.64736577033088405</v>
      </c>
      <c r="I2808">
        <v>0.42846349049329502</v>
      </c>
      <c r="J2808">
        <v>0.32786081068418998</v>
      </c>
      <c r="K2808">
        <v>0.19920992601325099</v>
      </c>
      <c r="L2808">
        <v>1127.3042747406801</v>
      </c>
      <c r="M2808">
        <v>18.071194900782601</v>
      </c>
      <c r="N2808">
        <v>63.167215657328001</v>
      </c>
      <c r="O2808">
        <v>61.632437741288797</v>
      </c>
      <c r="P2808">
        <v>-6.5925452624935502E-2</v>
      </c>
      <c r="Q2808">
        <v>0.10067950646130799</v>
      </c>
      <c r="R2808">
        <v>0.99014324184851799</v>
      </c>
      <c r="S2808" t="s">
        <v>9425</v>
      </c>
      <c r="T2808" t="s">
        <v>13232</v>
      </c>
      <c r="U2808" t="s">
        <v>13232</v>
      </c>
      <c r="V2808" t="s">
        <v>13232</v>
      </c>
      <c r="W2808" t="s">
        <v>15986</v>
      </c>
      <c r="X2808">
        <v>14</v>
      </c>
      <c r="Y2808" t="s">
        <v>22459</v>
      </c>
      <c r="Z2808" t="s">
        <v>28939</v>
      </c>
      <c r="AA2808">
        <v>0.77151866482512144</v>
      </c>
      <c r="AB2808" t="str">
        <f>HYPERLINK("Melting_Curves/meltCurve_P68036_UBE2L3.pdf", "Melting_Curves/meltCurve_P68036_UBE2L3.pdf")</f>
        <v>Melting_Curves/meltCurve_P68036_UBE2L3.pdf</v>
      </c>
    </row>
    <row r="2809" spans="1:28" x14ac:dyDescent="0.25">
      <c r="A2809" t="s">
        <v>2813</v>
      </c>
      <c r="B2809">
        <v>0.99930955844802105</v>
      </c>
      <c r="C2809">
        <v>0.93880794710191096</v>
      </c>
      <c r="D2809">
        <v>0.76612789595098096</v>
      </c>
      <c r="E2809">
        <v>0.51792250895030501</v>
      </c>
      <c r="F2809">
        <v>0.22197940613606601</v>
      </c>
      <c r="G2809">
        <v>0.15199232079587199</v>
      </c>
      <c r="H2809">
        <v>9.71095677216222E-2</v>
      </c>
      <c r="I2809">
        <v>8.5965638987679602E-2</v>
      </c>
      <c r="J2809">
        <v>7.7731979071586105E-2</v>
      </c>
      <c r="K2809">
        <v>6.1190386794242997E-2</v>
      </c>
      <c r="L2809">
        <v>877.495373555181</v>
      </c>
      <c r="M2809">
        <v>17.817107439610801</v>
      </c>
      <c r="N2809">
        <v>49.634712632588602</v>
      </c>
      <c r="O2809">
        <v>48.6423108431107</v>
      </c>
      <c r="P2809">
        <v>-8.5672948202588903E-2</v>
      </c>
      <c r="Q2809">
        <v>6.4468547298527204E-2</v>
      </c>
      <c r="R2809">
        <v>0.99545854802255296</v>
      </c>
      <c r="S2809" t="s">
        <v>9426</v>
      </c>
      <c r="T2809" t="s">
        <v>13232</v>
      </c>
      <c r="U2809" t="s">
        <v>13232</v>
      </c>
      <c r="V2809" t="s">
        <v>13232</v>
      </c>
      <c r="W2809" t="s">
        <v>15987</v>
      </c>
      <c r="X2809">
        <v>35</v>
      </c>
      <c r="Y2809" t="s">
        <v>22460</v>
      </c>
      <c r="Z2809" t="s">
        <v>28940</v>
      </c>
      <c r="AA2809">
        <v>0.36938837548323578</v>
      </c>
      <c r="AB2809" t="str">
        <f>HYPERLINK("Melting_Curves/meltCurve_P68104_EEF1A1.pdf", "Melting_Curves/meltCurve_P68104_EEF1A1.pdf")</f>
        <v>Melting_Curves/meltCurve_P68104_EEF1A1.pdf</v>
      </c>
    </row>
    <row r="2810" spans="1:28" x14ac:dyDescent="0.25">
      <c r="A2810" t="s">
        <v>2814</v>
      </c>
      <c r="B2810">
        <v>0.99930955844802105</v>
      </c>
      <c r="C2810">
        <v>0.790111879275048</v>
      </c>
      <c r="D2810">
        <v>0.80644344428481396</v>
      </c>
      <c r="E2810">
        <v>0.78570504033548205</v>
      </c>
      <c r="F2810">
        <v>0.50746810675236498</v>
      </c>
      <c r="G2810">
        <v>0.26042753336883101</v>
      </c>
      <c r="H2810">
        <v>0.10629595118926299</v>
      </c>
      <c r="I2810">
        <v>6.7409640703912699E-2</v>
      </c>
      <c r="J2810">
        <v>6.6324209483382301E-2</v>
      </c>
      <c r="K2810">
        <v>5.2306612231533003E-2</v>
      </c>
      <c r="L2810">
        <v>682.59325322998802</v>
      </c>
      <c r="M2810">
        <v>12.9050162980579</v>
      </c>
      <c r="N2810">
        <v>52.8936457923595</v>
      </c>
      <c r="O2810">
        <v>51.671840708152502</v>
      </c>
      <c r="P2810">
        <v>-6.2448724509072399E-2</v>
      </c>
      <c r="Q2810">
        <v>0</v>
      </c>
      <c r="R2810">
        <v>0.96323857605956498</v>
      </c>
      <c r="S2810" t="s">
        <v>9427</v>
      </c>
      <c r="T2810" t="s">
        <v>13232</v>
      </c>
      <c r="U2810" t="s">
        <v>13232</v>
      </c>
      <c r="V2810" t="s">
        <v>13232</v>
      </c>
      <c r="W2810" t="s">
        <v>15988</v>
      </c>
      <c r="X2810">
        <v>20</v>
      </c>
      <c r="Y2810" t="s">
        <v>22461</v>
      </c>
      <c r="Z2810" t="s">
        <v>28941</v>
      </c>
      <c r="AA2810">
        <v>0.45613447149930669</v>
      </c>
      <c r="AB2810" t="str">
        <f>HYPERLINK("Melting_Curves/meltCurve_P68133_ACTA1.pdf", "Melting_Curves/meltCurve_P68133_ACTA1.pdf")</f>
        <v>Melting_Curves/meltCurve_P68133_ACTA1.pdf</v>
      </c>
    </row>
    <row r="2811" spans="1:28" x14ac:dyDescent="0.25">
      <c r="A2811" t="s">
        <v>2815</v>
      </c>
      <c r="B2811">
        <v>0.99930955844802105</v>
      </c>
      <c r="C2811">
        <v>0.44874650640306901</v>
      </c>
      <c r="D2811">
        <v>0.36815624371853201</v>
      </c>
      <c r="E2811">
        <v>0.36357725040043698</v>
      </c>
      <c r="F2811">
        <v>0.27179268912285798</v>
      </c>
      <c r="G2811">
        <v>0.17302692064773401</v>
      </c>
      <c r="H2811">
        <v>0.101206756096641</v>
      </c>
      <c r="I2811">
        <v>8.5568273647538301E-2</v>
      </c>
      <c r="J2811">
        <v>7.9691488784818201E-2</v>
      </c>
      <c r="K2811">
        <v>6.6908833186590105E-2</v>
      </c>
      <c r="L2811">
        <v>563.516986670032</v>
      </c>
      <c r="M2811">
        <v>12.8102994775476</v>
      </c>
      <c r="N2811">
        <v>44.759106988283797</v>
      </c>
      <c r="O2811">
        <v>42.958753135923502</v>
      </c>
      <c r="P2811">
        <v>-6.7192229205743803E-2</v>
      </c>
      <c r="Q2811">
        <v>9.8864302763560993E-2</v>
      </c>
      <c r="R2811">
        <v>0.87014371393319401</v>
      </c>
      <c r="S2811" t="s">
        <v>9428</v>
      </c>
      <c r="T2811" t="s">
        <v>13232</v>
      </c>
      <c r="U2811" t="s">
        <v>13232</v>
      </c>
      <c r="V2811" t="s">
        <v>13232</v>
      </c>
      <c r="W2811" t="s">
        <v>15989</v>
      </c>
      <c r="X2811">
        <v>24</v>
      </c>
      <c r="Y2811" t="s">
        <v>22462</v>
      </c>
      <c r="Z2811" t="s">
        <v>28942</v>
      </c>
      <c r="AA2811">
        <v>0.26321452947962037</v>
      </c>
      <c r="AB2811" t="str">
        <f>HYPERLINK("Melting_Curves/meltCurve_P68363_TUBA1B.pdf", "Melting_Curves/meltCurve_P68363_TUBA1B.pdf")</f>
        <v>Melting_Curves/meltCurve_P68363_TUBA1B.pdf</v>
      </c>
    </row>
    <row r="2812" spans="1:28" x14ac:dyDescent="0.25">
      <c r="A2812" t="s">
        <v>2816</v>
      </c>
      <c r="B2812">
        <v>0.99930955844802105</v>
      </c>
      <c r="C2812">
        <v>0.37928583052422798</v>
      </c>
      <c r="D2812">
        <v>0.31963925414291899</v>
      </c>
      <c r="E2812">
        <v>0.315188733398448</v>
      </c>
      <c r="F2812">
        <v>0.226343267114203</v>
      </c>
      <c r="G2812">
        <v>0.13534775075505601</v>
      </c>
      <c r="H2812">
        <v>5.7811309362784301E-2</v>
      </c>
      <c r="I2812">
        <v>4.7338537210520101E-2</v>
      </c>
      <c r="J2812">
        <v>4.0630613474332999E-2</v>
      </c>
      <c r="K2812">
        <v>3.2335197694784601E-2</v>
      </c>
      <c r="S2812" t="s">
        <v>9429</v>
      </c>
      <c r="T2812" t="s">
        <v>13232</v>
      </c>
      <c r="U2812" t="s">
        <v>13233</v>
      </c>
      <c r="V2812" t="s">
        <v>13232</v>
      </c>
      <c r="W2812" t="s">
        <v>15990</v>
      </c>
      <c r="X2812">
        <v>27</v>
      </c>
      <c r="Y2812" t="s">
        <v>22463</v>
      </c>
      <c r="Z2812" t="s">
        <v>28943</v>
      </c>
      <c r="AB2812" t="str">
        <f>HYPERLINK("Melting_Curves/meltCurve_P68371_TUBB4B.pdf", "Melting_Curves/meltCurve_P68371_TUBB4B.pdf")</f>
        <v>Melting_Curves/meltCurve_P68371_TUBB4B.pdf</v>
      </c>
    </row>
    <row r="2813" spans="1:28" x14ac:dyDescent="0.25">
      <c r="A2813" t="s">
        <v>2817</v>
      </c>
      <c r="B2813">
        <v>0.99930955844802105</v>
      </c>
      <c r="C2813">
        <v>0.96017039876567301</v>
      </c>
      <c r="D2813">
        <v>0.88085930341595398</v>
      </c>
      <c r="E2813">
        <v>0.68370178068878795</v>
      </c>
      <c r="F2813">
        <v>0.36508871665367199</v>
      </c>
      <c r="G2813">
        <v>0.25375893669975302</v>
      </c>
      <c r="H2813">
        <v>0.14645882459416601</v>
      </c>
      <c r="I2813">
        <v>0.13389887816859</v>
      </c>
      <c r="J2813">
        <v>0.142592821077207</v>
      </c>
      <c r="K2813">
        <v>9.0791496660367094E-2</v>
      </c>
      <c r="L2813">
        <v>946.27134128820705</v>
      </c>
      <c r="M2813">
        <v>18.521847116030798</v>
      </c>
      <c r="N2813">
        <v>51.789081432259501</v>
      </c>
      <c r="O2813">
        <v>50.505099063910599</v>
      </c>
      <c r="P2813">
        <v>-8.1539089516800597E-2</v>
      </c>
      <c r="Q2813">
        <v>0.110680865268812</v>
      </c>
      <c r="R2813">
        <v>0.994948041637153</v>
      </c>
      <c r="S2813" t="s">
        <v>9430</v>
      </c>
      <c r="T2813" t="s">
        <v>13232</v>
      </c>
      <c r="U2813" t="s">
        <v>13232</v>
      </c>
      <c r="V2813" t="s">
        <v>13232</v>
      </c>
      <c r="W2813" t="s">
        <v>15991</v>
      </c>
      <c r="X2813">
        <v>5</v>
      </c>
      <c r="Y2813" t="s">
        <v>22464</v>
      </c>
      <c r="Z2813" t="s">
        <v>28944</v>
      </c>
      <c r="AA2813">
        <v>0.45363286534093389</v>
      </c>
      <c r="AB2813" t="str">
        <f>HYPERLINK("Melting_Curves/meltCurve_P68402_PAFAH1B2.pdf", "Melting_Curves/meltCurve_P68402_PAFAH1B2.pdf")</f>
        <v>Melting_Curves/meltCurve_P68402_PAFAH1B2.pdf</v>
      </c>
    </row>
    <row r="2814" spans="1:28" x14ac:dyDescent="0.25">
      <c r="A2814" t="s">
        <v>2818</v>
      </c>
      <c r="B2814">
        <v>0.99930955844802105</v>
      </c>
      <c r="C2814">
        <v>0.99212954906046702</v>
      </c>
      <c r="D2814">
        <v>0.99133554838723503</v>
      </c>
      <c r="E2814">
        <v>0.94924400169769496</v>
      </c>
      <c r="F2814">
        <v>0.84638148603087304</v>
      </c>
      <c r="G2814">
        <v>0.62682758400212801</v>
      </c>
      <c r="H2814">
        <v>0.42397273407299302</v>
      </c>
      <c r="I2814">
        <v>0.25589483587261702</v>
      </c>
      <c r="J2814">
        <v>0.166722831959708</v>
      </c>
      <c r="K2814">
        <v>6.9935181940800298E-2</v>
      </c>
      <c r="L2814">
        <v>865.63155134825297</v>
      </c>
      <c r="M2814">
        <v>14.5902815398639</v>
      </c>
      <c r="N2814">
        <v>59.329324984786297</v>
      </c>
      <c r="O2814">
        <v>58.248211557611597</v>
      </c>
      <c r="P2814">
        <v>-6.2628207927211604E-2</v>
      </c>
      <c r="Q2814">
        <v>0</v>
      </c>
      <c r="R2814">
        <v>0.99852266660147804</v>
      </c>
      <c r="S2814" t="s">
        <v>9431</v>
      </c>
      <c r="T2814" t="s">
        <v>13232</v>
      </c>
      <c r="U2814" t="s">
        <v>13232</v>
      </c>
      <c r="V2814" t="s">
        <v>13232</v>
      </c>
      <c r="W2814" t="s">
        <v>15992</v>
      </c>
      <c r="X2814">
        <v>13</v>
      </c>
      <c r="Y2814" t="s">
        <v>22465</v>
      </c>
      <c r="Z2814" t="s">
        <v>28945</v>
      </c>
      <c r="AA2814">
        <v>0.65345603659126306</v>
      </c>
      <c r="AB2814" t="str">
        <f>HYPERLINK("Melting_Curves/meltCurve_P69891_HBG1.pdf", "Melting_Curves/meltCurve_P69891_HBG1.pdf")</f>
        <v>Melting_Curves/meltCurve_P69891_HBG1.pdf</v>
      </c>
    </row>
    <row r="2815" spans="1:28" x14ac:dyDescent="0.25">
      <c r="A2815" t="s">
        <v>2819</v>
      </c>
      <c r="B2815">
        <v>0.99930955844802105</v>
      </c>
      <c r="C2815">
        <v>0.95707965010749696</v>
      </c>
      <c r="D2815">
        <v>0.98455641516651704</v>
      </c>
      <c r="E2815">
        <v>0.92752789153178405</v>
      </c>
      <c r="F2815">
        <v>0.79466123949047696</v>
      </c>
      <c r="G2815">
        <v>0.62418893448770796</v>
      </c>
      <c r="H2815">
        <v>0.43101459189068297</v>
      </c>
      <c r="I2815">
        <v>0.26839050482780302</v>
      </c>
      <c r="J2815">
        <v>0.14442697772993199</v>
      </c>
      <c r="K2815">
        <v>6.6860886315551593E-2</v>
      </c>
      <c r="L2815">
        <v>807.44077633427196</v>
      </c>
      <c r="M2815">
        <v>13.6672202291993</v>
      </c>
      <c r="N2815">
        <v>59.078639611281901</v>
      </c>
      <c r="O2815">
        <v>57.856898272351003</v>
      </c>
      <c r="P2815">
        <v>-5.90647243434336E-2</v>
      </c>
      <c r="Q2815">
        <v>0</v>
      </c>
      <c r="R2815">
        <v>0.99507152495854501</v>
      </c>
      <c r="S2815" t="s">
        <v>9432</v>
      </c>
      <c r="T2815" t="s">
        <v>13232</v>
      </c>
      <c r="U2815" t="s">
        <v>13232</v>
      </c>
      <c r="V2815" t="s">
        <v>13232</v>
      </c>
      <c r="W2815" t="s">
        <v>15993</v>
      </c>
      <c r="X2815">
        <v>13</v>
      </c>
      <c r="Y2815" t="s">
        <v>22466</v>
      </c>
      <c r="Z2815" t="s">
        <v>28946</v>
      </c>
      <c r="AA2815">
        <v>0.64542225205772363</v>
      </c>
      <c r="AB2815" t="str">
        <f>HYPERLINK("Melting_Curves/meltCurve_P69892_HBG2.pdf", "Melting_Curves/meltCurve_P69892_HBG2.pdf")</f>
        <v>Melting_Curves/meltCurve_P69892_HBG2.pdf</v>
      </c>
    </row>
    <row r="2816" spans="1:28" x14ac:dyDescent="0.25">
      <c r="A2816" t="s">
        <v>2820</v>
      </c>
      <c r="B2816">
        <v>0.99930955844802105</v>
      </c>
      <c r="C2816">
        <v>0.95929299431604897</v>
      </c>
      <c r="D2816">
        <v>0.96611151204822299</v>
      </c>
      <c r="E2816">
        <v>0.83007130710806798</v>
      </c>
      <c r="F2816">
        <v>0.74087715557206402</v>
      </c>
      <c r="G2816">
        <v>0.65016259792271103</v>
      </c>
      <c r="H2816">
        <v>0.459368889721812</v>
      </c>
      <c r="I2816">
        <v>0.36696117680946899</v>
      </c>
      <c r="J2816">
        <v>0.27292493608887802</v>
      </c>
      <c r="K2816">
        <v>0.15755266308190299</v>
      </c>
      <c r="L2816">
        <v>560.15836968737199</v>
      </c>
      <c r="M2816">
        <v>9.3690776158669102</v>
      </c>
      <c r="N2816">
        <v>59.787990125927898</v>
      </c>
      <c r="O2816">
        <v>57.253901337850301</v>
      </c>
      <c r="P2816">
        <v>-4.09357301909569E-2</v>
      </c>
      <c r="Q2816">
        <v>0</v>
      </c>
      <c r="R2816">
        <v>0.99243299668065799</v>
      </c>
      <c r="S2816" t="s">
        <v>9433</v>
      </c>
      <c r="T2816" t="s">
        <v>13232</v>
      </c>
      <c r="U2816" t="s">
        <v>13232</v>
      </c>
      <c r="V2816" t="s">
        <v>13232</v>
      </c>
      <c r="W2816" t="s">
        <v>15994</v>
      </c>
      <c r="X2816">
        <v>6</v>
      </c>
      <c r="Y2816" t="s">
        <v>22467</v>
      </c>
      <c r="Z2816" t="s">
        <v>28947</v>
      </c>
      <c r="AA2816">
        <v>0.65448938155591418</v>
      </c>
      <c r="AB2816" t="str">
        <f>HYPERLINK("Melting_Curves/meltCurve_P69905_HBA1.pdf", "Melting_Curves/meltCurve_P69905_HBA1.pdf")</f>
        <v>Melting_Curves/meltCurve_P69905_HBA1.pdf</v>
      </c>
    </row>
    <row r="2817" spans="1:28" x14ac:dyDescent="0.25">
      <c r="A2817" t="s">
        <v>2821</v>
      </c>
      <c r="B2817">
        <v>0.99930955844802105</v>
      </c>
      <c r="C2817">
        <v>1.01915894987272</v>
      </c>
      <c r="D2817">
        <v>0.92313347892480802</v>
      </c>
      <c r="E2817">
        <v>0.85693063425222404</v>
      </c>
      <c r="F2817">
        <v>0.73175330853077802</v>
      </c>
      <c r="G2817">
        <v>0.57001745020347305</v>
      </c>
      <c r="H2817">
        <v>0.354156097050361</v>
      </c>
      <c r="I2817">
        <v>0.36294036318447598</v>
      </c>
      <c r="J2817">
        <v>0.30214694000578801</v>
      </c>
      <c r="K2817">
        <v>0.26749972967119101</v>
      </c>
      <c r="L2817">
        <v>748.00958941880401</v>
      </c>
      <c r="M2817">
        <v>13.482832406276</v>
      </c>
      <c r="N2817">
        <v>58.085190111232897</v>
      </c>
      <c r="O2817">
        <v>54.300885552170499</v>
      </c>
      <c r="P2817">
        <v>-4.7992852578839597E-2</v>
      </c>
      <c r="Q2817">
        <v>0.22697102814786399</v>
      </c>
      <c r="R2817">
        <v>0.99283608173698001</v>
      </c>
      <c r="S2817" t="s">
        <v>9434</v>
      </c>
      <c r="T2817" t="s">
        <v>13232</v>
      </c>
      <c r="U2817" t="s">
        <v>13232</v>
      </c>
      <c r="V2817" t="s">
        <v>13232</v>
      </c>
      <c r="W2817" t="s">
        <v>15995</v>
      </c>
      <c r="X2817">
        <v>7</v>
      </c>
      <c r="Y2817" t="s">
        <v>22468</v>
      </c>
      <c r="Z2817" t="s">
        <v>28948</v>
      </c>
      <c r="AA2817">
        <v>0.64158559534146986</v>
      </c>
      <c r="AB2817" t="str">
        <f>HYPERLINK("Melting_Curves/meltCurve_P78312_6_FAM193A.pdf", "Melting_Curves/meltCurve_P78312_6_FAM193A.pdf")</f>
        <v>Melting_Curves/meltCurve_P78312_6_FAM193A.pdf</v>
      </c>
    </row>
    <row r="2818" spans="1:28" x14ac:dyDescent="0.25">
      <c r="A2818" t="s">
        <v>2822</v>
      </c>
      <c r="B2818">
        <v>0.99930955844802105</v>
      </c>
      <c r="C2818">
        <v>1.00924721359801</v>
      </c>
      <c r="D2818">
        <v>0.97188366528595904</v>
      </c>
      <c r="E2818">
        <v>0.89538673270376101</v>
      </c>
      <c r="F2818">
        <v>0.63139745820078896</v>
      </c>
      <c r="G2818">
        <v>0.36412641921801298</v>
      </c>
      <c r="H2818">
        <v>0.32157362969051001</v>
      </c>
      <c r="I2818">
        <v>0.33183952351118901</v>
      </c>
      <c r="J2818">
        <v>0.31732964467978098</v>
      </c>
      <c r="K2818">
        <v>0.25737374602354801</v>
      </c>
      <c r="L2818">
        <v>1587.3450517305801</v>
      </c>
      <c r="M2818">
        <v>30.0584020941359</v>
      </c>
      <c r="N2818">
        <v>54.481165716224297</v>
      </c>
      <c r="O2818">
        <v>52.576613451736399</v>
      </c>
      <c r="P2818">
        <v>-9.9865474782926206E-2</v>
      </c>
      <c r="Q2818">
        <v>0.30128627459630503</v>
      </c>
      <c r="R2818">
        <v>0.996295541669728</v>
      </c>
      <c r="S2818" t="s">
        <v>9435</v>
      </c>
      <c r="T2818" t="s">
        <v>13232</v>
      </c>
      <c r="U2818" t="s">
        <v>13232</v>
      </c>
      <c r="V2818" t="s">
        <v>13232</v>
      </c>
      <c r="W2818" t="s">
        <v>15996</v>
      </c>
      <c r="X2818">
        <v>9</v>
      </c>
      <c r="Y2818" t="s">
        <v>22469</v>
      </c>
      <c r="Z2818" t="s">
        <v>28949</v>
      </c>
      <c r="AA2818">
        <v>0.60410834883189912</v>
      </c>
      <c r="AB2818" t="str">
        <f>HYPERLINK("Melting_Curves/meltCurve_P78314_SH3BP2.pdf", "Melting_Curves/meltCurve_P78314_SH3BP2.pdf")</f>
        <v>Melting_Curves/meltCurve_P78314_SH3BP2.pdf</v>
      </c>
    </row>
    <row r="2819" spans="1:28" x14ac:dyDescent="0.25">
      <c r="A2819" t="s">
        <v>2823</v>
      </c>
      <c r="B2819">
        <v>0.99930955844802105</v>
      </c>
      <c r="C2819">
        <v>0.98041821929347905</v>
      </c>
      <c r="D2819">
        <v>0.987614601266532</v>
      </c>
      <c r="E2819">
        <v>0.98711979458174204</v>
      </c>
      <c r="F2819">
        <v>0.87937221791508802</v>
      </c>
      <c r="G2819">
        <v>0.52443816886276695</v>
      </c>
      <c r="H2819">
        <v>0.28272324828198497</v>
      </c>
      <c r="I2819">
        <v>0.28228226078803997</v>
      </c>
      <c r="J2819">
        <v>0.26208294153274603</v>
      </c>
      <c r="K2819">
        <v>0.20373274176321299</v>
      </c>
      <c r="L2819">
        <v>1667.68299825329</v>
      </c>
      <c r="M2819">
        <v>29.770740162918901</v>
      </c>
      <c r="N2819">
        <v>57.247294062736799</v>
      </c>
      <c r="O2819">
        <v>55.766588210921803</v>
      </c>
      <c r="P2819">
        <v>-0.10193454166737401</v>
      </c>
      <c r="Q2819">
        <v>0.23622948002230801</v>
      </c>
      <c r="R2819">
        <v>0.99722684540311102</v>
      </c>
      <c r="S2819" t="s">
        <v>9436</v>
      </c>
      <c r="T2819" t="s">
        <v>13232</v>
      </c>
      <c r="U2819" t="s">
        <v>13232</v>
      </c>
      <c r="V2819" t="s">
        <v>13232</v>
      </c>
      <c r="W2819" t="s">
        <v>15997</v>
      </c>
      <c r="X2819">
        <v>18</v>
      </c>
      <c r="Y2819" t="s">
        <v>22470</v>
      </c>
      <c r="Z2819" t="s">
        <v>28950</v>
      </c>
      <c r="AA2819">
        <v>0.64918509928688095</v>
      </c>
      <c r="AB2819" t="str">
        <f>HYPERLINK("Melting_Curves/meltCurve_P78318_IGBP1.pdf", "Melting_Curves/meltCurve_P78318_IGBP1.pdf")</f>
        <v>Melting_Curves/meltCurve_P78318_IGBP1.pdf</v>
      </c>
    </row>
    <row r="2820" spans="1:28" x14ac:dyDescent="0.25">
      <c r="A2820" t="s">
        <v>2824</v>
      </c>
      <c r="B2820">
        <v>0.99930955844802105</v>
      </c>
      <c r="C2820">
        <v>1.0054752377196301</v>
      </c>
      <c r="D2820">
        <v>0.99279415423064499</v>
      </c>
      <c r="E2820">
        <v>0.946425868599722</v>
      </c>
      <c r="F2820">
        <v>0.88340727197325497</v>
      </c>
      <c r="G2820">
        <v>0.754049680755003</v>
      </c>
      <c r="H2820">
        <v>0.66580603865066901</v>
      </c>
      <c r="I2820">
        <v>0.46433673712002999</v>
      </c>
      <c r="J2820">
        <v>0.14819815505841999</v>
      </c>
      <c r="K2820">
        <v>6.4846500925182904E-2</v>
      </c>
      <c r="L2820">
        <v>1078.5412952791</v>
      </c>
      <c r="M2820">
        <v>17.311205693907802</v>
      </c>
      <c r="N2820">
        <v>62.303072844662701</v>
      </c>
      <c r="O2820">
        <v>61.489509795163997</v>
      </c>
      <c r="P2820">
        <v>-7.0386810051322801E-2</v>
      </c>
      <c r="Q2820">
        <v>0</v>
      </c>
      <c r="R2820">
        <v>0.96885165128491602</v>
      </c>
      <c r="S2820" t="s">
        <v>9437</v>
      </c>
      <c r="T2820" t="s">
        <v>13232</v>
      </c>
      <c r="U2820" t="s">
        <v>13232</v>
      </c>
      <c r="V2820" t="s">
        <v>13232</v>
      </c>
      <c r="W2820" t="s">
        <v>15998</v>
      </c>
      <c r="X2820">
        <v>15</v>
      </c>
      <c r="Y2820" t="s">
        <v>22471</v>
      </c>
      <c r="Z2820" t="s">
        <v>28951</v>
      </c>
      <c r="AA2820">
        <v>0.74276839330557043</v>
      </c>
      <c r="AB2820" t="str">
        <f>HYPERLINK("Melting_Curves/meltCurve_P78330_PSPH.pdf", "Melting_Curves/meltCurve_P78330_PSPH.pdf")</f>
        <v>Melting_Curves/meltCurve_P78330_PSPH.pdf</v>
      </c>
    </row>
    <row r="2821" spans="1:28" x14ac:dyDescent="0.25">
      <c r="A2821" t="s">
        <v>2825</v>
      </c>
      <c r="B2821">
        <v>0.99930955844802105</v>
      </c>
      <c r="C2821">
        <v>1.0451528374606001</v>
      </c>
      <c r="D2821">
        <v>1.02735068378378</v>
      </c>
      <c r="E2821">
        <v>0.971012501443281</v>
      </c>
      <c r="F2821">
        <v>0.85846018538812596</v>
      </c>
      <c r="G2821">
        <v>0.74218897203558298</v>
      </c>
      <c r="H2821">
        <v>0.68612733308110896</v>
      </c>
      <c r="I2821">
        <v>0.69258639921278797</v>
      </c>
      <c r="J2821">
        <v>0.67798748929927</v>
      </c>
      <c r="K2821">
        <v>0.52123041834865502</v>
      </c>
      <c r="L2821">
        <v>841.36774118081098</v>
      </c>
      <c r="M2821">
        <v>14.9697204092045</v>
      </c>
      <c r="O2821">
        <v>55.230259063864104</v>
      </c>
      <c r="P2821">
        <v>-2.80711624913089E-2</v>
      </c>
      <c r="Q2821">
        <v>0.58577189913482697</v>
      </c>
      <c r="R2821">
        <v>0.93565108857272405</v>
      </c>
      <c r="S2821" t="s">
        <v>9438</v>
      </c>
      <c r="T2821" t="s">
        <v>13232</v>
      </c>
      <c r="U2821" t="s">
        <v>13232</v>
      </c>
      <c r="V2821" t="s">
        <v>13232</v>
      </c>
      <c r="W2821" t="s">
        <v>15999</v>
      </c>
      <c r="X2821">
        <v>51</v>
      </c>
      <c r="Y2821" t="s">
        <v>22472</v>
      </c>
      <c r="Z2821" t="s">
        <v>28952</v>
      </c>
      <c r="AA2821">
        <v>0.81673102431717859</v>
      </c>
      <c r="AB2821" t="str">
        <f>HYPERLINK("Melting_Curves/meltCurve_P78332_RBM6.pdf", "Melting_Curves/meltCurve_P78332_RBM6.pdf")</f>
        <v>Melting_Curves/meltCurve_P78332_RBM6.pdf</v>
      </c>
    </row>
    <row r="2822" spans="1:28" x14ac:dyDescent="0.25">
      <c r="A2822" t="s">
        <v>2826</v>
      </c>
      <c r="B2822">
        <v>0.99930955844802105</v>
      </c>
      <c r="C2822">
        <v>1.17678663581397</v>
      </c>
      <c r="D2822">
        <v>1.14709505081804</v>
      </c>
      <c r="E2822">
        <v>1.18174807270999</v>
      </c>
      <c r="F2822">
        <v>1.01894095584049</v>
      </c>
      <c r="G2822">
        <v>0.90344911937918904</v>
      </c>
      <c r="H2822">
        <v>1.1033289133165201</v>
      </c>
      <c r="I2822">
        <v>1.30170000613993</v>
      </c>
      <c r="J2822">
        <v>1.39219019906758</v>
      </c>
      <c r="K2822">
        <v>1.1166819147282701</v>
      </c>
      <c r="L2822">
        <v>179.35071357550899</v>
      </c>
      <c r="M2822">
        <v>2.2408369756181501</v>
      </c>
      <c r="O2822">
        <v>50.849026342023599</v>
      </c>
      <c r="P2822">
        <v>5.8827314709900304E-3</v>
      </c>
      <c r="Q2822">
        <v>1.5</v>
      </c>
      <c r="R2822">
        <v>0.13606165376939799</v>
      </c>
      <c r="S2822" t="s">
        <v>9439</v>
      </c>
      <c r="T2822" t="s">
        <v>13232</v>
      </c>
      <c r="U2822" t="s">
        <v>13232</v>
      </c>
      <c r="V2822" t="s">
        <v>13232</v>
      </c>
      <c r="W2822" t="s">
        <v>16000</v>
      </c>
      <c r="X2822">
        <v>4</v>
      </c>
      <c r="Y2822" t="s">
        <v>22473</v>
      </c>
      <c r="Z2822" t="s">
        <v>28953</v>
      </c>
      <c r="AA2822">
        <v>1.1310940078128859</v>
      </c>
      <c r="AB2822" t="str">
        <f>HYPERLINK("Melting_Curves/meltCurve_P78337_PITX1.pdf", "Melting_Curves/meltCurve_P78337_PITX1.pdf")</f>
        <v>Melting_Curves/meltCurve_P78337_PITX1.pdf</v>
      </c>
    </row>
    <row r="2823" spans="1:28" x14ac:dyDescent="0.25">
      <c r="A2823" t="s">
        <v>2827</v>
      </c>
      <c r="B2823">
        <v>0.99930955844802105</v>
      </c>
      <c r="C2823">
        <v>0.68466521246857304</v>
      </c>
      <c r="D2823">
        <v>0.71783923953197004</v>
      </c>
      <c r="E2823">
        <v>0.72134373880595404</v>
      </c>
      <c r="F2823">
        <v>0.58149454743664597</v>
      </c>
      <c r="G2823">
        <v>0.32844114928915702</v>
      </c>
      <c r="H2823">
        <v>0.18135957561801</v>
      </c>
      <c r="I2823">
        <v>0.18089568060941499</v>
      </c>
      <c r="J2823">
        <v>0.162158568144116</v>
      </c>
      <c r="K2823">
        <v>0.134057806952807</v>
      </c>
      <c r="L2823">
        <v>413.38448674183502</v>
      </c>
      <c r="M2823">
        <v>7.8259857356637204</v>
      </c>
      <c r="N2823">
        <v>52.822033550940603</v>
      </c>
      <c r="O2823">
        <v>49.7061794616871</v>
      </c>
      <c r="P2823">
        <v>-3.9409553024937601E-2</v>
      </c>
      <c r="Q2823">
        <v>0</v>
      </c>
      <c r="R2823">
        <v>0.92296997755020804</v>
      </c>
      <c r="S2823" t="s">
        <v>9440</v>
      </c>
      <c r="T2823" t="s">
        <v>13232</v>
      </c>
      <c r="U2823" t="s">
        <v>13232</v>
      </c>
      <c r="V2823" t="s">
        <v>13232</v>
      </c>
      <c r="W2823" t="s">
        <v>16001</v>
      </c>
      <c r="X2823">
        <v>7</v>
      </c>
      <c r="Y2823" t="s">
        <v>22474</v>
      </c>
      <c r="Z2823" t="s">
        <v>28954</v>
      </c>
      <c r="AA2823">
        <v>0.46991912796308338</v>
      </c>
      <c r="AB2823" t="str">
        <f>HYPERLINK("Melting_Curves/meltCurve_P78345_RPP38.pdf", "Melting_Curves/meltCurve_P78345_RPP38.pdf")</f>
        <v>Melting_Curves/meltCurve_P78345_RPP38.pdf</v>
      </c>
    </row>
    <row r="2824" spans="1:28" x14ac:dyDescent="0.25">
      <c r="A2824" t="s">
        <v>2828</v>
      </c>
      <c r="B2824">
        <v>0.99930955844802105</v>
      </c>
      <c r="C2824">
        <v>0.79770879023296504</v>
      </c>
      <c r="D2824">
        <v>0.81008729150328296</v>
      </c>
      <c r="E2824">
        <v>0.87090460156237803</v>
      </c>
      <c r="F2824">
        <v>0.84886423174263703</v>
      </c>
      <c r="G2824">
        <v>0.50050793078153899</v>
      </c>
      <c r="H2824">
        <v>0.30994560535703303</v>
      </c>
      <c r="I2824">
        <v>0.25156436405604299</v>
      </c>
      <c r="J2824">
        <v>0.18041499115999901</v>
      </c>
      <c r="K2824">
        <v>0.11164798006030301</v>
      </c>
      <c r="L2824">
        <v>643.10514019980701</v>
      </c>
      <c r="M2824">
        <v>11.156586047097001</v>
      </c>
      <c r="N2824">
        <v>57.6435391493129</v>
      </c>
      <c r="O2824">
        <v>55.8845590391728</v>
      </c>
      <c r="P2824">
        <v>-4.99250169593339E-2</v>
      </c>
      <c r="Q2824">
        <v>0</v>
      </c>
      <c r="R2824">
        <v>0.93069327088306597</v>
      </c>
      <c r="S2824" t="s">
        <v>9441</v>
      </c>
      <c r="T2824" t="s">
        <v>13232</v>
      </c>
      <c r="U2824" t="s">
        <v>13232</v>
      </c>
      <c r="V2824" t="s">
        <v>13232</v>
      </c>
      <c r="W2824" t="s">
        <v>16002</v>
      </c>
      <c r="X2824">
        <v>10</v>
      </c>
      <c r="Y2824" t="s">
        <v>22475</v>
      </c>
      <c r="Z2824" t="s">
        <v>28955</v>
      </c>
      <c r="AA2824">
        <v>0.60174587512128352</v>
      </c>
      <c r="AB2824" t="str">
        <f>HYPERLINK("Melting_Curves/meltCurve_P78346_RPP30.pdf", "Melting_Curves/meltCurve_P78346_RPP30.pdf")</f>
        <v>Melting_Curves/meltCurve_P78346_RPP30.pdf</v>
      </c>
    </row>
    <row r="2825" spans="1:28" x14ac:dyDescent="0.25">
      <c r="A2825" t="s">
        <v>2829</v>
      </c>
      <c r="B2825">
        <v>0.99930955844802105</v>
      </c>
      <c r="C2825">
        <v>0.97017767754812201</v>
      </c>
      <c r="D2825">
        <v>0.84307816766266797</v>
      </c>
      <c r="E2825">
        <v>0.69480381102555</v>
      </c>
      <c r="F2825">
        <v>0.50593808532148499</v>
      </c>
      <c r="G2825">
        <v>0.376956763374176</v>
      </c>
      <c r="H2825">
        <v>0.192636147932817</v>
      </c>
      <c r="I2825">
        <v>0.14233388402789901</v>
      </c>
      <c r="J2825">
        <v>0.12040057507302</v>
      </c>
      <c r="K2825">
        <v>9.1648642913113504E-2</v>
      </c>
      <c r="L2825">
        <v>617.57523416371703</v>
      </c>
      <c r="M2825">
        <v>11.605891716091</v>
      </c>
      <c r="N2825">
        <v>53.5247776753789</v>
      </c>
      <c r="O2825">
        <v>51.706016267080102</v>
      </c>
      <c r="P2825">
        <v>-5.4291131093245799E-2</v>
      </c>
      <c r="Q2825">
        <v>3.27642874605346E-2</v>
      </c>
      <c r="R2825">
        <v>0.99654309980423506</v>
      </c>
      <c r="S2825" t="s">
        <v>9442</v>
      </c>
      <c r="T2825" t="s">
        <v>13232</v>
      </c>
      <c r="U2825" t="s">
        <v>13232</v>
      </c>
      <c r="V2825" t="s">
        <v>13232</v>
      </c>
      <c r="W2825" t="s">
        <v>16003</v>
      </c>
      <c r="X2825">
        <v>50</v>
      </c>
      <c r="Y2825" t="s">
        <v>22476</v>
      </c>
      <c r="Z2825" t="s">
        <v>28956</v>
      </c>
      <c r="AA2825">
        <v>0.48679097725534992</v>
      </c>
      <c r="AB2825" t="str">
        <f>HYPERLINK("Melting_Curves/meltCurve_P78347_2_GTF2I.pdf", "Melting_Curves/meltCurve_P78347_2_GTF2I.pdf")</f>
        <v>Melting_Curves/meltCurve_P78347_2_GTF2I.pdf</v>
      </c>
    </row>
    <row r="2826" spans="1:28" x14ac:dyDescent="0.25">
      <c r="A2826" t="s">
        <v>2830</v>
      </c>
      <c r="B2826">
        <v>0.99930955844802105</v>
      </c>
      <c r="C2826">
        <v>1.04673838061659</v>
      </c>
      <c r="D2826">
        <v>0.87839258139690501</v>
      </c>
      <c r="E2826">
        <v>0.74180650214365995</v>
      </c>
      <c r="F2826">
        <v>0.53410424420202995</v>
      </c>
      <c r="G2826">
        <v>0.36851492440739197</v>
      </c>
      <c r="H2826">
        <v>0.20033992540946699</v>
      </c>
      <c r="I2826">
        <v>0.13089075409534301</v>
      </c>
      <c r="J2826">
        <v>0.11277080666643401</v>
      </c>
      <c r="K2826">
        <v>7.7211892588091996E-2</v>
      </c>
      <c r="L2826">
        <v>723.73300749243799</v>
      </c>
      <c r="M2826">
        <v>13.503604390419801</v>
      </c>
      <c r="N2826">
        <v>53.976536089028301</v>
      </c>
      <c r="O2826">
        <v>52.461124993516897</v>
      </c>
      <c r="P2826">
        <v>-6.1434813776684402E-2</v>
      </c>
      <c r="Q2826">
        <v>4.5455516111498E-2</v>
      </c>
      <c r="R2826">
        <v>0.99339502682149206</v>
      </c>
      <c r="S2826" t="s">
        <v>9443</v>
      </c>
      <c r="T2826" t="s">
        <v>13232</v>
      </c>
      <c r="U2826" t="s">
        <v>13232</v>
      </c>
      <c r="V2826" t="s">
        <v>13232</v>
      </c>
      <c r="W2826" t="s">
        <v>16004</v>
      </c>
      <c r="X2826">
        <v>12</v>
      </c>
      <c r="Y2826" t="s">
        <v>22477</v>
      </c>
      <c r="Z2826" t="s">
        <v>28957</v>
      </c>
      <c r="AA2826">
        <v>0.50080276496573561</v>
      </c>
      <c r="AB2826" t="str">
        <f>HYPERLINK("Melting_Curves/meltCurve_P78356_PIP4K2B.pdf", "Melting_Curves/meltCurve_P78356_PIP4K2B.pdf")</f>
        <v>Melting_Curves/meltCurve_P78356_PIP4K2B.pdf</v>
      </c>
    </row>
    <row r="2827" spans="1:28" x14ac:dyDescent="0.25">
      <c r="A2827" t="s">
        <v>2831</v>
      </c>
      <c r="B2827">
        <v>0.99930955844802105</v>
      </c>
      <c r="C2827">
        <v>1.1188400885512799</v>
      </c>
      <c r="D2827">
        <v>1.08687124011476</v>
      </c>
      <c r="E2827">
        <v>1.02123175122216</v>
      </c>
      <c r="F2827">
        <v>1.0073641586527999</v>
      </c>
      <c r="G2827">
        <v>0.88191569227407196</v>
      </c>
      <c r="H2827">
        <v>0.87776367381545495</v>
      </c>
      <c r="I2827">
        <v>0.94479362856221305</v>
      </c>
      <c r="J2827">
        <v>1.0729001584711499</v>
      </c>
      <c r="K2827">
        <v>0.76533181982173104</v>
      </c>
      <c r="L2827">
        <v>6305.4821373385103</v>
      </c>
      <c r="M2827">
        <v>115.333042842775</v>
      </c>
      <c r="O2827">
        <v>54.655535437875002</v>
      </c>
      <c r="P2827">
        <v>-4.8282590934637201E-2</v>
      </c>
      <c r="Q2827">
        <v>0.908476885086271</v>
      </c>
      <c r="R2827">
        <v>0.33552595307336103</v>
      </c>
      <c r="S2827" t="s">
        <v>9444</v>
      </c>
      <c r="T2827" t="s">
        <v>13232</v>
      </c>
      <c r="U2827" t="s">
        <v>13232</v>
      </c>
      <c r="V2827" t="s">
        <v>13232</v>
      </c>
      <c r="W2827" t="s">
        <v>16005</v>
      </c>
      <c r="X2827">
        <v>8</v>
      </c>
      <c r="Y2827" t="s">
        <v>22478</v>
      </c>
      <c r="Z2827" t="s">
        <v>28958</v>
      </c>
      <c r="AA2827">
        <v>0.95327892657158997</v>
      </c>
      <c r="AB2827" t="str">
        <f>HYPERLINK("Melting_Curves/meltCurve_P78364_PHC1.pdf", "Melting_Curves/meltCurve_P78364_PHC1.pdf")</f>
        <v>Melting_Curves/meltCurve_P78364_PHC1.pdf</v>
      </c>
    </row>
    <row r="2828" spans="1:28" x14ac:dyDescent="0.25">
      <c r="A2828" t="s">
        <v>2832</v>
      </c>
      <c r="B2828">
        <v>0.99930955844802105</v>
      </c>
      <c r="C2828">
        <v>0.54898082215425004</v>
      </c>
      <c r="D2828">
        <v>0.56737000943072902</v>
      </c>
      <c r="E2828">
        <v>0.89791993803410797</v>
      </c>
      <c r="F2828">
        <v>1.08348820360695</v>
      </c>
      <c r="G2828">
        <v>0.33337170779092301</v>
      </c>
      <c r="H2828">
        <v>0.11143296187545799</v>
      </c>
      <c r="I2828">
        <v>7.9134953393806107E-2</v>
      </c>
      <c r="J2828">
        <v>6.6291521485849395E-2</v>
      </c>
      <c r="K2828">
        <v>4.95294855424415E-2</v>
      </c>
      <c r="L2828">
        <v>14195.6200437437</v>
      </c>
      <c r="M2828">
        <v>250</v>
      </c>
      <c r="N2828">
        <v>56.820259227846002</v>
      </c>
      <c r="O2828">
        <v>56.778859568641003</v>
      </c>
      <c r="P2828">
        <v>-1.01644674563207</v>
      </c>
      <c r="Q2828">
        <v>7.6597220826478504E-2</v>
      </c>
      <c r="R2828">
        <v>0.72573223582336099</v>
      </c>
      <c r="S2828" t="s">
        <v>9445</v>
      </c>
      <c r="T2828" t="s">
        <v>13232</v>
      </c>
      <c r="U2828" t="s">
        <v>13232</v>
      </c>
      <c r="V2828" t="s">
        <v>13232</v>
      </c>
      <c r="W2828" t="s">
        <v>16006</v>
      </c>
      <c r="X2828">
        <v>39</v>
      </c>
      <c r="Y2828" t="s">
        <v>22479</v>
      </c>
      <c r="Z2828" t="s">
        <v>28959</v>
      </c>
      <c r="AA2828">
        <v>0.59325553460081781</v>
      </c>
      <c r="AB2828" t="str">
        <f>HYPERLINK("Melting_Curves/meltCurve_P78371_CCT2.pdf", "Melting_Curves/meltCurve_P78371_CCT2.pdf")</f>
        <v>Melting_Curves/meltCurve_P78371_CCT2.pdf</v>
      </c>
    </row>
    <row r="2829" spans="1:28" x14ac:dyDescent="0.25">
      <c r="A2829" t="s">
        <v>2833</v>
      </c>
      <c r="B2829">
        <v>0.99930955844802105</v>
      </c>
      <c r="C2829">
        <v>0.952596979416798</v>
      </c>
      <c r="D2829">
        <v>0.85806795480477005</v>
      </c>
      <c r="E2829">
        <v>0.65807422678943195</v>
      </c>
      <c r="F2829">
        <v>0.28492415248465103</v>
      </c>
      <c r="G2829">
        <v>0.18301136273132601</v>
      </c>
      <c r="H2829">
        <v>0.12637789267198199</v>
      </c>
      <c r="I2829">
        <v>0.110562739629679</v>
      </c>
      <c r="J2829">
        <v>7.13666972581537E-2</v>
      </c>
      <c r="K2829">
        <v>4.9357941974687403E-2</v>
      </c>
      <c r="L2829">
        <v>1003.88982160403</v>
      </c>
      <c r="M2829">
        <v>19.8076558626741</v>
      </c>
      <c r="N2829">
        <v>51.088924154990202</v>
      </c>
      <c r="O2829">
        <v>50.173811108504303</v>
      </c>
      <c r="P2829">
        <v>-9.1494411093410694E-2</v>
      </c>
      <c r="Q2829">
        <v>7.2991152395223594E-2</v>
      </c>
      <c r="R2829">
        <v>0.99191483975262196</v>
      </c>
      <c r="S2829" t="s">
        <v>9446</v>
      </c>
      <c r="T2829" t="s">
        <v>13232</v>
      </c>
      <c r="U2829" t="s">
        <v>13232</v>
      </c>
      <c r="V2829" t="s">
        <v>13232</v>
      </c>
      <c r="W2829" t="s">
        <v>16007</v>
      </c>
      <c r="X2829">
        <v>15</v>
      </c>
      <c r="Y2829" t="s">
        <v>22480</v>
      </c>
      <c r="Z2829" t="s">
        <v>28960</v>
      </c>
      <c r="AA2829">
        <v>0.41618165060260781</v>
      </c>
      <c r="AB2829" t="str">
        <f>HYPERLINK("Melting_Curves/meltCurve_P78406_RAE1.pdf", "Melting_Curves/meltCurve_P78406_RAE1.pdf")</f>
        <v>Melting_Curves/meltCurve_P78406_RAE1.pdf</v>
      </c>
    </row>
    <row r="2830" spans="1:28" x14ac:dyDescent="0.25">
      <c r="A2830" t="s">
        <v>2834</v>
      </c>
      <c r="B2830">
        <v>0.99930955844802105</v>
      </c>
      <c r="C2830">
        <v>1.15931857174844</v>
      </c>
      <c r="D2830">
        <v>1.17199746703412</v>
      </c>
      <c r="E2830">
        <v>1.1382216611232301</v>
      </c>
      <c r="F2830">
        <v>1.06526732262669</v>
      </c>
      <c r="G2830">
        <v>0.92385204732252402</v>
      </c>
      <c r="H2830">
        <v>0.79473190151343498</v>
      </c>
      <c r="I2830">
        <v>0.49244731834960198</v>
      </c>
      <c r="J2830">
        <v>0.24673418528146601</v>
      </c>
      <c r="K2830">
        <v>9.26127249660888E-2</v>
      </c>
      <c r="L2830">
        <v>1662.084571155</v>
      </c>
      <c r="M2830">
        <v>25.966716091848401</v>
      </c>
      <c r="N2830">
        <v>64.008269796175895</v>
      </c>
      <c r="O2830">
        <v>63.632263268849499</v>
      </c>
      <c r="P2830">
        <v>-0.102019852417623</v>
      </c>
      <c r="Q2830">
        <v>0</v>
      </c>
      <c r="R2830">
        <v>0.94259912341483199</v>
      </c>
      <c r="S2830" t="s">
        <v>9447</v>
      </c>
      <c r="T2830" t="s">
        <v>13232</v>
      </c>
      <c r="U2830" t="s">
        <v>13232</v>
      </c>
      <c r="V2830" t="s">
        <v>13232</v>
      </c>
      <c r="W2830" t="s">
        <v>16008</v>
      </c>
      <c r="X2830">
        <v>21</v>
      </c>
      <c r="Y2830" t="s">
        <v>22481</v>
      </c>
      <c r="Z2830" t="s">
        <v>28961</v>
      </c>
      <c r="AA2830">
        <v>0.79979358440680304</v>
      </c>
      <c r="AB2830" t="str">
        <f>HYPERLINK("Melting_Curves/meltCurve_P78417_GSTO1.pdf", "Melting_Curves/meltCurve_P78417_GSTO1.pdf")</f>
        <v>Melting_Curves/meltCurve_P78417_GSTO1.pdf</v>
      </c>
    </row>
    <row r="2831" spans="1:28" x14ac:dyDescent="0.25">
      <c r="A2831" t="s">
        <v>2835</v>
      </c>
      <c r="B2831">
        <v>0.99930955844802105</v>
      </c>
      <c r="C2831">
        <v>0.57092025426208304</v>
      </c>
      <c r="D2831">
        <v>0.60245830075497797</v>
      </c>
      <c r="E2831">
        <v>0.30012370237701602</v>
      </c>
      <c r="F2831">
        <v>0.16267591136673801</v>
      </c>
      <c r="G2831">
        <v>0.110520278234607</v>
      </c>
      <c r="H2831">
        <v>6.7227504066346297E-2</v>
      </c>
      <c r="I2831">
        <v>5.8882102146657102E-2</v>
      </c>
      <c r="J2831">
        <v>5.2629287902437198E-2</v>
      </c>
      <c r="K2831">
        <v>3.9901187482074101E-2</v>
      </c>
      <c r="L2831">
        <v>583.608058365739</v>
      </c>
      <c r="M2831">
        <v>12.655204977292801</v>
      </c>
      <c r="N2831">
        <v>46.333950650538497</v>
      </c>
      <c r="O2831">
        <v>45.010036594872702</v>
      </c>
      <c r="P2831">
        <v>-6.82737425572046E-2</v>
      </c>
      <c r="Q2831">
        <v>2.8889802149859999E-2</v>
      </c>
      <c r="R2831">
        <v>0.95060310534255499</v>
      </c>
      <c r="S2831" t="s">
        <v>9448</v>
      </c>
      <c r="T2831" t="s">
        <v>13232</v>
      </c>
      <c r="U2831" t="s">
        <v>13232</v>
      </c>
      <c r="V2831" t="s">
        <v>13232</v>
      </c>
      <c r="W2831" t="s">
        <v>16009</v>
      </c>
      <c r="X2831">
        <v>175</v>
      </c>
      <c r="Y2831" t="s">
        <v>22482</v>
      </c>
      <c r="Z2831" t="s">
        <v>28962</v>
      </c>
      <c r="AA2831">
        <v>0.26643491485062898</v>
      </c>
      <c r="AB2831" t="str">
        <f>HYPERLINK("Melting_Curves/meltCurve_P78527_PRKDC.pdf", "Melting_Curves/meltCurve_P78527_PRKDC.pdf")</f>
        <v>Melting_Curves/meltCurve_P78527_PRKDC.pdf</v>
      </c>
    </row>
    <row r="2832" spans="1:28" x14ac:dyDescent="0.25">
      <c r="A2832" t="s">
        <v>2836</v>
      </c>
      <c r="B2832">
        <v>0.99930955844802105</v>
      </c>
      <c r="C2832">
        <v>1.5322344648880899</v>
      </c>
      <c r="D2832">
        <v>1.48790646475634</v>
      </c>
      <c r="E2832">
        <v>1.25596946045365</v>
      </c>
      <c r="F2832">
        <v>1.05851006694288</v>
      </c>
      <c r="G2832">
        <v>0.69070476058377905</v>
      </c>
      <c r="H2832">
        <v>0.75566888009029698</v>
      </c>
      <c r="I2832">
        <v>0.877277087536384</v>
      </c>
      <c r="J2832">
        <v>0.93579801862268297</v>
      </c>
      <c r="K2832">
        <v>0.70092567741239298</v>
      </c>
      <c r="L2832">
        <v>3920.9782031883101</v>
      </c>
      <c r="M2832">
        <v>71.557464496798801</v>
      </c>
      <c r="O2832">
        <v>54.752068588919997</v>
      </c>
      <c r="P2832">
        <v>-6.7810710821406606E-2</v>
      </c>
      <c r="Q2832">
        <v>0.79245905591230403</v>
      </c>
      <c r="R2832">
        <v>0.23944458653967499</v>
      </c>
      <c r="S2832" t="s">
        <v>9449</v>
      </c>
      <c r="T2832" t="s">
        <v>13232</v>
      </c>
      <c r="U2832" t="s">
        <v>13232</v>
      </c>
      <c r="V2832" t="s">
        <v>13232</v>
      </c>
      <c r="W2832" t="s">
        <v>16010</v>
      </c>
      <c r="X2832">
        <v>2</v>
      </c>
      <c r="Y2832" t="s">
        <v>22483</v>
      </c>
      <c r="Z2832" t="s">
        <v>28963</v>
      </c>
      <c r="AA2832">
        <v>0.89505427958163353</v>
      </c>
      <c r="AB2832" t="str">
        <f>HYPERLINK("Melting_Curves/meltCurve_P78536_ADAM17.pdf", "Melting_Curves/meltCurve_P78536_ADAM17.pdf")</f>
        <v>Melting_Curves/meltCurve_P78536_ADAM17.pdf</v>
      </c>
    </row>
    <row r="2833" spans="1:28" x14ac:dyDescent="0.25">
      <c r="A2833" t="s">
        <v>2837</v>
      </c>
      <c r="B2833">
        <v>0.99930955844802105</v>
      </c>
      <c r="C2833">
        <v>0.98540188611047497</v>
      </c>
      <c r="D2833">
        <v>0.98562067207691995</v>
      </c>
      <c r="E2833">
        <v>0.94544415286581396</v>
      </c>
      <c r="F2833">
        <v>0.80575179909263095</v>
      </c>
      <c r="G2833">
        <v>0.468975556459857</v>
      </c>
      <c r="H2833">
        <v>0.19787196586783601</v>
      </c>
      <c r="I2833">
        <v>0.12297320589435599</v>
      </c>
      <c r="J2833">
        <v>8.3719123591048897E-2</v>
      </c>
      <c r="K2833">
        <v>6.4887247505698506E-2</v>
      </c>
      <c r="L2833">
        <v>1224.9447320934701</v>
      </c>
      <c r="M2833">
        <v>21.747887898426299</v>
      </c>
      <c r="N2833">
        <v>56.619547677151097</v>
      </c>
      <c r="O2833">
        <v>55.8550496468402</v>
      </c>
      <c r="P2833">
        <v>-9.21326839048386E-2</v>
      </c>
      <c r="Q2833">
        <v>5.3525893621239697E-2</v>
      </c>
      <c r="R2833">
        <v>0.99979910259823801</v>
      </c>
      <c r="S2833" t="s">
        <v>9450</v>
      </c>
      <c r="T2833" t="s">
        <v>13232</v>
      </c>
      <c r="U2833" t="s">
        <v>13232</v>
      </c>
      <c r="V2833" t="s">
        <v>13232</v>
      </c>
      <c r="W2833" t="s">
        <v>16011</v>
      </c>
      <c r="X2833">
        <v>7</v>
      </c>
      <c r="Y2833" t="s">
        <v>22484</v>
      </c>
      <c r="Z2833" t="s">
        <v>28964</v>
      </c>
      <c r="AA2833">
        <v>0.57927042466582146</v>
      </c>
      <c r="AB2833" t="str">
        <f>HYPERLINK("Melting_Curves/meltCurve_P78537_BLOC1S1.pdf", "Melting_Curves/meltCurve_P78537_BLOC1S1.pdf")</f>
        <v>Melting_Curves/meltCurve_P78537_BLOC1S1.pdf</v>
      </c>
    </row>
    <row r="2834" spans="1:28" x14ac:dyDescent="0.25">
      <c r="A2834" t="s">
        <v>2838</v>
      </c>
      <c r="B2834">
        <v>0.99930955844802105</v>
      </c>
      <c r="C2834">
        <v>1.31810545153012</v>
      </c>
      <c r="D2834">
        <v>0.893504403736186</v>
      </c>
      <c r="E2834">
        <v>0.479857971798901</v>
      </c>
      <c r="F2834">
        <v>0.301600284475806</v>
      </c>
      <c r="G2834">
        <v>0.24142471530995899</v>
      </c>
      <c r="H2834">
        <v>0.24231746248681399</v>
      </c>
      <c r="I2834">
        <v>0.28500174632557601</v>
      </c>
      <c r="J2834">
        <v>0.27828190488138399</v>
      </c>
      <c r="K2834">
        <v>0.22891820884944</v>
      </c>
      <c r="L2834">
        <v>1835.1060496273899</v>
      </c>
      <c r="M2834">
        <v>37.583195791763103</v>
      </c>
      <c r="N2834">
        <v>49.780625960798297</v>
      </c>
      <c r="O2834">
        <v>48.690209417447697</v>
      </c>
      <c r="P2834">
        <v>-0.143481780447204</v>
      </c>
      <c r="Q2834">
        <v>0.256461380277963</v>
      </c>
      <c r="R2834">
        <v>0.92325498093746206</v>
      </c>
      <c r="S2834" t="s">
        <v>9451</v>
      </c>
      <c r="T2834" t="s">
        <v>13232</v>
      </c>
      <c r="U2834" t="s">
        <v>13232</v>
      </c>
      <c r="V2834" t="s">
        <v>13232</v>
      </c>
      <c r="W2834" t="s">
        <v>16012</v>
      </c>
      <c r="X2834">
        <v>6</v>
      </c>
      <c r="Y2834" t="s">
        <v>22485</v>
      </c>
      <c r="Z2834" t="s">
        <v>28965</v>
      </c>
      <c r="AA2834">
        <v>0.47810710270116868</v>
      </c>
      <c r="AB2834" t="str">
        <f>HYPERLINK("Melting_Curves/meltCurve_P78549_NTHL1.pdf", "Melting_Curves/meltCurve_P78549_NTHL1.pdf")</f>
        <v>Melting_Curves/meltCurve_P78549_NTHL1.pdf</v>
      </c>
    </row>
    <row r="2835" spans="1:28" x14ac:dyDescent="0.25">
      <c r="A2835" t="s">
        <v>2839</v>
      </c>
      <c r="B2835">
        <v>0.99930955844802105</v>
      </c>
      <c r="C2835">
        <v>1.0620402977985699</v>
      </c>
      <c r="D2835">
        <v>1.04247369011281</v>
      </c>
      <c r="E2835">
        <v>1.0089210800256401</v>
      </c>
      <c r="F2835">
        <v>0.86889210389568905</v>
      </c>
      <c r="G2835">
        <v>0.77634038515859205</v>
      </c>
      <c r="H2835">
        <v>0.78365002432059105</v>
      </c>
      <c r="I2835">
        <v>0.81483665151102003</v>
      </c>
      <c r="J2835">
        <v>0.79483323273904005</v>
      </c>
      <c r="K2835">
        <v>0.66444861688780199</v>
      </c>
      <c r="S2835" t="s">
        <v>9452</v>
      </c>
      <c r="T2835" t="s">
        <v>13232</v>
      </c>
      <c r="U2835" t="s">
        <v>13233</v>
      </c>
      <c r="V2835" t="s">
        <v>13232</v>
      </c>
      <c r="W2835" t="s">
        <v>16013</v>
      </c>
      <c r="X2835">
        <v>80</v>
      </c>
      <c r="Y2835" t="s">
        <v>22486</v>
      </c>
      <c r="Z2835" t="s">
        <v>28966</v>
      </c>
      <c r="AB2835" t="str">
        <f>HYPERLINK("Melting_Curves/meltCurve_P78559_MAP1A.pdf", "Melting_Curves/meltCurve_P78559_MAP1A.pdf")</f>
        <v>Melting_Curves/meltCurve_P78559_MAP1A.pdf</v>
      </c>
    </row>
    <row r="2836" spans="1:28" x14ac:dyDescent="0.25">
      <c r="A2836" t="s">
        <v>2840</v>
      </c>
      <c r="B2836">
        <v>0.99930955844802105</v>
      </c>
      <c r="C2836">
        <v>1.07386973343057</v>
      </c>
      <c r="D2836">
        <v>0.94072441695590703</v>
      </c>
      <c r="E2836">
        <v>0.63851085183866496</v>
      </c>
      <c r="F2836">
        <v>0.41115773458075899</v>
      </c>
      <c r="G2836">
        <v>0.32146792074576602</v>
      </c>
      <c r="H2836">
        <v>0.22866397142144801</v>
      </c>
      <c r="I2836">
        <v>0.220518783781782</v>
      </c>
      <c r="J2836">
        <v>0.22659905072766301</v>
      </c>
      <c r="K2836">
        <v>0.15172373455143001</v>
      </c>
      <c r="L2836">
        <v>1140.2673419258899</v>
      </c>
      <c r="M2836">
        <v>22.530752659399901</v>
      </c>
      <c r="N2836">
        <v>51.857195399699599</v>
      </c>
      <c r="O2836">
        <v>50.215750008832501</v>
      </c>
      <c r="P2836">
        <v>-8.8699905496163495E-2</v>
      </c>
      <c r="Q2836">
        <v>0.20925113017460301</v>
      </c>
      <c r="R2836">
        <v>0.987275158203479</v>
      </c>
      <c r="S2836" t="s">
        <v>9453</v>
      </c>
      <c r="T2836" t="s">
        <v>13232</v>
      </c>
      <c r="U2836" t="s">
        <v>13232</v>
      </c>
      <c r="V2836" t="s">
        <v>13232</v>
      </c>
      <c r="W2836" t="s">
        <v>16014</v>
      </c>
      <c r="X2836">
        <v>7</v>
      </c>
      <c r="Y2836" t="s">
        <v>22487</v>
      </c>
      <c r="Z2836" t="s">
        <v>28967</v>
      </c>
      <c r="AA2836">
        <v>0.49762674837224602</v>
      </c>
      <c r="AB2836" t="str">
        <f>HYPERLINK("Melting_Curves/meltCurve_P78560_CRADD.pdf", "Melting_Curves/meltCurve_P78560_CRADD.pdf")</f>
        <v>Melting_Curves/meltCurve_P78560_CRADD.pdf</v>
      </c>
    </row>
    <row r="2837" spans="1:28" x14ac:dyDescent="0.25">
      <c r="A2837" t="s">
        <v>2841</v>
      </c>
      <c r="B2837">
        <v>0.99930955844802105</v>
      </c>
      <c r="C2837">
        <v>0.98170070834408696</v>
      </c>
      <c r="D2837">
        <v>0.97237631336880104</v>
      </c>
      <c r="E2837">
        <v>0.93219668052089399</v>
      </c>
      <c r="F2837">
        <v>0.86089289784671097</v>
      </c>
      <c r="G2837">
        <v>0.39882386059679997</v>
      </c>
      <c r="H2837">
        <v>0.12414434584072299</v>
      </c>
      <c r="I2837">
        <v>0.10415282713629199</v>
      </c>
      <c r="J2837">
        <v>8.3918033496286099E-2</v>
      </c>
      <c r="K2837">
        <v>6.3096223759857198E-2</v>
      </c>
      <c r="L2837">
        <v>1682.3149273548199</v>
      </c>
      <c r="M2837">
        <v>30.116550410041501</v>
      </c>
      <c r="N2837">
        <v>56.142044824366899</v>
      </c>
      <c r="O2837">
        <v>55.615582467859298</v>
      </c>
      <c r="P2837">
        <v>-0.12587940466495401</v>
      </c>
      <c r="Q2837">
        <v>7.0170691565193399E-2</v>
      </c>
      <c r="R2837">
        <v>0.99792408205245497</v>
      </c>
      <c r="S2837" t="s">
        <v>9454</v>
      </c>
      <c r="T2837" t="s">
        <v>13232</v>
      </c>
      <c r="U2837" t="s">
        <v>13232</v>
      </c>
      <c r="V2837" t="s">
        <v>13232</v>
      </c>
      <c r="W2837" t="s">
        <v>16015</v>
      </c>
      <c r="X2837">
        <v>13</v>
      </c>
      <c r="Y2837" t="s">
        <v>22488</v>
      </c>
      <c r="Z2837" t="s">
        <v>28968</v>
      </c>
      <c r="AA2837">
        <v>0.56789893860543106</v>
      </c>
      <c r="AB2837" t="str">
        <f>HYPERLINK("Melting_Curves/meltCurve_P80217_IFI35.pdf", "Melting_Curves/meltCurve_P80217_IFI35.pdf")</f>
        <v>Melting_Curves/meltCurve_P80217_IFI35.pdf</v>
      </c>
    </row>
    <row r="2838" spans="1:28" x14ac:dyDescent="0.25">
      <c r="A2838" t="s">
        <v>2842</v>
      </c>
      <c r="B2838">
        <v>0.99930955844802105</v>
      </c>
      <c r="C2838">
        <v>1.60442717554262</v>
      </c>
      <c r="D2838">
        <v>1.4746075550362701</v>
      </c>
      <c r="E2838">
        <v>1.7013849049668099</v>
      </c>
      <c r="F2838">
        <v>1.88410490622625</v>
      </c>
      <c r="G2838">
        <v>2.2781678500878302</v>
      </c>
      <c r="H2838">
        <v>3.5047064238490302</v>
      </c>
      <c r="I2838">
        <v>4.3850084992780101</v>
      </c>
      <c r="J2838">
        <v>4.9263726911986501</v>
      </c>
      <c r="K2838">
        <v>3.4428350499092502</v>
      </c>
      <c r="S2838" t="s">
        <v>9455</v>
      </c>
      <c r="T2838" t="s">
        <v>13232</v>
      </c>
      <c r="U2838" t="s">
        <v>13233</v>
      </c>
      <c r="V2838" t="s">
        <v>13232</v>
      </c>
      <c r="W2838" t="s">
        <v>16016</v>
      </c>
      <c r="X2838">
        <v>3</v>
      </c>
      <c r="Y2838" t="s">
        <v>22489</v>
      </c>
      <c r="Z2838" t="s">
        <v>28969</v>
      </c>
      <c r="AB2838" t="str">
        <f>HYPERLINK("Melting_Curves/meltCurve_P80297_MT1X.pdf", "Melting_Curves/meltCurve_P80297_MT1X.pdf")</f>
        <v>Melting_Curves/meltCurve_P80297_MT1X.pdf</v>
      </c>
    </row>
    <row r="2839" spans="1:28" x14ac:dyDescent="0.25">
      <c r="A2839" t="s">
        <v>2843</v>
      </c>
      <c r="B2839">
        <v>0.99930955844802105</v>
      </c>
      <c r="C2839">
        <v>0.98857417462125996</v>
      </c>
      <c r="D2839">
        <v>0.95456024029718201</v>
      </c>
      <c r="E2839">
        <v>0.90733444200574598</v>
      </c>
      <c r="F2839">
        <v>0.75802459802183797</v>
      </c>
      <c r="G2839">
        <v>0.65830522922948698</v>
      </c>
      <c r="H2839">
        <v>0.62760712375515504</v>
      </c>
      <c r="I2839">
        <v>0.63737237793742196</v>
      </c>
      <c r="J2839">
        <v>0.61104717202078296</v>
      </c>
      <c r="K2839">
        <v>0.49464618078766798</v>
      </c>
      <c r="L2839">
        <v>768.518624016844</v>
      </c>
      <c r="M2839">
        <v>14.4228727519882</v>
      </c>
      <c r="O2839">
        <v>52.2917688011187</v>
      </c>
      <c r="P2839">
        <v>-3.0829536914102E-2</v>
      </c>
      <c r="Q2839">
        <v>0.55294863965366803</v>
      </c>
      <c r="R2839">
        <v>0.96340359280907195</v>
      </c>
      <c r="S2839" t="s">
        <v>9456</v>
      </c>
      <c r="T2839" t="s">
        <v>13232</v>
      </c>
      <c r="U2839" t="s">
        <v>13232</v>
      </c>
      <c r="V2839" t="s">
        <v>13232</v>
      </c>
      <c r="W2839" t="s">
        <v>16017</v>
      </c>
      <c r="X2839">
        <v>25</v>
      </c>
      <c r="Y2839" t="s">
        <v>22490</v>
      </c>
      <c r="Z2839" t="s">
        <v>28970</v>
      </c>
      <c r="AA2839">
        <v>0.76092218677931767</v>
      </c>
      <c r="AB2839" t="str">
        <f>HYPERLINK("Melting_Curves/meltCurve_P80303_2_NUCB2.pdf", "Melting_Curves/meltCurve_P80303_2_NUCB2.pdf")</f>
        <v>Melting_Curves/meltCurve_P80303_2_NUCB2.pdf</v>
      </c>
    </row>
    <row r="2840" spans="1:28" x14ac:dyDescent="0.25">
      <c r="A2840" t="s">
        <v>2844</v>
      </c>
      <c r="B2840">
        <v>0.99930955844802105</v>
      </c>
      <c r="C2840">
        <v>3.1709772474343598</v>
      </c>
      <c r="D2840">
        <v>1.2054417537522599</v>
      </c>
      <c r="E2840">
        <v>0.97833463001112198</v>
      </c>
      <c r="F2840">
        <v>0.83307014205302399</v>
      </c>
      <c r="G2840">
        <v>1.16335522558989</v>
      </c>
      <c r="H2840">
        <v>0.52142660212853897</v>
      </c>
      <c r="I2840">
        <v>1.3022677856571301</v>
      </c>
      <c r="J2840">
        <v>0.46330047721363099</v>
      </c>
      <c r="K2840">
        <v>0.19961754967803699</v>
      </c>
      <c r="L2840">
        <v>15000</v>
      </c>
      <c r="M2840">
        <v>224.590619480604</v>
      </c>
      <c r="N2840">
        <v>66.939999513808502</v>
      </c>
      <c r="O2840">
        <v>66.7828946055145</v>
      </c>
      <c r="P2840">
        <v>-0.67297246225975305</v>
      </c>
      <c r="Q2840">
        <v>0.19955613520777801</v>
      </c>
      <c r="R2840">
        <v>0.14334729370058699</v>
      </c>
      <c r="S2840" t="s">
        <v>9457</v>
      </c>
      <c r="T2840" t="s">
        <v>13232</v>
      </c>
      <c r="U2840" t="s">
        <v>13232</v>
      </c>
      <c r="V2840" t="s">
        <v>13232</v>
      </c>
      <c r="W2840" t="s">
        <v>16018</v>
      </c>
      <c r="X2840">
        <v>5</v>
      </c>
      <c r="Y2840" t="s">
        <v>22491</v>
      </c>
      <c r="Z2840" t="s">
        <v>28971</v>
      </c>
      <c r="AA2840">
        <v>0.91442006197372272</v>
      </c>
      <c r="AB2840" t="str">
        <f>HYPERLINK("Melting_Curves/meltCurve_P81605_DCD.pdf", "Melting_Curves/meltCurve_P81605_DCD.pdf")</f>
        <v>Melting_Curves/meltCurve_P81605_DCD.pdf</v>
      </c>
    </row>
    <row r="2841" spans="1:28" x14ac:dyDescent="0.25">
      <c r="A2841" t="s">
        <v>2845</v>
      </c>
      <c r="B2841">
        <v>0.99930955844802105</v>
      </c>
      <c r="C2841">
        <v>1.36473726559923</v>
      </c>
      <c r="D2841">
        <v>1.42247720415141</v>
      </c>
      <c r="E2841">
        <v>1.5080520728721201</v>
      </c>
      <c r="F2841">
        <v>1.3885015199464401</v>
      </c>
      <c r="G2841">
        <v>1.30166638773506</v>
      </c>
      <c r="H2841">
        <v>1.3333286997385101</v>
      </c>
      <c r="I2841">
        <v>1.3983151284929001</v>
      </c>
      <c r="J2841">
        <v>1.42797688713894</v>
      </c>
      <c r="K2841">
        <v>1.20896780913</v>
      </c>
      <c r="L2841">
        <v>10565.8198801293</v>
      </c>
      <c r="M2841">
        <v>250</v>
      </c>
      <c r="O2841">
        <v>42.260574806092201</v>
      </c>
      <c r="P2841">
        <v>0.55261422281042705</v>
      </c>
      <c r="Q2841">
        <v>1.37366071607479</v>
      </c>
      <c r="R2841">
        <v>0.68338914495431302</v>
      </c>
      <c r="S2841" t="s">
        <v>9458</v>
      </c>
      <c r="T2841" t="s">
        <v>13232</v>
      </c>
      <c r="U2841" t="s">
        <v>13232</v>
      </c>
      <c r="V2841" t="s">
        <v>13232</v>
      </c>
      <c r="W2841" t="s">
        <v>16019</v>
      </c>
      <c r="X2841">
        <v>4</v>
      </c>
      <c r="Y2841" t="s">
        <v>22492</v>
      </c>
      <c r="Z2841" t="s">
        <v>28972</v>
      </c>
      <c r="AA2841">
        <v>1.345443044914195</v>
      </c>
      <c r="AB2841" t="str">
        <f>HYPERLINK("Melting_Curves/meltCurve_P81877_4_SSBP2.pdf", "Melting_Curves/meltCurve_P81877_4_SSBP2.pdf")</f>
        <v>Melting_Curves/meltCurve_P81877_4_SSBP2.pdf</v>
      </c>
    </row>
    <row r="2842" spans="1:28" x14ac:dyDescent="0.25">
      <c r="A2842" t="s">
        <v>2846</v>
      </c>
      <c r="B2842">
        <v>0.99930955844802105</v>
      </c>
      <c r="C2842">
        <v>1.03128725909524</v>
      </c>
      <c r="D2842">
        <v>0.98490519082973305</v>
      </c>
      <c r="E2842">
        <v>0.89996008094955204</v>
      </c>
      <c r="F2842">
        <v>0.82097594824737596</v>
      </c>
      <c r="G2842">
        <v>0.74805037168085697</v>
      </c>
      <c r="H2842">
        <v>0.69714796371466003</v>
      </c>
      <c r="I2842">
        <v>0.73253278885354101</v>
      </c>
      <c r="J2842">
        <v>0.73376751282480701</v>
      </c>
      <c r="K2842">
        <v>0.59224753385980999</v>
      </c>
      <c r="L2842">
        <v>847.02842534616298</v>
      </c>
      <c r="M2842">
        <v>16.0234051062051</v>
      </c>
      <c r="O2842">
        <v>52.059162414056402</v>
      </c>
      <c r="P2842">
        <v>-2.54420666189543E-2</v>
      </c>
      <c r="Q2842">
        <v>0.66938631512203495</v>
      </c>
      <c r="R2842">
        <v>0.93083011083314804</v>
      </c>
      <c r="S2842" t="s">
        <v>9459</v>
      </c>
      <c r="T2842" t="s">
        <v>13232</v>
      </c>
      <c r="U2842" t="s">
        <v>13232</v>
      </c>
      <c r="V2842" t="s">
        <v>13232</v>
      </c>
      <c r="W2842" t="s">
        <v>16020</v>
      </c>
      <c r="X2842">
        <v>21</v>
      </c>
      <c r="Y2842" t="s">
        <v>22493</v>
      </c>
      <c r="Z2842" t="s">
        <v>28973</v>
      </c>
      <c r="AA2842">
        <v>0.81763306295212324</v>
      </c>
      <c r="AB2842" t="str">
        <f>HYPERLINK("Melting_Curves/meltCurve_P82094_TMF1.pdf", "Melting_Curves/meltCurve_P82094_TMF1.pdf")</f>
        <v>Melting_Curves/meltCurve_P82094_TMF1.pdf</v>
      </c>
    </row>
    <row r="2843" spans="1:28" x14ac:dyDescent="0.25">
      <c r="A2843" t="s">
        <v>2847</v>
      </c>
      <c r="B2843">
        <v>0.99930955844802105</v>
      </c>
      <c r="C2843">
        <v>0.94996453471410602</v>
      </c>
      <c r="D2843">
        <v>0.849897778174313</v>
      </c>
      <c r="E2843">
        <v>0.65318449413483703</v>
      </c>
      <c r="F2843">
        <v>0.476829331674405</v>
      </c>
      <c r="G2843">
        <v>0.31611867048861297</v>
      </c>
      <c r="H2843">
        <v>0.19122477742688501</v>
      </c>
      <c r="I2843">
        <v>0.17959868779621699</v>
      </c>
      <c r="J2843">
        <v>0.15176195349654301</v>
      </c>
      <c r="K2843">
        <v>0.133014319957101</v>
      </c>
      <c r="L2843">
        <v>698.26561944355899</v>
      </c>
      <c r="M2843">
        <v>13.522345222115799</v>
      </c>
      <c r="N2843">
        <v>52.6070655779709</v>
      </c>
      <c r="O2843">
        <v>50.547836053141999</v>
      </c>
      <c r="P2843">
        <v>-5.9514227059012201E-2</v>
      </c>
      <c r="Q2843">
        <v>0.110255032403982</v>
      </c>
      <c r="R2843">
        <v>0.99918479112501601</v>
      </c>
      <c r="S2843" t="s">
        <v>9460</v>
      </c>
      <c r="T2843" t="s">
        <v>13232</v>
      </c>
      <c r="U2843" t="s">
        <v>13232</v>
      </c>
      <c r="V2843" t="s">
        <v>13232</v>
      </c>
      <c r="W2843" t="s">
        <v>16021</v>
      </c>
      <c r="X2843">
        <v>2</v>
      </c>
      <c r="Y2843" t="s">
        <v>22494</v>
      </c>
      <c r="Z2843" t="s">
        <v>28974</v>
      </c>
      <c r="AA2843">
        <v>0.47899478143986018</v>
      </c>
      <c r="AB2843" t="str">
        <f>HYPERLINK("Melting_Curves/meltCurve_P82673_MRPS35.pdf", "Melting_Curves/meltCurve_P82673_MRPS35.pdf")</f>
        <v>Melting_Curves/meltCurve_P82673_MRPS35.pdf</v>
      </c>
    </row>
    <row r="2844" spans="1:28" x14ac:dyDescent="0.25">
      <c r="A2844" t="s">
        <v>2848</v>
      </c>
      <c r="B2844">
        <v>0.99930955844802105</v>
      </c>
      <c r="C2844">
        <v>0.97992795440187697</v>
      </c>
      <c r="D2844">
        <v>0.99433698459702402</v>
      </c>
      <c r="E2844">
        <v>1.00366529365624</v>
      </c>
      <c r="F2844">
        <v>1.0116043095593801</v>
      </c>
      <c r="G2844">
        <v>0.88510661781141897</v>
      </c>
      <c r="H2844">
        <v>0.81318200197903201</v>
      </c>
      <c r="I2844">
        <v>0.89671750425784402</v>
      </c>
      <c r="J2844">
        <v>0.86120051053587199</v>
      </c>
      <c r="K2844">
        <v>0.70998757346571895</v>
      </c>
      <c r="L2844">
        <v>467.54050192230301</v>
      </c>
      <c r="M2844">
        <v>5.5810139794809999</v>
      </c>
      <c r="Q2844">
        <v>0</v>
      </c>
      <c r="R2844">
        <v>0.793949122614519</v>
      </c>
      <c r="S2844" t="s">
        <v>9461</v>
      </c>
      <c r="T2844" t="s">
        <v>13232</v>
      </c>
      <c r="U2844" t="s">
        <v>13232</v>
      </c>
      <c r="V2844" t="s">
        <v>13232</v>
      </c>
      <c r="W2844" t="s">
        <v>13546</v>
      </c>
      <c r="X2844">
        <v>3</v>
      </c>
      <c r="Y2844" t="s">
        <v>20084</v>
      </c>
      <c r="Z2844" t="s">
        <v>28975</v>
      </c>
      <c r="AA2844">
        <v>0.92236199894473558</v>
      </c>
      <c r="AB2844" t="str">
        <f>HYPERLINK("Melting_Curves/meltCurve_P82909_MRPS36.pdf", "Melting_Curves/meltCurve_P82909_MRPS36.pdf")</f>
        <v>Melting_Curves/meltCurve_P82909_MRPS36.pdf</v>
      </c>
    </row>
    <row r="2845" spans="1:28" x14ac:dyDescent="0.25">
      <c r="A2845" t="s">
        <v>2849</v>
      </c>
      <c r="B2845">
        <v>0.99930955844802105</v>
      </c>
      <c r="C2845">
        <v>0.77735366096451897</v>
      </c>
      <c r="D2845">
        <v>0.65556991850945201</v>
      </c>
      <c r="E2845">
        <v>0.47636776359968602</v>
      </c>
      <c r="F2845">
        <v>0.32582926232727499</v>
      </c>
      <c r="G2845">
        <v>0.20985225476396199</v>
      </c>
      <c r="H2845">
        <v>0.132950393150432</v>
      </c>
      <c r="I2845">
        <v>0.14091824622059501</v>
      </c>
      <c r="J2845">
        <v>0.124933668451903</v>
      </c>
      <c r="K2845">
        <v>9.5631371621786504E-2</v>
      </c>
      <c r="L2845">
        <v>559.67329204810005</v>
      </c>
      <c r="M2845">
        <v>11.5799142366598</v>
      </c>
      <c r="N2845">
        <v>49.053623331393801</v>
      </c>
      <c r="O2845">
        <v>46.957480275302899</v>
      </c>
      <c r="P2845">
        <v>-5.6834836494168199E-2</v>
      </c>
      <c r="Q2845">
        <v>7.8375753606735002E-2</v>
      </c>
      <c r="R2845">
        <v>0.98935789213037095</v>
      </c>
      <c r="S2845" t="s">
        <v>9462</v>
      </c>
      <c r="T2845" t="s">
        <v>13232</v>
      </c>
      <c r="U2845" t="s">
        <v>13232</v>
      </c>
      <c r="V2845" t="s">
        <v>13232</v>
      </c>
      <c r="W2845" t="s">
        <v>16022</v>
      </c>
      <c r="X2845">
        <v>4</v>
      </c>
      <c r="Y2845" t="s">
        <v>22495</v>
      </c>
      <c r="Z2845" t="s">
        <v>28976</v>
      </c>
      <c r="AA2845">
        <v>0.37184801768510301</v>
      </c>
      <c r="AB2845" t="str">
        <f>HYPERLINK("Melting_Curves/meltCurve_P82930_MRPS34.pdf", "Melting_Curves/meltCurve_P82930_MRPS34.pdf")</f>
        <v>Melting_Curves/meltCurve_P82930_MRPS34.pdf</v>
      </c>
    </row>
    <row r="2846" spans="1:28" x14ac:dyDescent="0.25">
      <c r="A2846" t="s">
        <v>2850</v>
      </c>
      <c r="B2846">
        <v>0.99930955844802105</v>
      </c>
      <c r="C2846">
        <v>0.66333346831704798</v>
      </c>
      <c r="D2846">
        <v>0.55084579185863503</v>
      </c>
      <c r="E2846">
        <v>0.47387950047071897</v>
      </c>
      <c r="F2846">
        <v>0.31666862248109801</v>
      </c>
      <c r="G2846">
        <v>0.22249512923102099</v>
      </c>
      <c r="H2846">
        <v>0.17727058787767899</v>
      </c>
      <c r="I2846">
        <v>0.14413202363040201</v>
      </c>
      <c r="J2846">
        <v>0.13678729160122299</v>
      </c>
      <c r="K2846">
        <v>0.12257742005257501</v>
      </c>
      <c r="L2846">
        <v>487.56043554234901</v>
      </c>
      <c r="M2846">
        <v>10.3874632669369</v>
      </c>
      <c r="N2846">
        <v>47.974075829785797</v>
      </c>
      <c r="O2846">
        <v>45.297746772962803</v>
      </c>
      <c r="P2846">
        <v>-5.1587316147297398E-2</v>
      </c>
      <c r="Q2846">
        <v>0.100528425598889</v>
      </c>
      <c r="R2846">
        <v>0.95945333317450898</v>
      </c>
      <c r="S2846" t="s">
        <v>9463</v>
      </c>
      <c r="T2846" t="s">
        <v>13232</v>
      </c>
      <c r="U2846" t="s">
        <v>13232</v>
      </c>
      <c r="V2846" t="s">
        <v>13232</v>
      </c>
      <c r="W2846" t="s">
        <v>16023</v>
      </c>
      <c r="X2846">
        <v>3</v>
      </c>
      <c r="Y2846" t="s">
        <v>22496</v>
      </c>
      <c r="Z2846" t="s">
        <v>28977</v>
      </c>
      <c r="AA2846">
        <v>0.35734214529528102</v>
      </c>
      <c r="AB2846" t="str">
        <f>HYPERLINK("Melting_Curves/meltCurve_P82933_MRPS9.pdf", "Melting_Curves/meltCurve_P82933_MRPS9.pdf")</f>
        <v>Melting_Curves/meltCurve_P82933_MRPS9.pdf</v>
      </c>
    </row>
    <row r="2847" spans="1:28" x14ac:dyDescent="0.25">
      <c r="A2847" t="s">
        <v>2851</v>
      </c>
      <c r="B2847">
        <v>0.99930955844802105</v>
      </c>
      <c r="C2847">
        <v>1.1953152597673</v>
      </c>
      <c r="D2847">
        <v>1.1982922677669201</v>
      </c>
      <c r="E2847">
        <v>1.34071613739513</v>
      </c>
      <c r="F2847">
        <v>1.1566802250395001</v>
      </c>
      <c r="G2847">
        <v>1.0639810544232899</v>
      </c>
      <c r="H2847">
        <v>1.24688422976252</v>
      </c>
      <c r="I2847">
        <v>1.15673521059132</v>
      </c>
      <c r="J2847">
        <v>1.1784566493933</v>
      </c>
      <c r="K2847">
        <v>0.95735547641534802</v>
      </c>
      <c r="L2847">
        <v>10278.1804603911</v>
      </c>
      <c r="M2847">
        <v>250</v>
      </c>
      <c r="O2847">
        <v>41.110082088366198</v>
      </c>
      <c r="P2847">
        <v>0.252442041748626</v>
      </c>
      <c r="Q2847">
        <v>1.1660466444573301</v>
      </c>
      <c r="R2847">
        <v>0.21156882925644199</v>
      </c>
      <c r="S2847" t="s">
        <v>9464</v>
      </c>
      <c r="T2847" t="s">
        <v>13232</v>
      </c>
      <c r="U2847" t="s">
        <v>13232</v>
      </c>
      <c r="V2847" t="s">
        <v>13232</v>
      </c>
      <c r="W2847" t="s">
        <v>16024</v>
      </c>
      <c r="X2847">
        <v>17</v>
      </c>
      <c r="Y2847" t="s">
        <v>22497</v>
      </c>
      <c r="Z2847" t="s">
        <v>28978</v>
      </c>
      <c r="AA2847">
        <v>1.1598750573570771</v>
      </c>
      <c r="AB2847" t="str">
        <f>HYPERLINK("Melting_Curves/meltCurve_P82970_HMGN5.pdf", "Melting_Curves/meltCurve_P82970_HMGN5.pdf")</f>
        <v>Melting_Curves/meltCurve_P82970_HMGN5.pdf</v>
      </c>
    </row>
    <row r="2848" spans="1:28" x14ac:dyDescent="0.25">
      <c r="A2848" t="s">
        <v>2852</v>
      </c>
      <c r="B2848">
        <v>0.99930955844802105</v>
      </c>
      <c r="C2848">
        <v>1.06583154683383</v>
      </c>
      <c r="D2848">
        <v>1.09436128090393</v>
      </c>
      <c r="E2848">
        <v>0.99808747735953995</v>
      </c>
      <c r="F2848">
        <v>0.90042628316136397</v>
      </c>
      <c r="G2848">
        <v>0.88861958833256605</v>
      </c>
      <c r="H2848">
        <v>0.88066563364017802</v>
      </c>
      <c r="I2848">
        <v>1.0167911447858899</v>
      </c>
      <c r="J2848">
        <v>0.96373056818914504</v>
      </c>
      <c r="K2848">
        <v>0.80026513237753905</v>
      </c>
      <c r="L2848">
        <v>12692.1242457067</v>
      </c>
      <c r="M2848">
        <v>250</v>
      </c>
      <c r="O2848">
        <v>50.765266803469501</v>
      </c>
      <c r="P2848">
        <v>-0.112754235044705</v>
      </c>
      <c r="Q2848">
        <v>0.90841605238758805</v>
      </c>
      <c r="R2848">
        <v>0.46051773423987702</v>
      </c>
      <c r="S2848" t="s">
        <v>9465</v>
      </c>
      <c r="T2848" t="s">
        <v>13232</v>
      </c>
      <c r="U2848" t="s">
        <v>13232</v>
      </c>
      <c r="V2848" t="s">
        <v>13232</v>
      </c>
      <c r="W2848" t="s">
        <v>16025</v>
      </c>
      <c r="X2848">
        <v>14</v>
      </c>
      <c r="Y2848" t="s">
        <v>22498</v>
      </c>
      <c r="Z2848" t="s">
        <v>28979</v>
      </c>
      <c r="AA2848">
        <v>0.94129826111166948</v>
      </c>
      <c r="AB2848" t="str">
        <f>HYPERLINK("Melting_Curves/meltCurve_P82979_SARNP.pdf", "Melting_Curves/meltCurve_P82979_SARNP.pdf")</f>
        <v>Melting_Curves/meltCurve_P82979_SARNP.pdf</v>
      </c>
    </row>
    <row r="2849" spans="1:28" x14ac:dyDescent="0.25">
      <c r="A2849" t="s">
        <v>2853</v>
      </c>
      <c r="B2849">
        <v>0.99930955844802105</v>
      </c>
      <c r="C2849">
        <v>0.75216607511107103</v>
      </c>
      <c r="D2849">
        <v>0.80491213428020703</v>
      </c>
      <c r="E2849">
        <v>0.60551996680811704</v>
      </c>
      <c r="F2849">
        <v>0.49566410850313303</v>
      </c>
      <c r="G2849">
        <v>0.454029460971975</v>
      </c>
      <c r="H2849">
        <v>0.18872712432050501</v>
      </c>
      <c r="I2849">
        <v>8.8437687469464996E-2</v>
      </c>
      <c r="J2849">
        <v>5.4410561674218698E-2</v>
      </c>
      <c r="K2849">
        <v>4.2020867056670297E-2</v>
      </c>
      <c r="L2849">
        <v>493.68771283450599</v>
      </c>
      <c r="M2849">
        <v>9.4056680635641801</v>
      </c>
      <c r="N2849">
        <v>52.4883169398692</v>
      </c>
      <c r="O2849">
        <v>50.279703298680701</v>
      </c>
      <c r="P2849">
        <v>-4.6795457274067198E-2</v>
      </c>
      <c r="Q2849">
        <v>0</v>
      </c>
      <c r="R2849">
        <v>0.952576809796983</v>
      </c>
      <c r="S2849" t="s">
        <v>9466</v>
      </c>
      <c r="T2849" t="s">
        <v>13232</v>
      </c>
      <c r="U2849" t="s">
        <v>13232</v>
      </c>
      <c r="V2849" t="s">
        <v>13232</v>
      </c>
      <c r="W2849" t="s">
        <v>16026</v>
      </c>
      <c r="X2849">
        <v>4</v>
      </c>
      <c r="Y2849" t="s">
        <v>22499</v>
      </c>
      <c r="Z2849" t="s">
        <v>28980</v>
      </c>
      <c r="AA2849">
        <v>0.45463438687562457</v>
      </c>
      <c r="AB2849" t="str">
        <f>HYPERLINK("Melting_Curves/meltCurve_P82980_RBP5.pdf", "Melting_Curves/meltCurve_P82980_RBP5.pdf")</f>
        <v>Melting_Curves/meltCurve_P82980_RBP5.pdf</v>
      </c>
    </row>
    <row r="2850" spans="1:28" x14ac:dyDescent="0.25">
      <c r="A2850" t="s">
        <v>2854</v>
      </c>
      <c r="B2850">
        <v>0.99930955844802105</v>
      </c>
      <c r="C2850">
        <v>1.1242892078370199</v>
      </c>
      <c r="D2850">
        <v>1.05183328150939</v>
      </c>
      <c r="E2850">
        <v>1.0556461110200099</v>
      </c>
      <c r="F2850">
        <v>1.04245218789987</v>
      </c>
      <c r="G2850">
        <v>0.86038408116323795</v>
      </c>
      <c r="H2850">
        <v>0.71791076655494401</v>
      </c>
      <c r="I2850">
        <v>0.68191510591653903</v>
      </c>
      <c r="J2850">
        <v>0.51333753481213495</v>
      </c>
      <c r="K2850">
        <v>0.364039962803612</v>
      </c>
      <c r="L2850">
        <v>901.09382230787503</v>
      </c>
      <c r="M2850">
        <v>13.708862761785699</v>
      </c>
      <c r="N2850">
        <v>66.972321161418805</v>
      </c>
      <c r="O2850">
        <v>64.379409320004598</v>
      </c>
      <c r="P2850">
        <v>-4.7268010774247603E-2</v>
      </c>
      <c r="Q2850">
        <v>0.11220950235027501</v>
      </c>
      <c r="R2850">
        <v>0.94146880495530205</v>
      </c>
      <c r="S2850" t="s">
        <v>9467</v>
      </c>
      <c r="T2850" t="s">
        <v>13232</v>
      </c>
      <c r="U2850" t="s">
        <v>13232</v>
      </c>
      <c r="V2850" t="s">
        <v>13232</v>
      </c>
      <c r="W2850" t="s">
        <v>16027</v>
      </c>
      <c r="X2850">
        <v>5</v>
      </c>
      <c r="Y2850" t="s">
        <v>22500</v>
      </c>
      <c r="Z2850" t="s">
        <v>28981</v>
      </c>
      <c r="AA2850">
        <v>0.83925013241542579</v>
      </c>
      <c r="AB2850" t="str">
        <f>HYPERLINK("Melting_Curves/meltCurve_P83369_LSM11.pdf", "Melting_Curves/meltCurve_P83369_LSM11.pdf")</f>
        <v>Melting_Curves/meltCurve_P83369_LSM11.pdf</v>
      </c>
    </row>
    <row r="2851" spans="1:28" x14ac:dyDescent="0.25">
      <c r="A2851" t="s">
        <v>2855</v>
      </c>
      <c r="B2851">
        <v>0.99930955844802105</v>
      </c>
      <c r="C2851">
        <v>0.83217137881994996</v>
      </c>
      <c r="D2851">
        <v>0.589869474838979</v>
      </c>
      <c r="E2851">
        <v>0.332420965779893</v>
      </c>
      <c r="F2851">
        <v>0.20377284853007999</v>
      </c>
      <c r="G2851">
        <v>0.14023778123993899</v>
      </c>
      <c r="H2851">
        <v>9.7590710417360504E-2</v>
      </c>
      <c r="I2851">
        <v>9.1689239258484406E-2</v>
      </c>
      <c r="J2851">
        <v>9.0031452568426901E-2</v>
      </c>
      <c r="K2851">
        <v>6.7483365388266603E-2</v>
      </c>
      <c r="L2851">
        <v>777.639794722646</v>
      </c>
      <c r="M2851">
        <v>16.5953110589045</v>
      </c>
      <c r="N2851">
        <v>47.366183392673101</v>
      </c>
      <c r="O2851">
        <v>46.194461573405299</v>
      </c>
      <c r="P2851">
        <v>-8.2506879763792604E-2</v>
      </c>
      <c r="Q2851">
        <v>8.1402925174954704E-2</v>
      </c>
      <c r="R2851">
        <v>0.99656825297488805</v>
      </c>
      <c r="S2851" t="s">
        <v>9468</v>
      </c>
      <c r="T2851" t="s">
        <v>13232</v>
      </c>
      <c r="U2851" t="s">
        <v>13232</v>
      </c>
      <c r="V2851" t="s">
        <v>13232</v>
      </c>
      <c r="W2851" t="s">
        <v>16028</v>
      </c>
      <c r="X2851">
        <v>20</v>
      </c>
      <c r="Y2851" t="s">
        <v>22501</v>
      </c>
      <c r="Z2851" t="s">
        <v>28982</v>
      </c>
      <c r="AA2851">
        <v>0.3117793489919306</v>
      </c>
      <c r="AB2851" t="str">
        <f>HYPERLINK("Melting_Curves/meltCurve_P83436_COG7.pdf", "Melting_Curves/meltCurve_P83436_COG7.pdf")</f>
        <v>Melting_Curves/meltCurve_P83436_COG7.pdf</v>
      </c>
    </row>
    <row r="2852" spans="1:28" x14ac:dyDescent="0.25">
      <c r="A2852" t="s">
        <v>2856</v>
      </c>
      <c r="B2852">
        <v>0.99930955844802105</v>
      </c>
      <c r="C2852">
        <v>1.2129152114800801</v>
      </c>
      <c r="D2852">
        <v>1.06044507521347</v>
      </c>
      <c r="E2852">
        <v>1.1286551826120901</v>
      </c>
      <c r="F2852">
        <v>1.0335084753078301</v>
      </c>
      <c r="G2852">
        <v>0.90035128330910896</v>
      </c>
      <c r="H2852">
        <v>0.857594369027603</v>
      </c>
      <c r="I2852">
        <v>0.97695367596789195</v>
      </c>
      <c r="J2852">
        <v>1.12516004865713</v>
      </c>
      <c r="K2852">
        <v>0.85900288664689795</v>
      </c>
      <c r="L2852">
        <v>15000</v>
      </c>
      <c r="M2852">
        <v>212.47858607634501</v>
      </c>
      <c r="Q2852">
        <v>0</v>
      </c>
      <c r="R2852">
        <v>0.13408725176231501</v>
      </c>
      <c r="S2852" t="s">
        <v>9469</v>
      </c>
      <c r="T2852" t="s">
        <v>13232</v>
      </c>
      <c r="U2852" t="s">
        <v>13232</v>
      </c>
      <c r="V2852" t="s">
        <v>13232</v>
      </c>
      <c r="W2852" t="s">
        <v>16029</v>
      </c>
      <c r="X2852">
        <v>6</v>
      </c>
      <c r="Y2852" t="s">
        <v>22502</v>
      </c>
      <c r="Z2852" t="s">
        <v>28983</v>
      </c>
      <c r="AA2852">
        <v>0.99836103697782763</v>
      </c>
      <c r="AB2852" t="str">
        <f>HYPERLINK("Melting_Curves/meltCurve_P83881_RPL36A.pdf", "Melting_Curves/meltCurve_P83881_RPL36A.pdf")</f>
        <v>Melting_Curves/meltCurve_P83881_RPL36A.pdf</v>
      </c>
    </row>
    <row r="2853" spans="1:28" x14ac:dyDescent="0.25">
      <c r="A2853" t="s">
        <v>2857</v>
      </c>
      <c r="B2853">
        <v>0.99930955844802105</v>
      </c>
      <c r="C2853">
        <v>0.98843061731799398</v>
      </c>
      <c r="D2853">
        <v>0.93796370730532697</v>
      </c>
      <c r="E2853">
        <v>0.94484925826132604</v>
      </c>
      <c r="F2853">
        <v>0.79960067181585703</v>
      </c>
      <c r="G2853">
        <v>0.700534691636023</v>
      </c>
      <c r="H2853">
        <v>0.58497099180704704</v>
      </c>
      <c r="I2853">
        <v>0.54913012858986299</v>
      </c>
      <c r="J2853">
        <v>0.304537810542932</v>
      </c>
      <c r="K2853">
        <v>0.37083650118988398</v>
      </c>
      <c r="L2853">
        <v>542.47229350848704</v>
      </c>
      <c r="M2853">
        <v>8.7373345886859806</v>
      </c>
      <c r="N2853">
        <v>63.428897044534096</v>
      </c>
      <c r="O2853">
        <v>59.091868187328103</v>
      </c>
      <c r="P2853">
        <v>-3.38726543581487E-2</v>
      </c>
      <c r="Q2853">
        <v>8.4401149445307896E-2</v>
      </c>
      <c r="R2853">
        <v>0.96859824153222795</v>
      </c>
      <c r="S2853" t="s">
        <v>9470</v>
      </c>
      <c r="T2853" t="s">
        <v>13232</v>
      </c>
      <c r="U2853" t="s">
        <v>13232</v>
      </c>
      <c r="V2853" t="s">
        <v>13232</v>
      </c>
      <c r="W2853" t="s">
        <v>16030</v>
      </c>
      <c r="X2853">
        <v>6</v>
      </c>
      <c r="Y2853" t="s">
        <v>22503</v>
      </c>
      <c r="Z2853" t="s">
        <v>28984</v>
      </c>
      <c r="AA2853">
        <v>0.72999013337628527</v>
      </c>
      <c r="AB2853" t="str">
        <f>HYPERLINK("Melting_Curves/meltCurve_P83916_CBX1.pdf", "Melting_Curves/meltCurve_P83916_CBX1.pdf")</f>
        <v>Melting_Curves/meltCurve_P83916_CBX1.pdf</v>
      </c>
    </row>
    <row r="2854" spans="1:28" x14ac:dyDescent="0.25">
      <c r="A2854" t="s">
        <v>2858</v>
      </c>
      <c r="B2854">
        <v>0.99930955844802105</v>
      </c>
      <c r="C2854">
        <v>0.98528696076197397</v>
      </c>
      <c r="D2854">
        <v>0.84478824173095501</v>
      </c>
      <c r="E2854">
        <v>0.44718300653233301</v>
      </c>
      <c r="F2854">
        <v>0.23746519535965299</v>
      </c>
      <c r="G2854">
        <v>0.16271866559669099</v>
      </c>
      <c r="H2854">
        <v>0.126221732771791</v>
      </c>
      <c r="I2854">
        <v>0.110145337562149</v>
      </c>
      <c r="J2854">
        <v>9.6261957342970994E-2</v>
      </c>
      <c r="K2854">
        <v>7.5093151055521001E-2</v>
      </c>
      <c r="L2854">
        <v>1139.6393778588099</v>
      </c>
      <c r="M2854">
        <v>23.230027096274299</v>
      </c>
      <c r="N2854">
        <v>49.550883511126003</v>
      </c>
      <c r="O2854">
        <v>48.6996754724643</v>
      </c>
      <c r="P2854">
        <v>-0.106971492636683</v>
      </c>
      <c r="Q2854">
        <v>0.10299144994015599</v>
      </c>
      <c r="R2854">
        <v>0.99842572116589101</v>
      </c>
      <c r="S2854" t="s">
        <v>9471</v>
      </c>
      <c r="T2854" t="s">
        <v>13232</v>
      </c>
      <c r="U2854" t="s">
        <v>13232</v>
      </c>
      <c r="V2854" t="s">
        <v>13232</v>
      </c>
      <c r="W2854" t="s">
        <v>16031</v>
      </c>
      <c r="X2854">
        <v>17</v>
      </c>
      <c r="Y2854" t="s">
        <v>22504</v>
      </c>
      <c r="Z2854" t="s">
        <v>28985</v>
      </c>
      <c r="AA2854">
        <v>0.38310282987633498</v>
      </c>
      <c r="AB2854" t="str">
        <f>HYPERLINK("Melting_Curves/meltCurve_P84022_SMAD3.pdf", "Melting_Curves/meltCurve_P84022_SMAD3.pdf")</f>
        <v>Melting_Curves/meltCurve_P84022_SMAD3.pdf</v>
      </c>
    </row>
    <row r="2855" spans="1:28" x14ac:dyDescent="0.25">
      <c r="A2855" t="s">
        <v>2859</v>
      </c>
      <c r="B2855">
        <v>0.99930955844802105</v>
      </c>
      <c r="C2855">
        <v>1.0281437860079601</v>
      </c>
      <c r="D2855">
        <v>1.04611454769217</v>
      </c>
      <c r="E2855">
        <v>0.96917023332670404</v>
      </c>
      <c r="F2855">
        <v>0.75876607088861703</v>
      </c>
      <c r="G2855">
        <v>0.531181193783543</v>
      </c>
      <c r="H2855">
        <v>0.279996846689955</v>
      </c>
      <c r="I2855">
        <v>0.133216605075238</v>
      </c>
      <c r="J2855">
        <v>7.2402902060296204E-2</v>
      </c>
      <c r="K2855">
        <v>5.0682925632258201E-2</v>
      </c>
      <c r="L2855">
        <v>1001.88131634012</v>
      </c>
      <c r="M2855">
        <v>17.492122888912501</v>
      </c>
      <c r="N2855">
        <v>57.323232850665399</v>
      </c>
      <c r="O2855">
        <v>56.543267062643999</v>
      </c>
      <c r="P2855">
        <v>-7.6792068237320904E-2</v>
      </c>
      <c r="Q2855">
        <v>7.1333946409459902E-3</v>
      </c>
      <c r="R2855">
        <v>0.99441974905849895</v>
      </c>
      <c r="S2855" t="s">
        <v>9472</v>
      </c>
      <c r="T2855" t="s">
        <v>13232</v>
      </c>
      <c r="U2855" t="s">
        <v>13232</v>
      </c>
      <c r="V2855" t="s">
        <v>13232</v>
      </c>
      <c r="W2855" t="s">
        <v>16032</v>
      </c>
      <c r="X2855">
        <v>12</v>
      </c>
      <c r="Y2855" t="s">
        <v>22505</v>
      </c>
      <c r="Z2855" t="s">
        <v>28986</v>
      </c>
      <c r="AA2855">
        <v>0.59252689410572479</v>
      </c>
      <c r="AB2855" t="str">
        <f>HYPERLINK("Melting_Curves/meltCurve_P84077_ARF1.pdf", "Melting_Curves/meltCurve_P84077_ARF1.pdf")</f>
        <v>Melting_Curves/meltCurve_P84077_ARF1.pdf</v>
      </c>
    </row>
    <row r="2856" spans="1:28" x14ac:dyDescent="0.25">
      <c r="A2856" t="s">
        <v>2860</v>
      </c>
      <c r="B2856">
        <v>0.99930955844802105</v>
      </c>
      <c r="C2856">
        <v>1.2596512784642</v>
      </c>
      <c r="D2856">
        <v>1.2253608909720399</v>
      </c>
      <c r="E2856">
        <v>1.095551242113</v>
      </c>
      <c r="F2856">
        <v>0.70657915266198801</v>
      </c>
      <c r="G2856">
        <v>0.29681827882317902</v>
      </c>
      <c r="H2856">
        <v>0.15331246596318501</v>
      </c>
      <c r="I2856">
        <v>0.125043822460499</v>
      </c>
      <c r="J2856">
        <v>0.114277732230749</v>
      </c>
      <c r="K2856">
        <v>8.6518466059458995E-2</v>
      </c>
      <c r="L2856">
        <v>1950.4807541642499</v>
      </c>
      <c r="M2856">
        <v>35.832846275928802</v>
      </c>
      <c r="N2856">
        <v>54.846179478573703</v>
      </c>
      <c r="O2856">
        <v>54.264062692245403</v>
      </c>
      <c r="P2856">
        <v>-0.14554787247343601</v>
      </c>
      <c r="Q2856">
        <v>0.118351530322218</v>
      </c>
      <c r="R2856">
        <v>0.93763198503529799</v>
      </c>
      <c r="S2856" t="s">
        <v>9473</v>
      </c>
      <c r="T2856" t="s">
        <v>13232</v>
      </c>
      <c r="U2856" t="s">
        <v>13232</v>
      </c>
      <c r="V2856" t="s">
        <v>13232</v>
      </c>
      <c r="W2856" t="s">
        <v>16033</v>
      </c>
      <c r="X2856">
        <v>11</v>
      </c>
      <c r="Y2856" t="s">
        <v>22506</v>
      </c>
      <c r="Z2856" t="s">
        <v>28987</v>
      </c>
      <c r="AA2856">
        <v>0.54662199822348856</v>
      </c>
      <c r="AB2856" t="str">
        <f>HYPERLINK("Melting_Curves/meltCurve_P84085_ARF5.pdf", "Melting_Curves/meltCurve_P84085_ARF5.pdf")</f>
        <v>Melting_Curves/meltCurve_P84085_ARF5.pdf</v>
      </c>
    </row>
    <row r="2857" spans="1:28" x14ac:dyDescent="0.25">
      <c r="A2857" t="s">
        <v>2861</v>
      </c>
      <c r="B2857">
        <v>0.99930955844802105</v>
      </c>
      <c r="C2857">
        <v>0.99410486427143796</v>
      </c>
      <c r="D2857">
        <v>1.0023992521343701</v>
      </c>
      <c r="E2857">
        <v>1.0774867095092699</v>
      </c>
      <c r="F2857">
        <v>0.95490502654810505</v>
      </c>
      <c r="G2857">
        <v>0.82946788236306701</v>
      </c>
      <c r="H2857">
        <v>0.63832802667252897</v>
      </c>
      <c r="I2857">
        <v>0.47265849213656402</v>
      </c>
      <c r="J2857">
        <v>0.34016083503707001</v>
      </c>
      <c r="K2857">
        <v>0.209938852252119</v>
      </c>
      <c r="L2857">
        <v>1012.20753721252</v>
      </c>
      <c r="M2857">
        <v>16.123492142444899</v>
      </c>
      <c r="N2857">
        <v>63.433893950429102</v>
      </c>
      <c r="O2857">
        <v>61.836547842976302</v>
      </c>
      <c r="P2857">
        <v>-6.0188622778005699E-2</v>
      </c>
      <c r="Q2857">
        <v>7.6732656095206006E-2</v>
      </c>
      <c r="R2857">
        <v>0.98928301321312495</v>
      </c>
      <c r="S2857" t="s">
        <v>9474</v>
      </c>
      <c r="T2857" t="s">
        <v>13232</v>
      </c>
      <c r="U2857" t="s">
        <v>13232</v>
      </c>
      <c r="V2857" t="s">
        <v>13232</v>
      </c>
      <c r="W2857" t="s">
        <v>16034</v>
      </c>
      <c r="X2857">
        <v>7</v>
      </c>
      <c r="Y2857" t="s">
        <v>22507</v>
      </c>
      <c r="Z2857" t="s">
        <v>28988</v>
      </c>
      <c r="AA2857">
        <v>0.77296875903451057</v>
      </c>
      <c r="AB2857" t="str">
        <f>HYPERLINK("Melting_Curves/meltCurve_P84090_ERH.pdf", "Melting_Curves/meltCurve_P84090_ERH.pdf")</f>
        <v>Melting_Curves/meltCurve_P84090_ERH.pdf</v>
      </c>
    </row>
    <row r="2858" spans="1:28" x14ac:dyDescent="0.25">
      <c r="A2858" t="s">
        <v>2862</v>
      </c>
      <c r="B2858">
        <v>0.99930955844802105</v>
      </c>
      <c r="C2858">
        <v>0.98633645809035297</v>
      </c>
      <c r="D2858">
        <v>0.92591543302257995</v>
      </c>
      <c r="E2858">
        <v>0.72242555823123</v>
      </c>
      <c r="F2858">
        <v>0.36542395698507502</v>
      </c>
      <c r="G2858">
        <v>0.161715654183825</v>
      </c>
      <c r="H2858">
        <v>7.8263117679852598E-2</v>
      </c>
      <c r="I2858">
        <v>6.1022934279342397E-2</v>
      </c>
      <c r="J2858">
        <v>5.0163906404913798E-2</v>
      </c>
      <c r="K2858">
        <v>3.7341134908227602E-2</v>
      </c>
      <c r="L2858">
        <v>1193.4822737684501</v>
      </c>
      <c r="M2858">
        <v>23.096227582067701</v>
      </c>
      <c r="N2858">
        <v>51.894692200892102</v>
      </c>
      <c r="O2858">
        <v>51.291629007809597</v>
      </c>
      <c r="P2858">
        <v>-0.107317079014284</v>
      </c>
      <c r="Q2858">
        <v>4.6707271203302599E-2</v>
      </c>
      <c r="R2858">
        <v>0.99871027737333296</v>
      </c>
      <c r="S2858" t="s">
        <v>9475</v>
      </c>
      <c r="T2858" t="s">
        <v>13232</v>
      </c>
      <c r="U2858" t="s">
        <v>13232</v>
      </c>
      <c r="V2858" t="s">
        <v>13232</v>
      </c>
      <c r="W2858" t="s">
        <v>16035</v>
      </c>
      <c r="X2858">
        <v>10</v>
      </c>
      <c r="Y2858" t="s">
        <v>22508</v>
      </c>
      <c r="Z2858" t="s">
        <v>28989</v>
      </c>
      <c r="AA2858">
        <v>0.42777669469918572</v>
      </c>
      <c r="AB2858" t="str">
        <f>HYPERLINK("Melting_Curves/meltCurve_P84095_RHOG.pdf", "Melting_Curves/meltCurve_P84095_RHOG.pdf")</f>
        <v>Melting_Curves/meltCurve_P84095_RHOG.pdf</v>
      </c>
    </row>
    <row r="2859" spans="1:28" x14ac:dyDescent="0.25">
      <c r="A2859" t="s">
        <v>2863</v>
      </c>
      <c r="B2859">
        <v>0.99930955844802105</v>
      </c>
      <c r="C2859">
        <v>1.0516301678781499</v>
      </c>
      <c r="D2859">
        <v>0.89025416053776896</v>
      </c>
      <c r="E2859">
        <v>0.86483658032509403</v>
      </c>
      <c r="F2859">
        <v>0.76775274524558401</v>
      </c>
      <c r="G2859">
        <v>0.91438261537650101</v>
      </c>
      <c r="H2859">
        <v>1.3103673968248299</v>
      </c>
      <c r="I2859">
        <v>1.9227494066598401</v>
      </c>
      <c r="J2859">
        <v>3.0282963002433001</v>
      </c>
      <c r="K2859">
        <v>2.0515347016368999</v>
      </c>
      <c r="L2859">
        <v>15000</v>
      </c>
      <c r="M2859">
        <v>246.39439933467801</v>
      </c>
      <c r="O2859">
        <v>60.873985709245197</v>
      </c>
      <c r="P2859">
        <v>0.50595166588840101</v>
      </c>
      <c r="Q2859">
        <v>1.5</v>
      </c>
      <c r="R2859">
        <v>0.39528665585269701</v>
      </c>
      <c r="S2859" t="s">
        <v>9476</v>
      </c>
      <c r="T2859" t="s">
        <v>13232</v>
      </c>
      <c r="U2859" t="s">
        <v>13232</v>
      </c>
      <c r="V2859" t="s">
        <v>13232</v>
      </c>
      <c r="W2859" t="s">
        <v>16036</v>
      </c>
      <c r="X2859">
        <v>4</v>
      </c>
      <c r="Y2859" t="s">
        <v>22509</v>
      </c>
      <c r="Z2859" t="s">
        <v>28990</v>
      </c>
      <c r="AA2859">
        <v>1.151978219252545</v>
      </c>
      <c r="AB2859" t="str">
        <f>HYPERLINK("Melting_Curves/meltCurve_P84101_4_SERF2.pdf", "Melting_Curves/meltCurve_P84101_4_SERF2.pdf")</f>
        <v>Melting_Curves/meltCurve_P84101_4_SERF2.pdf</v>
      </c>
    </row>
    <row r="2860" spans="1:28" x14ac:dyDescent="0.25">
      <c r="A2860" t="s">
        <v>2864</v>
      </c>
      <c r="B2860">
        <v>0.99930955844802105</v>
      </c>
      <c r="C2860">
        <v>0.96363177955381796</v>
      </c>
      <c r="D2860">
        <v>0.83125207069004003</v>
      </c>
      <c r="E2860">
        <v>0.73766206646913901</v>
      </c>
      <c r="F2860">
        <v>0.59945449473469403</v>
      </c>
      <c r="G2860">
        <v>0.53455604507195598</v>
      </c>
      <c r="H2860">
        <v>0.48577103053784598</v>
      </c>
      <c r="I2860">
        <v>0.51864320411660003</v>
      </c>
      <c r="J2860">
        <v>0.564960882059794</v>
      </c>
      <c r="K2860">
        <v>0.40715173442740199</v>
      </c>
      <c r="L2860">
        <v>720.90788917698296</v>
      </c>
      <c r="M2860">
        <v>14.6392566868691</v>
      </c>
      <c r="N2860">
        <v>62.303726796196898</v>
      </c>
      <c r="O2860">
        <v>48.3533056041789</v>
      </c>
      <c r="P2860">
        <v>-3.9608513355932802E-2</v>
      </c>
      <c r="Q2860">
        <v>0.47675219106173999</v>
      </c>
      <c r="R2860">
        <v>0.95989740031709903</v>
      </c>
      <c r="S2860" t="s">
        <v>9477</v>
      </c>
      <c r="T2860" t="s">
        <v>13232</v>
      </c>
      <c r="U2860" t="s">
        <v>13232</v>
      </c>
      <c r="V2860" t="s">
        <v>13232</v>
      </c>
      <c r="W2860" t="s">
        <v>16037</v>
      </c>
      <c r="X2860">
        <v>18</v>
      </c>
      <c r="Y2860" t="s">
        <v>22510</v>
      </c>
      <c r="Z2860" t="s">
        <v>28991</v>
      </c>
      <c r="AA2860">
        <v>0.65138440438900092</v>
      </c>
      <c r="AB2860" t="str">
        <f>HYPERLINK("Melting_Curves/meltCurve_P85037_FOXK1.pdf", "Melting_Curves/meltCurve_P85037_FOXK1.pdf")</f>
        <v>Melting_Curves/meltCurve_P85037_FOXK1.pdf</v>
      </c>
    </row>
    <row r="2861" spans="1:28" x14ac:dyDescent="0.25">
      <c r="A2861" t="s">
        <v>2865</v>
      </c>
      <c r="B2861">
        <v>0.99930955844802105</v>
      </c>
      <c r="C2861">
        <v>1.1064116637052801</v>
      </c>
      <c r="D2861">
        <v>1.09079103386305</v>
      </c>
      <c r="E2861">
        <v>1.0468050239178599</v>
      </c>
      <c r="F2861">
        <v>0.95442096292939205</v>
      </c>
      <c r="G2861">
        <v>0.94683709133110805</v>
      </c>
      <c r="H2861">
        <v>0.86476676644219097</v>
      </c>
      <c r="I2861">
        <v>0.86836666525809503</v>
      </c>
      <c r="J2861">
        <v>0.883400146567072</v>
      </c>
      <c r="K2861">
        <v>0.68957911472589195</v>
      </c>
      <c r="L2861">
        <v>679.57656337012895</v>
      </c>
      <c r="M2861">
        <v>8.72061432309272</v>
      </c>
      <c r="Q2861">
        <v>0</v>
      </c>
      <c r="R2861">
        <v>0.75629500860167898</v>
      </c>
      <c r="S2861" t="s">
        <v>9478</v>
      </c>
      <c r="T2861" t="s">
        <v>13232</v>
      </c>
      <c r="U2861" t="s">
        <v>13232</v>
      </c>
      <c r="V2861" t="s">
        <v>13232</v>
      </c>
      <c r="W2861" t="s">
        <v>16038</v>
      </c>
      <c r="X2861">
        <v>2</v>
      </c>
      <c r="Y2861" t="s">
        <v>22511</v>
      </c>
      <c r="Z2861" t="s">
        <v>28992</v>
      </c>
      <c r="AA2861">
        <v>0.93696778200775099</v>
      </c>
      <c r="AB2861" t="str">
        <f>HYPERLINK("Melting_Curves/meltCurve_P85299_2_PRR5.pdf", "Melting_Curves/meltCurve_P85299_2_PRR5.pdf")</f>
        <v>Melting_Curves/meltCurve_P85299_2_PRR5.pdf</v>
      </c>
    </row>
    <row r="2862" spans="1:28" x14ac:dyDescent="0.25">
      <c r="A2862" t="s">
        <v>2866</v>
      </c>
      <c r="B2862">
        <v>0.99930955844802105</v>
      </c>
      <c r="C2862">
        <v>1.0605163372713</v>
      </c>
      <c r="D2862">
        <v>0.56543301125760204</v>
      </c>
      <c r="E2862">
        <v>0.76596011408154896</v>
      </c>
      <c r="F2862">
        <v>0.419940424546005</v>
      </c>
      <c r="G2862">
        <v>0.22312241940602101</v>
      </c>
      <c r="H2862">
        <v>0.109174456976266</v>
      </c>
      <c r="I2862">
        <v>9.1737844547886402E-2</v>
      </c>
      <c r="J2862">
        <v>8.2440909103861107E-2</v>
      </c>
      <c r="K2862">
        <v>6.6946303960761705E-2</v>
      </c>
      <c r="L2862">
        <v>607.59825034394305</v>
      </c>
      <c r="M2862">
        <v>11.7302577385953</v>
      </c>
      <c r="N2862">
        <v>51.797513418776497</v>
      </c>
      <c r="O2862">
        <v>50.360894011884099</v>
      </c>
      <c r="P2862">
        <v>-5.8246333886173098E-2</v>
      </c>
      <c r="Q2862">
        <v>0</v>
      </c>
      <c r="R2862">
        <v>0.91766408883417605</v>
      </c>
      <c r="S2862" t="s">
        <v>9479</v>
      </c>
      <c r="T2862" t="s">
        <v>13232</v>
      </c>
      <c r="U2862" t="s">
        <v>13232</v>
      </c>
      <c r="V2862" t="s">
        <v>13232</v>
      </c>
      <c r="W2862" t="s">
        <v>16039</v>
      </c>
      <c r="X2862">
        <v>15</v>
      </c>
      <c r="Y2862" t="s">
        <v>22512</v>
      </c>
      <c r="Z2862" t="s">
        <v>28993</v>
      </c>
      <c r="AA2862">
        <v>0.4251997795682777</v>
      </c>
      <c r="AB2862" t="str">
        <f>HYPERLINK("Melting_Curves/meltCurve_P86791_CCZ1.pdf", "Melting_Curves/meltCurve_P86791_CCZ1.pdf")</f>
        <v>Melting_Curves/meltCurve_P86791_CCZ1.pdf</v>
      </c>
    </row>
    <row r="2863" spans="1:28" x14ac:dyDescent="0.25">
      <c r="A2863" t="s">
        <v>2867</v>
      </c>
      <c r="B2863">
        <v>0.99930955844802105</v>
      </c>
      <c r="C2863">
        <v>1.20467383629951</v>
      </c>
      <c r="D2863">
        <v>1.09924318080818</v>
      </c>
      <c r="E2863">
        <v>0.812399645107304</v>
      </c>
      <c r="F2863">
        <v>0.46809793989474802</v>
      </c>
      <c r="G2863">
        <v>0.36119217694445799</v>
      </c>
      <c r="H2863">
        <v>0.25527315257678601</v>
      </c>
      <c r="I2863">
        <v>0.233069241746374</v>
      </c>
      <c r="J2863">
        <v>0.23114507876036899</v>
      </c>
      <c r="K2863">
        <v>0.20785729125559099</v>
      </c>
      <c r="L2863">
        <v>1684.39991409097</v>
      </c>
      <c r="M2863">
        <v>32.528472779731402</v>
      </c>
      <c r="N2863">
        <v>52.879938218594503</v>
      </c>
      <c r="O2863">
        <v>51.587806403599302</v>
      </c>
      <c r="P2863">
        <v>-0.118942207246587</v>
      </c>
      <c r="Q2863">
        <v>0.245468790409822</v>
      </c>
      <c r="R2863">
        <v>0.95590000834222599</v>
      </c>
      <c r="S2863" t="s">
        <v>9480</v>
      </c>
      <c r="T2863" t="s">
        <v>13232</v>
      </c>
      <c r="U2863" t="s">
        <v>13232</v>
      </c>
      <c r="V2863" t="s">
        <v>13232</v>
      </c>
      <c r="W2863" t="s">
        <v>16040</v>
      </c>
      <c r="X2863">
        <v>8</v>
      </c>
      <c r="Y2863" t="s">
        <v>22513</v>
      </c>
      <c r="Z2863" t="s">
        <v>28994</v>
      </c>
      <c r="AA2863">
        <v>0.54589510171891076</v>
      </c>
      <c r="AB2863" t="str">
        <f>HYPERLINK("Melting_Curves/meltCurve_P98082_3_DAB2.pdf", "Melting_Curves/meltCurve_P98082_3_DAB2.pdf")</f>
        <v>Melting_Curves/meltCurve_P98082_3_DAB2.pdf</v>
      </c>
    </row>
    <row r="2864" spans="1:28" x14ac:dyDescent="0.25">
      <c r="A2864" t="s">
        <v>2868</v>
      </c>
      <c r="B2864">
        <v>0.99930955844802105</v>
      </c>
      <c r="C2864">
        <v>0.93707273046955597</v>
      </c>
      <c r="D2864">
        <v>0.91417106443736496</v>
      </c>
      <c r="E2864">
        <v>0.79232228097369795</v>
      </c>
      <c r="F2864">
        <v>0.56022680533130498</v>
      </c>
      <c r="G2864">
        <v>0.371751587043469</v>
      </c>
      <c r="H2864">
        <v>0.26337125747666801</v>
      </c>
      <c r="I2864">
        <v>0.24966005317307</v>
      </c>
      <c r="J2864">
        <v>0.22065801100118801</v>
      </c>
      <c r="K2864">
        <v>0.16494642934914999</v>
      </c>
      <c r="L2864">
        <v>807.51965336584101</v>
      </c>
      <c r="M2864">
        <v>15.2668038193636</v>
      </c>
      <c r="N2864">
        <v>54.396853702897701</v>
      </c>
      <c r="O2864">
        <v>52.011208376252398</v>
      </c>
      <c r="P2864">
        <v>-6.0760631033277501E-2</v>
      </c>
      <c r="Q2864">
        <v>0.172076634066892</v>
      </c>
      <c r="R2864">
        <v>0.99515942050423301</v>
      </c>
      <c r="S2864" t="s">
        <v>9481</v>
      </c>
      <c r="T2864" t="s">
        <v>13232</v>
      </c>
      <c r="U2864" t="s">
        <v>13232</v>
      </c>
      <c r="V2864" t="s">
        <v>13232</v>
      </c>
      <c r="W2864" t="s">
        <v>16041</v>
      </c>
      <c r="X2864">
        <v>24</v>
      </c>
      <c r="Y2864" t="s">
        <v>22514</v>
      </c>
      <c r="Z2864" t="s">
        <v>28995</v>
      </c>
      <c r="AA2864">
        <v>0.54536651136406133</v>
      </c>
      <c r="AB2864" t="str">
        <f>HYPERLINK("Melting_Curves/meltCurve_P98170_XIAP.pdf", "Melting_Curves/meltCurve_P98170_XIAP.pdf")</f>
        <v>Melting_Curves/meltCurve_P98170_XIAP.pdf</v>
      </c>
    </row>
    <row r="2865" spans="1:28" x14ac:dyDescent="0.25">
      <c r="A2865" t="s">
        <v>2869</v>
      </c>
      <c r="B2865">
        <v>0.99930955844802105</v>
      </c>
      <c r="C2865">
        <v>0.91390132938255397</v>
      </c>
      <c r="D2865">
        <v>0.87684872970741301</v>
      </c>
      <c r="E2865">
        <v>0.80455893439564996</v>
      </c>
      <c r="F2865">
        <v>0.70070295525307502</v>
      </c>
      <c r="G2865">
        <v>0.68794038695262505</v>
      </c>
      <c r="H2865">
        <v>0.569286922438349</v>
      </c>
      <c r="I2865">
        <v>0.68762623878510098</v>
      </c>
      <c r="J2865">
        <v>0.69113357709371204</v>
      </c>
      <c r="K2865">
        <v>0.66422565350150298</v>
      </c>
      <c r="L2865">
        <v>693.69571688942597</v>
      </c>
      <c r="M2865">
        <v>14.4789915541679</v>
      </c>
      <c r="O2865">
        <v>47.0244205677552</v>
      </c>
      <c r="P2865">
        <v>-2.7093628674056201E-2</v>
      </c>
      <c r="Q2865">
        <v>0.64806557932530595</v>
      </c>
      <c r="R2865">
        <v>0.91276070990533098</v>
      </c>
      <c r="S2865" t="s">
        <v>9482</v>
      </c>
      <c r="T2865" t="s">
        <v>13232</v>
      </c>
      <c r="U2865" t="s">
        <v>13232</v>
      </c>
      <c r="V2865" t="s">
        <v>13232</v>
      </c>
      <c r="W2865" t="s">
        <v>16042</v>
      </c>
      <c r="X2865">
        <v>1</v>
      </c>
      <c r="Y2865" t="s">
        <v>22515</v>
      </c>
      <c r="Z2865" t="s">
        <v>28996</v>
      </c>
      <c r="AA2865">
        <v>0.75061704694563625</v>
      </c>
      <c r="AB2865" t="str">
        <f>HYPERLINK("Melting_Curves/meltCurve_P98174_FGD1.pdf", "Melting_Curves/meltCurve_P98174_FGD1.pdf")</f>
        <v>Melting_Curves/meltCurve_P98174_FGD1.pdf</v>
      </c>
    </row>
    <row r="2866" spans="1:28" x14ac:dyDescent="0.25">
      <c r="A2866" t="s">
        <v>2870</v>
      </c>
      <c r="B2866">
        <v>0.99930955844802105</v>
      </c>
      <c r="C2866">
        <v>0.99265037518941401</v>
      </c>
      <c r="D2866">
        <v>0.96718194422493697</v>
      </c>
      <c r="E2866">
        <v>0.89942484544595702</v>
      </c>
      <c r="F2866">
        <v>0.77393398205759001</v>
      </c>
      <c r="G2866">
        <v>0.62191894117393998</v>
      </c>
      <c r="H2866">
        <v>0.53701354052555506</v>
      </c>
      <c r="I2866">
        <v>0.55737294425795303</v>
      </c>
      <c r="J2866">
        <v>0.54516223035386502</v>
      </c>
      <c r="K2866">
        <v>0.415246395789447</v>
      </c>
      <c r="L2866">
        <v>834.73815195082796</v>
      </c>
      <c r="M2866">
        <v>15.408335729220401</v>
      </c>
      <c r="N2866">
        <v>66.039876461335098</v>
      </c>
      <c r="O2866">
        <v>53.286548988337898</v>
      </c>
      <c r="P2866">
        <v>-3.8416974601168698E-2</v>
      </c>
      <c r="Q2866">
        <v>0.46861960806660202</v>
      </c>
      <c r="R2866">
        <v>0.97776747514849105</v>
      </c>
      <c r="S2866" t="s">
        <v>9483</v>
      </c>
      <c r="T2866" t="s">
        <v>13232</v>
      </c>
      <c r="U2866" t="s">
        <v>13232</v>
      </c>
      <c r="V2866" t="s">
        <v>13232</v>
      </c>
      <c r="W2866" t="s">
        <v>16043</v>
      </c>
      <c r="X2866">
        <v>32</v>
      </c>
      <c r="Y2866" t="s">
        <v>22516</v>
      </c>
      <c r="Z2866" t="s">
        <v>28997</v>
      </c>
      <c r="AA2866">
        <v>0.73013435880404531</v>
      </c>
      <c r="AB2866" t="str">
        <f>HYPERLINK("Melting_Curves/meltCurve_P98175_2_RBM10.pdf", "Melting_Curves/meltCurve_P98175_2_RBM10.pdf")</f>
        <v>Melting_Curves/meltCurve_P98175_2_RBM10.pdf</v>
      </c>
    </row>
    <row r="2867" spans="1:28" x14ac:dyDescent="0.25">
      <c r="A2867" t="s">
        <v>2871</v>
      </c>
      <c r="B2867">
        <v>0.99930955844802105</v>
      </c>
      <c r="C2867">
        <v>0.95049460018779697</v>
      </c>
      <c r="D2867">
        <v>0.88934771312142402</v>
      </c>
      <c r="E2867">
        <v>0.780849725017985</v>
      </c>
      <c r="F2867">
        <v>0.49155297103309098</v>
      </c>
      <c r="G2867">
        <v>0.35461060100818298</v>
      </c>
      <c r="H2867">
        <v>0.25023458812154697</v>
      </c>
      <c r="I2867">
        <v>0.22841151328569401</v>
      </c>
      <c r="J2867">
        <v>0.228856182336552</v>
      </c>
      <c r="K2867">
        <v>0.17627796825211001</v>
      </c>
      <c r="L2867">
        <v>862.54375113101798</v>
      </c>
      <c r="M2867">
        <v>16.567305069273502</v>
      </c>
      <c r="N2867">
        <v>53.5820204397941</v>
      </c>
      <c r="O2867">
        <v>51.322209290818499</v>
      </c>
      <c r="P2867">
        <v>-6.5583584453398805E-2</v>
      </c>
      <c r="Q2867">
        <v>0.187396075237906</v>
      </c>
      <c r="R2867">
        <v>0.99265533843188503</v>
      </c>
      <c r="S2867" t="s">
        <v>9484</v>
      </c>
      <c r="T2867" t="s">
        <v>13232</v>
      </c>
      <c r="U2867" t="s">
        <v>13232</v>
      </c>
      <c r="V2867" t="s">
        <v>13232</v>
      </c>
      <c r="W2867" t="s">
        <v>16044</v>
      </c>
      <c r="X2867">
        <v>2</v>
      </c>
      <c r="Y2867" t="s">
        <v>22517</v>
      </c>
      <c r="Z2867" t="s">
        <v>28998</v>
      </c>
      <c r="AA2867">
        <v>0.52965057067747734</v>
      </c>
      <c r="AB2867" t="str">
        <f>HYPERLINK("Melting_Curves/meltCurve_P98177_FOXO4.pdf", "Melting_Curves/meltCurve_P98177_FOXO4.pdf")</f>
        <v>Melting_Curves/meltCurve_P98177_FOXO4.pdf</v>
      </c>
    </row>
    <row r="2868" spans="1:28" x14ac:dyDescent="0.25">
      <c r="A2868" t="s">
        <v>2872</v>
      </c>
      <c r="B2868">
        <v>0.99930955844802105</v>
      </c>
      <c r="C2868">
        <v>1.1414893392336301</v>
      </c>
      <c r="D2868">
        <v>1.0431509338374501</v>
      </c>
      <c r="E2868">
        <v>1.0145432853321601</v>
      </c>
      <c r="F2868">
        <v>0.83795744904597003</v>
      </c>
      <c r="G2868">
        <v>0.80537742310560601</v>
      </c>
      <c r="H2868">
        <v>0.88851825356573799</v>
      </c>
      <c r="I2868">
        <v>0.983224335519161</v>
      </c>
      <c r="J2868">
        <v>1.1480422911917201</v>
      </c>
      <c r="K2868">
        <v>0.83685911106441901</v>
      </c>
      <c r="L2868">
        <v>6332.3887921823098</v>
      </c>
      <c r="M2868">
        <v>123.80460679627799</v>
      </c>
      <c r="O2868">
        <v>51.134884527239798</v>
      </c>
      <c r="P2868">
        <v>-5.0340664507206298E-2</v>
      </c>
      <c r="Q2868">
        <v>0.91683136288259603</v>
      </c>
      <c r="R2868">
        <v>0.233068080879657</v>
      </c>
      <c r="S2868" t="s">
        <v>9485</v>
      </c>
      <c r="T2868" t="s">
        <v>13232</v>
      </c>
      <c r="U2868" t="s">
        <v>13232</v>
      </c>
      <c r="V2868" t="s">
        <v>13232</v>
      </c>
      <c r="W2868" t="s">
        <v>16045</v>
      </c>
      <c r="X2868">
        <v>2</v>
      </c>
      <c r="Y2868" t="s">
        <v>22518</v>
      </c>
      <c r="Z2868" t="s">
        <v>28999</v>
      </c>
      <c r="AA2868">
        <v>0.94776797985093708</v>
      </c>
      <c r="AB2868" t="str">
        <f>HYPERLINK("Melting_Curves/meltCurve_P98179_RBM3.pdf", "Melting_Curves/meltCurve_P98179_RBM3.pdf")</f>
        <v>Melting_Curves/meltCurve_P98179_RBM3.pdf</v>
      </c>
    </row>
    <row r="2869" spans="1:28" x14ac:dyDescent="0.25">
      <c r="A2869" t="s">
        <v>2873</v>
      </c>
      <c r="B2869">
        <v>0.99930955844802105</v>
      </c>
      <c r="C2869">
        <v>0.99205586057142303</v>
      </c>
      <c r="D2869">
        <v>0.82998254539657201</v>
      </c>
      <c r="E2869">
        <v>0.58543870111087304</v>
      </c>
      <c r="F2869">
        <v>0.290597129668419</v>
      </c>
      <c r="G2869">
        <v>0.20682128043840101</v>
      </c>
      <c r="H2869">
        <v>0.15834788764650901</v>
      </c>
      <c r="I2869">
        <v>0.14339784547228299</v>
      </c>
      <c r="J2869">
        <v>0.13377003616389799</v>
      </c>
      <c r="K2869">
        <v>0.11005625807147</v>
      </c>
      <c r="L2869">
        <v>998.28248117446299</v>
      </c>
      <c r="M2869">
        <v>20.026762220686901</v>
      </c>
      <c r="N2869">
        <v>50.580429729088301</v>
      </c>
      <c r="O2869">
        <v>49.358405219886997</v>
      </c>
      <c r="P2869">
        <v>-8.8662372571478507E-2</v>
      </c>
      <c r="Q2869">
        <v>0.12595154996409999</v>
      </c>
      <c r="R2869">
        <v>0.99576372750271203</v>
      </c>
      <c r="S2869" t="s">
        <v>9486</v>
      </c>
      <c r="T2869" t="s">
        <v>13232</v>
      </c>
      <c r="U2869" t="s">
        <v>13232</v>
      </c>
      <c r="V2869" t="s">
        <v>13232</v>
      </c>
      <c r="W2869" t="s">
        <v>16046</v>
      </c>
      <c r="X2869">
        <v>20</v>
      </c>
      <c r="Y2869" t="s">
        <v>22519</v>
      </c>
      <c r="Z2869" t="s">
        <v>29000</v>
      </c>
      <c r="AA2869">
        <v>0.42499930265256058</v>
      </c>
      <c r="AB2869" t="str">
        <f>HYPERLINK("Melting_Curves/meltCurve_Q00013_MPP1.pdf", "Melting_Curves/meltCurve_Q00013_MPP1.pdf")</f>
        <v>Melting_Curves/meltCurve_Q00013_MPP1.pdf</v>
      </c>
    </row>
    <row r="2870" spans="1:28" x14ac:dyDescent="0.25">
      <c r="A2870" t="s">
        <v>2874</v>
      </c>
      <c r="B2870">
        <v>0.99930955844802105</v>
      </c>
      <c r="C2870">
        <v>0.98497135152630799</v>
      </c>
      <c r="D2870">
        <v>0.94430163647759902</v>
      </c>
      <c r="E2870">
        <v>0.76847173633576704</v>
      </c>
      <c r="F2870">
        <v>0.63242705544617395</v>
      </c>
      <c r="G2870">
        <v>0.51802301437745701</v>
      </c>
      <c r="H2870">
        <v>0.43682873513215398</v>
      </c>
      <c r="I2870">
        <v>0.46929723483596397</v>
      </c>
      <c r="J2870">
        <v>0.43977120052068502</v>
      </c>
      <c r="K2870">
        <v>0.34997070708484401</v>
      </c>
      <c r="L2870">
        <v>825.66353778863697</v>
      </c>
      <c r="M2870">
        <v>15.9766122993697</v>
      </c>
      <c r="N2870">
        <v>57.438623490149702</v>
      </c>
      <c r="O2870">
        <v>50.890201720529703</v>
      </c>
      <c r="P2870">
        <v>-4.7154547813326501E-2</v>
      </c>
      <c r="Q2870">
        <v>0.39924320560872301</v>
      </c>
      <c r="R2870">
        <v>0.988188463099132</v>
      </c>
      <c r="S2870" t="s">
        <v>9487</v>
      </c>
      <c r="T2870" t="s">
        <v>13232</v>
      </c>
      <c r="U2870" t="s">
        <v>13232</v>
      </c>
      <c r="V2870" t="s">
        <v>13232</v>
      </c>
      <c r="W2870" t="s">
        <v>16047</v>
      </c>
      <c r="X2870">
        <v>13</v>
      </c>
      <c r="Y2870" t="s">
        <v>22520</v>
      </c>
      <c r="Z2870" t="s">
        <v>29001</v>
      </c>
      <c r="AA2870">
        <v>0.64540279864490879</v>
      </c>
      <c r="AB2870" t="str">
        <f>HYPERLINK("Melting_Curves/meltCurve_Q00059_TFAM.pdf", "Melting_Curves/meltCurve_Q00059_TFAM.pdf")</f>
        <v>Melting_Curves/meltCurve_Q00059_TFAM.pdf</v>
      </c>
    </row>
    <row r="2871" spans="1:28" x14ac:dyDescent="0.25">
      <c r="A2871" t="s">
        <v>2875</v>
      </c>
      <c r="B2871">
        <v>0.99930955844802105</v>
      </c>
      <c r="C2871">
        <v>0.98451774907450595</v>
      </c>
      <c r="D2871">
        <v>1.03761219293664</v>
      </c>
      <c r="E2871">
        <v>0.97934180222636003</v>
      </c>
      <c r="F2871">
        <v>0.87121367466426802</v>
      </c>
      <c r="G2871">
        <v>0.75707395427033097</v>
      </c>
      <c r="H2871">
        <v>0.49739590374161302</v>
      </c>
      <c r="I2871">
        <v>0.139875415577737</v>
      </c>
      <c r="J2871">
        <v>9.4181302771756098E-2</v>
      </c>
      <c r="K2871">
        <v>7.6193819635486604E-2</v>
      </c>
      <c r="L2871">
        <v>1251.1754678115999</v>
      </c>
      <c r="M2871">
        <v>20.8122481351778</v>
      </c>
      <c r="N2871">
        <v>60.117271269815802</v>
      </c>
      <c r="O2871">
        <v>59.570514177148297</v>
      </c>
      <c r="P2871">
        <v>-8.7345361491686202E-2</v>
      </c>
      <c r="Q2871">
        <v>0</v>
      </c>
      <c r="R2871">
        <v>0.98685212670001399</v>
      </c>
      <c r="S2871" t="s">
        <v>9488</v>
      </c>
      <c r="T2871" t="s">
        <v>13232</v>
      </c>
      <c r="U2871" t="s">
        <v>13232</v>
      </c>
      <c r="V2871" t="s">
        <v>13232</v>
      </c>
      <c r="W2871" t="s">
        <v>16048</v>
      </c>
      <c r="X2871">
        <v>23</v>
      </c>
      <c r="Y2871" t="s">
        <v>22521</v>
      </c>
      <c r="Z2871" t="s">
        <v>29002</v>
      </c>
      <c r="AA2871">
        <v>0.6786527924394069</v>
      </c>
      <c r="AB2871" t="str">
        <f>HYPERLINK("Melting_Curves/meltCurve_Q00169_PITPNA.pdf", "Melting_Curves/meltCurve_Q00169_PITPNA.pdf")</f>
        <v>Melting_Curves/meltCurve_Q00169_PITPNA.pdf</v>
      </c>
    </row>
    <row r="2872" spans="1:28" x14ac:dyDescent="0.25">
      <c r="A2872" t="s">
        <v>2876</v>
      </c>
      <c r="B2872">
        <v>0.99930955844802105</v>
      </c>
      <c r="C2872">
        <v>0.53254429293372996</v>
      </c>
      <c r="D2872">
        <v>0.405141937532074</v>
      </c>
      <c r="E2872">
        <v>0.57138001335552502</v>
      </c>
      <c r="F2872">
        <v>0.35464748940787799</v>
      </c>
      <c r="G2872">
        <v>0.18814975794080699</v>
      </c>
      <c r="H2872">
        <v>0.126347426868824</v>
      </c>
      <c r="I2872">
        <v>0.13394768382250399</v>
      </c>
      <c r="J2872">
        <v>0.11970635449202301</v>
      </c>
      <c r="K2872">
        <v>8.7876628344964194E-2</v>
      </c>
      <c r="L2872">
        <v>366.30918273113298</v>
      </c>
      <c r="M2872">
        <v>7.7817710898843204</v>
      </c>
      <c r="N2872">
        <v>47.353936904783602</v>
      </c>
      <c r="O2872">
        <v>44.267408811909</v>
      </c>
      <c r="P2872">
        <v>-4.3009029951846703E-2</v>
      </c>
      <c r="Q2872">
        <v>2.25800763117684E-2</v>
      </c>
      <c r="R2872">
        <v>0.84206211912914197</v>
      </c>
      <c r="S2872" t="s">
        <v>9489</v>
      </c>
      <c r="T2872" t="s">
        <v>13232</v>
      </c>
      <c r="U2872" t="s">
        <v>13232</v>
      </c>
      <c r="V2872" t="s">
        <v>13232</v>
      </c>
      <c r="W2872" t="s">
        <v>16049</v>
      </c>
      <c r="X2872">
        <v>3</v>
      </c>
      <c r="Y2872" t="s">
        <v>22522</v>
      </c>
      <c r="Z2872" t="s">
        <v>29003</v>
      </c>
      <c r="AA2872">
        <v>0.33318582373091382</v>
      </c>
      <c r="AB2872" t="str">
        <f>HYPERLINK("Melting_Curves/meltCurve_Q00325_2_SLC25A3.pdf", "Melting_Curves/meltCurve_Q00325_2_SLC25A3.pdf")</f>
        <v>Melting_Curves/meltCurve_Q00325_2_SLC25A3.pdf</v>
      </c>
    </row>
    <row r="2873" spans="1:28" x14ac:dyDescent="0.25">
      <c r="A2873" t="s">
        <v>2877</v>
      </c>
      <c r="B2873">
        <v>0.99930955844802105</v>
      </c>
      <c r="C2873">
        <v>0.92005035410536895</v>
      </c>
      <c r="D2873">
        <v>0.50991266572744098</v>
      </c>
      <c r="E2873">
        <v>0.32404075253953302</v>
      </c>
      <c r="F2873">
        <v>0.233508888042256</v>
      </c>
      <c r="G2873">
        <v>0.17984778532451701</v>
      </c>
      <c r="H2873">
        <v>0.14414588726317801</v>
      </c>
      <c r="I2873">
        <v>0.14008035231728</v>
      </c>
      <c r="J2873">
        <v>0.13812604104238399</v>
      </c>
      <c r="K2873">
        <v>0.11157010518287799</v>
      </c>
      <c r="L2873">
        <v>1011.3697651157501</v>
      </c>
      <c r="M2873">
        <v>21.960973403445902</v>
      </c>
      <c r="N2873">
        <v>46.810016814726097</v>
      </c>
      <c r="O2873">
        <v>45.676282177222703</v>
      </c>
      <c r="P2873">
        <v>-0.102236369746157</v>
      </c>
      <c r="Q2873">
        <v>0.14945976803461899</v>
      </c>
      <c r="R2873">
        <v>0.98461842034159996</v>
      </c>
      <c r="S2873" t="s">
        <v>9490</v>
      </c>
      <c r="T2873" t="s">
        <v>13232</v>
      </c>
      <c r="U2873" t="s">
        <v>13232</v>
      </c>
      <c r="V2873" t="s">
        <v>13232</v>
      </c>
      <c r="W2873" t="s">
        <v>16050</v>
      </c>
      <c r="X2873">
        <v>48</v>
      </c>
      <c r="Y2873" t="s">
        <v>22523</v>
      </c>
      <c r="Z2873" t="s">
        <v>29004</v>
      </c>
      <c r="AA2873">
        <v>0.33163813625456501</v>
      </c>
      <c r="AB2873" t="str">
        <f>HYPERLINK("Melting_Curves/meltCurve_Q00341_HDLBP.pdf", "Melting_Curves/meltCurve_Q00341_HDLBP.pdf")</f>
        <v>Melting_Curves/meltCurve_Q00341_HDLBP.pdf</v>
      </c>
    </row>
    <row r="2874" spans="1:28" x14ac:dyDescent="0.25">
      <c r="A2874" t="s">
        <v>2878</v>
      </c>
      <c r="B2874">
        <v>0.99930955844802105</v>
      </c>
      <c r="C2874">
        <v>0.95896266132983199</v>
      </c>
      <c r="D2874">
        <v>0.85923178012627699</v>
      </c>
      <c r="E2874">
        <v>0.58928502508698799</v>
      </c>
      <c r="F2874">
        <v>0.43394997898873</v>
      </c>
      <c r="G2874">
        <v>0.363604098175833</v>
      </c>
      <c r="H2874">
        <v>0.291066916188991</v>
      </c>
      <c r="I2874">
        <v>0.32542680841022298</v>
      </c>
      <c r="J2874">
        <v>0.307149670865066</v>
      </c>
      <c r="K2874">
        <v>0.24233010351874801</v>
      </c>
      <c r="L2874">
        <v>915.70428462343</v>
      </c>
      <c r="M2874">
        <v>18.568376037994099</v>
      </c>
      <c r="N2874">
        <v>51.672491977409997</v>
      </c>
      <c r="O2874">
        <v>48.753953092016303</v>
      </c>
      <c r="P2874">
        <v>-6.8018228061984598E-2</v>
      </c>
      <c r="Q2874">
        <v>0.28566445270016499</v>
      </c>
      <c r="R2874">
        <v>0.99449988651813703</v>
      </c>
      <c r="S2874" t="s">
        <v>9491</v>
      </c>
      <c r="T2874" t="s">
        <v>13232</v>
      </c>
      <c r="U2874" t="s">
        <v>13232</v>
      </c>
      <c r="V2874" t="s">
        <v>13232</v>
      </c>
      <c r="W2874" t="s">
        <v>16051</v>
      </c>
      <c r="X2874">
        <v>12</v>
      </c>
      <c r="Y2874" t="s">
        <v>22524</v>
      </c>
      <c r="Z2874" t="s">
        <v>29005</v>
      </c>
      <c r="AA2874">
        <v>0.51904472196611939</v>
      </c>
      <c r="AB2874" t="str">
        <f>HYPERLINK("Melting_Curves/meltCurve_Q00403_GTF2B.pdf", "Melting_Curves/meltCurve_Q00403_GTF2B.pdf")</f>
        <v>Melting_Curves/meltCurve_Q00403_GTF2B.pdf</v>
      </c>
    </row>
    <row r="2875" spans="1:28" x14ac:dyDescent="0.25">
      <c r="A2875" t="s">
        <v>2879</v>
      </c>
      <c r="B2875">
        <v>0.99930955844802105</v>
      </c>
      <c r="C2875">
        <v>0.99845315632313603</v>
      </c>
      <c r="D2875">
        <v>0.86433375838041204</v>
      </c>
      <c r="E2875">
        <v>0.611607931304048</v>
      </c>
      <c r="F2875">
        <v>0.43413988484923899</v>
      </c>
      <c r="G2875">
        <v>0.283400367187157</v>
      </c>
      <c r="H2875">
        <v>0.116037150279284</v>
      </c>
      <c r="I2875">
        <v>5.9705045923735399E-2</v>
      </c>
      <c r="J2875">
        <v>4.4829774071440398E-2</v>
      </c>
      <c r="K2875">
        <v>3.5537621044746698E-2</v>
      </c>
      <c r="L2875">
        <v>713.50990494594805</v>
      </c>
      <c r="M2875">
        <v>13.6947622368598</v>
      </c>
      <c r="N2875">
        <v>52.127241222476201</v>
      </c>
      <c r="O2875">
        <v>51.027673286777798</v>
      </c>
      <c r="P2875">
        <v>-6.6873268471519795E-2</v>
      </c>
      <c r="Q2875">
        <v>3.4452121802340798E-3</v>
      </c>
      <c r="R2875">
        <v>0.99583561247202101</v>
      </c>
      <c r="S2875" t="s">
        <v>9492</v>
      </c>
      <c r="T2875" t="s">
        <v>13232</v>
      </c>
      <c r="U2875" t="s">
        <v>13232</v>
      </c>
      <c r="V2875" t="s">
        <v>13232</v>
      </c>
      <c r="W2875" t="s">
        <v>16052</v>
      </c>
      <c r="X2875">
        <v>15</v>
      </c>
      <c r="Y2875" t="s">
        <v>22525</v>
      </c>
      <c r="Z2875" t="s">
        <v>29006</v>
      </c>
      <c r="AA2875">
        <v>0.43078964926917218</v>
      </c>
      <c r="AB2875" t="str">
        <f>HYPERLINK("Melting_Curves/meltCurve_Q00534_CDK6.pdf", "Melting_Curves/meltCurve_Q00534_CDK6.pdf")</f>
        <v>Melting_Curves/meltCurve_Q00534_CDK6.pdf</v>
      </c>
    </row>
    <row r="2876" spans="1:28" x14ac:dyDescent="0.25">
      <c r="A2876" t="s">
        <v>2880</v>
      </c>
      <c r="B2876">
        <v>0.99930955844802105</v>
      </c>
      <c r="C2876">
        <v>0.97910021472869202</v>
      </c>
      <c r="D2876">
        <v>0.77751843427567802</v>
      </c>
      <c r="E2876">
        <v>0.34190947853597198</v>
      </c>
      <c r="F2876">
        <v>0.18372083506488501</v>
      </c>
      <c r="G2876">
        <v>0.121516889692942</v>
      </c>
      <c r="H2876">
        <v>7.2946819684415007E-2</v>
      </c>
      <c r="I2876">
        <v>6.0660505997961099E-2</v>
      </c>
      <c r="J2876">
        <v>5.7298071179686598E-2</v>
      </c>
      <c r="K2876">
        <v>4.4946288292531902E-2</v>
      </c>
      <c r="L2876">
        <v>1132.2283124171799</v>
      </c>
      <c r="M2876">
        <v>23.435923767811499</v>
      </c>
      <c r="N2876">
        <v>48.598331581829299</v>
      </c>
      <c r="O2876">
        <v>47.964037916256899</v>
      </c>
      <c r="P2876">
        <v>-0.114269714698533</v>
      </c>
      <c r="Q2876">
        <v>6.4557389374392898E-2</v>
      </c>
      <c r="R2876">
        <v>0.99814434352242598</v>
      </c>
      <c r="S2876" t="s">
        <v>9493</v>
      </c>
      <c r="T2876" t="s">
        <v>13232</v>
      </c>
      <c r="U2876" t="s">
        <v>13232</v>
      </c>
      <c r="V2876" t="s">
        <v>13232</v>
      </c>
      <c r="W2876" t="s">
        <v>16053</v>
      </c>
      <c r="X2876">
        <v>18</v>
      </c>
      <c r="Y2876" t="s">
        <v>22526</v>
      </c>
      <c r="Z2876" t="s">
        <v>29007</v>
      </c>
      <c r="AA2876">
        <v>0.33319726150690238</v>
      </c>
      <c r="AB2876" t="str">
        <f>HYPERLINK("Melting_Curves/meltCurve_Q00535_CDK5.pdf", "Melting_Curves/meltCurve_Q00535_CDK5.pdf")</f>
        <v>Melting_Curves/meltCurve_Q00535_CDK5.pdf</v>
      </c>
    </row>
    <row r="2877" spans="1:28" x14ac:dyDescent="0.25">
      <c r="A2877" t="s">
        <v>2881</v>
      </c>
      <c r="B2877">
        <v>0.99930955844802105</v>
      </c>
      <c r="C2877">
        <v>1.03215738751785</v>
      </c>
      <c r="D2877">
        <v>0.89128108972638598</v>
      </c>
      <c r="E2877">
        <v>0.77830282933330197</v>
      </c>
      <c r="F2877">
        <v>0.40426237832184497</v>
      </c>
      <c r="G2877">
        <v>0.25478041798256501</v>
      </c>
      <c r="H2877">
        <v>0.16838340923706999</v>
      </c>
      <c r="I2877">
        <v>0.18813160218008501</v>
      </c>
      <c r="J2877">
        <v>0.14362345480043301</v>
      </c>
      <c r="K2877">
        <v>0.109460509239428</v>
      </c>
      <c r="L2877">
        <v>1219.8903796864099</v>
      </c>
      <c r="M2877">
        <v>23.618730897546602</v>
      </c>
      <c r="N2877">
        <v>52.408892418852901</v>
      </c>
      <c r="O2877">
        <v>51.283294170007899</v>
      </c>
      <c r="P2877">
        <v>-9.8451636876128804E-2</v>
      </c>
      <c r="Q2877">
        <v>0.14494318719627899</v>
      </c>
      <c r="R2877">
        <v>0.99014235850022903</v>
      </c>
      <c r="S2877" t="s">
        <v>9494</v>
      </c>
      <c r="T2877" t="s">
        <v>13232</v>
      </c>
      <c r="U2877" t="s">
        <v>13232</v>
      </c>
      <c r="V2877" t="s">
        <v>13232</v>
      </c>
      <c r="W2877" t="s">
        <v>16054</v>
      </c>
      <c r="X2877">
        <v>13</v>
      </c>
      <c r="Y2877" t="s">
        <v>22527</v>
      </c>
      <c r="Z2877" t="s">
        <v>29008</v>
      </c>
      <c r="AA2877">
        <v>0.48564896698053012</v>
      </c>
      <c r="AB2877" t="str">
        <f>HYPERLINK("Melting_Curves/meltCurve_Q00536_CDK16.pdf", "Melting_Curves/meltCurve_Q00536_CDK16.pdf")</f>
        <v>Melting_Curves/meltCurve_Q00536_CDK16.pdf</v>
      </c>
    </row>
    <row r="2878" spans="1:28" x14ac:dyDescent="0.25">
      <c r="A2878" t="s">
        <v>2882</v>
      </c>
      <c r="B2878">
        <v>0.99930955844802105</v>
      </c>
      <c r="C2878">
        <v>0.99153630372362001</v>
      </c>
      <c r="D2878">
        <v>0.98693459419526697</v>
      </c>
      <c r="E2878">
        <v>0.96391945620415698</v>
      </c>
      <c r="F2878">
        <v>0.92507007073837699</v>
      </c>
      <c r="G2878">
        <v>0.83516813447059801</v>
      </c>
      <c r="H2878">
        <v>0.61417977576951799</v>
      </c>
      <c r="I2878">
        <v>0.55937556763227803</v>
      </c>
      <c r="J2878">
        <v>0.411158942514395</v>
      </c>
      <c r="K2878">
        <v>0.186330415246974</v>
      </c>
      <c r="L2878">
        <v>819.27755643115597</v>
      </c>
      <c r="M2878">
        <v>12.774766349342</v>
      </c>
      <c r="N2878">
        <v>64.132503785672498</v>
      </c>
      <c r="O2878">
        <v>62.621901184848703</v>
      </c>
      <c r="P2878">
        <v>-5.1009239871247301E-2</v>
      </c>
      <c r="Q2878">
        <v>0</v>
      </c>
      <c r="R2878">
        <v>0.98423506132222405</v>
      </c>
      <c r="S2878" t="s">
        <v>9495</v>
      </c>
      <c r="T2878" t="s">
        <v>13232</v>
      </c>
      <c r="U2878" t="s">
        <v>13232</v>
      </c>
      <c r="V2878" t="s">
        <v>13232</v>
      </c>
      <c r="W2878" t="s">
        <v>16055</v>
      </c>
      <c r="X2878">
        <v>11</v>
      </c>
      <c r="Y2878" t="s">
        <v>22528</v>
      </c>
      <c r="Z2878" t="s">
        <v>29009</v>
      </c>
      <c r="AA2878">
        <v>0.77784468911229121</v>
      </c>
      <c r="AB2878" t="str">
        <f>HYPERLINK("Melting_Curves/meltCurve_Q00577_PURA.pdf", "Melting_Curves/meltCurve_Q00577_PURA.pdf")</f>
        <v>Melting_Curves/meltCurve_Q00577_PURA.pdf</v>
      </c>
    </row>
    <row r="2879" spans="1:28" x14ac:dyDescent="0.25">
      <c r="A2879" t="s">
        <v>2883</v>
      </c>
      <c r="B2879">
        <v>0.99930955844802105</v>
      </c>
      <c r="C2879">
        <v>1.05835750202504</v>
      </c>
      <c r="D2879">
        <v>1.00198483030587</v>
      </c>
      <c r="E2879">
        <v>0.84368934267500195</v>
      </c>
      <c r="F2879">
        <v>0.72901376696086895</v>
      </c>
      <c r="G2879">
        <v>0.60632976410531303</v>
      </c>
      <c r="H2879">
        <v>0.54508203236131203</v>
      </c>
      <c r="I2879">
        <v>0.58920141017051897</v>
      </c>
      <c r="J2879">
        <v>0.52962034540178904</v>
      </c>
      <c r="K2879">
        <v>0.44937911097489303</v>
      </c>
      <c r="L2879">
        <v>1003.51172615694</v>
      </c>
      <c r="M2879">
        <v>19.1265589666524</v>
      </c>
      <c r="O2879">
        <v>51.903481553565001</v>
      </c>
      <c r="P2879">
        <v>-4.4831096313025398E-2</v>
      </c>
      <c r="Q2879">
        <v>0.51338876341209405</v>
      </c>
      <c r="R2879">
        <v>0.96886631047293303</v>
      </c>
      <c r="S2879" t="s">
        <v>9496</v>
      </c>
      <c r="T2879" t="s">
        <v>13232</v>
      </c>
      <c r="U2879" t="s">
        <v>13232</v>
      </c>
      <c r="V2879" t="s">
        <v>13232</v>
      </c>
      <c r="W2879" t="s">
        <v>16056</v>
      </c>
      <c r="X2879">
        <v>9</v>
      </c>
      <c r="Y2879" t="s">
        <v>22529</v>
      </c>
      <c r="Z2879" t="s">
        <v>29010</v>
      </c>
      <c r="AA2879">
        <v>0.72286627288423311</v>
      </c>
      <c r="AB2879" t="str">
        <f>HYPERLINK("Melting_Curves/meltCurve_Q00587_2_CDC42EP1.pdf", "Melting_Curves/meltCurve_Q00587_2_CDC42EP1.pdf")</f>
        <v>Melting_Curves/meltCurve_Q00587_2_CDC42EP1.pdf</v>
      </c>
    </row>
    <row r="2880" spans="1:28" x14ac:dyDescent="0.25">
      <c r="A2880" t="s">
        <v>2884</v>
      </c>
      <c r="B2880">
        <v>0.99930955844802105</v>
      </c>
      <c r="C2880">
        <v>0.77458495656106996</v>
      </c>
      <c r="D2880">
        <v>0.97376717146004299</v>
      </c>
      <c r="E2880">
        <v>0.85686774456875903</v>
      </c>
      <c r="F2880">
        <v>0.173906861894295</v>
      </c>
      <c r="G2880">
        <v>0.13113620637717599</v>
      </c>
      <c r="H2880">
        <v>7.6149710339365101E-2</v>
      </c>
      <c r="I2880">
        <v>6.4988738576137198E-2</v>
      </c>
      <c r="J2880">
        <v>5.43653974882779E-2</v>
      </c>
      <c r="K2880">
        <v>4.1725907521904797E-2</v>
      </c>
      <c r="L2880">
        <v>3330.93114669433</v>
      </c>
      <c r="M2880">
        <v>64.926946077117194</v>
      </c>
      <c r="N2880">
        <v>51.427822221584996</v>
      </c>
      <c r="O2880">
        <v>51.254174624348302</v>
      </c>
      <c r="P2880">
        <v>-0.29356677859490099</v>
      </c>
      <c r="Q2880">
        <v>7.3018992940600699E-2</v>
      </c>
      <c r="R2880">
        <v>0.96545012096409599</v>
      </c>
      <c r="S2880" t="s">
        <v>9497</v>
      </c>
      <c r="T2880" t="s">
        <v>13232</v>
      </c>
      <c r="U2880" t="s">
        <v>13232</v>
      </c>
      <c r="V2880" t="s">
        <v>13232</v>
      </c>
      <c r="W2880" t="s">
        <v>16057</v>
      </c>
      <c r="X2880">
        <v>94</v>
      </c>
      <c r="Y2880" t="s">
        <v>22530</v>
      </c>
      <c r="Z2880" t="s">
        <v>29011</v>
      </c>
      <c r="AA2880">
        <v>0.42350816187285578</v>
      </c>
      <c r="AB2880" t="str">
        <f>HYPERLINK("Melting_Curves/meltCurve_Q00610_2_CLTC.pdf", "Melting_Curves/meltCurve_Q00610_2_CLTC.pdf")</f>
        <v>Melting_Curves/meltCurve_Q00610_2_CLTC.pdf</v>
      </c>
    </row>
    <row r="2881" spans="1:28" x14ac:dyDescent="0.25">
      <c r="A2881" t="s">
        <v>2885</v>
      </c>
      <c r="B2881">
        <v>0.99930955844802105</v>
      </c>
      <c r="C2881">
        <v>1.0877423702397699</v>
      </c>
      <c r="D2881">
        <v>1.09992918797737</v>
      </c>
      <c r="E2881">
        <v>0.94992163612857805</v>
      </c>
      <c r="F2881">
        <v>0.67412865310674197</v>
      </c>
      <c r="G2881">
        <v>0.48003649960540901</v>
      </c>
      <c r="H2881">
        <v>0.41528704326931498</v>
      </c>
      <c r="I2881">
        <v>0.44123525607327302</v>
      </c>
      <c r="J2881">
        <v>0.42498389096779698</v>
      </c>
      <c r="K2881">
        <v>0.37309683786647801</v>
      </c>
      <c r="L2881">
        <v>2058.4121032212201</v>
      </c>
      <c r="M2881">
        <v>39.004619335325103</v>
      </c>
      <c r="N2881">
        <v>55.353174195296297</v>
      </c>
      <c r="O2881">
        <v>52.635399851352197</v>
      </c>
      <c r="P2881">
        <v>-0.107671757129746</v>
      </c>
      <c r="Q2881">
        <v>0.41880393365378599</v>
      </c>
      <c r="R2881">
        <v>0.97400012429940797</v>
      </c>
      <c r="S2881" t="s">
        <v>9498</v>
      </c>
      <c r="T2881" t="s">
        <v>13232</v>
      </c>
      <c r="U2881" t="s">
        <v>13232</v>
      </c>
      <c r="V2881" t="s">
        <v>13232</v>
      </c>
      <c r="W2881" t="s">
        <v>16058</v>
      </c>
      <c r="X2881">
        <v>13</v>
      </c>
      <c r="Y2881" t="s">
        <v>22531</v>
      </c>
      <c r="Z2881" t="s">
        <v>29012</v>
      </c>
      <c r="AA2881">
        <v>0.66849651235387597</v>
      </c>
      <c r="AB2881" t="str">
        <f>HYPERLINK("Melting_Curves/meltCurve_Q00613_2_HSF1.pdf", "Melting_Curves/meltCurve_Q00613_2_HSF1.pdf")</f>
        <v>Melting_Curves/meltCurve_Q00613_2_HSF1.pdf</v>
      </c>
    </row>
    <row r="2882" spans="1:28" x14ac:dyDescent="0.25">
      <c r="A2882" t="s">
        <v>2886</v>
      </c>
      <c r="B2882">
        <v>0.99930955844802105</v>
      </c>
      <c r="C2882">
        <v>0.92611063287962903</v>
      </c>
      <c r="D2882">
        <v>0.70603162348444604</v>
      </c>
      <c r="E2882">
        <v>0.38938830371584798</v>
      </c>
      <c r="F2882">
        <v>0.22050138935237301</v>
      </c>
      <c r="G2882">
        <v>0.16759344454045499</v>
      </c>
      <c r="H2882">
        <v>0.12031025415897501</v>
      </c>
      <c r="I2882">
        <v>0.118856972134799</v>
      </c>
      <c r="J2882">
        <v>0.110014145894228</v>
      </c>
      <c r="K2882">
        <v>8.9077935995822102E-2</v>
      </c>
      <c r="L2882">
        <v>913.55210623672804</v>
      </c>
      <c r="M2882">
        <v>19.075321993596901</v>
      </c>
      <c r="N2882">
        <v>48.499451396870199</v>
      </c>
      <c r="O2882">
        <v>47.3748004461902</v>
      </c>
      <c r="P2882">
        <v>-8.9966327760723996E-2</v>
      </c>
      <c r="Q2882">
        <v>0.10628615829145199</v>
      </c>
      <c r="R2882">
        <v>0.99850699482008598</v>
      </c>
      <c r="S2882" t="s">
        <v>9499</v>
      </c>
      <c r="T2882" t="s">
        <v>13232</v>
      </c>
      <c r="U2882" t="s">
        <v>13232</v>
      </c>
      <c r="V2882" t="s">
        <v>13232</v>
      </c>
      <c r="W2882" t="s">
        <v>16059</v>
      </c>
      <c r="X2882">
        <v>12</v>
      </c>
      <c r="Y2882" t="s">
        <v>22532</v>
      </c>
      <c r="Z2882" t="s">
        <v>29013</v>
      </c>
      <c r="AA2882">
        <v>0.35546503848077421</v>
      </c>
      <c r="AB2882" t="str">
        <f>HYPERLINK("Melting_Curves/meltCurve_Q00653_4_NFKB2.pdf", "Melting_Curves/meltCurve_Q00653_4_NFKB2.pdf")</f>
        <v>Melting_Curves/meltCurve_Q00653_4_NFKB2.pdf</v>
      </c>
    </row>
    <row r="2883" spans="1:28" x14ac:dyDescent="0.25">
      <c r="A2883" t="s">
        <v>2887</v>
      </c>
      <c r="B2883">
        <v>0.99930955844802105</v>
      </c>
      <c r="C2883">
        <v>1.00508776043133</v>
      </c>
      <c r="D2883">
        <v>1.01441002206537</v>
      </c>
      <c r="E2883">
        <v>0.955122682024376</v>
      </c>
      <c r="F2883">
        <v>0.71426104455097095</v>
      </c>
      <c r="G2883">
        <v>0.50810579288024704</v>
      </c>
      <c r="H2883">
        <v>0.40796667042970403</v>
      </c>
      <c r="I2883">
        <v>0.42419877259592198</v>
      </c>
      <c r="J2883">
        <v>0.427409945718842</v>
      </c>
      <c r="K2883">
        <v>0.33946150714060003</v>
      </c>
      <c r="L2883">
        <v>1514.89406417891</v>
      </c>
      <c r="M2883">
        <v>28.311821511323899</v>
      </c>
      <c r="N2883">
        <v>56.647845158606202</v>
      </c>
      <c r="O2883">
        <v>53.242672684298</v>
      </c>
      <c r="P2883">
        <v>-8.0304739578402895E-2</v>
      </c>
      <c r="Q2883">
        <v>0.39592687146396599</v>
      </c>
      <c r="R2883">
        <v>0.99063613094867298</v>
      </c>
      <c r="S2883" t="s">
        <v>9500</v>
      </c>
      <c r="T2883" t="s">
        <v>13232</v>
      </c>
      <c r="U2883" t="s">
        <v>13232</v>
      </c>
      <c r="V2883" t="s">
        <v>13232</v>
      </c>
      <c r="W2883" t="s">
        <v>16060</v>
      </c>
      <c r="X2883">
        <v>18</v>
      </c>
      <c r="Y2883" t="s">
        <v>22533</v>
      </c>
      <c r="Z2883" t="s">
        <v>29014</v>
      </c>
      <c r="AA2883">
        <v>0.67232174699216496</v>
      </c>
      <c r="AB2883" t="str">
        <f>HYPERLINK("Melting_Curves/meltCurve_Q00688_FKBP3.pdf", "Melting_Curves/meltCurve_Q00688_FKBP3.pdf")</f>
        <v>Melting_Curves/meltCurve_Q00688_FKBP3.pdf</v>
      </c>
    </row>
    <row r="2884" spans="1:28" x14ac:dyDescent="0.25">
      <c r="A2884" t="s">
        <v>2888</v>
      </c>
      <c r="B2884">
        <v>0.99930955844802105</v>
      </c>
      <c r="C2884">
        <v>0.98927318216998605</v>
      </c>
      <c r="D2884">
        <v>0.99530033740731405</v>
      </c>
      <c r="E2884">
        <v>1.00231074559245</v>
      </c>
      <c r="F2884">
        <v>1.0403301068181701</v>
      </c>
      <c r="G2884">
        <v>0.75451801242729899</v>
      </c>
      <c r="H2884">
        <v>0.22802291178125</v>
      </c>
      <c r="I2884">
        <v>0.13111327236850101</v>
      </c>
      <c r="J2884">
        <v>0.11176282915149501</v>
      </c>
      <c r="K2884">
        <v>8.3891187440950005E-2</v>
      </c>
      <c r="L2884">
        <v>2483.0322697645402</v>
      </c>
      <c r="M2884">
        <v>42.544215345108903</v>
      </c>
      <c r="N2884">
        <v>58.675139509598402</v>
      </c>
      <c r="O2884">
        <v>58.235070686310799</v>
      </c>
      <c r="P2884">
        <v>-0.16417422111583499</v>
      </c>
      <c r="Q2884">
        <v>0.101106408379239</v>
      </c>
      <c r="R2884">
        <v>0.99799860121036998</v>
      </c>
      <c r="S2884" t="s">
        <v>9501</v>
      </c>
      <c r="T2884" t="s">
        <v>13232</v>
      </c>
      <c r="U2884" t="s">
        <v>13232</v>
      </c>
      <c r="V2884" t="s">
        <v>13232</v>
      </c>
      <c r="W2884" t="s">
        <v>16061</v>
      </c>
      <c r="X2884">
        <v>15</v>
      </c>
      <c r="Y2884" t="s">
        <v>22534</v>
      </c>
      <c r="Z2884" t="s">
        <v>29015</v>
      </c>
      <c r="AA2884">
        <v>0.65448623385000626</v>
      </c>
      <c r="AB2884" t="str">
        <f>HYPERLINK("Melting_Curves/meltCurve_Q00796_SORD.pdf", "Melting_Curves/meltCurve_Q00796_SORD.pdf")</f>
        <v>Melting_Curves/meltCurve_Q00796_SORD.pdf</v>
      </c>
    </row>
    <row r="2885" spans="1:28" x14ac:dyDescent="0.25">
      <c r="A2885" t="s">
        <v>2889</v>
      </c>
      <c r="B2885">
        <v>0.99930955844802105</v>
      </c>
      <c r="C2885">
        <v>0.69775688109377598</v>
      </c>
      <c r="D2885">
        <v>0.50449576167157095</v>
      </c>
      <c r="E2885">
        <v>0.384588795069152</v>
      </c>
      <c r="F2885">
        <v>0.28775960709784398</v>
      </c>
      <c r="G2885">
        <v>0.22074327011993899</v>
      </c>
      <c r="H2885">
        <v>0.16420704676487299</v>
      </c>
      <c r="I2885">
        <v>0.15337487730483801</v>
      </c>
      <c r="J2885">
        <v>0.148178540478204</v>
      </c>
      <c r="K2885">
        <v>0.11649736991034999</v>
      </c>
      <c r="L2885">
        <v>612.42680410961998</v>
      </c>
      <c r="M2885">
        <v>13.3896597025389</v>
      </c>
      <c r="N2885">
        <v>46.894599783380301</v>
      </c>
      <c r="O2885">
        <v>44.754702254159497</v>
      </c>
      <c r="P2885">
        <v>-6.4292921418060506E-2</v>
      </c>
      <c r="Q2885">
        <v>0.14054358738478601</v>
      </c>
      <c r="R2885">
        <v>0.97243155065098896</v>
      </c>
      <c r="S2885" t="s">
        <v>9502</v>
      </c>
      <c r="T2885" t="s">
        <v>13232</v>
      </c>
      <c r="U2885" t="s">
        <v>13232</v>
      </c>
      <c r="V2885" t="s">
        <v>13232</v>
      </c>
      <c r="W2885" t="s">
        <v>16062</v>
      </c>
      <c r="X2885">
        <v>52</v>
      </c>
      <c r="Y2885" t="s">
        <v>22535</v>
      </c>
      <c r="Z2885" t="s">
        <v>29016</v>
      </c>
      <c r="AA2885">
        <v>0.33735369166163542</v>
      </c>
      <c r="AB2885" t="str">
        <f>HYPERLINK("Melting_Curves/meltCurve_Q00839_HNRNPU.pdf", "Melting_Curves/meltCurve_Q00839_HNRNPU.pdf")</f>
        <v>Melting_Curves/meltCurve_Q00839_HNRNPU.pdf</v>
      </c>
    </row>
    <row r="2886" spans="1:28" x14ac:dyDescent="0.25">
      <c r="A2886" t="s">
        <v>2890</v>
      </c>
      <c r="B2886">
        <v>0.99930955844802105</v>
      </c>
      <c r="C2886">
        <v>1.55009958467451</v>
      </c>
      <c r="D2886">
        <v>0.560863497055754</v>
      </c>
      <c r="E2886">
        <v>0.99470337641528805</v>
      </c>
      <c r="F2886">
        <v>0.74150212206421895</v>
      </c>
      <c r="G2886">
        <v>0.43674142803682697</v>
      </c>
      <c r="H2886">
        <v>0.889784399474848</v>
      </c>
      <c r="I2886">
        <v>2.0961679878339599</v>
      </c>
      <c r="J2886">
        <v>3.0673881845422</v>
      </c>
      <c r="K2886">
        <v>1.17145231634828</v>
      </c>
      <c r="L2886">
        <v>15000</v>
      </c>
      <c r="M2886">
        <v>240.97273467095701</v>
      </c>
      <c r="O2886">
        <v>62.243431046525203</v>
      </c>
      <c r="P2886">
        <v>0.48393215608624102</v>
      </c>
      <c r="Q2886">
        <v>1.5</v>
      </c>
      <c r="R2886">
        <v>0.33884487900843302</v>
      </c>
      <c r="S2886" t="s">
        <v>9503</v>
      </c>
      <c r="T2886" t="s">
        <v>13232</v>
      </c>
      <c r="U2886" t="s">
        <v>13232</v>
      </c>
      <c r="V2886" t="s">
        <v>13232</v>
      </c>
      <c r="W2886" t="s">
        <v>16063</v>
      </c>
      <c r="X2886">
        <v>50</v>
      </c>
      <c r="Y2886" t="s">
        <v>22535</v>
      </c>
      <c r="Z2886" t="s">
        <v>29017</v>
      </c>
      <c r="AA2886">
        <v>1.1291461039849069</v>
      </c>
      <c r="AB2886" t="str">
        <f>HYPERLINK("Melting_Curves/meltCurve_Q00839_2_HNRNPU.pdf", "Melting_Curves/meltCurve_Q00839_2_HNRNPU.pdf")</f>
        <v>Melting_Curves/meltCurve_Q00839_2_HNRNPU.pdf</v>
      </c>
    </row>
    <row r="2887" spans="1:28" x14ac:dyDescent="0.25">
      <c r="A2887" t="s">
        <v>2891</v>
      </c>
      <c r="B2887">
        <v>0.99930955844802105</v>
      </c>
      <c r="C2887">
        <v>0.95630382704710104</v>
      </c>
      <c r="D2887">
        <v>0.72068645920335095</v>
      </c>
      <c r="E2887">
        <v>0.44967688845402198</v>
      </c>
      <c r="F2887">
        <v>0.28414177351195302</v>
      </c>
      <c r="G2887">
        <v>0.21907007256114699</v>
      </c>
      <c r="H2887">
        <v>0.166336452748123</v>
      </c>
      <c r="I2887">
        <v>0.159625278349558</v>
      </c>
      <c r="J2887">
        <v>0.15471459047324401</v>
      </c>
      <c r="K2887">
        <v>0.112729490112288</v>
      </c>
      <c r="L2887">
        <v>864.25210476191398</v>
      </c>
      <c r="M2887">
        <v>17.9011047403806</v>
      </c>
      <c r="N2887">
        <v>49.206731812064497</v>
      </c>
      <c r="O2887">
        <v>47.688880539756603</v>
      </c>
      <c r="P2887">
        <v>-8.0409743729811203E-2</v>
      </c>
      <c r="Q2887">
        <v>0.14319125822200701</v>
      </c>
      <c r="R2887">
        <v>0.99573064017851598</v>
      </c>
      <c r="S2887" t="s">
        <v>9504</v>
      </c>
      <c r="T2887" t="s">
        <v>13232</v>
      </c>
      <c r="U2887" t="s">
        <v>13232</v>
      </c>
      <c r="V2887" t="s">
        <v>13232</v>
      </c>
      <c r="W2887" t="s">
        <v>16064</v>
      </c>
      <c r="X2887">
        <v>5</v>
      </c>
      <c r="Y2887" t="s">
        <v>22536</v>
      </c>
      <c r="Z2887" t="s">
        <v>29018</v>
      </c>
      <c r="AA2887">
        <v>0.39490365446624098</v>
      </c>
      <c r="AB2887" t="str">
        <f>HYPERLINK("Melting_Curves/meltCurve_Q00978_IRF9.pdf", "Melting_Curves/meltCurve_Q00978_IRF9.pdf")</f>
        <v>Melting_Curves/meltCurve_Q00978_IRF9.pdf</v>
      </c>
    </row>
    <row r="2888" spans="1:28" x14ac:dyDescent="0.25">
      <c r="A2888" t="s">
        <v>2892</v>
      </c>
      <c r="B2888">
        <v>0.99930955844802105</v>
      </c>
      <c r="C2888">
        <v>0.69810759811049095</v>
      </c>
      <c r="D2888">
        <v>0.47442297524987798</v>
      </c>
      <c r="E2888">
        <v>0.39801075321329499</v>
      </c>
      <c r="F2888">
        <v>0.26645786379319297</v>
      </c>
      <c r="G2888">
        <v>0.17499668212116301</v>
      </c>
      <c r="H2888">
        <v>8.8227693727846307E-2</v>
      </c>
      <c r="I2888">
        <v>7.4211075591769898E-2</v>
      </c>
      <c r="J2888">
        <v>6.50392205229533E-2</v>
      </c>
      <c r="K2888">
        <v>5.35089866118666E-2</v>
      </c>
      <c r="L2888">
        <v>534.07174186336999</v>
      </c>
      <c r="M2888">
        <v>11.4490983260582</v>
      </c>
      <c r="N2888">
        <v>47.026867195641699</v>
      </c>
      <c r="O2888">
        <v>45.292435608275603</v>
      </c>
      <c r="P2888">
        <v>-6.0425050518146201E-2</v>
      </c>
      <c r="Q2888">
        <v>4.4114543364664402E-2</v>
      </c>
      <c r="R2888">
        <v>0.96776464853194299</v>
      </c>
      <c r="S2888" t="s">
        <v>9505</v>
      </c>
      <c r="T2888" t="s">
        <v>13232</v>
      </c>
      <c r="U2888" t="s">
        <v>13232</v>
      </c>
      <c r="V2888" t="s">
        <v>13232</v>
      </c>
      <c r="W2888" t="s">
        <v>16065</v>
      </c>
      <c r="X2888">
        <v>7</v>
      </c>
      <c r="Y2888" t="s">
        <v>22537</v>
      </c>
      <c r="Z2888" t="s">
        <v>29019</v>
      </c>
      <c r="AA2888">
        <v>0.30083012744336901</v>
      </c>
      <c r="AB2888" t="str">
        <f>HYPERLINK("Melting_Curves/meltCurve_Q01081_U2AF1.pdf", "Melting_Curves/meltCurve_Q01081_U2AF1.pdf")</f>
        <v>Melting_Curves/meltCurve_Q01081_U2AF1.pdf</v>
      </c>
    </row>
    <row r="2889" spans="1:28" x14ac:dyDescent="0.25">
      <c r="A2889" t="s">
        <v>2893</v>
      </c>
      <c r="B2889">
        <v>0.99930955844802105</v>
      </c>
      <c r="C2889">
        <v>0.66333801064862397</v>
      </c>
      <c r="D2889">
        <v>0.613198426167473</v>
      </c>
      <c r="E2889">
        <v>0.76904626309555302</v>
      </c>
      <c r="F2889">
        <v>0.80765209316227005</v>
      </c>
      <c r="G2889">
        <v>0.48746774882830202</v>
      </c>
      <c r="H2889">
        <v>0.124893891677637</v>
      </c>
      <c r="I2889">
        <v>0.100622970715553</v>
      </c>
      <c r="J2889">
        <v>8.0806199881048701E-2</v>
      </c>
      <c r="K2889">
        <v>6.5032545776851594E-2</v>
      </c>
      <c r="L2889">
        <v>494.74441094850499</v>
      </c>
      <c r="M2889">
        <v>9.1265772515110708</v>
      </c>
      <c r="N2889">
        <v>54.209195418904997</v>
      </c>
      <c r="O2889">
        <v>51.796799754657101</v>
      </c>
      <c r="P2889">
        <v>-4.40802478729884E-2</v>
      </c>
      <c r="Q2889">
        <v>0</v>
      </c>
      <c r="R2889">
        <v>0.78957545149411201</v>
      </c>
      <c r="S2889" t="s">
        <v>9506</v>
      </c>
      <c r="T2889" t="s">
        <v>13232</v>
      </c>
      <c r="U2889" t="s">
        <v>13232</v>
      </c>
      <c r="V2889" t="s">
        <v>13232</v>
      </c>
      <c r="W2889" t="s">
        <v>16066</v>
      </c>
      <c r="X2889">
        <v>141</v>
      </c>
      <c r="Y2889" t="s">
        <v>22538</v>
      </c>
      <c r="Z2889" t="s">
        <v>29020</v>
      </c>
      <c r="AA2889">
        <v>0.50452727088654881</v>
      </c>
      <c r="AB2889" t="str">
        <f>HYPERLINK("Melting_Curves/meltCurve_Q01082_SPTBN1.pdf", "Melting_Curves/meltCurve_Q01082_SPTBN1.pdf")</f>
        <v>Melting_Curves/meltCurve_Q01082_SPTBN1.pdf</v>
      </c>
    </row>
    <row r="2890" spans="1:28" x14ac:dyDescent="0.25">
      <c r="A2890" t="s">
        <v>2894</v>
      </c>
      <c r="B2890">
        <v>0.99930955844802105</v>
      </c>
      <c r="C2890">
        <v>0.59429800019277801</v>
      </c>
      <c r="D2890">
        <v>0.52978866656870705</v>
      </c>
      <c r="E2890">
        <v>0.53961506781274504</v>
      </c>
      <c r="F2890">
        <v>0.58391406591197603</v>
      </c>
      <c r="G2890">
        <v>0.47595250006908901</v>
      </c>
      <c r="H2890">
        <v>0.123780767478017</v>
      </c>
      <c r="I2890">
        <v>0.12719512722516901</v>
      </c>
      <c r="J2890">
        <v>0.13047605798265199</v>
      </c>
      <c r="K2890">
        <v>9.1504762748431695E-2</v>
      </c>
      <c r="L2890">
        <v>332.21014946402897</v>
      </c>
      <c r="M2890">
        <v>6.5916552872145804</v>
      </c>
      <c r="N2890">
        <v>50.398592718949899</v>
      </c>
      <c r="O2890">
        <v>46.364837981337999</v>
      </c>
      <c r="P2890">
        <v>-3.56243647877399E-2</v>
      </c>
      <c r="Q2890">
        <v>0</v>
      </c>
      <c r="R2890">
        <v>0.82212384427428997</v>
      </c>
      <c r="S2890" t="s">
        <v>9507</v>
      </c>
      <c r="T2890" t="s">
        <v>13232</v>
      </c>
      <c r="U2890" t="s">
        <v>13232</v>
      </c>
      <c r="V2890" t="s">
        <v>13232</v>
      </c>
      <c r="W2890" t="s">
        <v>16067</v>
      </c>
      <c r="X2890">
        <v>133</v>
      </c>
      <c r="Y2890" t="s">
        <v>22538</v>
      </c>
      <c r="Z2890" t="s">
        <v>29021</v>
      </c>
      <c r="AA2890">
        <v>0.41569939668866768</v>
      </c>
      <c r="AB2890" t="str">
        <f>HYPERLINK("Melting_Curves/meltCurve_Q01082_3_SPTBN1.pdf", "Melting_Curves/meltCurve_Q01082_3_SPTBN1.pdf")</f>
        <v>Melting_Curves/meltCurve_Q01082_3_SPTBN1.pdf</v>
      </c>
    </row>
    <row r="2891" spans="1:28" x14ac:dyDescent="0.25">
      <c r="A2891" t="s">
        <v>2895</v>
      </c>
      <c r="B2891">
        <v>0.99930955844802105</v>
      </c>
      <c r="C2891">
        <v>0.95139890451472697</v>
      </c>
      <c r="D2891">
        <v>0.91756602284164801</v>
      </c>
      <c r="E2891">
        <v>0.81465644923632397</v>
      </c>
      <c r="F2891">
        <v>0.56630527123988605</v>
      </c>
      <c r="G2891">
        <v>0.29372425866761898</v>
      </c>
      <c r="H2891">
        <v>0.128481918942805</v>
      </c>
      <c r="I2891">
        <v>9.4567664092717704E-2</v>
      </c>
      <c r="J2891">
        <v>7.2297280944757694E-2</v>
      </c>
      <c r="K2891">
        <v>5.7269310399953997E-2</v>
      </c>
      <c r="L2891">
        <v>935.81419603208997</v>
      </c>
      <c r="M2891">
        <v>17.437861723304199</v>
      </c>
      <c r="N2891">
        <v>53.907759220900999</v>
      </c>
      <c r="O2891">
        <v>52.9748102397091</v>
      </c>
      <c r="P2891">
        <v>-7.9198220725762103E-2</v>
      </c>
      <c r="Q2891">
        <v>3.7662827375765803E-2</v>
      </c>
      <c r="R2891">
        <v>0.99774423895034903</v>
      </c>
      <c r="S2891" t="s">
        <v>9508</v>
      </c>
      <c r="T2891" t="s">
        <v>13232</v>
      </c>
      <c r="U2891" t="s">
        <v>13232</v>
      </c>
      <c r="V2891" t="s">
        <v>13232</v>
      </c>
      <c r="W2891" t="s">
        <v>16068</v>
      </c>
      <c r="X2891">
        <v>13</v>
      </c>
      <c r="Y2891" t="s">
        <v>22539</v>
      </c>
      <c r="Z2891" t="s">
        <v>29022</v>
      </c>
      <c r="AA2891">
        <v>0.4923203534161853</v>
      </c>
      <c r="AB2891" t="str">
        <f>HYPERLINK("Melting_Curves/meltCurve_Q01085_TIAL1.pdf", "Melting_Curves/meltCurve_Q01085_TIAL1.pdf")</f>
        <v>Melting_Curves/meltCurve_Q01085_TIAL1.pdf</v>
      </c>
    </row>
    <row r="2892" spans="1:28" x14ac:dyDescent="0.25">
      <c r="A2892" t="s">
        <v>2896</v>
      </c>
      <c r="B2892">
        <v>0.99930955844802105</v>
      </c>
      <c r="C2892">
        <v>1.64720637259733</v>
      </c>
      <c r="D2892">
        <v>1.37799793002343</v>
      </c>
      <c r="E2892">
        <v>1.3054074144193299</v>
      </c>
      <c r="F2892">
        <v>0.98312457599381198</v>
      </c>
      <c r="G2892">
        <v>0.70559481552942305</v>
      </c>
      <c r="H2892">
        <v>0.69446874977379602</v>
      </c>
      <c r="I2892">
        <v>0.78013033537364396</v>
      </c>
      <c r="J2892">
        <v>0.60657697700283597</v>
      </c>
      <c r="K2892">
        <v>0.48525574009784</v>
      </c>
      <c r="L2892">
        <v>3620.1521756294601</v>
      </c>
      <c r="M2892">
        <v>64.994917164277496</v>
      </c>
      <c r="O2892">
        <v>55.646346808345498</v>
      </c>
      <c r="P2892">
        <v>-0.104862194281808</v>
      </c>
      <c r="Q2892">
        <v>0.64088291794949503</v>
      </c>
      <c r="R2892">
        <v>0.453674378482185</v>
      </c>
      <c r="S2892" t="s">
        <v>9509</v>
      </c>
      <c r="T2892" t="s">
        <v>13232</v>
      </c>
      <c r="U2892" t="s">
        <v>13232</v>
      </c>
      <c r="V2892" t="s">
        <v>13232</v>
      </c>
      <c r="W2892" t="s">
        <v>16069</v>
      </c>
      <c r="X2892">
        <v>13</v>
      </c>
      <c r="Y2892" t="s">
        <v>22539</v>
      </c>
      <c r="Z2892" t="s">
        <v>29023</v>
      </c>
      <c r="AA2892">
        <v>0.82932987819102288</v>
      </c>
      <c r="AB2892" t="str">
        <f>HYPERLINK("Melting_Curves/meltCurve_Q01085_2_TIAL1.pdf", "Melting_Curves/meltCurve_Q01085_2_TIAL1.pdf")</f>
        <v>Melting_Curves/meltCurve_Q01085_2_TIAL1.pdf</v>
      </c>
    </row>
    <row r="2893" spans="1:28" x14ac:dyDescent="0.25">
      <c r="A2893" t="s">
        <v>2897</v>
      </c>
      <c r="B2893">
        <v>0.99930955844802105</v>
      </c>
      <c r="C2893">
        <v>1.00208381227747</v>
      </c>
      <c r="D2893">
        <v>1.1198800258125901</v>
      </c>
      <c r="E2893">
        <v>0.99321847681492503</v>
      </c>
      <c r="F2893">
        <v>0.93527757700126102</v>
      </c>
      <c r="G2893">
        <v>0.93710523876769802</v>
      </c>
      <c r="H2893">
        <v>0.841297845775689</v>
      </c>
      <c r="I2893">
        <v>0.64991184321106499</v>
      </c>
      <c r="J2893">
        <v>0.76352381660355595</v>
      </c>
      <c r="K2893">
        <v>0.52718550802196995</v>
      </c>
      <c r="L2893">
        <v>748.66507081881605</v>
      </c>
      <c r="M2893">
        <v>11.1064562546223</v>
      </c>
      <c r="O2893">
        <v>65.3334805971039</v>
      </c>
      <c r="P2893">
        <v>-3.05414646580069E-2</v>
      </c>
      <c r="Q2893">
        <v>0.28159561639279301</v>
      </c>
      <c r="R2893">
        <v>0.86676469912514997</v>
      </c>
      <c r="S2893" t="s">
        <v>9510</v>
      </c>
      <c r="T2893" t="s">
        <v>13232</v>
      </c>
      <c r="U2893" t="s">
        <v>13232</v>
      </c>
      <c r="V2893" t="s">
        <v>13232</v>
      </c>
      <c r="W2893" t="s">
        <v>16070</v>
      </c>
      <c r="X2893">
        <v>18</v>
      </c>
      <c r="Y2893" t="s">
        <v>22540</v>
      </c>
      <c r="Z2893" t="s">
        <v>29024</v>
      </c>
      <c r="AA2893">
        <v>0.88186929497743705</v>
      </c>
      <c r="AB2893" t="str">
        <f>HYPERLINK("Melting_Curves/meltCurve_Q01105_2_SET.pdf", "Melting_Curves/meltCurve_Q01105_2_SET.pdf")</f>
        <v>Melting_Curves/meltCurve_Q01105_2_SET.pdf</v>
      </c>
    </row>
    <row r="2894" spans="1:28" x14ac:dyDescent="0.25">
      <c r="A2894" t="s">
        <v>2898</v>
      </c>
      <c r="B2894">
        <v>0.99930955844802105</v>
      </c>
      <c r="C2894">
        <v>0.90308479624510996</v>
      </c>
      <c r="D2894">
        <v>0.94467064764615505</v>
      </c>
      <c r="E2894">
        <v>0.86267649179774097</v>
      </c>
      <c r="F2894">
        <v>0.69190964884431305</v>
      </c>
      <c r="G2894">
        <v>0.57739841972222805</v>
      </c>
      <c r="H2894">
        <v>0.55971081869810002</v>
      </c>
      <c r="I2894">
        <v>0.74708985616094403</v>
      </c>
      <c r="J2894">
        <v>0.903753561008655</v>
      </c>
      <c r="K2894">
        <v>0.74196602485671004</v>
      </c>
      <c r="L2894">
        <v>12507.340306435801</v>
      </c>
      <c r="M2894">
        <v>250</v>
      </c>
      <c r="O2894">
        <v>50.026159690477499</v>
      </c>
      <c r="P2894">
        <v>-0.37025875998050001</v>
      </c>
      <c r="Q2894">
        <v>0.70363801876123599</v>
      </c>
      <c r="R2894">
        <v>0.56017919807960503</v>
      </c>
      <c r="S2894" t="s">
        <v>9511</v>
      </c>
      <c r="T2894" t="s">
        <v>13232</v>
      </c>
      <c r="U2894" t="s">
        <v>13232</v>
      </c>
      <c r="V2894" t="s">
        <v>13232</v>
      </c>
      <c r="W2894" t="s">
        <v>16071</v>
      </c>
      <c r="X2894">
        <v>6</v>
      </c>
      <c r="Y2894" t="s">
        <v>22541</v>
      </c>
      <c r="Z2894" t="s">
        <v>29025</v>
      </c>
      <c r="AA2894">
        <v>0.80274141834623891</v>
      </c>
      <c r="AB2894" t="str">
        <f>HYPERLINK("Melting_Curves/meltCurve_Q01130_SRSF2.pdf", "Melting_Curves/meltCurve_Q01130_SRSF2.pdf")</f>
        <v>Melting_Curves/meltCurve_Q01130_SRSF2.pdf</v>
      </c>
    </row>
    <row r="2895" spans="1:28" x14ac:dyDescent="0.25">
      <c r="A2895" t="s">
        <v>2899</v>
      </c>
      <c r="B2895">
        <v>0.99930955844802105</v>
      </c>
      <c r="C2895">
        <v>1.0548800410215899</v>
      </c>
      <c r="D2895">
        <v>1.06736496412671</v>
      </c>
      <c r="E2895">
        <v>0.93862485190773504</v>
      </c>
      <c r="F2895">
        <v>0.76517534282614696</v>
      </c>
      <c r="G2895">
        <v>0.74159943561930797</v>
      </c>
      <c r="H2895">
        <v>0.70942723255825502</v>
      </c>
      <c r="I2895">
        <v>0.82638792180071596</v>
      </c>
      <c r="J2895">
        <v>0.79274253597142996</v>
      </c>
      <c r="K2895">
        <v>0.61244117934045195</v>
      </c>
      <c r="L2895">
        <v>3001.5446738204701</v>
      </c>
      <c r="M2895">
        <v>58.8071868512734</v>
      </c>
      <c r="O2895">
        <v>50.9815195896945</v>
      </c>
      <c r="P2895">
        <v>-7.5943818390724102E-2</v>
      </c>
      <c r="Q2895">
        <v>0.73664923580020203</v>
      </c>
      <c r="R2895">
        <v>0.83969913866830503</v>
      </c>
      <c r="S2895" t="s">
        <v>9512</v>
      </c>
      <c r="T2895" t="s">
        <v>13232</v>
      </c>
      <c r="U2895" t="s">
        <v>13232</v>
      </c>
      <c r="V2895" t="s">
        <v>13232</v>
      </c>
      <c r="W2895" t="s">
        <v>16072</v>
      </c>
      <c r="X2895">
        <v>11</v>
      </c>
      <c r="Y2895" t="s">
        <v>22542</v>
      </c>
      <c r="Z2895" t="s">
        <v>29026</v>
      </c>
      <c r="AA2895">
        <v>0.83399412536921524</v>
      </c>
      <c r="AB2895" t="str">
        <f>HYPERLINK("Melting_Curves/meltCurve_Q01167_FOXK2.pdf", "Melting_Curves/meltCurve_Q01167_FOXK2.pdf")</f>
        <v>Melting_Curves/meltCurve_Q01167_FOXK2.pdf</v>
      </c>
    </row>
    <row r="2896" spans="1:28" x14ac:dyDescent="0.25">
      <c r="A2896" t="s">
        <v>2900</v>
      </c>
      <c r="B2896">
        <v>0.99930955844802105</v>
      </c>
      <c r="C2896">
        <v>0.96404159666196898</v>
      </c>
      <c r="D2896">
        <v>0.89747518448754304</v>
      </c>
      <c r="E2896">
        <v>0.72953010002666496</v>
      </c>
      <c r="F2896">
        <v>0.53328389510058405</v>
      </c>
      <c r="G2896">
        <v>0.36189163727944501</v>
      </c>
      <c r="H2896">
        <v>0.27419859956376802</v>
      </c>
      <c r="I2896">
        <v>0.26847809034967302</v>
      </c>
      <c r="J2896">
        <v>0.24588962211801699</v>
      </c>
      <c r="K2896">
        <v>0.196426542211349</v>
      </c>
      <c r="L2896">
        <v>800.45085391295095</v>
      </c>
      <c r="M2896">
        <v>15.4210273133363</v>
      </c>
      <c r="N2896">
        <v>53.7707908054577</v>
      </c>
      <c r="O2896">
        <v>51.057086461679297</v>
      </c>
      <c r="P2896">
        <v>-5.9878536101623699E-2</v>
      </c>
      <c r="Q2896">
        <v>0.20707061692167</v>
      </c>
      <c r="R2896">
        <v>0.99820423355697796</v>
      </c>
      <c r="S2896" t="s">
        <v>9513</v>
      </c>
      <c r="T2896" t="s">
        <v>13232</v>
      </c>
      <c r="U2896" t="s">
        <v>13232</v>
      </c>
      <c r="V2896" t="s">
        <v>13232</v>
      </c>
      <c r="W2896" t="s">
        <v>16073</v>
      </c>
      <c r="X2896">
        <v>10</v>
      </c>
      <c r="Y2896" t="s">
        <v>22543</v>
      </c>
      <c r="Z2896" t="s">
        <v>29027</v>
      </c>
      <c r="AA2896">
        <v>0.53880556837967242</v>
      </c>
      <c r="AB2896" t="str">
        <f>HYPERLINK("Melting_Curves/meltCurve_Q01196_RUNX1.pdf", "Melting_Curves/meltCurve_Q01196_RUNX1.pdf")</f>
        <v>Melting_Curves/meltCurve_Q01196_RUNX1.pdf</v>
      </c>
    </row>
    <row r="2897" spans="1:28" x14ac:dyDescent="0.25">
      <c r="A2897" t="s">
        <v>2901</v>
      </c>
      <c r="B2897">
        <v>0.99930955844802105</v>
      </c>
      <c r="C2897">
        <v>0.73284776088312598</v>
      </c>
      <c r="D2897">
        <v>0.67030032683913598</v>
      </c>
      <c r="E2897">
        <v>0.51264757253248905</v>
      </c>
      <c r="F2897">
        <v>0.29383515121385201</v>
      </c>
      <c r="G2897">
        <v>0.13984613076337801</v>
      </c>
      <c r="H2897">
        <v>6.4132065959025097E-2</v>
      </c>
      <c r="I2897">
        <v>5.0731704653028099E-2</v>
      </c>
      <c r="J2897">
        <v>4.5344555247582602E-2</v>
      </c>
      <c r="K2897">
        <v>3.7504530863485E-2</v>
      </c>
      <c r="L2897">
        <v>555.28651699703505</v>
      </c>
      <c r="M2897">
        <v>11.343225647493099</v>
      </c>
      <c r="N2897">
        <v>48.953142328003302</v>
      </c>
      <c r="O2897">
        <v>47.505731316920098</v>
      </c>
      <c r="P2897">
        <v>-5.9711874571585499E-2</v>
      </c>
      <c r="Q2897">
        <v>0</v>
      </c>
      <c r="R2897">
        <v>0.97982553846984499</v>
      </c>
      <c r="S2897" t="s">
        <v>9514</v>
      </c>
      <c r="T2897" t="s">
        <v>13232</v>
      </c>
      <c r="U2897" t="s">
        <v>13232</v>
      </c>
      <c r="V2897" t="s">
        <v>13232</v>
      </c>
      <c r="W2897" t="s">
        <v>16074</v>
      </c>
      <c r="X2897">
        <v>9</v>
      </c>
      <c r="Y2897" t="s">
        <v>22544</v>
      </c>
      <c r="Z2897" t="s">
        <v>29028</v>
      </c>
      <c r="AA2897">
        <v>0.3388630771572701</v>
      </c>
      <c r="AB2897" t="str">
        <f>HYPERLINK("Melting_Curves/meltCurve_Q01432_AMPD3.pdf", "Melting_Curves/meltCurve_Q01432_AMPD3.pdf")</f>
        <v>Melting_Curves/meltCurve_Q01432_AMPD3.pdf</v>
      </c>
    </row>
    <row r="2898" spans="1:28" x14ac:dyDescent="0.25">
      <c r="A2898" t="s">
        <v>2902</v>
      </c>
      <c r="B2898">
        <v>0.99930955844802105</v>
      </c>
      <c r="C2898">
        <v>0.80040986269995895</v>
      </c>
      <c r="D2898">
        <v>0.85082585000921096</v>
      </c>
      <c r="E2898">
        <v>0.91964535958259497</v>
      </c>
      <c r="F2898">
        <v>0.91438299989177696</v>
      </c>
      <c r="G2898">
        <v>0.62933850874504704</v>
      </c>
      <c r="H2898">
        <v>0.235680672457841</v>
      </c>
      <c r="I2898">
        <v>0.182917019238032</v>
      </c>
      <c r="J2898">
        <v>0.16300591130910799</v>
      </c>
      <c r="K2898">
        <v>0.13030219751256</v>
      </c>
      <c r="L2898">
        <v>1588.33462407103</v>
      </c>
      <c r="M2898">
        <v>27.674241778368899</v>
      </c>
      <c r="N2898">
        <v>58.017063673948499</v>
      </c>
      <c r="O2898">
        <v>57.096793319832202</v>
      </c>
      <c r="P2898">
        <v>-0.105595666599706</v>
      </c>
      <c r="Q2898">
        <v>0.12855862529649001</v>
      </c>
      <c r="R2898">
        <v>0.94205366018338899</v>
      </c>
      <c r="S2898" t="s">
        <v>9515</v>
      </c>
      <c r="T2898" t="s">
        <v>13232</v>
      </c>
      <c r="U2898" t="s">
        <v>13232</v>
      </c>
      <c r="V2898" t="s">
        <v>13232</v>
      </c>
      <c r="W2898" t="s">
        <v>16075</v>
      </c>
      <c r="X2898">
        <v>38</v>
      </c>
      <c r="Y2898" t="s">
        <v>22545</v>
      </c>
      <c r="Z2898" t="s">
        <v>29029</v>
      </c>
      <c r="AA2898">
        <v>0.64044176967668065</v>
      </c>
      <c r="AB2898" t="str">
        <f>HYPERLINK("Melting_Curves/meltCurve_Q01433_2_AMPD2.pdf", "Melting_Curves/meltCurve_Q01433_2_AMPD2.pdf")</f>
        <v>Melting_Curves/meltCurve_Q01433_2_AMPD2.pdf</v>
      </c>
    </row>
    <row r="2899" spans="1:28" x14ac:dyDescent="0.25">
      <c r="A2899" t="s">
        <v>2903</v>
      </c>
      <c r="B2899">
        <v>0.99930955844802105</v>
      </c>
      <c r="C2899">
        <v>0.95279490323387706</v>
      </c>
      <c r="D2899">
        <v>0.90452333850692002</v>
      </c>
      <c r="E2899">
        <v>0.88041894266606302</v>
      </c>
      <c r="F2899">
        <v>0.68086953056965205</v>
      </c>
      <c r="G2899">
        <v>0.34064458736902498</v>
      </c>
      <c r="H2899">
        <v>0.26951926921517499</v>
      </c>
      <c r="I2899">
        <v>0.25635405549033102</v>
      </c>
      <c r="J2899">
        <v>0.213984806335621</v>
      </c>
      <c r="K2899">
        <v>0.16664810664252799</v>
      </c>
      <c r="L2899">
        <v>1142.7282606864301</v>
      </c>
      <c r="M2899">
        <v>21.249005886524898</v>
      </c>
      <c r="N2899">
        <v>55.055714753834799</v>
      </c>
      <c r="O2899">
        <v>53.308463306378002</v>
      </c>
      <c r="P2899">
        <v>-8.0255997595855999E-2</v>
      </c>
      <c r="Q2899">
        <v>0.19465139437956999</v>
      </c>
      <c r="R2899">
        <v>0.988600888153498</v>
      </c>
      <c r="S2899" t="s">
        <v>9516</v>
      </c>
      <c r="T2899" t="s">
        <v>13232</v>
      </c>
      <c r="U2899" t="s">
        <v>13232</v>
      </c>
      <c r="V2899" t="s">
        <v>13232</v>
      </c>
      <c r="W2899" t="s">
        <v>16076</v>
      </c>
      <c r="X2899">
        <v>9</v>
      </c>
      <c r="Y2899" t="s">
        <v>22546</v>
      </c>
      <c r="Z2899" t="s">
        <v>29030</v>
      </c>
      <c r="AA2899">
        <v>0.5744484088177112</v>
      </c>
      <c r="AB2899" t="str">
        <f>HYPERLINK("Melting_Curves/meltCurve_Q01459_CTBS.pdf", "Melting_Curves/meltCurve_Q01459_CTBS.pdf")</f>
        <v>Melting_Curves/meltCurve_Q01459_CTBS.pdf</v>
      </c>
    </row>
    <row r="2900" spans="1:28" x14ac:dyDescent="0.25">
      <c r="A2900" t="s">
        <v>2904</v>
      </c>
      <c r="B2900">
        <v>0.99930955844802105</v>
      </c>
      <c r="C2900">
        <v>1.11581343831447</v>
      </c>
      <c r="D2900">
        <v>1.1952749555795199</v>
      </c>
      <c r="E2900">
        <v>1.1829476648282999</v>
      </c>
      <c r="F2900">
        <v>1.05028834113131</v>
      </c>
      <c r="G2900">
        <v>1.03999286162309</v>
      </c>
      <c r="H2900">
        <v>0.95528405115864701</v>
      </c>
      <c r="I2900">
        <v>0.68861045904207097</v>
      </c>
      <c r="J2900">
        <v>0.40758080148156101</v>
      </c>
      <c r="K2900">
        <v>0.29391954055053499</v>
      </c>
      <c r="L2900">
        <v>2816.77788521298</v>
      </c>
      <c r="M2900">
        <v>43.6846125861396</v>
      </c>
      <c r="N2900">
        <v>65.706767554373201</v>
      </c>
      <c r="O2900">
        <v>64.345181217262905</v>
      </c>
      <c r="P2900">
        <v>-0.122402056162583</v>
      </c>
      <c r="Q2900">
        <v>0.27883339130840801</v>
      </c>
      <c r="R2900">
        <v>0.90277516016557802</v>
      </c>
      <c r="S2900" t="s">
        <v>9517</v>
      </c>
      <c r="T2900" t="s">
        <v>13232</v>
      </c>
      <c r="U2900" t="s">
        <v>13232</v>
      </c>
      <c r="V2900" t="s">
        <v>13232</v>
      </c>
      <c r="W2900" t="s">
        <v>16077</v>
      </c>
      <c r="X2900">
        <v>18</v>
      </c>
      <c r="Y2900" t="s">
        <v>22547</v>
      </c>
      <c r="Z2900" t="s">
        <v>29031</v>
      </c>
      <c r="AA2900">
        <v>0.86860918766102557</v>
      </c>
      <c r="AB2900" t="str">
        <f>HYPERLINK("Melting_Curves/meltCurve_Q01469_FABP5.pdf", "Melting_Curves/meltCurve_Q01469_FABP5.pdf")</f>
        <v>Melting_Curves/meltCurve_Q01469_FABP5.pdf</v>
      </c>
    </row>
    <row r="2901" spans="1:28" x14ac:dyDescent="0.25">
      <c r="A2901" t="s">
        <v>2905</v>
      </c>
      <c r="B2901">
        <v>0.99930955844802105</v>
      </c>
      <c r="C2901">
        <v>0.925492390201483</v>
      </c>
      <c r="D2901">
        <v>1.0170738069391301</v>
      </c>
      <c r="E2901">
        <v>1.0808532355860401</v>
      </c>
      <c r="F2901">
        <v>1.05037729792268</v>
      </c>
      <c r="G2901">
        <v>0.235722804301713</v>
      </c>
      <c r="H2901">
        <v>0.114312579449882</v>
      </c>
      <c r="I2901">
        <v>8.4565012431518399E-2</v>
      </c>
      <c r="J2901">
        <v>7.2263763268052603E-2</v>
      </c>
      <c r="K2901">
        <v>5.4900715902354298E-2</v>
      </c>
      <c r="L2901">
        <v>14158.7657874039</v>
      </c>
      <c r="M2901">
        <v>250</v>
      </c>
      <c r="N2901">
        <v>56.675406421839703</v>
      </c>
      <c r="O2901">
        <v>56.6314420847185</v>
      </c>
      <c r="P2901">
        <v>-1.01367004471587</v>
      </c>
      <c r="Q2901">
        <v>8.1510510102078507E-2</v>
      </c>
      <c r="R2901">
        <v>0.99188521844065802</v>
      </c>
      <c r="S2901" t="s">
        <v>9518</v>
      </c>
      <c r="T2901" t="s">
        <v>13232</v>
      </c>
      <c r="U2901" t="s">
        <v>13232</v>
      </c>
      <c r="V2901" t="s">
        <v>13232</v>
      </c>
      <c r="W2901" t="s">
        <v>16078</v>
      </c>
      <c r="X2901">
        <v>29</v>
      </c>
      <c r="Y2901" t="s">
        <v>22548</v>
      </c>
      <c r="Z2901" t="s">
        <v>29032</v>
      </c>
      <c r="AA2901">
        <v>0.59090615768600374</v>
      </c>
      <c r="AB2901" t="str">
        <f>HYPERLINK("Melting_Curves/meltCurve_Q01518_2_CAP1.pdf", "Melting_Curves/meltCurve_Q01518_2_CAP1.pdf")</f>
        <v>Melting_Curves/meltCurve_Q01518_2_CAP1.pdf</v>
      </c>
    </row>
    <row r="2902" spans="1:28" x14ac:dyDescent="0.25">
      <c r="A2902" t="s">
        <v>2906</v>
      </c>
      <c r="B2902">
        <v>0.99930955844802105</v>
      </c>
      <c r="C2902">
        <v>0.93191766964915101</v>
      </c>
      <c r="D2902">
        <v>0.77418784017069697</v>
      </c>
      <c r="E2902">
        <v>0.693064274225482</v>
      </c>
      <c r="F2902">
        <v>0.59443990226705801</v>
      </c>
      <c r="G2902">
        <v>0.29756935438488202</v>
      </c>
      <c r="H2902">
        <v>0.107066574086868</v>
      </c>
      <c r="I2902">
        <v>7.9294617193104794E-2</v>
      </c>
      <c r="J2902">
        <v>6.5524865236714205E-2</v>
      </c>
      <c r="K2902">
        <v>5.1397706147063203E-2</v>
      </c>
      <c r="L2902">
        <v>659.10409866526902</v>
      </c>
      <c r="M2902">
        <v>12.407263001738899</v>
      </c>
      <c r="N2902">
        <v>53.122445954063799</v>
      </c>
      <c r="O2902">
        <v>51.799047941272903</v>
      </c>
      <c r="P2902">
        <v>-5.9894396709052902E-2</v>
      </c>
      <c r="Q2902">
        <v>0</v>
      </c>
      <c r="R2902">
        <v>0.982750498476616</v>
      </c>
      <c r="S2902" t="s">
        <v>9519</v>
      </c>
      <c r="T2902" t="s">
        <v>13232</v>
      </c>
      <c r="U2902" t="s">
        <v>13232</v>
      </c>
      <c r="V2902" t="s">
        <v>13232</v>
      </c>
      <c r="W2902" t="s">
        <v>16079</v>
      </c>
      <c r="X2902">
        <v>15</v>
      </c>
      <c r="Y2902" t="s">
        <v>22549</v>
      </c>
      <c r="Z2902" t="s">
        <v>29033</v>
      </c>
      <c r="AA2902">
        <v>0.46458077487042232</v>
      </c>
      <c r="AB2902" t="str">
        <f>HYPERLINK("Melting_Curves/meltCurve_Q01581_HMGCS1.pdf", "Melting_Curves/meltCurve_Q01581_HMGCS1.pdf")</f>
        <v>Melting_Curves/meltCurve_Q01581_HMGCS1.pdf</v>
      </c>
    </row>
    <row r="2903" spans="1:28" x14ac:dyDescent="0.25">
      <c r="A2903" t="s">
        <v>2907</v>
      </c>
      <c r="B2903">
        <v>0.99930955844802105</v>
      </c>
      <c r="C2903">
        <v>0.74637239930190302</v>
      </c>
      <c r="D2903">
        <v>0.62702591103970795</v>
      </c>
      <c r="E2903">
        <v>0.84790989861677601</v>
      </c>
      <c r="F2903">
        <v>0.57402940982654505</v>
      </c>
      <c r="G2903">
        <v>0.44973385717339598</v>
      </c>
      <c r="H2903">
        <v>0.40032701771967599</v>
      </c>
      <c r="I2903">
        <v>0.46640901743944901</v>
      </c>
      <c r="J2903">
        <v>0.39730317139103499</v>
      </c>
      <c r="K2903">
        <v>0.35669349503905501</v>
      </c>
      <c r="L2903">
        <v>321.93634177743598</v>
      </c>
      <c r="M2903">
        <v>6.2542368565714801</v>
      </c>
      <c r="N2903">
        <v>57.613120583173199</v>
      </c>
      <c r="O2903">
        <v>46.962409665060498</v>
      </c>
      <c r="P2903">
        <v>-2.52668822812591E-2</v>
      </c>
      <c r="Q2903">
        <v>0.24320676449665901</v>
      </c>
      <c r="R2903">
        <v>0.80769508250962896</v>
      </c>
      <c r="S2903" t="s">
        <v>9520</v>
      </c>
      <c r="T2903" t="s">
        <v>13232</v>
      </c>
      <c r="U2903" t="s">
        <v>13232</v>
      </c>
      <c r="V2903" t="s">
        <v>13232</v>
      </c>
      <c r="W2903" t="s">
        <v>16080</v>
      </c>
      <c r="X2903">
        <v>4</v>
      </c>
      <c r="Y2903" t="s">
        <v>22550</v>
      </c>
      <c r="Z2903" t="s">
        <v>29034</v>
      </c>
      <c r="AA2903">
        <v>0.5794352012145112</v>
      </c>
      <c r="AB2903" t="str">
        <f>HYPERLINK("Melting_Curves/meltCurve_Q01650_SLC7A5.pdf", "Melting_Curves/meltCurve_Q01650_SLC7A5.pdf")</f>
        <v>Melting_Curves/meltCurve_Q01650_SLC7A5.pdf</v>
      </c>
    </row>
    <row r="2904" spans="1:28" x14ac:dyDescent="0.25">
      <c r="A2904" t="s">
        <v>2908</v>
      </c>
      <c r="B2904">
        <v>0.99930955844802105</v>
      </c>
      <c r="C2904">
        <v>1.1057329771034601</v>
      </c>
      <c r="D2904">
        <v>1.1109474880593599</v>
      </c>
      <c r="E2904">
        <v>0.99495641292160997</v>
      </c>
      <c r="F2904">
        <v>0.87154742902576299</v>
      </c>
      <c r="G2904">
        <v>0.79059032337726598</v>
      </c>
      <c r="H2904">
        <v>0.73624982926323101</v>
      </c>
      <c r="I2904">
        <v>0.78339601017102001</v>
      </c>
      <c r="J2904">
        <v>0.72629023153948902</v>
      </c>
      <c r="K2904">
        <v>0.60438564998459698</v>
      </c>
      <c r="L2904">
        <v>1143.0231501933299</v>
      </c>
      <c r="M2904">
        <v>20.736048237920802</v>
      </c>
      <c r="O2904">
        <v>54.617540717700301</v>
      </c>
      <c r="P2904">
        <v>-2.9127103612319901E-2</v>
      </c>
      <c r="Q2904">
        <v>0.69313229891769301</v>
      </c>
      <c r="R2904">
        <v>0.845487619182129</v>
      </c>
      <c r="S2904" t="s">
        <v>9521</v>
      </c>
      <c r="T2904" t="s">
        <v>13232</v>
      </c>
      <c r="U2904" t="s">
        <v>13232</v>
      </c>
      <c r="V2904" t="s">
        <v>13232</v>
      </c>
      <c r="W2904" t="s">
        <v>16081</v>
      </c>
      <c r="X2904">
        <v>6</v>
      </c>
      <c r="Y2904" t="s">
        <v>22551</v>
      </c>
      <c r="Z2904" t="s">
        <v>29035</v>
      </c>
      <c r="AA2904">
        <v>0.85167606789052153</v>
      </c>
      <c r="AB2904" t="str">
        <f>HYPERLINK("Melting_Curves/meltCurve_Q01658_DR1.pdf", "Melting_Curves/meltCurve_Q01658_DR1.pdf")</f>
        <v>Melting_Curves/meltCurve_Q01658_DR1.pdf</v>
      </c>
    </row>
    <row r="2905" spans="1:28" x14ac:dyDescent="0.25">
      <c r="A2905" t="s">
        <v>2909</v>
      </c>
      <c r="B2905">
        <v>0.99930955844802105</v>
      </c>
      <c r="C2905">
        <v>0.86683047159709903</v>
      </c>
      <c r="D2905">
        <v>0.83662068709113901</v>
      </c>
      <c r="E2905">
        <v>0.66381035049840897</v>
      </c>
      <c r="F2905">
        <v>0.55684443381608795</v>
      </c>
      <c r="G2905">
        <v>0.34870826094241802</v>
      </c>
      <c r="H2905">
        <v>0.373059993385434</v>
      </c>
      <c r="I2905">
        <v>0.33559562863181902</v>
      </c>
      <c r="J2905">
        <v>0.26192800392362098</v>
      </c>
      <c r="K2905">
        <v>0.189529632400633</v>
      </c>
      <c r="L2905">
        <v>512.95793751804399</v>
      </c>
      <c r="M2905">
        <v>9.8941625865776803</v>
      </c>
      <c r="N2905">
        <v>54.251071124051997</v>
      </c>
      <c r="O2905">
        <v>49.859937673569299</v>
      </c>
      <c r="P2905">
        <v>-4.0818353683590297E-2</v>
      </c>
      <c r="Q2905">
        <v>0.17762817923122001</v>
      </c>
      <c r="R2905">
        <v>0.97954196807072003</v>
      </c>
      <c r="S2905" t="s">
        <v>9522</v>
      </c>
      <c r="T2905" t="s">
        <v>13232</v>
      </c>
      <c r="U2905" t="s">
        <v>13232</v>
      </c>
      <c r="V2905" t="s">
        <v>13232</v>
      </c>
      <c r="W2905" t="s">
        <v>16082</v>
      </c>
      <c r="X2905">
        <v>4</v>
      </c>
      <c r="Y2905" t="s">
        <v>22552</v>
      </c>
      <c r="Z2905" t="s">
        <v>29036</v>
      </c>
      <c r="AA2905">
        <v>0.53437922452327025</v>
      </c>
      <c r="AB2905" t="str">
        <f>HYPERLINK("Melting_Curves/meltCurve_Q01664_TFAP4.pdf", "Melting_Curves/meltCurve_Q01664_TFAP4.pdf")</f>
        <v>Melting_Curves/meltCurve_Q01664_TFAP4.pdf</v>
      </c>
    </row>
    <row r="2906" spans="1:28" x14ac:dyDescent="0.25">
      <c r="A2906" t="s">
        <v>2910</v>
      </c>
      <c r="B2906">
        <v>0.99930955844802105</v>
      </c>
      <c r="C2906">
        <v>0.91738722235727199</v>
      </c>
      <c r="D2906">
        <v>0.69690844349166603</v>
      </c>
      <c r="E2906">
        <v>0.58453991954238604</v>
      </c>
      <c r="F2906">
        <v>0.32938891225981398</v>
      </c>
      <c r="G2906">
        <v>0.20285009861291201</v>
      </c>
      <c r="H2906">
        <v>0.136009862674005</v>
      </c>
      <c r="I2906">
        <v>0.11588306082338901</v>
      </c>
      <c r="J2906">
        <v>0.101874560054715</v>
      </c>
      <c r="K2906">
        <v>8.2299485761111194E-2</v>
      </c>
      <c r="L2906">
        <v>651.66410594884405</v>
      </c>
      <c r="M2906">
        <v>13.0830779304257</v>
      </c>
      <c r="N2906">
        <v>50.322579628347597</v>
      </c>
      <c r="O2906">
        <v>48.689086627846102</v>
      </c>
      <c r="P2906">
        <v>-6.2994521012041504E-2</v>
      </c>
      <c r="Q2906">
        <v>6.2417221251378698E-2</v>
      </c>
      <c r="R2906">
        <v>0.990156562132954</v>
      </c>
      <c r="S2906" t="s">
        <v>9523</v>
      </c>
      <c r="T2906" t="s">
        <v>13232</v>
      </c>
      <c r="U2906" t="s">
        <v>13232</v>
      </c>
      <c r="V2906" t="s">
        <v>13232</v>
      </c>
      <c r="W2906" t="s">
        <v>16083</v>
      </c>
      <c r="X2906">
        <v>35</v>
      </c>
      <c r="Y2906" t="s">
        <v>22553</v>
      </c>
      <c r="Z2906" t="s">
        <v>29037</v>
      </c>
      <c r="AA2906">
        <v>0.39751154095885488</v>
      </c>
      <c r="AB2906" t="str">
        <f>HYPERLINK("Melting_Curves/meltCurve_Q01780_2_EXOSC10.pdf", "Melting_Curves/meltCurve_Q01780_2_EXOSC10.pdf")</f>
        <v>Melting_Curves/meltCurve_Q01780_2_EXOSC10.pdf</v>
      </c>
    </row>
    <row r="2907" spans="1:28" x14ac:dyDescent="0.25">
      <c r="A2907" t="s">
        <v>2911</v>
      </c>
      <c r="B2907">
        <v>0.99930955844802105</v>
      </c>
      <c r="C2907">
        <v>1.0372666776099499</v>
      </c>
      <c r="D2907">
        <v>0.99254512510547099</v>
      </c>
      <c r="E2907">
        <v>0.89559521200577596</v>
      </c>
      <c r="F2907">
        <v>0.75361413071717098</v>
      </c>
      <c r="G2907">
        <v>0.53024775329751905</v>
      </c>
      <c r="H2907">
        <v>0.37201840515847101</v>
      </c>
      <c r="I2907">
        <v>0.322270571509776</v>
      </c>
      <c r="J2907">
        <v>0.29239193930794899</v>
      </c>
      <c r="K2907">
        <v>0.24188820768220701</v>
      </c>
      <c r="L2907">
        <v>946.34406175071103</v>
      </c>
      <c r="M2907">
        <v>17.086257773914699</v>
      </c>
      <c r="N2907">
        <v>57.618090701996501</v>
      </c>
      <c r="O2907">
        <v>54.644283152454499</v>
      </c>
      <c r="P2907">
        <v>-5.9253119038812203E-2</v>
      </c>
      <c r="Q2907">
        <v>0.24204630034385299</v>
      </c>
      <c r="R2907">
        <v>0.99705513479671104</v>
      </c>
      <c r="S2907" t="s">
        <v>9524</v>
      </c>
      <c r="T2907" t="s">
        <v>13232</v>
      </c>
      <c r="U2907" t="s">
        <v>13232</v>
      </c>
      <c r="V2907" t="s">
        <v>13232</v>
      </c>
      <c r="W2907" t="s">
        <v>16084</v>
      </c>
      <c r="X2907">
        <v>28</v>
      </c>
      <c r="Y2907" t="s">
        <v>22554</v>
      </c>
      <c r="Z2907" t="s">
        <v>29038</v>
      </c>
      <c r="AA2907">
        <v>0.64308736667829058</v>
      </c>
      <c r="AB2907" t="str">
        <f>HYPERLINK("Melting_Curves/meltCurve_Q01804_OTUD4.pdf", "Melting_Curves/meltCurve_Q01804_OTUD4.pdf")</f>
        <v>Melting_Curves/meltCurve_Q01804_OTUD4.pdf</v>
      </c>
    </row>
    <row r="2908" spans="1:28" x14ac:dyDescent="0.25">
      <c r="A2908" t="s">
        <v>2912</v>
      </c>
      <c r="B2908">
        <v>0.99930955844802105</v>
      </c>
      <c r="C2908">
        <v>0.36655652401553801</v>
      </c>
      <c r="D2908">
        <v>0.344096492958191</v>
      </c>
      <c r="E2908">
        <v>0.32773992764304399</v>
      </c>
      <c r="F2908">
        <v>0.27731214767393603</v>
      </c>
      <c r="G2908">
        <v>0.18707267451658899</v>
      </c>
      <c r="H2908">
        <v>7.2065894324055399E-2</v>
      </c>
      <c r="I2908">
        <v>5.9192879464199703E-2</v>
      </c>
      <c r="J2908">
        <v>3.9891935911204997E-2</v>
      </c>
      <c r="K2908">
        <v>2.9388476542053399E-2</v>
      </c>
      <c r="L2908">
        <v>560.12977939559505</v>
      </c>
      <c r="M2908">
        <v>12.8611223819813</v>
      </c>
      <c r="N2908">
        <v>44.153975699014502</v>
      </c>
      <c r="O2908">
        <v>42.539536113764598</v>
      </c>
      <c r="P2908">
        <v>-6.9519762373247806E-2</v>
      </c>
      <c r="Q2908">
        <v>8.0393214167352303E-2</v>
      </c>
      <c r="R2908">
        <v>0.82171306494263696</v>
      </c>
      <c r="S2908" t="s">
        <v>9525</v>
      </c>
      <c r="T2908" t="s">
        <v>13232</v>
      </c>
      <c r="U2908" t="s">
        <v>13232</v>
      </c>
      <c r="V2908" t="s">
        <v>13232</v>
      </c>
      <c r="W2908" t="s">
        <v>16085</v>
      </c>
      <c r="X2908">
        <v>17</v>
      </c>
      <c r="Y2908" t="s">
        <v>22555</v>
      </c>
      <c r="Z2908" t="s">
        <v>29039</v>
      </c>
      <c r="AA2908">
        <v>0.23689420602200489</v>
      </c>
      <c r="AB2908" t="str">
        <f>HYPERLINK("Melting_Curves/meltCurve_Q01813_PFKP.pdf", "Melting_Curves/meltCurve_Q01813_PFKP.pdf")</f>
        <v>Melting_Curves/meltCurve_Q01813_PFKP.pdf</v>
      </c>
    </row>
    <row r="2909" spans="1:28" x14ac:dyDescent="0.25">
      <c r="A2909" t="s">
        <v>2913</v>
      </c>
      <c r="B2909">
        <v>0.99930955844802105</v>
      </c>
      <c r="C2909">
        <v>1.1444643514834001</v>
      </c>
      <c r="D2909">
        <v>0.98491128499567504</v>
      </c>
      <c r="E2909">
        <v>1.1609521384563299</v>
      </c>
      <c r="F2909">
        <v>0.82114541515082096</v>
      </c>
      <c r="G2909">
        <v>0.81497585485400403</v>
      </c>
      <c r="H2909">
        <v>0.81668904254876995</v>
      </c>
      <c r="I2909">
        <v>0.85942386851369201</v>
      </c>
      <c r="J2909">
        <v>0.90390324436462099</v>
      </c>
      <c r="K2909">
        <v>0.62586117617219705</v>
      </c>
      <c r="L2909">
        <v>13125.224736497101</v>
      </c>
      <c r="M2909">
        <v>250</v>
      </c>
      <c r="O2909">
        <v>52.497524486315903</v>
      </c>
      <c r="P2909">
        <v>-0.23314271691042701</v>
      </c>
      <c r="Q2909">
        <v>0.80416929712757002</v>
      </c>
      <c r="R2909">
        <v>0.61700844014326095</v>
      </c>
      <c r="S2909" t="s">
        <v>9526</v>
      </c>
      <c r="T2909" t="s">
        <v>13232</v>
      </c>
      <c r="U2909" t="s">
        <v>13232</v>
      </c>
      <c r="V2909" t="s">
        <v>13232</v>
      </c>
      <c r="W2909" t="s">
        <v>16086</v>
      </c>
      <c r="X2909">
        <v>3</v>
      </c>
      <c r="Y2909" t="s">
        <v>22556</v>
      </c>
      <c r="Z2909" t="s">
        <v>29040</v>
      </c>
      <c r="AA2909">
        <v>0.88578933486556699</v>
      </c>
      <c r="AB2909" t="str">
        <f>HYPERLINK("Melting_Curves/meltCurve_Q01831_2_XPC.pdf", "Melting_Curves/meltCurve_Q01831_2_XPC.pdf")</f>
        <v>Melting_Curves/meltCurve_Q01831_2_XPC.pdf</v>
      </c>
    </row>
    <row r="2910" spans="1:28" x14ac:dyDescent="0.25">
      <c r="A2910" t="s">
        <v>2914</v>
      </c>
      <c r="B2910">
        <v>0.99930955844802105</v>
      </c>
      <c r="C2910">
        <v>1.0268825624376701</v>
      </c>
      <c r="D2910">
        <v>1.07275003608583</v>
      </c>
      <c r="E2910">
        <v>1.0176885095444801</v>
      </c>
      <c r="F2910">
        <v>0.90862942478113895</v>
      </c>
      <c r="G2910">
        <v>0.81169931148142804</v>
      </c>
      <c r="H2910">
        <v>0.86414460505961199</v>
      </c>
      <c r="I2910">
        <v>0.86857176390770197</v>
      </c>
      <c r="J2910">
        <v>0.8575419732599</v>
      </c>
      <c r="K2910">
        <v>0.71110558564663595</v>
      </c>
      <c r="L2910">
        <v>13246.799829268801</v>
      </c>
      <c r="M2910">
        <v>250</v>
      </c>
      <c r="O2910">
        <v>52.983793968468902</v>
      </c>
      <c r="P2910">
        <v>-0.20924712571356399</v>
      </c>
      <c r="Q2910">
        <v>0.82261264583266702</v>
      </c>
      <c r="R2910">
        <v>0.79250473619856698</v>
      </c>
      <c r="S2910" t="s">
        <v>9527</v>
      </c>
      <c r="T2910" t="s">
        <v>13232</v>
      </c>
      <c r="U2910" t="s">
        <v>13232</v>
      </c>
      <c r="V2910" t="s">
        <v>13232</v>
      </c>
      <c r="W2910" t="s">
        <v>16087</v>
      </c>
      <c r="X2910">
        <v>11</v>
      </c>
      <c r="Y2910" t="s">
        <v>20571</v>
      </c>
      <c r="Z2910" t="s">
        <v>29041</v>
      </c>
      <c r="AA2910">
        <v>0.89942130554941346</v>
      </c>
      <c r="AB2910" t="str">
        <f>HYPERLINK("Melting_Curves/meltCurve_Q01844_6_EWSR1.pdf", "Melting_Curves/meltCurve_Q01844_6_EWSR1.pdf")</f>
        <v>Melting_Curves/meltCurve_Q01844_6_EWSR1.pdf</v>
      </c>
    </row>
    <row r="2911" spans="1:28" x14ac:dyDescent="0.25">
      <c r="A2911" t="s">
        <v>2915</v>
      </c>
      <c r="B2911">
        <v>0.99930955844802105</v>
      </c>
      <c r="C2911">
        <v>0.9475190524846</v>
      </c>
      <c r="D2911">
        <v>0.83814427575348005</v>
      </c>
      <c r="E2911">
        <v>0.69533092233988203</v>
      </c>
      <c r="F2911">
        <v>0.54361730732017699</v>
      </c>
      <c r="G2911">
        <v>0.40047090179175598</v>
      </c>
      <c r="H2911">
        <v>0.31298872281393703</v>
      </c>
      <c r="I2911">
        <v>0.27497679618181597</v>
      </c>
      <c r="J2911">
        <v>0.26099858545035398</v>
      </c>
      <c r="K2911">
        <v>0.22628102692938601</v>
      </c>
      <c r="L2911">
        <v>626.53703506245301</v>
      </c>
      <c r="M2911">
        <v>12.099813740471699</v>
      </c>
      <c r="N2911">
        <v>54.108821710175903</v>
      </c>
      <c r="O2911">
        <v>50.427216696659301</v>
      </c>
      <c r="P2911">
        <v>-4.7825124970142498E-2</v>
      </c>
      <c r="Q2911">
        <v>0.20292159645105301</v>
      </c>
      <c r="R2911">
        <v>0.99856972812102596</v>
      </c>
      <c r="S2911" t="s">
        <v>9528</v>
      </c>
      <c r="T2911" t="s">
        <v>13232</v>
      </c>
      <c r="U2911" t="s">
        <v>13232</v>
      </c>
      <c r="V2911" t="s">
        <v>13232</v>
      </c>
      <c r="W2911" t="s">
        <v>16088</v>
      </c>
      <c r="X2911">
        <v>5</v>
      </c>
      <c r="Y2911" t="s">
        <v>22557</v>
      </c>
      <c r="Z2911" t="s">
        <v>29042</v>
      </c>
      <c r="AA2911">
        <v>0.54040742098254924</v>
      </c>
      <c r="AB2911" t="str">
        <f>HYPERLINK("Melting_Curves/meltCurve_Q01850_CDR2.pdf", "Melting_Curves/meltCurve_Q01850_CDR2.pdf")</f>
        <v>Melting_Curves/meltCurve_Q01850_CDR2.pdf</v>
      </c>
    </row>
    <row r="2912" spans="1:28" x14ac:dyDescent="0.25">
      <c r="A2912" t="s">
        <v>2916</v>
      </c>
      <c r="B2912">
        <v>0.99930955844802105</v>
      </c>
      <c r="C2912">
        <v>1.05437974959785</v>
      </c>
      <c r="D2912">
        <v>1.02662827674378</v>
      </c>
      <c r="E2912">
        <v>0.91635771946854205</v>
      </c>
      <c r="F2912">
        <v>0.66397384825464301</v>
      </c>
      <c r="G2912">
        <v>0.51405647809098698</v>
      </c>
      <c r="H2912">
        <v>0.45704304696396397</v>
      </c>
      <c r="I2912">
        <v>0.42772201978192598</v>
      </c>
      <c r="J2912">
        <v>0.36455791755706701</v>
      </c>
      <c r="K2912">
        <v>0.29873472129734802</v>
      </c>
      <c r="L2912">
        <v>1117.3903367754999</v>
      </c>
      <c r="M2912">
        <v>20.8744808108003</v>
      </c>
      <c r="N2912">
        <v>57.097502160639202</v>
      </c>
      <c r="O2912">
        <v>53.045030290093202</v>
      </c>
      <c r="P2912">
        <v>-6.2536427562200805E-2</v>
      </c>
      <c r="Q2912">
        <v>0.364361703200133</v>
      </c>
      <c r="R2912">
        <v>0.97687215250473203</v>
      </c>
      <c r="S2912" t="s">
        <v>9529</v>
      </c>
      <c r="T2912" t="s">
        <v>13232</v>
      </c>
      <c r="U2912" t="s">
        <v>13232</v>
      </c>
      <c r="V2912" t="s">
        <v>13232</v>
      </c>
      <c r="W2912" t="s">
        <v>16089</v>
      </c>
      <c r="X2912">
        <v>12</v>
      </c>
      <c r="Y2912" t="s">
        <v>22558</v>
      </c>
      <c r="Z2912" t="s">
        <v>29043</v>
      </c>
      <c r="AA2912">
        <v>0.65910615141222151</v>
      </c>
      <c r="AB2912" t="str">
        <f>HYPERLINK("Melting_Curves/meltCurve_Q01968_2_OCRL.pdf", "Melting_Curves/meltCurve_Q01968_2_OCRL.pdf")</f>
        <v>Melting_Curves/meltCurve_Q01968_2_OCRL.pdf</v>
      </c>
    </row>
    <row r="2913" spans="1:28" x14ac:dyDescent="0.25">
      <c r="A2913" t="s">
        <v>2917</v>
      </c>
      <c r="B2913">
        <v>0.99930955844802105</v>
      </c>
      <c r="C2913">
        <v>0.99107932034854895</v>
      </c>
      <c r="D2913">
        <v>0.97686446198599397</v>
      </c>
      <c r="E2913">
        <v>0.80418296088511898</v>
      </c>
      <c r="F2913">
        <v>0.35106925391418498</v>
      </c>
      <c r="G2913">
        <v>0.23493690007604601</v>
      </c>
      <c r="H2913">
        <v>0.14828027056721599</v>
      </c>
      <c r="I2913">
        <v>0.12929010382123099</v>
      </c>
      <c r="J2913">
        <v>0.121077608742703</v>
      </c>
      <c r="K2913">
        <v>0.100828209652784</v>
      </c>
      <c r="L2913">
        <v>1836.73444423821</v>
      </c>
      <c r="M2913">
        <v>35.612950674606402</v>
      </c>
      <c r="N2913">
        <v>52.042694687178603</v>
      </c>
      <c r="O2913">
        <v>51.413091365462101</v>
      </c>
      <c r="P2913">
        <v>-0.149451812421042</v>
      </c>
      <c r="Q2913">
        <v>0.136970764895638</v>
      </c>
      <c r="R2913">
        <v>0.994751450660462</v>
      </c>
      <c r="S2913" t="s">
        <v>9530</v>
      </c>
      <c r="T2913" t="s">
        <v>13232</v>
      </c>
      <c r="U2913" t="s">
        <v>13232</v>
      </c>
      <c r="V2913" t="s">
        <v>13232</v>
      </c>
      <c r="W2913" t="s">
        <v>16090</v>
      </c>
      <c r="X2913">
        <v>20</v>
      </c>
      <c r="Y2913" t="s">
        <v>22559</v>
      </c>
      <c r="Z2913" t="s">
        <v>29044</v>
      </c>
      <c r="AA2913">
        <v>0.47383875104614598</v>
      </c>
      <c r="AB2913" t="str">
        <f>HYPERLINK("Melting_Curves/meltCurve_Q01970_PLCB3.pdf", "Melting_Curves/meltCurve_Q01970_PLCB3.pdf")</f>
        <v>Melting_Curves/meltCurve_Q01970_PLCB3.pdf</v>
      </c>
    </row>
    <row r="2914" spans="1:28" x14ac:dyDescent="0.25">
      <c r="A2914" t="s">
        <v>2918</v>
      </c>
      <c r="B2914">
        <v>0.99930955844802105</v>
      </c>
      <c r="C2914">
        <v>0.88780836536320595</v>
      </c>
      <c r="D2914">
        <v>0.63652081176971398</v>
      </c>
      <c r="E2914">
        <v>0.35217518344944698</v>
      </c>
      <c r="F2914">
        <v>0.22533596443934301</v>
      </c>
      <c r="G2914">
        <v>0.17141319946811601</v>
      </c>
      <c r="H2914">
        <v>0.12998557718143899</v>
      </c>
      <c r="I2914">
        <v>0.12532140774440401</v>
      </c>
      <c r="J2914">
        <v>0.116228393860925</v>
      </c>
      <c r="K2914">
        <v>9.1948106730440807E-2</v>
      </c>
      <c r="L2914">
        <v>856.27249542018103</v>
      </c>
      <c r="M2914">
        <v>18.1543984659884</v>
      </c>
      <c r="N2914">
        <v>47.850865680494401</v>
      </c>
      <c r="O2914">
        <v>46.6049981880494</v>
      </c>
      <c r="P2914">
        <v>-8.6248385951011794E-2</v>
      </c>
      <c r="Q2914">
        <v>0.114393324542387</v>
      </c>
      <c r="R2914">
        <v>0.997417400256706</v>
      </c>
      <c r="S2914" t="s">
        <v>9531</v>
      </c>
      <c r="T2914" t="s">
        <v>13232</v>
      </c>
      <c r="U2914" t="s">
        <v>13232</v>
      </c>
      <c r="V2914" t="s">
        <v>13232</v>
      </c>
      <c r="W2914" t="s">
        <v>16091</v>
      </c>
      <c r="X2914">
        <v>12</v>
      </c>
      <c r="Y2914" t="s">
        <v>22560</v>
      </c>
      <c r="Z2914" t="s">
        <v>29045</v>
      </c>
      <c r="AA2914">
        <v>0.34185293425207353</v>
      </c>
      <c r="AB2914" t="str">
        <f>HYPERLINK("Melting_Curves/meltCurve_Q02040_AKAP17A.pdf", "Melting_Curves/meltCurve_Q02040_AKAP17A.pdf")</f>
        <v>Melting_Curves/meltCurve_Q02040_AKAP17A.pdf</v>
      </c>
    </row>
    <row r="2915" spans="1:28" x14ac:dyDescent="0.25">
      <c r="A2915" t="s">
        <v>2919</v>
      </c>
      <c r="B2915">
        <v>0.99930955844802105</v>
      </c>
      <c r="C2915">
        <v>1.20358721826974</v>
      </c>
      <c r="D2915">
        <v>1.2618845250430999</v>
      </c>
      <c r="E2915">
        <v>1.36536653338784</v>
      </c>
      <c r="F2915">
        <v>1.3041211289669801</v>
      </c>
      <c r="G2915">
        <v>1.08730591571303</v>
      </c>
      <c r="H2915">
        <v>1.23962233874788</v>
      </c>
      <c r="I2915">
        <v>1.24426373154442</v>
      </c>
      <c r="J2915">
        <v>1.2470536531724199</v>
      </c>
      <c r="K2915">
        <v>1.08819213772632</v>
      </c>
      <c r="L2915">
        <v>10636.940668925799</v>
      </c>
      <c r="M2915">
        <v>250</v>
      </c>
      <c r="O2915">
        <v>42.545039888364599</v>
      </c>
      <c r="P2915">
        <v>0.33747507105661001</v>
      </c>
      <c r="Q2915">
        <v>1.2297262455504401</v>
      </c>
      <c r="R2915">
        <v>0.41731909236724402</v>
      </c>
      <c r="S2915" t="s">
        <v>9532</v>
      </c>
      <c r="T2915" t="s">
        <v>13232</v>
      </c>
      <c r="U2915" t="s">
        <v>13232</v>
      </c>
      <c r="V2915" t="s">
        <v>13232</v>
      </c>
      <c r="W2915" t="s">
        <v>16092</v>
      </c>
      <c r="X2915">
        <v>5</v>
      </c>
      <c r="Y2915" t="s">
        <v>22561</v>
      </c>
      <c r="Z2915" t="s">
        <v>29046</v>
      </c>
      <c r="AA2915">
        <v>1.210199493132786</v>
      </c>
      <c r="AB2915" t="str">
        <f>HYPERLINK("Melting_Curves/meltCurve_Q02086_2_SP2.pdf", "Melting_Curves/meltCurve_Q02086_2_SP2.pdf")</f>
        <v>Melting_Curves/meltCurve_Q02086_2_SP2.pdf</v>
      </c>
    </row>
    <row r="2916" spans="1:28" x14ac:dyDescent="0.25">
      <c r="A2916" t="s">
        <v>2920</v>
      </c>
      <c r="B2916">
        <v>0.99930955844802105</v>
      </c>
      <c r="C2916">
        <v>0.941135973834757</v>
      </c>
      <c r="D2916">
        <v>0.76151376203314103</v>
      </c>
      <c r="E2916">
        <v>0.36223374942589498</v>
      </c>
      <c r="F2916">
        <v>0.152709475976195</v>
      </c>
      <c r="G2916">
        <v>0.111152005542053</v>
      </c>
      <c r="H2916">
        <v>7.4940551849411202E-2</v>
      </c>
      <c r="I2916">
        <v>7.4640841199148697E-2</v>
      </c>
      <c r="J2916">
        <v>5.92762933153674E-2</v>
      </c>
      <c r="K2916">
        <v>4.9505720091178297E-2</v>
      </c>
      <c r="L2916">
        <v>1080.21140901742</v>
      </c>
      <c r="M2916">
        <v>22.400703818925901</v>
      </c>
      <c r="N2916">
        <v>48.5118565036639</v>
      </c>
      <c r="O2916">
        <v>47.842839373416801</v>
      </c>
      <c r="P2916">
        <v>-0.109728975716488</v>
      </c>
      <c r="Q2916">
        <v>6.2594358767737099E-2</v>
      </c>
      <c r="R2916">
        <v>0.99908709686483699</v>
      </c>
      <c r="S2916" t="s">
        <v>9533</v>
      </c>
      <c r="T2916" t="s">
        <v>13232</v>
      </c>
      <c r="U2916" t="s">
        <v>13232</v>
      </c>
      <c r="V2916" t="s">
        <v>13232</v>
      </c>
      <c r="W2916" t="s">
        <v>16093</v>
      </c>
      <c r="X2916">
        <v>3</v>
      </c>
      <c r="Y2916" t="s">
        <v>22562</v>
      </c>
      <c r="Z2916" t="s">
        <v>29047</v>
      </c>
      <c r="AA2916">
        <v>0.32995742878526008</v>
      </c>
      <c r="AB2916" t="str">
        <f>HYPERLINK("Melting_Curves/meltCurve_Q02156_PRKCE.pdf", "Melting_Curves/meltCurve_Q02156_PRKCE.pdf")</f>
        <v>Melting_Curves/meltCurve_Q02156_PRKCE.pdf</v>
      </c>
    </row>
    <row r="2917" spans="1:28" x14ac:dyDescent="0.25">
      <c r="A2917" t="s">
        <v>2921</v>
      </c>
      <c r="B2917">
        <v>0.99930955844802105</v>
      </c>
      <c r="C2917">
        <v>1.0313788390965399</v>
      </c>
      <c r="D2917">
        <v>1.0023726682701</v>
      </c>
      <c r="E2917">
        <v>0.787095245821678</v>
      </c>
      <c r="F2917">
        <v>0.59930795340600296</v>
      </c>
      <c r="G2917">
        <v>0.56637357316594605</v>
      </c>
      <c r="H2917">
        <v>0.44567660239524898</v>
      </c>
      <c r="I2917">
        <v>0.4039372835192</v>
      </c>
      <c r="J2917">
        <v>0.29942694554813198</v>
      </c>
      <c r="K2917">
        <v>0.220929780987526</v>
      </c>
      <c r="L2917">
        <v>604.45384519331606</v>
      </c>
      <c r="M2917">
        <v>10.931004146378401</v>
      </c>
      <c r="N2917">
        <v>58.052166273361102</v>
      </c>
      <c r="O2917">
        <v>53.543108147056898</v>
      </c>
      <c r="P2917">
        <v>-4.0723839879738502E-2</v>
      </c>
      <c r="Q2917">
        <v>0.20236878864963501</v>
      </c>
      <c r="R2917">
        <v>0.96598071558345</v>
      </c>
      <c r="S2917" t="s">
        <v>9534</v>
      </c>
      <c r="T2917" t="s">
        <v>13232</v>
      </c>
      <c r="U2917" t="s">
        <v>13232</v>
      </c>
      <c r="V2917" t="s">
        <v>13232</v>
      </c>
      <c r="W2917" t="s">
        <v>16094</v>
      </c>
      <c r="X2917">
        <v>31</v>
      </c>
      <c r="Y2917" t="s">
        <v>22563</v>
      </c>
      <c r="Z2917" t="s">
        <v>29048</v>
      </c>
      <c r="AA2917">
        <v>0.62800700186389868</v>
      </c>
      <c r="AB2917" t="str">
        <f>HYPERLINK("Melting_Curves/meltCurve_Q02224_CENPE.pdf", "Melting_Curves/meltCurve_Q02224_CENPE.pdf")</f>
        <v>Melting_Curves/meltCurve_Q02224_CENPE.pdf</v>
      </c>
    </row>
    <row r="2918" spans="1:28" x14ac:dyDescent="0.25">
      <c r="A2918" t="s">
        <v>2922</v>
      </c>
      <c r="B2918">
        <v>0.99930955844802105</v>
      </c>
      <c r="C2918">
        <v>0.97682872192483206</v>
      </c>
      <c r="D2918">
        <v>0.981593650883959</v>
      </c>
      <c r="E2918">
        <v>0.84526206833099204</v>
      </c>
      <c r="F2918">
        <v>0.50476255124537805</v>
      </c>
      <c r="G2918">
        <v>0.321815661825398</v>
      </c>
      <c r="H2918">
        <v>0.23749770646245499</v>
      </c>
      <c r="I2918">
        <v>0.20959333970614299</v>
      </c>
      <c r="J2918">
        <v>0.18177370601475301</v>
      </c>
      <c r="K2918">
        <v>0.14573253972582401</v>
      </c>
      <c r="L2918">
        <v>1276.0889529271501</v>
      </c>
      <c r="M2918">
        <v>24.309120518710898</v>
      </c>
      <c r="N2918">
        <v>53.517353932126397</v>
      </c>
      <c r="O2918">
        <v>52.142871996880601</v>
      </c>
      <c r="P2918">
        <v>-9.4891492971234198E-2</v>
      </c>
      <c r="Q2918">
        <v>0.18584621230958201</v>
      </c>
      <c r="R2918">
        <v>0.99442795052090704</v>
      </c>
      <c r="S2918" t="s">
        <v>9535</v>
      </c>
      <c r="T2918" t="s">
        <v>13232</v>
      </c>
      <c r="U2918" t="s">
        <v>13232</v>
      </c>
      <c r="V2918" t="s">
        <v>13232</v>
      </c>
      <c r="W2918" t="s">
        <v>16095</v>
      </c>
      <c r="X2918">
        <v>17</v>
      </c>
      <c r="Y2918" t="s">
        <v>20573</v>
      </c>
      <c r="Z2918" t="s">
        <v>29049</v>
      </c>
      <c r="AA2918">
        <v>0.53279433219921624</v>
      </c>
      <c r="AB2918" t="str">
        <f>HYPERLINK("Melting_Curves/meltCurve_Q02241_2_KIF23.pdf", "Melting_Curves/meltCurve_Q02241_2_KIF23.pdf")</f>
        <v>Melting_Curves/meltCurve_Q02241_2_KIF23.pdf</v>
      </c>
    </row>
    <row r="2919" spans="1:28" x14ac:dyDescent="0.25">
      <c r="A2919" t="s">
        <v>2923</v>
      </c>
      <c r="B2919">
        <v>0.99930955844802105</v>
      </c>
      <c r="C2919">
        <v>1.0475767319179501</v>
      </c>
      <c r="D2919">
        <v>1.1361657079674901</v>
      </c>
      <c r="E2919">
        <v>1.1487467469436099</v>
      </c>
      <c r="F2919">
        <v>1.00208374202544</v>
      </c>
      <c r="G2919">
        <v>0.97061668064163997</v>
      </c>
      <c r="H2919">
        <v>0.85701862367906101</v>
      </c>
      <c r="I2919">
        <v>1.0157515769452401</v>
      </c>
      <c r="J2919">
        <v>0.88500476202080403</v>
      </c>
      <c r="K2919">
        <v>0.99594020934038496</v>
      </c>
      <c r="L2919">
        <v>14255.1961959084</v>
      </c>
      <c r="M2919">
        <v>250</v>
      </c>
      <c r="O2919">
        <v>57.0171358869448</v>
      </c>
      <c r="P2919">
        <v>-6.7491994756031903E-2</v>
      </c>
      <c r="Q2919">
        <v>0.93842879635134502</v>
      </c>
      <c r="R2919">
        <v>0.20271602411207901</v>
      </c>
      <c r="S2919" t="s">
        <v>9536</v>
      </c>
      <c r="T2919" t="s">
        <v>13232</v>
      </c>
      <c r="U2919" t="s">
        <v>13232</v>
      </c>
      <c r="V2919" t="s">
        <v>13232</v>
      </c>
      <c r="W2919" t="s">
        <v>16096</v>
      </c>
      <c r="X2919">
        <v>1</v>
      </c>
      <c r="Y2919" t="s">
        <v>22564</v>
      </c>
      <c r="Z2919" t="s">
        <v>29050</v>
      </c>
      <c r="AA2919">
        <v>0.97336796469044673</v>
      </c>
      <c r="AB2919" t="str">
        <f>HYPERLINK("Melting_Curves/meltCurve_Q02446_SP4.pdf", "Melting_Curves/meltCurve_Q02446_SP4.pdf")</f>
        <v>Melting_Curves/meltCurve_Q02446_SP4.pdf</v>
      </c>
    </row>
    <row r="2920" spans="1:28" x14ac:dyDescent="0.25">
      <c r="A2920" t="s">
        <v>2924</v>
      </c>
      <c r="B2920">
        <v>0.99930955844802105</v>
      </c>
      <c r="C2920">
        <v>1.1118383753733501</v>
      </c>
      <c r="D2920">
        <v>0.99537452123846903</v>
      </c>
      <c r="E2920">
        <v>0.96713418153165198</v>
      </c>
      <c r="F2920">
        <v>0.78881052137293195</v>
      </c>
      <c r="G2920">
        <v>0.66344292271651595</v>
      </c>
      <c r="H2920">
        <v>0.678214270262956</v>
      </c>
      <c r="I2920">
        <v>0.64407898340492198</v>
      </c>
      <c r="J2920">
        <v>0.70618830936283605</v>
      </c>
      <c r="K2920">
        <v>0.56018720081519602</v>
      </c>
      <c r="L2920">
        <v>2243.3850479784501</v>
      </c>
      <c r="M2920">
        <v>42.7044716548412</v>
      </c>
      <c r="O2920">
        <v>52.4179867458001</v>
      </c>
      <c r="P2920">
        <v>-7.1781464032913703E-2</v>
      </c>
      <c r="Q2920">
        <v>0.64756536402072395</v>
      </c>
      <c r="R2920">
        <v>0.92476580794491203</v>
      </c>
      <c r="S2920" t="s">
        <v>9537</v>
      </c>
      <c r="T2920" t="s">
        <v>13232</v>
      </c>
      <c r="U2920" t="s">
        <v>13232</v>
      </c>
      <c r="V2920" t="s">
        <v>13232</v>
      </c>
      <c r="W2920" t="s">
        <v>16097</v>
      </c>
      <c r="X2920">
        <v>8</v>
      </c>
      <c r="Y2920" t="s">
        <v>22565</v>
      </c>
      <c r="Z2920" t="s">
        <v>29051</v>
      </c>
      <c r="AA2920">
        <v>0.79591961147128765</v>
      </c>
      <c r="AB2920" t="str">
        <f>HYPERLINK("Melting_Curves/meltCurve_Q02447_4_SP3.pdf", "Melting_Curves/meltCurve_Q02447_4_SP3.pdf")</f>
        <v>Melting_Curves/meltCurve_Q02447_4_SP3.pdf</v>
      </c>
    </row>
    <row r="2921" spans="1:28" x14ac:dyDescent="0.25">
      <c r="A2921" t="s">
        <v>2925</v>
      </c>
      <c r="B2921">
        <v>0.99930955844802105</v>
      </c>
      <c r="C2921">
        <v>0.78963795234698297</v>
      </c>
      <c r="D2921">
        <v>0.55390745938831998</v>
      </c>
      <c r="E2921">
        <v>0.52527729127594902</v>
      </c>
      <c r="F2921">
        <v>0.39455253686679098</v>
      </c>
      <c r="G2921">
        <v>0.21742408544962799</v>
      </c>
      <c r="H2921">
        <v>0.17265890029519099</v>
      </c>
      <c r="I2921">
        <v>0.177072502918562</v>
      </c>
      <c r="J2921">
        <v>0.16991946896513699</v>
      </c>
      <c r="K2921">
        <v>0.122967676508517</v>
      </c>
      <c r="L2921">
        <v>503.163389263493</v>
      </c>
      <c r="M2921">
        <v>10.463557604897</v>
      </c>
      <c r="N2921">
        <v>49.206259169415397</v>
      </c>
      <c r="O2921">
        <v>46.430377573005103</v>
      </c>
      <c r="P2921">
        <v>-5.0395245768555301E-2</v>
      </c>
      <c r="Q2921">
        <v>0.10588194859587501</v>
      </c>
      <c r="R2921">
        <v>0.965802461605486</v>
      </c>
      <c r="S2921" t="s">
        <v>9538</v>
      </c>
      <c r="T2921" t="s">
        <v>13232</v>
      </c>
      <c r="U2921" t="s">
        <v>13232</v>
      </c>
      <c r="V2921" t="s">
        <v>13232</v>
      </c>
      <c r="W2921" t="s">
        <v>16098</v>
      </c>
      <c r="X2921">
        <v>5</v>
      </c>
      <c r="Y2921" t="s">
        <v>22566</v>
      </c>
      <c r="Z2921" t="s">
        <v>29052</v>
      </c>
      <c r="AA2921">
        <v>0.39070956128895479</v>
      </c>
      <c r="AB2921" t="str">
        <f>HYPERLINK("Melting_Curves/meltCurve_Q02543_RPL18A.pdf", "Melting_Curves/meltCurve_Q02543_RPL18A.pdf")</f>
        <v>Melting_Curves/meltCurve_Q02543_RPL18A.pdf</v>
      </c>
    </row>
    <row r="2922" spans="1:28" x14ac:dyDescent="0.25">
      <c r="A2922" t="s">
        <v>2926</v>
      </c>
      <c r="B2922">
        <v>0.99930955844802105</v>
      </c>
      <c r="C2922">
        <v>0.37909508380307799</v>
      </c>
      <c r="D2922">
        <v>0.36275891923424097</v>
      </c>
      <c r="E2922">
        <v>0.85097109371303703</v>
      </c>
      <c r="F2922">
        <v>0.58041963714620803</v>
      </c>
      <c r="G2922">
        <v>0.27309652850004401</v>
      </c>
      <c r="H2922">
        <v>1.14160871104043</v>
      </c>
      <c r="I2922">
        <v>0.364282255481717</v>
      </c>
      <c r="J2922">
        <v>0.20438586321181099</v>
      </c>
      <c r="K2922">
        <v>6.4425443976797406E-2</v>
      </c>
      <c r="L2922">
        <v>160.947668433958</v>
      </c>
      <c r="M2922">
        <v>2.9077263589606401</v>
      </c>
      <c r="N2922">
        <v>55.351724529874303</v>
      </c>
      <c r="O2922">
        <v>40.189133558676701</v>
      </c>
      <c r="P2922">
        <v>-1.8698732442319701E-2</v>
      </c>
      <c r="Q2922">
        <v>0</v>
      </c>
      <c r="R2922">
        <v>0.161741458746816</v>
      </c>
      <c r="S2922" t="s">
        <v>9539</v>
      </c>
      <c r="T2922" t="s">
        <v>13232</v>
      </c>
      <c r="U2922" t="s">
        <v>13232</v>
      </c>
      <c r="V2922" t="s">
        <v>13232</v>
      </c>
      <c r="W2922" t="s">
        <v>16099</v>
      </c>
      <c r="X2922">
        <v>2</v>
      </c>
      <c r="Y2922" t="s">
        <v>22567</v>
      </c>
      <c r="Z2922" t="s">
        <v>29053</v>
      </c>
      <c r="AA2922">
        <v>0.52148137899390046</v>
      </c>
      <c r="AB2922" t="str">
        <f>HYPERLINK("Melting_Curves/meltCurve_Q02641_2_CACNB1.pdf", "Melting_Curves/meltCurve_Q02641_2_CACNB1.pdf")</f>
        <v>Melting_Curves/meltCurve_Q02641_2_CACNB1.pdf</v>
      </c>
    </row>
    <row r="2923" spans="1:28" x14ac:dyDescent="0.25">
      <c r="A2923" t="s">
        <v>2927</v>
      </c>
      <c r="B2923">
        <v>0.99930955844802105</v>
      </c>
      <c r="C2923">
        <v>1.11005313708695</v>
      </c>
      <c r="D2923">
        <v>1.05640502740902</v>
      </c>
      <c r="E2923">
        <v>0.87102209580803203</v>
      </c>
      <c r="F2923">
        <v>0.33534785522263599</v>
      </c>
      <c r="G2923">
        <v>0.19439031383856301</v>
      </c>
      <c r="H2923">
        <v>0.10801083866372301</v>
      </c>
      <c r="I2923">
        <v>9.2286008051810295E-2</v>
      </c>
      <c r="J2923">
        <v>8.3231993677261806E-2</v>
      </c>
      <c r="K2923">
        <v>6.6200852381174097E-2</v>
      </c>
      <c r="L2923">
        <v>2395.4014888459601</v>
      </c>
      <c r="M2923">
        <v>46.187775061744901</v>
      </c>
      <c r="N2923">
        <v>52.126092591919097</v>
      </c>
      <c r="O2923">
        <v>51.7653015308397</v>
      </c>
      <c r="P2923">
        <v>-0.19981278472194</v>
      </c>
      <c r="Q2923">
        <v>0.104234249490298</v>
      </c>
      <c r="R2923">
        <v>0.98735213237626995</v>
      </c>
      <c r="S2923" t="s">
        <v>9540</v>
      </c>
      <c r="T2923" t="s">
        <v>13232</v>
      </c>
      <c r="U2923" t="s">
        <v>13232</v>
      </c>
      <c r="V2923" t="s">
        <v>13232</v>
      </c>
      <c r="W2923" t="s">
        <v>16100</v>
      </c>
      <c r="X2923">
        <v>16</v>
      </c>
      <c r="Y2923" t="s">
        <v>22568</v>
      </c>
      <c r="Z2923" t="s">
        <v>29054</v>
      </c>
      <c r="AA2923">
        <v>0.46083059161912932</v>
      </c>
      <c r="AB2923" t="str">
        <f>HYPERLINK("Melting_Curves/meltCurve_Q02750_MAP2K1.pdf", "Melting_Curves/meltCurve_Q02750_MAP2K1.pdf")</f>
        <v>Melting_Curves/meltCurve_Q02750_MAP2K1.pdf</v>
      </c>
    </row>
    <row r="2924" spans="1:28" x14ac:dyDescent="0.25">
      <c r="A2924" t="s">
        <v>2928</v>
      </c>
      <c r="B2924">
        <v>0.99930955844802105</v>
      </c>
      <c r="C2924">
        <v>1.0397856865810899</v>
      </c>
      <c r="D2924">
        <v>0.98598499460456901</v>
      </c>
      <c r="E2924">
        <v>0.70180281056418903</v>
      </c>
      <c r="F2924">
        <v>0.28129988143795898</v>
      </c>
      <c r="G2924">
        <v>0.20483820950304499</v>
      </c>
      <c r="H2924">
        <v>0.13085757557988401</v>
      </c>
      <c r="I2924">
        <v>0.11727697545263201</v>
      </c>
      <c r="J2924">
        <v>0.10455914856733201</v>
      </c>
      <c r="K2924">
        <v>8.0515148640085202E-2</v>
      </c>
      <c r="L2924">
        <v>1774.2581132887401</v>
      </c>
      <c r="M2924">
        <v>34.842135218428197</v>
      </c>
      <c r="N2924">
        <v>51.326855365669502</v>
      </c>
      <c r="O2924">
        <v>50.755904488429898</v>
      </c>
      <c r="P2924">
        <v>-0.15103123279703501</v>
      </c>
      <c r="Q2924">
        <v>0.119950777693748</v>
      </c>
      <c r="R2924">
        <v>0.99483027974927196</v>
      </c>
      <c r="S2924" t="s">
        <v>9541</v>
      </c>
      <c r="T2924" t="s">
        <v>13232</v>
      </c>
      <c r="U2924" t="s">
        <v>13232</v>
      </c>
      <c r="V2924" t="s">
        <v>13232</v>
      </c>
      <c r="W2924" t="s">
        <v>16101</v>
      </c>
      <c r="X2924">
        <v>42</v>
      </c>
      <c r="Y2924" t="s">
        <v>22569</v>
      </c>
      <c r="Z2924" t="s">
        <v>29055</v>
      </c>
      <c r="AA2924">
        <v>0.44446081195681708</v>
      </c>
      <c r="AB2924" t="str">
        <f>HYPERLINK("Melting_Curves/meltCurve_Q02790_FKBP4.pdf", "Melting_Curves/meltCurve_Q02790_FKBP4.pdf")</f>
        <v>Melting_Curves/meltCurve_Q02790_FKBP4.pdf</v>
      </c>
    </row>
    <row r="2925" spans="1:28" x14ac:dyDescent="0.25">
      <c r="A2925" t="s">
        <v>2929</v>
      </c>
      <c r="B2925">
        <v>0.99930955844802105</v>
      </c>
      <c r="C2925">
        <v>0.97117517458874802</v>
      </c>
      <c r="D2925">
        <v>0.69194624665400095</v>
      </c>
      <c r="E2925">
        <v>0.47162677322750102</v>
      </c>
      <c r="F2925">
        <v>0.202993776192118</v>
      </c>
      <c r="G2925">
        <v>0.11941597056830799</v>
      </c>
      <c r="H2925">
        <v>5.2518381320304203E-2</v>
      </c>
      <c r="I2925">
        <v>4.2748030321228703E-2</v>
      </c>
      <c r="J2925">
        <v>4.65446439068904E-2</v>
      </c>
      <c r="K2925">
        <v>2.6740558084934401E-2</v>
      </c>
      <c r="L2925">
        <v>831.48051895584797</v>
      </c>
      <c r="M2925">
        <v>16.9985936826616</v>
      </c>
      <c r="N2925">
        <v>49.074622064814299</v>
      </c>
      <c r="O2925">
        <v>48.252750329780298</v>
      </c>
      <c r="P2925">
        <v>-8.5702417355984398E-2</v>
      </c>
      <c r="Q2925">
        <v>2.6949645331874099E-2</v>
      </c>
      <c r="R2925">
        <v>0.99248623277056802</v>
      </c>
      <c r="S2925" t="s">
        <v>9542</v>
      </c>
      <c r="T2925" t="s">
        <v>13232</v>
      </c>
      <c r="U2925" t="s">
        <v>13232</v>
      </c>
      <c r="V2925" t="s">
        <v>13232</v>
      </c>
      <c r="W2925" t="s">
        <v>16102</v>
      </c>
      <c r="X2925">
        <v>9</v>
      </c>
      <c r="Y2925" t="s">
        <v>22570</v>
      </c>
      <c r="Z2925" t="s">
        <v>29056</v>
      </c>
      <c r="AA2925">
        <v>0.3350133163030467</v>
      </c>
      <c r="AB2925" t="str">
        <f>HYPERLINK("Melting_Curves/meltCurve_Q02809_PLOD1.pdf", "Melting_Curves/meltCurve_Q02809_PLOD1.pdf")</f>
        <v>Melting_Curves/meltCurve_Q02809_PLOD1.pdf</v>
      </c>
    </row>
    <row r="2926" spans="1:28" x14ac:dyDescent="0.25">
      <c r="A2926" t="s">
        <v>2930</v>
      </c>
      <c r="B2926">
        <v>0.99930955844802105</v>
      </c>
      <c r="C2926">
        <v>1.0642684565467</v>
      </c>
      <c r="D2926">
        <v>1.0368586432706799</v>
      </c>
      <c r="E2926">
        <v>0.995166424436425</v>
      </c>
      <c r="F2926">
        <v>0.84397203506532603</v>
      </c>
      <c r="G2926">
        <v>0.70207127659186697</v>
      </c>
      <c r="H2926">
        <v>0.71809029990134998</v>
      </c>
      <c r="I2926">
        <v>0.73700281276251101</v>
      </c>
      <c r="J2926">
        <v>0.745661349710253</v>
      </c>
      <c r="K2926">
        <v>0.603881769039876</v>
      </c>
      <c r="L2926">
        <v>3758.5613815618799</v>
      </c>
      <c r="M2926">
        <v>71.003728049814001</v>
      </c>
      <c r="O2926">
        <v>52.8927612943029</v>
      </c>
      <c r="P2926">
        <v>-0.100357433372289</v>
      </c>
      <c r="Q2926">
        <v>0.70096327044439199</v>
      </c>
      <c r="R2926">
        <v>0.92521999218440298</v>
      </c>
      <c r="S2926" t="s">
        <v>9543</v>
      </c>
      <c r="T2926" t="s">
        <v>13232</v>
      </c>
      <c r="U2926" t="s">
        <v>13232</v>
      </c>
      <c r="V2926" t="s">
        <v>13232</v>
      </c>
      <c r="W2926" t="s">
        <v>16103</v>
      </c>
      <c r="X2926">
        <v>26</v>
      </c>
      <c r="Y2926" t="s">
        <v>22571</v>
      </c>
      <c r="Z2926" t="s">
        <v>29057</v>
      </c>
      <c r="AA2926">
        <v>0.83024026484022428</v>
      </c>
      <c r="AB2926" t="str">
        <f>HYPERLINK("Melting_Curves/meltCurve_Q02818_NUCB1.pdf", "Melting_Curves/meltCurve_Q02818_NUCB1.pdf")</f>
        <v>Melting_Curves/meltCurve_Q02818_NUCB1.pdf</v>
      </c>
    </row>
    <row r="2927" spans="1:28" x14ac:dyDescent="0.25">
      <c r="A2927" t="s">
        <v>2931</v>
      </c>
      <c r="B2927">
        <v>0.99930955844802105</v>
      </c>
      <c r="C2927">
        <v>1.0554108934933699</v>
      </c>
      <c r="D2927">
        <v>0.91028965100038295</v>
      </c>
      <c r="E2927">
        <v>0.88811023542136103</v>
      </c>
      <c r="F2927">
        <v>0.81953475779530505</v>
      </c>
      <c r="G2927">
        <v>0.74833618946092895</v>
      </c>
      <c r="H2927">
        <v>0.68567641504490295</v>
      </c>
      <c r="I2927">
        <v>0.68678848584119601</v>
      </c>
      <c r="J2927">
        <v>0.76191125963000506</v>
      </c>
      <c r="K2927">
        <v>0.53904090406381699</v>
      </c>
      <c r="L2927">
        <v>562.79119974593198</v>
      </c>
      <c r="M2927">
        <v>10.334737760758699</v>
      </c>
      <c r="O2927">
        <v>52.535628290958599</v>
      </c>
      <c r="P2927">
        <v>-1.9613795364826901E-2</v>
      </c>
      <c r="Q2927">
        <v>0.60135169459329996</v>
      </c>
      <c r="R2927">
        <v>0.86433345851863197</v>
      </c>
      <c r="S2927" t="s">
        <v>9544</v>
      </c>
      <c r="T2927" t="s">
        <v>13232</v>
      </c>
      <c r="U2927" t="s">
        <v>13232</v>
      </c>
      <c r="V2927" t="s">
        <v>13232</v>
      </c>
      <c r="W2927" t="s">
        <v>16104</v>
      </c>
      <c r="X2927">
        <v>6</v>
      </c>
      <c r="Y2927" t="s">
        <v>22572</v>
      </c>
      <c r="Z2927" t="s">
        <v>29058</v>
      </c>
      <c r="AA2927">
        <v>0.80451077798285775</v>
      </c>
      <c r="AB2927" t="str">
        <f>HYPERLINK("Melting_Curves/meltCurve_Q02833_3_RASSF7.pdf", "Melting_Curves/meltCurve_Q02833_3_RASSF7.pdf")</f>
        <v>Melting_Curves/meltCurve_Q02833_3_RASSF7.pdf</v>
      </c>
    </row>
    <row r="2928" spans="1:28" x14ac:dyDescent="0.25">
      <c r="A2928" t="s">
        <v>2932</v>
      </c>
      <c r="B2928">
        <v>0.99930955844802105</v>
      </c>
      <c r="C2928">
        <v>0.997830242242427</v>
      </c>
      <c r="D2928">
        <v>0.66834063742697303</v>
      </c>
      <c r="E2928">
        <v>0.62332448882757396</v>
      </c>
      <c r="F2928">
        <v>0.334274915180167</v>
      </c>
      <c r="G2928">
        <v>0.209993665809875</v>
      </c>
      <c r="H2928">
        <v>0.14851053990867899</v>
      </c>
      <c r="I2928">
        <v>0.125331464608194</v>
      </c>
      <c r="J2928">
        <v>0.13489071426827701</v>
      </c>
      <c r="K2928">
        <v>9.986953422797E-2</v>
      </c>
      <c r="L2928">
        <v>704.48541077462096</v>
      </c>
      <c r="M2928">
        <v>14.128860887916201</v>
      </c>
      <c r="N2928">
        <v>50.571223660363799</v>
      </c>
      <c r="O2928">
        <v>48.894473614467103</v>
      </c>
      <c r="P2928">
        <v>-6.5752670144821404E-2</v>
      </c>
      <c r="Q2928">
        <v>8.9938869743998701E-2</v>
      </c>
      <c r="R2928">
        <v>0.97373300972016796</v>
      </c>
      <c r="S2928" t="s">
        <v>9545</v>
      </c>
      <c r="T2928" t="s">
        <v>13232</v>
      </c>
      <c r="U2928" t="s">
        <v>13232</v>
      </c>
      <c r="V2928" t="s">
        <v>13232</v>
      </c>
      <c r="W2928" t="s">
        <v>16105</v>
      </c>
      <c r="X2928">
        <v>15</v>
      </c>
      <c r="Y2928" t="s">
        <v>22573</v>
      </c>
      <c r="Z2928" t="s">
        <v>29059</v>
      </c>
      <c r="AA2928">
        <v>0.41331230898543769</v>
      </c>
      <c r="AB2928" t="str">
        <f>HYPERLINK("Melting_Curves/meltCurve_Q02878_RPL6.pdf", "Melting_Curves/meltCurve_Q02878_RPL6.pdf")</f>
        <v>Melting_Curves/meltCurve_Q02878_RPL6.pdf</v>
      </c>
    </row>
    <row r="2929" spans="1:28" x14ac:dyDescent="0.25">
      <c r="A2929" t="s">
        <v>2933</v>
      </c>
      <c r="B2929">
        <v>0.99930955844802105</v>
      </c>
      <c r="C2929">
        <v>0.91071828115189202</v>
      </c>
      <c r="D2929">
        <v>0.91611545118523197</v>
      </c>
      <c r="E2929">
        <v>0.71511123834101498</v>
      </c>
      <c r="F2929">
        <v>0.39326241820427099</v>
      </c>
      <c r="G2929">
        <v>0.28660474359208599</v>
      </c>
      <c r="H2929">
        <v>0.23824136662828399</v>
      </c>
      <c r="I2929">
        <v>0.255417999510413</v>
      </c>
      <c r="J2929">
        <v>0.23287964388902299</v>
      </c>
      <c r="K2929">
        <v>0.191106886151414</v>
      </c>
      <c r="L2929">
        <v>1182.87132184136</v>
      </c>
      <c r="M2929">
        <v>23.3135078005546</v>
      </c>
      <c r="N2929">
        <v>52.043832290585797</v>
      </c>
      <c r="O2929">
        <v>50.368708940723103</v>
      </c>
      <c r="P2929">
        <v>-9.0086751663433107E-2</v>
      </c>
      <c r="Q2929">
        <v>0.22148599464343099</v>
      </c>
      <c r="R2929">
        <v>0.988477308856888</v>
      </c>
      <c r="S2929" t="s">
        <v>9546</v>
      </c>
      <c r="T2929" t="s">
        <v>13232</v>
      </c>
      <c r="U2929" t="s">
        <v>13232</v>
      </c>
      <c r="V2929" t="s">
        <v>13232</v>
      </c>
      <c r="W2929" t="s">
        <v>16106</v>
      </c>
      <c r="X2929">
        <v>43</v>
      </c>
      <c r="Y2929" t="s">
        <v>22574</v>
      </c>
      <c r="Z2929" t="s">
        <v>29060</v>
      </c>
      <c r="AA2929">
        <v>0.50817841166467903</v>
      </c>
      <c r="AB2929" t="str">
        <f>HYPERLINK("Melting_Curves/meltCurve_Q02880_2_TOP2B.pdf", "Melting_Curves/meltCurve_Q02880_2_TOP2B.pdf")</f>
        <v>Melting_Curves/meltCurve_Q02880_2_TOP2B.pdf</v>
      </c>
    </row>
    <row r="2930" spans="1:28" x14ac:dyDescent="0.25">
      <c r="A2930" t="s">
        <v>2934</v>
      </c>
      <c r="B2930">
        <v>0.99930955844802105</v>
      </c>
      <c r="C2930">
        <v>1.0626587469353099</v>
      </c>
      <c r="D2930">
        <v>1.0689401623323</v>
      </c>
      <c r="E2930">
        <v>1.0726615423833801</v>
      </c>
      <c r="F2930">
        <v>0.93780971476467601</v>
      </c>
      <c r="G2930">
        <v>0.86940344048220397</v>
      </c>
      <c r="H2930">
        <v>0.80797841984407004</v>
      </c>
      <c r="I2930">
        <v>0.87357508962782005</v>
      </c>
      <c r="J2930">
        <v>0.83460632168055104</v>
      </c>
      <c r="K2930">
        <v>0.70441539997065505</v>
      </c>
      <c r="L2930">
        <v>1532.81249844894</v>
      </c>
      <c r="M2930">
        <v>27.4115339963354</v>
      </c>
      <c r="O2930">
        <v>55.623462349437702</v>
      </c>
      <c r="P2930">
        <v>-2.5016728259000798E-2</v>
      </c>
      <c r="Q2930">
        <v>0.79694621162678403</v>
      </c>
      <c r="R2930">
        <v>0.78476525523952101</v>
      </c>
      <c r="S2930" t="s">
        <v>9547</v>
      </c>
      <c r="T2930" t="s">
        <v>13232</v>
      </c>
      <c r="U2930" t="s">
        <v>13232</v>
      </c>
      <c r="V2930" t="s">
        <v>13232</v>
      </c>
      <c r="W2930" t="s">
        <v>16107</v>
      </c>
      <c r="X2930">
        <v>6</v>
      </c>
      <c r="Y2930" t="s">
        <v>22575</v>
      </c>
      <c r="Z2930" t="s">
        <v>29061</v>
      </c>
      <c r="AA2930">
        <v>0.90628288663736456</v>
      </c>
      <c r="AB2930" t="str">
        <f>HYPERLINK("Melting_Curves/meltCurve_Q02952_3_AKAP12.pdf", "Melting_Curves/meltCurve_Q02952_3_AKAP12.pdf")</f>
        <v>Melting_Curves/meltCurve_Q02952_3_AKAP12.pdf</v>
      </c>
    </row>
    <row r="2931" spans="1:28" x14ac:dyDescent="0.25">
      <c r="A2931" t="s">
        <v>2935</v>
      </c>
      <c r="B2931">
        <v>0.99930955844802105</v>
      </c>
      <c r="C2931">
        <v>0.97901244690421496</v>
      </c>
      <c r="D2931">
        <v>0.96852100148045905</v>
      </c>
      <c r="E2931">
        <v>0.86519779877033298</v>
      </c>
      <c r="F2931">
        <v>0.46853220996670503</v>
      </c>
      <c r="G2931">
        <v>0.31377692017770697</v>
      </c>
      <c r="H2931">
        <v>0.22787919921896499</v>
      </c>
      <c r="I2931">
        <v>0.22812948850812301</v>
      </c>
      <c r="J2931">
        <v>0.21132107637565101</v>
      </c>
      <c r="K2931">
        <v>0.15925196467413699</v>
      </c>
      <c r="L2931">
        <v>1685.51713818742</v>
      </c>
      <c r="M2931">
        <v>32.360834633067199</v>
      </c>
      <c r="N2931">
        <v>52.997104039998</v>
      </c>
      <c r="O2931">
        <v>51.887409481246003</v>
      </c>
      <c r="P2931">
        <v>-0.122629759062675</v>
      </c>
      <c r="Q2931">
        <v>0.213504895469212</v>
      </c>
      <c r="R2931">
        <v>0.99269860427675605</v>
      </c>
      <c r="S2931" t="s">
        <v>9548</v>
      </c>
      <c r="T2931" t="s">
        <v>13232</v>
      </c>
      <c r="U2931" t="s">
        <v>13232</v>
      </c>
      <c r="V2931" t="s">
        <v>13232</v>
      </c>
      <c r="W2931" t="s">
        <v>16108</v>
      </c>
      <c r="X2931">
        <v>56</v>
      </c>
      <c r="Y2931" t="s">
        <v>22576</v>
      </c>
      <c r="Z2931" t="s">
        <v>29062</v>
      </c>
      <c r="AA2931">
        <v>0.534662139126448</v>
      </c>
      <c r="AB2931" t="str">
        <f>HYPERLINK("Melting_Curves/meltCurve_Q03001_DST.pdf", "Melting_Curves/meltCurve_Q03001_DST.pdf")</f>
        <v>Melting_Curves/meltCurve_Q03001_DST.pdf</v>
      </c>
    </row>
    <row r="2932" spans="1:28" x14ac:dyDescent="0.25">
      <c r="A2932" t="s">
        <v>2936</v>
      </c>
      <c r="B2932">
        <v>0.99930955844802105</v>
      </c>
      <c r="C2932">
        <v>1.0723427815311</v>
      </c>
      <c r="D2932">
        <v>1.08365950073529</v>
      </c>
      <c r="E2932">
        <v>1.04222990180292</v>
      </c>
      <c r="F2932">
        <v>0.92894129764126698</v>
      </c>
      <c r="G2932">
        <v>0.74365720226916499</v>
      </c>
      <c r="H2932">
        <v>0.79695672211202295</v>
      </c>
      <c r="I2932">
        <v>0.82401780003702696</v>
      </c>
      <c r="J2932">
        <v>0.85011819121367005</v>
      </c>
      <c r="K2932">
        <v>0.69973850643409496</v>
      </c>
      <c r="L2932">
        <v>13288.181169544399</v>
      </c>
      <c r="M2932">
        <v>250</v>
      </c>
      <c r="O2932">
        <v>53.149322438461802</v>
      </c>
      <c r="P2932">
        <v>-0.25529760360425102</v>
      </c>
      <c r="Q2932">
        <v>0.78289768248509894</v>
      </c>
      <c r="R2932">
        <v>0.837414820941208</v>
      </c>
      <c r="S2932" t="s">
        <v>9549</v>
      </c>
      <c r="T2932" t="s">
        <v>13232</v>
      </c>
      <c r="U2932" t="s">
        <v>13232</v>
      </c>
      <c r="V2932" t="s">
        <v>13232</v>
      </c>
      <c r="W2932" t="s">
        <v>16109</v>
      </c>
      <c r="X2932">
        <v>7</v>
      </c>
      <c r="Y2932" t="s">
        <v>22577</v>
      </c>
      <c r="Z2932" t="s">
        <v>29063</v>
      </c>
      <c r="AA2932">
        <v>0.87810083457682042</v>
      </c>
      <c r="AB2932" t="str">
        <f>HYPERLINK("Melting_Curves/meltCurve_Q03014_HHEX.pdf", "Melting_Curves/meltCurve_Q03014_HHEX.pdf")</f>
        <v>Melting_Curves/meltCurve_Q03014_HHEX.pdf</v>
      </c>
    </row>
    <row r="2933" spans="1:28" x14ac:dyDescent="0.25">
      <c r="A2933" t="s">
        <v>2937</v>
      </c>
      <c r="B2933">
        <v>0.99930955844802105</v>
      </c>
      <c r="C2933">
        <v>1.04387579530743</v>
      </c>
      <c r="D2933">
        <v>1.02611196290739</v>
      </c>
      <c r="E2933">
        <v>1.12690693446305</v>
      </c>
      <c r="F2933">
        <v>1.14967681474679</v>
      </c>
      <c r="G2933">
        <v>0.98131996730254201</v>
      </c>
      <c r="H2933">
        <v>0.9846351790458</v>
      </c>
      <c r="I2933">
        <v>0.95240010031540301</v>
      </c>
      <c r="J2933">
        <v>1.00769214866354</v>
      </c>
      <c r="K2933">
        <v>0.88305885793597305</v>
      </c>
      <c r="L2933">
        <v>15000</v>
      </c>
      <c r="M2933">
        <v>212.26398667033999</v>
      </c>
      <c r="Q2933">
        <v>0</v>
      </c>
      <c r="R2933">
        <v>0.20385520631118201</v>
      </c>
      <c r="S2933" t="s">
        <v>9550</v>
      </c>
      <c r="T2933" t="s">
        <v>13232</v>
      </c>
      <c r="U2933" t="s">
        <v>13232</v>
      </c>
      <c r="V2933" t="s">
        <v>13232</v>
      </c>
      <c r="W2933" t="s">
        <v>16110</v>
      </c>
      <c r="X2933">
        <v>1</v>
      </c>
      <c r="Y2933" t="s">
        <v>22578</v>
      </c>
      <c r="Z2933" t="s">
        <v>29064</v>
      </c>
      <c r="AA2933">
        <v>0.99865868409175362</v>
      </c>
      <c r="AB2933" t="str">
        <f>HYPERLINK("Melting_Curves/meltCurve_Q03060_25_CREM.pdf", "Melting_Curves/meltCurve_Q03060_25_CREM.pdf")</f>
        <v>Melting_Curves/meltCurve_Q03060_25_CREM.pdf</v>
      </c>
    </row>
    <row r="2934" spans="1:28" x14ac:dyDescent="0.25">
      <c r="A2934" t="s">
        <v>2938</v>
      </c>
      <c r="B2934">
        <v>0.99930955844802105</v>
      </c>
      <c r="C2934">
        <v>1.3040967356045401</v>
      </c>
      <c r="D2934">
        <v>1.2714714018269</v>
      </c>
      <c r="E2934">
        <v>1.22878863825886</v>
      </c>
      <c r="F2934">
        <v>1.1267813466454299</v>
      </c>
      <c r="G2934">
        <v>0.980848996020106</v>
      </c>
      <c r="H2934">
        <v>1.0385945964649601</v>
      </c>
      <c r="I2934">
        <v>1.0628603772783201</v>
      </c>
      <c r="J2934">
        <v>1.21309437050571</v>
      </c>
      <c r="K2934">
        <v>0.89858739878489402</v>
      </c>
      <c r="L2934">
        <v>10243.180463087399</v>
      </c>
      <c r="M2934">
        <v>250</v>
      </c>
      <c r="O2934">
        <v>40.970097481131099</v>
      </c>
      <c r="P2934">
        <v>0.190708339145161</v>
      </c>
      <c r="Q2934">
        <v>1.1250134350729999</v>
      </c>
      <c r="R2934">
        <v>8.3815668978607705E-2</v>
      </c>
      <c r="S2934" t="s">
        <v>9551</v>
      </c>
      <c r="T2934" t="s">
        <v>13232</v>
      </c>
      <c r="U2934" t="s">
        <v>13232</v>
      </c>
      <c r="V2934" t="s">
        <v>13232</v>
      </c>
      <c r="W2934" t="s">
        <v>16111</v>
      </c>
      <c r="X2934">
        <v>8</v>
      </c>
      <c r="Y2934" t="s">
        <v>22579</v>
      </c>
      <c r="Z2934" t="s">
        <v>29065</v>
      </c>
      <c r="AA2934">
        <v>1.1209495255347071</v>
      </c>
      <c r="AB2934" t="str">
        <f>HYPERLINK("Melting_Curves/meltCurve_Q03111_MLLT1.pdf", "Melting_Curves/meltCurve_Q03111_MLLT1.pdf")</f>
        <v>Melting_Curves/meltCurve_Q03111_MLLT1.pdf</v>
      </c>
    </row>
    <row r="2935" spans="1:28" x14ac:dyDescent="0.25">
      <c r="A2935" t="s">
        <v>2939</v>
      </c>
      <c r="B2935">
        <v>0.99930955844802105</v>
      </c>
      <c r="C2935">
        <v>1.04281980636975</v>
      </c>
      <c r="D2935">
        <v>1.0161994691087799</v>
      </c>
      <c r="E2935">
        <v>0.93550135726748096</v>
      </c>
      <c r="F2935">
        <v>0.87827653944879103</v>
      </c>
      <c r="G2935">
        <v>0.69602533501393704</v>
      </c>
      <c r="H2935">
        <v>0.58046282963954199</v>
      </c>
      <c r="I2935">
        <v>0.540475214384744</v>
      </c>
      <c r="J2935">
        <v>0.48980276827880098</v>
      </c>
      <c r="K2935">
        <v>0.32437924804690099</v>
      </c>
      <c r="L2935">
        <v>671.16057717131605</v>
      </c>
      <c r="M2935">
        <v>11.1371170300238</v>
      </c>
      <c r="N2935">
        <v>64.206564365466406</v>
      </c>
      <c r="O2935">
        <v>58.418364496399903</v>
      </c>
      <c r="P2935">
        <v>-3.5867126059609199E-2</v>
      </c>
      <c r="Q2935">
        <v>0.247695744960717</v>
      </c>
      <c r="R2935">
        <v>0.97629446786476903</v>
      </c>
      <c r="S2935" t="s">
        <v>9552</v>
      </c>
      <c r="T2935" t="s">
        <v>13232</v>
      </c>
      <c r="U2935" t="s">
        <v>13232</v>
      </c>
      <c r="V2935" t="s">
        <v>13232</v>
      </c>
      <c r="W2935" t="s">
        <v>16112</v>
      </c>
      <c r="X2935">
        <v>29</v>
      </c>
      <c r="Y2935" t="s">
        <v>22580</v>
      </c>
      <c r="Z2935" t="s">
        <v>29066</v>
      </c>
      <c r="AA2935">
        <v>0.75454672023816871</v>
      </c>
      <c r="AB2935" t="str">
        <f>HYPERLINK("Melting_Curves/meltCurve_Q03154_ACY1.pdf", "Melting_Curves/meltCurve_Q03154_ACY1.pdf")</f>
        <v>Melting_Curves/meltCurve_Q03154_ACY1.pdf</v>
      </c>
    </row>
    <row r="2936" spans="1:28" x14ac:dyDescent="0.25">
      <c r="A2936" t="s">
        <v>2940</v>
      </c>
      <c r="B2936">
        <v>0.99930955844802105</v>
      </c>
      <c r="C2936">
        <v>1.1374698458588901</v>
      </c>
      <c r="D2936">
        <v>1.07377649814606</v>
      </c>
      <c r="E2936">
        <v>1.0012505122833</v>
      </c>
      <c r="F2936">
        <v>0.89342904761637099</v>
      </c>
      <c r="G2936">
        <v>0.81482693958145802</v>
      </c>
      <c r="H2936">
        <v>0.79682454362747401</v>
      </c>
      <c r="I2936">
        <v>0.89333448707646201</v>
      </c>
      <c r="J2936">
        <v>0.85391797318884599</v>
      </c>
      <c r="K2936">
        <v>0.70032780996691602</v>
      </c>
      <c r="L2936">
        <v>13235.8387324171</v>
      </c>
      <c r="M2936">
        <v>250</v>
      </c>
      <c r="O2936">
        <v>52.939982905239603</v>
      </c>
      <c r="P2936">
        <v>-0.222130912080029</v>
      </c>
      <c r="Q2936">
        <v>0.81184634980285997</v>
      </c>
      <c r="R2936">
        <v>0.722987630633394</v>
      </c>
      <c r="S2936" t="s">
        <v>9553</v>
      </c>
      <c r="T2936" t="s">
        <v>13232</v>
      </c>
      <c r="U2936" t="s">
        <v>13232</v>
      </c>
      <c r="V2936" t="s">
        <v>13232</v>
      </c>
      <c r="W2936" t="s">
        <v>16113</v>
      </c>
      <c r="X2936">
        <v>36</v>
      </c>
      <c r="Y2936" t="s">
        <v>22581</v>
      </c>
      <c r="Z2936" t="s">
        <v>29067</v>
      </c>
      <c r="AA2936">
        <v>0.89304181458199117</v>
      </c>
      <c r="AB2936" t="str">
        <f>HYPERLINK("Melting_Curves/meltCurve_Q03164_2_MLL.pdf", "Melting_Curves/meltCurve_Q03164_2_MLL.pdf")</f>
        <v>Melting_Curves/meltCurve_Q03164_2_MLL.pdf</v>
      </c>
    </row>
    <row r="2937" spans="1:28" x14ac:dyDescent="0.25">
      <c r="A2937" t="s">
        <v>2941</v>
      </c>
      <c r="B2937">
        <v>0.99930955844802105</v>
      </c>
      <c r="C2937">
        <v>0.93269551046246302</v>
      </c>
      <c r="D2937">
        <v>0.63437010253919801</v>
      </c>
      <c r="E2937">
        <v>0.37021257486457199</v>
      </c>
      <c r="F2937">
        <v>0.34855412245747802</v>
      </c>
      <c r="G2937">
        <v>0.20093586057715401</v>
      </c>
      <c r="H2937">
        <v>0.18078523886719999</v>
      </c>
      <c r="I2937">
        <v>9.9333047589676898E-2</v>
      </c>
      <c r="J2937">
        <v>9.2925747352021207E-2</v>
      </c>
      <c r="K2937">
        <v>6.1235253661455699E-2</v>
      </c>
      <c r="L2937">
        <v>697.550762375403</v>
      </c>
      <c r="M2937">
        <v>14.5174478728013</v>
      </c>
      <c r="N2937">
        <v>48.757269846272401</v>
      </c>
      <c r="O2937">
        <v>47.165028170438198</v>
      </c>
      <c r="P2937">
        <v>-6.9643834144814801E-2</v>
      </c>
      <c r="Q2937">
        <v>9.5054076798581799E-2</v>
      </c>
      <c r="R2937">
        <v>0.97965371337558804</v>
      </c>
      <c r="S2937" t="s">
        <v>9554</v>
      </c>
      <c r="T2937" t="s">
        <v>13232</v>
      </c>
      <c r="U2937" t="s">
        <v>13232</v>
      </c>
      <c r="V2937" t="s">
        <v>13232</v>
      </c>
      <c r="W2937" t="s">
        <v>16114</v>
      </c>
      <c r="X2937">
        <v>4</v>
      </c>
      <c r="Y2937" t="s">
        <v>22582</v>
      </c>
      <c r="Z2937" t="s">
        <v>29068</v>
      </c>
      <c r="AA2937">
        <v>0.3626280045691595</v>
      </c>
      <c r="AB2937" t="str">
        <f>HYPERLINK("Melting_Curves/meltCurve_Q03169_TNFAIP2.pdf", "Melting_Curves/meltCurve_Q03169_TNFAIP2.pdf")</f>
        <v>Melting_Curves/meltCurve_Q03169_TNFAIP2.pdf</v>
      </c>
    </row>
    <row r="2938" spans="1:28" x14ac:dyDescent="0.25">
      <c r="A2938" t="s">
        <v>2942</v>
      </c>
      <c r="B2938">
        <v>0.99930955844802105</v>
      </c>
      <c r="C2938">
        <v>1.09257779112674</v>
      </c>
      <c r="D2938">
        <v>1.11040181713509</v>
      </c>
      <c r="E2938">
        <v>1.08024034336873</v>
      </c>
      <c r="F2938">
        <v>0.98700376927050604</v>
      </c>
      <c r="G2938">
        <v>0.92674904941754199</v>
      </c>
      <c r="H2938">
        <v>0.91376667463441696</v>
      </c>
      <c r="I2938">
        <v>1.0403163100469099</v>
      </c>
      <c r="J2938">
        <v>0.98010730012275105</v>
      </c>
      <c r="K2938">
        <v>0.80009358997447499</v>
      </c>
      <c r="L2938">
        <v>4611.5022754051097</v>
      </c>
      <c r="M2938">
        <v>65.496028962090193</v>
      </c>
      <c r="Q2938">
        <v>0.51045318802389295</v>
      </c>
      <c r="R2938">
        <v>0.48747385493006501</v>
      </c>
      <c r="S2938" t="s">
        <v>9555</v>
      </c>
      <c r="T2938" t="s">
        <v>13232</v>
      </c>
      <c r="U2938" t="s">
        <v>13232</v>
      </c>
      <c r="V2938" t="s">
        <v>13232</v>
      </c>
      <c r="W2938" t="s">
        <v>16115</v>
      </c>
      <c r="X2938">
        <v>24</v>
      </c>
      <c r="Y2938" t="s">
        <v>22583</v>
      </c>
      <c r="Z2938" t="s">
        <v>29069</v>
      </c>
      <c r="AA2938">
        <v>0.99127999261572131</v>
      </c>
      <c r="AB2938" t="str">
        <f>HYPERLINK("Melting_Curves/meltCurve_Q03188_CENPC1.pdf", "Melting_Curves/meltCurve_Q03188_CENPC1.pdf")</f>
        <v>Melting_Curves/meltCurve_Q03188_CENPC1.pdf</v>
      </c>
    </row>
    <row r="2939" spans="1:28" x14ac:dyDescent="0.25">
      <c r="A2939" t="s">
        <v>2943</v>
      </c>
      <c r="B2939">
        <v>0.99930955844802105</v>
      </c>
      <c r="C2939">
        <v>1.0780177113825899</v>
      </c>
      <c r="D2939">
        <v>1.09991460778855</v>
      </c>
      <c r="E2939">
        <v>1.01166479069837</v>
      </c>
      <c r="F2939">
        <v>0.88198684909485803</v>
      </c>
      <c r="G2939">
        <v>0.68863875776196604</v>
      </c>
      <c r="H2939">
        <v>0.48431055540683499</v>
      </c>
      <c r="I2939">
        <v>0.44414236533831702</v>
      </c>
      <c r="J2939">
        <v>0.42388474638496498</v>
      </c>
      <c r="K2939">
        <v>0.362704571248124</v>
      </c>
      <c r="L2939">
        <v>1324.2370479946701</v>
      </c>
      <c r="M2939">
        <v>23.282456845383599</v>
      </c>
      <c r="N2939">
        <v>60.716259899217903</v>
      </c>
      <c r="O2939">
        <v>56.462430984828401</v>
      </c>
      <c r="P2939">
        <v>-6.3370431314221001E-2</v>
      </c>
      <c r="Q2939">
        <v>0.385290956464235</v>
      </c>
      <c r="R2939">
        <v>0.97493789133993203</v>
      </c>
      <c r="S2939" t="s">
        <v>9556</v>
      </c>
      <c r="T2939" t="s">
        <v>13232</v>
      </c>
      <c r="U2939" t="s">
        <v>13232</v>
      </c>
      <c r="V2939" t="s">
        <v>13232</v>
      </c>
      <c r="W2939" t="s">
        <v>16116</v>
      </c>
      <c r="X2939">
        <v>27</v>
      </c>
      <c r="Y2939" t="s">
        <v>22584</v>
      </c>
      <c r="Z2939" t="s">
        <v>29070</v>
      </c>
      <c r="AA2939">
        <v>0.73729204771657064</v>
      </c>
      <c r="AB2939" t="str">
        <f>HYPERLINK("Melting_Curves/meltCurve_Q03252_LMNB2.pdf", "Melting_Curves/meltCurve_Q03252_LMNB2.pdf")</f>
        <v>Melting_Curves/meltCurve_Q03252_LMNB2.pdf</v>
      </c>
    </row>
    <row r="2940" spans="1:28" x14ac:dyDescent="0.25">
      <c r="A2940" t="s">
        <v>2944</v>
      </c>
      <c r="B2940">
        <v>0.99930955844802105</v>
      </c>
      <c r="C2940">
        <v>1.0860221846042599</v>
      </c>
      <c r="D2940">
        <v>1.0236832194179499</v>
      </c>
      <c r="E2940">
        <v>0.93482325997517501</v>
      </c>
      <c r="F2940">
        <v>0.78174772811056104</v>
      </c>
      <c r="G2940">
        <v>0.651618170532557</v>
      </c>
      <c r="H2940">
        <v>0.62603202690762705</v>
      </c>
      <c r="I2940">
        <v>0.67240925307586497</v>
      </c>
      <c r="J2940">
        <v>0.72879986036524202</v>
      </c>
      <c r="K2940">
        <v>0.56995581567457598</v>
      </c>
      <c r="L2940">
        <v>1945.2003916467399</v>
      </c>
      <c r="M2940">
        <v>37.256607677370702</v>
      </c>
      <c r="O2940">
        <v>52.061144232071101</v>
      </c>
      <c r="P2940">
        <v>-6.3152412618428799E-2</v>
      </c>
      <c r="Q2940">
        <v>0.64701264839884798</v>
      </c>
      <c r="R2940">
        <v>0.93022682481324304</v>
      </c>
      <c r="S2940" t="s">
        <v>9557</v>
      </c>
      <c r="T2940" t="s">
        <v>13232</v>
      </c>
      <c r="U2940" t="s">
        <v>13232</v>
      </c>
      <c r="V2940" t="s">
        <v>13232</v>
      </c>
      <c r="W2940" t="s">
        <v>16117</v>
      </c>
      <c r="X2940">
        <v>21</v>
      </c>
      <c r="Y2940" t="s">
        <v>22585</v>
      </c>
      <c r="Z2940" t="s">
        <v>29071</v>
      </c>
      <c r="AA2940">
        <v>0.79215738895831056</v>
      </c>
      <c r="AB2940" t="str">
        <f>HYPERLINK("Melting_Curves/meltCurve_Q03468_ERCC6.pdf", "Melting_Curves/meltCurve_Q03468_ERCC6.pdf")</f>
        <v>Melting_Curves/meltCurve_Q03468_ERCC6.pdf</v>
      </c>
    </row>
    <row r="2941" spans="1:28" x14ac:dyDescent="0.25">
      <c r="A2941" t="s">
        <v>2945</v>
      </c>
      <c r="B2941">
        <v>0.99930955844802105</v>
      </c>
      <c r="C2941">
        <v>1.1217375759835</v>
      </c>
      <c r="D2941">
        <v>1.11985618758212</v>
      </c>
      <c r="E2941">
        <v>1.15291851644448</v>
      </c>
      <c r="F2941">
        <v>1.0475273385591499</v>
      </c>
      <c r="G2941">
        <v>0.98550441139940304</v>
      </c>
      <c r="H2941">
        <v>1.0020435940910599</v>
      </c>
      <c r="I2941">
        <v>1.0616620793273399</v>
      </c>
      <c r="J2941">
        <v>1.00531946356029</v>
      </c>
      <c r="K2941">
        <v>0.85516776475485201</v>
      </c>
      <c r="L2941">
        <v>15000</v>
      </c>
      <c r="M2941">
        <v>212.509988686497</v>
      </c>
      <c r="Q2941">
        <v>0</v>
      </c>
      <c r="R2941">
        <v>0.12814015815711499</v>
      </c>
      <c r="S2941" t="s">
        <v>9558</v>
      </c>
      <c r="T2941" t="s">
        <v>13232</v>
      </c>
      <c r="U2941" t="s">
        <v>13232</v>
      </c>
      <c r="V2941" t="s">
        <v>13232</v>
      </c>
      <c r="W2941" t="s">
        <v>16118</v>
      </c>
      <c r="X2941">
        <v>14</v>
      </c>
      <c r="Y2941" t="s">
        <v>22586</v>
      </c>
      <c r="Z2941" t="s">
        <v>29072</v>
      </c>
      <c r="AA2941">
        <v>0.99831265842081507</v>
      </c>
      <c r="AB2941" t="str">
        <f>HYPERLINK("Melting_Curves/meltCurve_Q03701_CEBPZ.pdf", "Melting_Curves/meltCurve_Q03701_CEBPZ.pdf")</f>
        <v>Melting_Curves/meltCurve_Q03701_CEBPZ.pdf</v>
      </c>
    </row>
    <row r="2942" spans="1:28" x14ac:dyDescent="0.25">
      <c r="A2942" t="s">
        <v>2946</v>
      </c>
      <c r="B2942">
        <v>0.99930955844802105</v>
      </c>
      <c r="C2942">
        <v>1.2681834651788499</v>
      </c>
      <c r="D2942">
        <v>1.27998824031786</v>
      </c>
      <c r="E2942">
        <v>1.0573181173896999</v>
      </c>
      <c r="F2942">
        <v>1.13703299850262</v>
      </c>
      <c r="G2942">
        <v>1.0582505744489701</v>
      </c>
      <c r="H2942">
        <v>1.0362040868958799</v>
      </c>
      <c r="I2942">
        <v>1.27063624201404</v>
      </c>
      <c r="J2942">
        <v>1.2316301254317099</v>
      </c>
      <c r="K2942">
        <v>1.1369474899305301</v>
      </c>
      <c r="L2942">
        <v>10254.454190705001</v>
      </c>
      <c r="M2942">
        <v>250</v>
      </c>
      <c r="O2942">
        <v>41.015169935015102</v>
      </c>
      <c r="P2942">
        <v>0.24993968709334699</v>
      </c>
      <c r="Q2942">
        <v>1.16402118819442</v>
      </c>
      <c r="R2942">
        <v>0.23247383556151899</v>
      </c>
      <c r="S2942" t="s">
        <v>9559</v>
      </c>
      <c r="T2942" t="s">
        <v>13232</v>
      </c>
      <c r="U2942" t="s">
        <v>13232</v>
      </c>
      <c r="V2942" t="s">
        <v>13232</v>
      </c>
      <c r="W2942" t="s">
        <v>16119</v>
      </c>
      <c r="X2942">
        <v>3</v>
      </c>
      <c r="Y2942" t="s">
        <v>22587</v>
      </c>
      <c r="Z2942" t="s">
        <v>29073</v>
      </c>
      <c r="AA2942">
        <v>1.158443136547711</v>
      </c>
      <c r="AB2942" t="str">
        <f>HYPERLINK("Melting_Curves/meltCurve_Q03933_2_HSF2.pdf", "Melting_Curves/meltCurve_Q03933_2_HSF2.pdf")</f>
        <v>Melting_Curves/meltCurve_Q03933_2_HSF2.pdf</v>
      </c>
    </row>
    <row r="2943" spans="1:28" x14ac:dyDescent="0.25">
      <c r="A2943" t="s">
        <v>2947</v>
      </c>
      <c r="B2943">
        <v>0.99930955844802105</v>
      </c>
      <c r="C2943">
        <v>1.1054811870096199</v>
      </c>
      <c r="D2943">
        <v>1.03435666524807</v>
      </c>
      <c r="E2943">
        <v>0.62351558639358196</v>
      </c>
      <c r="F2943">
        <v>0.321509139605405</v>
      </c>
      <c r="G2943">
        <v>0.208591025923659</v>
      </c>
      <c r="H2943">
        <v>0.16966214176959299</v>
      </c>
      <c r="I2943">
        <v>0.15513637510612199</v>
      </c>
      <c r="J2943">
        <v>0.139992560071379</v>
      </c>
      <c r="K2943">
        <v>0.10710081140637299</v>
      </c>
      <c r="L2943">
        <v>1661.6955921292599</v>
      </c>
      <c r="M2943">
        <v>32.885328851223498</v>
      </c>
      <c r="N2943">
        <v>51.095654270884197</v>
      </c>
      <c r="O2943">
        <v>50.344249982340898</v>
      </c>
      <c r="P2943">
        <v>-0.13838722733689501</v>
      </c>
      <c r="Q2943">
        <v>0.15257422762669201</v>
      </c>
      <c r="R2943">
        <v>0.98651860578553896</v>
      </c>
      <c r="S2943" t="s">
        <v>9560</v>
      </c>
      <c r="T2943" t="s">
        <v>13232</v>
      </c>
      <c r="U2943" t="s">
        <v>13232</v>
      </c>
      <c r="V2943" t="s">
        <v>13232</v>
      </c>
      <c r="W2943" t="s">
        <v>16120</v>
      </c>
      <c r="X2943">
        <v>15</v>
      </c>
      <c r="Y2943" t="s">
        <v>22588</v>
      </c>
      <c r="Z2943" t="s">
        <v>29074</v>
      </c>
      <c r="AA2943">
        <v>0.45441470010063312</v>
      </c>
      <c r="AB2943" t="str">
        <f>HYPERLINK("Melting_Curves/meltCurve_Q04446_GBE1.pdf", "Melting_Curves/meltCurve_Q04446_GBE1.pdf")</f>
        <v>Melting_Curves/meltCurve_Q04446_GBE1.pdf</v>
      </c>
    </row>
    <row r="2944" spans="1:28" x14ac:dyDescent="0.25">
      <c r="A2944" t="s">
        <v>2948</v>
      </c>
      <c r="B2944">
        <v>0.99930955844802105</v>
      </c>
      <c r="C2944">
        <v>1.0795975177491699</v>
      </c>
      <c r="D2944">
        <v>1.03654037573977</v>
      </c>
      <c r="E2944">
        <v>0.84404045896413304</v>
      </c>
      <c r="F2944">
        <v>0.44960652153074898</v>
      </c>
      <c r="G2944">
        <v>0.37403283828186901</v>
      </c>
      <c r="H2944">
        <v>0.326782686278207</v>
      </c>
      <c r="I2944">
        <v>0.33543798783457202</v>
      </c>
      <c r="J2944">
        <v>0.32684666325040002</v>
      </c>
      <c r="K2944">
        <v>0.26863293179157699</v>
      </c>
      <c r="L2944">
        <v>2334.8273813484102</v>
      </c>
      <c r="M2944">
        <v>45.491159952373998</v>
      </c>
      <c r="N2944">
        <v>52.530929601069701</v>
      </c>
      <c r="O2944">
        <v>51.225977966297897</v>
      </c>
      <c r="P2944">
        <v>-0.15006767752521499</v>
      </c>
      <c r="Q2944">
        <v>0.32405740217425999</v>
      </c>
      <c r="R2944">
        <v>0.987516411479198</v>
      </c>
      <c r="S2944" t="s">
        <v>9561</v>
      </c>
      <c r="T2944" t="s">
        <v>13232</v>
      </c>
      <c r="U2944" t="s">
        <v>13232</v>
      </c>
      <c r="V2944" t="s">
        <v>13232</v>
      </c>
      <c r="W2944" t="s">
        <v>16121</v>
      </c>
      <c r="X2944">
        <v>66</v>
      </c>
      <c r="Y2944" t="s">
        <v>22589</v>
      </c>
      <c r="Z2944" t="s">
        <v>29075</v>
      </c>
      <c r="AA2944">
        <v>0.58107319786829315</v>
      </c>
      <c r="AB2944" t="str">
        <f>HYPERLINK("Melting_Curves/meltCurve_Q04637_5_EIF4G1.pdf", "Melting_Curves/meltCurve_Q04637_5_EIF4G1.pdf")</f>
        <v>Melting_Curves/meltCurve_Q04637_5_EIF4G1.pdf</v>
      </c>
    </row>
    <row r="2945" spans="1:28" x14ac:dyDescent="0.25">
      <c r="A2945" t="s">
        <v>2949</v>
      </c>
      <c r="B2945">
        <v>0.99930955844802105</v>
      </c>
      <c r="C2945">
        <v>1.13894329221635</v>
      </c>
      <c r="D2945">
        <v>1.1560042322017601</v>
      </c>
      <c r="E2945">
        <v>1.0576143182314</v>
      </c>
      <c r="F2945">
        <v>0.79139779589466597</v>
      </c>
      <c r="G2945">
        <v>0.49767350343336297</v>
      </c>
      <c r="H2945">
        <v>0.34351514128578298</v>
      </c>
      <c r="I2945">
        <v>0.28750814786416101</v>
      </c>
      <c r="J2945">
        <v>0.233378350944457</v>
      </c>
      <c r="K2945">
        <v>0.17829365263247199</v>
      </c>
      <c r="L2945">
        <v>1415.75468453954</v>
      </c>
      <c r="M2945">
        <v>25.397335980162399</v>
      </c>
      <c r="N2945">
        <v>57.101790087488901</v>
      </c>
      <c r="O2945">
        <v>55.402077021891202</v>
      </c>
      <c r="P2945">
        <v>-8.8632024923835206E-2</v>
      </c>
      <c r="Q2945">
        <v>0.226637777104226</v>
      </c>
      <c r="R2945">
        <v>0.95719488668310704</v>
      </c>
      <c r="S2945" t="s">
        <v>9562</v>
      </c>
      <c r="T2945" t="s">
        <v>13232</v>
      </c>
      <c r="U2945" t="s">
        <v>13232</v>
      </c>
      <c r="V2945" t="s">
        <v>13232</v>
      </c>
      <c r="W2945" t="s">
        <v>16122</v>
      </c>
      <c r="X2945">
        <v>12</v>
      </c>
      <c r="Y2945" t="s">
        <v>22590</v>
      </c>
      <c r="Z2945" t="s">
        <v>29076</v>
      </c>
      <c r="AA2945">
        <v>0.63943591651662479</v>
      </c>
      <c r="AB2945" t="str">
        <f>HYPERLINK("Melting_Curves/meltCurve_Q04656_5_ATP7A.pdf", "Melting_Curves/meltCurve_Q04656_5_ATP7A.pdf")</f>
        <v>Melting_Curves/meltCurve_Q04656_5_ATP7A.pdf</v>
      </c>
    </row>
    <row r="2946" spans="1:28" x14ac:dyDescent="0.25">
      <c r="A2946" t="s">
        <v>2950</v>
      </c>
      <c r="B2946">
        <v>0.99930955844802105</v>
      </c>
      <c r="C2946">
        <v>0.97080801399504202</v>
      </c>
      <c r="D2946">
        <v>0.940522337179998</v>
      </c>
      <c r="E2946">
        <v>0.85816087918958495</v>
      </c>
      <c r="F2946">
        <v>0.72044299474238604</v>
      </c>
      <c r="G2946">
        <v>0.56838816383358204</v>
      </c>
      <c r="H2946">
        <v>0.403341913136397</v>
      </c>
      <c r="I2946">
        <v>0.43164206849602799</v>
      </c>
      <c r="J2946">
        <v>0.32637408453779199</v>
      </c>
      <c r="K2946">
        <v>0.27539223522356499</v>
      </c>
      <c r="L2946">
        <v>650.63893548793999</v>
      </c>
      <c r="M2946">
        <v>11.6614651508241</v>
      </c>
      <c r="N2946">
        <v>58.944435505641103</v>
      </c>
      <c r="O2946">
        <v>54.228975591024302</v>
      </c>
      <c r="P2946">
        <v>-4.1303756434404898E-2</v>
      </c>
      <c r="Q2946">
        <v>0.231912203930491</v>
      </c>
      <c r="R2946">
        <v>0.99201738317114696</v>
      </c>
      <c r="S2946" t="s">
        <v>9563</v>
      </c>
      <c r="T2946" t="s">
        <v>13232</v>
      </c>
      <c r="U2946" t="s">
        <v>13232</v>
      </c>
      <c r="V2946" t="s">
        <v>13232</v>
      </c>
      <c r="W2946" t="s">
        <v>16123</v>
      </c>
      <c r="X2946">
        <v>9</v>
      </c>
      <c r="Y2946" t="s">
        <v>22591</v>
      </c>
      <c r="Z2946" t="s">
        <v>29077</v>
      </c>
      <c r="AA2946">
        <v>0.65265393492673496</v>
      </c>
      <c r="AB2946" t="str">
        <f>HYPERLINK("Melting_Curves/meltCurve_Q04725_TLE2.pdf", "Melting_Curves/meltCurve_Q04725_TLE2.pdf")</f>
        <v>Melting_Curves/meltCurve_Q04725_TLE2.pdf</v>
      </c>
    </row>
    <row r="2947" spans="1:28" x14ac:dyDescent="0.25">
      <c r="A2947" t="s">
        <v>2951</v>
      </c>
      <c r="B2947">
        <v>0.99930955844802105</v>
      </c>
      <c r="C2947">
        <v>1.0097519907018699</v>
      </c>
      <c r="D2947">
        <v>0.88780031064457199</v>
      </c>
      <c r="E2947">
        <v>0.54941742280162098</v>
      </c>
      <c r="F2947">
        <v>0.26135179903725397</v>
      </c>
      <c r="G2947">
        <v>0.17428494532087199</v>
      </c>
      <c r="H2947">
        <v>0.11931215886737701</v>
      </c>
      <c r="I2947">
        <v>0.107526014219008</v>
      </c>
      <c r="J2947">
        <v>0.11365579165663001</v>
      </c>
      <c r="K2947">
        <v>8.7860820874718998E-2</v>
      </c>
      <c r="L2947">
        <v>1213.8059418657001</v>
      </c>
      <c r="M2947">
        <v>24.332299093098701</v>
      </c>
      <c r="N2947">
        <v>50.380792350533902</v>
      </c>
      <c r="O2947">
        <v>49.551279911098398</v>
      </c>
      <c r="P2947">
        <v>-0.109684163859104</v>
      </c>
      <c r="Q2947">
        <v>0.10655228197173799</v>
      </c>
      <c r="R2947">
        <v>0.99831630830277296</v>
      </c>
      <c r="S2947" t="s">
        <v>9564</v>
      </c>
      <c r="T2947" t="s">
        <v>13232</v>
      </c>
      <c r="U2947" t="s">
        <v>13232</v>
      </c>
      <c r="V2947" t="s">
        <v>13232</v>
      </c>
      <c r="W2947" t="s">
        <v>16124</v>
      </c>
      <c r="X2947">
        <v>27</v>
      </c>
      <c r="Y2947" t="s">
        <v>22592</v>
      </c>
      <c r="Z2947" t="s">
        <v>29078</v>
      </c>
      <c r="AA2947">
        <v>0.40935329463642861</v>
      </c>
      <c r="AB2947" t="str">
        <f>HYPERLINK("Melting_Curves/meltCurve_Q04759_PRKCQ.pdf", "Melting_Curves/meltCurve_Q04759_PRKCQ.pdf")</f>
        <v>Melting_Curves/meltCurve_Q04759_PRKCQ.pdf</v>
      </c>
    </row>
    <row r="2948" spans="1:28" x14ac:dyDescent="0.25">
      <c r="A2948" t="s">
        <v>2952</v>
      </c>
      <c r="B2948">
        <v>0.99930955844802105</v>
      </c>
      <c r="C2948">
        <v>1.1303325755442699</v>
      </c>
      <c r="D2948">
        <v>1.1933522643360399</v>
      </c>
      <c r="E2948">
        <v>1.0656496677589999</v>
      </c>
      <c r="F2948">
        <v>0.94570890389557605</v>
      </c>
      <c r="G2948">
        <v>0.68311036578168305</v>
      </c>
      <c r="H2948">
        <v>0.34413400458864501</v>
      </c>
      <c r="I2948">
        <v>0.20492915496391201</v>
      </c>
      <c r="J2948">
        <v>0.13678171403163999</v>
      </c>
      <c r="K2948">
        <v>8.2704484803659301E-2</v>
      </c>
      <c r="L2948">
        <v>1467.9760695162299</v>
      </c>
      <c r="M2948">
        <v>25.037111665332699</v>
      </c>
      <c r="N2948">
        <v>59.0979848887239</v>
      </c>
      <c r="O2948">
        <v>58.261792876568101</v>
      </c>
      <c r="P2948">
        <v>-9.7811619700746005E-2</v>
      </c>
      <c r="Q2948">
        <v>8.9574671769002995E-2</v>
      </c>
      <c r="R2948">
        <v>0.96513493699160302</v>
      </c>
      <c r="S2948" t="s">
        <v>9565</v>
      </c>
      <c r="T2948" t="s">
        <v>13232</v>
      </c>
      <c r="U2948" t="s">
        <v>13232</v>
      </c>
      <c r="V2948" t="s">
        <v>13232</v>
      </c>
      <c r="W2948" t="s">
        <v>16125</v>
      </c>
      <c r="X2948">
        <v>14</v>
      </c>
      <c r="Y2948" t="s">
        <v>22593</v>
      </c>
      <c r="Z2948" t="s">
        <v>29079</v>
      </c>
      <c r="AA2948">
        <v>0.66264869988071984</v>
      </c>
      <c r="AB2948" t="str">
        <f>HYPERLINK("Melting_Curves/meltCurve_Q04760_GLO1.pdf", "Melting_Curves/meltCurve_Q04760_GLO1.pdf")</f>
        <v>Melting_Curves/meltCurve_Q04760_GLO1.pdf</v>
      </c>
    </row>
    <row r="2949" spans="1:28" x14ac:dyDescent="0.25">
      <c r="A2949" t="s">
        <v>2953</v>
      </c>
      <c r="B2949">
        <v>0.99930955844802105</v>
      </c>
      <c r="C2949">
        <v>1.0514671401204001</v>
      </c>
      <c r="D2949">
        <v>0.87004878258931195</v>
      </c>
      <c r="E2949">
        <v>0.39142692995128597</v>
      </c>
      <c r="F2949">
        <v>0.24076929902769301</v>
      </c>
      <c r="G2949">
        <v>0.19101318035355899</v>
      </c>
      <c r="H2949">
        <v>0.121813779361686</v>
      </c>
      <c r="I2949">
        <v>0.108050645628328</v>
      </c>
      <c r="J2949">
        <v>9.3871003846849904E-2</v>
      </c>
      <c r="K2949">
        <v>7.2323523105441295E-2</v>
      </c>
      <c r="L2949">
        <v>1353.6506676982201</v>
      </c>
      <c r="M2949">
        <v>27.7189275537919</v>
      </c>
      <c r="N2949">
        <v>49.303752907274202</v>
      </c>
      <c r="O2949">
        <v>48.5828385166039</v>
      </c>
      <c r="P2949">
        <v>-0.12611258625824401</v>
      </c>
      <c r="Q2949">
        <v>0.11586014127263</v>
      </c>
      <c r="R2949">
        <v>0.99097465080177605</v>
      </c>
      <c r="S2949" t="s">
        <v>9566</v>
      </c>
      <c r="T2949" t="s">
        <v>13232</v>
      </c>
      <c r="U2949" t="s">
        <v>13232</v>
      </c>
      <c r="V2949" t="s">
        <v>13232</v>
      </c>
      <c r="W2949" t="s">
        <v>16126</v>
      </c>
      <c r="X2949">
        <v>15</v>
      </c>
      <c r="Y2949" t="s">
        <v>22594</v>
      </c>
      <c r="Z2949" t="s">
        <v>29080</v>
      </c>
      <c r="AA2949">
        <v>0.38255884426626929</v>
      </c>
      <c r="AB2949" t="str">
        <f>HYPERLINK("Melting_Curves/meltCurve_Q04828_AKR1C1.pdf", "Melting_Curves/meltCurve_Q04828_AKR1C1.pdf")</f>
        <v>Melting_Curves/meltCurve_Q04828_AKR1C1.pdf</v>
      </c>
    </row>
    <row r="2950" spans="1:28" x14ac:dyDescent="0.25">
      <c r="A2950" t="s">
        <v>2954</v>
      </c>
      <c r="B2950">
        <v>0.99930955844802105</v>
      </c>
      <c r="C2950">
        <v>0.98285006412637899</v>
      </c>
      <c r="D2950">
        <v>0.99688219916730103</v>
      </c>
      <c r="E2950">
        <v>0.91917185814712299</v>
      </c>
      <c r="F2950">
        <v>0.78729002757375299</v>
      </c>
      <c r="G2950">
        <v>0.65212849168387299</v>
      </c>
      <c r="H2950">
        <v>0.58383759909948696</v>
      </c>
      <c r="I2950">
        <v>0.54120734179419105</v>
      </c>
      <c r="J2950">
        <v>0.50634222831266595</v>
      </c>
      <c r="K2950">
        <v>0.37713918241240901</v>
      </c>
      <c r="L2950">
        <v>638.49695851560398</v>
      </c>
      <c r="M2950">
        <v>11.1571997773215</v>
      </c>
      <c r="N2950">
        <v>64.536854325267498</v>
      </c>
      <c r="O2950">
        <v>55.481247655668803</v>
      </c>
      <c r="P2950">
        <v>-3.2251754144420101E-2</v>
      </c>
      <c r="Q2950">
        <v>0.35869348912418703</v>
      </c>
      <c r="R2950">
        <v>0.97956933678900704</v>
      </c>
      <c r="S2950" t="s">
        <v>9567</v>
      </c>
      <c r="T2950" t="s">
        <v>13232</v>
      </c>
      <c r="U2950" t="s">
        <v>13232</v>
      </c>
      <c r="V2950" t="s">
        <v>13232</v>
      </c>
      <c r="W2950" t="s">
        <v>16127</v>
      </c>
      <c r="X2950">
        <v>13</v>
      </c>
      <c r="Y2950" t="s">
        <v>22595</v>
      </c>
      <c r="Z2950" t="s">
        <v>29081</v>
      </c>
      <c r="AA2950">
        <v>0.73696968559521425</v>
      </c>
      <c r="AB2950" t="str">
        <f>HYPERLINK("Melting_Curves/meltCurve_Q04837_SSBP1.pdf", "Melting_Curves/meltCurve_Q04837_SSBP1.pdf")</f>
        <v>Melting_Curves/meltCurve_Q04837_SSBP1.pdf</v>
      </c>
    </row>
    <row r="2951" spans="1:28" x14ac:dyDescent="0.25">
      <c r="A2951" t="s">
        <v>2955</v>
      </c>
      <c r="B2951">
        <v>0.99930955844802105</v>
      </c>
      <c r="C2951">
        <v>1.09450437187754</v>
      </c>
      <c r="D2951">
        <v>1.10332194656049</v>
      </c>
      <c r="E2951">
        <v>0.99093014477064101</v>
      </c>
      <c r="F2951">
        <v>0.69419608804147104</v>
      </c>
      <c r="G2951">
        <v>0.334229893387956</v>
      </c>
      <c r="H2951">
        <v>0.13225740862761801</v>
      </c>
      <c r="I2951">
        <v>9.0310150149209706E-2</v>
      </c>
      <c r="J2951">
        <v>7.3268033095280696E-2</v>
      </c>
      <c r="K2951">
        <v>5.4552423639218799E-2</v>
      </c>
      <c r="L2951">
        <v>1473.41551670286</v>
      </c>
      <c r="M2951">
        <v>26.870388919202998</v>
      </c>
      <c r="N2951">
        <v>55.1317463851653</v>
      </c>
      <c r="O2951">
        <v>54.533164106562197</v>
      </c>
      <c r="P2951">
        <v>-0.114869166779729</v>
      </c>
      <c r="Q2951">
        <v>6.7506481363896004E-2</v>
      </c>
      <c r="R2951">
        <v>0.98629357035676901</v>
      </c>
      <c r="S2951" t="s">
        <v>9568</v>
      </c>
      <c r="T2951" t="s">
        <v>13232</v>
      </c>
      <c r="U2951" t="s">
        <v>13232</v>
      </c>
      <c r="V2951" t="s">
        <v>13232</v>
      </c>
      <c r="W2951" t="s">
        <v>16128</v>
      </c>
      <c r="X2951">
        <v>18</v>
      </c>
      <c r="Y2951" t="s">
        <v>22596</v>
      </c>
      <c r="Z2951" t="s">
        <v>29082</v>
      </c>
      <c r="AA2951">
        <v>0.53618197332515893</v>
      </c>
      <c r="AB2951" t="str">
        <f>HYPERLINK("Melting_Curves/meltCurve_Q04917_YWHAH.pdf", "Melting_Curves/meltCurve_Q04917_YWHAH.pdf")</f>
        <v>Melting_Curves/meltCurve_Q04917_YWHAH.pdf</v>
      </c>
    </row>
    <row r="2952" spans="1:28" x14ac:dyDescent="0.25">
      <c r="A2952" t="s">
        <v>2956</v>
      </c>
      <c r="B2952">
        <v>0.99930955844802105</v>
      </c>
      <c r="C2952">
        <v>0.79590638792233703</v>
      </c>
      <c r="D2952">
        <v>0.81835786333399896</v>
      </c>
      <c r="E2952">
        <v>0.82326485389114101</v>
      </c>
      <c r="F2952">
        <v>0.63340899810401297</v>
      </c>
      <c r="G2952">
        <v>0.42755155742783402</v>
      </c>
      <c r="H2952">
        <v>0.21870400193259901</v>
      </c>
      <c r="I2952">
        <v>0.13565274734736599</v>
      </c>
      <c r="J2952">
        <v>0.10120731528978601</v>
      </c>
      <c r="K2952">
        <v>7.9274612026989905E-2</v>
      </c>
      <c r="L2952">
        <v>610.62544693319398</v>
      </c>
      <c r="M2952">
        <v>11.108125890508401</v>
      </c>
      <c r="N2952">
        <v>54.971059276787699</v>
      </c>
      <c r="O2952">
        <v>53.279700674820397</v>
      </c>
      <c r="P2952">
        <v>-5.2138688990872602E-2</v>
      </c>
      <c r="Q2952">
        <v>0</v>
      </c>
      <c r="R2952">
        <v>0.96205968489614802</v>
      </c>
      <c r="S2952" t="s">
        <v>9569</v>
      </c>
      <c r="T2952" t="s">
        <v>13232</v>
      </c>
      <c r="U2952" t="s">
        <v>13232</v>
      </c>
      <c r="V2952" t="s">
        <v>13232</v>
      </c>
      <c r="W2952" t="s">
        <v>16129</v>
      </c>
      <c r="X2952">
        <v>16</v>
      </c>
      <c r="Y2952" t="s">
        <v>22597</v>
      </c>
      <c r="Z2952" t="s">
        <v>29083</v>
      </c>
      <c r="AA2952">
        <v>0.52374852261875338</v>
      </c>
      <c r="AB2952" t="str">
        <f>HYPERLINK("Melting_Curves/meltCurve_Q05048_CSTF1.pdf", "Melting_Curves/meltCurve_Q05048_CSTF1.pdf")</f>
        <v>Melting_Curves/meltCurve_Q05048_CSTF1.pdf</v>
      </c>
    </row>
    <row r="2953" spans="1:28" x14ac:dyDescent="0.25">
      <c r="A2953" t="s">
        <v>2957</v>
      </c>
      <c r="B2953">
        <v>0.99930955844802105</v>
      </c>
      <c r="C2953">
        <v>0.90076643228459796</v>
      </c>
      <c r="D2953">
        <v>0.82538259549721804</v>
      </c>
      <c r="E2953">
        <v>0.79498360272257196</v>
      </c>
      <c r="F2953">
        <v>0.55866035588214402</v>
      </c>
      <c r="G2953">
        <v>0.232916067872665</v>
      </c>
      <c r="H2953">
        <v>0.11002084301406399</v>
      </c>
      <c r="I2953">
        <v>8.7822883407613295E-2</v>
      </c>
      <c r="J2953">
        <v>7.6935525837365806E-2</v>
      </c>
      <c r="K2953">
        <v>5.81811773151443E-2</v>
      </c>
      <c r="L2953">
        <v>815.90657409065602</v>
      </c>
      <c r="M2953">
        <v>15.3202406372447</v>
      </c>
      <c r="N2953">
        <v>53.371919465915703</v>
      </c>
      <c r="O2953">
        <v>52.374142916354202</v>
      </c>
      <c r="P2953">
        <v>-7.1946854975674102E-2</v>
      </c>
      <c r="Q2953">
        <v>1.62549580010974E-2</v>
      </c>
      <c r="R2953">
        <v>0.98313554402019099</v>
      </c>
      <c r="S2953" t="s">
        <v>9570</v>
      </c>
      <c r="T2953" t="s">
        <v>13232</v>
      </c>
      <c r="U2953" t="s">
        <v>13232</v>
      </c>
      <c r="V2953" t="s">
        <v>13232</v>
      </c>
      <c r="W2953" t="s">
        <v>16130</v>
      </c>
      <c r="X2953">
        <v>33</v>
      </c>
      <c r="Y2953" t="s">
        <v>22598</v>
      </c>
      <c r="Z2953" t="s">
        <v>29084</v>
      </c>
      <c r="AA2953">
        <v>0.47130238703210281</v>
      </c>
      <c r="AB2953" t="str">
        <f>HYPERLINK("Melting_Curves/meltCurve_Q05086_3_UBE3A.pdf", "Melting_Curves/meltCurve_Q05086_3_UBE3A.pdf")</f>
        <v>Melting_Curves/meltCurve_Q05086_3_UBE3A.pdf</v>
      </c>
    </row>
    <row r="2954" spans="1:28" x14ac:dyDescent="0.25">
      <c r="A2954" t="s">
        <v>2958</v>
      </c>
      <c r="B2954">
        <v>0.99930955844802105</v>
      </c>
      <c r="C2954">
        <v>0.51098285188192705</v>
      </c>
      <c r="D2954">
        <v>0.558242183601665</v>
      </c>
      <c r="E2954">
        <v>0.30632887210834497</v>
      </c>
      <c r="F2954">
        <v>0.12052970453279301</v>
      </c>
      <c r="G2954">
        <v>7.37400135060894E-2</v>
      </c>
      <c r="H2954">
        <v>4.9254000967018097E-2</v>
      </c>
      <c r="I2954">
        <v>4.2809602979023399E-2</v>
      </c>
      <c r="J2954">
        <v>3.4704985317672403E-2</v>
      </c>
      <c r="K2954">
        <v>3.05842610390611E-2</v>
      </c>
      <c r="L2954">
        <v>571.012830880764</v>
      </c>
      <c r="M2954">
        <v>12.5082603876753</v>
      </c>
      <c r="N2954">
        <v>45.742679616469502</v>
      </c>
      <c r="O2954">
        <v>44.531167817921201</v>
      </c>
      <c r="P2954">
        <v>-6.9365406103843605E-2</v>
      </c>
      <c r="Q2954">
        <v>1.24006098918119E-2</v>
      </c>
      <c r="R2954">
        <v>0.93275173555665003</v>
      </c>
      <c r="S2954" t="s">
        <v>9571</v>
      </c>
      <c r="T2954" t="s">
        <v>13232</v>
      </c>
      <c r="U2954" t="s">
        <v>13232</v>
      </c>
      <c r="V2954" t="s">
        <v>13232</v>
      </c>
      <c r="W2954" t="s">
        <v>16131</v>
      </c>
      <c r="X2954">
        <v>13</v>
      </c>
      <c r="Y2954" t="s">
        <v>22599</v>
      </c>
      <c r="Z2954" t="s">
        <v>29085</v>
      </c>
      <c r="AA2954">
        <v>0.24129078759412309</v>
      </c>
      <c r="AB2954" t="str">
        <f>HYPERLINK("Melting_Curves/meltCurve_Q05193_DNM1.pdf", "Melting_Curves/meltCurve_Q05193_DNM1.pdf")</f>
        <v>Melting_Curves/meltCurve_Q05193_DNM1.pdf</v>
      </c>
    </row>
    <row r="2955" spans="1:28" x14ac:dyDescent="0.25">
      <c r="A2955" t="s">
        <v>2959</v>
      </c>
      <c r="B2955">
        <v>0.99930955844802105</v>
      </c>
      <c r="C2955">
        <v>1.05762585702734</v>
      </c>
      <c r="D2955">
        <v>1.0464176516174599</v>
      </c>
      <c r="E2955">
        <v>0.838808504292474</v>
      </c>
      <c r="F2955">
        <v>0.52316757020481397</v>
      </c>
      <c r="G2955">
        <v>0.449958385454443</v>
      </c>
      <c r="H2955">
        <v>0.43277049498203801</v>
      </c>
      <c r="I2955">
        <v>0.43892753135694001</v>
      </c>
      <c r="J2955">
        <v>0.44893957795109202</v>
      </c>
      <c r="K2955">
        <v>0.35599358403064701</v>
      </c>
      <c r="L2955">
        <v>2260.49954528335</v>
      </c>
      <c r="M2955">
        <v>44.233144064718097</v>
      </c>
      <c r="N2955">
        <v>53.377989386977198</v>
      </c>
      <c r="O2955">
        <v>51.000089671985499</v>
      </c>
      <c r="P2955">
        <v>-0.12488770810491</v>
      </c>
      <c r="Q2955">
        <v>0.42402699201684702</v>
      </c>
      <c r="R2955">
        <v>0.98429608152257497</v>
      </c>
      <c r="S2955" t="s">
        <v>9572</v>
      </c>
      <c r="T2955" t="s">
        <v>13232</v>
      </c>
      <c r="U2955" t="s">
        <v>13232</v>
      </c>
      <c r="V2955" t="s">
        <v>13232</v>
      </c>
      <c r="W2955" t="s">
        <v>16132</v>
      </c>
      <c r="X2955">
        <v>35</v>
      </c>
      <c r="Y2955" t="s">
        <v>22600</v>
      </c>
      <c r="Z2955" t="s">
        <v>29086</v>
      </c>
      <c r="AA2955">
        <v>0.63887905819136703</v>
      </c>
      <c r="AB2955" t="str">
        <f>HYPERLINK("Melting_Curves/meltCurve_Q05209_PTPN12.pdf", "Melting_Curves/meltCurve_Q05209_PTPN12.pdf")</f>
        <v>Melting_Curves/meltCurve_Q05209_PTPN12.pdf</v>
      </c>
    </row>
    <row r="2956" spans="1:28" x14ac:dyDescent="0.25">
      <c r="A2956" t="s">
        <v>2960</v>
      </c>
      <c r="B2956">
        <v>0.99930955844802105</v>
      </c>
      <c r="C2956">
        <v>0.90769715013188401</v>
      </c>
      <c r="D2956">
        <v>0.81697616172258902</v>
      </c>
      <c r="E2956">
        <v>0.62661124200558005</v>
      </c>
      <c r="F2956">
        <v>0.30698930981301098</v>
      </c>
      <c r="G2956">
        <v>0.19627863471721699</v>
      </c>
      <c r="H2956">
        <v>0.12523652272948499</v>
      </c>
      <c r="I2956">
        <v>0.110767213607915</v>
      </c>
      <c r="J2956">
        <v>9.1197111119063007E-2</v>
      </c>
      <c r="K2956">
        <v>6.1252232228256501E-2</v>
      </c>
      <c r="L2956">
        <v>800.08667604367702</v>
      </c>
      <c r="M2956">
        <v>15.8606285134956</v>
      </c>
      <c r="N2956">
        <v>50.888455492926802</v>
      </c>
      <c r="O2956">
        <v>49.6633431650936</v>
      </c>
      <c r="P2956">
        <v>-7.4691702912037999E-2</v>
      </c>
      <c r="Q2956">
        <v>6.4567064090831502E-2</v>
      </c>
      <c r="R2956">
        <v>0.99266593269312398</v>
      </c>
      <c r="S2956" t="s">
        <v>9573</v>
      </c>
      <c r="T2956" t="s">
        <v>13232</v>
      </c>
      <c r="U2956" t="s">
        <v>13232</v>
      </c>
      <c r="V2956" t="s">
        <v>13232</v>
      </c>
      <c r="W2956" t="s">
        <v>16133</v>
      </c>
      <c r="X2956">
        <v>5</v>
      </c>
      <c r="Y2956" t="s">
        <v>22601</v>
      </c>
      <c r="Z2956" t="s">
        <v>29087</v>
      </c>
      <c r="AA2956">
        <v>0.4102033749164537</v>
      </c>
      <c r="AB2956" t="str">
        <f>HYPERLINK("Melting_Curves/meltCurve_Q05513_PRKCZ.pdf", "Melting_Curves/meltCurve_Q05513_PRKCZ.pdf")</f>
        <v>Melting_Curves/meltCurve_Q05513_PRKCZ.pdf</v>
      </c>
    </row>
    <row r="2957" spans="1:28" x14ac:dyDescent="0.25">
      <c r="A2957" t="s">
        <v>2961</v>
      </c>
      <c r="B2957">
        <v>0.99930955844802105</v>
      </c>
      <c r="C2957">
        <v>0.97856843387044501</v>
      </c>
      <c r="D2957">
        <v>0.99013881837364603</v>
      </c>
      <c r="E2957">
        <v>0.85083658799386097</v>
      </c>
      <c r="F2957">
        <v>0.68221494624117796</v>
      </c>
      <c r="G2957">
        <v>0.44966681304461298</v>
      </c>
      <c r="H2957">
        <v>0.30182606168859</v>
      </c>
      <c r="I2957">
        <v>0.27831770528113903</v>
      </c>
      <c r="J2957">
        <v>0.24815909587524401</v>
      </c>
      <c r="K2957">
        <v>0.197058733184823</v>
      </c>
      <c r="L2957">
        <v>937.92976994575304</v>
      </c>
      <c r="M2957">
        <v>17.270385632063601</v>
      </c>
      <c r="N2957">
        <v>56.0227740835494</v>
      </c>
      <c r="O2957">
        <v>53.596106956822297</v>
      </c>
      <c r="P2957">
        <v>-6.4028090760022194E-2</v>
      </c>
      <c r="Q2957">
        <v>0.20523902116044601</v>
      </c>
      <c r="R2957">
        <v>0.99808092858267605</v>
      </c>
      <c r="S2957" t="s">
        <v>9574</v>
      </c>
      <c r="T2957" t="s">
        <v>13232</v>
      </c>
      <c r="U2957" t="s">
        <v>13232</v>
      </c>
      <c r="V2957" t="s">
        <v>13232</v>
      </c>
      <c r="W2957" t="s">
        <v>16134</v>
      </c>
      <c r="X2957">
        <v>11</v>
      </c>
      <c r="Y2957" t="s">
        <v>22602</v>
      </c>
      <c r="Z2957" t="s">
        <v>29088</v>
      </c>
      <c r="AA2957">
        <v>0.59766408118515313</v>
      </c>
      <c r="AB2957" t="str">
        <f>HYPERLINK("Melting_Curves/meltCurve_Q05519_2_SRSF11.pdf", "Melting_Curves/meltCurve_Q05519_2_SRSF11.pdf")</f>
        <v>Melting_Curves/meltCurve_Q05519_2_SRSF11.pdf</v>
      </c>
    </row>
    <row r="2958" spans="1:28" x14ac:dyDescent="0.25">
      <c r="A2958" t="s">
        <v>2962</v>
      </c>
      <c r="B2958">
        <v>0.99930955844802105</v>
      </c>
      <c r="C2958">
        <v>0.86761130581824797</v>
      </c>
      <c r="D2958">
        <v>0.815675525934623</v>
      </c>
      <c r="E2958">
        <v>0.84291664158470903</v>
      </c>
      <c r="F2958">
        <v>0.523623685042095</v>
      </c>
      <c r="G2958">
        <v>0.33008244113778701</v>
      </c>
      <c r="H2958">
        <v>8.3683130001818096E-2</v>
      </c>
      <c r="I2958">
        <v>5.5012945593474603E-2</v>
      </c>
      <c r="J2958">
        <v>3.7544885729099801E-2</v>
      </c>
      <c r="K2958">
        <v>3.36264629072082E-2</v>
      </c>
      <c r="L2958">
        <v>813.37092239938795</v>
      </c>
      <c r="M2958">
        <v>15.1546121458993</v>
      </c>
      <c r="N2958">
        <v>53.6715116292932</v>
      </c>
      <c r="O2958">
        <v>52.762985987859999</v>
      </c>
      <c r="P2958">
        <v>-7.1812107282929499E-2</v>
      </c>
      <c r="Q2958">
        <v>0</v>
      </c>
      <c r="R2958">
        <v>0.972872647045538</v>
      </c>
      <c r="S2958" t="s">
        <v>9575</v>
      </c>
      <c r="T2958" t="s">
        <v>13232</v>
      </c>
      <c r="U2958" t="s">
        <v>13232</v>
      </c>
      <c r="V2958" t="s">
        <v>13232</v>
      </c>
      <c r="W2958" t="s">
        <v>16135</v>
      </c>
      <c r="X2958">
        <v>19</v>
      </c>
      <c r="Y2958" t="s">
        <v>22603</v>
      </c>
      <c r="Z2958" t="s">
        <v>29089</v>
      </c>
      <c r="AA2958">
        <v>0.47630971701949443</v>
      </c>
      <c r="AB2958" t="str">
        <f>HYPERLINK("Melting_Curves/meltCurve_Q05639_EEF1A2.pdf", "Melting_Curves/meltCurve_Q05639_EEF1A2.pdf")</f>
        <v>Melting_Curves/meltCurve_Q05639_EEF1A2.pdf</v>
      </c>
    </row>
    <row r="2959" spans="1:28" x14ac:dyDescent="0.25">
      <c r="A2959" t="s">
        <v>2963</v>
      </c>
      <c r="B2959">
        <v>0.99930955844802105</v>
      </c>
      <c r="C2959">
        <v>1.0192942863432899</v>
      </c>
      <c r="D2959">
        <v>0.96117127988680995</v>
      </c>
      <c r="E2959">
        <v>0.81700747564606202</v>
      </c>
      <c r="F2959">
        <v>0.41632592988331302</v>
      </c>
      <c r="G2959">
        <v>0.192008455819519</v>
      </c>
      <c r="H2959">
        <v>0.12425341206155401</v>
      </c>
      <c r="I2959">
        <v>0.11476880477101301</v>
      </c>
      <c r="J2959">
        <v>9.6341347085730694E-2</v>
      </c>
      <c r="K2959">
        <v>7.4551021375133295E-2</v>
      </c>
      <c r="L2959">
        <v>1556.3035312246</v>
      </c>
      <c r="M2959">
        <v>29.886390852182</v>
      </c>
      <c r="N2959">
        <v>52.476136738879298</v>
      </c>
      <c r="O2959">
        <v>51.8425099319048</v>
      </c>
      <c r="P2959">
        <v>-0.12937125567011501</v>
      </c>
      <c r="Q2959">
        <v>0.102349121080635</v>
      </c>
      <c r="R2959">
        <v>0.99781767859548698</v>
      </c>
      <c r="S2959" t="s">
        <v>9576</v>
      </c>
      <c r="T2959" t="s">
        <v>13232</v>
      </c>
      <c r="U2959" t="s">
        <v>13232</v>
      </c>
      <c r="V2959" t="s">
        <v>13232</v>
      </c>
      <c r="W2959" t="s">
        <v>16136</v>
      </c>
      <c r="X2959">
        <v>19</v>
      </c>
      <c r="Y2959" t="s">
        <v>22604</v>
      </c>
      <c r="Z2959" t="s">
        <v>29090</v>
      </c>
      <c r="AA2959">
        <v>0.46940859461661238</v>
      </c>
      <c r="AB2959" t="str">
        <f>HYPERLINK("Melting_Curves/meltCurve_Q05655_PRKCD.pdf", "Melting_Curves/meltCurve_Q05655_PRKCD.pdf")</f>
        <v>Melting_Curves/meltCurve_Q05655_PRKCD.pdf</v>
      </c>
    </row>
    <row r="2960" spans="1:28" x14ac:dyDescent="0.25">
      <c r="A2960" t="s">
        <v>2964</v>
      </c>
      <c r="B2960">
        <v>0.99930955844802105</v>
      </c>
      <c r="C2960">
        <v>1.12653997364215</v>
      </c>
      <c r="D2960">
        <v>1.08806987859176</v>
      </c>
      <c r="E2960">
        <v>1.0782200888869</v>
      </c>
      <c r="F2960">
        <v>0.97985280451114998</v>
      </c>
      <c r="G2960">
        <v>0.78719961690274298</v>
      </c>
      <c r="H2960">
        <v>0.78977933720808602</v>
      </c>
      <c r="I2960">
        <v>0.88397866868351904</v>
      </c>
      <c r="J2960">
        <v>0.86702888498494601</v>
      </c>
      <c r="K2960">
        <v>0.70740043134985098</v>
      </c>
      <c r="L2960">
        <v>13363.8931370874</v>
      </c>
      <c r="M2960">
        <v>250</v>
      </c>
      <c r="O2960">
        <v>53.452151837965097</v>
      </c>
      <c r="P2960">
        <v>-0.22557863845335599</v>
      </c>
      <c r="Q2960">
        <v>0.80707738241291505</v>
      </c>
      <c r="R2960">
        <v>0.73469029456806401</v>
      </c>
      <c r="S2960" t="s">
        <v>9577</v>
      </c>
      <c r="T2960" t="s">
        <v>13232</v>
      </c>
      <c r="U2960" t="s">
        <v>13232</v>
      </c>
      <c r="V2960" t="s">
        <v>13232</v>
      </c>
      <c r="W2960" t="s">
        <v>16137</v>
      </c>
      <c r="X2960">
        <v>13</v>
      </c>
      <c r="Y2960" t="s">
        <v>22605</v>
      </c>
      <c r="Z2960" t="s">
        <v>29091</v>
      </c>
      <c r="AA2960">
        <v>0.8936249571024254</v>
      </c>
      <c r="AB2960" t="str">
        <f>HYPERLINK("Melting_Curves/meltCurve_Q05682_5_CALD1.pdf", "Melting_Curves/meltCurve_Q05682_5_CALD1.pdf")</f>
        <v>Melting_Curves/meltCurve_Q05682_5_CALD1.pdf</v>
      </c>
    </row>
    <row r="2961" spans="1:28" x14ac:dyDescent="0.25">
      <c r="A2961" t="s">
        <v>2965</v>
      </c>
      <c r="B2961">
        <v>0.99930955844802105</v>
      </c>
      <c r="C2961">
        <v>0.57547975202638002</v>
      </c>
      <c r="D2961">
        <v>0.421806266422247</v>
      </c>
      <c r="E2961">
        <v>0.40523201980484602</v>
      </c>
      <c r="F2961">
        <v>0.26858429832226899</v>
      </c>
      <c r="G2961">
        <v>0.220369835446069</v>
      </c>
      <c r="H2961">
        <v>9.7948732588701598E-2</v>
      </c>
      <c r="I2961">
        <v>0.16326018940387499</v>
      </c>
      <c r="J2961">
        <v>0.130387482742363</v>
      </c>
      <c r="K2961">
        <v>4.61476920801129E-2</v>
      </c>
      <c r="L2961">
        <v>528.67685567670298</v>
      </c>
      <c r="M2961">
        <v>11.714209384025301</v>
      </c>
      <c r="N2961">
        <v>46.0479343216237</v>
      </c>
      <c r="O2961">
        <v>43.876220576208503</v>
      </c>
      <c r="P2961">
        <v>-5.9819929818701399E-2</v>
      </c>
      <c r="Q2961">
        <v>0.104001656398874</v>
      </c>
      <c r="R2961">
        <v>0.91466659738273604</v>
      </c>
      <c r="S2961" t="s">
        <v>9578</v>
      </c>
      <c r="T2961" t="s">
        <v>13232</v>
      </c>
      <c r="U2961" t="s">
        <v>13232</v>
      </c>
      <c r="V2961" t="s">
        <v>13232</v>
      </c>
      <c r="W2961" t="s">
        <v>16138</v>
      </c>
      <c r="X2961">
        <v>2</v>
      </c>
      <c r="Y2961" t="s">
        <v>22606</v>
      </c>
      <c r="Z2961" t="s">
        <v>29092</v>
      </c>
      <c r="AA2961">
        <v>0.3034309252997664</v>
      </c>
      <c r="AB2961" t="str">
        <f>HYPERLINK("Melting_Curves/meltCurve_Q05823_RNASEL.pdf", "Melting_Curves/meltCurve_Q05823_RNASEL.pdf")</f>
        <v>Melting_Curves/meltCurve_Q05823_RNASEL.pdf</v>
      </c>
    </row>
    <row r="2962" spans="1:28" x14ac:dyDescent="0.25">
      <c r="A2962" t="s">
        <v>2966</v>
      </c>
      <c r="B2962">
        <v>0.99930955844802105</v>
      </c>
      <c r="C2962">
        <v>1.0699185506857301</v>
      </c>
      <c r="D2962">
        <v>0.99741377223637095</v>
      </c>
      <c r="E2962">
        <v>0.72101733398052303</v>
      </c>
      <c r="F2962">
        <v>0.48791029676075898</v>
      </c>
      <c r="G2962">
        <v>0.42768531354276001</v>
      </c>
      <c r="H2962">
        <v>0.37937720931007801</v>
      </c>
      <c r="I2962">
        <v>0.42560680077203</v>
      </c>
      <c r="J2962">
        <v>0.41803964086095202</v>
      </c>
      <c r="K2962">
        <v>0.32306147999585599</v>
      </c>
      <c r="L2962">
        <v>1747.1114665237501</v>
      </c>
      <c r="M2962">
        <v>34.724645175794699</v>
      </c>
      <c r="N2962">
        <v>52.647204087649101</v>
      </c>
      <c r="O2962">
        <v>50.147312152334202</v>
      </c>
      <c r="P2962">
        <v>-0.10512438426198301</v>
      </c>
      <c r="Q2962">
        <v>0.39274413354856802</v>
      </c>
      <c r="R2962">
        <v>0.98330290861292402</v>
      </c>
      <c r="S2962" t="s">
        <v>9579</v>
      </c>
      <c r="T2962" t="s">
        <v>13232</v>
      </c>
      <c r="U2962" t="s">
        <v>13232</v>
      </c>
      <c r="V2962" t="s">
        <v>13232</v>
      </c>
      <c r="W2962" t="s">
        <v>16139</v>
      </c>
      <c r="X2962">
        <v>10</v>
      </c>
      <c r="Y2962" t="s">
        <v>22607</v>
      </c>
      <c r="Z2962" t="s">
        <v>29093</v>
      </c>
      <c r="AA2962">
        <v>0.60431462799861746</v>
      </c>
      <c r="AB2962" t="str">
        <f>HYPERLINK("Melting_Curves/meltCurve_Q05BQ5_MBTD1.pdf", "Melting_Curves/meltCurve_Q05BQ5_MBTD1.pdf")</f>
        <v>Melting_Curves/meltCurve_Q05BQ5_MBTD1.pdf</v>
      </c>
    </row>
    <row r="2963" spans="1:28" x14ac:dyDescent="0.25">
      <c r="A2963" t="s">
        <v>2967</v>
      </c>
      <c r="B2963">
        <v>0.99930955844802105</v>
      </c>
      <c r="C2963">
        <v>0.75946058146951501</v>
      </c>
      <c r="D2963">
        <v>0.61370181990263994</v>
      </c>
      <c r="E2963">
        <v>0.54687813629551396</v>
      </c>
      <c r="F2963">
        <v>0.46064056759780803</v>
      </c>
      <c r="G2963">
        <v>0.396640469973222</v>
      </c>
      <c r="H2963">
        <v>0.33125671740907803</v>
      </c>
      <c r="I2963">
        <v>0.35785173025908001</v>
      </c>
      <c r="J2963">
        <v>0.37621230536925998</v>
      </c>
      <c r="K2963">
        <v>0.26451252118670898</v>
      </c>
      <c r="L2963">
        <v>551.14234867339201</v>
      </c>
      <c r="M2963">
        <v>11.9475491625763</v>
      </c>
      <c r="N2963">
        <v>50.416633499932999</v>
      </c>
      <c r="O2963">
        <v>44.894808275246</v>
      </c>
      <c r="P2963">
        <v>-4.5322461923421903E-2</v>
      </c>
      <c r="Q2963">
        <v>0.31894193541662702</v>
      </c>
      <c r="R2963">
        <v>0.95249599354349201</v>
      </c>
      <c r="S2963" t="s">
        <v>9580</v>
      </c>
      <c r="T2963" t="s">
        <v>13232</v>
      </c>
      <c r="U2963" t="s">
        <v>13232</v>
      </c>
      <c r="V2963" t="s">
        <v>13232</v>
      </c>
      <c r="W2963" t="s">
        <v>16140</v>
      </c>
      <c r="X2963">
        <v>7</v>
      </c>
      <c r="Y2963" t="s">
        <v>22608</v>
      </c>
      <c r="Z2963" t="s">
        <v>29094</v>
      </c>
      <c r="AA2963">
        <v>0.48900492018525121</v>
      </c>
      <c r="AB2963" t="str">
        <f>HYPERLINK("Melting_Curves/meltCurve_Q05D32_2_CTDSPL2.pdf", "Melting_Curves/meltCurve_Q05D32_2_CTDSPL2.pdf")</f>
        <v>Melting_Curves/meltCurve_Q05D32_2_CTDSPL2.pdf</v>
      </c>
    </row>
    <row r="2964" spans="1:28" x14ac:dyDescent="0.25">
      <c r="A2964" t="s">
        <v>2968</v>
      </c>
      <c r="B2964">
        <v>0.99930955844802105</v>
      </c>
      <c r="C2964">
        <v>1.04215927983767</v>
      </c>
      <c r="D2964">
        <v>0.97600643535614995</v>
      </c>
      <c r="E2964">
        <v>0.808037535114839</v>
      </c>
      <c r="F2964">
        <v>0.73344974598420598</v>
      </c>
      <c r="G2964">
        <v>0.66702972076668099</v>
      </c>
      <c r="H2964">
        <v>0.65257208944897105</v>
      </c>
      <c r="I2964">
        <v>0.69418445018600705</v>
      </c>
      <c r="J2964">
        <v>0.91055046747893698</v>
      </c>
      <c r="K2964">
        <v>0.64704703307452105</v>
      </c>
      <c r="L2964">
        <v>1994.51348878372</v>
      </c>
      <c r="M2964">
        <v>40.632279281479498</v>
      </c>
      <c r="O2964">
        <v>48.968471350676197</v>
      </c>
      <c r="P2964">
        <v>-5.9100904242558198E-2</v>
      </c>
      <c r="Q2964">
        <v>0.71509594276211896</v>
      </c>
      <c r="R2964">
        <v>0.76409834538029398</v>
      </c>
      <c r="S2964" t="s">
        <v>9581</v>
      </c>
      <c r="T2964" t="s">
        <v>13232</v>
      </c>
      <c r="U2964" t="s">
        <v>13232</v>
      </c>
      <c r="V2964" t="s">
        <v>13232</v>
      </c>
      <c r="W2964" t="s">
        <v>16141</v>
      </c>
      <c r="X2964">
        <v>1</v>
      </c>
      <c r="Y2964" t="s">
        <v>22609</v>
      </c>
      <c r="Z2964" t="s">
        <v>29095</v>
      </c>
      <c r="AA2964">
        <v>0.8023300653025035</v>
      </c>
      <c r="AB2964" t="str">
        <f>HYPERLINK("Melting_Curves/meltCurve_Q05DA6_ZNF394.pdf", "Melting_Curves/meltCurve_Q05DA6_ZNF394.pdf")</f>
        <v>Melting_Curves/meltCurve_Q05DA6_ZNF394.pdf</v>
      </c>
    </row>
    <row r="2965" spans="1:28" x14ac:dyDescent="0.25">
      <c r="A2965" t="s">
        <v>2969</v>
      </c>
      <c r="B2965">
        <v>0.99930955844802105</v>
      </c>
      <c r="C2965">
        <v>1.08114945870017</v>
      </c>
      <c r="D2965">
        <v>0.94463793795610895</v>
      </c>
      <c r="E2965">
        <v>0.96079573328007395</v>
      </c>
      <c r="F2965">
        <v>0.47707643912365399</v>
      </c>
      <c r="G2965">
        <v>0.19983165177720599</v>
      </c>
      <c r="H2965">
        <v>0.120227109537982</v>
      </c>
      <c r="I2965">
        <v>9.7806028722104907E-2</v>
      </c>
      <c r="J2965">
        <v>8.2891680218626501E-2</v>
      </c>
      <c r="K2965">
        <v>6.3018134679712401E-2</v>
      </c>
      <c r="L2965">
        <v>2323.3822364019802</v>
      </c>
      <c r="M2965">
        <v>44.083313257761098</v>
      </c>
      <c r="N2965">
        <v>52.9842435151171</v>
      </c>
      <c r="O2965">
        <v>52.596230306779603</v>
      </c>
      <c r="P2965">
        <v>-0.187772586554592</v>
      </c>
      <c r="Q2965">
        <v>0.103867964056155</v>
      </c>
      <c r="R2965">
        <v>0.98989278316698104</v>
      </c>
      <c r="S2965" t="s">
        <v>9582</v>
      </c>
      <c r="T2965" t="s">
        <v>13232</v>
      </c>
      <c r="U2965" t="s">
        <v>13232</v>
      </c>
      <c r="V2965" t="s">
        <v>13232</v>
      </c>
      <c r="W2965" t="s">
        <v>16142</v>
      </c>
      <c r="X2965">
        <v>38</v>
      </c>
      <c r="Y2965" t="s">
        <v>22610</v>
      </c>
      <c r="Z2965" t="s">
        <v>29096</v>
      </c>
      <c r="AA2965">
        <v>0.48604358818713811</v>
      </c>
      <c r="AB2965" t="str">
        <f>HYPERLINK("Melting_Curves/meltCurve_Q06124_2_PTPN11.pdf", "Melting_Curves/meltCurve_Q06124_2_PTPN11.pdf")</f>
        <v>Melting_Curves/meltCurve_Q06124_2_PTPN11.pdf</v>
      </c>
    </row>
    <row r="2966" spans="1:28" x14ac:dyDescent="0.25">
      <c r="A2966" t="s">
        <v>2970</v>
      </c>
      <c r="B2966">
        <v>0.99930955844802105</v>
      </c>
      <c r="C2966">
        <v>0.78650823401390901</v>
      </c>
      <c r="D2966">
        <v>0.31492912170924298</v>
      </c>
      <c r="E2966">
        <v>0.22230964212388701</v>
      </c>
      <c r="F2966">
        <v>0.13033024805894899</v>
      </c>
      <c r="G2966">
        <v>8.5039343097132999E-2</v>
      </c>
      <c r="H2966">
        <v>5.2742610320652597E-2</v>
      </c>
      <c r="I2966">
        <v>4.4388329359855899E-2</v>
      </c>
      <c r="J2966">
        <v>3.8798841002805902E-2</v>
      </c>
      <c r="K2966">
        <v>2.7599095634101699E-2</v>
      </c>
      <c r="L2966">
        <v>1180.04988041827</v>
      </c>
      <c r="M2966">
        <v>26.412089445286501</v>
      </c>
      <c r="N2966">
        <v>44.937540846407401</v>
      </c>
      <c r="O2966">
        <v>44.424636837960001</v>
      </c>
      <c r="P2966">
        <v>-0.138136654457298</v>
      </c>
      <c r="Q2966">
        <v>7.0637043841899394E-2</v>
      </c>
      <c r="R2966">
        <v>0.98071518431369298</v>
      </c>
      <c r="S2966" t="s">
        <v>9583</v>
      </c>
      <c r="T2966" t="s">
        <v>13232</v>
      </c>
      <c r="U2966" t="s">
        <v>13232</v>
      </c>
      <c r="V2966" t="s">
        <v>13232</v>
      </c>
      <c r="W2966" t="s">
        <v>16143</v>
      </c>
      <c r="X2966">
        <v>31</v>
      </c>
      <c r="Y2966" t="s">
        <v>22611</v>
      </c>
      <c r="Z2966" t="s">
        <v>29097</v>
      </c>
      <c r="AA2966">
        <v>0.22397447208588189</v>
      </c>
      <c r="AB2966" t="str">
        <f>HYPERLINK("Melting_Curves/meltCurve_Q06187_BTK.pdf", "Melting_Curves/meltCurve_Q06187_BTK.pdf")</f>
        <v>Melting_Curves/meltCurve_Q06187_BTK.pdf</v>
      </c>
    </row>
    <row r="2967" spans="1:28" x14ac:dyDescent="0.25">
      <c r="A2967" t="s">
        <v>2971</v>
      </c>
      <c r="B2967">
        <v>0.99930955844802105</v>
      </c>
      <c r="C2967">
        <v>0.83910055866281896</v>
      </c>
      <c r="D2967">
        <v>0.86607489223863399</v>
      </c>
      <c r="E2967">
        <v>0.88509260081743102</v>
      </c>
      <c r="F2967">
        <v>0.91520555574998597</v>
      </c>
      <c r="G2967">
        <v>0.74205636106016004</v>
      </c>
      <c r="H2967">
        <v>0.34474371177505703</v>
      </c>
      <c r="I2967">
        <v>0.36355316364233098</v>
      </c>
      <c r="J2967">
        <v>0.252806681086925</v>
      </c>
      <c r="K2967">
        <v>0.102223747290817</v>
      </c>
      <c r="L2967">
        <v>782.08803369164002</v>
      </c>
      <c r="M2967">
        <v>12.9855730704735</v>
      </c>
      <c r="N2967">
        <v>60.227456332867298</v>
      </c>
      <c r="O2967">
        <v>58.8528188093564</v>
      </c>
      <c r="P2967">
        <v>-5.5171010660147402E-2</v>
      </c>
      <c r="Q2967">
        <v>0</v>
      </c>
      <c r="R2967">
        <v>0.93130358984007799</v>
      </c>
      <c r="S2967" t="s">
        <v>9584</v>
      </c>
      <c r="T2967" t="s">
        <v>13232</v>
      </c>
      <c r="U2967" t="s">
        <v>13232</v>
      </c>
      <c r="V2967" t="s">
        <v>13232</v>
      </c>
      <c r="W2967" t="s">
        <v>16144</v>
      </c>
      <c r="X2967">
        <v>26</v>
      </c>
      <c r="Y2967" t="s">
        <v>22612</v>
      </c>
      <c r="Z2967" t="s">
        <v>29098</v>
      </c>
      <c r="AA2967">
        <v>0.67739636416457194</v>
      </c>
      <c r="AB2967" t="str">
        <f>HYPERLINK("Melting_Curves/meltCurve_Q06203_PPAT.pdf", "Melting_Curves/meltCurve_Q06203_PPAT.pdf")</f>
        <v>Melting_Curves/meltCurve_Q06203_PPAT.pdf</v>
      </c>
    </row>
    <row r="2968" spans="1:28" x14ac:dyDescent="0.25">
      <c r="A2968" t="s">
        <v>2972</v>
      </c>
      <c r="B2968">
        <v>0.99930955844802105</v>
      </c>
      <c r="C2968">
        <v>0.78131572302473795</v>
      </c>
      <c r="D2968">
        <v>0.860785175331787</v>
      </c>
      <c r="E2968">
        <v>0.95900818705089197</v>
      </c>
      <c r="F2968">
        <v>0.72361541786616601</v>
      </c>
      <c r="G2968">
        <v>0.19356775803496901</v>
      </c>
      <c r="H2968">
        <v>0.103481403743411</v>
      </c>
      <c r="I2968">
        <v>8.0926783287599002E-2</v>
      </c>
      <c r="J2968">
        <v>6.9111983226647897E-2</v>
      </c>
      <c r="K2968">
        <v>5.3095321124087803E-2</v>
      </c>
      <c r="L2968">
        <v>1987.4424959926801</v>
      </c>
      <c r="M2968">
        <v>36.662435019350497</v>
      </c>
      <c r="N2968">
        <v>54.433103204713397</v>
      </c>
      <c r="O2968">
        <v>54.048712312437203</v>
      </c>
      <c r="P2968">
        <v>-0.157713032332539</v>
      </c>
      <c r="Q2968">
        <v>6.99842330730336E-2</v>
      </c>
      <c r="R2968">
        <v>0.95577683824009796</v>
      </c>
      <c r="S2968" t="s">
        <v>9585</v>
      </c>
      <c r="T2968" t="s">
        <v>13232</v>
      </c>
      <c r="U2968" t="s">
        <v>13232</v>
      </c>
      <c r="V2968" t="s">
        <v>13232</v>
      </c>
      <c r="W2968" t="s">
        <v>16145</v>
      </c>
      <c r="X2968">
        <v>42</v>
      </c>
      <c r="Y2968" t="s">
        <v>22613</v>
      </c>
      <c r="Z2968" t="s">
        <v>29099</v>
      </c>
      <c r="AA2968">
        <v>0.5146133709345605</v>
      </c>
      <c r="AB2968" t="str">
        <f>HYPERLINK("Melting_Curves/meltCurve_Q06210_2_GFPT1.pdf", "Melting_Curves/meltCurve_Q06210_2_GFPT1.pdf")</f>
        <v>Melting_Curves/meltCurve_Q06210_2_GFPT1.pdf</v>
      </c>
    </row>
    <row r="2969" spans="1:28" x14ac:dyDescent="0.25">
      <c r="A2969" t="s">
        <v>2973</v>
      </c>
      <c r="B2969">
        <v>0.99930955844802105</v>
      </c>
      <c r="C2969">
        <v>0.86379327034392095</v>
      </c>
      <c r="D2969">
        <v>0.95800355633426004</v>
      </c>
      <c r="E2969">
        <v>1.1238452600551301</v>
      </c>
      <c r="F2969">
        <v>1.2331497963435101</v>
      </c>
      <c r="G2969">
        <v>0.96201567227469698</v>
      </c>
      <c r="H2969">
        <v>0.47522630565678903</v>
      </c>
      <c r="I2969">
        <v>0.23903990473877701</v>
      </c>
      <c r="J2969">
        <v>9.2305844211067703E-2</v>
      </c>
      <c r="K2969">
        <v>7.1381786001378705E-2</v>
      </c>
      <c r="L2969">
        <v>2458.6261177176998</v>
      </c>
      <c r="M2969">
        <v>40.484350063341203</v>
      </c>
      <c r="N2969">
        <v>61.014561244902701</v>
      </c>
      <c r="O2969">
        <v>60.582648914683702</v>
      </c>
      <c r="P2969">
        <v>-0.15270412821797</v>
      </c>
      <c r="Q2969">
        <v>8.59474729638635E-2</v>
      </c>
      <c r="R2969">
        <v>0.94518372829056196</v>
      </c>
      <c r="S2969" t="s">
        <v>9586</v>
      </c>
      <c r="T2969" t="s">
        <v>13232</v>
      </c>
      <c r="U2969" t="s">
        <v>13232</v>
      </c>
      <c r="V2969" t="s">
        <v>13232</v>
      </c>
      <c r="W2969" t="s">
        <v>16146</v>
      </c>
      <c r="X2969">
        <v>12</v>
      </c>
      <c r="Y2969" t="s">
        <v>22614</v>
      </c>
      <c r="Z2969" t="s">
        <v>29100</v>
      </c>
      <c r="AA2969">
        <v>0.72101027787974792</v>
      </c>
      <c r="AB2969" t="str">
        <f>HYPERLINK("Melting_Curves/meltCurve_Q06265_EXOSC9.pdf", "Melting_Curves/meltCurve_Q06265_EXOSC9.pdf")</f>
        <v>Melting_Curves/meltCurve_Q06265_EXOSC9.pdf</v>
      </c>
    </row>
    <row r="2970" spans="1:28" x14ac:dyDescent="0.25">
      <c r="A2970" t="s">
        <v>2974</v>
      </c>
      <c r="B2970">
        <v>0.99930955844802105</v>
      </c>
      <c r="C2970">
        <v>1.0456807268678401</v>
      </c>
      <c r="D2970">
        <v>1.05379153047337</v>
      </c>
      <c r="E2970">
        <v>1.09114725463841</v>
      </c>
      <c r="F2970">
        <v>1.0777727198529901</v>
      </c>
      <c r="G2970">
        <v>0.74857667315380305</v>
      </c>
      <c r="H2970">
        <v>0.42364060375830098</v>
      </c>
      <c r="I2970">
        <v>0.25057846532962302</v>
      </c>
      <c r="J2970">
        <v>0.15653799389360801</v>
      </c>
      <c r="K2970">
        <v>9.8678003574266607E-2</v>
      </c>
      <c r="L2970">
        <v>1601.38023459747</v>
      </c>
      <c r="M2970">
        <v>26.883280504659901</v>
      </c>
      <c r="N2970">
        <v>60.107273563376097</v>
      </c>
      <c r="O2970">
        <v>59.241206403088199</v>
      </c>
      <c r="P2970">
        <v>-0.101290637568879</v>
      </c>
      <c r="Q2970">
        <v>0.107174585413866</v>
      </c>
      <c r="R2970">
        <v>0.98119548929177502</v>
      </c>
      <c r="S2970" t="s">
        <v>9587</v>
      </c>
      <c r="T2970" t="s">
        <v>13232</v>
      </c>
      <c r="U2970" t="s">
        <v>13232</v>
      </c>
      <c r="V2970" t="s">
        <v>13232</v>
      </c>
      <c r="W2970" t="s">
        <v>16147</v>
      </c>
      <c r="X2970">
        <v>21</v>
      </c>
      <c r="Y2970" t="s">
        <v>22615</v>
      </c>
      <c r="Z2970" t="s">
        <v>29101</v>
      </c>
      <c r="AA2970">
        <v>0.69595323886154292</v>
      </c>
      <c r="AB2970" t="str">
        <f>HYPERLINK("Melting_Curves/meltCurve_Q06323_PSME1.pdf", "Melting_Curves/meltCurve_Q06323_PSME1.pdf")</f>
        <v>Melting_Curves/meltCurve_Q06323_PSME1.pdf</v>
      </c>
    </row>
    <row r="2971" spans="1:28" x14ac:dyDescent="0.25">
      <c r="A2971" t="s">
        <v>2975</v>
      </c>
      <c r="B2971">
        <v>0.99930955844802105</v>
      </c>
      <c r="C2971">
        <v>1.1412697077637</v>
      </c>
      <c r="D2971">
        <v>1.0987681853668201</v>
      </c>
      <c r="E2971">
        <v>1.0665163999945499</v>
      </c>
      <c r="F2971">
        <v>0.89111692807902698</v>
      </c>
      <c r="G2971">
        <v>0.58281174824350801</v>
      </c>
      <c r="H2971">
        <v>0.22442146578609301</v>
      </c>
      <c r="I2971">
        <v>0.19839888736998801</v>
      </c>
      <c r="J2971">
        <v>0.182829316662309</v>
      </c>
      <c r="K2971">
        <v>0.129222743117475</v>
      </c>
      <c r="L2971">
        <v>1792.0290552362601</v>
      </c>
      <c r="M2971">
        <v>31.469875181991</v>
      </c>
      <c r="N2971">
        <v>57.613760807481299</v>
      </c>
      <c r="O2971">
        <v>56.715811834251397</v>
      </c>
      <c r="P2971">
        <v>-0.11747447783555599</v>
      </c>
      <c r="Q2971">
        <v>0.15314258469362901</v>
      </c>
      <c r="R2971">
        <v>0.97662386886539798</v>
      </c>
      <c r="S2971" t="s">
        <v>9588</v>
      </c>
      <c r="T2971" t="s">
        <v>13232</v>
      </c>
      <c r="U2971" t="s">
        <v>13232</v>
      </c>
      <c r="V2971" t="s">
        <v>13232</v>
      </c>
      <c r="W2971" t="s">
        <v>16148</v>
      </c>
      <c r="X2971">
        <v>7</v>
      </c>
      <c r="Y2971" t="s">
        <v>22616</v>
      </c>
      <c r="Z2971" t="s">
        <v>29102</v>
      </c>
      <c r="AA2971">
        <v>0.63663502620913237</v>
      </c>
      <c r="AB2971" t="str">
        <f>HYPERLINK("Melting_Curves/meltCurve_Q06330_5_RBPJ.pdf", "Melting_Curves/meltCurve_Q06330_5_RBPJ.pdf")</f>
        <v>Melting_Curves/meltCurve_Q06330_5_RBPJ.pdf</v>
      </c>
    </row>
    <row r="2972" spans="1:28" x14ac:dyDescent="0.25">
      <c r="A2972" t="s">
        <v>2976</v>
      </c>
      <c r="B2972">
        <v>0.99930955844802105</v>
      </c>
      <c r="C2972">
        <v>0.84763269081360304</v>
      </c>
      <c r="D2972">
        <v>0.69465077447673995</v>
      </c>
      <c r="E2972">
        <v>0.93924784393945604</v>
      </c>
      <c r="F2972">
        <v>1.10659605652599</v>
      </c>
      <c r="G2972">
        <v>0.96951015505473703</v>
      </c>
      <c r="H2972">
        <v>0.57030958967694101</v>
      </c>
      <c r="I2972">
        <v>0.143629631797517</v>
      </c>
      <c r="J2972">
        <v>0.10421115182714299</v>
      </c>
      <c r="K2972">
        <v>7.2829052553010795E-2</v>
      </c>
      <c r="L2972">
        <v>3417.65550903128</v>
      </c>
      <c r="M2972">
        <v>55.909871008962</v>
      </c>
      <c r="N2972">
        <v>61.323920142726301</v>
      </c>
      <c r="O2972">
        <v>61.049890786448003</v>
      </c>
      <c r="P2972">
        <v>-0.21022103417589899</v>
      </c>
      <c r="Q2972">
        <v>8.1810502230801205E-2</v>
      </c>
      <c r="R2972">
        <v>0.90890563139734903</v>
      </c>
      <c r="S2972" t="s">
        <v>9589</v>
      </c>
      <c r="T2972" t="s">
        <v>13232</v>
      </c>
      <c r="U2972" t="s">
        <v>13232</v>
      </c>
      <c r="V2972" t="s">
        <v>13232</v>
      </c>
      <c r="W2972" t="s">
        <v>16149</v>
      </c>
      <c r="X2972">
        <v>1</v>
      </c>
      <c r="Y2972" t="s">
        <v>20312</v>
      </c>
      <c r="Z2972" t="s">
        <v>29103</v>
      </c>
      <c r="AA2972">
        <v>0.73039859435669319</v>
      </c>
      <c r="AB2972" t="str">
        <f>HYPERLINK("Melting_Curves/meltCurve_Q06481_5_APLP2.pdf", "Melting_Curves/meltCurve_Q06481_5_APLP2.pdf")</f>
        <v>Melting_Curves/meltCurve_Q06481_5_APLP2.pdf</v>
      </c>
    </row>
    <row r="2973" spans="1:28" x14ac:dyDescent="0.25">
      <c r="A2973" t="s">
        <v>2977</v>
      </c>
      <c r="B2973">
        <v>0.99930955844802105</v>
      </c>
      <c r="C2973">
        <v>0.92272150864950098</v>
      </c>
      <c r="D2973">
        <v>0.74941921309382997</v>
      </c>
      <c r="E2973">
        <v>0.61636310404049399</v>
      </c>
      <c r="F2973">
        <v>0.47246171452325397</v>
      </c>
      <c r="G2973">
        <v>0.345103291882494</v>
      </c>
      <c r="H2973">
        <v>0.241475441995851</v>
      </c>
      <c r="I2973">
        <v>0.20592096824702499</v>
      </c>
      <c r="J2973">
        <v>0.18031262031988601</v>
      </c>
      <c r="K2973">
        <v>0.136048526511476</v>
      </c>
      <c r="L2973">
        <v>541.74834682141704</v>
      </c>
      <c r="M2973">
        <v>10.571302954183601</v>
      </c>
      <c r="N2973">
        <v>52.394962469599697</v>
      </c>
      <c r="O2973">
        <v>49.515190439980401</v>
      </c>
      <c r="P2973">
        <v>-4.7875674720854001E-2</v>
      </c>
      <c r="Q2973">
        <v>0.103368257932624</v>
      </c>
      <c r="R2973">
        <v>0.99458978629961703</v>
      </c>
      <c r="S2973" t="s">
        <v>9590</v>
      </c>
      <c r="T2973" t="s">
        <v>13232</v>
      </c>
      <c r="U2973" t="s">
        <v>13232</v>
      </c>
      <c r="V2973" t="s">
        <v>13232</v>
      </c>
      <c r="W2973" t="s">
        <v>16150</v>
      </c>
      <c r="X2973">
        <v>16</v>
      </c>
      <c r="Y2973" t="s">
        <v>22617</v>
      </c>
      <c r="Z2973" t="s">
        <v>29104</v>
      </c>
      <c r="AA2973">
        <v>0.47360144978800212</v>
      </c>
      <c r="AB2973" t="str">
        <f>HYPERLINK("Melting_Curves/meltCurve_Q06546_GABPA.pdf", "Melting_Curves/meltCurve_Q06546_GABPA.pdf")</f>
        <v>Melting_Curves/meltCurve_Q06546_GABPA.pdf</v>
      </c>
    </row>
    <row r="2974" spans="1:28" x14ac:dyDescent="0.25">
      <c r="A2974" t="s">
        <v>2978</v>
      </c>
      <c r="B2974">
        <v>0.99930955844802105</v>
      </c>
      <c r="C2974">
        <v>1.1444743239650901</v>
      </c>
      <c r="D2974">
        <v>1.0149714225468001</v>
      </c>
      <c r="E2974">
        <v>0.83600866905850202</v>
      </c>
      <c r="F2974">
        <v>0.57856435718538002</v>
      </c>
      <c r="G2974">
        <v>0.39859820726925999</v>
      </c>
      <c r="H2974">
        <v>0.305354014520692</v>
      </c>
      <c r="I2974">
        <v>0.33277746596138102</v>
      </c>
      <c r="J2974">
        <v>0.334112966404712</v>
      </c>
      <c r="K2974">
        <v>0.30514059775783597</v>
      </c>
      <c r="L2974">
        <v>1485.2990083341599</v>
      </c>
      <c r="M2974">
        <v>28.490380401332501</v>
      </c>
      <c r="N2974">
        <v>54.073480699509602</v>
      </c>
      <c r="O2974">
        <v>51.878535405330901</v>
      </c>
      <c r="P2974">
        <v>-9.3346388396729194E-2</v>
      </c>
      <c r="Q2974">
        <v>0.320102456229162</v>
      </c>
      <c r="R2974">
        <v>0.97683034329923502</v>
      </c>
      <c r="S2974" t="s">
        <v>9591</v>
      </c>
      <c r="T2974" t="s">
        <v>13232</v>
      </c>
      <c r="U2974" t="s">
        <v>13232</v>
      </c>
      <c r="V2974" t="s">
        <v>13232</v>
      </c>
      <c r="W2974" t="s">
        <v>16151</v>
      </c>
      <c r="X2974">
        <v>10</v>
      </c>
      <c r="Y2974" t="s">
        <v>22618</v>
      </c>
      <c r="Z2974" t="s">
        <v>29105</v>
      </c>
      <c r="AA2974">
        <v>0.59990367022959712</v>
      </c>
      <c r="AB2974" t="str">
        <f>HYPERLINK("Melting_Curves/meltCurve_Q06587_RING1.pdf", "Melting_Curves/meltCurve_Q06587_RING1.pdf")</f>
        <v>Melting_Curves/meltCurve_Q06587_RING1.pdf</v>
      </c>
    </row>
    <row r="2975" spans="1:28" x14ac:dyDescent="0.25">
      <c r="A2975" t="s">
        <v>2979</v>
      </c>
      <c r="B2975">
        <v>0.99930955844802105</v>
      </c>
      <c r="C2975">
        <v>0.99842254802770003</v>
      </c>
      <c r="D2975">
        <v>0.65490740849617002</v>
      </c>
      <c r="E2975">
        <v>0.49469312648729402</v>
      </c>
      <c r="F2975">
        <v>0.33174279906667697</v>
      </c>
      <c r="G2975">
        <v>0.18185244515319901</v>
      </c>
      <c r="H2975">
        <v>8.57483099305823E-2</v>
      </c>
      <c r="I2975">
        <v>6.0174144548568599E-2</v>
      </c>
      <c r="J2975">
        <v>4.6405463320267001E-2</v>
      </c>
      <c r="K2975">
        <v>3.7439949412326798E-2</v>
      </c>
      <c r="L2975">
        <v>677.49430330678399</v>
      </c>
      <c r="M2975">
        <v>13.6538424677249</v>
      </c>
      <c r="N2975">
        <v>49.790057833513401</v>
      </c>
      <c r="O2975">
        <v>48.591247298478997</v>
      </c>
      <c r="P2975">
        <v>-6.8651780444626206E-2</v>
      </c>
      <c r="Q2975">
        <v>2.2871690942923201E-2</v>
      </c>
      <c r="R2975">
        <v>0.98350072700671098</v>
      </c>
      <c r="S2975" t="s">
        <v>9592</v>
      </c>
      <c r="T2975" t="s">
        <v>13232</v>
      </c>
      <c r="U2975" t="s">
        <v>13232</v>
      </c>
      <c r="V2975" t="s">
        <v>13232</v>
      </c>
      <c r="W2975" t="s">
        <v>16152</v>
      </c>
      <c r="X2975">
        <v>4</v>
      </c>
      <c r="Y2975" t="s">
        <v>22619</v>
      </c>
      <c r="Z2975" t="s">
        <v>29106</v>
      </c>
      <c r="AA2975">
        <v>0.3640608241306158</v>
      </c>
      <c r="AB2975" t="str">
        <f>HYPERLINK("Melting_Curves/meltCurve_Q06609_3_RAD51.pdf", "Melting_Curves/meltCurve_Q06609_3_RAD51.pdf")</f>
        <v>Melting_Curves/meltCurve_Q06609_3_RAD51.pdf</v>
      </c>
    </row>
    <row r="2976" spans="1:28" x14ac:dyDescent="0.25">
      <c r="A2976" t="s">
        <v>2980</v>
      </c>
      <c r="B2976">
        <v>0.99930955844802105</v>
      </c>
      <c r="C2976">
        <v>0.83733626745131096</v>
      </c>
      <c r="D2976">
        <v>0.89910610093520604</v>
      </c>
      <c r="E2976">
        <v>0.80024634016114105</v>
      </c>
      <c r="F2976">
        <v>0.428250425860151</v>
      </c>
      <c r="G2976">
        <v>0.18573969617429201</v>
      </c>
      <c r="H2976">
        <v>9.6880776287155301E-2</v>
      </c>
      <c r="I2976">
        <v>7.3401940756924203E-2</v>
      </c>
      <c r="J2976">
        <v>6.0190605156015001E-2</v>
      </c>
      <c r="K2976">
        <v>4.4723448646893399E-2</v>
      </c>
      <c r="L2976">
        <v>1089.9609801796501</v>
      </c>
      <c r="M2976">
        <v>20.827413964706999</v>
      </c>
      <c r="N2976">
        <v>52.572749838888001</v>
      </c>
      <c r="O2976">
        <v>51.8577035034318</v>
      </c>
      <c r="P2976">
        <v>-9.5860086221208299E-2</v>
      </c>
      <c r="Q2976">
        <v>4.5306992909460102E-2</v>
      </c>
      <c r="R2976">
        <v>0.97833982391079999</v>
      </c>
      <c r="S2976" t="s">
        <v>9593</v>
      </c>
      <c r="T2976" t="s">
        <v>13232</v>
      </c>
      <c r="U2976" t="s">
        <v>13232</v>
      </c>
      <c r="V2976" t="s">
        <v>13232</v>
      </c>
      <c r="W2976" t="s">
        <v>16153</v>
      </c>
      <c r="X2976">
        <v>23</v>
      </c>
      <c r="Y2976" t="s">
        <v>22620</v>
      </c>
      <c r="Z2976" t="s">
        <v>29107</v>
      </c>
      <c r="AA2976">
        <v>0.45005349535594202</v>
      </c>
      <c r="AB2976" t="str">
        <f>HYPERLINK("Melting_Curves/meltCurve_Q06830_PRDX1.pdf", "Melting_Curves/meltCurve_Q06830_PRDX1.pdf")</f>
        <v>Melting_Curves/meltCurve_Q06830_PRDX1.pdf</v>
      </c>
    </row>
    <row r="2977" spans="1:28" x14ac:dyDescent="0.25">
      <c r="A2977" t="s">
        <v>2981</v>
      </c>
      <c r="B2977">
        <v>0.99930955844802105</v>
      </c>
      <c r="C2977">
        <v>1.04536239914791</v>
      </c>
      <c r="D2977">
        <v>1.0452677473090199</v>
      </c>
      <c r="E2977">
        <v>1.0306901573193099</v>
      </c>
      <c r="F2977">
        <v>0.64536989782552301</v>
      </c>
      <c r="G2977">
        <v>0.42471622417890897</v>
      </c>
      <c r="H2977">
        <v>0.34979563172035899</v>
      </c>
      <c r="I2977">
        <v>0.36682098490170101</v>
      </c>
      <c r="J2977">
        <v>0.39622432671132402</v>
      </c>
      <c r="K2977">
        <v>0.37685848700971197</v>
      </c>
      <c r="L2977">
        <v>13234.0536688173</v>
      </c>
      <c r="M2977">
        <v>250</v>
      </c>
      <c r="N2977">
        <v>53.245351403670398</v>
      </c>
      <c r="O2977">
        <v>52.932827910234202</v>
      </c>
      <c r="P2977">
        <v>-0.72865567210493798</v>
      </c>
      <c r="Q2977">
        <v>0.38288312530892799</v>
      </c>
      <c r="R2977">
        <v>0.99106473894569602</v>
      </c>
      <c r="S2977" t="s">
        <v>9594</v>
      </c>
      <c r="T2977" t="s">
        <v>13232</v>
      </c>
      <c r="U2977" t="s">
        <v>13232</v>
      </c>
      <c r="V2977" t="s">
        <v>13232</v>
      </c>
      <c r="W2977" t="s">
        <v>16154</v>
      </c>
      <c r="X2977">
        <v>5</v>
      </c>
      <c r="Y2977" t="s">
        <v>22621</v>
      </c>
      <c r="Z2977" t="s">
        <v>29108</v>
      </c>
      <c r="AA2977">
        <v>0.64904566920236961</v>
      </c>
      <c r="AB2977" t="str">
        <f>HYPERLINK("Melting_Curves/meltCurve_Q07021_C1QBP.pdf", "Melting_Curves/meltCurve_Q07021_C1QBP.pdf")</f>
        <v>Melting_Curves/meltCurve_Q07021_C1QBP.pdf</v>
      </c>
    </row>
    <row r="2978" spans="1:28" x14ac:dyDescent="0.25">
      <c r="A2978" t="s">
        <v>2982</v>
      </c>
      <c r="B2978">
        <v>0.99930955844802105</v>
      </c>
      <c r="C2978">
        <v>1.0061472261134401</v>
      </c>
      <c r="D2978">
        <v>0.98110409346682503</v>
      </c>
      <c r="E2978">
        <v>0.83132203689986395</v>
      </c>
      <c r="F2978">
        <v>0.61485117892963104</v>
      </c>
      <c r="G2978">
        <v>0.49951651102536099</v>
      </c>
      <c r="H2978">
        <v>0.46418716269004301</v>
      </c>
      <c r="I2978">
        <v>0.48345115907191</v>
      </c>
      <c r="J2978">
        <v>0.46697365911838701</v>
      </c>
      <c r="K2978">
        <v>0.36608306167004701</v>
      </c>
      <c r="L2978">
        <v>1306.17420472508</v>
      </c>
      <c r="M2978">
        <v>25.336335217686099</v>
      </c>
      <c r="N2978">
        <v>56.338932530176201</v>
      </c>
      <c r="O2978">
        <v>51.235464611281202</v>
      </c>
      <c r="P2978">
        <v>-6.8999440162393899E-2</v>
      </c>
      <c r="Q2978">
        <v>0.44188097178646202</v>
      </c>
      <c r="R2978">
        <v>0.98563957397539703</v>
      </c>
      <c r="S2978" t="s">
        <v>9595</v>
      </c>
      <c r="T2978" t="s">
        <v>13232</v>
      </c>
      <c r="U2978" t="s">
        <v>13232</v>
      </c>
      <c r="V2978" t="s">
        <v>13232</v>
      </c>
      <c r="W2978" t="s">
        <v>16155</v>
      </c>
      <c r="X2978">
        <v>47</v>
      </c>
      <c r="Y2978" t="s">
        <v>22622</v>
      </c>
      <c r="Z2978" t="s">
        <v>29109</v>
      </c>
      <c r="AA2978">
        <v>0.66176185593480763</v>
      </c>
      <c r="AB2978" t="str">
        <f>HYPERLINK("Melting_Curves/meltCurve_Q07157_TJP1.pdf", "Melting_Curves/meltCurve_Q07157_TJP1.pdf")</f>
        <v>Melting_Curves/meltCurve_Q07157_TJP1.pdf</v>
      </c>
    </row>
    <row r="2979" spans="1:28" x14ac:dyDescent="0.25">
      <c r="A2979" t="s">
        <v>2983</v>
      </c>
      <c r="B2979">
        <v>0.99930955844802105</v>
      </c>
      <c r="C2979">
        <v>0.96302522310369598</v>
      </c>
      <c r="D2979">
        <v>0.91023642496514501</v>
      </c>
      <c r="E2979">
        <v>0.68333747171484804</v>
      </c>
      <c r="F2979">
        <v>0.44195219021283499</v>
      </c>
      <c r="G2979">
        <v>0.35063437660753599</v>
      </c>
      <c r="H2979">
        <v>0.31824026524818899</v>
      </c>
      <c r="I2979">
        <v>0.35656535044250998</v>
      </c>
      <c r="J2979">
        <v>0.31740017143486499</v>
      </c>
      <c r="K2979">
        <v>0.25986072252034098</v>
      </c>
      <c r="L2979">
        <v>1127.44928554896</v>
      </c>
      <c r="M2979">
        <v>22.487367177055798</v>
      </c>
      <c r="N2979">
        <v>52.336305046130498</v>
      </c>
      <c r="O2979">
        <v>49.745567399946196</v>
      </c>
      <c r="P2979">
        <v>-7.8470932841378599E-2</v>
      </c>
      <c r="Q2979">
        <v>0.305654381490295</v>
      </c>
      <c r="R2979">
        <v>0.99271267285847697</v>
      </c>
      <c r="S2979" t="s">
        <v>9596</v>
      </c>
      <c r="T2979" t="s">
        <v>13232</v>
      </c>
      <c r="U2979" t="s">
        <v>13232</v>
      </c>
      <c r="V2979" t="s">
        <v>13232</v>
      </c>
      <c r="W2979" t="s">
        <v>16156</v>
      </c>
      <c r="X2979">
        <v>47</v>
      </c>
      <c r="Y2979" t="s">
        <v>22622</v>
      </c>
      <c r="Z2979" t="s">
        <v>29110</v>
      </c>
      <c r="AA2979">
        <v>0.54795014348438398</v>
      </c>
      <c r="AB2979" t="str">
        <f>HYPERLINK("Melting_Curves/meltCurve_Q07157_2_TJP1.pdf", "Melting_Curves/meltCurve_Q07157_2_TJP1.pdf")</f>
        <v>Melting_Curves/meltCurve_Q07157_2_TJP1.pdf</v>
      </c>
    </row>
    <row r="2980" spans="1:28" x14ac:dyDescent="0.25">
      <c r="A2980" t="s">
        <v>2984</v>
      </c>
      <c r="B2980">
        <v>0.99930955844802105</v>
      </c>
      <c r="C2980">
        <v>1.47369953864446</v>
      </c>
      <c r="D2980">
        <v>0.62042156415820904</v>
      </c>
      <c r="E2980">
        <v>0.78106079213830304</v>
      </c>
      <c r="F2980">
        <v>0.26145113803958597</v>
      </c>
      <c r="G2980">
        <v>0.17219348936927001</v>
      </c>
      <c r="H2980">
        <v>9.2086278144725003E-2</v>
      </c>
      <c r="I2980">
        <v>7.38656182751639E-2</v>
      </c>
      <c r="J2980">
        <v>6.3788479567655501E-2</v>
      </c>
      <c r="K2980">
        <v>5.1884127121997102E-2</v>
      </c>
      <c r="L2980">
        <v>1131.78426866675</v>
      </c>
      <c r="M2980">
        <v>22.142497991207001</v>
      </c>
      <c r="N2980">
        <v>51.403320002967099</v>
      </c>
      <c r="O2980">
        <v>50.702229537862898</v>
      </c>
      <c r="P2980">
        <v>-0.102778208140709</v>
      </c>
      <c r="Q2980">
        <v>5.8647812195461099E-2</v>
      </c>
      <c r="R2980">
        <v>0.83517342355967406</v>
      </c>
      <c r="S2980" t="s">
        <v>9597</v>
      </c>
      <c r="T2980" t="s">
        <v>13232</v>
      </c>
      <c r="U2980" t="s">
        <v>13232</v>
      </c>
      <c r="V2980" t="s">
        <v>13232</v>
      </c>
      <c r="W2980" t="s">
        <v>16157</v>
      </c>
      <c r="X2980">
        <v>18</v>
      </c>
      <c r="Y2980" t="s">
        <v>22623</v>
      </c>
      <c r="Z2980" t="s">
        <v>29111</v>
      </c>
      <c r="AA2980">
        <v>0.41815392426432058</v>
      </c>
      <c r="AB2980" t="str">
        <f>HYPERLINK("Melting_Curves/meltCurve_Q07666_KHDRBS1.pdf", "Melting_Curves/meltCurve_Q07666_KHDRBS1.pdf")</f>
        <v>Melting_Curves/meltCurve_Q07666_KHDRBS1.pdf</v>
      </c>
    </row>
    <row r="2981" spans="1:28" x14ac:dyDescent="0.25">
      <c r="A2981" t="s">
        <v>2985</v>
      </c>
      <c r="B2981">
        <v>0.99930955844802105</v>
      </c>
      <c r="C2981">
        <v>1.08729200726951</v>
      </c>
      <c r="D2981">
        <v>1.0977740682047901</v>
      </c>
      <c r="E2981">
        <v>1.04620661139266</v>
      </c>
      <c r="F2981">
        <v>0.87648370046601198</v>
      </c>
      <c r="G2981">
        <v>0.766179867758779</v>
      </c>
      <c r="H2981">
        <v>0.76534795209733097</v>
      </c>
      <c r="I2981">
        <v>0.77676891687056304</v>
      </c>
      <c r="J2981">
        <v>0.83518645740254505</v>
      </c>
      <c r="K2981">
        <v>0.560711195287662</v>
      </c>
      <c r="L2981">
        <v>13254.964385729099</v>
      </c>
      <c r="M2981">
        <v>250</v>
      </c>
      <c r="O2981">
        <v>53.016464634564699</v>
      </c>
      <c r="P2981">
        <v>-0.30551962559078699</v>
      </c>
      <c r="Q2981">
        <v>0.74083887355205902</v>
      </c>
      <c r="R2981">
        <v>0.76848138942859301</v>
      </c>
      <c r="S2981" t="s">
        <v>9598</v>
      </c>
      <c r="T2981" t="s">
        <v>13232</v>
      </c>
      <c r="U2981" t="s">
        <v>13232</v>
      </c>
      <c r="V2981" t="s">
        <v>13232</v>
      </c>
      <c r="W2981" t="s">
        <v>16158</v>
      </c>
      <c r="X2981">
        <v>11</v>
      </c>
      <c r="Y2981" t="s">
        <v>22624</v>
      </c>
      <c r="Z2981" t="s">
        <v>29112</v>
      </c>
      <c r="AA2981">
        <v>0.8533376864759431</v>
      </c>
      <c r="AB2981" t="str">
        <f>HYPERLINK("Melting_Curves/meltCurve_Q07812_5_BAX.pdf", "Melting_Curves/meltCurve_Q07812_5_BAX.pdf")</f>
        <v>Melting_Curves/meltCurve_Q07812_5_BAX.pdf</v>
      </c>
    </row>
    <row r="2982" spans="1:28" x14ac:dyDescent="0.25">
      <c r="A2982" t="s">
        <v>2986</v>
      </c>
      <c r="B2982">
        <v>0.99930955844802105</v>
      </c>
      <c r="C2982">
        <v>0.71742790838363002</v>
      </c>
      <c r="D2982">
        <v>0.56980294251983898</v>
      </c>
      <c r="E2982">
        <v>0.30477966761678199</v>
      </c>
      <c r="F2982">
        <v>0.18914116722862001</v>
      </c>
      <c r="G2982">
        <v>0.139136062519404</v>
      </c>
      <c r="H2982">
        <v>8.5166062936283302E-2</v>
      </c>
      <c r="I2982">
        <v>6.3021896508034206E-2</v>
      </c>
      <c r="J2982">
        <v>5.5936809261942402E-2</v>
      </c>
      <c r="K2982">
        <v>3.1672892469437802E-2</v>
      </c>
      <c r="L2982">
        <v>658.932804001882</v>
      </c>
      <c r="M2982">
        <v>14.1671713809035</v>
      </c>
      <c r="N2982">
        <v>46.8346394701314</v>
      </c>
      <c r="O2982">
        <v>45.613963704382698</v>
      </c>
      <c r="P2982">
        <v>-7.4038438579683799E-2</v>
      </c>
      <c r="Q2982">
        <v>4.6595836046356601E-2</v>
      </c>
      <c r="R2982">
        <v>0.98764156224956201</v>
      </c>
      <c r="S2982" t="s">
        <v>9599</v>
      </c>
      <c r="T2982" t="s">
        <v>13232</v>
      </c>
      <c r="U2982" t="s">
        <v>13232</v>
      </c>
      <c r="V2982" t="s">
        <v>13232</v>
      </c>
      <c r="W2982" t="s">
        <v>16159</v>
      </c>
      <c r="X2982">
        <v>20</v>
      </c>
      <c r="Y2982" t="s">
        <v>22625</v>
      </c>
      <c r="Z2982" t="s">
        <v>29113</v>
      </c>
      <c r="AA2982">
        <v>0.28363042600364091</v>
      </c>
      <c r="AB2982" t="str">
        <f>HYPERLINK("Melting_Curves/meltCurve_Q07864_POLE.pdf", "Melting_Curves/meltCurve_Q07864_POLE.pdf")</f>
        <v>Melting_Curves/meltCurve_Q07864_POLE.pdf</v>
      </c>
    </row>
    <row r="2983" spans="1:28" x14ac:dyDescent="0.25">
      <c r="A2983" t="s">
        <v>2987</v>
      </c>
      <c r="B2983">
        <v>0.99930955844802105</v>
      </c>
      <c r="C2983">
        <v>1.35243577979078</v>
      </c>
      <c r="D2983">
        <v>0.84135951582310997</v>
      </c>
      <c r="E2983">
        <v>0.96900783368495502</v>
      </c>
      <c r="F2983">
        <v>0.76943168055667699</v>
      </c>
      <c r="G2983">
        <v>0.522471927839956</v>
      </c>
      <c r="H2983">
        <v>0.42717885110916698</v>
      </c>
      <c r="I2983">
        <v>0.54132400972453998</v>
      </c>
      <c r="J2983">
        <v>0.46895931574557698</v>
      </c>
      <c r="K2983">
        <v>0.344918418465263</v>
      </c>
      <c r="L2983">
        <v>1607.2646156861399</v>
      </c>
      <c r="M2983">
        <v>29.932261995813899</v>
      </c>
      <c r="N2983">
        <v>57.783318367105203</v>
      </c>
      <c r="O2983">
        <v>53.458770564404603</v>
      </c>
      <c r="P2983">
        <v>-7.8416764666727701E-2</v>
      </c>
      <c r="Q2983">
        <v>0.439796976606113</v>
      </c>
      <c r="R2983">
        <v>0.81568854508814004</v>
      </c>
      <c r="S2983" t="s">
        <v>9600</v>
      </c>
      <c r="T2983" t="s">
        <v>13232</v>
      </c>
      <c r="U2983" t="s">
        <v>13232</v>
      </c>
      <c r="V2983" t="s">
        <v>13232</v>
      </c>
      <c r="W2983" t="s">
        <v>16160</v>
      </c>
      <c r="X2983">
        <v>32</v>
      </c>
      <c r="Y2983" t="s">
        <v>22626</v>
      </c>
      <c r="Z2983" t="s">
        <v>29114</v>
      </c>
      <c r="AA2983">
        <v>0.69924460713391978</v>
      </c>
      <c r="AB2983" t="str">
        <f>HYPERLINK("Melting_Curves/meltCurve_Q07866_3_KLC1.pdf", "Melting_Curves/meltCurve_Q07866_3_KLC1.pdf")</f>
        <v>Melting_Curves/meltCurve_Q07866_3_KLC1.pdf</v>
      </c>
    </row>
    <row r="2984" spans="1:28" x14ac:dyDescent="0.25">
      <c r="A2984" t="s">
        <v>2988</v>
      </c>
      <c r="B2984">
        <v>0.99930955844802105</v>
      </c>
      <c r="C2984">
        <v>0.96260369636211895</v>
      </c>
      <c r="D2984">
        <v>0.97319983136874399</v>
      </c>
      <c r="E2984">
        <v>0.83338143772476003</v>
      </c>
      <c r="F2984">
        <v>0.46764136369780701</v>
      </c>
      <c r="G2984">
        <v>0.24972774365450201</v>
      </c>
      <c r="H2984">
        <v>0.119912703040119</v>
      </c>
      <c r="I2984">
        <v>0.10380792606613901</v>
      </c>
      <c r="J2984">
        <v>0.10157612708547401</v>
      </c>
      <c r="K2984">
        <v>7.7021006260368799E-2</v>
      </c>
      <c r="L2984">
        <v>1292.9856022025201</v>
      </c>
      <c r="M2984">
        <v>24.5809204092477</v>
      </c>
      <c r="N2984">
        <v>53.048078686176098</v>
      </c>
      <c r="O2984">
        <v>52.256752318653497</v>
      </c>
      <c r="P2984">
        <v>-0.10660063519035499</v>
      </c>
      <c r="Q2984">
        <v>9.35207814945275E-2</v>
      </c>
      <c r="R2984">
        <v>0.99646759423942299</v>
      </c>
      <c r="S2984" t="s">
        <v>9601</v>
      </c>
      <c r="T2984" t="s">
        <v>13232</v>
      </c>
      <c r="U2984" t="s">
        <v>13232</v>
      </c>
      <c r="V2984" t="s">
        <v>13232</v>
      </c>
      <c r="W2984" t="s">
        <v>16161</v>
      </c>
      <c r="X2984">
        <v>38</v>
      </c>
      <c r="Y2984" t="s">
        <v>22626</v>
      </c>
      <c r="Z2984" t="s">
        <v>29115</v>
      </c>
      <c r="AA2984">
        <v>0.48286899851132209</v>
      </c>
      <c r="AB2984" t="str">
        <f>HYPERLINK("Melting_Curves/meltCurve_Q07866_6_KLC1.pdf", "Melting_Curves/meltCurve_Q07866_6_KLC1.pdf")</f>
        <v>Melting_Curves/meltCurve_Q07866_6_KLC1.pdf</v>
      </c>
    </row>
    <row r="2985" spans="1:28" x14ac:dyDescent="0.25">
      <c r="A2985" t="s">
        <v>2989</v>
      </c>
      <c r="B2985">
        <v>0.99930955844802105</v>
      </c>
      <c r="C2985">
        <v>1.0441527496437399</v>
      </c>
      <c r="D2985">
        <v>1.0833341592252901</v>
      </c>
      <c r="E2985">
        <v>1.11343250113015</v>
      </c>
      <c r="F2985">
        <v>1.0459488409262301</v>
      </c>
      <c r="G2985">
        <v>0.98187910442679804</v>
      </c>
      <c r="H2985">
        <v>1.0192073366235801</v>
      </c>
      <c r="I2985">
        <v>1.0942097370763699</v>
      </c>
      <c r="J2985">
        <v>0.96883885262832603</v>
      </c>
      <c r="K2985">
        <v>0.83036191181713404</v>
      </c>
      <c r="L2985">
        <v>15000</v>
      </c>
      <c r="M2985">
        <v>222.38853967399001</v>
      </c>
      <c r="O2985">
        <v>67.444065059082007</v>
      </c>
      <c r="P2985">
        <v>-0.139882639831823</v>
      </c>
      <c r="Q2985">
        <v>0.83031043316642805</v>
      </c>
      <c r="R2985">
        <v>0.44191359590060297</v>
      </c>
      <c r="S2985" t="s">
        <v>9602</v>
      </c>
      <c r="T2985" t="s">
        <v>13232</v>
      </c>
      <c r="U2985" t="s">
        <v>13232</v>
      </c>
      <c r="V2985" t="s">
        <v>13232</v>
      </c>
      <c r="W2985" t="s">
        <v>16162</v>
      </c>
      <c r="X2985">
        <v>6</v>
      </c>
      <c r="Y2985" t="s">
        <v>22627</v>
      </c>
      <c r="Z2985" t="s">
        <v>29116</v>
      </c>
      <c r="AA2985">
        <v>0.98559848644990466</v>
      </c>
      <c r="AB2985" t="str">
        <f>HYPERLINK("Melting_Curves/meltCurve_Q07912_TNK2.pdf", "Melting_Curves/meltCurve_Q07912_TNK2.pdf")</f>
        <v>Melting_Curves/meltCurve_Q07912_TNK2.pdf</v>
      </c>
    </row>
    <row r="2986" spans="1:28" x14ac:dyDescent="0.25">
      <c r="A2986" t="s">
        <v>2990</v>
      </c>
      <c r="B2986">
        <v>0.99930955844802105</v>
      </c>
      <c r="C2986">
        <v>0.89305603188976501</v>
      </c>
      <c r="D2986">
        <v>0.75241338846563899</v>
      </c>
      <c r="E2986">
        <v>0.80822694654429295</v>
      </c>
      <c r="F2986">
        <v>0.57633663302176796</v>
      </c>
      <c r="G2986">
        <v>0.40112342523111599</v>
      </c>
      <c r="H2986">
        <v>0.35208426450130298</v>
      </c>
      <c r="I2986">
        <v>0.54338013598653201</v>
      </c>
      <c r="J2986">
        <v>0.63685087657977302</v>
      </c>
      <c r="K2986">
        <v>0.60329648585203399</v>
      </c>
      <c r="L2986">
        <v>734.200973157779</v>
      </c>
      <c r="M2986">
        <v>15.459861621220099</v>
      </c>
      <c r="O2986">
        <v>46.717481625810201</v>
      </c>
      <c r="P2986">
        <v>-4.0665831106279998E-2</v>
      </c>
      <c r="Q2986">
        <v>0.50849907246494697</v>
      </c>
      <c r="R2986">
        <v>0.74010902550398905</v>
      </c>
      <c r="S2986" t="s">
        <v>9603</v>
      </c>
      <c r="T2986" t="s">
        <v>13232</v>
      </c>
      <c r="U2986" t="s">
        <v>13232</v>
      </c>
      <c r="V2986" t="s">
        <v>13232</v>
      </c>
      <c r="W2986" t="s">
        <v>16163</v>
      </c>
      <c r="X2986">
        <v>11</v>
      </c>
      <c r="Y2986" t="s">
        <v>22628</v>
      </c>
      <c r="Z2986" t="s">
        <v>29117</v>
      </c>
      <c r="AA2986">
        <v>0.64342804886295824</v>
      </c>
      <c r="AB2986" t="str">
        <f>HYPERLINK("Melting_Curves/meltCurve_Q07955_SRSF1.pdf", "Melting_Curves/meltCurve_Q07955_SRSF1.pdf")</f>
        <v>Melting_Curves/meltCurve_Q07955_SRSF1.pdf</v>
      </c>
    </row>
    <row r="2987" spans="1:28" x14ac:dyDescent="0.25">
      <c r="A2987" t="s">
        <v>2991</v>
      </c>
      <c r="B2987">
        <v>0.99930955844802105</v>
      </c>
      <c r="C2987">
        <v>0.99365825833955201</v>
      </c>
      <c r="D2987">
        <v>0.99921905780859999</v>
      </c>
      <c r="E2987">
        <v>0.89697692737930401</v>
      </c>
      <c r="F2987">
        <v>0.76568483406741905</v>
      </c>
      <c r="G2987">
        <v>0.50268213292708297</v>
      </c>
      <c r="H2987">
        <v>0.18454638143022301</v>
      </c>
      <c r="I2987">
        <v>0.14747222858645501</v>
      </c>
      <c r="J2987">
        <v>0.12979303614335799</v>
      </c>
      <c r="K2987">
        <v>0.101282924399116</v>
      </c>
      <c r="L2987">
        <v>1096.8919460664499</v>
      </c>
      <c r="M2987">
        <v>19.567437152137099</v>
      </c>
      <c r="N2987">
        <v>56.531011022981801</v>
      </c>
      <c r="O2987">
        <v>55.481374100982599</v>
      </c>
      <c r="P2987">
        <v>-8.1503442318402397E-2</v>
      </c>
      <c r="Q2987">
        <v>7.5655641315049205E-2</v>
      </c>
      <c r="R2987">
        <v>0.99649995707611105</v>
      </c>
      <c r="S2987" t="s">
        <v>9604</v>
      </c>
      <c r="T2987" t="s">
        <v>13232</v>
      </c>
      <c r="U2987" t="s">
        <v>13232</v>
      </c>
      <c r="V2987" t="s">
        <v>13232</v>
      </c>
      <c r="W2987" t="s">
        <v>16164</v>
      </c>
      <c r="X2987">
        <v>25</v>
      </c>
      <c r="Y2987" t="s">
        <v>22629</v>
      </c>
      <c r="Z2987" t="s">
        <v>29118</v>
      </c>
      <c r="AA2987">
        <v>0.58262584422685737</v>
      </c>
      <c r="AB2987" t="str">
        <f>HYPERLINK("Melting_Curves/meltCurve_Q07960_ARHGAP1.pdf", "Melting_Curves/meltCurve_Q07960_ARHGAP1.pdf")</f>
        <v>Melting_Curves/meltCurve_Q07960_ARHGAP1.pdf</v>
      </c>
    </row>
    <row r="2988" spans="1:28" x14ac:dyDescent="0.25">
      <c r="A2988" t="s">
        <v>2992</v>
      </c>
      <c r="B2988">
        <v>0.99930955844802105</v>
      </c>
      <c r="C2988">
        <v>1.4275808801883101</v>
      </c>
      <c r="D2988">
        <v>1.1677163303581699</v>
      </c>
      <c r="E2988">
        <v>1.0655523213370801</v>
      </c>
      <c r="F2988">
        <v>0.90505979298823602</v>
      </c>
      <c r="G2988">
        <v>0.55598693494745</v>
      </c>
      <c r="H2988">
        <v>0.26801130292268699</v>
      </c>
      <c r="I2988">
        <v>0.17410332988265401</v>
      </c>
      <c r="J2988">
        <v>0.113762164006734</v>
      </c>
      <c r="K2988">
        <v>0.104550232571564</v>
      </c>
      <c r="L2988">
        <v>1590.47618770332</v>
      </c>
      <c r="M2988">
        <v>27.8232094808974</v>
      </c>
      <c r="N2988">
        <v>57.698025615854903</v>
      </c>
      <c r="O2988">
        <v>56.870795626765599</v>
      </c>
      <c r="P2988">
        <v>-0.108417740522677</v>
      </c>
      <c r="Q2988">
        <v>0.113581877047433</v>
      </c>
      <c r="R2988">
        <v>0.89972612672839303</v>
      </c>
      <c r="S2988" t="s">
        <v>9605</v>
      </c>
      <c r="T2988" t="s">
        <v>13232</v>
      </c>
      <c r="U2988" t="s">
        <v>13232</v>
      </c>
      <c r="V2988" t="s">
        <v>13232</v>
      </c>
      <c r="W2988" t="s">
        <v>16165</v>
      </c>
      <c r="X2988">
        <v>3</v>
      </c>
      <c r="Y2988" t="s">
        <v>22630</v>
      </c>
      <c r="Z2988" t="s">
        <v>29119</v>
      </c>
      <c r="AA2988">
        <v>0.62742401485283616</v>
      </c>
      <c r="AB2988" t="str">
        <f>HYPERLINK("Melting_Curves/meltCurve_Q08117_AES.pdf", "Melting_Curves/meltCurve_Q08117_AES.pdf")</f>
        <v>Melting_Curves/meltCurve_Q08117_AES.pdf</v>
      </c>
    </row>
    <row r="2989" spans="1:28" x14ac:dyDescent="0.25">
      <c r="A2989" t="s">
        <v>2993</v>
      </c>
      <c r="B2989">
        <v>0.99930955844802105</v>
      </c>
      <c r="C2989">
        <v>0.96679845087884397</v>
      </c>
      <c r="D2989">
        <v>0.91361205062304696</v>
      </c>
      <c r="E2989">
        <v>0.87911372848165903</v>
      </c>
      <c r="F2989">
        <v>0.75292314949002104</v>
      </c>
      <c r="G2989">
        <v>0.61518683853253697</v>
      </c>
      <c r="H2989">
        <v>0.608682372886173</v>
      </c>
      <c r="I2989">
        <v>0.62396837343937095</v>
      </c>
      <c r="J2989">
        <v>0.64883723186072295</v>
      </c>
      <c r="K2989">
        <v>0.49297511118908199</v>
      </c>
      <c r="L2989">
        <v>728.48761077135703</v>
      </c>
      <c r="M2989">
        <v>13.9839269946049</v>
      </c>
      <c r="O2989">
        <v>51.0639954175059</v>
      </c>
      <c r="P2989">
        <v>-3.0239411831202399E-2</v>
      </c>
      <c r="Q2989">
        <v>0.55836727171796097</v>
      </c>
      <c r="R2989">
        <v>0.94115616199476604</v>
      </c>
      <c r="S2989" t="s">
        <v>9606</v>
      </c>
      <c r="T2989" t="s">
        <v>13232</v>
      </c>
      <c r="U2989" t="s">
        <v>13232</v>
      </c>
      <c r="V2989" t="s">
        <v>13232</v>
      </c>
      <c r="W2989" t="s">
        <v>16166</v>
      </c>
      <c r="X2989">
        <v>12</v>
      </c>
      <c r="Y2989" t="s">
        <v>22631</v>
      </c>
      <c r="Z2989" t="s">
        <v>29120</v>
      </c>
      <c r="AA2989">
        <v>0.74732904990575932</v>
      </c>
      <c r="AB2989" t="str">
        <f>HYPERLINK("Melting_Curves/meltCurve_Q08170_SRSF4.pdf", "Melting_Curves/meltCurve_Q08170_SRSF4.pdf")</f>
        <v>Melting_Curves/meltCurve_Q08170_SRSF4.pdf</v>
      </c>
    </row>
    <row r="2990" spans="1:28" x14ac:dyDescent="0.25">
      <c r="A2990" t="s">
        <v>2994</v>
      </c>
      <c r="B2990">
        <v>0.99930955844802105</v>
      </c>
      <c r="C2990">
        <v>1.0518577469745201</v>
      </c>
      <c r="D2990">
        <v>1.0096348358945699</v>
      </c>
      <c r="E2990">
        <v>0.80527344797123301</v>
      </c>
      <c r="F2990">
        <v>0.478550659298906</v>
      </c>
      <c r="G2990">
        <v>0.25561034520019599</v>
      </c>
      <c r="H2990">
        <v>0.12316128912898</v>
      </c>
      <c r="I2990">
        <v>9.4934703905340895E-2</v>
      </c>
      <c r="J2990">
        <v>7.8137454601721404E-2</v>
      </c>
      <c r="K2990">
        <v>5.8496368309517301E-2</v>
      </c>
      <c r="L2990">
        <v>1212.6187565191001</v>
      </c>
      <c r="M2990">
        <v>22.9938932108914</v>
      </c>
      <c r="N2990">
        <v>53.122882481829002</v>
      </c>
      <c r="O2990">
        <v>52.342539204441302</v>
      </c>
      <c r="P2990">
        <v>-0.10137037020086399</v>
      </c>
      <c r="Q2990">
        <v>7.6992634533091103E-2</v>
      </c>
      <c r="R2990">
        <v>0.99508904174499102</v>
      </c>
      <c r="S2990" t="s">
        <v>9607</v>
      </c>
      <c r="T2990" t="s">
        <v>13232</v>
      </c>
      <c r="U2990" t="s">
        <v>13232</v>
      </c>
      <c r="V2990" t="s">
        <v>13232</v>
      </c>
      <c r="W2990" t="s">
        <v>16167</v>
      </c>
      <c r="X2990">
        <v>17</v>
      </c>
      <c r="Y2990" t="s">
        <v>22632</v>
      </c>
      <c r="Z2990" t="s">
        <v>29121</v>
      </c>
      <c r="AA2990">
        <v>0.47877139813194919</v>
      </c>
      <c r="AB2990" t="str">
        <f>HYPERLINK("Melting_Curves/meltCurve_Q08209_2_PPP3CA.pdf", "Melting_Curves/meltCurve_Q08209_2_PPP3CA.pdf")</f>
        <v>Melting_Curves/meltCurve_Q08209_2_PPP3CA.pdf</v>
      </c>
    </row>
    <row r="2991" spans="1:28" x14ac:dyDescent="0.25">
      <c r="A2991" t="s">
        <v>2995</v>
      </c>
      <c r="B2991">
        <v>0.99930955844802105</v>
      </c>
      <c r="C2991">
        <v>0.92707990328244805</v>
      </c>
      <c r="D2991">
        <v>0.925991477275667</v>
      </c>
      <c r="E2991">
        <v>0.84936587389902796</v>
      </c>
      <c r="F2991">
        <v>0.50881047484431896</v>
      </c>
      <c r="G2991">
        <v>0.219771979247674</v>
      </c>
      <c r="H2991">
        <v>0.134722775757911</v>
      </c>
      <c r="I2991">
        <v>0.122453157207356</v>
      </c>
      <c r="J2991">
        <v>0.104395669382416</v>
      </c>
      <c r="K2991">
        <v>8.2762049188282699E-2</v>
      </c>
      <c r="L2991">
        <v>1321.9595906193599</v>
      </c>
      <c r="M2991">
        <v>25.0559339253704</v>
      </c>
      <c r="N2991">
        <v>53.226521270369098</v>
      </c>
      <c r="O2991">
        <v>52.427706640997698</v>
      </c>
      <c r="P2991">
        <v>-0.107708916985865</v>
      </c>
      <c r="Q2991">
        <v>9.8519940775033898E-2</v>
      </c>
      <c r="R2991">
        <v>0.99347373193047095</v>
      </c>
      <c r="S2991" t="s">
        <v>9608</v>
      </c>
      <c r="T2991" t="s">
        <v>13232</v>
      </c>
      <c r="U2991" t="s">
        <v>13232</v>
      </c>
      <c r="V2991" t="s">
        <v>13232</v>
      </c>
      <c r="W2991" t="s">
        <v>16168</v>
      </c>
      <c r="X2991">
        <v>51</v>
      </c>
      <c r="Y2991" t="s">
        <v>22633</v>
      </c>
      <c r="Z2991" t="s">
        <v>29122</v>
      </c>
      <c r="AA2991">
        <v>0.49021004564058712</v>
      </c>
      <c r="AB2991" t="str">
        <f>HYPERLINK("Melting_Curves/meltCurve_Q08211_DHX9.pdf", "Melting_Curves/meltCurve_Q08211_DHX9.pdf")</f>
        <v>Melting_Curves/meltCurve_Q08211_DHX9.pdf</v>
      </c>
    </row>
    <row r="2992" spans="1:28" x14ac:dyDescent="0.25">
      <c r="A2992" t="s">
        <v>2996</v>
      </c>
      <c r="B2992">
        <v>0.99930955844802105</v>
      </c>
      <c r="C2992">
        <v>1.07228338129345</v>
      </c>
      <c r="D2992">
        <v>1.0248903433005501</v>
      </c>
      <c r="E2992">
        <v>1.00562738566559</v>
      </c>
      <c r="F2992">
        <v>0.98527312096282904</v>
      </c>
      <c r="G2992">
        <v>0.42912785132930298</v>
      </c>
      <c r="H2992">
        <v>0.147063200883816</v>
      </c>
      <c r="I2992">
        <v>0.13907449626624499</v>
      </c>
      <c r="J2992">
        <v>0.122721650067284</v>
      </c>
      <c r="K2992">
        <v>9.4179981756781606E-2</v>
      </c>
      <c r="L2992">
        <v>3244.7970911192201</v>
      </c>
      <c r="M2992">
        <v>57.539846735740802</v>
      </c>
      <c r="N2992">
        <v>56.668794878832102</v>
      </c>
      <c r="O2992">
        <v>56.324181690028098</v>
      </c>
      <c r="P2992">
        <v>-0.22412591511020599</v>
      </c>
      <c r="Q2992">
        <v>0.12243752954361201</v>
      </c>
      <c r="R2992">
        <v>0.996037821933348</v>
      </c>
      <c r="S2992" t="s">
        <v>9609</v>
      </c>
      <c r="T2992" t="s">
        <v>13232</v>
      </c>
      <c r="U2992" t="s">
        <v>13232</v>
      </c>
      <c r="V2992" t="s">
        <v>13232</v>
      </c>
      <c r="W2992" t="s">
        <v>16169</v>
      </c>
      <c r="X2992">
        <v>19</v>
      </c>
      <c r="Y2992" t="s">
        <v>22634</v>
      </c>
      <c r="Z2992" t="s">
        <v>29123</v>
      </c>
      <c r="AA2992">
        <v>0.60358818251176216</v>
      </c>
      <c r="AB2992" t="str">
        <f>HYPERLINK("Melting_Curves/meltCurve_Q08257_CRYZ.pdf", "Melting_Curves/meltCurve_Q08257_CRYZ.pdf")</f>
        <v>Melting_Curves/meltCurve_Q08257_CRYZ.pdf</v>
      </c>
    </row>
    <row r="2993" spans="1:28" x14ac:dyDescent="0.25">
      <c r="A2993" t="s">
        <v>2997</v>
      </c>
      <c r="B2993">
        <v>0.99930955844802105</v>
      </c>
      <c r="C2993">
        <v>0.88379663253081497</v>
      </c>
      <c r="D2993">
        <v>0.94572248258106495</v>
      </c>
      <c r="E2993">
        <v>0.96205110589114895</v>
      </c>
      <c r="F2993">
        <v>0.90057492082730795</v>
      </c>
      <c r="G2993">
        <v>0.63367567083770904</v>
      </c>
      <c r="H2993">
        <v>0.33412389792831299</v>
      </c>
      <c r="I2993">
        <v>0.25874818199607702</v>
      </c>
      <c r="J2993">
        <v>0.221621657338716</v>
      </c>
      <c r="K2993">
        <v>0.174047843220547</v>
      </c>
      <c r="L2993">
        <v>1299.6188786382199</v>
      </c>
      <c r="M2993">
        <v>22.603153108586302</v>
      </c>
      <c r="N2993">
        <v>58.603476520050499</v>
      </c>
      <c r="O2993">
        <v>57.0528737701623</v>
      </c>
      <c r="P2993">
        <v>-8.1846329901007306E-2</v>
      </c>
      <c r="Q2993">
        <v>0.17365974551066299</v>
      </c>
      <c r="R2993">
        <v>0.98424919891987595</v>
      </c>
      <c r="S2993" t="s">
        <v>9610</v>
      </c>
      <c r="T2993" t="s">
        <v>13232</v>
      </c>
      <c r="U2993" t="s">
        <v>13232</v>
      </c>
      <c r="V2993" t="s">
        <v>13232</v>
      </c>
      <c r="W2993" t="s">
        <v>16170</v>
      </c>
      <c r="X2993">
        <v>76</v>
      </c>
      <c r="Y2993" t="s">
        <v>22635</v>
      </c>
      <c r="Z2993" t="s">
        <v>29124</v>
      </c>
      <c r="AA2993">
        <v>0.66405546730031906</v>
      </c>
      <c r="AB2993" t="str">
        <f>HYPERLINK("Melting_Curves/meltCurve_Q08378_GOLGA3.pdf", "Melting_Curves/meltCurve_Q08378_GOLGA3.pdf")</f>
        <v>Melting_Curves/meltCurve_Q08378_GOLGA3.pdf</v>
      </c>
    </row>
    <row r="2994" spans="1:28" x14ac:dyDescent="0.25">
      <c r="A2994" t="s">
        <v>2998</v>
      </c>
      <c r="B2994">
        <v>0.99930955844802105</v>
      </c>
      <c r="C2994">
        <v>0.98350269978323401</v>
      </c>
      <c r="D2994">
        <v>0.86297557012612003</v>
      </c>
      <c r="E2994">
        <v>0.75284532888982503</v>
      </c>
      <c r="F2994">
        <v>0.57161757644656097</v>
      </c>
      <c r="G2994">
        <v>0.49063265342133699</v>
      </c>
      <c r="H2994">
        <v>0.32526147491561702</v>
      </c>
      <c r="I2994">
        <v>0.392550419480441</v>
      </c>
      <c r="J2994">
        <v>0.43184209993629502</v>
      </c>
      <c r="K2994">
        <v>0.35945360433114898</v>
      </c>
      <c r="L2994">
        <v>803.75702323437099</v>
      </c>
      <c r="M2994">
        <v>15.7930197609187</v>
      </c>
      <c r="N2994">
        <v>55.4027679362379</v>
      </c>
      <c r="O2994">
        <v>50.098139076185198</v>
      </c>
      <c r="P2994">
        <v>-5.0305410003381103E-2</v>
      </c>
      <c r="Q2994">
        <v>0.36174321673438298</v>
      </c>
      <c r="R2994">
        <v>0.97862284060665705</v>
      </c>
      <c r="S2994" t="s">
        <v>9611</v>
      </c>
      <c r="T2994" t="s">
        <v>13232</v>
      </c>
      <c r="U2994" t="s">
        <v>13232</v>
      </c>
      <c r="V2994" t="s">
        <v>13232</v>
      </c>
      <c r="W2994" t="s">
        <v>16171</v>
      </c>
      <c r="X2994">
        <v>30</v>
      </c>
      <c r="Y2994" t="s">
        <v>22636</v>
      </c>
      <c r="Z2994" t="s">
        <v>29125</v>
      </c>
      <c r="AA2994">
        <v>0.60706127555546152</v>
      </c>
      <c r="AB2994" t="str">
        <f>HYPERLINK("Melting_Curves/meltCurve_Q08379_GOLGA2.pdf", "Melting_Curves/meltCurve_Q08379_GOLGA2.pdf")</f>
        <v>Melting_Curves/meltCurve_Q08379_GOLGA2.pdf</v>
      </c>
    </row>
    <row r="2995" spans="1:28" x14ac:dyDescent="0.25">
      <c r="A2995" t="s">
        <v>2999</v>
      </c>
      <c r="B2995">
        <v>0.99930955844802105</v>
      </c>
      <c r="C2995">
        <v>0.71927958024362304</v>
      </c>
      <c r="D2995">
        <v>0.73624762675544697</v>
      </c>
      <c r="E2995">
        <v>0.87516097899615097</v>
      </c>
      <c r="F2995">
        <v>0.85332889437647397</v>
      </c>
      <c r="G2995">
        <v>0.89315129660120296</v>
      </c>
      <c r="H2995">
        <v>0.41845539078687899</v>
      </c>
      <c r="I2995">
        <v>0.20318031404581099</v>
      </c>
      <c r="J2995">
        <v>0.21519161082188301</v>
      </c>
      <c r="K2995">
        <v>0.133707161011274</v>
      </c>
      <c r="L2995">
        <v>2118.2187354996399</v>
      </c>
      <c r="M2995">
        <v>35.484412880500102</v>
      </c>
      <c r="N2995">
        <v>60.315775335924997</v>
      </c>
      <c r="O2995">
        <v>59.505698956584801</v>
      </c>
      <c r="P2995">
        <v>-0.126254958212313</v>
      </c>
      <c r="Q2995">
        <v>0.153108101630303</v>
      </c>
      <c r="R2995">
        <v>0.80868383957590595</v>
      </c>
      <c r="S2995" t="s">
        <v>9612</v>
      </c>
      <c r="T2995" t="s">
        <v>13232</v>
      </c>
      <c r="U2995" t="s">
        <v>13232</v>
      </c>
      <c r="V2995" t="s">
        <v>13232</v>
      </c>
      <c r="W2995" t="s">
        <v>16172</v>
      </c>
      <c r="X2995">
        <v>4</v>
      </c>
      <c r="Y2995" t="s">
        <v>22637</v>
      </c>
      <c r="Z2995" t="s">
        <v>29126</v>
      </c>
      <c r="AA2995">
        <v>0.71315002940158301</v>
      </c>
      <c r="AB2995" t="str">
        <f>HYPERLINK("Melting_Curves/meltCurve_Q08380_LGALS3BP.pdf", "Melting_Curves/meltCurve_Q08380_LGALS3BP.pdf")</f>
        <v>Melting_Curves/meltCurve_Q08380_LGALS3BP.pdf</v>
      </c>
    </row>
    <row r="2996" spans="1:28" x14ac:dyDescent="0.25">
      <c r="A2996" t="s">
        <v>3000</v>
      </c>
      <c r="B2996">
        <v>0.99930955844802105</v>
      </c>
      <c r="C2996">
        <v>1.0272617216169999</v>
      </c>
      <c r="D2996">
        <v>1.0452622449890101</v>
      </c>
      <c r="E2996">
        <v>1.02579797403557</v>
      </c>
      <c r="F2996">
        <v>0.88792266677912701</v>
      </c>
      <c r="G2996">
        <v>0.75690099294185997</v>
      </c>
      <c r="H2996">
        <v>0.69103162390588502</v>
      </c>
      <c r="I2996">
        <v>0.71782470212919902</v>
      </c>
      <c r="J2996">
        <v>0.68090147390048805</v>
      </c>
      <c r="K2996">
        <v>0.54382277930128498</v>
      </c>
      <c r="L2996">
        <v>1148.0513694205099</v>
      </c>
      <c r="M2996">
        <v>20.521860619337101</v>
      </c>
      <c r="O2996">
        <v>55.419771376418502</v>
      </c>
      <c r="P2996">
        <v>-3.4406174682829603E-2</v>
      </c>
      <c r="Q2996">
        <v>0.62835215720082205</v>
      </c>
      <c r="R2996">
        <v>0.92853764883724499</v>
      </c>
      <c r="S2996" t="s">
        <v>9613</v>
      </c>
      <c r="T2996" t="s">
        <v>13232</v>
      </c>
      <c r="U2996" t="s">
        <v>13232</v>
      </c>
      <c r="V2996" t="s">
        <v>13232</v>
      </c>
      <c r="W2996" t="s">
        <v>16173</v>
      </c>
      <c r="X2996">
        <v>11</v>
      </c>
      <c r="Y2996" t="s">
        <v>22638</v>
      </c>
      <c r="Z2996" t="s">
        <v>29127</v>
      </c>
      <c r="AA2996">
        <v>0.83048634349341743</v>
      </c>
      <c r="AB2996" t="str">
        <f>HYPERLINK("Melting_Curves/meltCurve_Q08495_EPB49.pdf", "Melting_Curves/meltCurve_Q08495_EPB49.pdf")</f>
        <v>Melting_Curves/meltCurve_Q08495_EPB49.pdf</v>
      </c>
    </row>
    <row r="2997" spans="1:28" x14ac:dyDescent="0.25">
      <c r="A2997" t="s">
        <v>3001</v>
      </c>
      <c r="B2997">
        <v>0.99930955844802105</v>
      </c>
      <c r="C2997">
        <v>1.1790754747872201</v>
      </c>
      <c r="D2997">
        <v>1.15420810862052</v>
      </c>
      <c r="E2997">
        <v>1.15412952868577</v>
      </c>
      <c r="F2997">
        <v>0.93885488212412604</v>
      </c>
      <c r="G2997">
        <v>0.49230223196550699</v>
      </c>
      <c r="H2997">
        <v>0.140040914683602</v>
      </c>
      <c r="I2997">
        <v>0.103103744599066</v>
      </c>
      <c r="J2997">
        <v>7.7870762791726E-2</v>
      </c>
      <c r="K2997">
        <v>5.7094727580891999E-2</v>
      </c>
      <c r="L2997">
        <v>2305.7078344440501</v>
      </c>
      <c r="M2997">
        <v>40.641272163887102</v>
      </c>
      <c r="N2997">
        <v>56.972289484635802</v>
      </c>
      <c r="O2997">
        <v>56.5963115151268</v>
      </c>
      <c r="P2997">
        <v>-0.16544529735652999</v>
      </c>
      <c r="Q2997">
        <v>7.8416949401045502E-2</v>
      </c>
      <c r="R2997">
        <v>0.96367988504870095</v>
      </c>
      <c r="S2997" t="s">
        <v>9614</v>
      </c>
      <c r="T2997" t="s">
        <v>13232</v>
      </c>
      <c r="U2997" t="s">
        <v>13232</v>
      </c>
      <c r="V2997" t="s">
        <v>13232</v>
      </c>
      <c r="W2997" t="s">
        <v>16174</v>
      </c>
      <c r="X2997">
        <v>9</v>
      </c>
      <c r="Y2997" t="s">
        <v>22639</v>
      </c>
      <c r="Z2997" t="s">
        <v>29128</v>
      </c>
      <c r="AA2997">
        <v>0.59591966839996102</v>
      </c>
      <c r="AB2997" t="str">
        <f>HYPERLINK("Melting_Curves/meltCurve_Q08623_HDHD1.pdf", "Melting_Curves/meltCurve_Q08623_HDHD1.pdf")</f>
        <v>Melting_Curves/meltCurve_Q08623_HDHD1.pdf</v>
      </c>
    </row>
    <row r="2998" spans="1:28" x14ac:dyDescent="0.25">
      <c r="A2998" t="s">
        <v>3002</v>
      </c>
      <c r="B2998">
        <v>0.99930955844802105</v>
      </c>
      <c r="C2998">
        <v>1.2108504953819801</v>
      </c>
      <c r="D2998">
        <v>0.81769818952347795</v>
      </c>
      <c r="E2998">
        <v>0.52927119377183696</v>
      </c>
      <c r="F2998">
        <v>0.19066443137320699</v>
      </c>
      <c r="G2998">
        <v>0.12662637420654299</v>
      </c>
      <c r="H2998">
        <v>6.6323377782908297E-2</v>
      </c>
      <c r="I2998">
        <v>5.2992447970153601E-2</v>
      </c>
      <c r="J2998">
        <v>4.3752231482008103E-2</v>
      </c>
      <c r="K2998">
        <v>3.3226235687703803E-2</v>
      </c>
      <c r="L2998">
        <v>1266.2163753495699</v>
      </c>
      <c r="M2998">
        <v>25.423428400331101</v>
      </c>
      <c r="N2998">
        <v>50.017495580512701</v>
      </c>
      <c r="O2998">
        <v>49.500026846117002</v>
      </c>
      <c r="P2998">
        <v>-0.121832642743421</v>
      </c>
      <c r="Q2998">
        <v>5.1167762582107597E-2</v>
      </c>
      <c r="R2998">
        <v>0.96643092731378999</v>
      </c>
      <c r="S2998" t="s">
        <v>9615</v>
      </c>
      <c r="T2998" t="s">
        <v>13232</v>
      </c>
      <c r="U2998" t="s">
        <v>13232</v>
      </c>
      <c r="V2998" t="s">
        <v>13232</v>
      </c>
      <c r="W2998" t="s">
        <v>16175</v>
      </c>
      <c r="X2998">
        <v>30</v>
      </c>
      <c r="Y2998" t="s">
        <v>22640</v>
      </c>
      <c r="Z2998" t="s">
        <v>29129</v>
      </c>
      <c r="AA2998">
        <v>0.36946252032079357</v>
      </c>
      <c r="AB2998" t="str">
        <f>HYPERLINK("Melting_Curves/meltCurve_Q08752_PPID.pdf", "Melting_Curves/meltCurve_Q08752_PPID.pdf")</f>
        <v>Melting_Curves/meltCurve_Q08752_PPID.pdf</v>
      </c>
    </row>
    <row r="2999" spans="1:28" x14ac:dyDescent="0.25">
      <c r="A2999" t="s">
        <v>3003</v>
      </c>
      <c r="B2999">
        <v>0.99930955844802105</v>
      </c>
      <c r="C2999">
        <v>0.99132998274608797</v>
      </c>
      <c r="D2999">
        <v>0.94677791710347003</v>
      </c>
      <c r="E2999">
        <v>0.89914783026419498</v>
      </c>
      <c r="F2999">
        <v>0.72349390475854403</v>
      </c>
      <c r="G2999">
        <v>0.513997664502025</v>
      </c>
      <c r="H2999">
        <v>0.42730003111802201</v>
      </c>
      <c r="I2999">
        <v>0.39926652753399899</v>
      </c>
      <c r="J2999">
        <v>0.38583440865271001</v>
      </c>
      <c r="K2999">
        <v>0.27907829230525</v>
      </c>
      <c r="L2999">
        <v>890.27794167451304</v>
      </c>
      <c r="M2999">
        <v>16.3654870505713</v>
      </c>
      <c r="N2999">
        <v>57.984442295456802</v>
      </c>
      <c r="O2999">
        <v>53.606924919216198</v>
      </c>
      <c r="P2999">
        <v>-5.2039203305485199E-2</v>
      </c>
      <c r="Q2999">
        <v>0.318208710493947</v>
      </c>
      <c r="R2999">
        <v>0.98994606598217305</v>
      </c>
      <c r="S2999" t="s">
        <v>9616</v>
      </c>
      <c r="T2999" t="s">
        <v>13232</v>
      </c>
      <c r="U2999" t="s">
        <v>13232</v>
      </c>
      <c r="V2999" t="s">
        <v>13232</v>
      </c>
      <c r="W2999" t="s">
        <v>16176</v>
      </c>
      <c r="X2999">
        <v>17</v>
      </c>
      <c r="Y2999" t="s">
        <v>22641</v>
      </c>
      <c r="Z2999" t="s">
        <v>29130</v>
      </c>
      <c r="AA2999">
        <v>0.65773937926164905</v>
      </c>
      <c r="AB2999" t="str">
        <f>HYPERLINK("Melting_Curves/meltCurve_Q08945_SSRP1.pdf", "Melting_Curves/meltCurve_Q08945_SSRP1.pdf")</f>
        <v>Melting_Curves/meltCurve_Q08945_SSRP1.pdf</v>
      </c>
    </row>
    <row r="3000" spans="1:28" x14ac:dyDescent="0.25">
      <c r="A3000" t="s">
        <v>3004</v>
      </c>
      <c r="B3000">
        <v>0.99930955844802105</v>
      </c>
      <c r="C3000">
        <v>1.12895668494741</v>
      </c>
      <c r="D3000">
        <v>1.0456823376437101</v>
      </c>
      <c r="E3000">
        <v>0.99656375100197003</v>
      </c>
      <c r="F3000">
        <v>0.81158683026562095</v>
      </c>
      <c r="G3000">
        <v>0.44803143877602303</v>
      </c>
      <c r="H3000">
        <v>0.19920839793338599</v>
      </c>
      <c r="I3000">
        <v>0.16375102927155599</v>
      </c>
      <c r="J3000">
        <v>0.122559956065835</v>
      </c>
      <c r="K3000">
        <v>0.108474589964267</v>
      </c>
      <c r="L3000">
        <v>1483.6353716792801</v>
      </c>
      <c r="M3000">
        <v>26.558715871973401</v>
      </c>
      <c r="N3000">
        <v>56.425237861861902</v>
      </c>
      <c r="O3000">
        <v>55.548636769908498</v>
      </c>
      <c r="P3000">
        <v>-0.10562243759652</v>
      </c>
      <c r="Q3000">
        <v>0.116354724922224</v>
      </c>
      <c r="R3000">
        <v>0.98746945948988896</v>
      </c>
      <c r="S3000" t="s">
        <v>9617</v>
      </c>
      <c r="T3000" t="s">
        <v>13232</v>
      </c>
      <c r="U3000" t="s">
        <v>13232</v>
      </c>
      <c r="V3000" t="s">
        <v>13232</v>
      </c>
      <c r="W3000" t="s">
        <v>16177</v>
      </c>
      <c r="X3000">
        <v>8</v>
      </c>
      <c r="Y3000" t="s">
        <v>22642</v>
      </c>
      <c r="Z3000" t="s">
        <v>29131</v>
      </c>
      <c r="AA3000">
        <v>0.5909089226434141</v>
      </c>
      <c r="AB3000" t="str">
        <f>HYPERLINK("Melting_Curves/meltCurve_Q08AD1_2_CAMSAP2.pdf", "Melting_Curves/meltCurve_Q08AD1_2_CAMSAP2.pdf")</f>
        <v>Melting_Curves/meltCurve_Q08AD1_2_CAMSAP2.pdf</v>
      </c>
    </row>
    <row r="3001" spans="1:28" x14ac:dyDescent="0.25">
      <c r="A3001" t="s">
        <v>3005</v>
      </c>
      <c r="B3001">
        <v>0.99930955844802105</v>
      </c>
      <c r="C3001">
        <v>1.0132387839154</v>
      </c>
      <c r="D3001">
        <v>0.83062543628211005</v>
      </c>
      <c r="E3001">
        <v>0.50525701163304804</v>
      </c>
      <c r="F3001">
        <v>0.36293677092953502</v>
      </c>
      <c r="G3001">
        <v>0.33349307682458601</v>
      </c>
      <c r="H3001">
        <v>0.295045955552382</v>
      </c>
      <c r="I3001">
        <v>0.30807660687483901</v>
      </c>
      <c r="J3001">
        <v>0.41098185973657497</v>
      </c>
      <c r="K3001">
        <v>0.26963456832209098</v>
      </c>
      <c r="L3001">
        <v>1320.6706568264501</v>
      </c>
      <c r="M3001">
        <v>27.478819070142901</v>
      </c>
      <c r="N3001">
        <v>49.926487071161297</v>
      </c>
      <c r="O3001">
        <v>47.809029355317797</v>
      </c>
      <c r="P3001">
        <v>-9.7585139452578601E-2</v>
      </c>
      <c r="Q3001">
        <v>0.32087216901064403</v>
      </c>
      <c r="R3001">
        <v>0.98310881108352599</v>
      </c>
      <c r="S3001" t="s">
        <v>9618</v>
      </c>
      <c r="T3001" t="s">
        <v>13232</v>
      </c>
      <c r="U3001" t="s">
        <v>13232</v>
      </c>
      <c r="V3001" t="s">
        <v>13232</v>
      </c>
      <c r="W3001" t="s">
        <v>16178</v>
      </c>
      <c r="X3001">
        <v>3</v>
      </c>
      <c r="Y3001" t="s">
        <v>22643</v>
      </c>
      <c r="Z3001" t="s">
        <v>29132</v>
      </c>
      <c r="AA3001">
        <v>0.50827843232553593</v>
      </c>
      <c r="AB3001" t="str">
        <f>HYPERLINK("Melting_Curves/meltCurve_Q08AE8_2_SPIRE1.pdf", "Melting_Curves/meltCurve_Q08AE8_2_SPIRE1.pdf")</f>
        <v>Melting_Curves/meltCurve_Q08AE8_2_SPIRE1.pdf</v>
      </c>
    </row>
    <row r="3002" spans="1:28" x14ac:dyDescent="0.25">
      <c r="A3002" t="s">
        <v>3006</v>
      </c>
      <c r="B3002">
        <v>0.99930955844802105</v>
      </c>
      <c r="C3002">
        <v>1.0167340869339001</v>
      </c>
      <c r="D3002">
        <v>0.975911206077274</v>
      </c>
      <c r="E3002">
        <v>0.89097826684399395</v>
      </c>
      <c r="F3002">
        <v>0.66942396220178002</v>
      </c>
      <c r="G3002">
        <v>0.47615049798284997</v>
      </c>
      <c r="H3002">
        <v>0.29567889995813801</v>
      </c>
      <c r="I3002">
        <v>0.161532510377319</v>
      </c>
      <c r="J3002">
        <v>0.12663138589251</v>
      </c>
      <c r="K3002">
        <v>7.2936238493901004E-2</v>
      </c>
      <c r="L3002">
        <v>796.11165077344401</v>
      </c>
      <c r="M3002">
        <v>14.1427037590675</v>
      </c>
      <c r="N3002">
        <v>56.504516056880298</v>
      </c>
      <c r="O3002">
        <v>55.201723559671301</v>
      </c>
      <c r="P3002">
        <v>-6.2394011135366197E-2</v>
      </c>
      <c r="Q3002">
        <v>2.59798461989116E-2</v>
      </c>
      <c r="R3002">
        <v>0.996245915423696</v>
      </c>
      <c r="S3002" t="s">
        <v>9619</v>
      </c>
      <c r="T3002" t="s">
        <v>13232</v>
      </c>
      <c r="U3002" t="s">
        <v>13232</v>
      </c>
      <c r="V3002" t="s">
        <v>13232</v>
      </c>
      <c r="W3002" t="s">
        <v>16179</v>
      </c>
      <c r="X3002">
        <v>3</v>
      </c>
      <c r="Y3002" t="s">
        <v>22644</v>
      </c>
      <c r="Z3002" t="s">
        <v>29133</v>
      </c>
      <c r="AA3002">
        <v>0.57241310996425898</v>
      </c>
      <c r="AB3002" t="str">
        <f>HYPERLINK("Melting_Curves/meltCurve_Q08AG7_MZT1.pdf", "Melting_Curves/meltCurve_Q08AG7_MZT1.pdf")</f>
        <v>Melting_Curves/meltCurve_Q08AG7_MZT1.pdf</v>
      </c>
    </row>
    <row r="3003" spans="1:28" x14ac:dyDescent="0.25">
      <c r="A3003" t="s">
        <v>3007</v>
      </c>
      <c r="B3003">
        <v>0.99930955844802105</v>
      </c>
      <c r="C3003">
        <v>0.70047116186854697</v>
      </c>
      <c r="D3003">
        <v>0.670157196118773</v>
      </c>
      <c r="E3003">
        <v>0.57752466397712698</v>
      </c>
      <c r="F3003">
        <v>0.40149637316398301</v>
      </c>
      <c r="G3003">
        <v>0.175842589800245</v>
      </c>
      <c r="H3003">
        <v>8.5808387328382404E-2</v>
      </c>
      <c r="I3003">
        <v>6.4627505076077493E-2</v>
      </c>
      <c r="J3003">
        <v>5.1480617961973799E-2</v>
      </c>
      <c r="K3003">
        <v>4.2760975120315299E-2</v>
      </c>
      <c r="L3003">
        <v>503.58754056667601</v>
      </c>
      <c r="M3003">
        <v>10.1243132165212</v>
      </c>
      <c r="N3003">
        <v>49.740416612149303</v>
      </c>
      <c r="O3003">
        <v>47.916844831566699</v>
      </c>
      <c r="P3003">
        <v>-5.2846814069610601E-2</v>
      </c>
      <c r="Q3003">
        <v>0</v>
      </c>
      <c r="R3003">
        <v>0.96166767677841003</v>
      </c>
      <c r="S3003" t="s">
        <v>9620</v>
      </c>
      <c r="T3003" t="s">
        <v>13232</v>
      </c>
      <c r="U3003" t="s">
        <v>13232</v>
      </c>
      <c r="V3003" t="s">
        <v>13232</v>
      </c>
      <c r="W3003" t="s">
        <v>16180</v>
      </c>
      <c r="X3003">
        <v>16</v>
      </c>
      <c r="Y3003" t="s">
        <v>22645</v>
      </c>
      <c r="Z3003" t="s">
        <v>29134</v>
      </c>
      <c r="AA3003">
        <v>0.37004716406965782</v>
      </c>
      <c r="AB3003" t="str">
        <f>HYPERLINK("Melting_Curves/meltCurve_Q08AM6_VAC14.pdf", "Melting_Curves/meltCurve_Q08AM6_VAC14.pdf")</f>
        <v>Melting_Curves/meltCurve_Q08AM6_VAC14.pdf</v>
      </c>
    </row>
    <row r="3004" spans="1:28" x14ac:dyDescent="0.25">
      <c r="A3004" t="s">
        <v>3008</v>
      </c>
      <c r="B3004">
        <v>0.99930955844802105</v>
      </c>
      <c r="C3004">
        <v>0.985664199006001</v>
      </c>
      <c r="D3004">
        <v>0.949300575963691</v>
      </c>
      <c r="E3004">
        <v>0.84221438375508095</v>
      </c>
      <c r="F3004">
        <v>0.59458505140009699</v>
      </c>
      <c r="G3004">
        <v>0.28926305983378903</v>
      </c>
      <c r="H3004">
        <v>0.16088115642230699</v>
      </c>
      <c r="I3004">
        <v>0.14316929020249899</v>
      </c>
      <c r="J3004">
        <v>0.13864357364865201</v>
      </c>
      <c r="K3004">
        <v>0.103350650388364</v>
      </c>
      <c r="L3004">
        <v>1154.8919607268899</v>
      </c>
      <c r="M3004">
        <v>21.622852166099999</v>
      </c>
      <c r="N3004">
        <v>54.044152505771997</v>
      </c>
      <c r="O3004">
        <v>52.960173566645999</v>
      </c>
      <c r="P3004">
        <v>-9.0648045273183403E-2</v>
      </c>
      <c r="Q3004">
        <v>0.11193546128407</v>
      </c>
      <c r="R3004">
        <v>0.99905501609899405</v>
      </c>
      <c r="S3004" t="s">
        <v>9621</v>
      </c>
      <c r="T3004" t="s">
        <v>13232</v>
      </c>
      <c r="U3004" t="s">
        <v>13232</v>
      </c>
      <c r="V3004" t="s">
        <v>13232</v>
      </c>
      <c r="W3004" t="s">
        <v>16181</v>
      </c>
      <c r="X3004">
        <v>53</v>
      </c>
      <c r="Y3004" t="s">
        <v>22646</v>
      </c>
      <c r="Z3004" t="s">
        <v>29135</v>
      </c>
      <c r="AA3004">
        <v>0.51956996266761446</v>
      </c>
      <c r="AB3004" t="str">
        <f>HYPERLINK("Melting_Curves/meltCurve_Q08J23_NSUN2.pdf", "Melting_Curves/meltCurve_Q08J23_NSUN2.pdf")</f>
        <v>Melting_Curves/meltCurve_Q08J23_NSUN2.pdf</v>
      </c>
    </row>
    <row r="3005" spans="1:28" x14ac:dyDescent="0.25">
      <c r="A3005" t="s">
        <v>3009</v>
      </c>
      <c r="B3005">
        <v>0.99930955844802105</v>
      </c>
      <c r="C3005">
        <v>0.99650962855217895</v>
      </c>
      <c r="D3005">
        <v>1.0116977051139999</v>
      </c>
      <c r="E3005">
        <v>0.97128087245342198</v>
      </c>
      <c r="F3005">
        <v>0.85296833126361704</v>
      </c>
      <c r="G3005">
        <v>0.65257832839566698</v>
      </c>
      <c r="H3005">
        <v>0.39574598203928801</v>
      </c>
      <c r="I3005">
        <v>0.21202914983225599</v>
      </c>
      <c r="J3005">
        <v>9.3398130636187099E-2</v>
      </c>
      <c r="K3005">
        <v>7.3575215953576995E-2</v>
      </c>
      <c r="L3005">
        <v>1003.1726802611799</v>
      </c>
      <c r="M3005">
        <v>16.9634561585273</v>
      </c>
      <c r="N3005">
        <v>59.137281859701197</v>
      </c>
      <c r="O3005">
        <v>58.333786529381698</v>
      </c>
      <c r="P3005">
        <v>-7.2704485322579199E-2</v>
      </c>
      <c r="Q3005">
        <v>0</v>
      </c>
      <c r="R3005">
        <v>0.99826330644621597</v>
      </c>
      <c r="S3005" t="s">
        <v>9622</v>
      </c>
      <c r="T3005" t="s">
        <v>13232</v>
      </c>
      <c r="U3005" t="s">
        <v>13232</v>
      </c>
      <c r="V3005" t="s">
        <v>13232</v>
      </c>
      <c r="W3005" t="s">
        <v>16182</v>
      </c>
      <c r="X3005">
        <v>16</v>
      </c>
      <c r="Y3005" t="s">
        <v>22647</v>
      </c>
      <c r="Z3005" t="s">
        <v>29136</v>
      </c>
      <c r="AA3005">
        <v>0.64828709419666197</v>
      </c>
      <c r="AB3005" t="str">
        <f>HYPERLINK("Melting_Curves/meltCurve_Q09028_3_RBBP4.pdf", "Melting_Curves/meltCurve_Q09028_3_RBBP4.pdf")</f>
        <v>Melting_Curves/meltCurve_Q09028_3_RBBP4.pdf</v>
      </c>
    </row>
    <row r="3006" spans="1:28" x14ac:dyDescent="0.25">
      <c r="A3006" t="s">
        <v>3010</v>
      </c>
      <c r="B3006">
        <v>0.99930955844802105</v>
      </c>
      <c r="C3006">
        <v>0.86716231065106497</v>
      </c>
      <c r="D3006">
        <v>0.828646026745123</v>
      </c>
      <c r="E3006">
        <v>0.50556232522011002</v>
      </c>
      <c r="F3006">
        <v>0.24120154496643301</v>
      </c>
      <c r="G3006">
        <v>0.151227684851899</v>
      </c>
      <c r="H3006">
        <v>8.69636164696551E-2</v>
      </c>
      <c r="I3006">
        <v>7.3416303803789107E-2</v>
      </c>
      <c r="J3006">
        <v>6.0888273359723501E-2</v>
      </c>
      <c r="K3006">
        <v>4.8280014212100597E-2</v>
      </c>
      <c r="L3006">
        <v>853.84231134970105</v>
      </c>
      <c r="M3006">
        <v>17.2418506187901</v>
      </c>
      <c r="N3006">
        <v>49.815258744315997</v>
      </c>
      <c r="O3006">
        <v>48.869752501982397</v>
      </c>
      <c r="P3006">
        <v>-8.3944426717268997E-2</v>
      </c>
      <c r="Q3006">
        <v>4.8338184373286401E-2</v>
      </c>
      <c r="R3006">
        <v>0.99362327379193005</v>
      </c>
      <c r="S3006" t="s">
        <v>9623</v>
      </c>
      <c r="T3006" t="s">
        <v>13232</v>
      </c>
      <c r="U3006" t="s">
        <v>13232</v>
      </c>
      <c r="V3006" t="s">
        <v>13232</v>
      </c>
      <c r="W3006" t="s">
        <v>16183</v>
      </c>
      <c r="X3006">
        <v>26</v>
      </c>
      <c r="Y3006" t="s">
        <v>22648</v>
      </c>
      <c r="Z3006" t="s">
        <v>29137</v>
      </c>
      <c r="AA3006">
        <v>0.36813557911579958</v>
      </c>
      <c r="AB3006" t="str">
        <f>HYPERLINK("Melting_Curves/meltCurve_Q09161_NCBP1.pdf", "Melting_Curves/meltCurve_Q09161_NCBP1.pdf")</f>
        <v>Melting_Curves/meltCurve_Q09161_NCBP1.pdf</v>
      </c>
    </row>
    <row r="3007" spans="1:28" x14ac:dyDescent="0.25">
      <c r="A3007" t="s">
        <v>3011</v>
      </c>
      <c r="B3007">
        <v>0.99930955844802105</v>
      </c>
      <c r="C3007">
        <v>1.13718660417347</v>
      </c>
      <c r="D3007">
        <v>1.1078347329951601</v>
      </c>
      <c r="E3007">
        <v>1.02242311426773</v>
      </c>
      <c r="F3007">
        <v>0.628753667800663</v>
      </c>
      <c r="G3007">
        <v>0.27938016304337099</v>
      </c>
      <c r="H3007">
        <v>0.20369791747278301</v>
      </c>
      <c r="I3007">
        <v>0.18251404482063999</v>
      </c>
      <c r="J3007">
        <v>0.17882784735674701</v>
      </c>
      <c r="K3007">
        <v>0.1369893555335</v>
      </c>
      <c r="L3007">
        <v>2355.84189614654</v>
      </c>
      <c r="M3007">
        <v>44.154669028699203</v>
      </c>
      <c r="N3007">
        <v>53.9163958220756</v>
      </c>
      <c r="O3007">
        <v>53.245219262277701</v>
      </c>
      <c r="P3007">
        <v>-0.16907625386998501</v>
      </c>
      <c r="Q3007">
        <v>0.18445867265266899</v>
      </c>
      <c r="R3007">
        <v>0.97658631712395305</v>
      </c>
      <c r="S3007" t="s">
        <v>9624</v>
      </c>
      <c r="T3007" t="s">
        <v>13232</v>
      </c>
      <c r="U3007" t="s">
        <v>13232</v>
      </c>
      <c r="V3007" t="s">
        <v>13232</v>
      </c>
      <c r="W3007" t="s">
        <v>16184</v>
      </c>
      <c r="X3007">
        <v>35</v>
      </c>
      <c r="Y3007" t="s">
        <v>22649</v>
      </c>
      <c r="Z3007" t="s">
        <v>29138</v>
      </c>
      <c r="AA3007">
        <v>0.54995518900716411</v>
      </c>
      <c r="AB3007" t="str">
        <f>HYPERLINK("Melting_Curves/meltCurve_Q09472_EP300.pdf", "Melting_Curves/meltCurve_Q09472_EP300.pdf")</f>
        <v>Melting_Curves/meltCurve_Q09472_EP300.pdf</v>
      </c>
    </row>
    <row r="3008" spans="1:28" x14ac:dyDescent="0.25">
      <c r="A3008" t="s">
        <v>3012</v>
      </c>
      <c r="B3008">
        <v>0.99930955844802105</v>
      </c>
      <c r="C3008">
        <v>1.07235905892919</v>
      </c>
      <c r="D3008">
        <v>1.08042170352786</v>
      </c>
      <c r="E3008">
        <v>1.0303438192602501</v>
      </c>
      <c r="F3008">
        <v>0.89657020193819403</v>
      </c>
      <c r="G3008">
        <v>0.77033841991424101</v>
      </c>
      <c r="H3008">
        <v>0.756552641351255</v>
      </c>
      <c r="I3008">
        <v>0.76820509309434803</v>
      </c>
      <c r="J3008">
        <v>0.74407508115958199</v>
      </c>
      <c r="K3008">
        <v>0.61508545254381197</v>
      </c>
      <c r="L3008">
        <v>1757.58441459605</v>
      </c>
      <c r="M3008">
        <v>32.310447214868702</v>
      </c>
      <c r="O3008">
        <v>54.189682801824802</v>
      </c>
      <c r="P3008">
        <v>-4.2154087946363598E-2</v>
      </c>
      <c r="Q3008">
        <v>0.71720533578889101</v>
      </c>
      <c r="R3008">
        <v>0.88109507474291004</v>
      </c>
      <c r="S3008" t="s">
        <v>9625</v>
      </c>
      <c r="T3008" t="s">
        <v>13232</v>
      </c>
      <c r="U3008" t="s">
        <v>13232</v>
      </c>
      <c r="V3008" t="s">
        <v>13232</v>
      </c>
      <c r="W3008" t="s">
        <v>16185</v>
      </c>
      <c r="X3008">
        <v>287</v>
      </c>
      <c r="Y3008" t="s">
        <v>22650</v>
      </c>
      <c r="Z3008" t="s">
        <v>29139</v>
      </c>
      <c r="AA3008">
        <v>0.85453314562881866</v>
      </c>
      <c r="AB3008" t="str">
        <f>HYPERLINK("Melting_Curves/meltCurve_Q09666_AHNAK.pdf", "Melting_Curves/meltCurve_Q09666_AHNAK.pdf")</f>
        <v>Melting_Curves/meltCurve_Q09666_AHNAK.pdf</v>
      </c>
    </row>
    <row r="3009" spans="1:28" x14ac:dyDescent="0.25">
      <c r="A3009" t="s">
        <v>3013</v>
      </c>
      <c r="B3009">
        <v>0.99930955844802105</v>
      </c>
      <c r="C3009">
        <v>0.97894978359423701</v>
      </c>
      <c r="D3009">
        <v>0.98190171587964503</v>
      </c>
      <c r="E3009">
        <v>0.83127806829634598</v>
      </c>
      <c r="F3009">
        <v>0.485313863625916</v>
      </c>
      <c r="G3009">
        <v>0.29684746151741098</v>
      </c>
      <c r="H3009">
        <v>0.16547697005127199</v>
      </c>
      <c r="I3009">
        <v>0.153956916161468</v>
      </c>
      <c r="J3009">
        <v>0.14356384944793299</v>
      </c>
      <c r="K3009">
        <v>0.11231609869675301</v>
      </c>
      <c r="L3009">
        <v>1242.0718605960701</v>
      </c>
      <c r="M3009">
        <v>23.626214125562999</v>
      </c>
      <c r="N3009">
        <v>53.287339422828197</v>
      </c>
      <c r="O3009">
        <v>52.199482280245903</v>
      </c>
      <c r="P3009">
        <v>-9.7774037026616606E-2</v>
      </c>
      <c r="Q3009">
        <v>0.13593127123725299</v>
      </c>
      <c r="R3009">
        <v>0.99602397395935405</v>
      </c>
      <c r="S3009" t="s">
        <v>9626</v>
      </c>
      <c r="T3009" t="s">
        <v>13232</v>
      </c>
      <c r="U3009" t="s">
        <v>13232</v>
      </c>
      <c r="V3009" t="s">
        <v>13232</v>
      </c>
      <c r="W3009" t="s">
        <v>16186</v>
      </c>
      <c r="X3009">
        <v>9</v>
      </c>
      <c r="Y3009" t="s">
        <v>22651</v>
      </c>
      <c r="Z3009" t="s">
        <v>29140</v>
      </c>
      <c r="AA3009">
        <v>0.50684673192285468</v>
      </c>
      <c r="AB3009" t="str">
        <f>HYPERLINK("Melting_Curves/meltCurve_Q0JRZ9_FCHO2.pdf", "Melting_Curves/meltCurve_Q0JRZ9_FCHO2.pdf")</f>
        <v>Melting_Curves/meltCurve_Q0JRZ9_FCHO2.pdf</v>
      </c>
    </row>
    <row r="3010" spans="1:28" x14ac:dyDescent="0.25">
      <c r="A3010" t="s">
        <v>3014</v>
      </c>
      <c r="B3010">
        <v>0.99930955844802105</v>
      </c>
      <c r="C3010">
        <v>0.92305615886314596</v>
      </c>
      <c r="D3010">
        <v>0.95607628511558396</v>
      </c>
      <c r="E3010">
        <v>1.00120121326213</v>
      </c>
      <c r="F3010">
        <v>0.991278287060958</v>
      </c>
      <c r="G3010">
        <v>0.72917230758548401</v>
      </c>
      <c r="H3010">
        <v>0.42499895050685899</v>
      </c>
      <c r="I3010">
        <v>0.35899003300363302</v>
      </c>
      <c r="J3010">
        <v>0.301486151840473</v>
      </c>
      <c r="K3010">
        <v>0.19813081029912899</v>
      </c>
      <c r="L3010">
        <v>1460.09793460587</v>
      </c>
      <c r="M3010">
        <v>24.928960303690602</v>
      </c>
      <c r="N3010">
        <v>60.121580565863297</v>
      </c>
      <c r="O3010">
        <v>58.197376561910303</v>
      </c>
      <c r="P3010">
        <v>-8.1688328329190305E-2</v>
      </c>
      <c r="Q3010">
        <v>0.23719562127254001</v>
      </c>
      <c r="R3010">
        <v>0.98406758434862895</v>
      </c>
      <c r="S3010" t="s">
        <v>9627</v>
      </c>
      <c r="T3010" t="s">
        <v>13232</v>
      </c>
      <c r="U3010" t="s">
        <v>13232</v>
      </c>
      <c r="V3010" t="s">
        <v>13232</v>
      </c>
      <c r="W3010" t="s">
        <v>16187</v>
      </c>
      <c r="X3010">
        <v>13</v>
      </c>
      <c r="Y3010" t="s">
        <v>22652</v>
      </c>
      <c r="Z3010" t="s">
        <v>29141</v>
      </c>
      <c r="AA3010">
        <v>0.71584097880834507</v>
      </c>
      <c r="AB3010" t="str">
        <f>HYPERLINK("Melting_Curves/meltCurve_Q0PNE2_ELP6.pdf", "Melting_Curves/meltCurve_Q0PNE2_ELP6.pdf")</f>
        <v>Melting_Curves/meltCurve_Q0PNE2_ELP6.pdf</v>
      </c>
    </row>
    <row r="3011" spans="1:28" x14ac:dyDescent="0.25">
      <c r="A3011" t="s">
        <v>3015</v>
      </c>
      <c r="B3011">
        <v>0.99930955844802105</v>
      </c>
      <c r="C3011">
        <v>1.00994628278231</v>
      </c>
      <c r="D3011">
        <v>0.97692735825620902</v>
      </c>
      <c r="E3011">
        <v>0.89828530499833203</v>
      </c>
      <c r="F3011">
        <v>0.79790066575949103</v>
      </c>
      <c r="G3011">
        <v>0.67969491254610004</v>
      </c>
      <c r="H3011">
        <v>0.67886914969550105</v>
      </c>
      <c r="I3011">
        <v>0.73727913355503505</v>
      </c>
      <c r="J3011">
        <v>0.76466272072872299</v>
      </c>
      <c r="K3011">
        <v>0.599448033093128</v>
      </c>
      <c r="L3011">
        <v>1400.9615509119001</v>
      </c>
      <c r="M3011">
        <v>27.240455147535702</v>
      </c>
      <c r="O3011">
        <v>51.154704264717097</v>
      </c>
      <c r="P3011">
        <v>-4.14683918050835E-2</v>
      </c>
      <c r="Q3011">
        <v>0.68851004249756598</v>
      </c>
      <c r="R3011">
        <v>0.91176158807603702</v>
      </c>
      <c r="S3011" t="s">
        <v>9628</v>
      </c>
      <c r="T3011" t="s">
        <v>13232</v>
      </c>
      <c r="U3011" t="s">
        <v>13232</v>
      </c>
      <c r="V3011" t="s">
        <v>13232</v>
      </c>
      <c r="W3011" t="s">
        <v>16188</v>
      </c>
      <c r="X3011">
        <v>21</v>
      </c>
      <c r="Y3011" t="s">
        <v>22653</v>
      </c>
      <c r="Z3011" t="s">
        <v>29142</v>
      </c>
      <c r="AA3011">
        <v>0.80957069692328765</v>
      </c>
      <c r="AB3011" t="str">
        <f>HYPERLINK("Melting_Curves/meltCurve_Q0VD83_APOBR.pdf", "Melting_Curves/meltCurve_Q0VD83_APOBR.pdf")</f>
        <v>Melting_Curves/meltCurve_Q0VD83_APOBR.pdf</v>
      </c>
    </row>
    <row r="3012" spans="1:28" x14ac:dyDescent="0.25">
      <c r="A3012" t="s">
        <v>3016</v>
      </c>
      <c r="B3012">
        <v>0.99930955844802105</v>
      </c>
      <c r="C3012">
        <v>0.77296569402860804</v>
      </c>
      <c r="D3012">
        <v>0.403993837886095</v>
      </c>
      <c r="E3012">
        <v>0.29720404240565002</v>
      </c>
      <c r="F3012">
        <v>0.18274452854084999</v>
      </c>
      <c r="G3012">
        <v>0.11537281552407599</v>
      </c>
      <c r="H3012">
        <v>6.1279209485692702E-2</v>
      </c>
      <c r="I3012">
        <v>4.9115766814291799E-2</v>
      </c>
      <c r="J3012">
        <v>4.36280464568225E-2</v>
      </c>
      <c r="K3012">
        <v>3.0944085343099899E-2</v>
      </c>
      <c r="L3012">
        <v>758.30788661355405</v>
      </c>
      <c r="M3012">
        <v>16.622284059884901</v>
      </c>
      <c r="N3012">
        <v>45.956730246567801</v>
      </c>
      <c r="O3012">
        <v>44.975025455835301</v>
      </c>
      <c r="P3012">
        <v>-8.7104998725174507E-2</v>
      </c>
      <c r="Q3012">
        <v>5.7341391910295102E-2</v>
      </c>
      <c r="R3012">
        <v>0.97741195619548005</v>
      </c>
      <c r="S3012" t="s">
        <v>9629</v>
      </c>
      <c r="T3012" t="s">
        <v>13232</v>
      </c>
      <c r="U3012" t="s">
        <v>13232</v>
      </c>
      <c r="V3012" t="s">
        <v>13232</v>
      </c>
      <c r="W3012" t="s">
        <v>16189</v>
      </c>
      <c r="X3012">
        <v>21</v>
      </c>
      <c r="Y3012" t="s">
        <v>22654</v>
      </c>
      <c r="Z3012" t="s">
        <v>29143</v>
      </c>
      <c r="AA3012">
        <v>0.25674039456785092</v>
      </c>
      <c r="AB3012" t="str">
        <f>HYPERLINK("Melting_Curves/meltCurve_Q0VDF9_HSPA14.pdf", "Melting_Curves/meltCurve_Q0VDF9_HSPA14.pdf")</f>
        <v>Melting_Curves/meltCurve_Q0VDF9_HSPA14.pdf</v>
      </c>
    </row>
    <row r="3013" spans="1:28" x14ac:dyDescent="0.25">
      <c r="A3013" t="s">
        <v>3017</v>
      </c>
      <c r="B3013">
        <v>0.99930955844802105</v>
      </c>
      <c r="C3013">
        <v>0.98137584680826395</v>
      </c>
      <c r="D3013">
        <v>0.94718352874039002</v>
      </c>
      <c r="E3013">
        <v>0.98180377006060804</v>
      </c>
      <c r="F3013">
        <v>0.78710254444147199</v>
      </c>
      <c r="G3013">
        <v>0.38912999639982698</v>
      </c>
      <c r="H3013">
        <v>0.16034136683147901</v>
      </c>
      <c r="I3013">
        <v>8.7582982629902106E-2</v>
      </c>
      <c r="J3013">
        <v>6.9448597641660198E-2</v>
      </c>
      <c r="K3013">
        <v>5.0003975828620199E-2</v>
      </c>
      <c r="L3013">
        <v>1409.31652803776</v>
      </c>
      <c r="M3013">
        <v>25.304771215797999</v>
      </c>
      <c r="N3013">
        <v>55.946713094729603</v>
      </c>
      <c r="O3013">
        <v>55.349405478338198</v>
      </c>
      <c r="P3013">
        <v>-0.108117637495263</v>
      </c>
      <c r="Q3013">
        <v>5.4064926188706598E-2</v>
      </c>
      <c r="R3013">
        <v>0.99758678150330204</v>
      </c>
      <c r="S3013" t="s">
        <v>9630</v>
      </c>
      <c r="T3013" t="s">
        <v>13232</v>
      </c>
      <c r="U3013" t="s">
        <v>13232</v>
      </c>
      <c r="V3013" t="s">
        <v>13232</v>
      </c>
      <c r="W3013" t="s">
        <v>16190</v>
      </c>
      <c r="X3013">
        <v>13</v>
      </c>
      <c r="Y3013" t="s">
        <v>22655</v>
      </c>
      <c r="Z3013" t="s">
        <v>29144</v>
      </c>
      <c r="AA3013">
        <v>0.55744124237629289</v>
      </c>
      <c r="AB3013" t="str">
        <f>HYPERLINK("Melting_Curves/meltCurve_Q0VDG4_SCRN3.pdf", "Melting_Curves/meltCurve_Q0VDG4_SCRN3.pdf")</f>
        <v>Melting_Curves/meltCurve_Q0VDG4_SCRN3.pdf</v>
      </c>
    </row>
    <row r="3014" spans="1:28" x14ac:dyDescent="0.25">
      <c r="A3014" t="s">
        <v>3018</v>
      </c>
      <c r="B3014">
        <v>0.99930955844802105</v>
      </c>
      <c r="C3014">
        <v>1.0608224707477001</v>
      </c>
      <c r="D3014">
        <v>1.02803124418773</v>
      </c>
      <c r="E3014">
        <v>0.88445110753880196</v>
      </c>
      <c r="F3014">
        <v>0.65815377827489696</v>
      </c>
      <c r="G3014">
        <v>0.37820631897247797</v>
      </c>
      <c r="H3014">
        <v>0.20567250756831201</v>
      </c>
      <c r="I3014">
        <v>0.16044313255022799</v>
      </c>
      <c r="J3014">
        <v>0.12201977516821</v>
      </c>
      <c r="K3014">
        <v>7.4304951803666405E-2</v>
      </c>
      <c r="L3014">
        <v>1077.4041756218801</v>
      </c>
      <c r="M3014">
        <v>19.711780453153899</v>
      </c>
      <c r="N3014">
        <v>55.234508125155998</v>
      </c>
      <c r="O3014">
        <v>54.104645934013497</v>
      </c>
      <c r="P3014">
        <v>-8.2614568192115698E-2</v>
      </c>
      <c r="Q3014">
        <v>9.2993169407080106E-2</v>
      </c>
      <c r="R3014">
        <v>0.99423228623374704</v>
      </c>
      <c r="S3014" t="s">
        <v>9631</v>
      </c>
      <c r="T3014" t="s">
        <v>13232</v>
      </c>
      <c r="U3014" t="s">
        <v>13232</v>
      </c>
      <c r="V3014" t="s">
        <v>13232</v>
      </c>
      <c r="W3014" t="s">
        <v>16191</v>
      </c>
      <c r="X3014">
        <v>6</v>
      </c>
      <c r="Y3014" t="s">
        <v>22656</v>
      </c>
      <c r="Z3014" t="s">
        <v>29145</v>
      </c>
      <c r="AA3014">
        <v>0.54860263078076676</v>
      </c>
      <c r="AB3014" t="str">
        <f>HYPERLINK("Melting_Curves/meltCurve_Q0VG06_FAAP100.pdf", "Melting_Curves/meltCurve_Q0VG06_FAAP100.pdf")</f>
        <v>Melting_Curves/meltCurve_Q0VG06_FAAP100.pdf</v>
      </c>
    </row>
    <row r="3015" spans="1:28" x14ac:dyDescent="0.25">
      <c r="A3015" t="s">
        <v>3019</v>
      </c>
      <c r="B3015">
        <v>0.99930955844802105</v>
      </c>
      <c r="C3015">
        <v>1.1773170772727399</v>
      </c>
      <c r="D3015">
        <v>1.16474739279619</v>
      </c>
      <c r="E3015">
        <v>1.08781292604475</v>
      </c>
      <c r="F3015">
        <v>1.1174804279561601</v>
      </c>
      <c r="G3015">
        <v>0.84755620571644497</v>
      </c>
      <c r="H3015">
        <v>0.47709425623689999</v>
      </c>
      <c r="I3015">
        <v>0.18899805973480399</v>
      </c>
      <c r="J3015">
        <v>8.6289805741010001E-2</v>
      </c>
      <c r="K3015">
        <v>6.8132505169684596E-2</v>
      </c>
      <c r="L3015">
        <v>1928.64911104312</v>
      </c>
      <c r="M3015">
        <v>31.873728255104901</v>
      </c>
      <c r="N3015">
        <v>60.713223445365699</v>
      </c>
      <c r="O3015">
        <v>60.272367840343101</v>
      </c>
      <c r="P3015">
        <v>-0.125488777036944</v>
      </c>
      <c r="Q3015">
        <v>5.0821221947572298E-2</v>
      </c>
      <c r="R3015">
        <v>0.95702506041018598</v>
      </c>
      <c r="S3015" t="s">
        <v>9632</v>
      </c>
      <c r="T3015" t="s">
        <v>13232</v>
      </c>
      <c r="U3015" t="s">
        <v>13232</v>
      </c>
      <c r="V3015" t="s">
        <v>13232</v>
      </c>
      <c r="W3015" t="s">
        <v>16192</v>
      </c>
      <c r="X3015">
        <v>2</v>
      </c>
      <c r="Y3015" t="s">
        <v>22657</v>
      </c>
      <c r="Z3015" t="s">
        <v>29146</v>
      </c>
      <c r="AA3015">
        <v>0.70485223957012277</v>
      </c>
      <c r="AB3015" t="str">
        <f>HYPERLINK("Melting_Curves/meltCurve_Q0VGL1_LAMTOR4.pdf", "Melting_Curves/meltCurve_Q0VGL1_LAMTOR4.pdf")</f>
        <v>Melting_Curves/meltCurve_Q0VGL1_LAMTOR4.pdf</v>
      </c>
    </row>
    <row r="3016" spans="1:28" x14ac:dyDescent="0.25">
      <c r="A3016" t="s">
        <v>3020</v>
      </c>
      <c r="B3016">
        <v>0.99930955844802105</v>
      </c>
      <c r="C3016">
        <v>0.77768531649060002</v>
      </c>
      <c r="D3016">
        <v>0.61951323163194605</v>
      </c>
      <c r="E3016">
        <v>0.77449331018595202</v>
      </c>
      <c r="F3016">
        <v>0.25129931986362303</v>
      </c>
      <c r="G3016">
        <v>8.8546117323383494E-2</v>
      </c>
      <c r="H3016">
        <v>3.0414111954696999E-2</v>
      </c>
      <c r="I3016">
        <v>2.5421725167147701E-2</v>
      </c>
      <c r="J3016">
        <v>2.0407118932418901E-2</v>
      </c>
      <c r="K3016">
        <v>1.62347990474207E-2</v>
      </c>
      <c r="L3016">
        <v>647.22075342932703</v>
      </c>
      <c r="M3016">
        <v>12.947408479723199</v>
      </c>
      <c r="N3016">
        <v>49.988439894040702</v>
      </c>
      <c r="O3016">
        <v>48.8410141143302</v>
      </c>
      <c r="P3016">
        <v>-6.6285131395479896E-2</v>
      </c>
      <c r="Q3016">
        <v>0</v>
      </c>
      <c r="R3016">
        <v>0.90797346299509796</v>
      </c>
      <c r="S3016" t="s">
        <v>9633</v>
      </c>
      <c r="T3016" t="s">
        <v>13232</v>
      </c>
      <c r="U3016" t="s">
        <v>13232</v>
      </c>
      <c r="V3016" t="s">
        <v>13232</v>
      </c>
      <c r="W3016" t="s">
        <v>16193</v>
      </c>
      <c r="X3016">
        <v>2</v>
      </c>
      <c r="Y3016" t="s">
        <v>22658</v>
      </c>
      <c r="Z3016" t="s">
        <v>29147</v>
      </c>
      <c r="AA3016">
        <v>0.36361913484026048</v>
      </c>
      <c r="AB3016" t="str">
        <f>HYPERLINK("Melting_Curves/meltCurve_Q10469_MGAT2.pdf", "Melting_Curves/meltCurve_Q10469_MGAT2.pdf")</f>
        <v>Melting_Curves/meltCurve_Q10469_MGAT2.pdf</v>
      </c>
    </row>
    <row r="3017" spans="1:28" x14ac:dyDescent="0.25">
      <c r="A3017" t="s">
        <v>3021</v>
      </c>
      <c r="B3017">
        <v>0.99930955844802105</v>
      </c>
      <c r="C3017">
        <v>0.94024631641126299</v>
      </c>
      <c r="D3017">
        <v>0.94829025085323304</v>
      </c>
      <c r="E3017">
        <v>0.86639496416960504</v>
      </c>
      <c r="F3017">
        <v>0.63921304240857402</v>
      </c>
      <c r="G3017">
        <v>0.450460287716273</v>
      </c>
      <c r="H3017">
        <v>0.18781267076939701</v>
      </c>
      <c r="I3017">
        <v>9.1799238856837301E-2</v>
      </c>
      <c r="J3017">
        <v>6.4215173558767602E-2</v>
      </c>
      <c r="K3017">
        <v>4.9773175327748297E-2</v>
      </c>
      <c r="L3017">
        <v>845.52586189219699</v>
      </c>
      <c r="M3017">
        <v>15.2225211003926</v>
      </c>
      <c r="N3017">
        <v>55.544403997245098</v>
      </c>
      <c r="O3017">
        <v>54.612313588982602</v>
      </c>
      <c r="P3017">
        <v>-6.9691126019212096E-2</v>
      </c>
      <c r="Q3017">
        <v>0</v>
      </c>
      <c r="R3017">
        <v>0.99485186470089904</v>
      </c>
      <c r="S3017" t="s">
        <v>9634</v>
      </c>
      <c r="T3017" t="s">
        <v>13232</v>
      </c>
      <c r="U3017" t="s">
        <v>13232</v>
      </c>
      <c r="V3017" t="s">
        <v>13232</v>
      </c>
      <c r="W3017" t="s">
        <v>16194</v>
      </c>
      <c r="X3017">
        <v>52</v>
      </c>
      <c r="Y3017" t="s">
        <v>22659</v>
      </c>
      <c r="Z3017" t="s">
        <v>29148</v>
      </c>
      <c r="AA3017">
        <v>0.53637252382125333</v>
      </c>
      <c r="AB3017" t="str">
        <f>HYPERLINK("Melting_Curves/meltCurve_Q10567_2_AP1B1.pdf", "Melting_Curves/meltCurve_Q10567_2_AP1B1.pdf")</f>
        <v>Melting_Curves/meltCurve_Q10567_2_AP1B1.pdf</v>
      </c>
    </row>
    <row r="3018" spans="1:28" x14ac:dyDescent="0.25">
      <c r="A3018" t="s">
        <v>3022</v>
      </c>
      <c r="B3018">
        <v>0.99930955844802105</v>
      </c>
      <c r="C3018">
        <v>0.99277445189372604</v>
      </c>
      <c r="D3018">
        <v>1.09976157943742</v>
      </c>
      <c r="E3018">
        <v>1.00175371702634</v>
      </c>
      <c r="F3018">
        <v>0.73830400116015904</v>
      </c>
      <c r="G3018">
        <v>0.49108312269433202</v>
      </c>
      <c r="H3018">
        <v>0.138059743647584</v>
      </c>
      <c r="I3018">
        <v>3.1505730215949899E-2</v>
      </c>
      <c r="J3018">
        <v>1.3829996391975701E-2</v>
      </c>
      <c r="K3018">
        <v>1.2377782161653E-2</v>
      </c>
      <c r="L3018">
        <v>1288.5132837441099</v>
      </c>
      <c r="M3018">
        <v>22.8405534941765</v>
      </c>
      <c r="N3018">
        <v>56.413400067483302</v>
      </c>
      <c r="O3018">
        <v>55.986304724770903</v>
      </c>
      <c r="P3018">
        <v>-0.101993662070269</v>
      </c>
      <c r="Q3018">
        <v>0</v>
      </c>
      <c r="R3018">
        <v>0.98810380738386105</v>
      </c>
      <c r="S3018" t="s">
        <v>9635</v>
      </c>
      <c r="T3018" t="s">
        <v>13232</v>
      </c>
      <c r="U3018" t="s">
        <v>13232</v>
      </c>
      <c r="V3018" t="s">
        <v>13232</v>
      </c>
      <c r="W3018" t="s">
        <v>16195</v>
      </c>
      <c r="X3018">
        <v>52</v>
      </c>
      <c r="Y3018" t="s">
        <v>22659</v>
      </c>
      <c r="Z3018" t="s">
        <v>29149</v>
      </c>
      <c r="AA3018">
        <v>0.55761594866014474</v>
      </c>
      <c r="AB3018" t="str">
        <f>HYPERLINK("Melting_Curves/meltCurve_Q10567_3_AP1B1.pdf", "Melting_Curves/meltCurve_Q10567_3_AP1B1.pdf")</f>
        <v>Melting_Curves/meltCurve_Q10567_3_AP1B1.pdf</v>
      </c>
    </row>
    <row r="3019" spans="1:28" x14ac:dyDescent="0.25">
      <c r="A3019" t="s">
        <v>3023</v>
      </c>
      <c r="B3019">
        <v>0.99930955844802105</v>
      </c>
      <c r="C3019">
        <v>0.78189864485135896</v>
      </c>
      <c r="D3019">
        <v>0.85375872949160703</v>
      </c>
      <c r="E3019">
        <v>0.58495499056061795</v>
      </c>
      <c r="F3019">
        <v>0.27293566296938199</v>
      </c>
      <c r="G3019">
        <v>0.18488101975905799</v>
      </c>
      <c r="H3019">
        <v>0.11892064761160701</v>
      </c>
      <c r="I3019">
        <v>0.106054526028484</v>
      </c>
      <c r="J3019">
        <v>0.10078888810789</v>
      </c>
      <c r="K3019">
        <v>7.46740527124546E-2</v>
      </c>
      <c r="L3019">
        <v>745.87819973490798</v>
      </c>
      <c r="M3019">
        <v>14.936897153273</v>
      </c>
      <c r="N3019">
        <v>50.391036903303998</v>
      </c>
      <c r="O3019">
        <v>49.0659129025453</v>
      </c>
      <c r="P3019">
        <v>-7.1305002129386702E-2</v>
      </c>
      <c r="Q3019">
        <v>6.3183164675005399E-2</v>
      </c>
      <c r="R3019">
        <v>0.971859813119898</v>
      </c>
      <c r="S3019" t="s">
        <v>9636</v>
      </c>
      <c r="T3019" t="s">
        <v>13232</v>
      </c>
      <c r="U3019" t="s">
        <v>13232</v>
      </c>
      <c r="V3019" t="s">
        <v>13232</v>
      </c>
      <c r="W3019" t="s">
        <v>16196</v>
      </c>
      <c r="X3019">
        <v>46</v>
      </c>
      <c r="Y3019" t="s">
        <v>22660</v>
      </c>
      <c r="Z3019" t="s">
        <v>29150</v>
      </c>
      <c r="AA3019">
        <v>0.39598928497980163</v>
      </c>
      <c r="AB3019" t="str">
        <f>HYPERLINK("Melting_Curves/meltCurve_Q10570_CPSF1.pdf", "Melting_Curves/meltCurve_Q10570_CPSF1.pdf")</f>
        <v>Melting_Curves/meltCurve_Q10570_CPSF1.pdf</v>
      </c>
    </row>
    <row r="3020" spans="1:28" x14ac:dyDescent="0.25">
      <c r="A3020" t="s">
        <v>3024</v>
      </c>
      <c r="B3020">
        <v>0.99930955844802105</v>
      </c>
      <c r="C3020">
        <v>0.99534372413703398</v>
      </c>
      <c r="D3020">
        <v>0.87099203747051301</v>
      </c>
      <c r="E3020">
        <v>0.40224652025401098</v>
      </c>
      <c r="F3020">
        <v>0.19417855506861201</v>
      </c>
      <c r="G3020">
        <v>0.132800652211568</v>
      </c>
      <c r="H3020">
        <v>8.2869499607380298E-2</v>
      </c>
      <c r="I3020">
        <v>6.6599964736639899E-2</v>
      </c>
      <c r="J3020">
        <v>5.6003429909783901E-2</v>
      </c>
      <c r="K3020">
        <v>4.29405175442951E-2</v>
      </c>
      <c r="L3020">
        <v>1290.3450731784801</v>
      </c>
      <c r="M3020">
        <v>26.318259706322301</v>
      </c>
      <c r="N3020">
        <v>49.311089553730099</v>
      </c>
      <c r="O3020">
        <v>48.748070302859098</v>
      </c>
      <c r="P3020">
        <v>-0.125524567780644</v>
      </c>
      <c r="Q3020">
        <v>6.9997267320971196E-2</v>
      </c>
      <c r="R3020">
        <v>0.99772516823327995</v>
      </c>
      <c r="S3020" t="s">
        <v>9637</v>
      </c>
      <c r="T3020" t="s">
        <v>13232</v>
      </c>
      <c r="U3020" t="s">
        <v>13232</v>
      </c>
      <c r="V3020" t="s">
        <v>13232</v>
      </c>
      <c r="W3020" t="s">
        <v>16197</v>
      </c>
      <c r="X3020">
        <v>18</v>
      </c>
      <c r="Y3020" t="s">
        <v>22661</v>
      </c>
      <c r="Z3020" t="s">
        <v>29151</v>
      </c>
      <c r="AA3020">
        <v>0.35729713379786082</v>
      </c>
      <c r="AB3020" t="str">
        <f>HYPERLINK("Melting_Curves/meltCurve_Q10713_PMPCA.pdf", "Melting_Curves/meltCurve_Q10713_PMPCA.pdf")</f>
        <v>Melting_Curves/meltCurve_Q10713_PMPCA.pdf</v>
      </c>
    </row>
    <row r="3021" spans="1:28" x14ac:dyDescent="0.25">
      <c r="A3021" t="s">
        <v>3025</v>
      </c>
      <c r="B3021">
        <v>0.99930955844802105</v>
      </c>
      <c r="C3021">
        <v>0.85389085983132296</v>
      </c>
      <c r="D3021">
        <v>0.69991538397389697</v>
      </c>
      <c r="E3021">
        <v>0.47241942262289299</v>
      </c>
      <c r="F3021">
        <v>0.23845651500901399</v>
      </c>
      <c r="G3021">
        <v>0.164626373792016</v>
      </c>
      <c r="H3021">
        <v>0.101464418394723</v>
      </c>
      <c r="I3021">
        <v>9.7593076378464205E-2</v>
      </c>
      <c r="J3021">
        <v>8.5789993338514101E-2</v>
      </c>
      <c r="K3021">
        <v>5.6199329103424601E-2</v>
      </c>
      <c r="L3021">
        <v>702.356890406042</v>
      </c>
      <c r="M3021">
        <v>14.4564024755598</v>
      </c>
      <c r="N3021">
        <v>49.004128045131601</v>
      </c>
      <c r="O3021">
        <v>47.683190886451897</v>
      </c>
      <c r="P3021">
        <v>-7.1389618178614306E-2</v>
      </c>
      <c r="Q3021">
        <v>5.8219894929876899E-2</v>
      </c>
      <c r="R3021">
        <v>0.99502642997095603</v>
      </c>
      <c r="S3021" t="s">
        <v>9638</v>
      </c>
      <c r="T3021" t="s">
        <v>13232</v>
      </c>
      <c r="U3021" t="s">
        <v>13232</v>
      </c>
      <c r="V3021" t="s">
        <v>13232</v>
      </c>
      <c r="W3021" t="s">
        <v>16198</v>
      </c>
      <c r="X3021">
        <v>6</v>
      </c>
      <c r="Y3021" t="s">
        <v>22662</v>
      </c>
      <c r="Z3021" t="s">
        <v>29152</v>
      </c>
      <c r="AA3021">
        <v>0.35305711189630579</v>
      </c>
      <c r="AB3021" t="str">
        <f>HYPERLINK("Melting_Curves/meltCurve_Q12756_KIF1A.pdf", "Melting_Curves/meltCurve_Q12756_KIF1A.pdf")</f>
        <v>Melting_Curves/meltCurve_Q12756_KIF1A.pdf</v>
      </c>
    </row>
    <row r="3022" spans="1:28" x14ac:dyDescent="0.25">
      <c r="A3022" t="s">
        <v>3026</v>
      </c>
      <c r="B3022">
        <v>0.99930955844802105</v>
      </c>
      <c r="C3022">
        <v>1.0860422299725601</v>
      </c>
      <c r="D3022">
        <v>0.98331810598440395</v>
      </c>
      <c r="E3022">
        <v>0.70544102995162805</v>
      </c>
      <c r="F3022">
        <v>0.57776274957904705</v>
      </c>
      <c r="G3022">
        <v>0.46093811566557702</v>
      </c>
      <c r="H3022">
        <v>0.45341420349592298</v>
      </c>
      <c r="I3022">
        <v>0.464391421274573</v>
      </c>
      <c r="J3022">
        <v>0.49148096313117901</v>
      </c>
      <c r="K3022">
        <v>0.37863526539798298</v>
      </c>
      <c r="L3022">
        <v>1426.5949375061</v>
      </c>
      <c r="M3022">
        <v>28.4666322188429</v>
      </c>
      <c r="N3022">
        <v>54.464263774668602</v>
      </c>
      <c r="O3022">
        <v>49.869275769027396</v>
      </c>
      <c r="P3022">
        <v>-7.8700361510158703E-2</v>
      </c>
      <c r="Q3022">
        <v>0.44851940037124599</v>
      </c>
      <c r="R3022">
        <v>0.972489604845307</v>
      </c>
      <c r="S3022" t="s">
        <v>9639</v>
      </c>
      <c r="T3022" t="s">
        <v>13232</v>
      </c>
      <c r="U3022" t="s">
        <v>13232</v>
      </c>
      <c r="V3022" t="s">
        <v>13232</v>
      </c>
      <c r="W3022" t="s">
        <v>16199</v>
      </c>
      <c r="X3022">
        <v>6</v>
      </c>
      <c r="Y3022" t="s">
        <v>22663</v>
      </c>
      <c r="Z3022" t="s">
        <v>29153</v>
      </c>
      <c r="AA3022">
        <v>0.63825303163123714</v>
      </c>
      <c r="AB3022" t="str">
        <f>HYPERLINK("Melting_Curves/meltCurve_Q12766_2_HMGXB3.pdf", "Melting_Curves/meltCurve_Q12766_2_HMGXB3.pdf")</f>
        <v>Melting_Curves/meltCurve_Q12766_2_HMGXB3.pdf</v>
      </c>
    </row>
    <row r="3023" spans="1:28" x14ac:dyDescent="0.25">
      <c r="A3023" t="s">
        <v>3027</v>
      </c>
      <c r="B3023">
        <v>0.99930955844802105</v>
      </c>
      <c r="C3023">
        <v>0.72574594038868001</v>
      </c>
      <c r="D3023">
        <v>0.74567726083290098</v>
      </c>
      <c r="E3023">
        <v>0.46366931917230098</v>
      </c>
      <c r="F3023">
        <v>0.178754128392527</v>
      </c>
      <c r="G3023">
        <v>0.12708641670426599</v>
      </c>
      <c r="H3023">
        <v>7.6486363751356798E-2</v>
      </c>
      <c r="I3023">
        <v>6.1792116184566898E-2</v>
      </c>
      <c r="J3023">
        <v>5.9458235180216999E-2</v>
      </c>
      <c r="K3023">
        <v>4.5732990225407402E-2</v>
      </c>
      <c r="L3023">
        <v>654.396318176465</v>
      </c>
      <c r="M3023">
        <v>13.5086162547426</v>
      </c>
      <c r="N3023">
        <v>48.600972175067099</v>
      </c>
      <c r="O3023">
        <v>47.418251390194598</v>
      </c>
      <c r="P3023">
        <v>-6.9700292349413398E-2</v>
      </c>
      <c r="Q3023">
        <v>2.1494669745545598E-2</v>
      </c>
      <c r="R3023">
        <v>0.97124512602666602</v>
      </c>
      <c r="S3023" t="s">
        <v>9640</v>
      </c>
      <c r="T3023" t="s">
        <v>13232</v>
      </c>
      <c r="U3023" t="s">
        <v>13232</v>
      </c>
      <c r="V3023" t="s">
        <v>13232</v>
      </c>
      <c r="W3023" t="s">
        <v>16200</v>
      </c>
      <c r="X3023">
        <v>32</v>
      </c>
      <c r="Y3023" t="s">
        <v>22664</v>
      </c>
      <c r="Z3023" t="s">
        <v>29154</v>
      </c>
      <c r="AA3023">
        <v>0.32697968422676438</v>
      </c>
      <c r="AB3023" t="str">
        <f>HYPERLINK("Melting_Curves/meltCurve_Q12768_KIAA0196.pdf", "Melting_Curves/meltCurve_Q12768_KIAA0196.pdf")</f>
        <v>Melting_Curves/meltCurve_Q12768_KIAA0196.pdf</v>
      </c>
    </row>
    <row r="3024" spans="1:28" x14ac:dyDescent="0.25">
      <c r="A3024" t="s">
        <v>3028</v>
      </c>
      <c r="B3024">
        <v>0.99930955844802105</v>
      </c>
      <c r="C3024">
        <v>0.62511468102341206</v>
      </c>
      <c r="D3024">
        <v>0.61416760931163406</v>
      </c>
      <c r="E3024">
        <v>0.52157424217914905</v>
      </c>
      <c r="F3024">
        <v>0.24479166010433401</v>
      </c>
      <c r="G3024">
        <v>0.121803737838229</v>
      </c>
      <c r="H3024">
        <v>5.2254340526412202E-2</v>
      </c>
      <c r="I3024">
        <v>4.5231887228896102E-2</v>
      </c>
      <c r="J3024">
        <v>3.5697073388558001E-2</v>
      </c>
      <c r="K3024">
        <v>2.88871955986452E-2</v>
      </c>
      <c r="L3024">
        <v>511.56470750495498</v>
      </c>
      <c r="M3024">
        <v>10.661118549644501</v>
      </c>
      <c r="N3024">
        <v>47.984150136070603</v>
      </c>
      <c r="O3024">
        <v>46.388258032704897</v>
      </c>
      <c r="P3024">
        <v>-5.7477776317411897E-2</v>
      </c>
      <c r="Q3024">
        <v>0</v>
      </c>
      <c r="R3024">
        <v>0.946879815415266</v>
      </c>
      <c r="S3024" t="s">
        <v>9641</v>
      </c>
      <c r="T3024" t="s">
        <v>13232</v>
      </c>
      <c r="U3024" t="s">
        <v>13232</v>
      </c>
      <c r="V3024" t="s">
        <v>13232</v>
      </c>
      <c r="W3024" t="s">
        <v>16201</v>
      </c>
      <c r="X3024">
        <v>14</v>
      </c>
      <c r="Y3024" t="s">
        <v>22665</v>
      </c>
      <c r="Z3024" t="s">
        <v>29155</v>
      </c>
      <c r="AA3024">
        <v>0.31403564419814151</v>
      </c>
      <c r="AB3024" t="str">
        <f>HYPERLINK("Melting_Curves/meltCurve_Q12769_NUP160.pdf", "Melting_Curves/meltCurve_Q12769_NUP160.pdf")</f>
        <v>Melting_Curves/meltCurve_Q12769_NUP160.pdf</v>
      </c>
    </row>
    <row r="3025" spans="1:28" x14ac:dyDescent="0.25">
      <c r="A3025" t="s">
        <v>3029</v>
      </c>
      <c r="B3025">
        <v>0.99930955844802105</v>
      </c>
      <c r="C3025">
        <v>0.55398492410914202</v>
      </c>
      <c r="D3025">
        <v>0.40916515131487402</v>
      </c>
      <c r="E3025">
        <v>0.335643774165997</v>
      </c>
      <c r="F3025">
        <v>0.26059510060802199</v>
      </c>
      <c r="G3025">
        <v>0.18573281242223399</v>
      </c>
      <c r="H3025">
        <v>0.120595143110449</v>
      </c>
      <c r="I3025">
        <v>0.107719249003263</v>
      </c>
      <c r="J3025">
        <v>9.7203618602668906E-2</v>
      </c>
      <c r="K3025">
        <v>8.0193958811551502E-2</v>
      </c>
      <c r="L3025">
        <v>619.38538952339002</v>
      </c>
      <c r="M3025">
        <v>13.932901086961699</v>
      </c>
      <c r="N3025">
        <v>45.299167663951501</v>
      </c>
      <c r="O3025">
        <v>43.5691398657112</v>
      </c>
      <c r="P3025">
        <v>-7.0814473583057896E-2</v>
      </c>
      <c r="Q3025">
        <v>0.114352551887348</v>
      </c>
      <c r="R3025">
        <v>0.93159632980422202</v>
      </c>
      <c r="S3025" t="s">
        <v>9642</v>
      </c>
      <c r="T3025" t="s">
        <v>13232</v>
      </c>
      <c r="U3025" t="s">
        <v>13232</v>
      </c>
      <c r="V3025" t="s">
        <v>13232</v>
      </c>
      <c r="W3025" t="s">
        <v>16202</v>
      </c>
      <c r="X3025">
        <v>7</v>
      </c>
      <c r="Y3025" t="s">
        <v>22666</v>
      </c>
      <c r="Z3025" t="s">
        <v>29156</v>
      </c>
      <c r="AA3025">
        <v>0.28106590353863781</v>
      </c>
      <c r="AB3025" t="str">
        <f>HYPERLINK("Melting_Curves/meltCurve_Q12788_TBL3.pdf", "Melting_Curves/meltCurve_Q12788_TBL3.pdf")</f>
        <v>Melting_Curves/meltCurve_Q12788_TBL3.pdf</v>
      </c>
    </row>
    <row r="3026" spans="1:28" x14ac:dyDescent="0.25">
      <c r="A3026" t="s">
        <v>3030</v>
      </c>
      <c r="B3026">
        <v>0.99930955844802105</v>
      </c>
      <c r="C3026">
        <v>0.72796497468441101</v>
      </c>
      <c r="D3026">
        <v>0.57424867976102301</v>
      </c>
      <c r="E3026">
        <v>0.41279885136732802</v>
      </c>
      <c r="F3026">
        <v>0.26750825706348402</v>
      </c>
      <c r="G3026">
        <v>0.18201885414775201</v>
      </c>
      <c r="H3026">
        <v>0.122954481466907</v>
      </c>
      <c r="I3026">
        <v>0.1118397156312</v>
      </c>
      <c r="J3026">
        <v>0.105743898959076</v>
      </c>
      <c r="K3026">
        <v>8.1501072626570706E-2</v>
      </c>
      <c r="L3026">
        <v>573.798656892959</v>
      </c>
      <c r="M3026">
        <v>12.1952995493511</v>
      </c>
      <c r="N3026">
        <v>47.707780430081897</v>
      </c>
      <c r="O3026">
        <v>45.839326416633703</v>
      </c>
      <c r="P3026">
        <v>-6.13838956185409E-2</v>
      </c>
      <c r="Q3026">
        <v>7.7297470337450006E-2</v>
      </c>
      <c r="R3026">
        <v>0.98390043599197596</v>
      </c>
      <c r="S3026" t="s">
        <v>9643</v>
      </c>
      <c r="T3026" t="s">
        <v>13232</v>
      </c>
      <c r="U3026" t="s">
        <v>13232</v>
      </c>
      <c r="V3026" t="s">
        <v>13232</v>
      </c>
      <c r="W3026" t="s">
        <v>16203</v>
      </c>
      <c r="X3026">
        <v>44</v>
      </c>
      <c r="Y3026" t="s">
        <v>22667</v>
      </c>
      <c r="Z3026" t="s">
        <v>29157</v>
      </c>
      <c r="AA3026">
        <v>0.33161972620916619</v>
      </c>
      <c r="AB3026" t="str">
        <f>HYPERLINK("Melting_Curves/meltCurve_Q12789_GTF3C1.pdf", "Melting_Curves/meltCurve_Q12789_GTF3C1.pdf")</f>
        <v>Melting_Curves/meltCurve_Q12789_GTF3C1.pdf</v>
      </c>
    </row>
    <row r="3027" spans="1:28" x14ac:dyDescent="0.25">
      <c r="A3027" t="s">
        <v>3031</v>
      </c>
      <c r="B3027">
        <v>0.99930955844802105</v>
      </c>
      <c r="C3027">
        <v>0.82638923892138405</v>
      </c>
      <c r="D3027">
        <v>0.91052565926968598</v>
      </c>
      <c r="E3027">
        <v>1.0561247301941801</v>
      </c>
      <c r="F3027">
        <v>0.93857380816116698</v>
      </c>
      <c r="G3027">
        <v>0.33318468431602999</v>
      </c>
      <c r="H3027">
        <v>0.16222004392681499</v>
      </c>
      <c r="I3027">
        <v>0.12494008878695601</v>
      </c>
      <c r="J3027">
        <v>0.12991968905134599</v>
      </c>
      <c r="K3027">
        <v>7.0479783679137098E-2</v>
      </c>
      <c r="L3027">
        <v>2786.9424025069102</v>
      </c>
      <c r="M3027">
        <v>50.002349369989403</v>
      </c>
      <c r="N3027">
        <v>56.037461938618002</v>
      </c>
      <c r="O3027">
        <v>55.647296629840604</v>
      </c>
      <c r="P3027">
        <v>-0.19816465713231601</v>
      </c>
      <c r="Q3027">
        <v>0.117856003372437</v>
      </c>
      <c r="R3027">
        <v>0.97179033436680995</v>
      </c>
      <c r="S3027" t="s">
        <v>9644</v>
      </c>
      <c r="T3027" t="s">
        <v>13232</v>
      </c>
      <c r="U3027" t="s">
        <v>13232</v>
      </c>
      <c r="V3027" t="s">
        <v>13232</v>
      </c>
      <c r="W3027" t="s">
        <v>16204</v>
      </c>
      <c r="X3027">
        <v>13</v>
      </c>
      <c r="Y3027" t="s">
        <v>22668</v>
      </c>
      <c r="Z3027" t="s">
        <v>29158</v>
      </c>
      <c r="AA3027">
        <v>0.58274321379915961</v>
      </c>
      <c r="AB3027" t="str">
        <f>HYPERLINK("Melting_Curves/meltCurve_Q12792_TWF1.pdf", "Melting_Curves/meltCurve_Q12792_TWF1.pdf")</f>
        <v>Melting_Curves/meltCurve_Q12792_TWF1.pdf</v>
      </c>
    </row>
    <row r="3028" spans="1:28" x14ac:dyDescent="0.25">
      <c r="A3028" t="s">
        <v>3032</v>
      </c>
      <c r="B3028">
        <v>0.99930955844802105</v>
      </c>
      <c r="C3028">
        <v>1.0076382679103399</v>
      </c>
      <c r="D3028">
        <v>1.0025423521701</v>
      </c>
      <c r="E3028">
        <v>0.79708454718190402</v>
      </c>
      <c r="F3028">
        <v>0.28109921685614803</v>
      </c>
      <c r="G3028">
        <v>0.182927401633313</v>
      </c>
      <c r="H3028">
        <v>0.105582539801853</v>
      </c>
      <c r="I3028">
        <v>9.0749587498544296E-2</v>
      </c>
      <c r="J3028">
        <v>9.0298049604896402E-2</v>
      </c>
      <c r="K3028">
        <v>7.3204914781385994E-2</v>
      </c>
      <c r="L3028">
        <v>2226.4896178731301</v>
      </c>
      <c r="M3028">
        <v>43.333891063532199</v>
      </c>
      <c r="N3028">
        <v>51.658292467170803</v>
      </c>
      <c r="O3028">
        <v>51.270810069158998</v>
      </c>
      <c r="P3028">
        <v>-0.18929354010164601</v>
      </c>
      <c r="Q3028">
        <v>0.104145206730987</v>
      </c>
      <c r="R3028">
        <v>0.99635686789078703</v>
      </c>
      <c r="S3028" t="s">
        <v>9645</v>
      </c>
      <c r="T3028" t="s">
        <v>13232</v>
      </c>
      <c r="U3028" t="s">
        <v>13232</v>
      </c>
      <c r="V3028" t="s">
        <v>13232</v>
      </c>
      <c r="W3028" t="s">
        <v>16205</v>
      </c>
      <c r="X3028">
        <v>6</v>
      </c>
      <c r="Y3028" t="s">
        <v>22669</v>
      </c>
      <c r="Z3028" t="s">
        <v>29159</v>
      </c>
      <c r="AA3028">
        <v>0.44667639689020427</v>
      </c>
      <c r="AB3028" t="str">
        <f>HYPERLINK("Melting_Curves/meltCurve_Q12797_10_ASPH.pdf", "Melting_Curves/meltCurve_Q12797_10_ASPH.pdf")</f>
        <v>Melting_Curves/meltCurve_Q12797_10_ASPH.pdf</v>
      </c>
    </row>
    <row r="3029" spans="1:28" x14ac:dyDescent="0.25">
      <c r="A3029" t="s">
        <v>3033</v>
      </c>
      <c r="B3029">
        <v>0.99930955844802105</v>
      </c>
      <c r="C3029">
        <v>0.85666019564087903</v>
      </c>
      <c r="D3029">
        <v>0.71860179064001195</v>
      </c>
      <c r="E3029">
        <v>0.53100785099835901</v>
      </c>
      <c r="F3029">
        <v>0.40841001569129998</v>
      </c>
      <c r="G3029">
        <v>0.279281386843379</v>
      </c>
      <c r="H3029">
        <v>0.15109737583348901</v>
      </c>
      <c r="I3029">
        <v>0.111812245706815</v>
      </c>
      <c r="J3029">
        <v>7.50397256107702E-2</v>
      </c>
      <c r="K3029">
        <v>5.8998753250315103E-2</v>
      </c>
      <c r="L3029">
        <v>509.66781753571598</v>
      </c>
      <c r="M3029">
        <v>10.020969818606201</v>
      </c>
      <c r="N3029">
        <v>50.860128982464097</v>
      </c>
      <c r="O3029">
        <v>48.9592139775052</v>
      </c>
      <c r="P3029">
        <v>-5.1194679118648598E-2</v>
      </c>
      <c r="Q3029">
        <v>0</v>
      </c>
      <c r="R3029">
        <v>0.99496477789328797</v>
      </c>
      <c r="S3029" t="s">
        <v>9646</v>
      </c>
      <c r="T3029" t="s">
        <v>13232</v>
      </c>
      <c r="U3029" t="s">
        <v>13232</v>
      </c>
      <c r="V3029" t="s">
        <v>13232</v>
      </c>
      <c r="W3029" t="s">
        <v>16206</v>
      </c>
      <c r="X3029">
        <v>6</v>
      </c>
      <c r="Y3029" t="s">
        <v>22670</v>
      </c>
      <c r="Z3029" t="s">
        <v>29160</v>
      </c>
      <c r="AA3029">
        <v>0.40398833004605339</v>
      </c>
      <c r="AB3029" t="str">
        <f>HYPERLINK("Melting_Curves/meltCurve_Q12800_2_TFCP2.pdf", "Melting_Curves/meltCurve_Q12800_2_TFCP2.pdf")</f>
        <v>Melting_Curves/meltCurve_Q12800_2_TFCP2.pdf</v>
      </c>
    </row>
    <row r="3030" spans="1:28" x14ac:dyDescent="0.25">
      <c r="A3030" t="s">
        <v>3034</v>
      </c>
      <c r="B3030">
        <v>0.99930955844802105</v>
      </c>
      <c r="C3030">
        <v>0.91558788040790196</v>
      </c>
      <c r="D3030">
        <v>0.87717823198419298</v>
      </c>
      <c r="E3030">
        <v>0.79031964715995895</v>
      </c>
      <c r="F3030">
        <v>0.73879126239306203</v>
      </c>
      <c r="G3030">
        <v>0.59849140937818701</v>
      </c>
      <c r="H3030">
        <v>0.59716943259732103</v>
      </c>
      <c r="I3030">
        <v>0.56814003849843797</v>
      </c>
      <c r="J3030">
        <v>0.55657947384618001</v>
      </c>
      <c r="K3030">
        <v>0.41877685069385401</v>
      </c>
      <c r="L3030">
        <v>396.290598093455</v>
      </c>
      <c r="M3030">
        <v>7.1870118557982696</v>
      </c>
      <c r="N3030">
        <v>67.615925441149102</v>
      </c>
      <c r="O3030">
        <v>51.350175086557698</v>
      </c>
      <c r="P3030">
        <v>-2.2177471021977299E-2</v>
      </c>
      <c r="Q3030">
        <v>0.36724534928642</v>
      </c>
      <c r="R3030">
        <v>0.96286406217753895</v>
      </c>
      <c r="S3030" t="s">
        <v>9647</v>
      </c>
      <c r="T3030" t="s">
        <v>13232</v>
      </c>
      <c r="U3030" t="s">
        <v>13232</v>
      </c>
      <c r="V3030" t="s">
        <v>13232</v>
      </c>
      <c r="W3030" t="s">
        <v>16207</v>
      </c>
      <c r="X3030">
        <v>8</v>
      </c>
      <c r="Y3030" t="s">
        <v>22671</v>
      </c>
      <c r="Z3030" t="s">
        <v>29161</v>
      </c>
      <c r="AA3030">
        <v>0.70296617460631361</v>
      </c>
      <c r="AB3030" t="str">
        <f>HYPERLINK("Melting_Curves/meltCurve_Q12802_AKAP13.pdf", "Melting_Curves/meltCurve_Q12802_AKAP13.pdf")</f>
        <v>Melting_Curves/meltCurve_Q12802_AKAP13.pdf</v>
      </c>
    </row>
    <row r="3031" spans="1:28" x14ac:dyDescent="0.25">
      <c r="A3031" t="s">
        <v>3035</v>
      </c>
      <c r="B3031">
        <v>0.99930955844802105</v>
      </c>
      <c r="C3031">
        <v>0.70743526165350701</v>
      </c>
      <c r="D3031">
        <v>0.81359538674049503</v>
      </c>
      <c r="E3031">
        <v>0.53426791785960104</v>
      </c>
      <c r="F3031">
        <v>0.50015739626419997</v>
      </c>
      <c r="G3031">
        <v>0.32518574593362898</v>
      </c>
      <c r="H3031">
        <v>0.22434860981264801</v>
      </c>
      <c r="I3031">
        <v>0.216419872859589</v>
      </c>
      <c r="J3031">
        <v>0.26497792608078702</v>
      </c>
      <c r="K3031">
        <v>0.12239744896063701</v>
      </c>
      <c r="L3031">
        <v>435.41931597577502</v>
      </c>
      <c r="M3031">
        <v>8.5886559365184798</v>
      </c>
      <c r="N3031">
        <v>51.8603607938295</v>
      </c>
      <c r="O3031">
        <v>48.173087041430897</v>
      </c>
      <c r="P3031">
        <v>-4.0701741675756603E-2</v>
      </c>
      <c r="Q3031">
        <v>8.7619315184091398E-2</v>
      </c>
      <c r="R3031">
        <v>0.94278464922606997</v>
      </c>
      <c r="S3031" t="s">
        <v>9648</v>
      </c>
      <c r="T3031" t="s">
        <v>13232</v>
      </c>
      <c r="U3031" t="s">
        <v>13232</v>
      </c>
      <c r="V3031" t="s">
        <v>13232</v>
      </c>
      <c r="W3031" t="s">
        <v>16208</v>
      </c>
      <c r="X3031">
        <v>1</v>
      </c>
      <c r="Y3031" t="s">
        <v>22672</v>
      </c>
      <c r="Z3031" t="s">
        <v>29162</v>
      </c>
      <c r="AA3031">
        <v>0.45965708248595488</v>
      </c>
      <c r="AB3031" t="str">
        <f>HYPERLINK("Melting_Curves/meltCurve_Q12809_2_KCNH2.pdf", "Melting_Curves/meltCurve_Q12809_2_KCNH2.pdf")</f>
        <v>Melting_Curves/meltCurve_Q12809_2_KCNH2.pdf</v>
      </c>
    </row>
    <row r="3032" spans="1:28" x14ac:dyDescent="0.25">
      <c r="A3032" t="s">
        <v>3036</v>
      </c>
      <c r="B3032">
        <v>0.99930955844802105</v>
      </c>
      <c r="C3032">
        <v>0.73288607070525502</v>
      </c>
      <c r="D3032">
        <v>0.63377183325777098</v>
      </c>
      <c r="E3032">
        <v>0.40956784761826798</v>
      </c>
      <c r="F3032">
        <v>0.231466120211966</v>
      </c>
      <c r="G3032">
        <v>0.14457651925357901</v>
      </c>
      <c r="H3032">
        <v>9.2654541014306604E-2</v>
      </c>
      <c r="I3032">
        <v>8.2481301604001495E-2</v>
      </c>
      <c r="J3032">
        <v>5.8295038894109502E-2</v>
      </c>
      <c r="K3032">
        <v>4.3740783239271899E-2</v>
      </c>
      <c r="L3032">
        <v>588.89520897743603</v>
      </c>
      <c r="M3032">
        <v>12.345490389842499</v>
      </c>
      <c r="N3032">
        <v>47.957553910345901</v>
      </c>
      <c r="O3032">
        <v>46.501472984366501</v>
      </c>
      <c r="P3032">
        <v>-6.4266460257891803E-2</v>
      </c>
      <c r="Q3032">
        <v>3.1925101710733997E-2</v>
      </c>
      <c r="R3032">
        <v>0.987028283766617</v>
      </c>
      <c r="S3032" t="s">
        <v>9649</v>
      </c>
      <c r="T3032" t="s">
        <v>13232</v>
      </c>
      <c r="U3032" t="s">
        <v>13232</v>
      </c>
      <c r="V3032" t="s">
        <v>13232</v>
      </c>
      <c r="W3032" t="s">
        <v>16209</v>
      </c>
      <c r="X3032">
        <v>8</v>
      </c>
      <c r="Y3032" t="s">
        <v>22673</v>
      </c>
      <c r="Z3032" t="s">
        <v>29163</v>
      </c>
      <c r="AA3032">
        <v>0.31716072286508012</v>
      </c>
      <c r="AB3032" t="str">
        <f>HYPERLINK("Melting_Curves/meltCurve_Q12824_2_SMARCB1.pdf", "Melting_Curves/meltCurve_Q12824_2_SMARCB1.pdf")</f>
        <v>Melting_Curves/meltCurve_Q12824_2_SMARCB1.pdf</v>
      </c>
    </row>
    <row r="3033" spans="1:28" x14ac:dyDescent="0.25">
      <c r="A3033" t="s">
        <v>3037</v>
      </c>
      <c r="B3033">
        <v>0.99930955844802105</v>
      </c>
      <c r="C3033">
        <v>0.93543899268924702</v>
      </c>
      <c r="D3033">
        <v>0.86349921124117102</v>
      </c>
      <c r="E3033">
        <v>0.79055967177299502</v>
      </c>
      <c r="F3033">
        <v>0.69587816795353297</v>
      </c>
      <c r="G3033">
        <v>0.60316099894402897</v>
      </c>
      <c r="H3033">
        <v>0.59228272430718198</v>
      </c>
      <c r="I3033">
        <v>0.64408008016680895</v>
      </c>
      <c r="J3033">
        <v>0.59945039416358903</v>
      </c>
      <c r="K3033">
        <v>0.48706782253730302</v>
      </c>
      <c r="L3033">
        <v>564.29000228496898</v>
      </c>
      <c r="M3033">
        <v>11.2636507920177</v>
      </c>
      <c r="O3033">
        <v>48.597084202457602</v>
      </c>
      <c r="P3033">
        <v>-2.6628380661332898E-2</v>
      </c>
      <c r="Q3033">
        <v>0.54058829830047594</v>
      </c>
      <c r="R3033">
        <v>0.94975315316394004</v>
      </c>
      <c r="S3033" t="s">
        <v>9650</v>
      </c>
      <c r="T3033" t="s">
        <v>13232</v>
      </c>
      <c r="U3033" t="s">
        <v>13232</v>
      </c>
      <c r="V3033" t="s">
        <v>13232</v>
      </c>
      <c r="W3033" t="s">
        <v>16210</v>
      </c>
      <c r="X3033">
        <v>43</v>
      </c>
      <c r="Y3033" t="s">
        <v>20206</v>
      </c>
      <c r="Z3033" t="s">
        <v>29164</v>
      </c>
      <c r="AA3033">
        <v>0.71263560027498463</v>
      </c>
      <c r="AB3033" t="str">
        <f>HYPERLINK("Melting_Curves/meltCurve_Q12830_2_BPTF.pdf", "Melting_Curves/meltCurve_Q12830_2_BPTF.pdf")</f>
        <v>Melting_Curves/meltCurve_Q12830_2_BPTF.pdf</v>
      </c>
    </row>
    <row r="3034" spans="1:28" x14ac:dyDescent="0.25">
      <c r="A3034" t="s">
        <v>3038</v>
      </c>
      <c r="B3034">
        <v>0.99930955844802105</v>
      </c>
      <c r="C3034">
        <v>0.839455718683773</v>
      </c>
      <c r="D3034">
        <v>0.78474684607462797</v>
      </c>
      <c r="E3034">
        <v>0.80398838383155202</v>
      </c>
      <c r="F3034">
        <v>0.58187419971360799</v>
      </c>
      <c r="G3034">
        <v>0.336971138558739</v>
      </c>
      <c r="H3034">
        <v>0.247200022229247</v>
      </c>
      <c r="I3034">
        <v>0.241689767370836</v>
      </c>
      <c r="J3034">
        <v>0.22737128164886999</v>
      </c>
      <c r="K3034">
        <v>0.178901823275812</v>
      </c>
      <c r="L3034">
        <v>537.348940099836</v>
      </c>
      <c r="M3034">
        <v>10.0903985553272</v>
      </c>
      <c r="N3034">
        <v>54.378198613514698</v>
      </c>
      <c r="O3034">
        <v>51.2887778686205</v>
      </c>
      <c r="P3034">
        <v>-4.4572912522366399E-2</v>
      </c>
      <c r="Q3034">
        <v>9.4182017819397904E-2</v>
      </c>
      <c r="R3034">
        <v>0.96202498772612699</v>
      </c>
      <c r="S3034" t="s">
        <v>9651</v>
      </c>
      <c r="T3034" t="s">
        <v>13232</v>
      </c>
      <c r="U3034" t="s">
        <v>13232</v>
      </c>
      <c r="V3034" t="s">
        <v>13232</v>
      </c>
      <c r="W3034" t="s">
        <v>16211</v>
      </c>
      <c r="X3034">
        <v>1</v>
      </c>
      <c r="Y3034" t="s">
        <v>22674</v>
      </c>
      <c r="Z3034" t="s">
        <v>29165</v>
      </c>
      <c r="AA3034">
        <v>0.52422055509100074</v>
      </c>
      <c r="AB3034" t="str">
        <f>HYPERLINK("Melting_Curves/meltCurve_Q12834_CDC20.pdf", "Melting_Curves/meltCurve_Q12834_CDC20.pdf")</f>
        <v>Melting_Curves/meltCurve_Q12834_CDC20.pdf</v>
      </c>
    </row>
    <row r="3035" spans="1:28" x14ac:dyDescent="0.25">
      <c r="A3035" t="s">
        <v>3039</v>
      </c>
      <c r="B3035">
        <v>0.99930955844802105</v>
      </c>
      <c r="C3035">
        <v>0.90573804153999404</v>
      </c>
      <c r="D3035">
        <v>0.87102259337195498</v>
      </c>
      <c r="E3035">
        <v>0.56838505740579603</v>
      </c>
      <c r="F3035">
        <v>0.24176596444419499</v>
      </c>
      <c r="G3035">
        <v>0.16807490236165201</v>
      </c>
      <c r="H3035">
        <v>0.110485269394407</v>
      </c>
      <c r="I3035">
        <v>9.7827416443612897E-2</v>
      </c>
      <c r="J3035">
        <v>9.3544931686810398E-2</v>
      </c>
      <c r="K3035">
        <v>6.4683184503290594E-2</v>
      </c>
      <c r="L3035">
        <v>1042.6697978977299</v>
      </c>
      <c r="M3035">
        <v>20.887358624864799</v>
      </c>
      <c r="N3035">
        <v>50.350968283062002</v>
      </c>
      <c r="O3035">
        <v>49.467885566833601</v>
      </c>
      <c r="P3035">
        <v>-9.68983895244315E-2</v>
      </c>
      <c r="Q3035">
        <v>8.2080517892701793E-2</v>
      </c>
      <c r="R3035">
        <v>0.99313164916381003</v>
      </c>
      <c r="S3035" t="s">
        <v>9652</v>
      </c>
      <c r="T3035" t="s">
        <v>13232</v>
      </c>
      <c r="U3035" t="s">
        <v>13232</v>
      </c>
      <c r="V3035" t="s">
        <v>13232</v>
      </c>
      <c r="W3035" t="s">
        <v>16212</v>
      </c>
      <c r="X3035">
        <v>26</v>
      </c>
      <c r="Y3035" t="s">
        <v>22675</v>
      </c>
      <c r="Z3035" t="s">
        <v>29166</v>
      </c>
      <c r="AA3035">
        <v>0.39730343575119031</v>
      </c>
      <c r="AB3035" t="str">
        <f>HYPERLINK("Melting_Curves/meltCurve_Q12840_KIF5A.pdf", "Melting_Curves/meltCurve_Q12840_KIF5A.pdf")</f>
        <v>Melting_Curves/meltCurve_Q12840_KIF5A.pdf</v>
      </c>
    </row>
    <row r="3036" spans="1:28" x14ac:dyDescent="0.25">
      <c r="A3036" t="s">
        <v>3040</v>
      </c>
      <c r="B3036">
        <v>0.99930955844802105</v>
      </c>
      <c r="C3036">
        <v>1.0643042178989299</v>
      </c>
      <c r="D3036">
        <v>1.0658074320592901</v>
      </c>
      <c r="E3036">
        <v>0.90787015392626202</v>
      </c>
      <c r="F3036">
        <v>0.69020555730379296</v>
      </c>
      <c r="G3036">
        <v>0.49505273446397302</v>
      </c>
      <c r="H3036">
        <v>0.424952398216357</v>
      </c>
      <c r="I3036">
        <v>0.45670067702885903</v>
      </c>
      <c r="J3036">
        <v>0.411694416661468</v>
      </c>
      <c r="K3036">
        <v>0.32624217838029801</v>
      </c>
      <c r="L3036">
        <v>1442.6514483826099</v>
      </c>
      <c r="M3036">
        <v>27.180336419654299</v>
      </c>
      <c r="N3036">
        <v>56.418195239551203</v>
      </c>
      <c r="O3036">
        <v>52.792200488708602</v>
      </c>
      <c r="P3036">
        <v>-7.7226184496190703E-2</v>
      </c>
      <c r="Q3036">
        <v>0.40002186625425201</v>
      </c>
      <c r="R3036">
        <v>0.97658528362531105</v>
      </c>
      <c r="S3036" t="s">
        <v>9653</v>
      </c>
      <c r="T3036" t="s">
        <v>13232</v>
      </c>
      <c r="U3036" t="s">
        <v>13232</v>
      </c>
      <c r="V3036" t="s">
        <v>13232</v>
      </c>
      <c r="W3036" t="s">
        <v>16213</v>
      </c>
      <c r="X3036">
        <v>11</v>
      </c>
      <c r="Y3036" t="s">
        <v>22676</v>
      </c>
      <c r="Z3036" t="s">
        <v>29167</v>
      </c>
      <c r="AA3036">
        <v>0.66626932330024213</v>
      </c>
      <c r="AB3036" t="str">
        <f>HYPERLINK("Melting_Curves/meltCurve_Q12849_GRSF1.pdf", "Melting_Curves/meltCurve_Q12849_GRSF1.pdf")</f>
        <v>Melting_Curves/meltCurve_Q12849_GRSF1.pdf</v>
      </c>
    </row>
    <row r="3037" spans="1:28" x14ac:dyDescent="0.25">
      <c r="A3037" t="s">
        <v>3041</v>
      </c>
      <c r="B3037">
        <v>0.99930955844802105</v>
      </c>
      <c r="C3037">
        <v>1.09417511389781</v>
      </c>
      <c r="D3037">
        <v>1.0552659053417499</v>
      </c>
      <c r="E3037">
        <v>0.99255663951805895</v>
      </c>
      <c r="F3037">
        <v>0.86497644011809305</v>
      </c>
      <c r="G3037">
        <v>0.591844946426624</v>
      </c>
      <c r="H3037">
        <v>0.34799370678811598</v>
      </c>
      <c r="I3037">
        <v>0.28978980143051802</v>
      </c>
      <c r="J3037">
        <v>0.26516405423225498</v>
      </c>
      <c r="K3037">
        <v>0.23128512165020099</v>
      </c>
      <c r="L3037">
        <v>1383.4096592324199</v>
      </c>
      <c r="M3037">
        <v>24.432714780922499</v>
      </c>
      <c r="N3037">
        <v>58.167682184291301</v>
      </c>
      <c r="O3037">
        <v>56.245987128358699</v>
      </c>
      <c r="P3037">
        <v>-8.2658135153547196E-2</v>
      </c>
      <c r="Q3037">
        <v>0.238869708679357</v>
      </c>
      <c r="R3037">
        <v>0.98878760366159002</v>
      </c>
      <c r="S3037" t="s">
        <v>9654</v>
      </c>
      <c r="T3037" t="s">
        <v>13232</v>
      </c>
      <c r="U3037" t="s">
        <v>13232</v>
      </c>
      <c r="V3037" t="s">
        <v>13232</v>
      </c>
      <c r="W3037" t="s">
        <v>16214</v>
      </c>
      <c r="X3037">
        <v>25</v>
      </c>
      <c r="Y3037" t="s">
        <v>22677</v>
      </c>
      <c r="Z3037" t="s">
        <v>29168</v>
      </c>
      <c r="AA3037">
        <v>0.66773807973727461</v>
      </c>
      <c r="AB3037" t="str">
        <f>HYPERLINK("Melting_Curves/meltCurve_Q12872_SFSWAP.pdf", "Melting_Curves/meltCurve_Q12872_SFSWAP.pdf")</f>
        <v>Melting_Curves/meltCurve_Q12872_SFSWAP.pdf</v>
      </c>
    </row>
    <row r="3038" spans="1:28" x14ac:dyDescent="0.25">
      <c r="A3038" t="s">
        <v>3042</v>
      </c>
      <c r="B3038">
        <v>0.99930955844802105</v>
      </c>
      <c r="C3038">
        <v>0.85561701150005098</v>
      </c>
      <c r="D3038">
        <v>0.63644335803544705</v>
      </c>
      <c r="E3038">
        <v>0.47168661989057697</v>
      </c>
      <c r="F3038">
        <v>0.26791537434937102</v>
      </c>
      <c r="G3038">
        <v>0.17304230487227801</v>
      </c>
      <c r="H3038">
        <v>0.108097734905629</v>
      </c>
      <c r="I3038">
        <v>0.101228625226873</v>
      </c>
      <c r="J3038">
        <v>9.2702211613568702E-2</v>
      </c>
      <c r="K3038">
        <v>7.1176475497168504E-2</v>
      </c>
      <c r="L3038">
        <v>647.82347288850099</v>
      </c>
      <c r="M3038">
        <v>13.406929152199</v>
      </c>
      <c r="N3038">
        <v>48.813233253685098</v>
      </c>
      <c r="O3038">
        <v>47.283010753932899</v>
      </c>
      <c r="P3038">
        <v>-6.6407072641006204E-2</v>
      </c>
      <c r="Q3038">
        <v>6.3339879518640896E-2</v>
      </c>
      <c r="R3038">
        <v>0.99297457170647196</v>
      </c>
      <c r="S3038" t="s">
        <v>9655</v>
      </c>
      <c r="T3038" t="s">
        <v>13232</v>
      </c>
      <c r="U3038" t="s">
        <v>13232</v>
      </c>
      <c r="V3038" t="s">
        <v>13232</v>
      </c>
      <c r="W3038" t="s">
        <v>16215</v>
      </c>
      <c r="X3038">
        <v>29</v>
      </c>
      <c r="Y3038" t="s">
        <v>20576</v>
      </c>
      <c r="Z3038" t="s">
        <v>29169</v>
      </c>
      <c r="AA3038">
        <v>0.3525229578285084</v>
      </c>
      <c r="AB3038" t="str">
        <f>HYPERLINK("Melting_Curves/meltCurve_Q12873_CHD3.pdf", "Melting_Curves/meltCurve_Q12873_CHD3.pdf")</f>
        <v>Melting_Curves/meltCurve_Q12873_CHD3.pdf</v>
      </c>
    </row>
    <row r="3039" spans="1:28" x14ac:dyDescent="0.25">
      <c r="A3039" t="s">
        <v>3043</v>
      </c>
      <c r="B3039">
        <v>0.99930955844802105</v>
      </c>
      <c r="C3039">
        <v>0.78943916754165699</v>
      </c>
      <c r="D3039">
        <v>0.481502605501683</v>
      </c>
      <c r="E3039">
        <v>0.35976499681038798</v>
      </c>
      <c r="F3039">
        <v>0.18397822341730399</v>
      </c>
      <c r="G3039">
        <v>0.11469811681065301</v>
      </c>
      <c r="H3039">
        <v>6.7796968712606695E-2</v>
      </c>
      <c r="I3039">
        <v>5.44869824310854E-2</v>
      </c>
      <c r="J3039">
        <v>4.8178353976764801E-2</v>
      </c>
      <c r="K3039">
        <v>3.8083983549906997E-2</v>
      </c>
      <c r="L3039">
        <v>678.00358578036196</v>
      </c>
      <c r="M3039">
        <v>14.572499225210301</v>
      </c>
      <c r="N3039">
        <v>46.815953363318897</v>
      </c>
      <c r="O3039">
        <v>45.676419068265297</v>
      </c>
      <c r="P3039">
        <v>-7.6329101235131397E-2</v>
      </c>
      <c r="Q3039">
        <v>4.3116612604740201E-2</v>
      </c>
      <c r="R3039">
        <v>0.98387782839177196</v>
      </c>
      <c r="S3039" t="s">
        <v>9656</v>
      </c>
      <c r="T3039" t="s">
        <v>13232</v>
      </c>
      <c r="U3039" t="s">
        <v>13232</v>
      </c>
      <c r="V3039" t="s">
        <v>13232</v>
      </c>
      <c r="W3039" t="s">
        <v>16216</v>
      </c>
      <c r="X3039">
        <v>16</v>
      </c>
      <c r="Y3039" t="s">
        <v>22678</v>
      </c>
      <c r="Z3039" t="s">
        <v>29170</v>
      </c>
      <c r="AA3039">
        <v>0.27976912362112522</v>
      </c>
      <c r="AB3039" t="str">
        <f>HYPERLINK("Melting_Curves/meltCurve_Q12874_SF3A3.pdf", "Melting_Curves/meltCurve_Q12874_SF3A3.pdf")</f>
        <v>Melting_Curves/meltCurve_Q12874_SF3A3.pdf</v>
      </c>
    </row>
    <row r="3040" spans="1:28" x14ac:dyDescent="0.25">
      <c r="A3040" t="s">
        <v>3044</v>
      </c>
      <c r="B3040">
        <v>0.99930955844802105</v>
      </c>
      <c r="C3040">
        <v>1.11248205267509</v>
      </c>
      <c r="D3040">
        <v>1.0916653950327699</v>
      </c>
      <c r="E3040">
        <v>0.988996341979683</v>
      </c>
      <c r="F3040">
        <v>0.80615558623683903</v>
      </c>
      <c r="G3040">
        <v>0.68450276881276995</v>
      </c>
      <c r="H3040">
        <v>0.63616126427652098</v>
      </c>
      <c r="I3040">
        <v>0.66678473636592706</v>
      </c>
      <c r="J3040">
        <v>0.64481783963888595</v>
      </c>
      <c r="K3040">
        <v>0.53022828239554098</v>
      </c>
      <c r="L3040">
        <v>1846.5578715281699</v>
      </c>
      <c r="M3040">
        <v>34.677755632213596</v>
      </c>
      <c r="O3040">
        <v>53.0729090775068</v>
      </c>
      <c r="P3040">
        <v>-6.1676838511182101E-2</v>
      </c>
      <c r="Q3040">
        <v>0.62242567071350896</v>
      </c>
      <c r="R3040">
        <v>0.91690788874476703</v>
      </c>
      <c r="S3040" t="s">
        <v>9657</v>
      </c>
      <c r="T3040" t="s">
        <v>13232</v>
      </c>
      <c r="U3040" t="s">
        <v>13232</v>
      </c>
      <c r="V3040" t="s">
        <v>13232</v>
      </c>
      <c r="W3040" t="s">
        <v>16217</v>
      </c>
      <c r="X3040">
        <v>57</v>
      </c>
      <c r="Y3040" t="s">
        <v>22679</v>
      </c>
      <c r="Z3040" t="s">
        <v>29171</v>
      </c>
      <c r="AA3040">
        <v>0.79102200217809548</v>
      </c>
      <c r="AB3040" t="str">
        <f>HYPERLINK("Melting_Curves/meltCurve_Q12888_TP53BP1.pdf", "Melting_Curves/meltCurve_Q12888_TP53BP1.pdf")</f>
        <v>Melting_Curves/meltCurve_Q12888_TP53BP1.pdf</v>
      </c>
    </row>
    <row r="3041" spans="1:28" x14ac:dyDescent="0.25">
      <c r="A3041" t="s">
        <v>3045</v>
      </c>
      <c r="B3041">
        <v>0.99930955844802105</v>
      </c>
      <c r="C3041">
        <v>1.0050033965724701</v>
      </c>
      <c r="D3041">
        <v>0.60228824209757403</v>
      </c>
      <c r="E3041">
        <v>0.60939298002773201</v>
      </c>
      <c r="F3041">
        <v>0.29886373533840099</v>
      </c>
      <c r="G3041">
        <v>0.19487733302473101</v>
      </c>
      <c r="H3041">
        <v>0.126283838426128</v>
      </c>
      <c r="I3041">
        <v>0.114958651828275</v>
      </c>
      <c r="J3041">
        <v>0.11956547641414</v>
      </c>
      <c r="K3041">
        <v>9.4032071458709399E-2</v>
      </c>
      <c r="L3041">
        <v>686.62973087558601</v>
      </c>
      <c r="M3041">
        <v>13.908305684607599</v>
      </c>
      <c r="N3041">
        <v>49.990675031179499</v>
      </c>
      <c r="O3041">
        <v>48.381310843958801</v>
      </c>
      <c r="P3041">
        <v>-6.6164051986497205E-2</v>
      </c>
      <c r="Q3041">
        <v>7.9494028299920402E-2</v>
      </c>
      <c r="R3041">
        <v>0.95804570171735604</v>
      </c>
      <c r="S3041" t="s">
        <v>9658</v>
      </c>
      <c r="T3041" t="s">
        <v>13232</v>
      </c>
      <c r="U3041" t="s">
        <v>13232</v>
      </c>
      <c r="V3041" t="s">
        <v>13232</v>
      </c>
      <c r="W3041" t="s">
        <v>16218</v>
      </c>
      <c r="X3041">
        <v>17</v>
      </c>
      <c r="Y3041" t="s">
        <v>22680</v>
      </c>
      <c r="Z3041" t="s">
        <v>29172</v>
      </c>
      <c r="AA3041">
        <v>0.39265325397323919</v>
      </c>
      <c r="AB3041" t="str">
        <f>HYPERLINK("Melting_Curves/meltCurve_Q12904_AIMP1.pdf", "Melting_Curves/meltCurve_Q12904_AIMP1.pdf")</f>
        <v>Melting_Curves/meltCurve_Q12904_AIMP1.pdf</v>
      </c>
    </row>
    <row r="3042" spans="1:28" x14ac:dyDescent="0.25">
      <c r="A3042" t="s">
        <v>3046</v>
      </c>
      <c r="B3042">
        <v>0.99930955844802105</v>
      </c>
      <c r="C3042">
        <v>1.0015562826351101</v>
      </c>
      <c r="D3042">
        <v>1.01200739517081</v>
      </c>
      <c r="E3042">
        <v>1.05469063154941</v>
      </c>
      <c r="F3042">
        <v>1.0647551988919299</v>
      </c>
      <c r="G3042">
        <v>0.55096386472041603</v>
      </c>
      <c r="H3042">
        <v>0.12630615751375801</v>
      </c>
      <c r="I3042">
        <v>8.4590398976562495E-2</v>
      </c>
      <c r="J3042">
        <v>6.5435340281894294E-2</v>
      </c>
      <c r="K3042">
        <v>5.2025780026811297E-2</v>
      </c>
      <c r="L3042">
        <v>3902.9572903142498</v>
      </c>
      <c r="M3042">
        <v>68.408793670443501</v>
      </c>
      <c r="N3042">
        <v>57.196888611660903</v>
      </c>
      <c r="O3042">
        <v>57.004750602045299</v>
      </c>
      <c r="P3042">
        <v>-0.27636774899904598</v>
      </c>
      <c r="Q3042">
        <v>7.8816096280001094E-2</v>
      </c>
      <c r="R3042">
        <v>0.99484297845985703</v>
      </c>
      <c r="S3042" t="s">
        <v>9659</v>
      </c>
      <c r="T3042" t="s">
        <v>13232</v>
      </c>
      <c r="U3042" t="s">
        <v>13232</v>
      </c>
      <c r="V3042" t="s">
        <v>13232</v>
      </c>
      <c r="W3042" t="s">
        <v>16219</v>
      </c>
      <c r="X3042">
        <v>18</v>
      </c>
      <c r="Y3042" t="s">
        <v>22681</v>
      </c>
      <c r="Z3042" t="s">
        <v>29173</v>
      </c>
      <c r="AA3042">
        <v>0.603696481860586</v>
      </c>
      <c r="AB3042" t="str">
        <f>HYPERLINK("Melting_Curves/meltCurve_Q12905_ILF2.pdf", "Melting_Curves/meltCurve_Q12905_ILF2.pdf")</f>
        <v>Melting_Curves/meltCurve_Q12905_ILF2.pdf</v>
      </c>
    </row>
    <row r="3043" spans="1:28" x14ac:dyDescent="0.25">
      <c r="A3043" t="s">
        <v>3047</v>
      </c>
      <c r="B3043">
        <v>0.99930955844802105</v>
      </c>
      <c r="C3043">
        <v>0.99725513784032005</v>
      </c>
      <c r="D3043">
        <v>1.0000197262500301</v>
      </c>
      <c r="E3043">
        <v>1.03726810113306</v>
      </c>
      <c r="F3043">
        <v>1.02533849421205</v>
      </c>
      <c r="G3043">
        <v>0.63350650758137295</v>
      </c>
      <c r="H3043">
        <v>0.241661335803875</v>
      </c>
      <c r="I3043">
        <v>0.20337802039007799</v>
      </c>
      <c r="J3043">
        <v>0.18050102317365699</v>
      </c>
      <c r="K3043">
        <v>0.140891715375594</v>
      </c>
      <c r="L3043">
        <v>2657.4882525159501</v>
      </c>
      <c r="M3043">
        <v>46.3607844647468</v>
      </c>
      <c r="N3043">
        <v>57.866852034107303</v>
      </c>
      <c r="O3043">
        <v>57.215550823507797</v>
      </c>
      <c r="P3043">
        <v>-0.16673954675716099</v>
      </c>
      <c r="Q3043">
        <v>0.17688329559532501</v>
      </c>
      <c r="R3043">
        <v>0.996359783625411</v>
      </c>
      <c r="S3043" t="s">
        <v>9660</v>
      </c>
      <c r="T3043" t="s">
        <v>13232</v>
      </c>
      <c r="U3043" t="s">
        <v>13232</v>
      </c>
      <c r="V3043" t="s">
        <v>13232</v>
      </c>
      <c r="W3043" t="s">
        <v>16220</v>
      </c>
      <c r="X3043">
        <v>33</v>
      </c>
      <c r="Y3043" t="s">
        <v>22682</v>
      </c>
      <c r="Z3043" t="s">
        <v>29174</v>
      </c>
      <c r="AA3043">
        <v>0.65455911912374731</v>
      </c>
      <c r="AB3043" t="str">
        <f>HYPERLINK("Melting_Curves/meltCurve_Q12906_7_ILF3.pdf", "Melting_Curves/meltCurve_Q12906_7_ILF3.pdf")</f>
        <v>Melting_Curves/meltCurve_Q12906_7_ILF3.pdf</v>
      </c>
    </row>
    <row r="3044" spans="1:28" x14ac:dyDescent="0.25">
      <c r="A3044" t="s">
        <v>3048</v>
      </c>
      <c r="B3044">
        <v>0.99930955844802105</v>
      </c>
      <c r="C3044">
        <v>0.88096789127314401</v>
      </c>
      <c r="D3044">
        <v>0.72597697196656397</v>
      </c>
      <c r="E3044">
        <v>0.77659199974656701</v>
      </c>
      <c r="F3044">
        <v>0.37659181699723399</v>
      </c>
      <c r="G3044">
        <v>0.17631843141608</v>
      </c>
      <c r="H3044">
        <v>0.120540445284596</v>
      </c>
      <c r="I3044">
        <v>0.114737593192658</v>
      </c>
      <c r="J3044">
        <v>0.106742127623125</v>
      </c>
      <c r="K3044">
        <v>8.0108665205515503E-2</v>
      </c>
      <c r="L3044">
        <v>686.65807135881903</v>
      </c>
      <c r="M3044">
        <v>13.356476926399701</v>
      </c>
      <c r="N3044">
        <v>51.713229037009398</v>
      </c>
      <c r="O3044">
        <v>50.298681618585299</v>
      </c>
      <c r="P3044">
        <v>-6.3896492352103901E-2</v>
      </c>
      <c r="Q3044">
        <v>3.76505250871743E-2</v>
      </c>
      <c r="R3044">
        <v>0.95773144093206497</v>
      </c>
      <c r="S3044" t="s">
        <v>9661</v>
      </c>
      <c r="T3044" t="s">
        <v>13232</v>
      </c>
      <c r="U3044" t="s">
        <v>13232</v>
      </c>
      <c r="V3044" t="s">
        <v>13232</v>
      </c>
      <c r="W3044" t="s">
        <v>16221</v>
      </c>
      <c r="X3044">
        <v>5</v>
      </c>
      <c r="Y3044" t="s">
        <v>22683</v>
      </c>
      <c r="Z3044" t="s">
        <v>29175</v>
      </c>
      <c r="AA3044">
        <v>0.42992396951885692</v>
      </c>
      <c r="AB3044" t="str">
        <f>HYPERLINK("Melting_Curves/meltCurve_Q12907_LMAN2.pdf", "Melting_Curves/meltCurve_Q12907_LMAN2.pdf")</f>
        <v>Melting_Curves/meltCurve_Q12907_LMAN2.pdf</v>
      </c>
    </row>
    <row r="3045" spans="1:28" x14ac:dyDescent="0.25">
      <c r="A3045" t="s">
        <v>3049</v>
      </c>
      <c r="B3045">
        <v>0.99930955844802105</v>
      </c>
      <c r="C3045">
        <v>0.982389718182899</v>
      </c>
      <c r="D3045">
        <v>0.93531575262502198</v>
      </c>
      <c r="E3045">
        <v>0.76325095187940395</v>
      </c>
      <c r="F3045">
        <v>0.593352364306727</v>
      </c>
      <c r="G3045">
        <v>0.50891495040151302</v>
      </c>
      <c r="H3045">
        <v>0.46799002097611497</v>
      </c>
      <c r="I3045">
        <v>0.453713644657745</v>
      </c>
      <c r="J3045">
        <v>0.509414103871073</v>
      </c>
      <c r="K3045">
        <v>0.37464180993902102</v>
      </c>
      <c r="L3045">
        <v>992.305089958964</v>
      </c>
      <c r="M3045">
        <v>19.5872968501739</v>
      </c>
      <c r="N3045">
        <v>56.959879159099799</v>
      </c>
      <c r="O3045">
        <v>50.141463160881997</v>
      </c>
      <c r="P3045">
        <v>-5.4428690022404899E-2</v>
      </c>
      <c r="Q3045">
        <v>0.44269232971429501</v>
      </c>
      <c r="R3045">
        <v>0.98214544008008697</v>
      </c>
      <c r="S3045" t="s">
        <v>9662</v>
      </c>
      <c r="T3045" t="s">
        <v>13232</v>
      </c>
      <c r="U3045" t="s">
        <v>13232</v>
      </c>
      <c r="V3045" t="s">
        <v>13232</v>
      </c>
      <c r="W3045" t="s">
        <v>16222</v>
      </c>
      <c r="X3045">
        <v>4</v>
      </c>
      <c r="Y3045" t="s">
        <v>22684</v>
      </c>
      <c r="Z3045" t="s">
        <v>29176</v>
      </c>
      <c r="AA3045">
        <v>0.64878880722821597</v>
      </c>
      <c r="AB3045" t="str">
        <f>HYPERLINK("Melting_Curves/meltCurve_Q12912_2_LRMP.pdf", "Melting_Curves/meltCurve_Q12912_2_LRMP.pdf")</f>
        <v>Melting_Curves/meltCurve_Q12912_2_LRMP.pdf</v>
      </c>
    </row>
    <row r="3046" spans="1:28" x14ac:dyDescent="0.25">
      <c r="A3046" t="s">
        <v>3050</v>
      </c>
      <c r="B3046">
        <v>0.99930955844802105</v>
      </c>
      <c r="C3046">
        <v>0.53891361475031596</v>
      </c>
      <c r="D3046">
        <v>0.42607093176759298</v>
      </c>
      <c r="E3046">
        <v>0.35371981589318702</v>
      </c>
      <c r="F3046">
        <v>0.245109750243064</v>
      </c>
      <c r="G3046">
        <v>0.154802688138826</v>
      </c>
      <c r="H3046">
        <v>7.7800325558477601E-2</v>
      </c>
      <c r="I3046">
        <v>6.3620611005560601E-2</v>
      </c>
      <c r="J3046">
        <v>5.5656272595615501E-2</v>
      </c>
      <c r="K3046">
        <v>4.25986606359317E-2</v>
      </c>
      <c r="L3046">
        <v>518.73816434333298</v>
      </c>
      <c r="M3046">
        <v>11.451766840583501</v>
      </c>
      <c r="N3046">
        <v>45.690523871014697</v>
      </c>
      <c r="O3046">
        <v>43.9823880155541</v>
      </c>
      <c r="P3046">
        <v>-6.2058771456095202E-2</v>
      </c>
      <c r="Q3046">
        <v>4.6887727276117702E-2</v>
      </c>
      <c r="R3046">
        <v>0.92945653061822497</v>
      </c>
      <c r="S3046" t="s">
        <v>9663</v>
      </c>
      <c r="T3046" t="s">
        <v>13232</v>
      </c>
      <c r="U3046" t="s">
        <v>13232</v>
      </c>
      <c r="V3046" t="s">
        <v>13232</v>
      </c>
      <c r="W3046" t="s">
        <v>16223</v>
      </c>
      <c r="X3046">
        <v>9</v>
      </c>
      <c r="Y3046" t="s">
        <v>22685</v>
      </c>
      <c r="Z3046" t="s">
        <v>29177</v>
      </c>
      <c r="AA3046">
        <v>0.26556198974246631</v>
      </c>
      <c r="AB3046" t="str">
        <f>HYPERLINK("Melting_Curves/meltCurve_Q12933_3_TRAF2.pdf", "Melting_Curves/meltCurve_Q12933_3_TRAF2.pdf")</f>
        <v>Melting_Curves/meltCurve_Q12933_3_TRAF2.pdf</v>
      </c>
    </row>
    <row r="3047" spans="1:28" x14ac:dyDescent="0.25">
      <c r="A3047" t="s">
        <v>3051</v>
      </c>
      <c r="B3047">
        <v>0.99930955844802105</v>
      </c>
      <c r="C3047">
        <v>0.77613313632481495</v>
      </c>
      <c r="D3047">
        <v>0.77936417500465904</v>
      </c>
      <c r="E3047">
        <v>0.88683365479755105</v>
      </c>
      <c r="F3047">
        <v>0.92710866022174199</v>
      </c>
      <c r="G3047">
        <v>0.73501255341043303</v>
      </c>
      <c r="H3047">
        <v>0.24216810870907901</v>
      </c>
      <c r="I3047">
        <v>0.25341235511552401</v>
      </c>
      <c r="J3047">
        <v>0.253584203240938</v>
      </c>
      <c r="K3047">
        <v>0.162538646429812</v>
      </c>
      <c r="L3047">
        <v>2824.8337463119301</v>
      </c>
      <c r="M3047">
        <v>48.933719169472198</v>
      </c>
      <c r="N3047">
        <v>58.3931159726422</v>
      </c>
      <c r="O3047">
        <v>57.631588996525799</v>
      </c>
      <c r="P3047">
        <v>-0.16690719414917499</v>
      </c>
      <c r="Q3047">
        <v>0.21370228470685801</v>
      </c>
      <c r="R3047">
        <v>0.87729913392172498</v>
      </c>
      <c r="S3047" t="s">
        <v>9664</v>
      </c>
      <c r="T3047" t="s">
        <v>13232</v>
      </c>
      <c r="U3047" t="s">
        <v>13232</v>
      </c>
      <c r="V3047" t="s">
        <v>13232</v>
      </c>
      <c r="W3047" t="s">
        <v>16224</v>
      </c>
      <c r="X3047">
        <v>6</v>
      </c>
      <c r="Y3047" t="s">
        <v>22686</v>
      </c>
      <c r="Z3047" t="s">
        <v>29178</v>
      </c>
      <c r="AA3047">
        <v>0.68042733899526664</v>
      </c>
      <c r="AB3047" t="str">
        <f>HYPERLINK("Melting_Curves/meltCurve_Q12955_ANK3.pdf", "Melting_Curves/meltCurve_Q12955_ANK3.pdf")</f>
        <v>Melting_Curves/meltCurve_Q12955_ANK3.pdf</v>
      </c>
    </row>
    <row r="3048" spans="1:28" x14ac:dyDescent="0.25">
      <c r="A3048" t="s">
        <v>3052</v>
      </c>
      <c r="B3048">
        <v>0.99930955844802105</v>
      </c>
      <c r="C3048">
        <v>0.96776464143135199</v>
      </c>
      <c r="D3048">
        <v>0.95469442701628604</v>
      </c>
      <c r="E3048">
        <v>0.82655806562057699</v>
      </c>
      <c r="F3048">
        <v>0.61073333249959905</v>
      </c>
      <c r="G3048">
        <v>0.29438208761127399</v>
      </c>
      <c r="H3048">
        <v>0.18052724764682801</v>
      </c>
      <c r="I3048">
        <v>0.14427795014529399</v>
      </c>
      <c r="J3048">
        <v>0.123032214714404</v>
      </c>
      <c r="K3048">
        <v>9.4659092221482499E-2</v>
      </c>
      <c r="L3048">
        <v>1058.72406272325</v>
      </c>
      <c r="M3048">
        <v>19.750958405769001</v>
      </c>
      <c r="N3048">
        <v>54.210818518367198</v>
      </c>
      <c r="O3048">
        <v>53.063271515771802</v>
      </c>
      <c r="P3048">
        <v>-8.3823690753562205E-2</v>
      </c>
      <c r="Q3048">
        <v>9.9222336433703401E-2</v>
      </c>
      <c r="R3048">
        <v>0.99884477371465397</v>
      </c>
      <c r="S3048" t="s">
        <v>9665</v>
      </c>
      <c r="T3048" t="s">
        <v>13232</v>
      </c>
      <c r="U3048" t="s">
        <v>13232</v>
      </c>
      <c r="V3048" t="s">
        <v>13232</v>
      </c>
      <c r="W3048" t="s">
        <v>16225</v>
      </c>
      <c r="X3048">
        <v>15</v>
      </c>
      <c r="Y3048" t="s">
        <v>22687</v>
      </c>
      <c r="Z3048" t="s">
        <v>29179</v>
      </c>
      <c r="AA3048">
        <v>0.52025275938329796</v>
      </c>
      <c r="AB3048" t="str">
        <f>HYPERLINK("Melting_Curves/meltCurve_Q12959_5_DLG1.pdf", "Melting_Curves/meltCurve_Q12959_5_DLG1.pdf")</f>
        <v>Melting_Curves/meltCurve_Q12959_5_DLG1.pdf</v>
      </c>
    </row>
    <row r="3049" spans="1:28" x14ac:dyDescent="0.25">
      <c r="A3049" t="s">
        <v>3053</v>
      </c>
      <c r="B3049">
        <v>0.99930955844802105</v>
      </c>
      <c r="C3049">
        <v>1.01561670861872</v>
      </c>
      <c r="D3049">
        <v>0.98678326033183605</v>
      </c>
      <c r="E3049">
        <v>0.88135004465011202</v>
      </c>
      <c r="F3049">
        <v>0.73987801270012898</v>
      </c>
      <c r="G3049">
        <v>0.51762057304746001</v>
      </c>
      <c r="H3049">
        <v>0.46144294749667097</v>
      </c>
      <c r="I3049">
        <v>0.47833139780810502</v>
      </c>
      <c r="J3049">
        <v>0.45726269887373699</v>
      </c>
      <c r="K3049">
        <v>0.390384373081131</v>
      </c>
      <c r="L3049">
        <v>1201.78956497627</v>
      </c>
      <c r="M3049">
        <v>22.595597421291799</v>
      </c>
      <c r="N3049">
        <v>58.331351412529898</v>
      </c>
      <c r="O3049">
        <v>52.775557339878397</v>
      </c>
      <c r="P3049">
        <v>-6.08146641421854E-2</v>
      </c>
      <c r="Q3049">
        <v>0.431842712671894</v>
      </c>
      <c r="R3049">
        <v>0.99267991512959097</v>
      </c>
      <c r="S3049" t="s">
        <v>9666</v>
      </c>
      <c r="T3049" t="s">
        <v>13232</v>
      </c>
      <c r="U3049" t="s">
        <v>13232</v>
      </c>
      <c r="V3049" t="s">
        <v>13232</v>
      </c>
      <c r="W3049" t="s">
        <v>16226</v>
      </c>
      <c r="X3049">
        <v>4</v>
      </c>
      <c r="Y3049" t="s">
        <v>22688</v>
      </c>
      <c r="Z3049" t="s">
        <v>29180</v>
      </c>
      <c r="AA3049">
        <v>0.68788843172753333</v>
      </c>
      <c r="AB3049" t="str">
        <f>HYPERLINK("Melting_Curves/meltCurve_Q12962_TAF10.pdf", "Melting_Curves/meltCurve_Q12962_TAF10.pdf")</f>
        <v>Melting_Curves/meltCurve_Q12962_TAF10.pdf</v>
      </c>
    </row>
    <row r="3050" spans="1:28" x14ac:dyDescent="0.25">
      <c r="A3050" t="s">
        <v>3054</v>
      </c>
      <c r="B3050">
        <v>0.99930955844802105</v>
      </c>
      <c r="C3050">
        <v>1.04976656987343</v>
      </c>
      <c r="D3050">
        <v>0.99452497363250303</v>
      </c>
      <c r="E3050">
        <v>0.96246022767953499</v>
      </c>
      <c r="F3050">
        <v>0.88120662000286698</v>
      </c>
      <c r="G3050">
        <v>0.81453415687434405</v>
      </c>
      <c r="H3050">
        <v>0.85654191364312704</v>
      </c>
      <c r="I3050">
        <v>0.94181348089076999</v>
      </c>
      <c r="J3050">
        <v>0.87428774470449</v>
      </c>
      <c r="K3050">
        <v>0.72472603616885301</v>
      </c>
      <c r="L3050">
        <v>2230.9601067139401</v>
      </c>
      <c r="M3050">
        <v>43.381948722277897</v>
      </c>
      <c r="O3050">
        <v>51.317085636218998</v>
      </c>
      <c r="P3050">
        <v>-3.3267204525945199E-2</v>
      </c>
      <c r="Q3050">
        <v>0.84259135913050798</v>
      </c>
      <c r="R3050">
        <v>0.67324922682897204</v>
      </c>
      <c r="S3050" t="s">
        <v>9667</v>
      </c>
      <c r="T3050" t="s">
        <v>13232</v>
      </c>
      <c r="U3050" t="s">
        <v>13232</v>
      </c>
      <c r="V3050" t="s">
        <v>13232</v>
      </c>
      <c r="W3050" t="s">
        <v>16227</v>
      </c>
      <c r="X3050">
        <v>14</v>
      </c>
      <c r="Y3050" t="s">
        <v>22689</v>
      </c>
      <c r="Z3050" t="s">
        <v>29181</v>
      </c>
      <c r="AA3050">
        <v>0.90301816206813867</v>
      </c>
      <c r="AB3050" t="str">
        <f>HYPERLINK("Melting_Curves/meltCurve_Q12968_NFATC3.pdf", "Melting_Curves/meltCurve_Q12968_NFATC3.pdf")</f>
        <v>Melting_Curves/meltCurve_Q12968_NFATC3.pdf</v>
      </c>
    </row>
    <row r="3051" spans="1:28" x14ac:dyDescent="0.25">
      <c r="A3051" t="s">
        <v>3055</v>
      </c>
      <c r="B3051">
        <v>0.99930955844802105</v>
      </c>
      <c r="C3051">
        <v>0.98143144390262504</v>
      </c>
      <c r="D3051">
        <v>1.0954655061125</v>
      </c>
      <c r="E3051">
        <v>0.93879276017405999</v>
      </c>
      <c r="F3051">
        <v>0.57667468360153495</v>
      </c>
      <c r="G3051">
        <v>0.35915339355071002</v>
      </c>
      <c r="H3051">
        <v>0.28937691106838198</v>
      </c>
      <c r="I3051">
        <v>0.28580350669460802</v>
      </c>
      <c r="J3051">
        <v>0.27176737466046502</v>
      </c>
      <c r="K3051">
        <v>0.222941344636883</v>
      </c>
      <c r="L3051">
        <v>2049.0644985762201</v>
      </c>
      <c r="M3051">
        <v>38.899154626588199</v>
      </c>
      <c r="N3051">
        <v>53.784443177869903</v>
      </c>
      <c r="O3051">
        <v>52.537685805626303</v>
      </c>
      <c r="P3051">
        <v>-0.13407681633860399</v>
      </c>
      <c r="Q3051">
        <v>0.275658371462772</v>
      </c>
      <c r="R3051">
        <v>0.98639974397695895</v>
      </c>
      <c r="S3051" t="s">
        <v>9668</v>
      </c>
      <c r="T3051" t="s">
        <v>13232</v>
      </c>
      <c r="U3051" t="s">
        <v>13232</v>
      </c>
      <c r="V3051" t="s">
        <v>13232</v>
      </c>
      <c r="W3051" t="s">
        <v>16228</v>
      </c>
      <c r="X3051">
        <v>12</v>
      </c>
      <c r="Y3051" t="s">
        <v>22690</v>
      </c>
      <c r="Z3051" t="s">
        <v>29182</v>
      </c>
      <c r="AA3051">
        <v>0.58451172766460402</v>
      </c>
      <c r="AB3051" t="str">
        <f>HYPERLINK("Melting_Curves/meltCurve_Q12972_PPP1R8.pdf", "Melting_Curves/meltCurve_Q12972_PPP1R8.pdf")</f>
        <v>Melting_Curves/meltCurve_Q12972_PPP1R8.pdf</v>
      </c>
    </row>
    <row r="3052" spans="1:28" x14ac:dyDescent="0.25">
      <c r="A3052" t="s">
        <v>3056</v>
      </c>
      <c r="B3052">
        <v>0.99930955844802105</v>
      </c>
      <c r="C3052">
        <v>1.05613106343702</v>
      </c>
      <c r="D3052">
        <v>0.95520826184653296</v>
      </c>
      <c r="E3052">
        <v>0.97549412652936496</v>
      </c>
      <c r="F3052">
        <v>0.77160239694271204</v>
      </c>
      <c r="G3052">
        <v>0.43306932753370397</v>
      </c>
      <c r="H3052">
        <v>0.26902752350207698</v>
      </c>
      <c r="I3052">
        <v>0.183896925029532</v>
      </c>
      <c r="J3052">
        <v>0.134342743042933</v>
      </c>
      <c r="K3052">
        <v>9.3451799666807597E-2</v>
      </c>
      <c r="L3052">
        <v>1177.0287250623801</v>
      </c>
      <c r="M3052">
        <v>21.092269683141801</v>
      </c>
      <c r="N3052">
        <v>56.471037159139698</v>
      </c>
      <c r="O3052">
        <v>55.309448808944403</v>
      </c>
      <c r="P3052">
        <v>-8.4824523419336897E-2</v>
      </c>
      <c r="Q3052">
        <v>0.110295094057655</v>
      </c>
      <c r="R3052">
        <v>0.99336538338967895</v>
      </c>
      <c r="S3052" t="s">
        <v>9669</v>
      </c>
      <c r="T3052" t="s">
        <v>13232</v>
      </c>
      <c r="U3052" t="s">
        <v>13232</v>
      </c>
      <c r="V3052" t="s">
        <v>13232</v>
      </c>
      <c r="W3052" t="s">
        <v>16229</v>
      </c>
      <c r="X3052">
        <v>7</v>
      </c>
      <c r="Y3052" t="s">
        <v>22691</v>
      </c>
      <c r="Z3052" t="s">
        <v>29183</v>
      </c>
      <c r="AA3052">
        <v>0.58969045416548693</v>
      </c>
      <c r="AB3052" t="str">
        <f>HYPERLINK("Melting_Curves/meltCurve_Q12974_PTP4A2.pdf", "Melting_Curves/meltCurve_Q12974_PTP4A2.pdf")</f>
        <v>Melting_Curves/meltCurve_Q12974_PTP4A2.pdf</v>
      </c>
    </row>
    <row r="3053" spans="1:28" x14ac:dyDescent="0.25">
      <c r="A3053" t="s">
        <v>3057</v>
      </c>
      <c r="B3053">
        <v>0.99930955844802105</v>
      </c>
      <c r="C3053">
        <v>0.99974802857856204</v>
      </c>
      <c r="D3053">
        <v>0.96306237187154198</v>
      </c>
      <c r="E3053">
        <v>0.71984322793435396</v>
      </c>
      <c r="F3053">
        <v>0.35299863318600699</v>
      </c>
      <c r="G3053">
        <v>0.229823199941594</v>
      </c>
      <c r="H3053">
        <v>0.15390658767756399</v>
      </c>
      <c r="I3053">
        <v>0.13351438031253701</v>
      </c>
      <c r="J3053">
        <v>9.9658038810268995E-2</v>
      </c>
      <c r="K3053">
        <v>7.6881275902042703E-2</v>
      </c>
      <c r="L3053">
        <v>1316.9327798347001</v>
      </c>
      <c r="M3053">
        <v>25.656827846750101</v>
      </c>
      <c r="N3053">
        <v>51.866225948134698</v>
      </c>
      <c r="O3053">
        <v>51.019968133741997</v>
      </c>
      <c r="P3053">
        <v>-0.11104521535815801</v>
      </c>
      <c r="Q3053">
        <v>0.11673342505681999</v>
      </c>
      <c r="R3053">
        <v>0.99534546877879304</v>
      </c>
      <c r="S3053" t="s">
        <v>9670</v>
      </c>
      <c r="T3053" t="s">
        <v>13232</v>
      </c>
      <c r="U3053" t="s">
        <v>13232</v>
      </c>
      <c r="V3053" t="s">
        <v>13232</v>
      </c>
      <c r="W3053" t="s">
        <v>16230</v>
      </c>
      <c r="X3053">
        <v>12</v>
      </c>
      <c r="Y3053" t="s">
        <v>22692</v>
      </c>
      <c r="Z3053" t="s">
        <v>29184</v>
      </c>
      <c r="AA3053">
        <v>0.4578882074177964</v>
      </c>
      <c r="AB3053" t="str">
        <f>HYPERLINK("Melting_Curves/meltCurve_Q12979_4_ABR.pdf", "Melting_Curves/meltCurve_Q12979_4_ABR.pdf")</f>
        <v>Melting_Curves/meltCurve_Q12979_4_ABR.pdf</v>
      </c>
    </row>
    <row r="3054" spans="1:28" x14ac:dyDescent="0.25">
      <c r="A3054" t="s">
        <v>3058</v>
      </c>
      <c r="B3054">
        <v>0.99930955844802105</v>
      </c>
      <c r="C3054">
        <v>1.01563200935353</v>
      </c>
      <c r="D3054">
        <v>0.98318143211120601</v>
      </c>
      <c r="E3054">
        <v>0.99159257311245297</v>
      </c>
      <c r="F3054">
        <v>0.84334218152287199</v>
      </c>
      <c r="G3054">
        <v>0.62358042545270198</v>
      </c>
      <c r="H3054">
        <v>0.49533895700071501</v>
      </c>
      <c r="I3054">
        <v>0.44787548292081603</v>
      </c>
      <c r="J3054">
        <v>0.38891317220565402</v>
      </c>
      <c r="K3054">
        <v>0.287207311375128</v>
      </c>
      <c r="L3054">
        <v>935.88775491853505</v>
      </c>
      <c r="M3054">
        <v>16.3722513103497</v>
      </c>
      <c r="N3054">
        <v>60.654255267945601</v>
      </c>
      <c r="O3054">
        <v>56.330653197336702</v>
      </c>
      <c r="P3054">
        <v>-5.0492482593721702E-2</v>
      </c>
      <c r="Q3054">
        <v>0.305148531815783</v>
      </c>
      <c r="R3054">
        <v>0.98748456697605402</v>
      </c>
      <c r="S3054" t="s">
        <v>9671</v>
      </c>
      <c r="T3054" t="s">
        <v>13232</v>
      </c>
      <c r="U3054" t="s">
        <v>13232</v>
      </c>
      <c r="V3054" t="s">
        <v>13232</v>
      </c>
      <c r="W3054" t="s">
        <v>16231</v>
      </c>
      <c r="X3054">
        <v>4</v>
      </c>
      <c r="Y3054" t="s">
        <v>22693</v>
      </c>
      <c r="Z3054" t="s">
        <v>29185</v>
      </c>
      <c r="AA3054">
        <v>0.71284861784410158</v>
      </c>
      <c r="AB3054" t="str">
        <f>HYPERLINK("Melting_Curves/meltCurve_Q12981_BNIP1.pdf", "Melting_Curves/meltCurve_Q12981_BNIP1.pdf")</f>
        <v>Melting_Curves/meltCurve_Q12981_BNIP1.pdf</v>
      </c>
    </row>
    <row r="3055" spans="1:28" x14ac:dyDescent="0.25">
      <c r="A3055" t="s">
        <v>3059</v>
      </c>
      <c r="B3055">
        <v>0.99930955844802105</v>
      </c>
      <c r="C3055">
        <v>0.93261898802921706</v>
      </c>
      <c r="D3055">
        <v>0.92920012122084505</v>
      </c>
      <c r="E3055">
        <v>0.79910822581914298</v>
      </c>
      <c r="F3055">
        <v>0.58598537562476505</v>
      </c>
      <c r="G3055">
        <v>0.48272700997808099</v>
      </c>
      <c r="H3055">
        <v>0.286487519213941</v>
      </c>
      <c r="I3055">
        <v>0.25230050095618101</v>
      </c>
      <c r="J3055">
        <v>0.26984514585234798</v>
      </c>
      <c r="K3055">
        <v>0.19073022980128501</v>
      </c>
      <c r="L3055">
        <v>694.13407842129698</v>
      </c>
      <c r="M3055">
        <v>12.8949218025927</v>
      </c>
      <c r="N3055">
        <v>55.604991192514497</v>
      </c>
      <c r="O3055">
        <v>52.584733920009903</v>
      </c>
      <c r="P3055">
        <v>-5.0971851590612502E-2</v>
      </c>
      <c r="Q3055">
        <v>0.16871070164933899</v>
      </c>
      <c r="R3055">
        <v>0.99060104981180297</v>
      </c>
      <c r="S3055" t="s">
        <v>9672</v>
      </c>
      <c r="T3055" t="s">
        <v>13232</v>
      </c>
      <c r="U3055" t="s">
        <v>13232</v>
      </c>
      <c r="V3055" t="s">
        <v>13232</v>
      </c>
      <c r="W3055" t="s">
        <v>16232</v>
      </c>
      <c r="X3055">
        <v>3</v>
      </c>
      <c r="Y3055" t="s">
        <v>22694</v>
      </c>
      <c r="Z3055" t="s">
        <v>29186</v>
      </c>
      <c r="AA3055">
        <v>0.57245319693199215</v>
      </c>
      <c r="AB3055" t="str">
        <f>HYPERLINK("Melting_Curves/meltCurve_Q12982_BNIP2.pdf", "Melting_Curves/meltCurve_Q12982_BNIP2.pdf")</f>
        <v>Melting_Curves/meltCurve_Q12982_BNIP2.pdf</v>
      </c>
    </row>
    <row r="3056" spans="1:28" x14ac:dyDescent="0.25">
      <c r="A3056" t="s">
        <v>3060</v>
      </c>
      <c r="B3056">
        <v>0.99930955844802105</v>
      </c>
      <c r="C3056">
        <v>0.96648811809342805</v>
      </c>
      <c r="D3056">
        <v>0.93815862818564499</v>
      </c>
      <c r="E3056">
        <v>0.77768781689656996</v>
      </c>
      <c r="F3056">
        <v>0.61515606382164201</v>
      </c>
      <c r="G3056">
        <v>0.50615716460024796</v>
      </c>
      <c r="H3056">
        <v>0.46084029282692301</v>
      </c>
      <c r="I3056">
        <v>0.48688802995679498</v>
      </c>
      <c r="J3056">
        <v>0.48403684687610699</v>
      </c>
      <c r="K3056">
        <v>0.387248909307506</v>
      </c>
      <c r="L3056">
        <v>951.38567037795099</v>
      </c>
      <c r="M3056">
        <v>18.671352525375799</v>
      </c>
      <c r="N3056">
        <v>57.572494634778302</v>
      </c>
      <c r="O3056">
        <v>50.3806006300576</v>
      </c>
      <c r="P3056">
        <v>-5.1743915304883203E-2</v>
      </c>
      <c r="Q3056">
        <v>0.44154489743008202</v>
      </c>
      <c r="R3056">
        <v>0.98752794054896897</v>
      </c>
      <c r="S3056" t="s">
        <v>9673</v>
      </c>
      <c r="T3056" t="s">
        <v>13232</v>
      </c>
      <c r="U3056" t="s">
        <v>13232</v>
      </c>
      <c r="V3056" t="s">
        <v>13232</v>
      </c>
      <c r="W3056" t="s">
        <v>16233</v>
      </c>
      <c r="X3056">
        <v>14</v>
      </c>
      <c r="Y3056" t="s">
        <v>22695</v>
      </c>
      <c r="Z3056" t="s">
        <v>29187</v>
      </c>
      <c r="AA3056">
        <v>0.65426843501829368</v>
      </c>
      <c r="AB3056" t="str">
        <f>HYPERLINK("Melting_Curves/meltCurve_Q12986_2_NFX1.pdf", "Melting_Curves/meltCurve_Q12986_2_NFX1.pdf")</f>
        <v>Melting_Curves/meltCurve_Q12986_2_NFX1.pdf</v>
      </c>
    </row>
    <row r="3057" spans="1:28" x14ac:dyDescent="0.25">
      <c r="A3057" t="s">
        <v>3061</v>
      </c>
      <c r="B3057">
        <v>0.99930955844802105</v>
      </c>
      <c r="C3057">
        <v>0.75631868557777204</v>
      </c>
      <c r="D3057">
        <v>0.78122780055254304</v>
      </c>
      <c r="E3057">
        <v>0.82572081394346897</v>
      </c>
      <c r="F3057">
        <v>0.25563108923928302</v>
      </c>
      <c r="G3057">
        <v>0.140211660807462</v>
      </c>
      <c r="H3057">
        <v>8.03249926165229E-2</v>
      </c>
      <c r="I3057">
        <v>7.0882004674260105E-2</v>
      </c>
      <c r="J3057">
        <v>6.5942462633830606E-2</v>
      </c>
      <c r="K3057">
        <v>5.0521833157991601E-2</v>
      </c>
      <c r="L3057">
        <v>811.79705999429098</v>
      </c>
      <c r="M3057">
        <v>15.839945477179301</v>
      </c>
      <c r="N3057">
        <v>51.366547772827197</v>
      </c>
      <c r="O3057">
        <v>50.454011478439199</v>
      </c>
      <c r="P3057">
        <v>-7.7107867868959998E-2</v>
      </c>
      <c r="Q3057">
        <v>1.76522223305501E-2</v>
      </c>
      <c r="R3057">
        <v>0.91452206494732502</v>
      </c>
      <c r="S3057" t="s">
        <v>9674</v>
      </c>
      <c r="T3057" t="s">
        <v>13232</v>
      </c>
      <c r="U3057" t="s">
        <v>13232</v>
      </c>
      <c r="V3057" t="s">
        <v>13232</v>
      </c>
      <c r="W3057" t="s">
        <v>16234</v>
      </c>
      <c r="X3057">
        <v>28</v>
      </c>
      <c r="Y3057" t="s">
        <v>22696</v>
      </c>
      <c r="Z3057" t="s">
        <v>29188</v>
      </c>
      <c r="AA3057">
        <v>0.4066153337094407</v>
      </c>
      <c r="AB3057" t="str">
        <f>HYPERLINK("Melting_Curves/meltCurve_Q12996_CSTF3.pdf", "Melting_Curves/meltCurve_Q12996_CSTF3.pdf")</f>
        <v>Melting_Curves/meltCurve_Q12996_CSTF3.pdf</v>
      </c>
    </row>
    <row r="3058" spans="1:28" x14ac:dyDescent="0.25">
      <c r="A3058" t="s">
        <v>3062</v>
      </c>
      <c r="B3058">
        <v>0.99930955844802105</v>
      </c>
      <c r="C3058">
        <v>0.83104134500405002</v>
      </c>
      <c r="D3058">
        <v>0.86558007666146197</v>
      </c>
      <c r="E3058">
        <v>0.84016403050858501</v>
      </c>
      <c r="F3058">
        <v>0.84849578466184195</v>
      </c>
      <c r="G3058">
        <v>0.19569478906833301</v>
      </c>
      <c r="H3058">
        <v>7.9662675033409999E-2</v>
      </c>
      <c r="I3058">
        <v>6.2964964180937305E-2</v>
      </c>
      <c r="J3058">
        <v>5.5484575539595002E-2</v>
      </c>
      <c r="K3058">
        <v>4.4870595331973101E-2</v>
      </c>
      <c r="L3058">
        <v>2272.4403220352801</v>
      </c>
      <c r="M3058">
        <v>41.452253356798998</v>
      </c>
      <c r="N3058">
        <v>54.9705542019232</v>
      </c>
      <c r="O3058">
        <v>54.693548798327797</v>
      </c>
      <c r="P3058">
        <v>-0.17935067064381599</v>
      </c>
      <c r="Q3058">
        <v>5.3435619127013598E-2</v>
      </c>
      <c r="R3058">
        <v>0.95692062326999305</v>
      </c>
      <c r="S3058" t="s">
        <v>9675</v>
      </c>
      <c r="T3058" t="s">
        <v>13232</v>
      </c>
      <c r="U3058" t="s">
        <v>13232</v>
      </c>
      <c r="V3058" t="s">
        <v>13232</v>
      </c>
      <c r="W3058" t="s">
        <v>16235</v>
      </c>
      <c r="X3058">
        <v>15</v>
      </c>
      <c r="Y3058" t="s">
        <v>22697</v>
      </c>
      <c r="Z3058" t="s">
        <v>29189</v>
      </c>
      <c r="AA3058">
        <v>0.52438938018016967</v>
      </c>
      <c r="AB3058" t="str">
        <f>HYPERLINK("Melting_Curves/meltCurve_Q13011_ECH1.pdf", "Melting_Curves/meltCurve_Q13011_ECH1.pdf")</f>
        <v>Melting_Curves/meltCurve_Q13011_ECH1.pdf</v>
      </c>
    </row>
    <row r="3059" spans="1:28" x14ac:dyDescent="0.25">
      <c r="A3059" t="s">
        <v>3063</v>
      </c>
      <c r="B3059">
        <v>0.99930955844802105</v>
      </c>
      <c r="C3059">
        <v>1.0041631088621901</v>
      </c>
      <c r="D3059">
        <v>0.96019686083210398</v>
      </c>
      <c r="E3059">
        <v>0.58634191737548502</v>
      </c>
      <c r="F3059">
        <v>0.357305414558023</v>
      </c>
      <c r="G3059">
        <v>0.27690589503837398</v>
      </c>
      <c r="H3059">
        <v>0.23572129725552801</v>
      </c>
      <c r="I3059">
        <v>0.23176741795602401</v>
      </c>
      <c r="J3059">
        <v>0.20885088835091001</v>
      </c>
      <c r="K3059">
        <v>0.159581052398201</v>
      </c>
      <c r="L3059">
        <v>1368.6584153066899</v>
      </c>
      <c r="M3059">
        <v>27.389832041649399</v>
      </c>
      <c r="N3059">
        <v>51.0179207288963</v>
      </c>
      <c r="O3059">
        <v>49.705491758549201</v>
      </c>
      <c r="P3059">
        <v>-0.108115626572201</v>
      </c>
      <c r="Q3059">
        <v>0.21519926137599499</v>
      </c>
      <c r="R3059">
        <v>0.994543937672976</v>
      </c>
      <c r="S3059" t="s">
        <v>9676</v>
      </c>
      <c r="T3059" t="s">
        <v>13232</v>
      </c>
      <c r="U3059" t="s">
        <v>13232</v>
      </c>
      <c r="V3059" t="s">
        <v>13232</v>
      </c>
      <c r="W3059" t="s">
        <v>16236</v>
      </c>
      <c r="X3059">
        <v>16</v>
      </c>
      <c r="Y3059" t="s">
        <v>22698</v>
      </c>
      <c r="Z3059" t="s">
        <v>29190</v>
      </c>
      <c r="AA3059">
        <v>0.48183646842268818</v>
      </c>
      <c r="AB3059" t="str">
        <f>HYPERLINK("Melting_Curves/meltCurve_Q13017_2_ARHGAP5.pdf", "Melting_Curves/meltCurve_Q13017_2_ARHGAP5.pdf")</f>
        <v>Melting_Curves/meltCurve_Q13017_2_ARHGAP5.pdf</v>
      </c>
    </row>
    <row r="3060" spans="1:28" x14ac:dyDescent="0.25">
      <c r="A3060" t="s">
        <v>3064</v>
      </c>
      <c r="B3060">
        <v>0.99930955844802105</v>
      </c>
      <c r="C3060">
        <v>1.0744413799977299</v>
      </c>
      <c r="D3060">
        <v>1.00788619926703</v>
      </c>
      <c r="E3060">
        <v>0.94413833379622902</v>
      </c>
      <c r="F3060">
        <v>0.71254773111952896</v>
      </c>
      <c r="G3060">
        <v>0.364741637780504</v>
      </c>
      <c r="H3060">
        <v>0.19458183698708401</v>
      </c>
      <c r="I3060">
        <v>0.13940806175359399</v>
      </c>
      <c r="J3060">
        <v>0.152850580932854</v>
      </c>
      <c r="K3060">
        <v>0.112187209191575</v>
      </c>
      <c r="L3060">
        <v>1371.5941333963499</v>
      </c>
      <c r="M3060">
        <v>25.081453259129901</v>
      </c>
      <c r="N3060">
        <v>55.328235327799902</v>
      </c>
      <c r="O3060">
        <v>54.341537658432301</v>
      </c>
      <c r="P3060">
        <v>-0.100808630117479</v>
      </c>
      <c r="Q3060">
        <v>0.12636307095386901</v>
      </c>
      <c r="R3060">
        <v>0.99520240603967203</v>
      </c>
      <c r="S3060" t="s">
        <v>9677</v>
      </c>
      <c r="T3060" t="s">
        <v>13232</v>
      </c>
      <c r="U3060" t="s">
        <v>13232</v>
      </c>
      <c r="V3060" t="s">
        <v>13232</v>
      </c>
      <c r="W3060" t="s">
        <v>16237</v>
      </c>
      <c r="X3060">
        <v>18</v>
      </c>
      <c r="Y3060" t="s">
        <v>22699</v>
      </c>
      <c r="Z3060" t="s">
        <v>29191</v>
      </c>
      <c r="AA3060">
        <v>0.56206781773188152</v>
      </c>
      <c r="AB3060" t="str">
        <f>HYPERLINK("Melting_Curves/meltCurve_Q13033_STRN3.pdf", "Melting_Curves/meltCurve_Q13033_STRN3.pdf")</f>
        <v>Melting_Curves/meltCurve_Q13033_STRN3.pdf</v>
      </c>
    </row>
    <row r="3061" spans="1:28" x14ac:dyDescent="0.25">
      <c r="A3061" t="s">
        <v>3065</v>
      </c>
      <c r="B3061">
        <v>0.99930955844802105</v>
      </c>
      <c r="C3061">
        <v>0.93825074657695595</v>
      </c>
      <c r="D3061">
        <v>0.94280900142324398</v>
      </c>
      <c r="E3061">
        <v>0.88249399761646796</v>
      </c>
      <c r="F3061">
        <v>0.77602396296345499</v>
      </c>
      <c r="G3061">
        <v>0.45646973591115297</v>
      </c>
      <c r="H3061">
        <v>0.22128659449124199</v>
      </c>
      <c r="I3061">
        <v>0.15510568614008699</v>
      </c>
      <c r="J3061">
        <v>0.13845942160431901</v>
      </c>
      <c r="K3061">
        <v>0.10270411749799099</v>
      </c>
      <c r="L3061">
        <v>1022.16005684333</v>
      </c>
      <c r="M3061">
        <v>18.3033385223052</v>
      </c>
      <c r="N3061">
        <v>56.379894878848603</v>
      </c>
      <c r="O3061">
        <v>55.191736505344302</v>
      </c>
      <c r="P3061">
        <v>-7.6309548129994798E-2</v>
      </c>
      <c r="Q3061">
        <v>7.9629779879165599E-2</v>
      </c>
      <c r="R3061">
        <v>0.99482315481165795</v>
      </c>
      <c r="S3061" t="s">
        <v>9678</v>
      </c>
      <c r="T3061" t="s">
        <v>13232</v>
      </c>
      <c r="U3061" t="s">
        <v>13232</v>
      </c>
      <c r="V3061" t="s">
        <v>13232</v>
      </c>
      <c r="W3061" t="s">
        <v>16238</v>
      </c>
      <c r="X3061">
        <v>18</v>
      </c>
      <c r="Y3061" t="s">
        <v>22699</v>
      </c>
      <c r="Z3061" t="s">
        <v>29192</v>
      </c>
      <c r="AA3061">
        <v>0.57915600447826521</v>
      </c>
      <c r="AB3061" t="str">
        <f>HYPERLINK("Melting_Curves/meltCurve_Q13033_2_STRN3.pdf", "Melting_Curves/meltCurve_Q13033_2_STRN3.pdf")</f>
        <v>Melting_Curves/meltCurve_Q13033_2_STRN3.pdf</v>
      </c>
    </row>
    <row r="3062" spans="1:28" x14ac:dyDescent="0.25">
      <c r="A3062" t="s">
        <v>3066</v>
      </c>
      <c r="B3062">
        <v>0.99930955844802105</v>
      </c>
      <c r="C3062">
        <v>0.64662422836227096</v>
      </c>
      <c r="D3062">
        <v>0.62251479151225597</v>
      </c>
      <c r="E3062">
        <v>0.77384808579126196</v>
      </c>
      <c r="F3062">
        <v>0.58953729297663204</v>
      </c>
      <c r="G3062">
        <v>0.22952684563924999</v>
      </c>
      <c r="H3062">
        <v>0.115598848878171</v>
      </c>
      <c r="I3062">
        <v>8.1118724788769497E-2</v>
      </c>
      <c r="J3062">
        <v>6.8752098518713306E-2</v>
      </c>
      <c r="K3062">
        <v>5.3414902396038397E-2</v>
      </c>
      <c r="L3062">
        <v>470.74883593773001</v>
      </c>
      <c r="M3062">
        <v>9.1254428086493995</v>
      </c>
      <c r="N3062">
        <v>51.586402353869197</v>
      </c>
      <c r="O3062">
        <v>49.290207932672502</v>
      </c>
      <c r="P3062">
        <v>-4.6316155386946299E-2</v>
      </c>
      <c r="Q3062">
        <v>0</v>
      </c>
      <c r="R3062">
        <v>0.86232100581084103</v>
      </c>
      <c r="S3062" t="s">
        <v>9679</v>
      </c>
      <c r="T3062" t="s">
        <v>13232</v>
      </c>
      <c r="U3062" t="s">
        <v>13232</v>
      </c>
      <c r="V3062" t="s">
        <v>13232</v>
      </c>
      <c r="W3062" t="s">
        <v>16239</v>
      </c>
      <c r="X3062">
        <v>13</v>
      </c>
      <c r="Y3062" t="s">
        <v>22700</v>
      </c>
      <c r="Z3062" t="s">
        <v>29193</v>
      </c>
      <c r="AA3062">
        <v>0.42987311356958979</v>
      </c>
      <c r="AB3062" t="str">
        <f>HYPERLINK("Melting_Curves/meltCurve_Q13042_3_CDC16.pdf", "Melting_Curves/meltCurve_Q13042_3_CDC16.pdf")</f>
        <v>Melting_Curves/meltCurve_Q13042_3_CDC16.pdf</v>
      </c>
    </row>
    <row r="3063" spans="1:28" x14ac:dyDescent="0.25">
      <c r="A3063" t="s">
        <v>3067</v>
      </c>
      <c r="B3063">
        <v>0.99930955844802105</v>
      </c>
      <c r="C3063">
        <v>1.03118611115286</v>
      </c>
      <c r="D3063">
        <v>0.68361285895236401</v>
      </c>
      <c r="E3063">
        <v>0.64146736315681796</v>
      </c>
      <c r="F3063">
        <v>0.34823452948045103</v>
      </c>
      <c r="G3063">
        <v>0.219580421874121</v>
      </c>
      <c r="H3063">
        <v>0.16568401927658299</v>
      </c>
      <c r="I3063">
        <v>0.160410506744567</v>
      </c>
      <c r="J3063">
        <v>0.144759471775807</v>
      </c>
      <c r="K3063">
        <v>0.114403436836737</v>
      </c>
      <c r="L3063">
        <v>744.12967716937897</v>
      </c>
      <c r="M3063">
        <v>14.885804296051701</v>
      </c>
      <c r="N3063">
        <v>50.864724110009803</v>
      </c>
      <c r="O3063">
        <v>49.113079459184398</v>
      </c>
      <c r="P3063">
        <v>-6.7216645204361505E-2</v>
      </c>
      <c r="Q3063">
        <v>0.113014712619305</v>
      </c>
      <c r="R3063">
        <v>0.96967683754029199</v>
      </c>
      <c r="S3063" t="s">
        <v>9680</v>
      </c>
      <c r="T3063" t="s">
        <v>13232</v>
      </c>
      <c r="U3063" t="s">
        <v>13232</v>
      </c>
      <c r="V3063" t="s">
        <v>13232</v>
      </c>
      <c r="W3063" t="s">
        <v>16240</v>
      </c>
      <c r="X3063">
        <v>23</v>
      </c>
      <c r="Y3063" t="s">
        <v>22701</v>
      </c>
      <c r="Z3063" t="s">
        <v>29194</v>
      </c>
      <c r="AA3063">
        <v>0.42980431676074582</v>
      </c>
      <c r="AB3063" t="str">
        <f>HYPERLINK("Melting_Curves/meltCurve_Q13043_STK4.pdf", "Melting_Curves/meltCurve_Q13043_STK4.pdf")</f>
        <v>Melting_Curves/meltCurve_Q13043_STK4.pdf</v>
      </c>
    </row>
    <row r="3064" spans="1:28" x14ac:dyDescent="0.25">
      <c r="A3064" t="s">
        <v>3068</v>
      </c>
      <c r="B3064">
        <v>0.99930955844802105</v>
      </c>
      <c r="C3064">
        <v>0.79540812445794096</v>
      </c>
      <c r="D3064">
        <v>0.65277010492241905</v>
      </c>
      <c r="E3064">
        <v>0.33182122501042199</v>
      </c>
      <c r="F3064">
        <v>0.17455837205645899</v>
      </c>
      <c r="G3064">
        <v>0.12027780078927799</v>
      </c>
      <c r="H3064">
        <v>7.4848014839961702E-2</v>
      </c>
      <c r="I3064">
        <v>6.5539879691222394E-2</v>
      </c>
      <c r="J3064">
        <v>6.2365969800609197E-2</v>
      </c>
      <c r="K3064">
        <v>4.9925086019503101E-2</v>
      </c>
      <c r="L3064">
        <v>758.22468153494901</v>
      </c>
      <c r="M3064">
        <v>16.038622143679401</v>
      </c>
      <c r="N3064">
        <v>47.5890109021718</v>
      </c>
      <c r="O3064">
        <v>46.558284398989898</v>
      </c>
      <c r="P3064">
        <v>-8.1802615665254305E-2</v>
      </c>
      <c r="Q3064">
        <v>5.0218760903028098E-2</v>
      </c>
      <c r="R3064">
        <v>0.99475391802582402</v>
      </c>
      <c r="S3064" t="s">
        <v>9681</v>
      </c>
      <c r="T3064" t="s">
        <v>13232</v>
      </c>
      <c r="U3064" t="s">
        <v>13232</v>
      </c>
      <c r="V3064" t="s">
        <v>13232</v>
      </c>
      <c r="W3064" t="s">
        <v>16241</v>
      </c>
      <c r="X3064">
        <v>34</v>
      </c>
      <c r="Y3064" t="s">
        <v>22702</v>
      </c>
      <c r="Z3064" t="s">
        <v>29195</v>
      </c>
      <c r="AA3064">
        <v>0.3026445214835975</v>
      </c>
      <c r="AB3064" t="str">
        <f>HYPERLINK("Melting_Curves/meltCurve_Q13045_FLII.pdf", "Melting_Curves/meltCurve_Q13045_FLII.pdf")</f>
        <v>Melting_Curves/meltCurve_Q13045_FLII.pdf</v>
      </c>
    </row>
    <row r="3065" spans="1:28" x14ac:dyDescent="0.25">
      <c r="A3065" t="s">
        <v>3069</v>
      </c>
      <c r="B3065">
        <v>0.99930955844802105</v>
      </c>
      <c r="C3065">
        <v>0.93093563287943504</v>
      </c>
      <c r="D3065">
        <v>0.85035815789453595</v>
      </c>
      <c r="E3065">
        <v>0.74972582627242002</v>
      </c>
      <c r="F3065">
        <v>0.48120363583381398</v>
      </c>
      <c r="G3065">
        <v>0.28591300710316497</v>
      </c>
      <c r="H3065">
        <v>0.15475983753123099</v>
      </c>
      <c r="I3065">
        <v>0.13443465533698801</v>
      </c>
      <c r="J3065">
        <v>0.10836992988097401</v>
      </c>
      <c r="K3065">
        <v>8.9279401633551594E-2</v>
      </c>
      <c r="L3065">
        <v>750.65988643890603</v>
      </c>
      <c r="M3065">
        <v>14.2845462232081</v>
      </c>
      <c r="N3065">
        <v>53.017259076115202</v>
      </c>
      <c r="O3065">
        <v>51.552766118916402</v>
      </c>
      <c r="P3065">
        <v>-6.5186336135981598E-2</v>
      </c>
      <c r="Q3065">
        <v>5.9088015521547299E-2</v>
      </c>
      <c r="R3065">
        <v>0.994440526621163</v>
      </c>
      <c r="S3065" t="s">
        <v>9682</v>
      </c>
      <c r="T3065" t="s">
        <v>13232</v>
      </c>
      <c r="U3065" t="s">
        <v>13232</v>
      </c>
      <c r="V3065" t="s">
        <v>13232</v>
      </c>
      <c r="W3065" t="s">
        <v>16242</v>
      </c>
      <c r="X3065">
        <v>4</v>
      </c>
      <c r="Y3065" t="s">
        <v>22703</v>
      </c>
      <c r="Z3065" t="s">
        <v>29196</v>
      </c>
      <c r="AA3065">
        <v>0.4748236878761859</v>
      </c>
      <c r="AB3065" t="str">
        <f>HYPERLINK("Melting_Curves/meltCurve_Q13049_TRIM32.pdf", "Melting_Curves/meltCurve_Q13049_TRIM32.pdf")</f>
        <v>Melting_Curves/meltCurve_Q13049_TRIM32.pdf</v>
      </c>
    </row>
    <row r="3066" spans="1:28" x14ac:dyDescent="0.25">
      <c r="A3066" t="s">
        <v>3070</v>
      </c>
      <c r="B3066">
        <v>0.99930955844802105</v>
      </c>
      <c r="C3066">
        <v>0.66202108820496997</v>
      </c>
      <c r="D3066">
        <v>0.16497920132645399</v>
      </c>
      <c r="E3066">
        <v>0.127741642053463</v>
      </c>
      <c r="F3066">
        <v>7.7863419611870502E-2</v>
      </c>
      <c r="G3066">
        <v>5.3269774600620497E-2</v>
      </c>
      <c r="H3066">
        <v>3.2799786452009802E-2</v>
      </c>
      <c r="I3066">
        <v>2.9082074481735099E-2</v>
      </c>
      <c r="J3066">
        <v>2.9780399735023499E-2</v>
      </c>
      <c r="K3066">
        <v>2.24915847521624E-2</v>
      </c>
      <c r="L3066">
        <v>1651.2578122207699</v>
      </c>
      <c r="M3066">
        <v>37.873863714992197</v>
      </c>
      <c r="N3066">
        <v>43.724569339980299</v>
      </c>
      <c r="O3066">
        <v>43.477862167815701</v>
      </c>
      <c r="P3066">
        <v>-0.20654464166575201</v>
      </c>
      <c r="Q3066">
        <v>5.1578629974302799E-2</v>
      </c>
      <c r="R3066">
        <v>0.99160974635836896</v>
      </c>
      <c r="S3066" t="s">
        <v>9683</v>
      </c>
      <c r="T3066" t="s">
        <v>13232</v>
      </c>
      <c r="U3066" t="s">
        <v>13232</v>
      </c>
      <c r="V3066" t="s">
        <v>13232</v>
      </c>
      <c r="W3066" t="s">
        <v>16243</v>
      </c>
      <c r="X3066">
        <v>10</v>
      </c>
      <c r="Y3066" t="s">
        <v>22704</v>
      </c>
      <c r="Z3066" t="s">
        <v>29197</v>
      </c>
      <c r="AA3066">
        <v>0.16949854029318651</v>
      </c>
      <c r="AB3066" t="str">
        <f>HYPERLINK("Melting_Curves/meltCurve_Q13057_COASY.pdf", "Melting_Curves/meltCurve_Q13057_COASY.pdf")</f>
        <v>Melting_Curves/meltCurve_Q13057_COASY.pdf</v>
      </c>
    </row>
    <row r="3067" spans="1:28" x14ac:dyDescent="0.25">
      <c r="A3067" t="s">
        <v>3071</v>
      </c>
      <c r="B3067">
        <v>0.99930955844802105</v>
      </c>
      <c r="C3067">
        <v>1.3150610003699099</v>
      </c>
      <c r="D3067">
        <v>1.3894753391865999</v>
      </c>
      <c r="E3067">
        <v>1.39834664076089</v>
      </c>
      <c r="F3067">
        <v>1.35051886564028</v>
      </c>
      <c r="G3067">
        <v>1.41366554967826</v>
      </c>
      <c r="H3067">
        <v>1.5318856802615599</v>
      </c>
      <c r="I3067">
        <v>1.5112701009373299</v>
      </c>
      <c r="J3067">
        <v>1.56847427331432</v>
      </c>
      <c r="K3067">
        <v>1.42865993416068</v>
      </c>
      <c r="L3067">
        <v>2477.2104013438202</v>
      </c>
      <c r="M3067">
        <v>58.5429261933064</v>
      </c>
      <c r="O3067">
        <v>42.2651378621863</v>
      </c>
      <c r="P3067">
        <v>0.15581470604330599</v>
      </c>
      <c r="Q3067">
        <v>1.44996227288542</v>
      </c>
      <c r="R3067">
        <v>0.81510094834712699</v>
      </c>
      <c r="S3067" t="s">
        <v>9684</v>
      </c>
      <c r="T3067" t="s">
        <v>13232</v>
      </c>
      <c r="U3067" t="s">
        <v>13232</v>
      </c>
      <c r="V3067" t="s">
        <v>13232</v>
      </c>
      <c r="W3067" t="s">
        <v>16244</v>
      </c>
      <c r="X3067">
        <v>2</v>
      </c>
      <c r="Y3067" t="s">
        <v>22705</v>
      </c>
      <c r="Z3067" t="s">
        <v>29198</v>
      </c>
      <c r="AA3067">
        <v>1.414325068281908</v>
      </c>
      <c r="AB3067" t="str">
        <f>HYPERLINK("Melting_Curves/meltCurve_Q13061_TRDN.pdf", "Melting_Curves/meltCurve_Q13061_TRDN.pdf")</f>
        <v>Melting_Curves/meltCurve_Q13061_TRDN.pdf</v>
      </c>
    </row>
    <row r="3068" spans="1:28" x14ac:dyDescent="0.25">
      <c r="A3068" t="s">
        <v>3072</v>
      </c>
      <c r="B3068">
        <v>0.99930955844802105</v>
      </c>
      <c r="C3068">
        <v>0.55447552364435104</v>
      </c>
      <c r="D3068">
        <v>0.56598646359191296</v>
      </c>
      <c r="E3068">
        <v>0.28885543306327199</v>
      </c>
      <c r="F3068">
        <v>0.19510958214975799</v>
      </c>
      <c r="G3068">
        <v>0.14048714312782501</v>
      </c>
      <c r="H3068">
        <v>7.8725242838531995E-2</v>
      </c>
      <c r="I3068">
        <v>7.3308574158419196E-2</v>
      </c>
      <c r="J3068">
        <v>6.5774098355312505E-2</v>
      </c>
      <c r="K3068">
        <v>4.7658248711238499E-2</v>
      </c>
      <c r="L3068">
        <v>573.00457935967404</v>
      </c>
      <c r="M3068">
        <v>12.537773878589</v>
      </c>
      <c r="N3068">
        <v>46.077761769616501</v>
      </c>
      <c r="O3068">
        <v>44.586363167293001</v>
      </c>
      <c r="P3068">
        <v>-6.6900041415151407E-2</v>
      </c>
      <c r="Q3068">
        <v>4.8564068498057597E-2</v>
      </c>
      <c r="R3068">
        <v>0.94704211770872204</v>
      </c>
      <c r="S3068" t="s">
        <v>9685</v>
      </c>
      <c r="T3068" t="s">
        <v>13232</v>
      </c>
      <c r="U3068" t="s">
        <v>13232</v>
      </c>
      <c r="V3068" t="s">
        <v>13232</v>
      </c>
      <c r="W3068" t="s">
        <v>16245</v>
      </c>
      <c r="X3068">
        <v>63</v>
      </c>
      <c r="Y3068" t="s">
        <v>22706</v>
      </c>
      <c r="Z3068" t="s">
        <v>29199</v>
      </c>
      <c r="AA3068">
        <v>0.2703256055895143</v>
      </c>
      <c r="AB3068" t="str">
        <f>HYPERLINK("Melting_Curves/meltCurve_Q13085_ACACA.pdf", "Melting_Curves/meltCurve_Q13085_ACACA.pdf")</f>
        <v>Melting_Curves/meltCurve_Q13085_ACACA.pdf</v>
      </c>
    </row>
    <row r="3069" spans="1:28" x14ac:dyDescent="0.25">
      <c r="A3069" t="s">
        <v>3073</v>
      </c>
      <c r="B3069">
        <v>0.99930955844802105</v>
      </c>
      <c r="C3069">
        <v>0.97267078250731498</v>
      </c>
      <c r="D3069">
        <v>0.94838859181680302</v>
      </c>
      <c r="E3069">
        <v>0.74674399534303304</v>
      </c>
      <c r="F3069">
        <v>0.62925247797405504</v>
      </c>
      <c r="G3069">
        <v>0.52063197566177299</v>
      </c>
      <c r="H3069">
        <v>0.51054119854216296</v>
      </c>
      <c r="I3069">
        <v>0.53181417093624195</v>
      </c>
      <c r="J3069">
        <v>0.49958518203126301</v>
      </c>
      <c r="K3069">
        <v>0.406486117208116</v>
      </c>
      <c r="L3069">
        <v>957.31466902174304</v>
      </c>
      <c r="M3069">
        <v>18.97704172113</v>
      </c>
      <c r="N3069">
        <v>60.021837846589399</v>
      </c>
      <c r="O3069">
        <v>49.8957858751373</v>
      </c>
      <c r="P3069">
        <v>-4.9846218169780201E-2</v>
      </c>
      <c r="Q3069">
        <v>0.47578415816974401</v>
      </c>
      <c r="R3069">
        <v>0.98056165966031705</v>
      </c>
      <c r="S3069" t="s">
        <v>9686</v>
      </c>
      <c r="T3069" t="s">
        <v>13232</v>
      </c>
      <c r="U3069" t="s">
        <v>13232</v>
      </c>
      <c r="V3069" t="s">
        <v>13232</v>
      </c>
      <c r="W3069" t="s">
        <v>16246</v>
      </c>
      <c r="X3069">
        <v>16</v>
      </c>
      <c r="Y3069" t="s">
        <v>22707</v>
      </c>
      <c r="Z3069" t="s">
        <v>29200</v>
      </c>
      <c r="AA3069">
        <v>0.66636747383979511</v>
      </c>
      <c r="AB3069" t="str">
        <f>HYPERLINK("Melting_Curves/meltCurve_Q13094_LCP2.pdf", "Melting_Curves/meltCurve_Q13094_LCP2.pdf")</f>
        <v>Melting_Curves/meltCurve_Q13094_LCP2.pdf</v>
      </c>
    </row>
    <row r="3070" spans="1:28" x14ac:dyDescent="0.25">
      <c r="A3070" t="s">
        <v>3074</v>
      </c>
      <c r="B3070">
        <v>0.99930955844802105</v>
      </c>
      <c r="C3070">
        <v>1.9397759295113499</v>
      </c>
      <c r="D3070">
        <v>1.5807480518318799</v>
      </c>
      <c r="E3070">
        <v>1.4553647447698399</v>
      </c>
      <c r="F3070">
        <v>1.94366570979122</v>
      </c>
      <c r="G3070">
        <v>1.6084411410367001</v>
      </c>
      <c r="H3070">
        <v>1.7702324196205499</v>
      </c>
      <c r="I3070">
        <v>2.0261296098645198</v>
      </c>
      <c r="J3070">
        <v>1.7136018891942899</v>
      </c>
      <c r="K3070">
        <v>1.70361203335617</v>
      </c>
      <c r="L3070">
        <v>10239.004359005001</v>
      </c>
      <c r="M3070">
        <v>250</v>
      </c>
      <c r="O3070">
        <v>40.953418243572301</v>
      </c>
      <c r="P3070">
        <v>0.763062469852548</v>
      </c>
      <c r="Q3070">
        <v>1.5</v>
      </c>
      <c r="R3070">
        <v>-6.5887986799939804E-2</v>
      </c>
      <c r="S3070" t="s">
        <v>9687</v>
      </c>
      <c r="T3070" t="s">
        <v>13232</v>
      </c>
      <c r="U3070" t="s">
        <v>13232</v>
      </c>
      <c r="V3070" t="s">
        <v>13232</v>
      </c>
      <c r="W3070" t="s">
        <v>16247</v>
      </c>
      <c r="X3070">
        <v>2</v>
      </c>
      <c r="Y3070" t="s">
        <v>22708</v>
      </c>
      <c r="Z3070" t="s">
        <v>29201</v>
      </c>
      <c r="AA3070">
        <v>1.484023878539674</v>
      </c>
      <c r="AB3070" t="str">
        <f>HYPERLINK("Melting_Curves/meltCurve_Q13105_ZBTB17.pdf", "Melting_Curves/meltCurve_Q13105_ZBTB17.pdf")</f>
        <v>Melting_Curves/meltCurve_Q13105_ZBTB17.pdf</v>
      </c>
    </row>
    <row r="3071" spans="1:28" x14ac:dyDescent="0.25">
      <c r="A3071" t="s">
        <v>3075</v>
      </c>
      <c r="B3071">
        <v>0.99930955844802105</v>
      </c>
      <c r="C3071">
        <v>0.95659907893124796</v>
      </c>
      <c r="D3071">
        <v>0.87226991323145397</v>
      </c>
      <c r="E3071">
        <v>0.60484807206884195</v>
      </c>
      <c r="F3071">
        <v>0.39832040580115902</v>
      </c>
      <c r="G3071">
        <v>0.316791899623242</v>
      </c>
      <c r="H3071">
        <v>0.188164636343994</v>
      </c>
      <c r="I3071">
        <v>0.177679880326536</v>
      </c>
      <c r="J3071">
        <v>0.13592454843146601</v>
      </c>
      <c r="K3071">
        <v>0.104183554568904</v>
      </c>
      <c r="L3071">
        <v>760.005973535816</v>
      </c>
      <c r="M3071">
        <v>14.936701440525299</v>
      </c>
      <c r="N3071">
        <v>51.830675498387698</v>
      </c>
      <c r="O3071">
        <v>49.995887256449102</v>
      </c>
      <c r="P3071">
        <v>-6.5761545270665203E-2</v>
      </c>
      <c r="Q3071">
        <v>0.11962647478231</v>
      </c>
      <c r="R3071">
        <v>0.99486450799668402</v>
      </c>
      <c r="S3071" t="s">
        <v>9688</v>
      </c>
      <c r="T3071" t="s">
        <v>13232</v>
      </c>
      <c r="U3071" t="s">
        <v>13232</v>
      </c>
      <c r="V3071" t="s">
        <v>13232</v>
      </c>
      <c r="W3071" t="s">
        <v>16248</v>
      </c>
      <c r="X3071">
        <v>14</v>
      </c>
      <c r="Y3071" t="s">
        <v>22709</v>
      </c>
      <c r="Z3071" t="s">
        <v>29202</v>
      </c>
      <c r="AA3071">
        <v>0.45952204624162601</v>
      </c>
      <c r="AB3071" t="str">
        <f>HYPERLINK("Melting_Curves/meltCurve_Q13107_2_USP4.pdf", "Melting_Curves/meltCurve_Q13107_2_USP4.pdf")</f>
        <v>Melting_Curves/meltCurve_Q13107_2_USP4.pdf</v>
      </c>
    </row>
    <row r="3072" spans="1:28" x14ac:dyDescent="0.25">
      <c r="A3072" t="s">
        <v>3076</v>
      </c>
      <c r="B3072">
        <v>0.99930955844802105</v>
      </c>
      <c r="C3072">
        <v>0.85715950149656595</v>
      </c>
      <c r="D3072">
        <v>0.75749231061931199</v>
      </c>
      <c r="E3072">
        <v>0.73386784081141199</v>
      </c>
      <c r="F3072">
        <v>0.60771291919968495</v>
      </c>
      <c r="G3072">
        <v>0.51133800474408397</v>
      </c>
      <c r="H3072">
        <v>0.56768479702183805</v>
      </c>
      <c r="I3072">
        <v>0.51393634732744697</v>
      </c>
      <c r="J3072">
        <v>0.49283109755971999</v>
      </c>
      <c r="K3072">
        <v>0.36910963478819198</v>
      </c>
      <c r="L3072">
        <v>414.09948326486102</v>
      </c>
      <c r="M3072">
        <v>8.2848795690027295</v>
      </c>
      <c r="N3072">
        <v>61.594879510028001</v>
      </c>
      <c r="O3072">
        <v>47.324410626777698</v>
      </c>
      <c r="P3072">
        <v>-2.6499074224117201E-2</v>
      </c>
      <c r="Q3072">
        <v>0.39513418434897102</v>
      </c>
      <c r="R3072">
        <v>0.93200721192297298</v>
      </c>
      <c r="S3072" t="s">
        <v>9689</v>
      </c>
      <c r="T3072" t="s">
        <v>13232</v>
      </c>
      <c r="U3072" t="s">
        <v>13232</v>
      </c>
      <c r="V3072" t="s">
        <v>13232</v>
      </c>
      <c r="W3072" t="s">
        <v>16249</v>
      </c>
      <c r="X3072">
        <v>19</v>
      </c>
      <c r="Y3072" t="s">
        <v>22710</v>
      </c>
      <c r="Z3072" t="s">
        <v>29203</v>
      </c>
      <c r="AA3072">
        <v>0.63113053241098238</v>
      </c>
      <c r="AB3072" t="str">
        <f>HYPERLINK("Melting_Curves/meltCurve_Q13111_CHAF1A.pdf", "Melting_Curves/meltCurve_Q13111_CHAF1A.pdf")</f>
        <v>Melting_Curves/meltCurve_Q13111_CHAF1A.pdf</v>
      </c>
    </row>
    <row r="3073" spans="1:28" x14ac:dyDescent="0.25">
      <c r="A3073" t="s">
        <v>3077</v>
      </c>
      <c r="B3073">
        <v>0.99930955844802105</v>
      </c>
      <c r="C3073">
        <v>1.02263964982513</v>
      </c>
      <c r="D3073">
        <v>1.0120502296031699</v>
      </c>
      <c r="E3073">
        <v>0.98406481746168195</v>
      </c>
      <c r="F3073">
        <v>0.91790078310907897</v>
      </c>
      <c r="G3073">
        <v>0.70562737582579604</v>
      </c>
      <c r="H3073">
        <v>0.48341791060528699</v>
      </c>
      <c r="I3073">
        <v>0.486092877398421</v>
      </c>
      <c r="J3073">
        <v>0.49491147891502202</v>
      </c>
      <c r="K3073">
        <v>0.38494635621963702</v>
      </c>
      <c r="L3073">
        <v>1492.4863639382399</v>
      </c>
      <c r="M3073">
        <v>26.326207420896498</v>
      </c>
      <c r="N3073">
        <v>61.445260557339601</v>
      </c>
      <c r="O3073">
        <v>56.367957228792299</v>
      </c>
      <c r="P3073">
        <v>-6.5998542714547595E-2</v>
      </c>
      <c r="Q3073">
        <v>0.43475910058162398</v>
      </c>
      <c r="R3073">
        <v>0.98797142253793602</v>
      </c>
      <c r="S3073" t="s">
        <v>9690</v>
      </c>
      <c r="T3073" t="s">
        <v>13232</v>
      </c>
      <c r="U3073" t="s">
        <v>13232</v>
      </c>
      <c r="V3073" t="s">
        <v>13232</v>
      </c>
      <c r="W3073" t="s">
        <v>16250</v>
      </c>
      <c r="X3073">
        <v>13</v>
      </c>
      <c r="Y3073" t="s">
        <v>22711</v>
      </c>
      <c r="Z3073" t="s">
        <v>29204</v>
      </c>
      <c r="AA3073">
        <v>0.75397756369836</v>
      </c>
      <c r="AB3073" t="str">
        <f>HYPERLINK("Melting_Curves/meltCurve_Q13112_CHAF1B.pdf", "Melting_Curves/meltCurve_Q13112_CHAF1B.pdf")</f>
        <v>Melting_Curves/meltCurve_Q13112_CHAF1B.pdf</v>
      </c>
    </row>
    <row r="3074" spans="1:28" x14ac:dyDescent="0.25">
      <c r="A3074" t="s">
        <v>3078</v>
      </c>
      <c r="B3074">
        <v>0.99930955844802105</v>
      </c>
      <c r="C3074">
        <v>0.99133300751041797</v>
      </c>
      <c r="D3074">
        <v>0.92666836054610002</v>
      </c>
      <c r="E3074">
        <v>0.86223852359912601</v>
      </c>
      <c r="F3074">
        <v>0.75235276408239704</v>
      </c>
      <c r="G3074">
        <v>0.67326020368000805</v>
      </c>
      <c r="H3074">
        <v>0.64205181945720202</v>
      </c>
      <c r="I3074">
        <v>0.74285507186772304</v>
      </c>
      <c r="J3074">
        <v>0.73591323469487602</v>
      </c>
      <c r="K3074">
        <v>0.58745765665953997</v>
      </c>
      <c r="L3074">
        <v>957.69282318156502</v>
      </c>
      <c r="M3074">
        <v>19.079600378062199</v>
      </c>
      <c r="O3074">
        <v>49.6529611623818</v>
      </c>
      <c r="P3074">
        <v>-3.1954757876447998E-2</v>
      </c>
      <c r="Q3074">
        <v>0.66737549542777796</v>
      </c>
      <c r="R3074">
        <v>0.90115521277298505</v>
      </c>
      <c r="S3074" t="s">
        <v>9691</v>
      </c>
      <c r="T3074" t="s">
        <v>13232</v>
      </c>
      <c r="U3074" t="s">
        <v>13232</v>
      </c>
      <c r="V3074" t="s">
        <v>13232</v>
      </c>
      <c r="W3074" t="s">
        <v>16251</v>
      </c>
      <c r="X3074">
        <v>26</v>
      </c>
      <c r="Y3074" t="s">
        <v>22712</v>
      </c>
      <c r="Z3074" t="s">
        <v>29205</v>
      </c>
      <c r="AA3074">
        <v>0.7854743628753813</v>
      </c>
      <c r="AB3074" t="str">
        <f>HYPERLINK("Melting_Curves/meltCurve_Q13123_IK.pdf", "Melting_Curves/meltCurve_Q13123_IK.pdf")</f>
        <v>Melting_Curves/meltCurve_Q13123_IK.pdf</v>
      </c>
    </row>
    <row r="3075" spans="1:28" x14ac:dyDescent="0.25">
      <c r="A3075" t="s">
        <v>3079</v>
      </c>
      <c r="B3075">
        <v>0.99930955844802105</v>
      </c>
      <c r="C3075">
        <v>1.38216129596593</v>
      </c>
      <c r="D3075">
        <v>1.11286105342838</v>
      </c>
      <c r="E3075">
        <v>0.941660175920776</v>
      </c>
      <c r="F3075">
        <v>0.97075646182529596</v>
      </c>
      <c r="G3075">
        <v>0.97247415157941497</v>
      </c>
      <c r="H3075">
        <v>1.2686973025321899</v>
      </c>
      <c r="I3075">
        <v>1.48226526614446</v>
      </c>
      <c r="J3075">
        <v>1.5025438658583601</v>
      </c>
      <c r="K3075">
        <v>1.16450656392125</v>
      </c>
      <c r="L3075">
        <v>15000</v>
      </c>
      <c r="M3075">
        <v>246.755479661198</v>
      </c>
      <c r="O3075">
        <v>60.784910723943199</v>
      </c>
      <c r="P3075">
        <v>0.38880236530465301</v>
      </c>
      <c r="Q3075">
        <v>1.3831051665095</v>
      </c>
      <c r="R3075">
        <v>0.44568908572360999</v>
      </c>
      <c r="S3075" t="s">
        <v>9692</v>
      </c>
      <c r="T3075" t="s">
        <v>13232</v>
      </c>
      <c r="U3075" t="s">
        <v>13232</v>
      </c>
      <c r="V3075" t="s">
        <v>13232</v>
      </c>
      <c r="W3075" t="s">
        <v>16252</v>
      </c>
      <c r="X3075">
        <v>4</v>
      </c>
      <c r="Y3075" t="s">
        <v>22713</v>
      </c>
      <c r="Z3075" t="s">
        <v>29206</v>
      </c>
      <c r="AA3075">
        <v>1.117585078823601</v>
      </c>
      <c r="AB3075" t="str">
        <f>HYPERLINK("Melting_Curves/meltCurve_Q13127_4_REST.pdf", "Melting_Curves/meltCurve_Q13127_4_REST.pdf")</f>
        <v>Melting_Curves/meltCurve_Q13127_4_REST.pdf</v>
      </c>
    </row>
    <row r="3076" spans="1:28" x14ac:dyDescent="0.25">
      <c r="A3076" t="s">
        <v>3080</v>
      </c>
      <c r="B3076">
        <v>0.99930955844802105</v>
      </c>
      <c r="C3076">
        <v>1.0455418707695301</v>
      </c>
      <c r="D3076">
        <v>0.99950432502318398</v>
      </c>
      <c r="E3076">
        <v>0.91679704677178797</v>
      </c>
      <c r="F3076">
        <v>0.73618175062606706</v>
      </c>
      <c r="G3076">
        <v>0.55050167813557505</v>
      </c>
      <c r="H3076">
        <v>0.39867647395556399</v>
      </c>
      <c r="I3076">
        <v>0.35560259668111399</v>
      </c>
      <c r="J3076">
        <v>0.28561271935486099</v>
      </c>
      <c r="K3076">
        <v>0.254305585393097</v>
      </c>
      <c r="L3076">
        <v>905.67190374181803</v>
      </c>
      <c r="M3076">
        <v>16.290539464146399</v>
      </c>
      <c r="N3076">
        <v>58.042876132183203</v>
      </c>
      <c r="O3076">
        <v>54.777458117031401</v>
      </c>
      <c r="P3076">
        <v>-5.5879525729567003E-2</v>
      </c>
      <c r="Q3076">
        <v>0.248468176958515</v>
      </c>
      <c r="R3076">
        <v>0.99367829530568696</v>
      </c>
      <c r="S3076" t="s">
        <v>9693</v>
      </c>
      <c r="T3076" t="s">
        <v>13232</v>
      </c>
      <c r="U3076" t="s">
        <v>13232</v>
      </c>
      <c r="V3076" t="s">
        <v>13232</v>
      </c>
      <c r="W3076" t="s">
        <v>16253</v>
      </c>
      <c r="X3076">
        <v>7</v>
      </c>
      <c r="Y3076" t="s">
        <v>22714</v>
      </c>
      <c r="Z3076" t="s">
        <v>29207</v>
      </c>
      <c r="AA3076">
        <v>0.65186095160078639</v>
      </c>
      <c r="AB3076" t="str">
        <f>HYPERLINK("Melting_Curves/meltCurve_Q13129_RLF.pdf", "Melting_Curves/meltCurve_Q13129_RLF.pdf")</f>
        <v>Melting_Curves/meltCurve_Q13129_RLF.pdf</v>
      </c>
    </row>
    <row r="3077" spans="1:28" x14ac:dyDescent="0.25">
      <c r="A3077" t="s">
        <v>3081</v>
      </c>
      <c r="B3077">
        <v>0.99930955844802105</v>
      </c>
      <c r="C3077">
        <v>0.92270328896611797</v>
      </c>
      <c r="D3077">
        <v>0.89411186236621898</v>
      </c>
      <c r="E3077">
        <v>0.75211845740719696</v>
      </c>
      <c r="F3077">
        <v>0.40943122824704598</v>
      </c>
      <c r="G3077">
        <v>0.191388017593454</v>
      </c>
      <c r="H3077">
        <v>0.117692518878519</v>
      </c>
      <c r="I3077">
        <v>0.100010565729243</v>
      </c>
      <c r="J3077">
        <v>9.3325005553909005E-2</v>
      </c>
      <c r="K3077">
        <v>7.5307379163086302E-2</v>
      </c>
      <c r="L3077">
        <v>1078.6631312045399</v>
      </c>
      <c r="M3077">
        <v>20.812089715602902</v>
      </c>
      <c r="N3077">
        <v>52.2478009073604</v>
      </c>
      <c r="O3077">
        <v>51.357289530321601</v>
      </c>
      <c r="P3077">
        <v>-9.3524341146282206E-2</v>
      </c>
      <c r="Q3077">
        <v>7.6878264995348E-2</v>
      </c>
      <c r="R3077">
        <v>0.99338928107576596</v>
      </c>
      <c r="S3077" t="s">
        <v>9694</v>
      </c>
      <c r="T3077" t="s">
        <v>13232</v>
      </c>
      <c r="U3077" t="s">
        <v>13232</v>
      </c>
      <c r="V3077" t="s">
        <v>13232</v>
      </c>
      <c r="W3077" t="s">
        <v>16254</v>
      </c>
      <c r="X3077">
        <v>13</v>
      </c>
      <c r="Y3077" t="s">
        <v>22715</v>
      </c>
      <c r="Z3077" t="s">
        <v>29208</v>
      </c>
      <c r="AA3077">
        <v>0.45274547462366421</v>
      </c>
      <c r="AB3077" t="str">
        <f>HYPERLINK("Melting_Curves/meltCurve_Q13131_PRKAA1.pdf", "Melting_Curves/meltCurve_Q13131_PRKAA1.pdf")</f>
        <v>Melting_Curves/meltCurve_Q13131_PRKAA1.pdf</v>
      </c>
    </row>
    <row r="3078" spans="1:28" x14ac:dyDescent="0.25">
      <c r="A3078" t="s">
        <v>3082</v>
      </c>
      <c r="B3078">
        <v>0.99930955844802105</v>
      </c>
      <c r="C3078">
        <v>1.00503837147335</v>
      </c>
      <c r="D3078">
        <v>0.96141522810699998</v>
      </c>
      <c r="E3078">
        <v>0.80724523497637102</v>
      </c>
      <c r="F3078">
        <v>0.61362222885097795</v>
      </c>
      <c r="G3078">
        <v>0.50845801700833404</v>
      </c>
      <c r="H3078">
        <v>0.43020520818838298</v>
      </c>
      <c r="I3078">
        <v>0.43231697040621903</v>
      </c>
      <c r="J3078">
        <v>0.44108740049523598</v>
      </c>
      <c r="K3078">
        <v>0.347462631635931</v>
      </c>
      <c r="L3078">
        <v>1006.91757193296</v>
      </c>
      <c r="M3078">
        <v>19.437044265682999</v>
      </c>
      <c r="N3078">
        <v>56.498514974672098</v>
      </c>
      <c r="O3078">
        <v>51.265050781951501</v>
      </c>
      <c r="P3078">
        <v>-5.6821467330332699E-2</v>
      </c>
      <c r="Q3078">
        <v>0.40055715689902899</v>
      </c>
      <c r="R3078">
        <v>0.99047837055117705</v>
      </c>
      <c r="S3078" t="s">
        <v>9695</v>
      </c>
      <c r="T3078" t="s">
        <v>13232</v>
      </c>
      <c r="U3078" t="s">
        <v>13232</v>
      </c>
      <c r="V3078" t="s">
        <v>13232</v>
      </c>
      <c r="W3078" t="s">
        <v>16255</v>
      </c>
      <c r="X3078">
        <v>41</v>
      </c>
      <c r="Y3078" t="s">
        <v>22716</v>
      </c>
      <c r="Z3078" t="s">
        <v>29209</v>
      </c>
      <c r="AA3078">
        <v>0.6451579733106052</v>
      </c>
      <c r="AB3078" t="str">
        <f>HYPERLINK("Melting_Curves/meltCurve_Q13136_PPFIA1.pdf", "Melting_Curves/meltCurve_Q13136_PPFIA1.pdf")</f>
        <v>Melting_Curves/meltCurve_Q13136_PPFIA1.pdf</v>
      </c>
    </row>
    <row r="3079" spans="1:28" x14ac:dyDescent="0.25">
      <c r="A3079" t="s">
        <v>3083</v>
      </c>
      <c r="B3079">
        <v>0.99930955844802105</v>
      </c>
      <c r="C3079">
        <v>1.07759516358536</v>
      </c>
      <c r="D3079">
        <v>0.88894227944896498</v>
      </c>
      <c r="E3079">
        <v>0.54350598117836202</v>
      </c>
      <c r="F3079">
        <v>0.39689074604156499</v>
      </c>
      <c r="G3079">
        <v>0.33005707960382702</v>
      </c>
      <c r="H3079">
        <v>0.30821302716644899</v>
      </c>
      <c r="I3079">
        <v>0.30449669636777899</v>
      </c>
      <c r="J3079">
        <v>0.34951364567714099</v>
      </c>
      <c r="K3079">
        <v>0.26792684459717597</v>
      </c>
      <c r="L3079">
        <v>1407.6721701597</v>
      </c>
      <c r="M3079">
        <v>28.787014370656401</v>
      </c>
      <c r="N3079">
        <v>50.614076584677598</v>
      </c>
      <c r="O3079">
        <v>48.665389572655002</v>
      </c>
      <c r="P3079">
        <v>-0.101828011823016</v>
      </c>
      <c r="Q3079">
        <v>0.31143075185632801</v>
      </c>
      <c r="R3079">
        <v>0.98662178001301104</v>
      </c>
      <c r="S3079" t="s">
        <v>9696</v>
      </c>
      <c r="T3079" t="s">
        <v>13232</v>
      </c>
      <c r="U3079" t="s">
        <v>13232</v>
      </c>
      <c r="V3079" t="s">
        <v>13232</v>
      </c>
      <c r="W3079" t="s">
        <v>16256</v>
      </c>
      <c r="X3079">
        <v>13</v>
      </c>
      <c r="Y3079" t="s">
        <v>22717</v>
      </c>
      <c r="Z3079" t="s">
        <v>29210</v>
      </c>
      <c r="AA3079">
        <v>0.52025469718962836</v>
      </c>
      <c r="AB3079" t="str">
        <f>HYPERLINK("Melting_Curves/meltCurve_Q13148_TARDBP.pdf", "Melting_Curves/meltCurve_Q13148_TARDBP.pdf")</f>
        <v>Melting_Curves/meltCurve_Q13148_TARDBP.pdf</v>
      </c>
    </row>
    <row r="3080" spans="1:28" x14ac:dyDescent="0.25">
      <c r="A3080" t="s">
        <v>3084</v>
      </c>
      <c r="B3080">
        <v>0.99930955844802105</v>
      </c>
      <c r="C3080">
        <v>0.91473786098392695</v>
      </c>
      <c r="D3080">
        <v>0.84842089956123401</v>
      </c>
      <c r="E3080">
        <v>0.69316217113252898</v>
      </c>
      <c r="F3080">
        <v>0.48584707554630202</v>
      </c>
      <c r="G3080">
        <v>0.46960719612594098</v>
      </c>
      <c r="H3080">
        <v>0.49190664979665599</v>
      </c>
      <c r="I3080">
        <v>0.65135087045171802</v>
      </c>
      <c r="J3080">
        <v>0.80475930423111297</v>
      </c>
      <c r="K3080">
        <v>0.539297155022048</v>
      </c>
      <c r="L3080">
        <v>1239.9202548882699</v>
      </c>
      <c r="M3080">
        <v>26.495900866639399</v>
      </c>
      <c r="O3080">
        <v>46.532551613741802</v>
      </c>
      <c r="P3080">
        <v>-6.0075431086431298E-2</v>
      </c>
      <c r="Q3080">
        <v>0.57798253090485796</v>
      </c>
      <c r="R3080">
        <v>0.71712743114562305</v>
      </c>
      <c r="S3080" t="s">
        <v>9697</v>
      </c>
      <c r="T3080" t="s">
        <v>13232</v>
      </c>
      <c r="U3080" t="s">
        <v>13232</v>
      </c>
      <c r="V3080" t="s">
        <v>13232</v>
      </c>
      <c r="W3080" t="s">
        <v>16257</v>
      </c>
      <c r="X3080">
        <v>11</v>
      </c>
      <c r="Y3080" t="s">
        <v>22718</v>
      </c>
      <c r="Z3080" t="s">
        <v>29211</v>
      </c>
      <c r="AA3080">
        <v>0.6769203417832983</v>
      </c>
      <c r="AB3080" t="str">
        <f>HYPERLINK("Melting_Curves/meltCurve_Q13151_HNRNPA0.pdf", "Melting_Curves/meltCurve_Q13151_HNRNPA0.pdf")</f>
        <v>Melting_Curves/meltCurve_Q13151_HNRNPA0.pdf</v>
      </c>
    </row>
    <row r="3081" spans="1:28" x14ac:dyDescent="0.25">
      <c r="A3081" t="s">
        <v>3085</v>
      </c>
      <c r="B3081">
        <v>0.99930955844802105</v>
      </c>
      <c r="C3081">
        <v>0.96867272442803798</v>
      </c>
      <c r="D3081">
        <v>0.88373417261274601</v>
      </c>
      <c r="E3081">
        <v>0.77845882193904703</v>
      </c>
      <c r="F3081">
        <v>0.707125569251286</v>
      </c>
      <c r="G3081">
        <v>0.48803624320152</v>
      </c>
      <c r="H3081">
        <v>0.36670888602269203</v>
      </c>
      <c r="I3081">
        <v>0.40323168661563602</v>
      </c>
      <c r="J3081">
        <v>0.416727882962659</v>
      </c>
      <c r="K3081">
        <v>0.31690509893072799</v>
      </c>
      <c r="L3081">
        <v>688.55451364441103</v>
      </c>
      <c r="M3081">
        <v>13.0040261890914</v>
      </c>
      <c r="N3081">
        <v>57.4101257937157</v>
      </c>
      <c r="O3081">
        <v>51.744107796500302</v>
      </c>
      <c r="P3081">
        <v>-4.2858712340011103E-2</v>
      </c>
      <c r="Q3081">
        <v>0.317966744626065</v>
      </c>
      <c r="R3081">
        <v>0.98128479378997302</v>
      </c>
      <c r="S3081" t="s">
        <v>9698</v>
      </c>
      <c r="T3081" t="s">
        <v>13232</v>
      </c>
      <c r="U3081" t="s">
        <v>13232</v>
      </c>
      <c r="V3081" t="s">
        <v>13232</v>
      </c>
      <c r="W3081" t="s">
        <v>16258</v>
      </c>
      <c r="X3081">
        <v>25</v>
      </c>
      <c r="Y3081" t="s">
        <v>22719</v>
      </c>
      <c r="Z3081" t="s">
        <v>29212</v>
      </c>
      <c r="AA3081">
        <v>0.63010107001419879</v>
      </c>
      <c r="AB3081" t="str">
        <f>HYPERLINK("Melting_Curves/meltCurve_Q13153_PAK1.pdf", "Melting_Curves/meltCurve_Q13153_PAK1.pdf")</f>
        <v>Melting_Curves/meltCurve_Q13153_PAK1.pdf</v>
      </c>
    </row>
    <row r="3082" spans="1:28" x14ac:dyDescent="0.25">
      <c r="A3082" t="s">
        <v>3086</v>
      </c>
      <c r="B3082">
        <v>0.99930955844802105</v>
      </c>
      <c r="C3082">
        <v>0.37763380293828303</v>
      </c>
      <c r="D3082">
        <v>0.253046280235871</v>
      </c>
      <c r="E3082">
        <v>0.18773659511022001</v>
      </c>
      <c r="F3082">
        <v>0.13557630791227099</v>
      </c>
      <c r="G3082">
        <v>9.1448220866277796E-2</v>
      </c>
      <c r="H3082">
        <v>4.7528431181899998E-2</v>
      </c>
      <c r="I3082">
        <v>3.73348963109554E-2</v>
      </c>
      <c r="J3082">
        <v>3.1431624696048398E-2</v>
      </c>
      <c r="K3082">
        <v>2.7717486645625299E-2</v>
      </c>
      <c r="L3082">
        <v>2116.8115501193702</v>
      </c>
      <c r="M3082">
        <v>50.031816780376502</v>
      </c>
      <c r="N3082">
        <v>42.493760594831201</v>
      </c>
      <c r="O3082">
        <v>42.241878814900303</v>
      </c>
      <c r="P3082">
        <v>-0.267199260771671</v>
      </c>
      <c r="Q3082">
        <v>9.7615082772411196E-2</v>
      </c>
      <c r="R3082">
        <v>0.94072680962977195</v>
      </c>
      <c r="S3082" t="s">
        <v>9699</v>
      </c>
      <c r="T3082" t="s">
        <v>13232</v>
      </c>
      <c r="U3082" t="s">
        <v>13232</v>
      </c>
      <c r="V3082" t="s">
        <v>13232</v>
      </c>
      <c r="W3082" t="s">
        <v>16259</v>
      </c>
      <c r="X3082">
        <v>7</v>
      </c>
      <c r="Y3082" t="s">
        <v>22720</v>
      </c>
      <c r="Z3082" t="s">
        <v>29213</v>
      </c>
      <c r="AA3082">
        <v>0.16994672101693151</v>
      </c>
      <c r="AB3082" t="str">
        <f>HYPERLINK("Melting_Curves/meltCurve_Q13155_AIMP2.pdf", "Melting_Curves/meltCurve_Q13155_AIMP2.pdf")</f>
        <v>Melting_Curves/meltCurve_Q13155_AIMP2.pdf</v>
      </c>
    </row>
    <row r="3083" spans="1:28" x14ac:dyDescent="0.25">
      <c r="A3083" t="s">
        <v>3087</v>
      </c>
      <c r="B3083">
        <v>0.99930955844802105</v>
      </c>
      <c r="C3083">
        <v>0.95181689924059198</v>
      </c>
      <c r="D3083">
        <v>0.96777860432684104</v>
      </c>
      <c r="E3083">
        <v>0.72706930288294802</v>
      </c>
      <c r="F3083">
        <v>0.30403239751630101</v>
      </c>
      <c r="G3083">
        <v>0.17285728128428601</v>
      </c>
      <c r="H3083">
        <v>0.10649095826725601</v>
      </c>
      <c r="I3083">
        <v>9.3083631626887195E-2</v>
      </c>
      <c r="J3083">
        <v>9.1560491069505798E-2</v>
      </c>
      <c r="K3083">
        <v>6.8233385236941099E-2</v>
      </c>
      <c r="L3083">
        <v>1631.40782859554</v>
      </c>
      <c r="M3083">
        <v>31.855833852924</v>
      </c>
      <c r="N3083">
        <v>51.55433175065</v>
      </c>
      <c r="O3083">
        <v>51.011670301773499</v>
      </c>
      <c r="P3083">
        <v>-0.14124690905533599</v>
      </c>
      <c r="Q3083">
        <v>9.5273579185649104E-2</v>
      </c>
      <c r="R3083">
        <v>0.99635452720478901</v>
      </c>
      <c r="S3083" t="s">
        <v>9700</v>
      </c>
      <c r="T3083" t="s">
        <v>13232</v>
      </c>
      <c r="U3083" t="s">
        <v>13232</v>
      </c>
      <c r="V3083" t="s">
        <v>13232</v>
      </c>
      <c r="W3083" t="s">
        <v>16260</v>
      </c>
      <c r="X3083">
        <v>9</v>
      </c>
      <c r="Y3083" t="s">
        <v>22721</v>
      </c>
      <c r="Z3083" t="s">
        <v>29214</v>
      </c>
      <c r="AA3083">
        <v>0.43846828132861121</v>
      </c>
      <c r="AB3083" t="str">
        <f>HYPERLINK("Melting_Curves/meltCurve_Q13158_FADD.pdf", "Melting_Curves/meltCurve_Q13158_FADD.pdf")</f>
        <v>Melting_Curves/meltCurve_Q13158_FADD.pdf</v>
      </c>
    </row>
    <row r="3084" spans="1:28" x14ac:dyDescent="0.25">
      <c r="A3084" t="s">
        <v>3088</v>
      </c>
      <c r="B3084">
        <v>0.99930955844802105</v>
      </c>
      <c r="C3084">
        <v>0.84701938029947799</v>
      </c>
      <c r="D3084">
        <v>0.86930273341326303</v>
      </c>
      <c r="E3084">
        <v>0.96187729960291102</v>
      </c>
      <c r="F3084">
        <v>0.91087958405977798</v>
      </c>
      <c r="G3084">
        <v>0.73087230361861</v>
      </c>
      <c r="H3084">
        <v>0.354320797967487</v>
      </c>
      <c r="I3084">
        <v>0.28110300591212201</v>
      </c>
      <c r="J3084">
        <v>0.25321300247034501</v>
      </c>
      <c r="K3084">
        <v>0.17941468369469801</v>
      </c>
      <c r="L3084">
        <v>1408.2356043298801</v>
      </c>
      <c r="M3084">
        <v>24.177372929309598</v>
      </c>
      <c r="N3084">
        <v>59.402751476267603</v>
      </c>
      <c r="O3084">
        <v>57.8519279668593</v>
      </c>
      <c r="P3084">
        <v>-8.48649066947781E-2</v>
      </c>
      <c r="Q3084">
        <v>0.18774912796414001</v>
      </c>
      <c r="R3084">
        <v>0.95398631726046501</v>
      </c>
      <c r="S3084" t="s">
        <v>9701</v>
      </c>
      <c r="T3084" t="s">
        <v>13232</v>
      </c>
      <c r="U3084" t="s">
        <v>13232</v>
      </c>
      <c r="V3084" t="s">
        <v>13232</v>
      </c>
      <c r="W3084" t="s">
        <v>16261</v>
      </c>
      <c r="X3084">
        <v>16</v>
      </c>
      <c r="Y3084" t="s">
        <v>22722</v>
      </c>
      <c r="Z3084" t="s">
        <v>29215</v>
      </c>
      <c r="AA3084">
        <v>0.68905573801121489</v>
      </c>
      <c r="AB3084" t="str">
        <f>HYPERLINK("Melting_Curves/meltCurve_Q13162_PRDX4.pdf", "Melting_Curves/meltCurve_Q13162_PRDX4.pdf")</f>
        <v>Melting_Curves/meltCurve_Q13162_PRDX4.pdf</v>
      </c>
    </row>
    <row r="3085" spans="1:28" x14ac:dyDescent="0.25">
      <c r="A3085" t="s">
        <v>3089</v>
      </c>
      <c r="B3085">
        <v>0.99930955844802105</v>
      </c>
      <c r="C3085">
        <v>3.1024072971089098</v>
      </c>
      <c r="D3085">
        <v>1.9100622666914799</v>
      </c>
      <c r="E3085">
        <v>0.94532020340234202</v>
      </c>
      <c r="F3085">
        <v>0.63074554466166399</v>
      </c>
      <c r="G3085">
        <v>0.421538939338018</v>
      </c>
      <c r="H3085">
        <v>0.26070163008402703</v>
      </c>
      <c r="I3085">
        <v>0.240257383464311</v>
      </c>
      <c r="J3085">
        <v>0.190597006832643</v>
      </c>
      <c r="K3085">
        <v>0.151113989667673</v>
      </c>
      <c r="L3085">
        <v>1690.6074684267501</v>
      </c>
      <c r="M3085">
        <v>31.395263236036499</v>
      </c>
      <c r="N3085">
        <v>54.842265879771602</v>
      </c>
      <c r="O3085">
        <v>53.632062563528201</v>
      </c>
      <c r="P3085">
        <v>-0.11461504575373201</v>
      </c>
      <c r="Q3085">
        <v>0.21682352868415</v>
      </c>
      <c r="R3085">
        <v>0.34790832085509898</v>
      </c>
      <c r="S3085" t="s">
        <v>9702</v>
      </c>
      <c r="T3085" t="s">
        <v>13232</v>
      </c>
      <c r="U3085" t="s">
        <v>13232</v>
      </c>
      <c r="V3085" t="s">
        <v>13232</v>
      </c>
      <c r="W3085" t="s">
        <v>16262</v>
      </c>
      <c r="X3085">
        <v>4</v>
      </c>
      <c r="Y3085" t="s">
        <v>22723</v>
      </c>
      <c r="Z3085" t="s">
        <v>29216</v>
      </c>
      <c r="AA3085">
        <v>0.58306850465177718</v>
      </c>
      <c r="AB3085" t="str">
        <f>HYPERLINK("Melting_Curves/meltCurve_Q13163_4_MAP2K5.pdf", "Melting_Curves/meltCurve_Q13163_4_MAP2K5.pdf")</f>
        <v>Melting_Curves/meltCurve_Q13163_4_MAP2K5.pdf</v>
      </c>
    </row>
    <row r="3086" spans="1:28" x14ac:dyDescent="0.25">
      <c r="A3086" t="s">
        <v>3090</v>
      </c>
      <c r="B3086">
        <v>0.99930955844802105</v>
      </c>
      <c r="C3086">
        <v>1.0174552924104501</v>
      </c>
      <c r="D3086">
        <v>0.872367369555474</v>
      </c>
      <c r="E3086">
        <v>0.75806117102752002</v>
      </c>
      <c r="F3086">
        <v>0.64790826290658499</v>
      </c>
      <c r="G3086">
        <v>0.55268915953344999</v>
      </c>
      <c r="H3086">
        <v>0.53456039350970397</v>
      </c>
      <c r="I3086">
        <v>0.55704462710852998</v>
      </c>
      <c r="J3086">
        <v>0.52446868434657101</v>
      </c>
      <c r="K3086">
        <v>0.44803660859815098</v>
      </c>
      <c r="L3086">
        <v>798.50302236565096</v>
      </c>
      <c r="M3086">
        <v>15.9396787346774</v>
      </c>
      <c r="O3086">
        <v>49.3267226442712</v>
      </c>
      <c r="P3086">
        <v>-4.04442419478033E-2</v>
      </c>
      <c r="Q3086">
        <v>0.499407018132901</v>
      </c>
      <c r="R3086">
        <v>0.97709742091737295</v>
      </c>
      <c r="S3086" t="s">
        <v>9703</v>
      </c>
      <c r="T3086" t="s">
        <v>13232</v>
      </c>
      <c r="U3086" t="s">
        <v>13232</v>
      </c>
      <c r="V3086" t="s">
        <v>13232</v>
      </c>
      <c r="W3086" t="s">
        <v>16263</v>
      </c>
      <c r="X3086">
        <v>4</v>
      </c>
      <c r="Y3086" t="s">
        <v>22724</v>
      </c>
      <c r="Z3086" t="s">
        <v>29217</v>
      </c>
      <c r="AA3086">
        <v>0.67853928816299924</v>
      </c>
      <c r="AB3086" t="str">
        <f>HYPERLINK("Melting_Curves/meltCurve_Q13164_2_MAPK7.pdf", "Melting_Curves/meltCurve_Q13164_2_MAPK7.pdf")</f>
        <v>Melting_Curves/meltCurve_Q13164_2_MAPK7.pdf</v>
      </c>
    </row>
    <row r="3087" spans="1:28" x14ac:dyDescent="0.25">
      <c r="A3087" t="s">
        <v>3091</v>
      </c>
      <c r="B3087">
        <v>0.99930955844802105</v>
      </c>
      <c r="C3087">
        <v>0.99617873297369597</v>
      </c>
      <c r="D3087">
        <v>0.92765386823631801</v>
      </c>
      <c r="E3087">
        <v>0.83451486807883901</v>
      </c>
      <c r="F3087">
        <v>0.69965441738441303</v>
      </c>
      <c r="G3087">
        <v>0.47914547386154299</v>
      </c>
      <c r="H3087">
        <v>0.228394175541064</v>
      </c>
      <c r="I3087">
        <v>0.19034731205300001</v>
      </c>
      <c r="J3087">
        <v>0.174845549445172</v>
      </c>
      <c r="K3087">
        <v>0.14629624893335899</v>
      </c>
      <c r="L3087">
        <v>830.80081479867897</v>
      </c>
      <c r="M3087">
        <v>15.031071185242601</v>
      </c>
      <c r="N3087">
        <v>56.083512584465801</v>
      </c>
      <c r="O3087">
        <v>54.321597151457503</v>
      </c>
      <c r="P3087">
        <v>-6.2423384137519203E-2</v>
      </c>
      <c r="Q3087">
        <v>9.7709502231956097E-2</v>
      </c>
      <c r="R3087">
        <v>0.99586824028096599</v>
      </c>
      <c r="S3087" t="s">
        <v>9704</v>
      </c>
      <c r="T3087" t="s">
        <v>13232</v>
      </c>
      <c r="U3087" t="s">
        <v>13232</v>
      </c>
      <c r="V3087" t="s">
        <v>13232</v>
      </c>
      <c r="W3087" t="s">
        <v>16264</v>
      </c>
      <c r="X3087">
        <v>27</v>
      </c>
      <c r="Y3087" t="s">
        <v>22725</v>
      </c>
      <c r="Z3087" t="s">
        <v>29218</v>
      </c>
      <c r="AA3087">
        <v>0.57405702418347304</v>
      </c>
      <c r="AB3087" t="str">
        <f>HYPERLINK("Melting_Curves/meltCurve_Q13177_PAK2.pdf", "Melting_Curves/meltCurve_Q13177_PAK2.pdf")</f>
        <v>Melting_Curves/meltCurve_Q13177_PAK2.pdf</v>
      </c>
    </row>
    <row r="3088" spans="1:28" x14ac:dyDescent="0.25">
      <c r="A3088" t="s">
        <v>3092</v>
      </c>
      <c r="B3088">
        <v>0.99930955844802105</v>
      </c>
      <c r="C3088">
        <v>0.99874052255976098</v>
      </c>
      <c r="D3088">
        <v>1.0148083189488299</v>
      </c>
      <c r="E3088">
        <v>0.899319689548576</v>
      </c>
      <c r="F3088">
        <v>0.66918951919902003</v>
      </c>
      <c r="G3088">
        <v>0.43533611893346302</v>
      </c>
      <c r="H3088">
        <v>0.28275372778718799</v>
      </c>
      <c r="I3088">
        <v>0.222307803954684</v>
      </c>
      <c r="J3088">
        <v>0.19230016919477699</v>
      </c>
      <c r="K3088">
        <v>0.16408348783545701</v>
      </c>
      <c r="L3088">
        <v>1039.83891981901</v>
      </c>
      <c r="M3088">
        <v>19.043676150799001</v>
      </c>
      <c r="N3088">
        <v>55.810327051940703</v>
      </c>
      <c r="O3088">
        <v>54.011442151445998</v>
      </c>
      <c r="P3088">
        <v>-7.3266388884522193E-2</v>
      </c>
      <c r="Q3088">
        <v>0.16884387807646101</v>
      </c>
      <c r="R3088">
        <v>0.99706800162048204</v>
      </c>
      <c r="S3088" t="s">
        <v>9705</v>
      </c>
      <c r="T3088" t="s">
        <v>13232</v>
      </c>
      <c r="U3088" t="s">
        <v>13232</v>
      </c>
      <c r="V3088" t="s">
        <v>13232</v>
      </c>
      <c r="W3088" t="s">
        <v>16265</v>
      </c>
      <c r="X3088">
        <v>8</v>
      </c>
      <c r="Y3088" t="s">
        <v>22726</v>
      </c>
      <c r="Z3088" t="s">
        <v>29219</v>
      </c>
      <c r="AA3088">
        <v>0.58544987920226588</v>
      </c>
      <c r="AB3088" t="str">
        <f>HYPERLINK("Melting_Curves/meltCurve_Q13185_CBX3.pdf", "Melting_Curves/meltCurve_Q13185_CBX3.pdf")</f>
        <v>Melting_Curves/meltCurve_Q13185_CBX3.pdf</v>
      </c>
    </row>
    <row r="3089" spans="1:28" x14ac:dyDescent="0.25">
      <c r="A3089" t="s">
        <v>3093</v>
      </c>
      <c r="B3089">
        <v>0.99930955844802105</v>
      </c>
      <c r="C3089">
        <v>1.1006473169587501</v>
      </c>
      <c r="D3089">
        <v>1.1169752382101701</v>
      </c>
      <c r="E3089">
        <v>0.962366781230931</v>
      </c>
      <c r="F3089">
        <v>0.59966982512871203</v>
      </c>
      <c r="G3089">
        <v>0.303228213278598</v>
      </c>
      <c r="H3089">
        <v>0.20743176587196099</v>
      </c>
      <c r="I3089">
        <v>0.19108306848757101</v>
      </c>
      <c r="J3089">
        <v>0.16823351150832999</v>
      </c>
      <c r="K3089">
        <v>0.13428958503563301</v>
      </c>
      <c r="L3089">
        <v>1802.6947141926</v>
      </c>
      <c r="M3089">
        <v>33.800833831312403</v>
      </c>
      <c r="N3089">
        <v>54.036416248129797</v>
      </c>
      <c r="O3089">
        <v>53.147225922446196</v>
      </c>
      <c r="P3089">
        <v>-0.13069342516578999</v>
      </c>
      <c r="Q3089">
        <v>0.17801291428876501</v>
      </c>
      <c r="R3089">
        <v>0.98042806360441304</v>
      </c>
      <c r="S3089" t="s">
        <v>9706</v>
      </c>
      <c r="T3089" t="s">
        <v>13232</v>
      </c>
      <c r="U3089" t="s">
        <v>13232</v>
      </c>
      <c r="V3089" t="s">
        <v>13232</v>
      </c>
      <c r="W3089" t="s">
        <v>16266</v>
      </c>
      <c r="X3089">
        <v>17</v>
      </c>
      <c r="Y3089" t="s">
        <v>22727</v>
      </c>
      <c r="Z3089" t="s">
        <v>29220</v>
      </c>
      <c r="AA3089">
        <v>0.54756180298677226</v>
      </c>
      <c r="AB3089" t="str">
        <f>HYPERLINK("Melting_Curves/meltCurve_Q13188_STK3.pdf", "Melting_Curves/meltCurve_Q13188_STK3.pdf")</f>
        <v>Melting_Curves/meltCurve_Q13188_STK3.pdf</v>
      </c>
    </row>
    <row r="3090" spans="1:28" x14ac:dyDescent="0.25">
      <c r="A3090" t="s">
        <v>3094</v>
      </c>
      <c r="B3090">
        <v>0.99930955844802105</v>
      </c>
      <c r="C3090">
        <v>0.90352762352801497</v>
      </c>
      <c r="D3090">
        <v>0.79687193444173099</v>
      </c>
      <c r="E3090">
        <v>0.56873360540261797</v>
      </c>
      <c r="F3090">
        <v>0.32053378133912402</v>
      </c>
      <c r="G3090">
        <v>0.21802796565098101</v>
      </c>
      <c r="H3090">
        <v>0.187911044858148</v>
      </c>
      <c r="I3090">
        <v>0.19409614236773601</v>
      </c>
      <c r="J3090">
        <v>0.18204371859530399</v>
      </c>
      <c r="K3090">
        <v>0.14657944408847901</v>
      </c>
      <c r="L3090">
        <v>827.31984912963605</v>
      </c>
      <c r="M3090">
        <v>16.788303025010102</v>
      </c>
      <c r="N3090">
        <v>50.400768281678602</v>
      </c>
      <c r="O3090">
        <v>48.596266839516097</v>
      </c>
      <c r="P3090">
        <v>-7.2912406362415999E-2</v>
      </c>
      <c r="Q3090">
        <v>0.155831155150124</v>
      </c>
      <c r="R3090">
        <v>0.99461341206126497</v>
      </c>
      <c r="S3090" t="s">
        <v>9707</v>
      </c>
      <c r="T3090" t="s">
        <v>13232</v>
      </c>
      <c r="U3090" t="s">
        <v>13232</v>
      </c>
      <c r="V3090" t="s">
        <v>13232</v>
      </c>
      <c r="W3090" t="s">
        <v>16267</v>
      </c>
      <c r="X3090">
        <v>7</v>
      </c>
      <c r="Y3090" t="s">
        <v>22728</v>
      </c>
      <c r="Z3090" t="s">
        <v>29221</v>
      </c>
      <c r="AA3090">
        <v>0.43361370810073391</v>
      </c>
      <c r="AB3090" t="str">
        <f>HYPERLINK("Melting_Curves/meltCurve_Q13190_3_STX5.pdf", "Melting_Curves/meltCurve_Q13190_3_STX5.pdf")</f>
        <v>Melting_Curves/meltCurve_Q13190_3_STX5.pdf</v>
      </c>
    </row>
    <row r="3091" spans="1:28" x14ac:dyDescent="0.25">
      <c r="A3091" t="s">
        <v>3095</v>
      </c>
      <c r="B3091">
        <v>0.99930955844802105</v>
      </c>
      <c r="C3091">
        <v>0.57585149976684502</v>
      </c>
      <c r="D3091">
        <v>0.62442139732968005</v>
      </c>
      <c r="E3091">
        <v>0.53759538096640602</v>
      </c>
      <c r="F3091">
        <v>0.28929829359193299</v>
      </c>
      <c r="G3091">
        <v>0.168790008587621</v>
      </c>
      <c r="H3091">
        <v>7.1520589199416507E-2</v>
      </c>
      <c r="I3091">
        <v>5.4167491222495201E-2</v>
      </c>
      <c r="J3091">
        <v>4.5338825586960299E-2</v>
      </c>
      <c r="K3091">
        <v>3.54262592512853E-2</v>
      </c>
      <c r="L3091">
        <v>463.82748221727098</v>
      </c>
      <c r="M3091">
        <v>9.6260874919709298</v>
      </c>
      <c r="N3091">
        <v>48.184424522903797</v>
      </c>
      <c r="O3091">
        <v>46.242659438893803</v>
      </c>
      <c r="P3091">
        <v>-5.2070439767699997E-2</v>
      </c>
      <c r="Q3091">
        <v>0</v>
      </c>
      <c r="R3091">
        <v>0.92801709755025796</v>
      </c>
      <c r="S3091" t="s">
        <v>9708</v>
      </c>
      <c r="T3091" t="s">
        <v>13232</v>
      </c>
      <c r="U3091" t="s">
        <v>13232</v>
      </c>
      <c r="V3091" t="s">
        <v>13232</v>
      </c>
      <c r="W3091" t="s">
        <v>16268</v>
      </c>
      <c r="X3091">
        <v>40</v>
      </c>
      <c r="Y3091" t="s">
        <v>22729</v>
      </c>
      <c r="Z3091" t="s">
        <v>29222</v>
      </c>
      <c r="AA3091">
        <v>0.32811581542872348</v>
      </c>
      <c r="AB3091" t="str">
        <f>HYPERLINK("Melting_Curves/meltCurve_Q13200_PSMD2.pdf", "Melting_Curves/meltCurve_Q13200_PSMD2.pdf")</f>
        <v>Melting_Curves/meltCurve_Q13200_PSMD2.pdf</v>
      </c>
    </row>
    <row r="3092" spans="1:28" x14ac:dyDescent="0.25">
      <c r="A3092" t="s">
        <v>3096</v>
      </c>
      <c r="B3092">
        <v>0.99930955844802105</v>
      </c>
      <c r="C3092">
        <v>1.05231614874851</v>
      </c>
      <c r="D3092">
        <v>1.0140887019223499</v>
      </c>
      <c r="E3092">
        <v>1.0730584311303399</v>
      </c>
      <c r="F3092">
        <v>0.97732042728422297</v>
      </c>
      <c r="G3092">
        <v>0.902390176759018</v>
      </c>
      <c r="H3092">
        <v>0.87021798668231198</v>
      </c>
      <c r="I3092">
        <v>0.94847072216115602</v>
      </c>
      <c r="J3092">
        <v>0.90626753744028299</v>
      </c>
      <c r="K3092">
        <v>0.70480307389311303</v>
      </c>
      <c r="L3092">
        <v>777.35541604954801</v>
      </c>
      <c r="M3092">
        <v>9.9838038593783498</v>
      </c>
      <c r="Q3092">
        <v>0</v>
      </c>
      <c r="R3092">
        <v>0.71433095501159904</v>
      </c>
      <c r="S3092" t="s">
        <v>9709</v>
      </c>
      <c r="T3092" t="s">
        <v>13232</v>
      </c>
      <c r="U3092" t="s">
        <v>13232</v>
      </c>
      <c r="V3092" t="s">
        <v>13232</v>
      </c>
      <c r="W3092" t="s">
        <v>16269</v>
      </c>
      <c r="X3092">
        <v>14</v>
      </c>
      <c r="Y3092" t="s">
        <v>22730</v>
      </c>
      <c r="Z3092" t="s">
        <v>29223</v>
      </c>
      <c r="AA3092">
        <v>0.94980544468109529</v>
      </c>
      <c r="AB3092" t="str">
        <f>HYPERLINK("Melting_Curves/meltCurve_Q13206_DDX10.pdf", "Melting_Curves/meltCurve_Q13206_DDX10.pdf")</f>
        <v>Melting_Curves/meltCurve_Q13206_DDX10.pdf</v>
      </c>
    </row>
    <row r="3093" spans="1:28" x14ac:dyDescent="0.25">
      <c r="A3093" t="s">
        <v>3097</v>
      </c>
      <c r="B3093">
        <v>0.99930955844802105</v>
      </c>
      <c r="C3093">
        <v>0.86249585227327397</v>
      </c>
      <c r="D3093">
        <v>0.93776362288530601</v>
      </c>
      <c r="E3093">
        <v>0.96632265644724102</v>
      </c>
      <c r="F3093">
        <v>1.0629737771016301</v>
      </c>
      <c r="G3093">
        <v>0.54567444175400703</v>
      </c>
      <c r="H3093">
        <v>0.13785204995325701</v>
      </c>
      <c r="I3093">
        <v>0.10585884195251501</v>
      </c>
      <c r="J3093">
        <v>7.5042528786842005E-2</v>
      </c>
      <c r="K3093">
        <v>5.3829348931144098E-2</v>
      </c>
      <c r="L3093">
        <v>3886.0183006232801</v>
      </c>
      <c r="M3093">
        <v>68.158347805665599</v>
      </c>
      <c r="N3093">
        <v>57.180984552907397</v>
      </c>
      <c r="O3093">
        <v>56.965540443219901</v>
      </c>
      <c r="P3093">
        <v>-0.27221035224953899</v>
      </c>
      <c r="Q3093">
        <v>8.9965858334414103E-2</v>
      </c>
      <c r="R3093">
        <v>0.98154205401987304</v>
      </c>
      <c r="S3093" t="s">
        <v>9710</v>
      </c>
      <c r="T3093" t="s">
        <v>13232</v>
      </c>
      <c r="U3093" t="s">
        <v>13232</v>
      </c>
      <c r="V3093" t="s">
        <v>13232</v>
      </c>
      <c r="W3093" t="s">
        <v>16270</v>
      </c>
      <c r="X3093">
        <v>4</v>
      </c>
      <c r="Y3093" t="s">
        <v>22731</v>
      </c>
      <c r="Z3093" t="s">
        <v>29224</v>
      </c>
      <c r="AA3093">
        <v>0.6073219142754962</v>
      </c>
      <c r="AB3093" t="str">
        <f>HYPERLINK("Melting_Curves/meltCurve_Q13216_ERCC8.pdf", "Melting_Curves/meltCurve_Q13216_ERCC8.pdf")</f>
        <v>Melting_Curves/meltCurve_Q13216_ERCC8.pdf</v>
      </c>
    </row>
    <row r="3094" spans="1:28" x14ac:dyDescent="0.25">
      <c r="A3094" t="s">
        <v>3098</v>
      </c>
      <c r="B3094">
        <v>0.99930955844802105</v>
      </c>
      <c r="C3094">
        <v>0.92409999638436502</v>
      </c>
      <c r="D3094">
        <v>0.77357337842767004</v>
      </c>
      <c r="E3094">
        <v>0.37407896161071902</v>
      </c>
      <c r="F3094">
        <v>0.201223869996938</v>
      </c>
      <c r="G3094">
        <v>0.15031768893776601</v>
      </c>
      <c r="H3094">
        <v>0.10084596269624201</v>
      </c>
      <c r="I3094">
        <v>7.6991544745679194E-2</v>
      </c>
      <c r="J3094">
        <v>7.6682180909962497E-2</v>
      </c>
      <c r="K3094">
        <v>5.2779452138449097E-2</v>
      </c>
      <c r="L3094">
        <v>993.53741326091699</v>
      </c>
      <c r="M3094">
        <v>20.553395867332402</v>
      </c>
      <c r="N3094">
        <v>48.734178256316902</v>
      </c>
      <c r="O3094">
        <v>47.888712506354501</v>
      </c>
      <c r="P3094">
        <v>-9.9070968782148897E-2</v>
      </c>
      <c r="Q3094">
        <v>7.6699042568413506E-2</v>
      </c>
      <c r="R3094">
        <v>0.99790487239368597</v>
      </c>
      <c r="S3094" t="s">
        <v>9711</v>
      </c>
      <c r="T3094" t="s">
        <v>13232</v>
      </c>
      <c r="U3094" t="s">
        <v>13232</v>
      </c>
      <c r="V3094" t="s">
        <v>13232</v>
      </c>
      <c r="W3094" t="s">
        <v>16271</v>
      </c>
      <c r="X3094">
        <v>15</v>
      </c>
      <c r="Y3094" t="s">
        <v>22732</v>
      </c>
      <c r="Z3094" t="s">
        <v>29225</v>
      </c>
      <c r="AA3094">
        <v>0.34567228261977151</v>
      </c>
      <c r="AB3094" t="str">
        <f>HYPERLINK("Melting_Curves/meltCurve_Q13217_DNAJC3.pdf", "Melting_Curves/meltCurve_Q13217_DNAJC3.pdf")</f>
        <v>Melting_Curves/meltCurve_Q13217_DNAJC3.pdf</v>
      </c>
    </row>
    <row r="3095" spans="1:28" x14ac:dyDescent="0.25">
      <c r="A3095" t="s">
        <v>3099</v>
      </c>
      <c r="B3095">
        <v>0.99930955844802105</v>
      </c>
      <c r="C3095">
        <v>1.04143665302734</v>
      </c>
      <c r="D3095">
        <v>1.03056650320299</v>
      </c>
      <c r="E3095">
        <v>0.94040661148168703</v>
      </c>
      <c r="F3095">
        <v>0.85119405012652205</v>
      </c>
      <c r="G3095">
        <v>0.65723890146345199</v>
      </c>
      <c r="H3095">
        <v>0.61729677954397799</v>
      </c>
      <c r="I3095">
        <v>0.59012061183898501</v>
      </c>
      <c r="J3095">
        <v>0.53501923489915104</v>
      </c>
      <c r="K3095">
        <v>0.359166869328024</v>
      </c>
      <c r="L3095">
        <v>648.51084537394695</v>
      </c>
      <c r="M3095">
        <v>10.9607997912317</v>
      </c>
      <c r="N3095">
        <v>65.647580380344394</v>
      </c>
      <c r="O3095">
        <v>57.299224822292501</v>
      </c>
      <c r="P3095">
        <v>-3.20251777772785E-2</v>
      </c>
      <c r="Q3095">
        <v>0.33056332484567302</v>
      </c>
      <c r="R3095">
        <v>0.95267442378827405</v>
      </c>
      <c r="S3095" t="s">
        <v>9712</v>
      </c>
      <c r="T3095" t="s">
        <v>13232</v>
      </c>
      <c r="U3095" t="s">
        <v>13232</v>
      </c>
      <c r="V3095" t="s">
        <v>13232</v>
      </c>
      <c r="W3095" t="s">
        <v>16272</v>
      </c>
      <c r="X3095">
        <v>21</v>
      </c>
      <c r="Y3095" t="s">
        <v>22733</v>
      </c>
      <c r="Z3095" t="s">
        <v>29226</v>
      </c>
      <c r="AA3095">
        <v>0.76154849911843381</v>
      </c>
      <c r="AB3095" t="str">
        <f>HYPERLINK("Melting_Curves/meltCurve_Q13228_SELENBP1.pdf", "Melting_Curves/meltCurve_Q13228_SELENBP1.pdf")</f>
        <v>Melting_Curves/meltCurve_Q13228_SELENBP1.pdf</v>
      </c>
    </row>
    <row r="3096" spans="1:28" x14ac:dyDescent="0.25">
      <c r="A3096" t="s">
        <v>3100</v>
      </c>
      <c r="B3096">
        <v>0.99930955844802105</v>
      </c>
      <c r="C3096">
        <v>1.01991197207479</v>
      </c>
      <c r="D3096">
        <v>1.00529205092347</v>
      </c>
      <c r="E3096">
        <v>0.966781875267966</v>
      </c>
      <c r="F3096">
        <v>0.92577631214084299</v>
      </c>
      <c r="G3096">
        <v>0.735020243457433</v>
      </c>
      <c r="H3096">
        <v>0.48445016165572902</v>
      </c>
      <c r="I3096">
        <v>0.29324801626221803</v>
      </c>
      <c r="J3096">
        <v>0.180503865260807</v>
      </c>
      <c r="K3096">
        <v>0.12878237701336701</v>
      </c>
      <c r="L3096">
        <v>1051.1617767535899</v>
      </c>
      <c r="M3096">
        <v>17.441552689803899</v>
      </c>
      <c r="N3096">
        <v>60.600275435998299</v>
      </c>
      <c r="O3096">
        <v>59.492160747774399</v>
      </c>
      <c r="P3096">
        <v>-6.9951992306079902E-2</v>
      </c>
      <c r="Q3096">
        <v>4.5644033659231698E-2</v>
      </c>
      <c r="R3096">
        <v>0.99924763259040505</v>
      </c>
      <c r="S3096" t="s">
        <v>9713</v>
      </c>
      <c r="T3096" t="s">
        <v>13232</v>
      </c>
      <c r="U3096" t="s">
        <v>13232</v>
      </c>
      <c r="V3096" t="s">
        <v>13232</v>
      </c>
      <c r="W3096" t="s">
        <v>16273</v>
      </c>
      <c r="X3096">
        <v>10</v>
      </c>
      <c r="Y3096" t="s">
        <v>22734</v>
      </c>
      <c r="Z3096" t="s">
        <v>29227</v>
      </c>
      <c r="AA3096">
        <v>0.69742458706173516</v>
      </c>
      <c r="AB3096" t="str">
        <f>HYPERLINK("Melting_Curves/meltCurve_Q13232_NME3.pdf", "Melting_Curves/meltCurve_Q13232_NME3.pdf")</f>
        <v>Melting_Curves/meltCurve_Q13232_NME3.pdf</v>
      </c>
    </row>
    <row r="3097" spans="1:28" x14ac:dyDescent="0.25">
      <c r="A3097" t="s">
        <v>3101</v>
      </c>
      <c r="B3097">
        <v>0.99930955844802105</v>
      </c>
      <c r="C3097">
        <v>0.94821121645220496</v>
      </c>
      <c r="D3097">
        <v>0.73759648412939605</v>
      </c>
      <c r="E3097">
        <v>0.54172265264617803</v>
      </c>
      <c r="F3097">
        <v>0.44103647094114501</v>
      </c>
      <c r="G3097">
        <v>0.32001601385135198</v>
      </c>
      <c r="H3097">
        <v>0.311941180082698</v>
      </c>
      <c r="I3097">
        <v>0.32805006232015199</v>
      </c>
      <c r="J3097">
        <v>0.33636969383420001</v>
      </c>
      <c r="K3097">
        <v>0.26649504685465902</v>
      </c>
      <c r="L3097">
        <v>814.88445287356603</v>
      </c>
      <c r="M3097">
        <v>16.985539730680099</v>
      </c>
      <c r="N3097">
        <v>50.714483891791197</v>
      </c>
      <c r="O3097">
        <v>47.324995730702099</v>
      </c>
      <c r="P3097">
        <v>-6.2792693376375094E-2</v>
      </c>
      <c r="Q3097">
        <v>0.30023284318242799</v>
      </c>
      <c r="R3097">
        <v>0.99038962974955003</v>
      </c>
      <c r="S3097" t="s">
        <v>9714</v>
      </c>
      <c r="T3097" t="s">
        <v>13232</v>
      </c>
      <c r="U3097" t="s">
        <v>13232</v>
      </c>
      <c r="V3097" t="s">
        <v>13232</v>
      </c>
      <c r="W3097" t="s">
        <v>16274</v>
      </c>
      <c r="X3097">
        <v>7</v>
      </c>
      <c r="Y3097" t="s">
        <v>22735</v>
      </c>
      <c r="Z3097" t="s">
        <v>29228</v>
      </c>
      <c r="AA3097">
        <v>0.50027517047659897</v>
      </c>
      <c r="AB3097" t="str">
        <f>HYPERLINK("Melting_Curves/meltCurve_Q13233_MAP3K1.pdf", "Melting_Curves/meltCurve_Q13233_MAP3K1.pdf")</f>
        <v>Melting_Curves/meltCurve_Q13233_MAP3K1.pdf</v>
      </c>
    </row>
    <row r="3098" spans="1:28" x14ac:dyDescent="0.25">
      <c r="A3098" t="s">
        <v>3102</v>
      </c>
      <c r="B3098">
        <v>0.99930955844802105</v>
      </c>
      <c r="C3098">
        <v>0.99996730963478897</v>
      </c>
      <c r="D3098">
        <v>0.89613345520462395</v>
      </c>
      <c r="E3098">
        <v>0.69833854906308102</v>
      </c>
      <c r="F3098">
        <v>0.63409737586090698</v>
      </c>
      <c r="G3098">
        <v>0.39911587156852002</v>
      </c>
      <c r="H3098">
        <v>0.22485385624770601</v>
      </c>
      <c r="I3098">
        <v>0.194387408673661</v>
      </c>
      <c r="J3098">
        <v>0.18329494947180699</v>
      </c>
      <c r="K3098">
        <v>0.164535723357012</v>
      </c>
      <c r="L3098">
        <v>696.57211960071504</v>
      </c>
      <c r="M3098">
        <v>13.008557875814001</v>
      </c>
      <c r="N3098">
        <v>54.5985876004926</v>
      </c>
      <c r="O3098">
        <v>52.329204454079402</v>
      </c>
      <c r="P3098">
        <v>-5.5271906189820197E-2</v>
      </c>
      <c r="Q3098">
        <v>0.110792978962587</v>
      </c>
      <c r="R3098">
        <v>0.99264385106666597</v>
      </c>
      <c r="S3098" t="s">
        <v>9715</v>
      </c>
      <c r="T3098" t="s">
        <v>13232</v>
      </c>
      <c r="U3098" t="s">
        <v>13232</v>
      </c>
      <c r="V3098" t="s">
        <v>13232</v>
      </c>
      <c r="W3098" t="s">
        <v>16275</v>
      </c>
      <c r="X3098">
        <v>4</v>
      </c>
      <c r="Y3098" t="s">
        <v>22736</v>
      </c>
      <c r="Z3098" t="s">
        <v>29229</v>
      </c>
      <c r="AA3098">
        <v>0.53453796037210355</v>
      </c>
      <c r="AB3098" t="str">
        <f>HYPERLINK("Melting_Curves/meltCurve_Q13242_SRSF9.pdf", "Melting_Curves/meltCurve_Q13242_SRSF9.pdf")</f>
        <v>Melting_Curves/meltCurve_Q13242_SRSF9.pdf</v>
      </c>
    </row>
    <row r="3099" spans="1:28" x14ac:dyDescent="0.25">
      <c r="A3099" t="s">
        <v>3103</v>
      </c>
      <c r="B3099">
        <v>0.99930955844802105</v>
      </c>
      <c r="C3099">
        <v>0.93166534814886004</v>
      </c>
      <c r="D3099">
        <v>0.94614725504193997</v>
      </c>
      <c r="E3099">
        <v>0.82817358278256104</v>
      </c>
      <c r="F3099">
        <v>0.60106426523646905</v>
      </c>
      <c r="G3099">
        <v>0.42922522536326202</v>
      </c>
      <c r="H3099">
        <v>0.395374682665872</v>
      </c>
      <c r="I3099">
        <v>0.446646240896863</v>
      </c>
      <c r="J3099">
        <v>0.49077066046900703</v>
      </c>
      <c r="K3099">
        <v>0.42535398374903399</v>
      </c>
      <c r="L3099">
        <v>1518.17760972371</v>
      </c>
      <c r="M3099">
        <v>29.578054613682799</v>
      </c>
      <c r="N3099">
        <v>55.040698480889901</v>
      </c>
      <c r="O3099">
        <v>51.0949329084794</v>
      </c>
      <c r="P3099">
        <v>-8.22008050556301E-2</v>
      </c>
      <c r="Q3099">
        <v>0.43200921203325299</v>
      </c>
      <c r="R3099">
        <v>0.97802555595428997</v>
      </c>
      <c r="S3099" t="s">
        <v>9716</v>
      </c>
      <c r="T3099" t="s">
        <v>13232</v>
      </c>
      <c r="U3099" t="s">
        <v>13232</v>
      </c>
      <c r="V3099" t="s">
        <v>13232</v>
      </c>
      <c r="W3099" t="s">
        <v>16276</v>
      </c>
      <c r="X3099">
        <v>6</v>
      </c>
      <c r="Y3099" t="s">
        <v>22737</v>
      </c>
      <c r="Z3099" t="s">
        <v>29230</v>
      </c>
      <c r="AA3099">
        <v>0.65017278148599522</v>
      </c>
      <c r="AB3099" t="str">
        <f>HYPERLINK("Melting_Curves/meltCurve_Q13243_3_SRSF5.pdf", "Melting_Curves/meltCurve_Q13243_3_SRSF5.pdf")</f>
        <v>Melting_Curves/meltCurve_Q13243_3_SRSF5.pdf</v>
      </c>
    </row>
    <row r="3100" spans="1:28" x14ac:dyDescent="0.25">
      <c r="A3100" t="s">
        <v>3104</v>
      </c>
      <c r="B3100">
        <v>0.99930955844802105</v>
      </c>
      <c r="C3100">
        <v>0.96934309087659898</v>
      </c>
      <c r="D3100">
        <v>0.86359880377324105</v>
      </c>
      <c r="E3100">
        <v>0.89225305229904905</v>
      </c>
      <c r="F3100">
        <v>0.79236736784317996</v>
      </c>
      <c r="G3100">
        <v>0.82401310578392395</v>
      </c>
      <c r="H3100">
        <v>1.13877547991755</v>
      </c>
      <c r="I3100">
        <v>1.48730410791005</v>
      </c>
      <c r="J3100">
        <v>2.4455799324032799</v>
      </c>
      <c r="K3100">
        <v>1.49372039612564</v>
      </c>
      <c r="L3100">
        <v>7839.49811564224</v>
      </c>
      <c r="M3100">
        <v>127.55757787960501</v>
      </c>
      <c r="O3100">
        <v>61.4434025256678</v>
      </c>
      <c r="P3100">
        <v>0.25950218857676999</v>
      </c>
      <c r="Q3100">
        <v>1.5</v>
      </c>
      <c r="R3100">
        <v>0.57139513473829495</v>
      </c>
      <c r="S3100" t="s">
        <v>9717</v>
      </c>
      <c r="T3100" t="s">
        <v>13232</v>
      </c>
      <c r="U3100" t="s">
        <v>13232</v>
      </c>
      <c r="V3100" t="s">
        <v>13232</v>
      </c>
      <c r="W3100" t="s">
        <v>16277</v>
      </c>
      <c r="X3100">
        <v>10</v>
      </c>
      <c r="Y3100" t="s">
        <v>22738</v>
      </c>
      <c r="Z3100" t="s">
        <v>29231</v>
      </c>
      <c r="AA3100">
        <v>1.142150957549956</v>
      </c>
      <c r="AB3100" t="str">
        <f>HYPERLINK("Melting_Curves/meltCurve_Q13247_3_SRSF6.pdf", "Melting_Curves/meltCurve_Q13247_3_SRSF6.pdf")</f>
        <v>Melting_Curves/meltCurve_Q13247_3_SRSF6.pdf</v>
      </c>
    </row>
    <row r="3101" spans="1:28" x14ac:dyDescent="0.25">
      <c r="A3101" t="s">
        <v>3105</v>
      </c>
      <c r="B3101">
        <v>0.99930955844802105</v>
      </c>
      <c r="C3101">
        <v>0.92714472411236903</v>
      </c>
      <c r="D3101">
        <v>0.94081073625702805</v>
      </c>
      <c r="E3101">
        <v>0.71320312177399703</v>
      </c>
      <c r="F3101">
        <v>0.49994842166750503</v>
      </c>
      <c r="G3101">
        <v>0.31097642788122498</v>
      </c>
      <c r="H3101">
        <v>0.169218462536536</v>
      </c>
      <c r="I3101">
        <v>0.115152477872642</v>
      </c>
      <c r="J3101">
        <v>7.3298160325724102E-2</v>
      </c>
      <c r="K3101">
        <v>5.5250650254631897E-2</v>
      </c>
      <c r="L3101">
        <v>750.66704637384896</v>
      </c>
      <c r="M3101">
        <v>14.137377949086799</v>
      </c>
      <c r="N3101">
        <v>53.331599891834998</v>
      </c>
      <c r="O3101">
        <v>52.0695013873151</v>
      </c>
      <c r="P3101">
        <v>-6.5848465862967803E-2</v>
      </c>
      <c r="Q3101">
        <v>3.00152939861658E-2</v>
      </c>
      <c r="R3101">
        <v>0.99700987792080098</v>
      </c>
      <c r="S3101" t="s">
        <v>9718</v>
      </c>
      <c r="T3101" t="s">
        <v>13232</v>
      </c>
      <c r="U3101" t="s">
        <v>13232</v>
      </c>
      <c r="V3101" t="s">
        <v>13232</v>
      </c>
      <c r="W3101" t="s">
        <v>16278</v>
      </c>
      <c r="X3101">
        <v>8</v>
      </c>
      <c r="Y3101" t="s">
        <v>22739</v>
      </c>
      <c r="Z3101" t="s">
        <v>29232</v>
      </c>
      <c r="AA3101">
        <v>0.4760160631586467</v>
      </c>
      <c r="AB3101" t="str">
        <f>HYPERLINK("Melting_Curves/meltCurve_Q13257_MAD2L1.pdf", "Melting_Curves/meltCurve_Q13257_MAD2L1.pdf")</f>
        <v>Melting_Curves/meltCurve_Q13257_MAD2L1.pdf</v>
      </c>
    </row>
    <row r="3102" spans="1:28" x14ac:dyDescent="0.25">
      <c r="A3102" t="s">
        <v>3106</v>
      </c>
      <c r="B3102">
        <v>0.99930955844802105</v>
      </c>
      <c r="C3102">
        <v>1.0147210016528101</v>
      </c>
      <c r="D3102">
        <v>0.80715913775049697</v>
      </c>
      <c r="E3102">
        <v>0.69707226347156004</v>
      </c>
      <c r="F3102">
        <v>0.53012567635943397</v>
      </c>
      <c r="G3102">
        <v>0.38516178820538899</v>
      </c>
      <c r="H3102">
        <v>0.26922799353628502</v>
      </c>
      <c r="I3102">
        <v>0.240423689290096</v>
      </c>
      <c r="J3102">
        <v>0.222862330696218</v>
      </c>
      <c r="K3102">
        <v>0.17965265666060801</v>
      </c>
      <c r="L3102">
        <v>650.97740355180599</v>
      </c>
      <c r="M3102">
        <v>12.506599229954199</v>
      </c>
      <c r="N3102">
        <v>53.73449946945</v>
      </c>
      <c r="O3102">
        <v>50.7737066965175</v>
      </c>
      <c r="P3102">
        <v>-5.1607779419939603E-2</v>
      </c>
      <c r="Q3102">
        <v>0.16211265762558699</v>
      </c>
      <c r="R3102">
        <v>0.99039159569462398</v>
      </c>
      <c r="S3102" t="s">
        <v>9719</v>
      </c>
      <c r="T3102" t="s">
        <v>13232</v>
      </c>
      <c r="U3102" t="s">
        <v>13232</v>
      </c>
      <c r="V3102" t="s">
        <v>13232</v>
      </c>
      <c r="W3102" t="s">
        <v>16279</v>
      </c>
      <c r="X3102">
        <v>38</v>
      </c>
      <c r="Y3102" t="s">
        <v>22740</v>
      </c>
      <c r="Z3102" t="s">
        <v>29233</v>
      </c>
      <c r="AA3102">
        <v>0.5229024871239164</v>
      </c>
      <c r="AB3102" t="str">
        <f>HYPERLINK("Melting_Curves/meltCurve_Q13263_TRIM28.pdf", "Melting_Curves/meltCurve_Q13263_TRIM28.pdf")</f>
        <v>Melting_Curves/meltCurve_Q13263_TRIM28.pdf</v>
      </c>
    </row>
    <row r="3103" spans="1:28" x14ac:dyDescent="0.25">
      <c r="A3103" t="s">
        <v>3107</v>
      </c>
      <c r="B3103">
        <v>0.99930955844802105</v>
      </c>
      <c r="C3103">
        <v>1.0923977556314599</v>
      </c>
      <c r="D3103">
        <v>0.96221036266021098</v>
      </c>
      <c r="E3103">
        <v>0.86489466649947599</v>
      </c>
      <c r="F3103">
        <v>0.74597436618665702</v>
      </c>
      <c r="G3103">
        <v>0.65377195319794901</v>
      </c>
      <c r="H3103">
        <v>0.62964177767060903</v>
      </c>
      <c r="I3103">
        <v>0.69341730057318995</v>
      </c>
      <c r="J3103">
        <v>0.70523122587787901</v>
      </c>
      <c r="K3103">
        <v>0.52733543960839002</v>
      </c>
      <c r="L3103">
        <v>1280.4300596891701</v>
      </c>
      <c r="M3103">
        <v>25.049620808633701</v>
      </c>
      <c r="O3103">
        <v>50.793320386545297</v>
      </c>
      <c r="P3103">
        <v>-4.4967897656600003E-2</v>
      </c>
      <c r="Q3103">
        <v>0.63527777520162299</v>
      </c>
      <c r="R3103">
        <v>0.90334286447717405</v>
      </c>
      <c r="S3103" t="s">
        <v>9720</v>
      </c>
      <c r="T3103" t="s">
        <v>13232</v>
      </c>
      <c r="U3103" t="s">
        <v>13232</v>
      </c>
      <c r="V3103" t="s">
        <v>13232</v>
      </c>
      <c r="W3103" t="s">
        <v>16280</v>
      </c>
      <c r="X3103">
        <v>4</v>
      </c>
      <c r="Y3103" t="s">
        <v>22741</v>
      </c>
      <c r="Z3103" t="s">
        <v>29234</v>
      </c>
      <c r="AA3103">
        <v>0.77370265399355698</v>
      </c>
      <c r="AB3103" t="str">
        <f>HYPERLINK("Melting_Curves/meltCurve_Q13277_2_STX3.pdf", "Melting_Curves/meltCurve_Q13277_2_STX3.pdf")</f>
        <v>Melting_Curves/meltCurve_Q13277_2_STX3.pdf</v>
      </c>
    </row>
    <row r="3104" spans="1:28" x14ac:dyDescent="0.25">
      <c r="A3104" t="s">
        <v>3108</v>
      </c>
      <c r="B3104">
        <v>0.99930955844802105</v>
      </c>
      <c r="C3104">
        <v>1.06440247835404</v>
      </c>
      <c r="D3104">
        <v>1.03773212165075</v>
      </c>
      <c r="E3104">
        <v>0.92922049390531303</v>
      </c>
      <c r="F3104">
        <v>0.60417907059401099</v>
      </c>
      <c r="G3104">
        <v>0.35828969205177302</v>
      </c>
      <c r="H3104">
        <v>0.23959949969495001</v>
      </c>
      <c r="I3104">
        <v>0.20187704054030001</v>
      </c>
      <c r="J3104">
        <v>0.19538087174975999</v>
      </c>
      <c r="K3104">
        <v>0.15996912846487699</v>
      </c>
      <c r="L3104">
        <v>1412.96543956492</v>
      </c>
      <c r="M3104">
        <v>26.406042949563702</v>
      </c>
      <c r="N3104">
        <v>54.5039365123612</v>
      </c>
      <c r="O3104">
        <v>53.205112040862502</v>
      </c>
      <c r="P3104">
        <v>-0.100353115501349</v>
      </c>
      <c r="Q3104">
        <v>0.19120921124801599</v>
      </c>
      <c r="R3104">
        <v>0.99093967494653801</v>
      </c>
      <c r="S3104" t="s">
        <v>9721</v>
      </c>
      <c r="T3104" t="s">
        <v>13232</v>
      </c>
      <c r="U3104" t="s">
        <v>13232</v>
      </c>
      <c r="V3104" t="s">
        <v>13232</v>
      </c>
      <c r="W3104" t="s">
        <v>16281</v>
      </c>
      <c r="X3104">
        <v>20</v>
      </c>
      <c r="Y3104" t="s">
        <v>22742</v>
      </c>
      <c r="Z3104" t="s">
        <v>29235</v>
      </c>
      <c r="AA3104">
        <v>0.56215648393551898</v>
      </c>
      <c r="AB3104" t="str">
        <f>HYPERLINK("Melting_Curves/meltCurve_Q13283_G3BP1.pdf", "Melting_Curves/meltCurve_Q13283_G3BP1.pdf")</f>
        <v>Melting_Curves/meltCurve_Q13283_G3BP1.pdf</v>
      </c>
    </row>
    <row r="3105" spans="1:28" x14ac:dyDescent="0.25">
      <c r="A3105" t="s">
        <v>3109</v>
      </c>
      <c r="B3105">
        <v>0.99930955844802105</v>
      </c>
      <c r="C3105">
        <v>1.0265077608186799</v>
      </c>
      <c r="D3105">
        <v>1.00896711235661</v>
      </c>
      <c r="E3105">
        <v>1.0274183764687099</v>
      </c>
      <c r="F3105">
        <v>0.91958987025693495</v>
      </c>
      <c r="G3105">
        <v>0.44264157447742603</v>
      </c>
      <c r="H3105">
        <v>0.17694193001779701</v>
      </c>
      <c r="I3105">
        <v>0.147235558771836</v>
      </c>
      <c r="J3105">
        <v>0.135207859097107</v>
      </c>
      <c r="K3105">
        <v>0.105345615933211</v>
      </c>
      <c r="L3105">
        <v>2158.2984729951399</v>
      </c>
      <c r="M3105">
        <v>38.421985768044898</v>
      </c>
      <c r="N3105">
        <v>56.6098472195997</v>
      </c>
      <c r="O3105">
        <v>56.022005393702599</v>
      </c>
      <c r="P3105">
        <v>-0.14948596241026499</v>
      </c>
      <c r="Q3105">
        <v>0.128157191404315</v>
      </c>
      <c r="R3105">
        <v>0.998320076945028</v>
      </c>
      <c r="S3105" t="s">
        <v>9722</v>
      </c>
      <c r="T3105" t="s">
        <v>13232</v>
      </c>
      <c r="U3105" t="s">
        <v>13232</v>
      </c>
      <c r="V3105" t="s">
        <v>13232</v>
      </c>
      <c r="W3105" t="s">
        <v>16282</v>
      </c>
      <c r="X3105">
        <v>20</v>
      </c>
      <c r="Y3105" t="s">
        <v>22743</v>
      </c>
      <c r="Z3105" t="s">
        <v>29236</v>
      </c>
      <c r="AA3105">
        <v>0.60182004450014037</v>
      </c>
      <c r="AB3105" t="str">
        <f>HYPERLINK("Melting_Curves/meltCurve_Q13287_NMI.pdf", "Melting_Curves/meltCurve_Q13287_NMI.pdf")</f>
        <v>Melting_Curves/meltCurve_Q13287_NMI.pdf</v>
      </c>
    </row>
    <row r="3106" spans="1:28" x14ac:dyDescent="0.25">
      <c r="A3106" t="s">
        <v>3110</v>
      </c>
      <c r="B3106">
        <v>0.99930955844802105</v>
      </c>
      <c r="C3106">
        <v>0.99720032137494197</v>
      </c>
      <c r="D3106">
        <v>1.00872815912629</v>
      </c>
      <c r="E3106">
        <v>1.0196350632511699</v>
      </c>
      <c r="F3106">
        <v>1.07613997957995</v>
      </c>
      <c r="G3106">
        <v>0.853059639940277</v>
      </c>
      <c r="H3106">
        <v>0.53497120760954997</v>
      </c>
      <c r="I3106">
        <v>0.28144046490005298</v>
      </c>
      <c r="J3106">
        <v>0.23103708537301099</v>
      </c>
      <c r="K3106">
        <v>0.16275026461516601</v>
      </c>
      <c r="L3106">
        <v>1800.88397120474</v>
      </c>
      <c r="M3106">
        <v>29.809234255024599</v>
      </c>
      <c r="N3106">
        <v>61.231440551669202</v>
      </c>
      <c r="O3106">
        <v>60.1436976087478</v>
      </c>
      <c r="P3106">
        <v>-0.103561673815337</v>
      </c>
      <c r="Q3106">
        <v>0.16421330104390999</v>
      </c>
      <c r="R3106">
        <v>0.991691868364864</v>
      </c>
      <c r="S3106" t="s">
        <v>9723</v>
      </c>
      <c r="T3106" t="s">
        <v>13232</v>
      </c>
      <c r="U3106" t="s">
        <v>13232</v>
      </c>
      <c r="V3106" t="s">
        <v>13232</v>
      </c>
      <c r="W3106" t="s">
        <v>16283</v>
      </c>
      <c r="X3106">
        <v>10</v>
      </c>
      <c r="Y3106" t="s">
        <v>22744</v>
      </c>
      <c r="Z3106" t="s">
        <v>29237</v>
      </c>
      <c r="AA3106">
        <v>0.73787905022959788</v>
      </c>
      <c r="AB3106" t="str">
        <f>HYPERLINK("Melting_Curves/meltCurve_Q13303_2_KCNAB2.pdf", "Melting_Curves/meltCurve_Q13303_2_KCNAB2.pdf")</f>
        <v>Melting_Curves/meltCurve_Q13303_2_KCNAB2.pdf</v>
      </c>
    </row>
    <row r="3107" spans="1:28" x14ac:dyDescent="0.25">
      <c r="A3107" t="s">
        <v>3111</v>
      </c>
      <c r="B3107">
        <v>0.99930955844802105</v>
      </c>
      <c r="C3107">
        <v>1.01018990042066</v>
      </c>
      <c r="D3107">
        <v>1.0055830221352799</v>
      </c>
      <c r="E3107">
        <v>0.98248998404399801</v>
      </c>
      <c r="F3107">
        <v>0.76631362719144802</v>
      </c>
      <c r="G3107">
        <v>0.40648409169002497</v>
      </c>
      <c r="H3107">
        <v>0.16959922620049001</v>
      </c>
      <c r="I3107">
        <v>0.135461973065824</v>
      </c>
      <c r="J3107">
        <v>0.12592315564797299</v>
      </c>
      <c r="K3107">
        <v>0.101618560700897</v>
      </c>
      <c r="L3107">
        <v>1446.1439275876</v>
      </c>
      <c r="M3107">
        <v>26.116992491143701</v>
      </c>
      <c r="N3107">
        <v>55.884290171466702</v>
      </c>
      <c r="O3107">
        <v>55.050186965665901</v>
      </c>
      <c r="P3107">
        <v>-0.105975289191773</v>
      </c>
      <c r="Q3107">
        <v>0.10649841617809799</v>
      </c>
      <c r="R3107">
        <v>0.99855905625558194</v>
      </c>
      <c r="S3107" t="s">
        <v>9724</v>
      </c>
      <c r="T3107" t="s">
        <v>13232</v>
      </c>
      <c r="U3107" t="s">
        <v>13232</v>
      </c>
      <c r="V3107" t="s">
        <v>13232</v>
      </c>
      <c r="W3107" t="s">
        <v>16284</v>
      </c>
      <c r="X3107">
        <v>11</v>
      </c>
      <c r="Y3107" t="s">
        <v>22745</v>
      </c>
      <c r="Z3107" t="s">
        <v>29238</v>
      </c>
      <c r="AA3107">
        <v>0.57196781642290817</v>
      </c>
      <c r="AB3107" t="str">
        <f>HYPERLINK("Melting_Curves/meltCurve_Q13308_3_PTK7.pdf", "Melting_Curves/meltCurve_Q13308_3_PTK7.pdf")</f>
        <v>Melting_Curves/meltCurve_Q13308_3_PTK7.pdf</v>
      </c>
    </row>
    <row r="3108" spans="1:28" x14ac:dyDescent="0.25">
      <c r="A3108" t="s">
        <v>3112</v>
      </c>
      <c r="B3108">
        <v>0.99930955844802105</v>
      </c>
      <c r="C3108">
        <v>0.40672573753816499</v>
      </c>
      <c r="D3108">
        <v>0.23501497357292001</v>
      </c>
      <c r="E3108">
        <v>0.21747108192426401</v>
      </c>
      <c r="F3108">
        <v>0.146411535037552</v>
      </c>
      <c r="G3108">
        <v>8.6633323559180894E-2</v>
      </c>
      <c r="H3108">
        <v>5.0921606608922497E-2</v>
      </c>
      <c r="I3108">
        <v>4.61077086938717E-2</v>
      </c>
      <c r="J3108">
        <v>2.92398015577062E-2</v>
      </c>
      <c r="K3108">
        <v>3.0892566940131701E-2</v>
      </c>
      <c r="L3108">
        <v>1975.1875001978699</v>
      </c>
      <c r="M3108">
        <v>46.584736552173801</v>
      </c>
      <c r="N3108">
        <v>42.604979833439899</v>
      </c>
      <c r="O3108">
        <v>42.321973338399701</v>
      </c>
      <c r="P3108">
        <v>-0.24753860185537199</v>
      </c>
      <c r="Q3108">
        <v>0.100451257995454</v>
      </c>
      <c r="R3108">
        <v>0.94122552959976102</v>
      </c>
      <c r="S3108" t="s">
        <v>9725</v>
      </c>
      <c r="T3108" t="s">
        <v>13232</v>
      </c>
      <c r="U3108" t="s">
        <v>13232</v>
      </c>
      <c r="V3108" t="s">
        <v>13232</v>
      </c>
      <c r="W3108" t="s">
        <v>16285</v>
      </c>
      <c r="X3108">
        <v>1</v>
      </c>
      <c r="Y3108" t="s">
        <v>22746</v>
      </c>
      <c r="Z3108" t="s">
        <v>29239</v>
      </c>
      <c r="AA3108">
        <v>0.17573656221226869</v>
      </c>
      <c r="AB3108" t="str">
        <f>HYPERLINK("Melting_Curves/meltCurve_Q13309_2_SKP2.pdf", "Melting_Curves/meltCurve_Q13309_2_SKP2.pdf")</f>
        <v>Melting_Curves/meltCurve_Q13309_2_SKP2.pdf</v>
      </c>
    </row>
    <row r="3109" spans="1:28" x14ac:dyDescent="0.25">
      <c r="A3109" t="s">
        <v>3113</v>
      </c>
      <c r="B3109">
        <v>0.99930955844802105</v>
      </c>
      <c r="C3109">
        <v>0.83620683887106395</v>
      </c>
      <c r="D3109">
        <v>0.70005595649961805</v>
      </c>
      <c r="E3109">
        <v>0.486769115658859</v>
      </c>
      <c r="F3109">
        <v>0.26690404952647201</v>
      </c>
      <c r="G3109">
        <v>0.173084342061638</v>
      </c>
      <c r="H3109">
        <v>0.125122941713253</v>
      </c>
      <c r="I3109">
        <v>0.121986497112944</v>
      </c>
      <c r="J3109">
        <v>0.119767650100192</v>
      </c>
      <c r="K3109">
        <v>8.3861553074523101E-2</v>
      </c>
      <c r="L3109">
        <v>679.22956206004801</v>
      </c>
      <c r="M3109">
        <v>14.0072046685732</v>
      </c>
      <c r="N3109">
        <v>49.121506509611699</v>
      </c>
      <c r="O3109">
        <v>47.535168359262201</v>
      </c>
      <c r="P3109">
        <v>-6.7619190820293704E-2</v>
      </c>
      <c r="Q3109">
        <v>8.2225109873374905E-2</v>
      </c>
      <c r="R3109">
        <v>0.99372942127317399</v>
      </c>
      <c r="S3109" t="s">
        <v>9726</v>
      </c>
      <c r="T3109" t="s">
        <v>13232</v>
      </c>
      <c r="U3109" t="s">
        <v>13232</v>
      </c>
      <c r="V3109" t="s">
        <v>13232</v>
      </c>
      <c r="W3109" t="s">
        <v>16286</v>
      </c>
      <c r="X3109">
        <v>28</v>
      </c>
      <c r="Y3109" t="s">
        <v>22747</v>
      </c>
      <c r="Z3109" t="s">
        <v>29240</v>
      </c>
      <c r="AA3109">
        <v>0.36832865173523449</v>
      </c>
      <c r="AB3109" t="str">
        <f>HYPERLINK("Melting_Curves/meltCurve_Q13310_3_PABPC4.pdf", "Melting_Curves/meltCurve_Q13310_3_PABPC4.pdf")</f>
        <v>Melting_Curves/meltCurve_Q13310_3_PABPC4.pdf</v>
      </c>
    </row>
    <row r="3110" spans="1:28" x14ac:dyDescent="0.25">
      <c r="A3110" t="s">
        <v>3114</v>
      </c>
      <c r="B3110">
        <v>0.99930955844802105</v>
      </c>
      <c r="C3110">
        <v>0.70638397453169199</v>
      </c>
      <c r="D3110">
        <v>0.69033305486010399</v>
      </c>
      <c r="E3110">
        <v>0.58643838205620202</v>
      </c>
      <c r="F3110">
        <v>0.36836286132952301</v>
      </c>
      <c r="G3110">
        <v>0.245672364134634</v>
      </c>
      <c r="H3110">
        <v>0.11759614299483501</v>
      </c>
      <c r="I3110">
        <v>9.4619571434545899E-2</v>
      </c>
      <c r="J3110">
        <v>5.53827344501348E-2</v>
      </c>
      <c r="K3110">
        <v>5.0950055449727701E-2</v>
      </c>
      <c r="L3110">
        <v>481.337640683936</v>
      </c>
      <c r="M3110">
        <v>9.6138312137181003</v>
      </c>
      <c r="N3110">
        <v>50.067203963157603</v>
      </c>
      <c r="O3110">
        <v>48.044757551050402</v>
      </c>
      <c r="P3110">
        <v>-5.0053669704636497E-2</v>
      </c>
      <c r="Q3110">
        <v>0</v>
      </c>
      <c r="R3110">
        <v>0.96851224213964704</v>
      </c>
      <c r="S3110" t="s">
        <v>9727</v>
      </c>
      <c r="T3110" t="s">
        <v>13232</v>
      </c>
      <c r="U3110" t="s">
        <v>13232</v>
      </c>
      <c r="V3110" t="s">
        <v>13232</v>
      </c>
      <c r="W3110" t="s">
        <v>16287</v>
      </c>
      <c r="X3110">
        <v>4</v>
      </c>
      <c r="Y3110" t="s">
        <v>22748</v>
      </c>
      <c r="Z3110" t="s">
        <v>29241</v>
      </c>
      <c r="AA3110">
        <v>0.38296103046279278</v>
      </c>
      <c r="AB3110" t="str">
        <f>HYPERLINK("Melting_Curves/meltCurve_Q13315_ATM.pdf", "Melting_Curves/meltCurve_Q13315_ATM.pdf")</f>
        <v>Melting_Curves/meltCurve_Q13315_ATM.pdf</v>
      </c>
    </row>
    <row r="3111" spans="1:28" x14ac:dyDescent="0.25">
      <c r="A3111" t="s">
        <v>3115</v>
      </c>
      <c r="B3111">
        <v>0.99930955844802105</v>
      </c>
      <c r="C3111">
        <v>1.03830200173443</v>
      </c>
      <c r="D3111">
        <v>0.96685041194171195</v>
      </c>
      <c r="E3111">
        <v>0.84883828584879095</v>
      </c>
      <c r="F3111">
        <v>0.52982387556182298</v>
      </c>
      <c r="G3111">
        <v>0.31002606703027402</v>
      </c>
      <c r="H3111">
        <v>0.18808932437881801</v>
      </c>
      <c r="I3111">
        <v>0.17996160549359999</v>
      </c>
      <c r="J3111">
        <v>0.15789135777247301</v>
      </c>
      <c r="K3111">
        <v>0.12744143405598801</v>
      </c>
      <c r="L3111">
        <v>1231.5988434563401</v>
      </c>
      <c r="M3111">
        <v>23.302011377577799</v>
      </c>
      <c r="N3111">
        <v>53.684315826348701</v>
      </c>
      <c r="O3111">
        <v>52.469122813557497</v>
      </c>
      <c r="P3111">
        <v>-9.4226146517358E-2</v>
      </c>
      <c r="Q3111">
        <v>0.15133945283243999</v>
      </c>
      <c r="R3111">
        <v>0.99616842231845903</v>
      </c>
      <c r="S3111" t="s">
        <v>9728</v>
      </c>
      <c r="T3111" t="s">
        <v>13232</v>
      </c>
      <c r="U3111" t="s">
        <v>13232</v>
      </c>
      <c r="V3111" t="s">
        <v>13232</v>
      </c>
      <c r="W3111" t="s">
        <v>16288</v>
      </c>
      <c r="X3111">
        <v>12</v>
      </c>
      <c r="Y3111" t="s">
        <v>22749</v>
      </c>
      <c r="Z3111" t="s">
        <v>29242</v>
      </c>
      <c r="AA3111">
        <v>0.52385401410155674</v>
      </c>
      <c r="AB3111" t="str">
        <f>HYPERLINK("Melting_Curves/meltCurve_Q13322_2_GRB10.pdf", "Melting_Curves/meltCurve_Q13322_2_GRB10.pdf")</f>
        <v>Melting_Curves/meltCurve_Q13322_2_GRB10.pdf</v>
      </c>
    </row>
    <row r="3112" spans="1:28" x14ac:dyDescent="0.25">
      <c r="A3112" t="s">
        <v>3116</v>
      </c>
      <c r="B3112">
        <v>0.99930955844802105</v>
      </c>
      <c r="C3112">
        <v>0.99146044929266197</v>
      </c>
      <c r="D3112">
        <v>1.0016631271865899</v>
      </c>
      <c r="E3112">
        <v>1.04839483247507</v>
      </c>
      <c r="F3112">
        <v>0.75081823783835699</v>
      </c>
      <c r="G3112">
        <v>0.30531973834186898</v>
      </c>
      <c r="H3112">
        <v>0.189526398969698</v>
      </c>
      <c r="I3112">
        <v>0.158955357336168</v>
      </c>
      <c r="J3112">
        <v>0.122995078823208</v>
      </c>
      <c r="K3112">
        <v>9.0175443044651804E-2</v>
      </c>
      <c r="L3112">
        <v>1883.5235006495</v>
      </c>
      <c r="M3112">
        <v>34.478477117586301</v>
      </c>
      <c r="N3112">
        <v>55.122571147653296</v>
      </c>
      <c r="O3112">
        <v>54.4461708375621</v>
      </c>
      <c r="P3112">
        <v>-0.13728803455164401</v>
      </c>
      <c r="Q3112">
        <v>0.132817864892666</v>
      </c>
      <c r="R3112">
        <v>0.99312730221701395</v>
      </c>
      <c r="S3112" t="s">
        <v>9729</v>
      </c>
      <c r="T3112" t="s">
        <v>13232</v>
      </c>
      <c r="U3112" t="s">
        <v>13232</v>
      </c>
      <c r="V3112" t="s">
        <v>13232</v>
      </c>
      <c r="W3112" t="s">
        <v>16289</v>
      </c>
      <c r="X3112">
        <v>31</v>
      </c>
      <c r="Y3112" t="s">
        <v>22750</v>
      </c>
      <c r="Z3112" t="s">
        <v>29243</v>
      </c>
      <c r="AA3112">
        <v>0.56006416926531499</v>
      </c>
      <c r="AB3112" t="str">
        <f>HYPERLINK("Melting_Curves/meltCurve_Q13330_3_MTA1.pdf", "Melting_Curves/meltCurve_Q13330_3_MTA1.pdf")</f>
        <v>Melting_Curves/meltCurve_Q13330_3_MTA1.pdf</v>
      </c>
    </row>
    <row r="3113" spans="1:28" x14ac:dyDescent="0.25">
      <c r="A3113" t="s">
        <v>3117</v>
      </c>
      <c r="B3113">
        <v>0.99930955844802105</v>
      </c>
      <c r="C3113">
        <v>1.0196825021536</v>
      </c>
      <c r="D3113">
        <v>0.90522948964601002</v>
      </c>
      <c r="E3113">
        <v>0.77717515302696205</v>
      </c>
      <c r="F3113">
        <v>0.53317811377578594</v>
      </c>
      <c r="G3113">
        <v>0.40559188443820898</v>
      </c>
      <c r="H3113">
        <v>0.33565485822014102</v>
      </c>
      <c r="I3113">
        <v>0.30624288888589102</v>
      </c>
      <c r="J3113">
        <v>0.28460638414999201</v>
      </c>
      <c r="K3113">
        <v>0.22375783540338101</v>
      </c>
      <c r="L3113">
        <v>879.15456953406101</v>
      </c>
      <c r="M3113">
        <v>16.9101522002663</v>
      </c>
      <c r="N3113">
        <v>54.321196324490799</v>
      </c>
      <c r="O3113">
        <v>51.279013175535702</v>
      </c>
      <c r="P3113">
        <v>-6.1173450195794503E-2</v>
      </c>
      <c r="Q3113">
        <v>0.25802767837167001</v>
      </c>
      <c r="R3113">
        <v>0.99211213787111796</v>
      </c>
      <c r="S3113" t="s">
        <v>9730</v>
      </c>
      <c r="T3113" t="s">
        <v>13232</v>
      </c>
      <c r="U3113" t="s">
        <v>13232</v>
      </c>
      <c r="V3113" t="s">
        <v>13232</v>
      </c>
      <c r="W3113" t="s">
        <v>16290</v>
      </c>
      <c r="X3113">
        <v>3</v>
      </c>
      <c r="Y3113" t="s">
        <v>22751</v>
      </c>
      <c r="Z3113" t="s">
        <v>29244</v>
      </c>
      <c r="AA3113">
        <v>0.56827676982270026</v>
      </c>
      <c r="AB3113" t="str">
        <f>HYPERLINK("Melting_Curves/meltCurve_Q13332_6_PTPRS.pdf", "Melting_Curves/meltCurve_Q13332_6_PTPRS.pdf")</f>
        <v>Melting_Curves/meltCurve_Q13332_6_PTPRS.pdf</v>
      </c>
    </row>
    <row r="3114" spans="1:28" x14ac:dyDescent="0.25">
      <c r="A3114" t="s">
        <v>3118</v>
      </c>
      <c r="B3114">
        <v>0.99930955844802105</v>
      </c>
      <c r="C3114">
        <v>0.81812514479884102</v>
      </c>
      <c r="D3114">
        <v>0.53926632836875998</v>
      </c>
      <c r="E3114">
        <v>0.29458311776212398</v>
      </c>
      <c r="F3114">
        <v>0.1736172770187</v>
      </c>
      <c r="G3114">
        <v>0.12518071135241199</v>
      </c>
      <c r="H3114">
        <v>7.3749383203829996E-2</v>
      </c>
      <c r="I3114">
        <v>5.8810475047252501E-2</v>
      </c>
      <c r="J3114">
        <v>5.2272060657731698E-2</v>
      </c>
      <c r="K3114">
        <v>3.8104521867845402E-2</v>
      </c>
      <c r="L3114">
        <v>780.32143160285602</v>
      </c>
      <c r="M3114">
        <v>16.772812474645299</v>
      </c>
      <c r="N3114">
        <v>46.853208362130303</v>
      </c>
      <c r="O3114">
        <v>45.876786081007801</v>
      </c>
      <c r="P3114">
        <v>-8.6311753149301201E-2</v>
      </c>
      <c r="Q3114">
        <v>5.57464943703972E-2</v>
      </c>
      <c r="R3114">
        <v>0.99450793147998795</v>
      </c>
      <c r="S3114" t="s">
        <v>9731</v>
      </c>
      <c r="T3114" t="s">
        <v>13232</v>
      </c>
      <c r="U3114" t="s">
        <v>13232</v>
      </c>
      <c r="V3114" t="s">
        <v>13232</v>
      </c>
      <c r="W3114" t="s">
        <v>16291</v>
      </c>
      <c r="X3114">
        <v>16</v>
      </c>
      <c r="Y3114" t="s">
        <v>22752</v>
      </c>
      <c r="Z3114" t="s">
        <v>29245</v>
      </c>
      <c r="AA3114">
        <v>0.28193665399235851</v>
      </c>
      <c r="AB3114" t="str">
        <f>HYPERLINK("Melting_Curves/meltCurve_Q13347_EIF3I.pdf", "Melting_Curves/meltCurve_Q13347_EIF3I.pdf")</f>
        <v>Melting_Curves/meltCurve_Q13347_EIF3I.pdf</v>
      </c>
    </row>
    <row r="3115" spans="1:28" x14ac:dyDescent="0.25">
      <c r="A3115" t="s">
        <v>3119</v>
      </c>
      <c r="B3115">
        <v>0.99930955844802105</v>
      </c>
      <c r="C3115">
        <v>0.99510697793872405</v>
      </c>
      <c r="D3115">
        <v>0.98983281130635503</v>
      </c>
      <c r="E3115">
        <v>0.93909853446351599</v>
      </c>
      <c r="F3115">
        <v>0.84399834917932404</v>
      </c>
      <c r="G3115">
        <v>0.76355345650182604</v>
      </c>
      <c r="H3115">
        <v>0.69208106862044205</v>
      </c>
      <c r="I3115">
        <v>0.764651559125896</v>
      </c>
      <c r="J3115">
        <v>0.68807861430282402</v>
      </c>
      <c r="K3115">
        <v>0.57038306259499705</v>
      </c>
      <c r="L3115">
        <v>577.49588163981196</v>
      </c>
      <c r="M3115">
        <v>10.116205022410499</v>
      </c>
      <c r="O3115">
        <v>54.99018227434</v>
      </c>
      <c r="P3115">
        <v>-1.9466552980097699E-2</v>
      </c>
      <c r="Q3115">
        <v>0.57692776152828695</v>
      </c>
      <c r="R3115">
        <v>0.92797459892290501</v>
      </c>
      <c r="S3115" t="s">
        <v>9732</v>
      </c>
      <c r="T3115" t="s">
        <v>13232</v>
      </c>
      <c r="U3115" t="s">
        <v>13232</v>
      </c>
      <c r="V3115" t="s">
        <v>13232</v>
      </c>
      <c r="W3115" t="s">
        <v>16292</v>
      </c>
      <c r="X3115">
        <v>3</v>
      </c>
      <c r="Y3115" t="s">
        <v>22753</v>
      </c>
      <c r="Z3115" t="s">
        <v>29246</v>
      </c>
      <c r="AA3115">
        <v>0.82442298358613675</v>
      </c>
      <c r="AB3115" t="str">
        <f>HYPERLINK("Melting_Curves/meltCurve_Q13351_KLF1.pdf", "Melting_Curves/meltCurve_Q13351_KLF1.pdf")</f>
        <v>Melting_Curves/meltCurve_Q13351_KLF1.pdf</v>
      </c>
    </row>
    <row r="3116" spans="1:28" x14ac:dyDescent="0.25">
      <c r="A3116" t="s">
        <v>3120</v>
      </c>
      <c r="B3116">
        <v>0.99930955844802105</v>
      </c>
      <c r="C3116">
        <v>1.0053477428634701</v>
      </c>
      <c r="D3116">
        <v>0.97212440659600696</v>
      </c>
      <c r="E3116">
        <v>0.74448528739634401</v>
      </c>
      <c r="F3116">
        <v>0.285560203797391</v>
      </c>
      <c r="G3116">
        <v>0.15243716203678301</v>
      </c>
      <c r="H3116">
        <v>8.8347657878583993E-2</v>
      </c>
      <c r="I3116">
        <v>7.3759620602854806E-2</v>
      </c>
      <c r="J3116">
        <v>6.3268875199840605E-2</v>
      </c>
      <c r="K3116">
        <v>5.0053913316662001E-2</v>
      </c>
      <c r="L3116">
        <v>1789.31455277091</v>
      </c>
      <c r="M3116">
        <v>34.881433357254799</v>
      </c>
      <c r="N3116">
        <v>51.543041729331897</v>
      </c>
      <c r="O3116">
        <v>51.129324749699201</v>
      </c>
      <c r="P3116">
        <v>-0.15747767764610299</v>
      </c>
      <c r="Q3116">
        <v>7.6678018054023606E-2</v>
      </c>
      <c r="R3116">
        <v>0.99763735228182204</v>
      </c>
      <c r="S3116" t="s">
        <v>9733</v>
      </c>
      <c r="T3116" t="s">
        <v>13232</v>
      </c>
      <c r="U3116" t="s">
        <v>13232</v>
      </c>
      <c r="V3116" t="s">
        <v>13232</v>
      </c>
      <c r="W3116" t="s">
        <v>16293</v>
      </c>
      <c r="X3116">
        <v>23</v>
      </c>
      <c r="Y3116" t="s">
        <v>22754</v>
      </c>
      <c r="Z3116" t="s">
        <v>29247</v>
      </c>
      <c r="AA3116">
        <v>0.42868359685534541</v>
      </c>
      <c r="AB3116" t="str">
        <f>HYPERLINK("Melting_Curves/meltCurve_Q13356_PPIL2.pdf", "Melting_Curves/meltCurve_Q13356_PPIL2.pdf")</f>
        <v>Melting_Curves/meltCurve_Q13356_PPIL2.pdf</v>
      </c>
    </row>
    <row r="3117" spans="1:28" x14ac:dyDescent="0.25">
      <c r="A3117" t="s">
        <v>3121</v>
      </c>
      <c r="B3117">
        <v>0.99930955844802105</v>
      </c>
      <c r="C3117">
        <v>0.900886918540444</v>
      </c>
      <c r="D3117">
        <v>0.83938226124693605</v>
      </c>
      <c r="E3117">
        <v>0.580914052139195</v>
      </c>
      <c r="F3117">
        <v>0.34817535840728803</v>
      </c>
      <c r="G3117">
        <v>0.25529432880237202</v>
      </c>
      <c r="H3117">
        <v>0.17339655134711399</v>
      </c>
      <c r="I3117">
        <v>0.160347571318637</v>
      </c>
      <c r="J3117">
        <v>0.130007935737917</v>
      </c>
      <c r="K3117">
        <v>0.112841971047593</v>
      </c>
      <c r="L3117">
        <v>770.62248137091399</v>
      </c>
      <c r="M3117">
        <v>15.3787704276131</v>
      </c>
      <c r="N3117">
        <v>50.987438083103903</v>
      </c>
      <c r="O3117">
        <v>49.285139996872999</v>
      </c>
      <c r="P3117">
        <v>-6.8941353867313607E-2</v>
      </c>
      <c r="Q3117">
        <v>0.116321217385482</v>
      </c>
      <c r="R3117">
        <v>0.99611944240358696</v>
      </c>
      <c r="S3117" t="s">
        <v>9734</v>
      </c>
      <c r="T3117" t="s">
        <v>13232</v>
      </c>
      <c r="U3117" t="s">
        <v>13232</v>
      </c>
      <c r="V3117" t="s">
        <v>13232</v>
      </c>
      <c r="W3117" t="s">
        <v>16294</v>
      </c>
      <c r="X3117">
        <v>15</v>
      </c>
      <c r="Y3117" t="s">
        <v>22755</v>
      </c>
      <c r="Z3117" t="s">
        <v>29248</v>
      </c>
      <c r="AA3117">
        <v>0.43419848375139231</v>
      </c>
      <c r="AB3117" t="str">
        <f>HYPERLINK("Melting_Curves/meltCurve_Q13362_4_PPP2R5C.pdf", "Melting_Curves/meltCurve_Q13362_4_PPP2R5C.pdf")</f>
        <v>Melting_Curves/meltCurve_Q13362_4_PPP2R5C.pdf</v>
      </c>
    </row>
    <row r="3118" spans="1:28" x14ac:dyDescent="0.25">
      <c r="A3118" t="s">
        <v>3122</v>
      </c>
      <c r="B3118">
        <v>0.99930955844802105</v>
      </c>
      <c r="C3118">
        <v>1.0056749065383801</v>
      </c>
      <c r="D3118">
        <v>0.97662675132775201</v>
      </c>
      <c r="E3118">
        <v>0.92154597693158802</v>
      </c>
      <c r="F3118">
        <v>0.788416530840511</v>
      </c>
      <c r="G3118">
        <v>0.59682864616113795</v>
      </c>
      <c r="H3118">
        <v>0.37146391307972498</v>
      </c>
      <c r="I3118">
        <v>0.28727763572793702</v>
      </c>
      <c r="J3118">
        <v>0.211073060500379</v>
      </c>
      <c r="K3118">
        <v>0.12237672298862599</v>
      </c>
      <c r="L3118">
        <v>777.54601196925296</v>
      </c>
      <c r="M3118">
        <v>13.347300430073499</v>
      </c>
      <c r="N3118">
        <v>58.7295466573838</v>
      </c>
      <c r="O3118">
        <v>56.993862778145903</v>
      </c>
      <c r="P3118">
        <v>-5.5562683460894102E-2</v>
      </c>
      <c r="Q3118">
        <v>5.1125823889284799E-2</v>
      </c>
      <c r="R3118">
        <v>0.99835269260493098</v>
      </c>
      <c r="S3118" t="s">
        <v>9735</v>
      </c>
      <c r="T3118" t="s">
        <v>13232</v>
      </c>
      <c r="U3118" t="s">
        <v>13232</v>
      </c>
      <c r="V3118" t="s">
        <v>13232</v>
      </c>
      <c r="W3118" t="s">
        <v>16295</v>
      </c>
      <c r="X3118">
        <v>16</v>
      </c>
      <c r="Y3118" t="s">
        <v>22756</v>
      </c>
      <c r="Z3118" t="s">
        <v>29249</v>
      </c>
      <c r="AA3118">
        <v>0.64033934944293269</v>
      </c>
      <c r="AB3118" t="str">
        <f>HYPERLINK("Melting_Curves/meltCurve_Q13363_2_CTBP1.pdf", "Melting_Curves/meltCurve_Q13363_2_CTBP1.pdf")</f>
        <v>Melting_Curves/meltCurve_Q13363_2_CTBP1.pdf</v>
      </c>
    </row>
    <row r="3119" spans="1:28" x14ac:dyDescent="0.25">
      <c r="A3119" t="s">
        <v>3123</v>
      </c>
      <c r="B3119">
        <v>0.99930955844802105</v>
      </c>
      <c r="C3119">
        <v>0.66668991739342598</v>
      </c>
      <c r="D3119">
        <v>0.64624238235107601</v>
      </c>
      <c r="E3119">
        <v>0.81805051131176598</v>
      </c>
      <c r="F3119">
        <v>0.77680836083504401</v>
      </c>
      <c r="G3119">
        <v>0.41200448349521901</v>
      </c>
      <c r="H3119">
        <v>0.22406444206672599</v>
      </c>
      <c r="I3119">
        <v>0.19994289815692701</v>
      </c>
      <c r="J3119">
        <v>0.15786477285615499</v>
      </c>
      <c r="K3119">
        <v>0.121054329662849</v>
      </c>
      <c r="L3119">
        <v>427.65202281528201</v>
      </c>
      <c r="M3119">
        <v>7.8122002833055504</v>
      </c>
      <c r="N3119">
        <v>54.741558971771603</v>
      </c>
      <c r="O3119">
        <v>51.502160951776403</v>
      </c>
      <c r="P3119">
        <v>-3.7968571958904698E-2</v>
      </c>
      <c r="Q3119">
        <v>0</v>
      </c>
      <c r="R3119">
        <v>0.82324312016019596</v>
      </c>
      <c r="S3119" t="s">
        <v>9736</v>
      </c>
      <c r="T3119" t="s">
        <v>13232</v>
      </c>
      <c r="U3119" t="s">
        <v>13232</v>
      </c>
      <c r="V3119" t="s">
        <v>13232</v>
      </c>
      <c r="W3119" t="s">
        <v>16296</v>
      </c>
      <c r="X3119">
        <v>6</v>
      </c>
      <c r="Y3119" t="s">
        <v>22757</v>
      </c>
      <c r="Z3119" t="s">
        <v>29250</v>
      </c>
      <c r="AA3119">
        <v>0.52047921530866603</v>
      </c>
      <c r="AB3119" t="str">
        <f>HYPERLINK("Melting_Curves/meltCurve_Q13371_PDCL.pdf", "Melting_Curves/meltCurve_Q13371_PDCL.pdf")</f>
        <v>Melting_Curves/meltCurve_Q13371_PDCL.pdf</v>
      </c>
    </row>
    <row r="3120" spans="1:28" x14ac:dyDescent="0.25">
      <c r="A3120" t="s">
        <v>3124</v>
      </c>
      <c r="B3120">
        <v>0.99930955844802105</v>
      </c>
      <c r="C3120">
        <v>0.65390387984221798</v>
      </c>
      <c r="D3120">
        <v>0.64684329144967001</v>
      </c>
      <c r="E3120">
        <v>0.85273007954031899</v>
      </c>
      <c r="F3120">
        <v>0.501035432198363</v>
      </c>
      <c r="G3120">
        <v>0.22745315022282001</v>
      </c>
      <c r="H3120">
        <v>0.104872691844462</v>
      </c>
      <c r="I3120">
        <v>0.13415160886101701</v>
      </c>
      <c r="J3120">
        <v>9.4549434541855298E-2</v>
      </c>
      <c r="K3120">
        <v>4.6901630351361502E-2</v>
      </c>
      <c r="L3120">
        <v>486.80613211890699</v>
      </c>
      <c r="M3120">
        <v>9.3867660677155307</v>
      </c>
      <c r="N3120">
        <v>51.8608930391513</v>
      </c>
      <c r="O3120">
        <v>49.670491972160399</v>
      </c>
      <c r="P3120">
        <v>-4.7274433000608303E-2</v>
      </c>
      <c r="Q3120">
        <v>0</v>
      </c>
      <c r="R3120">
        <v>0.85777655472041303</v>
      </c>
      <c r="S3120" t="s">
        <v>9737</v>
      </c>
      <c r="T3120" t="s">
        <v>13232</v>
      </c>
      <c r="U3120" t="s">
        <v>13232</v>
      </c>
      <c r="V3120" t="s">
        <v>13232</v>
      </c>
      <c r="W3120" t="s">
        <v>16297</v>
      </c>
      <c r="X3120">
        <v>7</v>
      </c>
      <c r="Y3120" t="s">
        <v>22758</v>
      </c>
      <c r="Z3120" t="s">
        <v>29251</v>
      </c>
      <c r="AA3120">
        <v>0.43654021757589789</v>
      </c>
      <c r="AB3120" t="str">
        <f>HYPERLINK("Melting_Curves/meltCurve_Q13395_TARBP1.pdf", "Melting_Curves/meltCurve_Q13395_TARBP1.pdf")</f>
        <v>Melting_Curves/meltCurve_Q13395_TARBP1.pdf</v>
      </c>
    </row>
    <row r="3121" spans="1:28" x14ac:dyDescent="0.25">
      <c r="A3121" t="s">
        <v>3125</v>
      </c>
      <c r="B3121">
        <v>0.99930955844802105</v>
      </c>
      <c r="C3121">
        <v>1.0415021927813499</v>
      </c>
      <c r="D3121">
        <v>1.0700009622381601</v>
      </c>
      <c r="E3121">
        <v>0.82031998925633698</v>
      </c>
      <c r="F3121">
        <v>0.89483980352972103</v>
      </c>
      <c r="G3121">
        <v>0.86198054978287197</v>
      </c>
      <c r="H3121">
        <v>0.46162474158982197</v>
      </c>
      <c r="I3121">
        <v>0.23657382689393999</v>
      </c>
      <c r="J3121">
        <v>0.19680903101685901</v>
      </c>
      <c r="K3121">
        <v>0.160128986120327</v>
      </c>
      <c r="L3121">
        <v>1616.3787221331199</v>
      </c>
      <c r="M3121">
        <v>26.994279952496601</v>
      </c>
      <c r="N3121">
        <v>60.591046173394403</v>
      </c>
      <c r="O3121">
        <v>59.552849007438397</v>
      </c>
      <c r="P3121">
        <v>-9.7911389061942106E-2</v>
      </c>
      <c r="Q3121">
        <v>0.13598816357544599</v>
      </c>
      <c r="R3121">
        <v>0.96233817823247303</v>
      </c>
      <c r="S3121" t="s">
        <v>9738</v>
      </c>
      <c r="T3121" t="s">
        <v>13232</v>
      </c>
      <c r="U3121" t="s">
        <v>13232</v>
      </c>
      <c r="V3121" t="s">
        <v>13232</v>
      </c>
      <c r="W3121" t="s">
        <v>16298</v>
      </c>
      <c r="X3121">
        <v>12</v>
      </c>
      <c r="Y3121" t="s">
        <v>22759</v>
      </c>
      <c r="Z3121" t="s">
        <v>29252</v>
      </c>
      <c r="AA3121">
        <v>0.7145188263117136</v>
      </c>
      <c r="AB3121" t="str">
        <f>HYPERLINK("Melting_Curves/meltCurve_Q13404_UBE2V1.pdf", "Melting_Curves/meltCurve_Q13404_UBE2V1.pdf")</f>
        <v>Melting_Curves/meltCurve_Q13404_UBE2V1.pdf</v>
      </c>
    </row>
    <row r="3122" spans="1:28" x14ac:dyDescent="0.25">
      <c r="A3122" t="s">
        <v>3126</v>
      </c>
      <c r="B3122">
        <v>0.99930955844802105</v>
      </c>
      <c r="C3122">
        <v>0.76700116221338199</v>
      </c>
      <c r="D3122">
        <v>0.79875155086053995</v>
      </c>
      <c r="E3122">
        <v>0.88020514240372405</v>
      </c>
      <c r="F3122">
        <v>1.0204259957520001</v>
      </c>
      <c r="G3122">
        <v>0.74049000602820103</v>
      </c>
      <c r="H3122">
        <v>0.40446843506527602</v>
      </c>
      <c r="I3122">
        <v>0.35783771548108201</v>
      </c>
      <c r="J3122">
        <v>0.38597103831157897</v>
      </c>
      <c r="K3122">
        <v>0.272627783534514</v>
      </c>
      <c r="L3122">
        <v>2259.49537648359</v>
      </c>
      <c r="M3122">
        <v>39.153528602035799</v>
      </c>
      <c r="N3122">
        <v>59.3664247492719</v>
      </c>
      <c r="O3122">
        <v>57.558690491275001</v>
      </c>
      <c r="P3122">
        <v>-0.11352198787085301</v>
      </c>
      <c r="Q3122">
        <v>0.33245755251049902</v>
      </c>
      <c r="R3122">
        <v>0.83609254309164804</v>
      </c>
      <c r="S3122" t="s">
        <v>9739</v>
      </c>
      <c r="T3122" t="s">
        <v>13232</v>
      </c>
      <c r="U3122" t="s">
        <v>13232</v>
      </c>
      <c r="V3122" t="s">
        <v>13232</v>
      </c>
      <c r="W3122" t="s">
        <v>16299</v>
      </c>
      <c r="X3122">
        <v>17</v>
      </c>
      <c r="Y3122" t="s">
        <v>22760</v>
      </c>
      <c r="Z3122" t="s">
        <v>29253</v>
      </c>
      <c r="AA3122">
        <v>0.72922682037498376</v>
      </c>
      <c r="AB3122" t="str">
        <f>HYPERLINK("Melting_Curves/meltCurve_Q13409_6_DYNC1I2.pdf", "Melting_Curves/meltCurve_Q13409_6_DYNC1I2.pdf")</f>
        <v>Melting_Curves/meltCurve_Q13409_6_DYNC1I2.pdf</v>
      </c>
    </row>
    <row r="3123" spans="1:28" x14ac:dyDescent="0.25">
      <c r="A3123" t="s">
        <v>3127</v>
      </c>
      <c r="B3123">
        <v>0.99930955844802105</v>
      </c>
      <c r="C3123">
        <v>1.30383252947738</v>
      </c>
      <c r="D3123">
        <v>1.27432532624338</v>
      </c>
      <c r="E3123">
        <v>1.24311806803308</v>
      </c>
      <c r="F3123">
        <v>1.3142739380372599</v>
      </c>
      <c r="G3123">
        <v>1.2879200160426301</v>
      </c>
      <c r="H3123">
        <v>1.4671163921332999</v>
      </c>
      <c r="I3123">
        <v>1.63903956025236</v>
      </c>
      <c r="J3123">
        <v>1.6210228980147701</v>
      </c>
      <c r="K3123">
        <v>1.31870252393703</v>
      </c>
      <c r="L3123">
        <v>384.11059637750498</v>
      </c>
      <c r="M3123">
        <v>8.2429191022118609</v>
      </c>
      <c r="O3123">
        <v>44.0975594266652</v>
      </c>
      <c r="P3123">
        <v>2.3389200684896898E-2</v>
      </c>
      <c r="Q3123">
        <v>1.5</v>
      </c>
      <c r="R3123">
        <v>0.56666380279553796</v>
      </c>
      <c r="S3123" t="s">
        <v>9740</v>
      </c>
      <c r="T3123" t="s">
        <v>13232</v>
      </c>
      <c r="U3123" t="s">
        <v>13232</v>
      </c>
      <c r="V3123" t="s">
        <v>13232</v>
      </c>
      <c r="W3123" t="s">
        <v>16300</v>
      </c>
      <c r="X3123">
        <v>4</v>
      </c>
      <c r="Y3123" t="s">
        <v>22761</v>
      </c>
      <c r="Z3123" t="s">
        <v>29254</v>
      </c>
      <c r="AA3123">
        <v>1.350356016987343</v>
      </c>
      <c r="AB3123" t="str">
        <f>HYPERLINK("Melting_Curves/meltCurve_Q13415_ORC1.pdf", "Melting_Curves/meltCurve_Q13415_ORC1.pdf")</f>
        <v>Melting_Curves/meltCurve_Q13415_ORC1.pdf</v>
      </c>
    </row>
    <row r="3124" spans="1:28" x14ac:dyDescent="0.25">
      <c r="A3124" t="s">
        <v>3128</v>
      </c>
      <c r="B3124">
        <v>0.99930955844802105</v>
      </c>
      <c r="C3124">
        <v>1.06760190489371</v>
      </c>
      <c r="D3124">
        <v>1.0144364528180101</v>
      </c>
      <c r="E3124">
        <v>0.97617676990820001</v>
      </c>
      <c r="F3124">
        <v>0.81275602212628295</v>
      </c>
      <c r="G3124">
        <v>0.74289946795301898</v>
      </c>
      <c r="H3124">
        <v>0.76155692516317197</v>
      </c>
      <c r="I3124">
        <v>0.83839649268598504</v>
      </c>
      <c r="J3124">
        <v>0.897519526112731</v>
      </c>
      <c r="K3124">
        <v>0.70681811540060802</v>
      </c>
      <c r="L3124">
        <v>3728.7284013271901</v>
      </c>
      <c r="M3124">
        <v>72.489953204371105</v>
      </c>
      <c r="O3124">
        <v>51.398759340735097</v>
      </c>
      <c r="P3124">
        <v>-7.4194333000810797E-2</v>
      </c>
      <c r="Q3124">
        <v>0.78957106437078595</v>
      </c>
      <c r="R3124">
        <v>0.80392730007950397</v>
      </c>
      <c r="S3124" t="s">
        <v>9741</v>
      </c>
      <c r="T3124" t="s">
        <v>13232</v>
      </c>
      <c r="U3124" t="s">
        <v>13232</v>
      </c>
      <c r="V3124" t="s">
        <v>13232</v>
      </c>
      <c r="W3124" t="s">
        <v>16301</v>
      </c>
      <c r="X3124">
        <v>12</v>
      </c>
      <c r="Y3124" t="s">
        <v>22762</v>
      </c>
      <c r="Z3124" t="s">
        <v>29255</v>
      </c>
      <c r="AA3124">
        <v>0.87002613767880821</v>
      </c>
      <c r="AB3124" t="str">
        <f>HYPERLINK("Melting_Curves/meltCurve_Q13416_ORC2.pdf", "Melting_Curves/meltCurve_Q13416_ORC2.pdf")</f>
        <v>Melting_Curves/meltCurve_Q13416_ORC2.pdf</v>
      </c>
    </row>
    <row r="3125" spans="1:28" x14ac:dyDescent="0.25">
      <c r="A3125" t="s">
        <v>3129</v>
      </c>
      <c r="B3125">
        <v>0.99930955844802105</v>
      </c>
      <c r="C3125">
        <v>0.82751518518950895</v>
      </c>
      <c r="D3125">
        <v>0.70438318442666403</v>
      </c>
      <c r="E3125">
        <v>0.445565366056899</v>
      </c>
      <c r="F3125">
        <v>0.178336802165591</v>
      </c>
      <c r="G3125">
        <v>0.110338717332012</v>
      </c>
      <c r="H3125">
        <v>8.0721199138979904E-2</v>
      </c>
      <c r="I3125">
        <v>7.2619700816623306E-2</v>
      </c>
      <c r="J3125">
        <v>6.5920315698498294E-2</v>
      </c>
      <c r="K3125">
        <v>4.9933034631813103E-2</v>
      </c>
      <c r="L3125">
        <v>754.42375622554596</v>
      </c>
      <c r="M3125">
        <v>15.631087174178299</v>
      </c>
      <c r="N3125">
        <v>48.538966265097599</v>
      </c>
      <c r="O3125">
        <v>47.495074559636798</v>
      </c>
      <c r="P3125">
        <v>-7.8802153494101607E-2</v>
      </c>
      <c r="Q3125">
        <v>4.2320615591636898E-2</v>
      </c>
      <c r="R3125">
        <v>0.99148571945425001</v>
      </c>
      <c r="S3125" t="s">
        <v>9742</v>
      </c>
      <c r="T3125" t="s">
        <v>13232</v>
      </c>
      <c r="U3125" t="s">
        <v>13232</v>
      </c>
      <c r="V3125" t="s">
        <v>13232</v>
      </c>
      <c r="W3125" t="s">
        <v>16302</v>
      </c>
      <c r="X3125">
        <v>16</v>
      </c>
      <c r="Y3125" t="s">
        <v>22763</v>
      </c>
      <c r="Z3125" t="s">
        <v>29256</v>
      </c>
      <c r="AA3125">
        <v>0.32859011136085547</v>
      </c>
      <c r="AB3125" t="str">
        <f>HYPERLINK("Melting_Curves/meltCurve_Q13418_ILK.pdf", "Melting_Curves/meltCurve_Q13418_ILK.pdf")</f>
        <v>Melting_Curves/meltCurve_Q13418_ILK.pdf</v>
      </c>
    </row>
    <row r="3126" spans="1:28" x14ac:dyDescent="0.25">
      <c r="A3126" t="s">
        <v>3130</v>
      </c>
      <c r="B3126">
        <v>0.99930955844802105</v>
      </c>
      <c r="C3126">
        <v>0.95328493889675203</v>
      </c>
      <c r="D3126">
        <v>0.91088905840162204</v>
      </c>
      <c r="E3126">
        <v>0.92482036097236997</v>
      </c>
      <c r="F3126">
        <v>0.84683863032498796</v>
      </c>
      <c r="G3126">
        <v>0.60507882976768501</v>
      </c>
      <c r="H3126">
        <v>0.49578529124512999</v>
      </c>
      <c r="I3126">
        <v>0.49842893398476801</v>
      </c>
      <c r="J3126">
        <v>0.45570594697085098</v>
      </c>
      <c r="K3126">
        <v>0.37741736605996201</v>
      </c>
      <c r="L3126">
        <v>839.00952565142404</v>
      </c>
      <c r="M3126">
        <v>15.0447974120179</v>
      </c>
      <c r="N3126">
        <v>61.735669085467698</v>
      </c>
      <c r="O3126">
        <v>54.809990387788702</v>
      </c>
      <c r="P3126">
        <v>-4.2328214130315497E-2</v>
      </c>
      <c r="Q3126">
        <v>0.38323489187783299</v>
      </c>
      <c r="R3126">
        <v>0.97579986835850596</v>
      </c>
      <c r="S3126" t="s">
        <v>9743</v>
      </c>
      <c r="T3126" t="s">
        <v>13232</v>
      </c>
      <c r="U3126" t="s">
        <v>13232</v>
      </c>
      <c r="V3126" t="s">
        <v>13232</v>
      </c>
      <c r="W3126" t="s">
        <v>16303</v>
      </c>
      <c r="X3126">
        <v>7</v>
      </c>
      <c r="Y3126" t="s">
        <v>22764</v>
      </c>
      <c r="Z3126" t="s">
        <v>29257</v>
      </c>
      <c r="AA3126">
        <v>0.71854749559996511</v>
      </c>
      <c r="AB3126" t="str">
        <f>HYPERLINK("Melting_Curves/meltCurve_Q13422_2_IKZF1.pdf", "Melting_Curves/meltCurve_Q13422_2_IKZF1.pdf")</f>
        <v>Melting_Curves/meltCurve_Q13422_2_IKZF1.pdf</v>
      </c>
    </row>
    <row r="3127" spans="1:28" x14ac:dyDescent="0.25">
      <c r="A3127" t="s">
        <v>3131</v>
      </c>
      <c r="B3127">
        <v>0.99930955844802105</v>
      </c>
      <c r="C3127">
        <v>1.1106989409535399</v>
      </c>
      <c r="D3127">
        <v>1.04796548274809</v>
      </c>
      <c r="E3127">
        <v>1.15191213953529</v>
      </c>
      <c r="F3127">
        <v>0.99765296138812198</v>
      </c>
      <c r="G3127">
        <v>0.84534327508916496</v>
      </c>
      <c r="H3127">
        <v>0.86674905903462696</v>
      </c>
      <c r="I3127">
        <v>0.95777028714352097</v>
      </c>
      <c r="J3127">
        <v>0.82596404721897498</v>
      </c>
      <c r="K3127">
        <v>0.75941175332504496</v>
      </c>
      <c r="L3127">
        <v>678.55147642914096</v>
      </c>
      <c r="M3127">
        <v>9.5670104503862294</v>
      </c>
      <c r="O3127">
        <v>68.034898492756895</v>
      </c>
      <c r="P3127">
        <v>-1.6877729992766499E-2</v>
      </c>
      <c r="Q3127">
        <v>0.52017872607642102</v>
      </c>
      <c r="R3127">
        <v>0.57798595345237402</v>
      </c>
      <c r="S3127" t="s">
        <v>9744</v>
      </c>
      <c r="T3127" t="s">
        <v>13232</v>
      </c>
      <c r="U3127" t="s">
        <v>13232</v>
      </c>
      <c r="V3127" t="s">
        <v>13232</v>
      </c>
      <c r="W3127" t="s">
        <v>16304</v>
      </c>
      <c r="X3127">
        <v>6</v>
      </c>
      <c r="Y3127" t="s">
        <v>22764</v>
      </c>
      <c r="Z3127" t="s">
        <v>29258</v>
      </c>
      <c r="AA3127">
        <v>0.94043033635720408</v>
      </c>
      <c r="AB3127" t="str">
        <f>HYPERLINK("Melting_Curves/meltCurve_Q13422_7_IKZF1.pdf", "Melting_Curves/meltCurve_Q13422_7_IKZF1.pdf")</f>
        <v>Melting_Curves/meltCurve_Q13422_7_IKZF1.pdf</v>
      </c>
    </row>
    <row r="3128" spans="1:28" x14ac:dyDescent="0.25">
      <c r="A3128" t="s">
        <v>3132</v>
      </c>
      <c r="B3128">
        <v>0.99930955844802105</v>
      </c>
      <c r="C3128">
        <v>0.56894274788056798</v>
      </c>
      <c r="D3128">
        <v>0.52223026621558399</v>
      </c>
      <c r="E3128">
        <v>0.54314222795536604</v>
      </c>
      <c r="F3128">
        <v>0.39982316491117698</v>
      </c>
      <c r="G3128">
        <v>0.222519486670508</v>
      </c>
      <c r="H3128">
        <v>0.121222181253272</v>
      </c>
      <c r="I3128">
        <v>9.9627378681744899E-2</v>
      </c>
      <c r="J3128">
        <v>8.6925208972274806E-2</v>
      </c>
      <c r="K3128">
        <v>9.2542355363782497E-2</v>
      </c>
      <c r="L3128">
        <v>378.67493178829199</v>
      </c>
      <c r="M3128">
        <v>7.8276031340802401</v>
      </c>
      <c r="N3128">
        <v>48.376869406499601</v>
      </c>
      <c r="O3128">
        <v>45.524290868726503</v>
      </c>
      <c r="P3128">
        <v>-4.3038590019258402E-2</v>
      </c>
      <c r="Q3128">
        <v>0</v>
      </c>
      <c r="R3128">
        <v>0.90396035828118604</v>
      </c>
      <c r="S3128" t="s">
        <v>9745</v>
      </c>
      <c r="T3128" t="s">
        <v>13232</v>
      </c>
      <c r="U3128" t="s">
        <v>13232</v>
      </c>
      <c r="V3128" t="s">
        <v>13232</v>
      </c>
      <c r="W3128" t="s">
        <v>16305</v>
      </c>
      <c r="X3128">
        <v>2</v>
      </c>
      <c r="Y3128" t="s">
        <v>22765</v>
      </c>
      <c r="Z3128" t="s">
        <v>29259</v>
      </c>
      <c r="AA3128">
        <v>0.35125271673401259</v>
      </c>
      <c r="AB3128" t="str">
        <f>HYPERLINK("Melting_Curves/meltCurve_Q13423_NNT.pdf", "Melting_Curves/meltCurve_Q13423_NNT.pdf")</f>
        <v>Melting_Curves/meltCurve_Q13423_NNT.pdf</v>
      </c>
    </row>
    <row r="3129" spans="1:28" x14ac:dyDescent="0.25">
      <c r="A3129" t="s">
        <v>3133</v>
      </c>
      <c r="B3129">
        <v>0.99930955844802105</v>
      </c>
      <c r="C3129">
        <v>1.08947069205828</v>
      </c>
      <c r="D3129">
        <v>0.92088070864504401</v>
      </c>
      <c r="E3129">
        <v>0.70820184200138603</v>
      </c>
      <c r="F3129">
        <v>0.51286078883156805</v>
      </c>
      <c r="G3129">
        <v>0.23209650515890101</v>
      </c>
      <c r="H3129">
        <v>0.13221787538452001</v>
      </c>
      <c r="I3129">
        <v>9.8759063596869104E-2</v>
      </c>
      <c r="J3129">
        <v>0.100681725356976</v>
      </c>
      <c r="K3129">
        <v>8.0085470774469605E-2</v>
      </c>
      <c r="L3129">
        <v>988.90312887160405</v>
      </c>
      <c r="M3129">
        <v>18.872844415656601</v>
      </c>
      <c r="N3129">
        <v>52.852459953971902</v>
      </c>
      <c r="O3129">
        <v>51.820539358642201</v>
      </c>
      <c r="P3129">
        <v>-8.4235830679098206E-2</v>
      </c>
      <c r="Q3129">
        <v>7.4868017873520903E-2</v>
      </c>
      <c r="R3129">
        <v>0.99179318536301297</v>
      </c>
      <c r="S3129" t="s">
        <v>9746</v>
      </c>
      <c r="T3129" t="s">
        <v>13232</v>
      </c>
      <c r="U3129" t="s">
        <v>13232</v>
      </c>
      <c r="V3129" t="s">
        <v>13232</v>
      </c>
      <c r="W3129" t="s">
        <v>16306</v>
      </c>
      <c r="X3129">
        <v>9</v>
      </c>
      <c r="Y3129" t="s">
        <v>22766</v>
      </c>
      <c r="Z3129" t="s">
        <v>29260</v>
      </c>
      <c r="AA3129">
        <v>0.47133086815867142</v>
      </c>
      <c r="AB3129" t="str">
        <f>HYPERLINK("Melting_Curves/meltCurve_Q13424_SNTA1.pdf", "Melting_Curves/meltCurve_Q13424_SNTA1.pdf")</f>
        <v>Melting_Curves/meltCurve_Q13424_SNTA1.pdf</v>
      </c>
    </row>
    <row r="3130" spans="1:28" x14ac:dyDescent="0.25">
      <c r="A3130" t="s">
        <v>3134</v>
      </c>
      <c r="B3130">
        <v>0.99930955844802105</v>
      </c>
      <c r="C3130">
        <v>0.95689147275738395</v>
      </c>
      <c r="D3130">
        <v>0.87389587870267005</v>
      </c>
      <c r="E3130">
        <v>0.69883995838345503</v>
      </c>
      <c r="F3130">
        <v>0.44716985866047898</v>
      </c>
      <c r="G3130">
        <v>0.25029611484202302</v>
      </c>
      <c r="H3130">
        <v>0.14993088068920599</v>
      </c>
      <c r="I3130">
        <v>0.10519900627734299</v>
      </c>
      <c r="J3130">
        <v>8.4458207202024099E-2</v>
      </c>
      <c r="K3130">
        <v>6.5344851218874095E-2</v>
      </c>
      <c r="L3130">
        <v>797.27288850358798</v>
      </c>
      <c r="M3130">
        <v>15.303288462070901</v>
      </c>
      <c r="N3130">
        <v>52.4724177813872</v>
      </c>
      <c r="O3130">
        <v>51.2328283471224</v>
      </c>
      <c r="P3130">
        <v>-7.0820776824277398E-2</v>
      </c>
      <c r="Q3130">
        <v>5.17045179685372E-2</v>
      </c>
      <c r="R3130">
        <v>0.998915735920479</v>
      </c>
      <c r="S3130" t="s">
        <v>9747</v>
      </c>
      <c r="T3130" t="s">
        <v>13232</v>
      </c>
      <c r="U3130" t="s">
        <v>13232</v>
      </c>
      <c r="V3130" t="s">
        <v>13232</v>
      </c>
      <c r="W3130" t="s">
        <v>16307</v>
      </c>
      <c r="X3130">
        <v>12</v>
      </c>
      <c r="Y3130" t="s">
        <v>22767</v>
      </c>
      <c r="Z3130" t="s">
        <v>29261</v>
      </c>
      <c r="AA3130">
        <v>0.45461698749603358</v>
      </c>
      <c r="AB3130" t="str">
        <f>HYPERLINK("Melting_Curves/meltCurve_Q13425_SNTB2.pdf", "Melting_Curves/meltCurve_Q13425_SNTB2.pdf")</f>
        <v>Melting_Curves/meltCurve_Q13425_SNTB2.pdf</v>
      </c>
    </row>
    <row r="3131" spans="1:28" x14ac:dyDescent="0.25">
      <c r="A3131" t="s">
        <v>3135</v>
      </c>
      <c r="B3131">
        <v>0.99930955844802105</v>
      </c>
      <c r="C3131">
        <v>1.1386692111071699</v>
      </c>
      <c r="D3131">
        <v>1.1313064917608</v>
      </c>
      <c r="E3131">
        <v>1.0810781016612301</v>
      </c>
      <c r="F3131">
        <v>1.0148728993463401</v>
      </c>
      <c r="G3131">
        <v>0.95716734834572803</v>
      </c>
      <c r="H3131">
        <v>0.90108990945310097</v>
      </c>
      <c r="I3131">
        <v>0.92622049063476097</v>
      </c>
      <c r="J3131">
        <v>0.87783895978601201</v>
      </c>
      <c r="K3131">
        <v>0.61890297454482701</v>
      </c>
      <c r="L3131">
        <v>1578.6486011781401</v>
      </c>
      <c r="M3131">
        <v>21.981334091896901</v>
      </c>
      <c r="Q3131">
        <v>0</v>
      </c>
      <c r="R3131">
        <v>0.74056932661063302</v>
      </c>
      <c r="S3131" t="s">
        <v>9748</v>
      </c>
      <c r="T3131" t="s">
        <v>13232</v>
      </c>
      <c r="U3131" t="s">
        <v>13232</v>
      </c>
      <c r="V3131" t="s">
        <v>13232</v>
      </c>
      <c r="W3131" t="s">
        <v>16308</v>
      </c>
      <c r="X3131">
        <v>11</v>
      </c>
      <c r="Y3131" t="s">
        <v>22768</v>
      </c>
      <c r="Z3131" t="s">
        <v>29262</v>
      </c>
      <c r="AA3131">
        <v>0.95769746358082886</v>
      </c>
      <c r="AB3131" t="str">
        <f>HYPERLINK("Melting_Curves/meltCurve_Q13426_XRCC4.pdf", "Melting_Curves/meltCurve_Q13426_XRCC4.pdf")</f>
        <v>Melting_Curves/meltCurve_Q13426_XRCC4.pdf</v>
      </c>
    </row>
    <row r="3132" spans="1:28" x14ac:dyDescent="0.25">
      <c r="A3132" t="s">
        <v>3136</v>
      </c>
      <c r="B3132">
        <v>0.99930955844802105</v>
      </c>
      <c r="C3132">
        <v>1.1758147996047399</v>
      </c>
      <c r="D3132">
        <v>0.65915775912987196</v>
      </c>
      <c r="E3132">
        <v>0.66030456225831802</v>
      </c>
      <c r="F3132">
        <v>0.35105185998261101</v>
      </c>
      <c r="G3132">
        <v>0.275730632363276</v>
      </c>
      <c r="H3132">
        <v>0.223215196197565</v>
      </c>
      <c r="I3132">
        <v>0.223793226625387</v>
      </c>
      <c r="J3132">
        <v>0.21657938669948201</v>
      </c>
      <c r="K3132">
        <v>0.176055589046091</v>
      </c>
      <c r="L3132">
        <v>870.81750342791599</v>
      </c>
      <c r="M3132">
        <v>17.5602523701636</v>
      </c>
      <c r="N3132">
        <v>51.033759615119699</v>
      </c>
      <c r="O3132">
        <v>48.960558670691697</v>
      </c>
      <c r="P3132">
        <v>-7.2119175752164699E-2</v>
      </c>
      <c r="Q3132">
        <v>0.19572839297484601</v>
      </c>
      <c r="R3132">
        <v>0.92013394678994198</v>
      </c>
      <c r="S3132" t="s">
        <v>9749</v>
      </c>
      <c r="T3132" t="s">
        <v>13232</v>
      </c>
      <c r="U3132" t="s">
        <v>13232</v>
      </c>
      <c r="V3132" t="s">
        <v>13232</v>
      </c>
      <c r="W3132" t="s">
        <v>16309</v>
      </c>
      <c r="X3132">
        <v>18</v>
      </c>
      <c r="Y3132" t="s">
        <v>22769</v>
      </c>
      <c r="Z3132" t="s">
        <v>29263</v>
      </c>
      <c r="AA3132">
        <v>0.4673030751048553</v>
      </c>
      <c r="AB3132" t="str">
        <f>HYPERLINK("Melting_Curves/meltCurve_Q13427_PPIG.pdf", "Melting_Curves/meltCurve_Q13427_PPIG.pdf")</f>
        <v>Melting_Curves/meltCurve_Q13427_PPIG.pdf</v>
      </c>
    </row>
    <row r="3133" spans="1:28" x14ac:dyDescent="0.25">
      <c r="A3133" t="s">
        <v>3137</v>
      </c>
      <c r="B3133">
        <v>0.99930955844802105</v>
      </c>
      <c r="C3133">
        <v>1.1374340252090001</v>
      </c>
      <c r="D3133">
        <v>1.0107589577995699</v>
      </c>
      <c r="E3133">
        <v>1.0104865176476401</v>
      </c>
      <c r="F3133">
        <v>0.86229649251900897</v>
      </c>
      <c r="G3133">
        <v>0.73815484774212503</v>
      </c>
      <c r="H3133">
        <v>0.86774779841951299</v>
      </c>
      <c r="I3133">
        <v>1.00318001341941</v>
      </c>
      <c r="J3133">
        <v>1.0662583990697401</v>
      </c>
      <c r="K3133">
        <v>0.75380872519019004</v>
      </c>
      <c r="L3133">
        <v>9396.7272389391892</v>
      </c>
      <c r="M3133">
        <v>182.89612949561899</v>
      </c>
      <c r="O3133">
        <v>51.3712466904081</v>
      </c>
      <c r="P3133">
        <v>-0.10515559360780399</v>
      </c>
      <c r="Q3133">
        <v>0.88185698908913701</v>
      </c>
      <c r="R3133">
        <v>0.33576366091097298</v>
      </c>
      <c r="S3133" t="s">
        <v>9750</v>
      </c>
      <c r="T3133" t="s">
        <v>13232</v>
      </c>
      <c r="U3133" t="s">
        <v>13232</v>
      </c>
      <c r="V3133" t="s">
        <v>13232</v>
      </c>
      <c r="W3133" t="s">
        <v>16310</v>
      </c>
      <c r="X3133">
        <v>47</v>
      </c>
      <c r="Y3133" t="s">
        <v>20490</v>
      </c>
      <c r="Z3133" t="s">
        <v>29264</v>
      </c>
      <c r="AA3133">
        <v>0.92668223141041928</v>
      </c>
      <c r="AB3133" t="str">
        <f>HYPERLINK("Melting_Curves/meltCurve_Q13428_3_TCOF1.pdf", "Melting_Curves/meltCurve_Q13428_3_TCOF1.pdf")</f>
        <v>Melting_Curves/meltCurve_Q13428_3_TCOF1.pdf</v>
      </c>
    </row>
    <row r="3134" spans="1:28" x14ac:dyDescent="0.25">
      <c r="A3134" t="s">
        <v>3138</v>
      </c>
      <c r="B3134">
        <v>0.99930955844802105</v>
      </c>
      <c r="C3134">
        <v>1.23959837960978</v>
      </c>
      <c r="D3134">
        <v>1.1934948397943199</v>
      </c>
      <c r="E3134">
        <v>1.1995636632711399</v>
      </c>
      <c r="F3134">
        <v>1.0787933479833201</v>
      </c>
      <c r="G3134">
        <v>1.03561830681893</v>
      </c>
      <c r="H3134">
        <v>1.2255758312527401</v>
      </c>
      <c r="I3134">
        <v>1.4222384504619201</v>
      </c>
      <c r="J3134">
        <v>1.6350573671064601</v>
      </c>
      <c r="K3134">
        <v>1.2196402883470401</v>
      </c>
      <c r="L3134">
        <v>272.55511633385697</v>
      </c>
      <c r="M3134">
        <v>4.7811215716636601</v>
      </c>
      <c r="O3134">
        <v>49.219177851232303</v>
      </c>
      <c r="P3134">
        <v>1.2229082029472101E-2</v>
      </c>
      <c r="Q3134">
        <v>1.5</v>
      </c>
      <c r="R3134">
        <v>0.31023020297167803</v>
      </c>
      <c r="S3134" t="s">
        <v>9751</v>
      </c>
      <c r="T3134" t="s">
        <v>13232</v>
      </c>
      <c r="U3134" t="s">
        <v>13232</v>
      </c>
      <c r="V3134" t="s">
        <v>13232</v>
      </c>
      <c r="W3134" t="s">
        <v>16311</v>
      </c>
      <c r="X3134">
        <v>48</v>
      </c>
      <c r="Y3134" t="s">
        <v>20490</v>
      </c>
      <c r="Z3134" t="s">
        <v>29265</v>
      </c>
      <c r="AA3134">
        <v>1.219177783994966</v>
      </c>
      <c r="AB3134" t="str">
        <f>HYPERLINK("Melting_Curves/meltCurve_Q13428_4_TCOF1.pdf", "Melting_Curves/meltCurve_Q13428_4_TCOF1.pdf")</f>
        <v>Melting_Curves/meltCurve_Q13428_4_TCOF1.pdf</v>
      </c>
    </row>
    <row r="3135" spans="1:28" x14ac:dyDescent="0.25">
      <c r="A3135" t="s">
        <v>3139</v>
      </c>
      <c r="B3135">
        <v>0.99930955844802105</v>
      </c>
      <c r="C3135">
        <v>1.0867498697343201</v>
      </c>
      <c r="D3135">
        <v>0.85205064641671402</v>
      </c>
      <c r="E3135">
        <v>0.45598546457086497</v>
      </c>
      <c r="F3135">
        <v>0.23293519507990701</v>
      </c>
      <c r="G3135">
        <v>0.15492056095940199</v>
      </c>
      <c r="H3135">
        <v>0.107869582307382</v>
      </c>
      <c r="I3135">
        <v>9.6110730514419193E-2</v>
      </c>
      <c r="J3135">
        <v>7.3965922042418294E-2</v>
      </c>
      <c r="K3135">
        <v>5.1263789163079602E-2</v>
      </c>
      <c r="L3135">
        <v>1232.0948708747901</v>
      </c>
      <c r="M3135">
        <v>24.9861774194855</v>
      </c>
      <c r="N3135">
        <v>49.697318319824603</v>
      </c>
      <c r="O3135">
        <v>48.998451825584503</v>
      </c>
      <c r="P3135">
        <v>-0.116235357939325</v>
      </c>
      <c r="Q3135">
        <v>8.8251757793909105E-2</v>
      </c>
      <c r="R3135">
        <v>0.98997825084073399</v>
      </c>
      <c r="S3135" t="s">
        <v>9752</v>
      </c>
      <c r="T3135" t="s">
        <v>13232</v>
      </c>
      <c r="U3135" t="s">
        <v>13232</v>
      </c>
      <c r="V3135" t="s">
        <v>13232</v>
      </c>
      <c r="W3135" t="s">
        <v>16312</v>
      </c>
      <c r="X3135">
        <v>3</v>
      </c>
      <c r="Y3135" t="s">
        <v>22770</v>
      </c>
      <c r="Z3135" t="s">
        <v>29266</v>
      </c>
      <c r="AA3135">
        <v>0.37933653528332661</v>
      </c>
      <c r="AB3135" t="str">
        <f>HYPERLINK("Melting_Curves/meltCurve_Q13432_2_UNC119.pdf", "Melting_Curves/meltCurve_Q13432_2_UNC119.pdf")</f>
        <v>Melting_Curves/meltCurve_Q13432_2_UNC119.pdf</v>
      </c>
    </row>
    <row r="3136" spans="1:28" x14ac:dyDescent="0.25">
      <c r="A3136" t="s">
        <v>3140</v>
      </c>
      <c r="B3136">
        <v>0.99930955844802105</v>
      </c>
      <c r="C3136">
        <v>0.93054130808364599</v>
      </c>
      <c r="D3136">
        <v>0.94035602499916704</v>
      </c>
      <c r="E3136">
        <v>0.927858388398351</v>
      </c>
      <c r="F3136">
        <v>0.80399229152758001</v>
      </c>
      <c r="G3136">
        <v>0.68629461061165598</v>
      </c>
      <c r="H3136">
        <v>0.59743964823913298</v>
      </c>
      <c r="I3136">
        <v>0.61250147204032501</v>
      </c>
      <c r="J3136">
        <v>0.592752324236961</v>
      </c>
      <c r="K3136">
        <v>0.478567623229328</v>
      </c>
      <c r="L3136">
        <v>566.73507869077605</v>
      </c>
      <c r="M3136">
        <v>10.0706337321653</v>
      </c>
      <c r="O3136">
        <v>54.192114738951503</v>
      </c>
      <c r="P3136">
        <v>-2.5323661066765701E-2</v>
      </c>
      <c r="Q3136">
        <v>0.455171011380474</v>
      </c>
      <c r="R3136">
        <v>0.96388650948694399</v>
      </c>
      <c r="S3136" t="s">
        <v>9753</v>
      </c>
      <c r="T3136" t="s">
        <v>13232</v>
      </c>
      <c r="U3136" t="s">
        <v>13232</v>
      </c>
      <c r="V3136" t="s">
        <v>13232</v>
      </c>
      <c r="W3136" t="s">
        <v>16313</v>
      </c>
      <c r="X3136">
        <v>43</v>
      </c>
      <c r="Y3136" t="s">
        <v>20232</v>
      </c>
      <c r="Z3136" t="s">
        <v>29267</v>
      </c>
      <c r="AA3136">
        <v>0.76150040899646343</v>
      </c>
      <c r="AB3136" t="str">
        <f>HYPERLINK("Melting_Curves/meltCurve_Q13435_SF3B2.pdf", "Melting_Curves/meltCurve_Q13435_SF3B2.pdf")</f>
        <v>Melting_Curves/meltCurve_Q13435_SF3B2.pdf</v>
      </c>
    </row>
    <row r="3137" spans="1:28" x14ac:dyDescent="0.25">
      <c r="A3137" t="s">
        <v>3141</v>
      </c>
      <c r="B3137">
        <v>0.99930955844802105</v>
      </c>
      <c r="C3137">
        <v>1.1316638193931201</v>
      </c>
      <c r="D3137">
        <v>1.08692558303747</v>
      </c>
      <c r="E3137">
        <v>0.97598184707160696</v>
      </c>
      <c r="F3137">
        <v>0.80721771115290497</v>
      </c>
      <c r="G3137">
        <v>0.72928613407874598</v>
      </c>
      <c r="H3137">
        <v>0.752177886463129</v>
      </c>
      <c r="I3137">
        <v>0.80362814845400099</v>
      </c>
      <c r="J3137">
        <v>0.86323116538331202</v>
      </c>
      <c r="K3137">
        <v>0.68398471092284197</v>
      </c>
      <c r="L3137">
        <v>3409.6360430052</v>
      </c>
      <c r="M3137">
        <v>65.937821582657605</v>
      </c>
      <c r="O3137">
        <v>51.662367309643997</v>
      </c>
      <c r="P3137">
        <v>-7.4471833954807498E-2</v>
      </c>
      <c r="Q3137">
        <v>0.76660495817971497</v>
      </c>
      <c r="R3137">
        <v>0.798135030978533</v>
      </c>
      <c r="S3137" t="s">
        <v>9754</v>
      </c>
      <c r="T3137" t="s">
        <v>13232</v>
      </c>
      <c r="U3137" t="s">
        <v>13232</v>
      </c>
      <c r="V3137" t="s">
        <v>13232</v>
      </c>
      <c r="W3137" t="s">
        <v>16314</v>
      </c>
      <c r="X3137">
        <v>2</v>
      </c>
      <c r="Y3137" t="s">
        <v>22771</v>
      </c>
      <c r="Z3137" t="s">
        <v>29268</v>
      </c>
      <c r="AA3137">
        <v>0.85801117505019486</v>
      </c>
      <c r="AB3137" t="str">
        <f>HYPERLINK("Melting_Curves/meltCurve_Q13438_4_OS9.pdf", "Melting_Curves/meltCurve_Q13438_4_OS9.pdf")</f>
        <v>Melting_Curves/meltCurve_Q13438_4_OS9.pdf</v>
      </c>
    </row>
    <row r="3138" spans="1:28" x14ac:dyDescent="0.25">
      <c r="A3138" t="s">
        <v>3142</v>
      </c>
      <c r="B3138">
        <v>0.99930955844802105</v>
      </c>
      <c r="C3138">
        <v>1.0448789951964299</v>
      </c>
      <c r="D3138">
        <v>0.90101440262733101</v>
      </c>
      <c r="E3138">
        <v>0.78309871972544298</v>
      </c>
      <c r="F3138">
        <v>0.60416217993891497</v>
      </c>
      <c r="G3138">
        <v>0.455862492350458</v>
      </c>
      <c r="H3138">
        <v>0.30848519123746099</v>
      </c>
      <c r="I3138">
        <v>0.27887796978172302</v>
      </c>
      <c r="J3138">
        <v>0.27865940326300898</v>
      </c>
      <c r="K3138">
        <v>0.23820720875791199</v>
      </c>
      <c r="L3138">
        <v>792.01561503181097</v>
      </c>
      <c r="M3138">
        <v>14.923943556075301</v>
      </c>
      <c r="N3138">
        <v>55.325282377123003</v>
      </c>
      <c r="O3138">
        <v>52.144599860652399</v>
      </c>
      <c r="P3138">
        <v>-5.5252238345483803E-2</v>
      </c>
      <c r="Q3138">
        <v>0.22786924606208001</v>
      </c>
      <c r="R3138">
        <v>0.99265441881951599</v>
      </c>
      <c r="S3138" t="s">
        <v>9755</v>
      </c>
      <c r="T3138" t="s">
        <v>13232</v>
      </c>
      <c r="U3138" t="s">
        <v>13232</v>
      </c>
      <c r="V3138" t="s">
        <v>13232</v>
      </c>
      <c r="W3138" t="s">
        <v>16315</v>
      </c>
      <c r="X3138">
        <v>68</v>
      </c>
      <c r="Y3138" t="s">
        <v>22772</v>
      </c>
      <c r="Z3138" t="s">
        <v>29269</v>
      </c>
      <c r="AA3138">
        <v>0.58094651610752601</v>
      </c>
      <c r="AB3138" t="str">
        <f>HYPERLINK("Melting_Curves/meltCurve_Q13439_3_GOLGA4.pdf", "Melting_Curves/meltCurve_Q13439_3_GOLGA4.pdf")</f>
        <v>Melting_Curves/meltCurve_Q13439_3_GOLGA4.pdf</v>
      </c>
    </row>
    <row r="3139" spans="1:28" x14ac:dyDescent="0.25">
      <c r="A3139" t="s">
        <v>3143</v>
      </c>
      <c r="B3139">
        <v>0.99930955844802105</v>
      </c>
      <c r="C3139">
        <v>1.0616354611302199</v>
      </c>
      <c r="D3139">
        <v>1.1239003144236801</v>
      </c>
      <c r="E3139">
        <v>1.10984172680555</v>
      </c>
      <c r="F3139">
        <v>1.0325398248365401</v>
      </c>
      <c r="G3139">
        <v>1.0084616352503499</v>
      </c>
      <c r="H3139">
        <v>1.0693206574344201</v>
      </c>
      <c r="I3139">
        <v>1.2190030244960799</v>
      </c>
      <c r="J3139">
        <v>1.1980771295815</v>
      </c>
      <c r="K3139">
        <v>0.96553078525234903</v>
      </c>
      <c r="L3139">
        <v>10692.949166272199</v>
      </c>
      <c r="M3139">
        <v>250</v>
      </c>
      <c r="O3139">
        <v>42.769049050029302</v>
      </c>
      <c r="P3139">
        <v>0.132739629559986</v>
      </c>
      <c r="Q3139">
        <v>1.09083438592809</v>
      </c>
      <c r="R3139">
        <v>0.12238124862552099</v>
      </c>
      <c r="S3139" t="s">
        <v>9756</v>
      </c>
      <c r="T3139" t="s">
        <v>13232</v>
      </c>
      <c r="U3139" t="s">
        <v>13232</v>
      </c>
      <c r="V3139" t="s">
        <v>13232</v>
      </c>
      <c r="W3139" t="s">
        <v>16316</v>
      </c>
      <c r="X3139">
        <v>12</v>
      </c>
      <c r="Y3139" t="s">
        <v>22773</v>
      </c>
      <c r="Z3139" t="s">
        <v>29270</v>
      </c>
      <c r="AA3139">
        <v>1.0824350859373439</v>
      </c>
      <c r="AB3139" t="str">
        <f>HYPERLINK("Melting_Curves/meltCurve_Q13442_PDAP1.pdf", "Melting_Curves/meltCurve_Q13442_PDAP1.pdf")</f>
        <v>Melting_Curves/meltCurve_Q13442_PDAP1.pdf</v>
      </c>
    </row>
    <row r="3140" spans="1:28" x14ac:dyDescent="0.25">
      <c r="A3140" t="s">
        <v>3144</v>
      </c>
      <c r="B3140">
        <v>0.99930955844802105</v>
      </c>
      <c r="C3140">
        <v>0.92169514407449005</v>
      </c>
      <c r="D3140">
        <v>0.55388169710393897</v>
      </c>
      <c r="E3140">
        <v>0.35128793913440498</v>
      </c>
      <c r="F3140">
        <v>0.22941910979621599</v>
      </c>
      <c r="G3140">
        <v>0.18410369630375201</v>
      </c>
      <c r="H3140">
        <v>0.13082375299424001</v>
      </c>
      <c r="I3140">
        <v>0.138210990033003</v>
      </c>
      <c r="J3140">
        <v>0.127241911290224</v>
      </c>
      <c r="K3140">
        <v>0.10007249692404099</v>
      </c>
      <c r="L3140">
        <v>899.50478121192202</v>
      </c>
      <c r="M3140">
        <v>19.293562785738398</v>
      </c>
      <c r="N3140">
        <v>47.3775675579977</v>
      </c>
      <c r="O3140">
        <v>46.129820023319802</v>
      </c>
      <c r="P3140">
        <v>-9.0718045357244606E-2</v>
      </c>
      <c r="Q3140">
        <v>0.132425640619447</v>
      </c>
      <c r="R3140">
        <v>0.98759574902713698</v>
      </c>
      <c r="S3140" t="s">
        <v>9757</v>
      </c>
      <c r="T3140" t="s">
        <v>13232</v>
      </c>
      <c r="U3140" t="s">
        <v>13232</v>
      </c>
      <c r="V3140" t="s">
        <v>13232</v>
      </c>
      <c r="W3140" t="s">
        <v>16317</v>
      </c>
      <c r="X3140">
        <v>42</v>
      </c>
      <c r="Y3140" t="s">
        <v>22774</v>
      </c>
      <c r="Z3140" t="s">
        <v>29271</v>
      </c>
      <c r="AA3140">
        <v>0.33793104133642349</v>
      </c>
      <c r="AB3140" t="str">
        <f>HYPERLINK("Melting_Curves/meltCurve_Q13451_FKBP5.pdf", "Melting_Curves/meltCurve_Q13451_FKBP5.pdf")</f>
        <v>Melting_Curves/meltCurve_Q13451_FKBP5.pdf</v>
      </c>
    </row>
    <row r="3141" spans="1:28" x14ac:dyDescent="0.25">
      <c r="A3141" t="s">
        <v>3145</v>
      </c>
      <c r="B3141">
        <v>0.99930955844802105</v>
      </c>
      <c r="C3141">
        <v>0.94398682199470896</v>
      </c>
      <c r="D3141">
        <v>0.94937818673847296</v>
      </c>
      <c r="E3141">
        <v>0.85086067913625896</v>
      </c>
      <c r="F3141">
        <v>0.26395696482016801</v>
      </c>
      <c r="G3141">
        <v>0.189160437056584</v>
      </c>
      <c r="H3141">
        <v>0.114244155352967</v>
      </c>
      <c r="I3141">
        <v>0.10080618550055501</v>
      </c>
      <c r="J3141">
        <v>9.3027205331114707E-2</v>
      </c>
      <c r="K3141">
        <v>6.8291433186850395E-2</v>
      </c>
      <c r="L3141">
        <v>2714.7852773847699</v>
      </c>
      <c r="M3141">
        <v>52.735340349004403</v>
      </c>
      <c r="N3141">
        <v>51.725250400777597</v>
      </c>
      <c r="O3141">
        <v>51.405568533698101</v>
      </c>
      <c r="P3141">
        <v>-0.228038654602918</v>
      </c>
      <c r="Q3141">
        <v>0.11084693129317801</v>
      </c>
      <c r="R3141">
        <v>0.99158333680538902</v>
      </c>
      <c r="S3141" t="s">
        <v>9758</v>
      </c>
      <c r="T3141" t="s">
        <v>13232</v>
      </c>
      <c r="U3141" t="s">
        <v>13232</v>
      </c>
      <c r="V3141" t="s">
        <v>13232</v>
      </c>
      <c r="W3141" t="s">
        <v>16318</v>
      </c>
      <c r="X3141">
        <v>72</v>
      </c>
      <c r="Y3141" t="s">
        <v>22775</v>
      </c>
      <c r="Z3141" t="s">
        <v>29272</v>
      </c>
      <c r="AA3141">
        <v>0.45289325799365948</v>
      </c>
      <c r="AB3141" t="str">
        <f>HYPERLINK("Melting_Curves/meltCurve_Q13464_ROCK1.pdf", "Melting_Curves/meltCurve_Q13464_ROCK1.pdf")</f>
        <v>Melting_Curves/meltCurve_Q13464_ROCK1.pdf</v>
      </c>
    </row>
    <row r="3142" spans="1:28" x14ac:dyDescent="0.25">
      <c r="A3142" t="s">
        <v>3146</v>
      </c>
      <c r="B3142">
        <v>0.99930955844802105</v>
      </c>
      <c r="C3142">
        <v>0.90420653458926004</v>
      </c>
      <c r="D3142">
        <v>0.91546140283855004</v>
      </c>
      <c r="E3142">
        <v>0.72604669532208999</v>
      </c>
      <c r="F3142">
        <v>0.61286919009596297</v>
      </c>
      <c r="G3142">
        <v>0.54461555609448897</v>
      </c>
      <c r="H3142">
        <v>0.50361343632320599</v>
      </c>
      <c r="I3142">
        <v>0.60863597116149804</v>
      </c>
      <c r="J3142">
        <v>0.55785940264779399</v>
      </c>
      <c r="K3142">
        <v>0.45417913676188898</v>
      </c>
      <c r="L3142">
        <v>840.09326112022995</v>
      </c>
      <c r="M3142">
        <v>17.115528470135001</v>
      </c>
      <c r="O3142">
        <v>48.428333399185902</v>
      </c>
      <c r="P3142">
        <v>-4.2544814391396499E-2</v>
      </c>
      <c r="Q3142">
        <v>0.51850730864197703</v>
      </c>
      <c r="R3142">
        <v>0.945825127868681</v>
      </c>
      <c r="S3142" t="s">
        <v>9759</v>
      </c>
      <c r="T3142" t="s">
        <v>13232</v>
      </c>
      <c r="U3142" t="s">
        <v>13232</v>
      </c>
      <c r="V3142" t="s">
        <v>13232</v>
      </c>
      <c r="W3142" t="s">
        <v>16319</v>
      </c>
      <c r="X3142">
        <v>9</v>
      </c>
      <c r="Y3142" t="s">
        <v>22776</v>
      </c>
      <c r="Z3142" t="s">
        <v>29273</v>
      </c>
      <c r="AA3142">
        <v>0.67349575170148601</v>
      </c>
      <c r="AB3142" t="str">
        <f>HYPERLINK("Melting_Curves/meltCurve_Q13469_NFATC2.pdf", "Melting_Curves/meltCurve_Q13469_NFATC2.pdf")</f>
        <v>Melting_Curves/meltCurve_Q13469_NFATC2.pdf</v>
      </c>
    </row>
    <row r="3143" spans="1:28" x14ac:dyDescent="0.25">
      <c r="A3143" t="s">
        <v>3147</v>
      </c>
      <c r="B3143">
        <v>0.99930955844802105</v>
      </c>
      <c r="C3143">
        <v>1.15066058533455</v>
      </c>
      <c r="D3143">
        <v>1.1238206815660099</v>
      </c>
      <c r="E3143">
        <v>1.0881957887004201</v>
      </c>
      <c r="F3143">
        <v>0.98875045759689495</v>
      </c>
      <c r="G3143">
        <v>0.51444615301769203</v>
      </c>
      <c r="H3143">
        <v>0.393985438385481</v>
      </c>
      <c r="I3143">
        <v>0.41284652632293001</v>
      </c>
      <c r="J3143">
        <v>0.399804016871386</v>
      </c>
      <c r="K3143">
        <v>0.32114111029404102</v>
      </c>
      <c r="L3143">
        <v>3991.5265853032702</v>
      </c>
      <c r="M3143">
        <v>71.318709082774205</v>
      </c>
      <c r="N3143">
        <v>57.1200506406758</v>
      </c>
      <c r="O3143">
        <v>55.923502460668097</v>
      </c>
      <c r="P3143">
        <v>-0.197214174542369</v>
      </c>
      <c r="Q3143">
        <v>0.38142995704982102</v>
      </c>
      <c r="R3143">
        <v>0.955156398221225</v>
      </c>
      <c r="S3143" t="s">
        <v>9760</v>
      </c>
      <c r="T3143" t="s">
        <v>13232</v>
      </c>
      <c r="U3143" t="s">
        <v>13232</v>
      </c>
      <c r="V3143" t="s">
        <v>13232</v>
      </c>
      <c r="W3143" t="s">
        <v>16320</v>
      </c>
      <c r="X3143">
        <v>17</v>
      </c>
      <c r="Y3143" t="s">
        <v>22777</v>
      </c>
      <c r="Z3143" t="s">
        <v>29274</v>
      </c>
      <c r="AA3143">
        <v>0.71141134772705272</v>
      </c>
      <c r="AB3143" t="str">
        <f>HYPERLINK("Melting_Curves/meltCurve_Q13492_3_PICALM.pdf", "Melting_Curves/meltCurve_Q13492_3_PICALM.pdf")</f>
        <v>Melting_Curves/meltCurve_Q13492_3_PICALM.pdf</v>
      </c>
    </row>
    <row r="3144" spans="1:28" x14ac:dyDescent="0.25">
      <c r="A3144" t="s">
        <v>3148</v>
      </c>
      <c r="B3144">
        <v>0.99930955844802105</v>
      </c>
      <c r="C3144">
        <v>0.98378665931796905</v>
      </c>
      <c r="D3144">
        <v>0.99486719303865501</v>
      </c>
      <c r="E3144">
        <v>0.95380431518227204</v>
      </c>
      <c r="F3144">
        <v>0.83468983281283704</v>
      </c>
      <c r="G3144">
        <v>0.61348867225500803</v>
      </c>
      <c r="H3144">
        <v>0.29010686664008301</v>
      </c>
      <c r="I3144">
        <v>0.11721712488312</v>
      </c>
      <c r="J3144">
        <v>9.2221802894952895E-2</v>
      </c>
      <c r="K3144">
        <v>6.9977994554497797E-2</v>
      </c>
      <c r="L3144">
        <v>1126.29556105143</v>
      </c>
      <c r="M3144">
        <v>19.439999358382298</v>
      </c>
      <c r="N3144">
        <v>58.056021134772102</v>
      </c>
      <c r="O3144">
        <v>57.334409465159098</v>
      </c>
      <c r="P3144">
        <v>-8.31132619995959E-2</v>
      </c>
      <c r="Q3144">
        <v>1.95319553464578E-2</v>
      </c>
      <c r="R3144">
        <v>0.99777770056683102</v>
      </c>
      <c r="S3144" t="s">
        <v>9761</v>
      </c>
      <c r="T3144" t="s">
        <v>13232</v>
      </c>
      <c r="U3144" t="s">
        <v>13232</v>
      </c>
      <c r="V3144" t="s">
        <v>13232</v>
      </c>
      <c r="W3144" t="s">
        <v>16321</v>
      </c>
      <c r="X3144">
        <v>12</v>
      </c>
      <c r="Y3144" t="s">
        <v>22778</v>
      </c>
      <c r="Z3144" t="s">
        <v>29275</v>
      </c>
      <c r="AA3144">
        <v>0.61723131059928316</v>
      </c>
      <c r="AB3144" t="str">
        <f>HYPERLINK("Melting_Curves/meltCurve_Q13496_MTM1.pdf", "Melting_Curves/meltCurve_Q13496_MTM1.pdf")</f>
        <v>Melting_Curves/meltCurve_Q13496_MTM1.pdf</v>
      </c>
    </row>
    <row r="3145" spans="1:28" x14ac:dyDescent="0.25">
      <c r="A3145" t="s">
        <v>3149</v>
      </c>
      <c r="B3145">
        <v>0.99930955844802105</v>
      </c>
      <c r="C3145">
        <v>0.81064264360489702</v>
      </c>
      <c r="D3145">
        <v>0.82485794946485702</v>
      </c>
      <c r="E3145">
        <v>0.70301196999788096</v>
      </c>
      <c r="F3145">
        <v>0.58037115939976802</v>
      </c>
      <c r="G3145">
        <v>0.48687589204433501</v>
      </c>
      <c r="H3145">
        <v>0.45501163859711002</v>
      </c>
      <c r="I3145">
        <v>0.49945418402061098</v>
      </c>
      <c r="J3145">
        <v>0.45667920427532499</v>
      </c>
      <c r="K3145">
        <v>0.39668258864087802</v>
      </c>
      <c r="L3145">
        <v>499.52209633735799</v>
      </c>
      <c r="M3145">
        <v>10.172522428637301</v>
      </c>
      <c r="N3145">
        <v>58.327862570650403</v>
      </c>
      <c r="O3145">
        <v>47.3207720045652</v>
      </c>
      <c r="P3145">
        <v>-3.2265251763182901E-2</v>
      </c>
      <c r="Q3145">
        <v>0.399904449123547</v>
      </c>
      <c r="R3145">
        <v>0.95787766483574199</v>
      </c>
      <c r="S3145" t="s">
        <v>9762</v>
      </c>
      <c r="T3145" t="s">
        <v>13232</v>
      </c>
      <c r="U3145" t="s">
        <v>13232</v>
      </c>
      <c r="V3145" t="s">
        <v>13232</v>
      </c>
      <c r="W3145" t="s">
        <v>16322</v>
      </c>
      <c r="X3145">
        <v>10</v>
      </c>
      <c r="Y3145" t="s">
        <v>22779</v>
      </c>
      <c r="Z3145" t="s">
        <v>29276</v>
      </c>
      <c r="AA3145">
        <v>0.61044142540472135</v>
      </c>
      <c r="AB3145" t="str">
        <f>HYPERLINK("Melting_Curves/meltCurve_Q13501_SQSTM1.pdf", "Melting_Curves/meltCurve_Q13501_SQSTM1.pdf")</f>
        <v>Melting_Curves/meltCurve_Q13501_SQSTM1.pdf</v>
      </c>
    </row>
    <row r="3146" spans="1:28" x14ac:dyDescent="0.25">
      <c r="A3146" t="s">
        <v>3150</v>
      </c>
      <c r="B3146">
        <v>0.99930955844802105</v>
      </c>
      <c r="C3146">
        <v>0.87279038592021396</v>
      </c>
      <c r="D3146">
        <v>0.91460184050954796</v>
      </c>
      <c r="E3146">
        <v>0.922929075297241</v>
      </c>
      <c r="F3146">
        <v>0.68367014424063699</v>
      </c>
      <c r="G3146">
        <v>0.535967638611904</v>
      </c>
      <c r="H3146">
        <v>0.46561877901877002</v>
      </c>
      <c r="I3146">
        <v>0.39802745831280001</v>
      </c>
      <c r="J3146">
        <v>0.32994415643402902</v>
      </c>
      <c r="K3146">
        <v>0.30372014988946</v>
      </c>
      <c r="L3146">
        <v>595.93104551542501</v>
      </c>
      <c r="M3146">
        <v>10.675940171793799</v>
      </c>
      <c r="N3146">
        <v>59.1502126394358</v>
      </c>
      <c r="O3146">
        <v>53.9683747714367</v>
      </c>
      <c r="P3146">
        <v>-3.8297983048015002E-2</v>
      </c>
      <c r="Q3146">
        <v>0.225886316468208</v>
      </c>
      <c r="R3146">
        <v>0.96596763861326396</v>
      </c>
      <c r="S3146" t="s">
        <v>9763</v>
      </c>
      <c r="T3146" t="s">
        <v>13232</v>
      </c>
      <c r="U3146" t="s">
        <v>13232</v>
      </c>
      <c r="V3146" t="s">
        <v>13232</v>
      </c>
      <c r="W3146" t="s">
        <v>16323</v>
      </c>
      <c r="X3146">
        <v>3</v>
      </c>
      <c r="Y3146" t="s">
        <v>22780</v>
      </c>
      <c r="Z3146" t="s">
        <v>29277</v>
      </c>
      <c r="AA3146">
        <v>0.65097356156889963</v>
      </c>
      <c r="AB3146" t="str">
        <f>HYPERLINK("Melting_Curves/meltCurve_Q13503_MED21.pdf", "Melting_Curves/meltCurve_Q13503_MED21.pdf")</f>
        <v>Melting_Curves/meltCurve_Q13503_MED21.pdf</v>
      </c>
    </row>
    <row r="3147" spans="1:28" x14ac:dyDescent="0.25">
      <c r="A3147" t="s">
        <v>32769</v>
      </c>
      <c r="B3147">
        <v>0.99930955844802105</v>
      </c>
      <c r="C3147">
        <v>0.57337443850242897</v>
      </c>
      <c r="D3147">
        <v>0.431154700646178</v>
      </c>
      <c r="E3147">
        <v>0.37136025486977597</v>
      </c>
      <c r="F3147">
        <v>0.208697369772335</v>
      </c>
      <c r="G3147">
        <v>0.109435411334028</v>
      </c>
      <c r="H3147">
        <v>4.7263986159710503E-2</v>
      </c>
      <c r="I3147">
        <v>4.2349412840726103E-2</v>
      </c>
      <c r="J3147">
        <v>3.98936601892068E-2</v>
      </c>
      <c r="K3147">
        <v>3.3180564334814998E-2</v>
      </c>
      <c r="L3147">
        <v>530.24192571924698</v>
      </c>
      <c r="M3147">
        <v>11.600992298383501</v>
      </c>
      <c r="N3147">
        <v>45.8663792495026</v>
      </c>
      <c r="O3147">
        <v>44.411786244115099</v>
      </c>
      <c r="P3147">
        <v>-6.4028049320014394E-2</v>
      </c>
      <c r="Q3147">
        <v>1.9800982518361002E-2</v>
      </c>
      <c r="R3147">
        <v>0.94422229236020006</v>
      </c>
      <c r="S3147" t="s">
        <v>32770</v>
      </c>
      <c r="T3147" t="s">
        <v>13232</v>
      </c>
      <c r="U3147" t="s">
        <v>13232</v>
      </c>
      <c r="V3147" t="s">
        <v>13232</v>
      </c>
      <c r="W3147" t="s">
        <v>16324</v>
      </c>
      <c r="X3147">
        <v>2</v>
      </c>
      <c r="Y3147" t="s">
        <v>32771</v>
      </c>
      <c r="Z3147" t="s">
        <v>29278</v>
      </c>
      <c r="AA3147">
        <v>0.25496967955840211</v>
      </c>
      <c r="AB3147" t="str">
        <f>HYPERLINK("Melting_Curves/meltCurve_Q13505_3_H.sapiens_K562_P0131101.pdf", "Melting_Curves/meltCurve_Q13505_3_H.sapiens_K562_P0131101.pdf")</f>
        <v>Melting_Curves/meltCurve_Q13505_3_H.sapiens_K562_P0131101.pdf</v>
      </c>
    </row>
    <row r="3148" spans="1:28" x14ac:dyDescent="0.25">
      <c r="A3148" t="s">
        <v>3151</v>
      </c>
      <c r="B3148">
        <v>0.99930955844802105</v>
      </c>
      <c r="C3148">
        <v>1.10395681274937</v>
      </c>
      <c r="D3148">
        <v>1.1161609035709299</v>
      </c>
      <c r="E3148">
        <v>0.93671059795287304</v>
      </c>
      <c r="F3148">
        <v>0.68979572068538797</v>
      </c>
      <c r="G3148">
        <v>0.59663946505862897</v>
      </c>
      <c r="H3148">
        <v>0.52956600039508706</v>
      </c>
      <c r="I3148">
        <v>0.56424625259745598</v>
      </c>
      <c r="J3148">
        <v>0.29759608525355102</v>
      </c>
      <c r="K3148">
        <v>0.43002351396022498</v>
      </c>
      <c r="L3148">
        <v>1097.00222714089</v>
      </c>
      <c r="M3148">
        <v>20.337590932003</v>
      </c>
      <c r="N3148">
        <v>59.751723586531803</v>
      </c>
      <c r="O3148">
        <v>53.4262517323099</v>
      </c>
      <c r="P3148">
        <v>-5.41663176738914E-2</v>
      </c>
      <c r="Q3148">
        <v>0.43084406247930002</v>
      </c>
      <c r="R3148">
        <v>0.906354210462327</v>
      </c>
      <c r="S3148" t="s">
        <v>9764</v>
      </c>
      <c r="T3148" t="s">
        <v>13232</v>
      </c>
      <c r="U3148" t="s">
        <v>13232</v>
      </c>
      <c r="V3148" t="s">
        <v>13232</v>
      </c>
      <c r="W3148" t="s">
        <v>16325</v>
      </c>
      <c r="X3148">
        <v>10</v>
      </c>
      <c r="Y3148" t="s">
        <v>22781</v>
      </c>
      <c r="Z3148" t="s">
        <v>29279</v>
      </c>
      <c r="AA3148">
        <v>0.70283988077986825</v>
      </c>
      <c r="AB3148" t="str">
        <f>HYPERLINK("Melting_Curves/meltCurve_Q13506_NAB1.pdf", "Melting_Curves/meltCurve_Q13506_NAB1.pdf")</f>
        <v>Melting_Curves/meltCurve_Q13506_NAB1.pdf</v>
      </c>
    </row>
    <row r="3149" spans="1:28" x14ac:dyDescent="0.25">
      <c r="A3149" t="s">
        <v>3152</v>
      </c>
      <c r="B3149">
        <v>0.99930955844802105</v>
      </c>
      <c r="C3149">
        <v>0.41965170216943498</v>
      </c>
      <c r="D3149">
        <v>0.32361639531317898</v>
      </c>
      <c r="E3149">
        <v>0.36367556887498198</v>
      </c>
      <c r="F3149">
        <v>0.26260436317035302</v>
      </c>
      <c r="G3149">
        <v>0.16144161503078</v>
      </c>
      <c r="H3149">
        <v>3.6148434512206E-2</v>
      </c>
      <c r="I3149">
        <v>2.7408215284886801E-2</v>
      </c>
      <c r="J3149">
        <v>6.1541474871153901E-3</v>
      </c>
      <c r="K3149">
        <v>3.87860198951073E-3</v>
      </c>
      <c r="L3149">
        <v>452.89201576447601</v>
      </c>
      <c r="M3149">
        <v>10.1190944038431</v>
      </c>
      <c r="N3149">
        <v>44.806691954618699</v>
      </c>
      <c r="O3149">
        <v>43.113725523777497</v>
      </c>
      <c r="P3149">
        <v>-5.8371095349498803E-2</v>
      </c>
      <c r="Q3149">
        <v>5.6709145639699298E-3</v>
      </c>
      <c r="R3149">
        <v>0.84911505297938705</v>
      </c>
      <c r="S3149" t="s">
        <v>9765</v>
      </c>
      <c r="T3149" t="s">
        <v>13232</v>
      </c>
      <c r="U3149" t="s">
        <v>13232</v>
      </c>
      <c r="V3149" t="s">
        <v>13232</v>
      </c>
      <c r="W3149" t="s">
        <v>16326</v>
      </c>
      <c r="X3149">
        <v>16</v>
      </c>
      <c r="Y3149" t="s">
        <v>22782</v>
      </c>
      <c r="Z3149" t="s">
        <v>29280</v>
      </c>
      <c r="AA3149">
        <v>0.2317613228704373</v>
      </c>
      <c r="AB3149" t="str">
        <f>HYPERLINK("Melting_Curves/meltCurve_Q13509_TUBB3.pdf", "Melting_Curves/meltCurve_Q13509_TUBB3.pdf")</f>
        <v>Melting_Curves/meltCurve_Q13509_TUBB3.pdf</v>
      </c>
    </row>
    <row r="3150" spans="1:28" x14ac:dyDescent="0.25">
      <c r="A3150" t="s">
        <v>3153</v>
      </c>
      <c r="B3150">
        <v>0.99930955844802105</v>
      </c>
      <c r="C3150">
        <v>1.0862358979176301</v>
      </c>
      <c r="D3150">
        <v>1.0336691114638199</v>
      </c>
      <c r="E3150">
        <v>0.84378350435260796</v>
      </c>
      <c r="F3150">
        <v>0.47986327454415401</v>
      </c>
      <c r="G3150">
        <v>0.307570640500333</v>
      </c>
      <c r="H3150">
        <v>0.210943541906564</v>
      </c>
      <c r="I3150">
        <v>0.239412239219119</v>
      </c>
      <c r="J3150">
        <v>0.229650416562584</v>
      </c>
      <c r="K3150">
        <v>0.18016558769760399</v>
      </c>
      <c r="L3150">
        <v>1729.71941412704</v>
      </c>
      <c r="M3150">
        <v>33.248799072023601</v>
      </c>
      <c r="N3150">
        <v>52.956882952089401</v>
      </c>
      <c r="O3150">
        <v>51.836404670345502</v>
      </c>
      <c r="P3150">
        <v>-0.124800268485851</v>
      </c>
      <c r="Q3150">
        <v>0.22172596780557899</v>
      </c>
      <c r="R3150">
        <v>0.989345875343009</v>
      </c>
      <c r="S3150" t="s">
        <v>9766</v>
      </c>
      <c r="T3150" t="s">
        <v>13232</v>
      </c>
      <c r="U3150" t="s">
        <v>13232</v>
      </c>
      <c r="V3150" t="s">
        <v>13232</v>
      </c>
      <c r="W3150" t="s">
        <v>16327</v>
      </c>
      <c r="X3150">
        <v>30</v>
      </c>
      <c r="Y3150" t="s">
        <v>22783</v>
      </c>
      <c r="Z3150" t="s">
        <v>29281</v>
      </c>
      <c r="AA3150">
        <v>0.53769906145771074</v>
      </c>
      <c r="AB3150" t="str">
        <f>HYPERLINK("Melting_Curves/meltCurve_Q13523_PRPF4B.pdf", "Melting_Curves/meltCurve_Q13523_PRPF4B.pdf")</f>
        <v>Melting_Curves/meltCurve_Q13523_PRPF4B.pdf</v>
      </c>
    </row>
    <row r="3151" spans="1:28" x14ac:dyDescent="0.25">
      <c r="A3151" t="s">
        <v>3154</v>
      </c>
      <c r="B3151">
        <v>0.99930955844802105</v>
      </c>
      <c r="C3151">
        <v>1.0663634027573601</v>
      </c>
      <c r="D3151">
        <v>1.07834150343518</v>
      </c>
      <c r="E3151">
        <v>0.90991046502190098</v>
      </c>
      <c r="F3151">
        <v>0.53196173693271298</v>
      </c>
      <c r="G3151">
        <v>0.35921170024216398</v>
      </c>
      <c r="H3151">
        <v>0.25670374616647701</v>
      </c>
      <c r="I3151">
        <v>0.23646653080233099</v>
      </c>
      <c r="J3151">
        <v>0.22588443541980899</v>
      </c>
      <c r="K3151">
        <v>0.18577181438045601</v>
      </c>
      <c r="L3151">
        <v>1735.9619268621</v>
      </c>
      <c r="M3151">
        <v>33.012044430997904</v>
      </c>
      <c r="N3151">
        <v>53.619718360951502</v>
      </c>
      <c r="O3151">
        <v>52.393882511096102</v>
      </c>
      <c r="P3151">
        <v>-0.120430262743782</v>
      </c>
      <c r="Q3151">
        <v>0.23545722022964599</v>
      </c>
      <c r="R3151">
        <v>0.98392102036740903</v>
      </c>
      <c r="S3151" t="s">
        <v>9767</v>
      </c>
      <c r="T3151" t="s">
        <v>13232</v>
      </c>
      <c r="U3151" t="s">
        <v>13232</v>
      </c>
      <c r="V3151" t="s">
        <v>13232</v>
      </c>
      <c r="W3151" t="s">
        <v>16328</v>
      </c>
      <c r="X3151">
        <v>8</v>
      </c>
      <c r="Y3151" t="s">
        <v>22784</v>
      </c>
      <c r="Z3151" t="s">
        <v>29282</v>
      </c>
      <c r="AA3151">
        <v>0.5602789330586071</v>
      </c>
      <c r="AB3151" t="str">
        <f>HYPERLINK("Melting_Curves/meltCurve_Q13526_PIN1.pdf", "Melting_Curves/meltCurve_Q13526_PIN1.pdf")</f>
        <v>Melting_Curves/meltCurve_Q13526_PIN1.pdf</v>
      </c>
    </row>
    <row r="3152" spans="1:28" x14ac:dyDescent="0.25">
      <c r="A3152" t="s">
        <v>3155</v>
      </c>
      <c r="B3152">
        <v>0.99930955844802105</v>
      </c>
      <c r="C3152">
        <v>1.0145393978189701</v>
      </c>
      <c r="D3152">
        <v>1.01082593304253</v>
      </c>
      <c r="E3152">
        <v>0.94267883459509905</v>
      </c>
      <c r="F3152">
        <v>0.7858274219736</v>
      </c>
      <c r="G3152">
        <v>0.65842517779026899</v>
      </c>
      <c r="H3152">
        <v>0.64324412582791002</v>
      </c>
      <c r="I3152">
        <v>0.653505963985199</v>
      </c>
      <c r="J3152">
        <v>0.72964022597254596</v>
      </c>
      <c r="K3152">
        <v>0.56857573987617205</v>
      </c>
      <c r="L3152">
        <v>1930.0035313501801</v>
      </c>
      <c r="M3152">
        <v>36.881446743594502</v>
      </c>
      <c r="O3152">
        <v>52.176814452676503</v>
      </c>
      <c r="P3152">
        <v>-6.2345981842940802E-2</v>
      </c>
      <c r="Q3152">
        <v>0.64719342200118601</v>
      </c>
      <c r="R3152">
        <v>0.95109626724523699</v>
      </c>
      <c r="S3152" t="s">
        <v>9768</v>
      </c>
      <c r="T3152" t="s">
        <v>13232</v>
      </c>
      <c r="U3152" t="s">
        <v>13232</v>
      </c>
      <c r="V3152" t="s">
        <v>13232</v>
      </c>
      <c r="W3152" t="s">
        <v>16329</v>
      </c>
      <c r="X3152">
        <v>9</v>
      </c>
      <c r="Y3152" t="s">
        <v>22785</v>
      </c>
      <c r="Z3152" t="s">
        <v>29283</v>
      </c>
      <c r="AA3152">
        <v>0.79369719972796238</v>
      </c>
      <c r="AB3152" t="str">
        <f>HYPERLINK("Melting_Curves/meltCurve_Q13541_EIF4EBP1.pdf", "Melting_Curves/meltCurve_Q13541_EIF4EBP1.pdf")</f>
        <v>Melting_Curves/meltCurve_Q13541_EIF4EBP1.pdf</v>
      </c>
    </row>
    <row r="3153" spans="1:28" x14ac:dyDescent="0.25">
      <c r="A3153" t="s">
        <v>3156</v>
      </c>
      <c r="B3153">
        <v>0.99930955844802105</v>
      </c>
      <c r="C3153">
        <v>0.94729868564556996</v>
      </c>
      <c r="D3153">
        <v>0.94778587023379002</v>
      </c>
      <c r="E3153">
        <v>0.95933683686040305</v>
      </c>
      <c r="F3153">
        <v>0.88161570271408496</v>
      </c>
      <c r="G3153">
        <v>0.75849160333938503</v>
      </c>
      <c r="H3153">
        <v>0.63771919867780202</v>
      </c>
      <c r="I3153">
        <v>0.55097189518050504</v>
      </c>
      <c r="J3153">
        <v>0.45145762599581002</v>
      </c>
      <c r="K3153">
        <v>0.40415192842580899</v>
      </c>
      <c r="L3153">
        <v>599.37315889998604</v>
      </c>
      <c r="M3153">
        <v>9.5972389776544205</v>
      </c>
      <c r="N3153">
        <v>65.576922932512105</v>
      </c>
      <c r="O3153">
        <v>59.921760548334603</v>
      </c>
      <c r="P3153">
        <v>-3.2712437774942399E-2</v>
      </c>
      <c r="Q3153">
        <v>0.18348509883599001</v>
      </c>
      <c r="R3153">
        <v>0.99211320911146095</v>
      </c>
      <c r="S3153" t="s">
        <v>9769</v>
      </c>
      <c r="T3153" t="s">
        <v>13232</v>
      </c>
      <c r="U3153" t="s">
        <v>13232</v>
      </c>
      <c r="V3153" t="s">
        <v>13232</v>
      </c>
      <c r="W3153" t="s">
        <v>16330</v>
      </c>
      <c r="X3153">
        <v>5</v>
      </c>
      <c r="Y3153" t="s">
        <v>22786</v>
      </c>
      <c r="Z3153" t="s">
        <v>29284</v>
      </c>
      <c r="AA3153">
        <v>0.77140935588792137</v>
      </c>
      <c r="AB3153" t="str">
        <f>HYPERLINK("Melting_Curves/meltCurve_Q13542_EIF4EBP2.pdf", "Melting_Curves/meltCurve_Q13542_EIF4EBP2.pdf")</f>
        <v>Melting_Curves/meltCurve_Q13542_EIF4EBP2.pdf</v>
      </c>
    </row>
    <row r="3154" spans="1:28" x14ac:dyDescent="0.25">
      <c r="A3154" t="s">
        <v>3157</v>
      </c>
      <c r="B3154">
        <v>0.99930955844802105</v>
      </c>
      <c r="C3154">
        <v>1.2964194939357001</v>
      </c>
      <c r="D3154">
        <v>1.14932381753972</v>
      </c>
      <c r="E3154">
        <v>0.76940959370939599</v>
      </c>
      <c r="F3154">
        <v>0.47515858731267402</v>
      </c>
      <c r="G3154">
        <v>0.349398527713073</v>
      </c>
      <c r="H3154">
        <v>0.25534070162597999</v>
      </c>
      <c r="I3154">
        <v>0.22782259208446201</v>
      </c>
      <c r="J3154">
        <v>0.19591754740939399</v>
      </c>
      <c r="K3154">
        <v>0.15186464757215501</v>
      </c>
      <c r="L3154">
        <v>1513.3068155753001</v>
      </c>
      <c r="M3154">
        <v>29.1822037118915</v>
      </c>
      <c r="N3154">
        <v>52.901113276729397</v>
      </c>
      <c r="O3154">
        <v>51.6154957190559</v>
      </c>
      <c r="P3154">
        <v>-0.110405299807478</v>
      </c>
      <c r="Q3154">
        <v>0.21889616232683401</v>
      </c>
      <c r="R3154">
        <v>0.92205177633518698</v>
      </c>
      <c r="S3154" t="s">
        <v>9770</v>
      </c>
      <c r="T3154" t="s">
        <v>13232</v>
      </c>
      <c r="U3154" t="s">
        <v>13232</v>
      </c>
      <c r="V3154" t="s">
        <v>13232</v>
      </c>
      <c r="W3154" t="s">
        <v>16331</v>
      </c>
      <c r="X3154">
        <v>21</v>
      </c>
      <c r="Y3154" t="s">
        <v>22787</v>
      </c>
      <c r="Z3154" t="s">
        <v>29285</v>
      </c>
      <c r="AA3154">
        <v>0.53287921268448113</v>
      </c>
      <c r="AB3154" t="str">
        <f>HYPERLINK("Melting_Curves/meltCurve_Q13546_RIPK1.pdf", "Melting_Curves/meltCurve_Q13546_RIPK1.pdf")</f>
        <v>Melting_Curves/meltCurve_Q13546_RIPK1.pdf</v>
      </c>
    </row>
    <row r="3155" spans="1:28" x14ac:dyDescent="0.25">
      <c r="A3155" t="s">
        <v>3158</v>
      </c>
      <c r="B3155">
        <v>0.99930955844802105</v>
      </c>
      <c r="C3155">
        <v>0.88346630701303697</v>
      </c>
      <c r="D3155">
        <v>0.82691110481701302</v>
      </c>
      <c r="E3155">
        <v>0.73029446180090396</v>
      </c>
      <c r="F3155">
        <v>0.41074227564815702</v>
      </c>
      <c r="G3155">
        <v>0.20318482288839801</v>
      </c>
      <c r="H3155">
        <v>0.132412724910902</v>
      </c>
      <c r="I3155">
        <v>0.118814312111663</v>
      </c>
      <c r="J3155">
        <v>0.110603057240702</v>
      </c>
      <c r="K3155">
        <v>7.9695337638936201E-2</v>
      </c>
      <c r="L3155">
        <v>786.85133547712496</v>
      </c>
      <c r="M3155">
        <v>15.247236595268999</v>
      </c>
      <c r="N3155">
        <v>52.053435072902801</v>
      </c>
      <c r="O3155">
        <v>50.742891574758602</v>
      </c>
      <c r="P3155">
        <v>-7.0514617547047395E-2</v>
      </c>
      <c r="Q3155">
        <v>6.1396945100936802E-2</v>
      </c>
      <c r="R3155">
        <v>0.98508079472173404</v>
      </c>
      <c r="S3155" t="s">
        <v>9771</v>
      </c>
      <c r="T3155" t="s">
        <v>13232</v>
      </c>
      <c r="U3155" t="s">
        <v>13232</v>
      </c>
      <c r="V3155" t="s">
        <v>13232</v>
      </c>
      <c r="W3155" t="s">
        <v>16332</v>
      </c>
      <c r="X3155">
        <v>23</v>
      </c>
      <c r="Y3155" t="s">
        <v>22788</v>
      </c>
      <c r="Z3155" t="s">
        <v>29286</v>
      </c>
      <c r="AA3155">
        <v>0.44523818135224891</v>
      </c>
      <c r="AB3155" t="str">
        <f>HYPERLINK("Melting_Curves/meltCurve_Q13547_HDAC1.pdf", "Melting_Curves/meltCurve_Q13547_HDAC1.pdf")</f>
        <v>Melting_Curves/meltCurve_Q13547_HDAC1.pdf</v>
      </c>
    </row>
    <row r="3156" spans="1:28" x14ac:dyDescent="0.25">
      <c r="A3156" t="s">
        <v>3159</v>
      </c>
      <c r="B3156">
        <v>0.99930955844802105</v>
      </c>
      <c r="C3156">
        <v>1.1444164142592601</v>
      </c>
      <c r="D3156">
        <v>1.1471654152966599</v>
      </c>
      <c r="E3156">
        <v>1.05741193794088</v>
      </c>
      <c r="F3156">
        <v>0.92315540183086897</v>
      </c>
      <c r="G3156">
        <v>0.38448523142899099</v>
      </c>
      <c r="H3156">
        <v>0.197189373702438</v>
      </c>
      <c r="I3156">
        <v>0.15354258486671901</v>
      </c>
      <c r="J3156">
        <v>0.13191201336288599</v>
      </c>
      <c r="K3156">
        <v>0.10118277534527099</v>
      </c>
      <c r="L3156">
        <v>2410.2020875973699</v>
      </c>
      <c r="M3156">
        <v>43.1609517572602</v>
      </c>
      <c r="N3156">
        <v>56.263476444145802</v>
      </c>
      <c r="O3156">
        <v>55.722694126107001</v>
      </c>
      <c r="P3156">
        <v>-0.166903645262827</v>
      </c>
      <c r="Q3156">
        <v>0.138081145456423</v>
      </c>
      <c r="R3156">
        <v>0.97447333985394602</v>
      </c>
      <c r="S3156" t="s">
        <v>9772</v>
      </c>
      <c r="T3156" t="s">
        <v>13232</v>
      </c>
      <c r="U3156" t="s">
        <v>13232</v>
      </c>
      <c r="V3156" t="s">
        <v>13232</v>
      </c>
      <c r="W3156" t="s">
        <v>16333</v>
      </c>
      <c r="X3156">
        <v>13</v>
      </c>
      <c r="Y3156" t="s">
        <v>22789</v>
      </c>
      <c r="Z3156" t="s">
        <v>29287</v>
      </c>
      <c r="AA3156">
        <v>0.59608193855080527</v>
      </c>
      <c r="AB3156" t="str">
        <f>HYPERLINK("Melting_Curves/meltCurve_Q13555_10_CAMK2G.pdf", "Melting_Curves/meltCurve_Q13555_10_CAMK2G.pdf")</f>
        <v>Melting_Curves/meltCurve_Q13555_10_CAMK2G.pdf</v>
      </c>
    </row>
    <row r="3157" spans="1:28" x14ac:dyDescent="0.25">
      <c r="A3157" t="s">
        <v>3160</v>
      </c>
      <c r="B3157">
        <v>0.99930955844802105</v>
      </c>
      <c r="C3157">
        <v>0.91447881964580702</v>
      </c>
      <c r="D3157">
        <v>0.42905102002656198</v>
      </c>
      <c r="E3157">
        <v>0.87275160238949301</v>
      </c>
      <c r="F3157">
        <v>0.78159125642452099</v>
      </c>
      <c r="G3157">
        <v>0.43906066204008898</v>
      </c>
      <c r="H3157">
        <v>0.1388122724001</v>
      </c>
      <c r="I3157">
        <v>9.6618179774649801E-2</v>
      </c>
      <c r="J3157">
        <v>7.9418086582242503E-2</v>
      </c>
      <c r="K3157">
        <v>6.0355671068765902E-2</v>
      </c>
      <c r="L3157">
        <v>566.32493068693304</v>
      </c>
      <c r="M3157">
        <v>10.374074166421099</v>
      </c>
      <c r="N3157">
        <v>54.590406914191298</v>
      </c>
      <c r="O3157">
        <v>52.678778797463302</v>
      </c>
      <c r="P3157">
        <v>-4.92535053740496E-2</v>
      </c>
      <c r="Q3157">
        <v>0</v>
      </c>
      <c r="R3157">
        <v>0.77901433531431197</v>
      </c>
      <c r="S3157" t="s">
        <v>9773</v>
      </c>
      <c r="T3157" t="s">
        <v>13232</v>
      </c>
      <c r="U3157" t="s">
        <v>13232</v>
      </c>
      <c r="V3157" t="s">
        <v>13232</v>
      </c>
      <c r="W3157" t="s">
        <v>16334</v>
      </c>
      <c r="X3157">
        <v>19</v>
      </c>
      <c r="Y3157" t="s">
        <v>22790</v>
      </c>
      <c r="Z3157" t="s">
        <v>29288</v>
      </c>
      <c r="AA3157">
        <v>0.51349468022639011</v>
      </c>
      <c r="AB3157" t="str">
        <f>HYPERLINK("Melting_Curves/meltCurve_Q13557_8_CAMK2D.pdf", "Melting_Curves/meltCurve_Q13557_8_CAMK2D.pdf")</f>
        <v>Melting_Curves/meltCurve_Q13557_8_CAMK2D.pdf</v>
      </c>
    </row>
    <row r="3158" spans="1:28" x14ac:dyDescent="0.25">
      <c r="A3158" t="s">
        <v>3161</v>
      </c>
      <c r="B3158">
        <v>0.99930955844802105</v>
      </c>
      <c r="C3158">
        <v>0.93122174772954502</v>
      </c>
      <c r="D3158">
        <v>0.97508388975233995</v>
      </c>
      <c r="E3158">
        <v>0.90172556590764996</v>
      </c>
      <c r="F3158">
        <v>0.56156114507895705</v>
      </c>
      <c r="G3158">
        <v>0.35025014662843601</v>
      </c>
      <c r="H3158">
        <v>0.22234717716420799</v>
      </c>
      <c r="I3158">
        <v>0.203127551482537</v>
      </c>
      <c r="J3158">
        <v>0.18125143181269701</v>
      </c>
      <c r="K3158">
        <v>0.155578773113205</v>
      </c>
      <c r="L3158">
        <v>1264.8618622661299</v>
      </c>
      <c r="M3158">
        <v>23.772480932053401</v>
      </c>
      <c r="N3158">
        <v>54.212841133484403</v>
      </c>
      <c r="O3158">
        <v>52.834740472680899</v>
      </c>
      <c r="P3158">
        <v>-9.2427389786026895E-2</v>
      </c>
      <c r="Q3158">
        <v>0.17832742505569399</v>
      </c>
      <c r="R3158">
        <v>0.99112066230224505</v>
      </c>
      <c r="S3158" t="s">
        <v>9774</v>
      </c>
      <c r="T3158" t="s">
        <v>13232</v>
      </c>
      <c r="U3158" t="s">
        <v>13232</v>
      </c>
      <c r="V3158" t="s">
        <v>13232</v>
      </c>
      <c r="W3158" t="s">
        <v>16335</v>
      </c>
      <c r="X3158">
        <v>25</v>
      </c>
      <c r="Y3158" t="s">
        <v>22791</v>
      </c>
      <c r="Z3158" t="s">
        <v>29289</v>
      </c>
      <c r="AA3158">
        <v>0.54836991570038296</v>
      </c>
      <c r="AB3158" t="str">
        <f>HYPERLINK("Melting_Curves/meltCurve_Q13561_DCTN2.pdf", "Melting_Curves/meltCurve_Q13561_DCTN2.pdf")</f>
        <v>Melting_Curves/meltCurve_Q13561_DCTN2.pdf</v>
      </c>
    </row>
    <row r="3159" spans="1:28" x14ac:dyDescent="0.25">
      <c r="A3159" t="s">
        <v>3162</v>
      </c>
      <c r="B3159">
        <v>0.99930955844802105</v>
      </c>
      <c r="C3159">
        <v>0.95411117718280603</v>
      </c>
      <c r="D3159">
        <v>0.87844197841151805</v>
      </c>
      <c r="E3159">
        <v>0.77293821305084698</v>
      </c>
      <c r="F3159">
        <v>0.36789073889233997</v>
      </c>
      <c r="G3159">
        <v>0.18250087728799</v>
      </c>
      <c r="H3159">
        <v>9.5705039096985106E-2</v>
      </c>
      <c r="I3159">
        <v>8.1443215333047006E-2</v>
      </c>
      <c r="J3159">
        <v>7.5174239545107199E-2</v>
      </c>
      <c r="K3159">
        <v>5.34618918721926E-2</v>
      </c>
      <c r="L3159">
        <v>1189.1622170008</v>
      </c>
      <c r="M3159">
        <v>22.963803696726099</v>
      </c>
      <c r="N3159">
        <v>52.098603255465399</v>
      </c>
      <c r="O3159">
        <v>51.3962968892303</v>
      </c>
      <c r="P3159">
        <v>-0.10447437937164999</v>
      </c>
      <c r="Q3159">
        <v>6.4702842476564604E-2</v>
      </c>
      <c r="R3159">
        <v>0.99150740836052498</v>
      </c>
      <c r="S3159" t="s">
        <v>9775</v>
      </c>
      <c r="T3159" t="s">
        <v>13232</v>
      </c>
      <c r="U3159" t="s">
        <v>13232</v>
      </c>
      <c r="V3159" t="s">
        <v>13232</v>
      </c>
      <c r="W3159" t="s">
        <v>16336</v>
      </c>
      <c r="X3159">
        <v>22</v>
      </c>
      <c r="Y3159" t="s">
        <v>22792</v>
      </c>
      <c r="Z3159" t="s">
        <v>29290</v>
      </c>
      <c r="AA3159">
        <v>0.44211946536317909</v>
      </c>
      <c r="AB3159" t="str">
        <f>HYPERLINK("Melting_Curves/meltCurve_Q13564_2_NAE1.pdf", "Melting_Curves/meltCurve_Q13564_2_NAE1.pdf")</f>
        <v>Melting_Curves/meltCurve_Q13564_2_NAE1.pdf</v>
      </c>
    </row>
    <row r="3160" spans="1:28" x14ac:dyDescent="0.25">
      <c r="A3160" t="s">
        <v>3163</v>
      </c>
      <c r="B3160">
        <v>0.99930955844802105</v>
      </c>
      <c r="C3160">
        <v>0.94579910127813904</v>
      </c>
      <c r="D3160">
        <v>0.84498388709696304</v>
      </c>
      <c r="E3160">
        <v>0.69677605910968599</v>
      </c>
      <c r="F3160">
        <v>0.51958299538095398</v>
      </c>
      <c r="G3160">
        <v>0.41180237337578202</v>
      </c>
      <c r="H3160">
        <v>0.33565175900546701</v>
      </c>
      <c r="I3160">
        <v>0.29611865078299598</v>
      </c>
      <c r="J3160">
        <v>0.246196620452132</v>
      </c>
      <c r="K3160">
        <v>0.19049547166852199</v>
      </c>
      <c r="L3160">
        <v>589.53741519045195</v>
      </c>
      <c r="M3160">
        <v>11.316608040518799</v>
      </c>
      <c r="N3160">
        <v>54.274966158494998</v>
      </c>
      <c r="O3160">
        <v>50.547684154726298</v>
      </c>
      <c r="P3160">
        <v>-4.5761728666821003E-2</v>
      </c>
      <c r="Q3160">
        <v>0.18263490812948699</v>
      </c>
      <c r="R3160">
        <v>0.99474658649629299</v>
      </c>
      <c r="S3160" t="s">
        <v>9776</v>
      </c>
      <c r="T3160" t="s">
        <v>13232</v>
      </c>
      <c r="U3160" t="s">
        <v>13232</v>
      </c>
      <c r="V3160" t="s">
        <v>13232</v>
      </c>
      <c r="W3160" t="s">
        <v>16337</v>
      </c>
      <c r="X3160">
        <v>4</v>
      </c>
      <c r="Y3160" t="s">
        <v>22793</v>
      </c>
      <c r="Z3160" t="s">
        <v>29291</v>
      </c>
      <c r="AA3160">
        <v>0.53888831026995543</v>
      </c>
      <c r="AB3160" t="str">
        <f>HYPERLINK("Melting_Curves/meltCurve_Q13572_ITPK1.pdf", "Melting_Curves/meltCurve_Q13572_ITPK1.pdf")</f>
        <v>Melting_Curves/meltCurve_Q13572_ITPK1.pdf</v>
      </c>
    </row>
    <row r="3161" spans="1:28" x14ac:dyDescent="0.25">
      <c r="A3161" t="s">
        <v>3164</v>
      </c>
      <c r="B3161">
        <v>0.99930955844802105</v>
      </c>
      <c r="C3161">
        <v>1.0387376563280699</v>
      </c>
      <c r="D3161">
        <v>1.05387349433406</v>
      </c>
      <c r="E3161">
        <v>0.97294864125945302</v>
      </c>
      <c r="F3161">
        <v>0.80883403395897702</v>
      </c>
      <c r="G3161">
        <v>0.66761702711401405</v>
      </c>
      <c r="H3161">
        <v>0.60604598471801396</v>
      </c>
      <c r="I3161">
        <v>0.67070096751132902</v>
      </c>
      <c r="J3161">
        <v>0.61559492324373399</v>
      </c>
      <c r="K3161">
        <v>0.498620610831781</v>
      </c>
      <c r="L3161">
        <v>1531.1423784023</v>
      </c>
      <c r="M3161">
        <v>28.5835024142382</v>
      </c>
      <c r="O3161">
        <v>53.307232221544297</v>
      </c>
      <c r="P3161">
        <v>-5.4381101023769002E-2</v>
      </c>
      <c r="Q3161">
        <v>0.59432798069579496</v>
      </c>
      <c r="R3161">
        <v>0.94670981750419803</v>
      </c>
      <c r="S3161" t="s">
        <v>9777</v>
      </c>
      <c r="T3161" t="s">
        <v>13232</v>
      </c>
      <c r="U3161" t="s">
        <v>13232</v>
      </c>
      <c r="V3161" t="s">
        <v>13232</v>
      </c>
      <c r="W3161" t="s">
        <v>13893</v>
      </c>
      <c r="X3161">
        <v>30</v>
      </c>
      <c r="Y3161" t="s">
        <v>20432</v>
      </c>
      <c r="Z3161" t="s">
        <v>29292</v>
      </c>
      <c r="AA3161">
        <v>0.78070168627859937</v>
      </c>
      <c r="AB3161" t="str">
        <f>HYPERLINK("Melting_Curves/meltCurve_Q13573_SNW1.pdf", "Melting_Curves/meltCurve_Q13573_SNW1.pdf")</f>
        <v>Melting_Curves/meltCurve_Q13573_SNW1.pdf</v>
      </c>
    </row>
    <row r="3162" spans="1:28" x14ac:dyDescent="0.25">
      <c r="A3162" t="s">
        <v>3165</v>
      </c>
      <c r="B3162">
        <v>0.99930955844802105</v>
      </c>
      <c r="C3162">
        <v>0.98552272957797504</v>
      </c>
      <c r="D3162">
        <v>0.68467208505870103</v>
      </c>
      <c r="E3162">
        <v>0.428551629277866</v>
      </c>
      <c r="F3162">
        <v>0.19340156663777799</v>
      </c>
      <c r="G3162">
        <v>0.125745349530995</v>
      </c>
      <c r="H3162">
        <v>7.8567158545778601E-2</v>
      </c>
      <c r="I3162">
        <v>6.5259317510703393E-2</v>
      </c>
      <c r="J3162">
        <v>5.8949093074053299E-2</v>
      </c>
      <c r="K3162">
        <v>4.36758042476241E-2</v>
      </c>
      <c r="L3162">
        <v>894.39070619869904</v>
      </c>
      <c r="M3162">
        <v>18.465061337217001</v>
      </c>
      <c r="N3162">
        <v>48.739300417013602</v>
      </c>
      <c r="O3162">
        <v>47.879543929996103</v>
      </c>
      <c r="P3162">
        <v>-9.1200304822657702E-2</v>
      </c>
      <c r="Q3162">
        <v>5.4119784343243202E-2</v>
      </c>
      <c r="R3162">
        <v>0.99264645204846202</v>
      </c>
      <c r="S3162" t="s">
        <v>9778</v>
      </c>
      <c r="T3162" t="s">
        <v>13232</v>
      </c>
      <c r="U3162" t="s">
        <v>13232</v>
      </c>
      <c r="V3162" t="s">
        <v>13232</v>
      </c>
      <c r="W3162" t="s">
        <v>16338</v>
      </c>
      <c r="X3162">
        <v>76</v>
      </c>
      <c r="Y3162" t="s">
        <v>22794</v>
      </c>
      <c r="Z3162" t="s">
        <v>29293</v>
      </c>
      <c r="AA3162">
        <v>0.33586755205203372</v>
      </c>
      <c r="AB3162" t="str">
        <f>HYPERLINK("Melting_Curves/meltCurve_Q13576_IQGAP2.pdf", "Melting_Curves/meltCurve_Q13576_IQGAP2.pdf")</f>
        <v>Melting_Curves/meltCurve_Q13576_IQGAP2.pdf</v>
      </c>
    </row>
    <row r="3163" spans="1:28" x14ac:dyDescent="0.25">
      <c r="A3163" t="s">
        <v>3166</v>
      </c>
      <c r="B3163">
        <v>0.99930955844802105</v>
      </c>
      <c r="C3163">
        <v>1.1003451186681199</v>
      </c>
      <c r="D3163">
        <v>1.0901660786946099</v>
      </c>
      <c r="E3163">
        <v>1.1135888025788301</v>
      </c>
      <c r="F3163">
        <v>1.00562522972315</v>
      </c>
      <c r="G3163">
        <v>0.96748214077492301</v>
      </c>
      <c r="H3163">
        <v>1.09758343982074</v>
      </c>
      <c r="I3163">
        <v>1.2812903227689001</v>
      </c>
      <c r="J3163">
        <v>1.3263807451459999</v>
      </c>
      <c r="K3163">
        <v>1.0383066926937701</v>
      </c>
      <c r="L3163">
        <v>225.31149363664801</v>
      </c>
      <c r="M3163">
        <v>2.6667141080232102</v>
      </c>
      <c r="O3163">
        <v>58.879315160161802</v>
      </c>
      <c r="P3163">
        <v>5.9048120427992396E-3</v>
      </c>
      <c r="Q3163">
        <v>1.5</v>
      </c>
      <c r="R3163">
        <v>0.199769161432161</v>
      </c>
      <c r="S3163" t="s">
        <v>9779</v>
      </c>
      <c r="T3163" t="s">
        <v>13232</v>
      </c>
      <c r="U3163" t="s">
        <v>13232</v>
      </c>
      <c r="V3163" t="s">
        <v>13232</v>
      </c>
      <c r="W3163" t="s">
        <v>16339</v>
      </c>
      <c r="X3163">
        <v>16</v>
      </c>
      <c r="Y3163" t="s">
        <v>22795</v>
      </c>
      <c r="Z3163" t="s">
        <v>29294</v>
      </c>
      <c r="AA3163">
        <v>1.0987973898005901</v>
      </c>
      <c r="AB3163" t="str">
        <f>HYPERLINK("Melting_Curves/meltCurve_Q13586_STIM1.pdf", "Melting_Curves/meltCurve_Q13586_STIM1.pdf")</f>
        <v>Melting_Curves/meltCurve_Q13586_STIM1.pdf</v>
      </c>
    </row>
    <row r="3164" spans="1:28" x14ac:dyDescent="0.25">
      <c r="A3164" t="s">
        <v>3167</v>
      </c>
      <c r="B3164">
        <v>0.99930955844802105</v>
      </c>
      <c r="C3164">
        <v>1.17946933836352</v>
      </c>
      <c r="D3164">
        <v>0.81217910314127295</v>
      </c>
      <c r="E3164">
        <v>0.79504960064127905</v>
      </c>
      <c r="F3164">
        <v>0.44150317784419402</v>
      </c>
      <c r="G3164">
        <v>0.34101139072244802</v>
      </c>
      <c r="H3164">
        <v>0.29048452769794603</v>
      </c>
      <c r="I3164">
        <v>0.29032517808548203</v>
      </c>
      <c r="J3164">
        <v>0.27907113224470798</v>
      </c>
      <c r="K3164">
        <v>0.23588686339999501</v>
      </c>
      <c r="L3164">
        <v>1179.3230377472801</v>
      </c>
      <c r="M3164">
        <v>23.063895979973999</v>
      </c>
      <c r="N3164">
        <v>52.868622181290199</v>
      </c>
      <c r="O3164">
        <v>50.753107879280797</v>
      </c>
      <c r="P3164">
        <v>-8.3444704525207303E-2</v>
      </c>
      <c r="Q3164">
        <v>0.265518666555637</v>
      </c>
      <c r="R3164">
        <v>0.94236676783051798</v>
      </c>
      <c r="S3164" t="s">
        <v>9780</v>
      </c>
      <c r="T3164" t="s">
        <v>13232</v>
      </c>
      <c r="U3164" t="s">
        <v>13232</v>
      </c>
      <c r="V3164" t="s">
        <v>13232</v>
      </c>
      <c r="W3164" t="s">
        <v>16340</v>
      </c>
      <c r="X3164">
        <v>24</v>
      </c>
      <c r="Y3164" t="s">
        <v>22796</v>
      </c>
      <c r="Z3164" t="s">
        <v>29295</v>
      </c>
      <c r="AA3164">
        <v>0.5458561263406293</v>
      </c>
      <c r="AB3164" t="str">
        <f>HYPERLINK("Melting_Curves/meltCurve_Q13596_SNX1.pdf", "Melting_Curves/meltCurve_Q13596_SNX1.pdf")</f>
        <v>Melting_Curves/meltCurve_Q13596_SNX1.pdf</v>
      </c>
    </row>
    <row r="3165" spans="1:28" x14ac:dyDescent="0.25">
      <c r="A3165" t="s">
        <v>3168</v>
      </c>
      <c r="B3165">
        <v>0.99930955844802105</v>
      </c>
      <c r="C3165">
        <v>0.98446883008786301</v>
      </c>
      <c r="D3165">
        <v>1.0285566491042699</v>
      </c>
      <c r="E3165">
        <v>0.90916608866688198</v>
      </c>
      <c r="F3165">
        <v>0.78279886106991003</v>
      </c>
      <c r="G3165">
        <v>0.70048114447167398</v>
      </c>
      <c r="H3165">
        <v>0.679052093228801</v>
      </c>
      <c r="I3165">
        <v>0.73249533822857904</v>
      </c>
      <c r="J3165">
        <v>0.70085375709217301</v>
      </c>
      <c r="K3165">
        <v>0.61098782538707197</v>
      </c>
      <c r="L3165">
        <v>1600.1262606016701</v>
      </c>
      <c r="M3165">
        <v>30.970443741974002</v>
      </c>
      <c r="O3165">
        <v>51.452267609241098</v>
      </c>
      <c r="P3165">
        <v>-4.8061181744340202E-2</v>
      </c>
      <c r="Q3165">
        <v>0.68061908202862398</v>
      </c>
      <c r="R3165">
        <v>0.95535880702661802</v>
      </c>
      <c r="S3165" t="s">
        <v>9781</v>
      </c>
      <c r="T3165" t="s">
        <v>13232</v>
      </c>
      <c r="U3165" t="s">
        <v>13232</v>
      </c>
      <c r="V3165" t="s">
        <v>13232</v>
      </c>
      <c r="W3165" t="s">
        <v>16341</v>
      </c>
      <c r="X3165">
        <v>7</v>
      </c>
      <c r="Y3165" t="s">
        <v>22797</v>
      </c>
      <c r="Z3165" t="s">
        <v>29296</v>
      </c>
      <c r="AA3165">
        <v>0.80672333949590846</v>
      </c>
      <c r="AB3165" t="str">
        <f>HYPERLINK("Melting_Curves/meltCurve_Q13601_2_KRR1.pdf", "Melting_Curves/meltCurve_Q13601_2_KRR1.pdf")</f>
        <v>Melting_Curves/meltCurve_Q13601_2_KRR1.pdf</v>
      </c>
    </row>
    <row r="3166" spans="1:28" x14ac:dyDescent="0.25">
      <c r="A3166" t="s">
        <v>3169</v>
      </c>
      <c r="B3166">
        <v>0.99930955844802105</v>
      </c>
      <c r="C3166">
        <v>1.0788143789593201</v>
      </c>
      <c r="D3166">
        <v>1.0713692863300099</v>
      </c>
      <c r="E3166">
        <v>1.0759872535849799</v>
      </c>
      <c r="F3166">
        <v>1.0640462985524699</v>
      </c>
      <c r="G3166">
        <v>0.84932453701877197</v>
      </c>
      <c r="H3166">
        <v>0.50084960385301303</v>
      </c>
      <c r="I3166">
        <v>0.26504121228321997</v>
      </c>
      <c r="J3166">
        <v>0.17917036993403199</v>
      </c>
      <c r="K3166">
        <v>0.143765006093757</v>
      </c>
      <c r="L3166">
        <v>1822.02710741857</v>
      </c>
      <c r="M3166">
        <v>30.210699289958299</v>
      </c>
      <c r="N3166">
        <v>60.949355731706902</v>
      </c>
      <c r="O3166">
        <v>60.048249126674598</v>
      </c>
      <c r="P3166">
        <v>-0.10871177767861399</v>
      </c>
      <c r="Q3166">
        <v>0.13568229064197601</v>
      </c>
      <c r="R3166">
        <v>0.98373956360283299</v>
      </c>
      <c r="S3166" t="s">
        <v>9782</v>
      </c>
      <c r="T3166" t="s">
        <v>13232</v>
      </c>
      <c r="U3166" t="s">
        <v>13232</v>
      </c>
      <c r="V3166" t="s">
        <v>13232</v>
      </c>
      <c r="W3166" t="s">
        <v>16342</v>
      </c>
      <c r="X3166">
        <v>13</v>
      </c>
      <c r="Y3166" t="s">
        <v>22798</v>
      </c>
      <c r="Z3166" t="s">
        <v>29297</v>
      </c>
      <c r="AA3166">
        <v>0.72592850351621407</v>
      </c>
      <c r="AB3166" t="str">
        <f>HYPERLINK("Melting_Curves/meltCurve_Q13610_PWP1.pdf", "Melting_Curves/meltCurve_Q13610_PWP1.pdf")</f>
        <v>Melting_Curves/meltCurve_Q13610_PWP1.pdf</v>
      </c>
    </row>
    <row r="3167" spans="1:28" x14ac:dyDescent="0.25">
      <c r="A3167" t="s">
        <v>3170</v>
      </c>
      <c r="B3167">
        <v>0.99930955844802105</v>
      </c>
      <c r="C3167">
        <v>0.98861908014383004</v>
      </c>
      <c r="D3167">
        <v>0.93570633560203498</v>
      </c>
      <c r="E3167">
        <v>0.59723409963329399</v>
      </c>
      <c r="F3167">
        <v>0.31101575575361101</v>
      </c>
      <c r="G3167">
        <v>0.233425811384284</v>
      </c>
      <c r="H3167">
        <v>0.15779610262649901</v>
      </c>
      <c r="I3167">
        <v>0.1360973661371</v>
      </c>
      <c r="J3167">
        <v>0.11475731989118899</v>
      </c>
      <c r="K3167">
        <v>9.2434631952198601E-2</v>
      </c>
      <c r="L3167">
        <v>1185.6537228070799</v>
      </c>
      <c r="M3167">
        <v>23.542692858154599</v>
      </c>
      <c r="N3167">
        <v>50.999641785323099</v>
      </c>
      <c r="O3167">
        <v>50.002715881138201</v>
      </c>
      <c r="P3167">
        <v>-0.10269866273248</v>
      </c>
      <c r="Q3167">
        <v>0.12752133781033101</v>
      </c>
      <c r="R3167">
        <v>0.99582744309667204</v>
      </c>
      <c r="S3167" t="s">
        <v>9783</v>
      </c>
      <c r="T3167" t="s">
        <v>13232</v>
      </c>
      <c r="U3167" t="s">
        <v>13232</v>
      </c>
      <c r="V3167" t="s">
        <v>13232</v>
      </c>
      <c r="W3167" t="s">
        <v>16343</v>
      </c>
      <c r="X3167">
        <v>13</v>
      </c>
      <c r="Y3167" t="s">
        <v>22799</v>
      </c>
      <c r="Z3167" t="s">
        <v>29298</v>
      </c>
      <c r="AA3167">
        <v>0.43769160864289047</v>
      </c>
      <c r="AB3167" t="str">
        <f>HYPERLINK("Melting_Curves/meltCurve_Q13613_MTMR1.pdf", "Melting_Curves/meltCurve_Q13613_MTMR1.pdf")</f>
        <v>Melting_Curves/meltCurve_Q13613_MTMR1.pdf</v>
      </c>
    </row>
    <row r="3168" spans="1:28" x14ac:dyDescent="0.25">
      <c r="A3168" t="s">
        <v>3171</v>
      </c>
      <c r="B3168">
        <v>0.99930955844802105</v>
      </c>
      <c r="C3168">
        <v>0.95823762556081005</v>
      </c>
      <c r="D3168">
        <v>0.92072826327708501</v>
      </c>
      <c r="E3168">
        <v>0.81511683698742998</v>
      </c>
      <c r="F3168">
        <v>0.57937340361149403</v>
      </c>
      <c r="G3168">
        <v>0.33651430985887298</v>
      </c>
      <c r="H3168">
        <v>0.17031764965798701</v>
      </c>
      <c r="I3168">
        <v>0.13809767631504499</v>
      </c>
      <c r="J3168">
        <v>0.121621343846382</v>
      </c>
      <c r="K3168">
        <v>9.5806248204991701E-2</v>
      </c>
      <c r="L3168">
        <v>898.46282549908199</v>
      </c>
      <c r="M3168">
        <v>16.739614283988001</v>
      </c>
      <c r="N3168">
        <v>54.226940502014301</v>
      </c>
      <c r="O3168">
        <v>52.9244262888866</v>
      </c>
      <c r="P3168">
        <v>-7.2862184499358107E-2</v>
      </c>
      <c r="Q3168">
        <v>7.8608136846050697E-2</v>
      </c>
      <c r="R3168">
        <v>0.998045243704616</v>
      </c>
      <c r="S3168" t="s">
        <v>9784</v>
      </c>
      <c r="T3168" t="s">
        <v>13232</v>
      </c>
      <c r="U3168" t="s">
        <v>13232</v>
      </c>
      <c r="V3168" t="s">
        <v>13232</v>
      </c>
      <c r="W3168" t="s">
        <v>16344</v>
      </c>
      <c r="X3168">
        <v>11</v>
      </c>
      <c r="Y3168" t="s">
        <v>22800</v>
      </c>
      <c r="Z3168" t="s">
        <v>29299</v>
      </c>
      <c r="AA3168">
        <v>0.51509800545832152</v>
      </c>
      <c r="AB3168" t="str">
        <f>HYPERLINK("Melting_Curves/meltCurve_Q13614_MTMR2.pdf", "Melting_Curves/meltCurve_Q13614_MTMR2.pdf")</f>
        <v>Melting_Curves/meltCurve_Q13614_MTMR2.pdf</v>
      </c>
    </row>
    <row r="3169" spans="1:28" x14ac:dyDescent="0.25">
      <c r="A3169" t="s">
        <v>3172</v>
      </c>
      <c r="B3169">
        <v>0.99930955844802105</v>
      </c>
      <c r="C3169">
        <v>0.83470051357321096</v>
      </c>
      <c r="D3169">
        <v>0.88220261450626702</v>
      </c>
      <c r="E3169">
        <v>0.91304180475212005</v>
      </c>
      <c r="F3169">
        <v>0.90911853308478596</v>
      </c>
      <c r="G3169">
        <v>0.70490373907632697</v>
      </c>
      <c r="H3169">
        <v>0.295408566621778</v>
      </c>
      <c r="I3169">
        <v>0.1192901177344</v>
      </c>
      <c r="J3169">
        <v>8.7933061843128393E-2</v>
      </c>
      <c r="K3169">
        <v>7.2342836186946202E-2</v>
      </c>
      <c r="L3169">
        <v>1426.2060314268199</v>
      </c>
      <c r="M3169">
        <v>24.343540914954701</v>
      </c>
      <c r="N3169">
        <v>58.775925127981999</v>
      </c>
      <c r="O3169">
        <v>58.1955522413568</v>
      </c>
      <c r="P3169">
        <v>-0.10063479795412</v>
      </c>
      <c r="Q3169">
        <v>3.7705781056613298E-2</v>
      </c>
      <c r="R3169">
        <v>0.96426484776739996</v>
      </c>
      <c r="S3169" t="s">
        <v>9785</v>
      </c>
      <c r="T3169" t="s">
        <v>13232</v>
      </c>
      <c r="U3169" t="s">
        <v>13232</v>
      </c>
      <c r="V3169" t="s">
        <v>13232</v>
      </c>
      <c r="W3169" t="s">
        <v>16345</v>
      </c>
      <c r="X3169">
        <v>50</v>
      </c>
      <c r="Y3169" t="s">
        <v>22801</v>
      </c>
      <c r="Z3169" t="s">
        <v>29300</v>
      </c>
      <c r="AA3169">
        <v>0.64228629463544007</v>
      </c>
      <c r="AB3169" t="str">
        <f>HYPERLINK("Melting_Curves/meltCurve_Q13616_CUL1.pdf", "Melting_Curves/meltCurve_Q13616_CUL1.pdf")</f>
        <v>Melting_Curves/meltCurve_Q13616_CUL1.pdf</v>
      </c>
    </row>
    <row r="3170" spans="1:28" x14ac:dyDescent="0.25">
      <c r="A3170" t="s">
        <v>3173</v>
      </c>
      <c r="B3170">
        <v>0.99930955844802105</v>
      </c>
      <c r="C3170">
        <v>0.88046053855529405</v>
      </c>
      <c r="D3170">
        <v>0.92792275310418204</v>
      </c>
      <c r="E3170">
        <v>0.91516908821422405</v>
      </c>
      <c r="F3170">
        <v>0.71359505502795695</v>
      </c>
      <c r="G3170">
        <v>0.26499925532324797</v>
      </c>
      <c r="H3170">
        <v>0.12313850057846901</v>
      </c>
      <c r="I3170">
        <v>9.8567112775652596E-2</v>
      </c>
      <c r="J3170">
        <v>8.6620537341133702E-2</v>
      </c>
      <c r="K3170">
        <v>6.4499980602204895E-2</v>
      </c>
      <c r="L3170">
        <v>1498.6064241020499</v>
      </c>
      <c r="M3170">
        <v>27.549422168217401</v>
      </c>
      <c r="N3170">
        <v>54.718138883767303</v>
      </c>
      <c r="O3170">
        <v>54.112823084765502</v>
      </c>
      <c r="P3170">
        <v>-0.11777848940164699</v>
      </c>
      <c r="Q3170">
        <v>7.4642184234396294E-2</v>
      </c>
      <c r="R3170">
        <v>0.98721961330029595</v>
      </c>
      <c r="S3170" t="s">
        <v>9786</v>
      </c>
      <c r="T3170" t="s">
        <v>13232</v>
      </c>
      <c r="U3170" t="s">
        <v>13232</v>
      </c>
      <c r="V3170" t="s">
        <v>13232</v>
      </c>
      <c r="W3170" t="s">
        <v>16346</v>
      </c>
      <c r="X3170">
        <v>34</v>
      </c>
      <c r="Y3170" t="s">
        <v>22802</v>
      </c>
      <c r="Z3170" t="s">
        <v>29301</v>
      </c>
      <c r="AA3170">
        <v>0.5258941285410238</v>
      </c>
      <c r="AB3170" t="str">
        <f>HYPERLINK("Melting_Curves/meltCurve_Q13617_CUL2.pdf", "Melting_Curves/meltCurve_Q13617_CUL2.pdf")</f>
        <v>Melting_Curves/meltCurve_Q13617_CUL2.pdf</v>
      </c>
    </row>
    <row r="3171" spans="1:28" x14ac:dyDescent="0.25">
      <c r="A3171" t="s">
        <v>3174</v>
      </c>
      <c r="B3171">
        <v>0.99930955844802105</v>
      </c>
      <c r="C3171">
        <v>0.86415697513437895</v>
      </c>
      <c r="D3171">
        <v>0.89717273028475297</v>
      </c>
      <c r="E3171">
        <v>0.94956076280855695</v>
      </c>
      <c r="F3171">
        <v>0.92895495239046999</v>
      </c>
      <c r="G3171">
        <v>0.35969047612671301</v>
      </c>
      <c r="H3171">
        <v>0.13095589362201701</v>
      </c>
      <c r="I3171">
        <v>0.104714662498804</v>
      </c>
      <c r="J3171">
        <v>9.5696268492945394E-2</v>
      </c>
      <c r="K3171">
        <v>7.0849360905176906E-2</v>
      </c>
      <c r="L3171">
        <v>2377.9796902296798</v>
      </c>
      <c r="M3171">
        <v>42.5660727309603</v>
      </c>
      <c r="N3171">
        <v>56.134997118866501</v>
      </c>
      <c r="O3171">
        <v>55.7427069012328</v>
      </c>
      <c r="P3171">
        <v>-0.17326893988303901</v>
      </c>
      <c r="Q3171">
        <v>9.2378723401688498E-2</v>
      </c>
      <c r="R3171">
        <v>0.97969193751426897</v>
      </c>
      <c r="S3171" t="s">
        <v>9787</v>
      </c>
      <c r="T3171" t="s">
        <v>13232</v>
      </c>
      <c r="U3171" t="s">
        <v>13232</v>
      </c>
      <c r="V3171" t="s">
        <v>13232</v>
      </c>
      <c r="W3171" t="s">
        <v>16347</v>
      </c>
      <c r="X3171">
        <v>47</v>
      </c>
      <c r="Y3171" t="s">
        <v>22803</v>
      </c>
      <c r="Z3171" t="s">
        <v>29302</v>
      </c>
      <c r="AA3171">
        <v>0.57545802920035483</v>
      </c>
      <c r="AB3171" t="str">
        <f>HYPERLINK("Melting_Curves/meltCurve_Q13618_CUL3.pdf", "Melting_Curves/meltCurve_Q13618_CUL3.pdf")</f>
        <v>Melting_Curves/meltCurve_Q13618_CUL3.pdf</v>
      </c>
    </row>
    <row r="3172" spans="1:28" x14ac:dyDescent="0.25">
      <c r="A3172" t="s">
        <v>3175</v>
      </c>
      <c r="B3172">
        <v>0.99930955844802105</v>
      </c>
      <c r="C3172">
        <v>0.88334320319301196</v>
      </c>
      <c r="D3172">
        <v>0.87558145156814704</v>
      </c>
      <c r="E3172">
        <v>0.84081348317849802</v>
      </c>
      <c r="F3172">
        <v>0.54039141908959598</v>
      </c>
      <c r="G3172">
        <v>0.25234109187413101</v>
      </c>
      <c r="H3172">
        <v>0.14368400417430199</v>
      </c>
      <c r="I3172">
        <v>0.11782055827700701</v>
      </c>
      <c r="J3172">
        <v>0.101951625796082</v>
      </c>
      <c r="K3172">
        <v>7.0830395788543804E-2</v>
      </c>
      <c r="L3172">
        <v>987.83592896727703</v>
      </c>
      <c r="M3172">
        <v>18.5763289889105</v>
      </c>
      <c r="N3172">
        <v>53.5997072542159</v>
      </c>
      <c r="O3172">
        <v>52.572377500364603</v>
      </c>
      <c r="P3172">
        <v>-8.2323278204270905E-2</v>
      </c>
      <c r="Q3172">
        <v>6.8116835996240702E-2</v>
      </c>
      <c r="R3172">
        <v>0.98377573490478298</v>
      </c>
      <c r="S3172" t="s">
        <v>9788</v>
      </c>
      <c r="T3172" t="s">
        <v>13232</v>
      </c>
      <c r="U3172" t="s">
        <v>13232</v>
      </c>
      <c r="V3172" t="s">
        <v>13232</v>
      </c>
      <c r="W3172" t="s">
        <v>16348</v>
      </c>
      <c r="X3172">
        <v>33</v>
      </c>
      <c r="Y3172" t="s">
        <v>22804</v>
      </c>
      <c r="Z3172" t="s">
        <v>29303</v>
      </c>
      <c r="AA3172">
        <v>0.49189345042355809</v>
      </c>
      <c r="AB3172" t="str">
        <f>HYPERLINK("Melting_Curves/meltCurve_Q13619_CUL4A.pdf", "Melting_Curves/meltCurve_Q13619_CUL4A.pdf")</f>
        <v>Melting_Curves/meltCurve_Q13619_CUL4A.pdf</v>
      </c>
    </row>
    <row r="3173" spans="1:28" x14ac:dyDescent="0.25">
      <c r="A3173" t="s">
        <v>3176</v>
      </c>
      <c r="B3173">
        <v>0.99930955844802105</v>
      </c>
      <c r="C3173">
        <v>0.95342083005241696</v>
      </c>
      <c r="D3173">
        <v>0.96448031522168998</v>
      </c>
      <c r="E3173">
        <v>1.0416008078722101</v>
      </c>
      <c r="F3173">
        <v>0.99475136280366006</v>
      </c>
      <c r="G3173">
        <v>0.49890410988712403</v>
      </c>
      <c r="H3173">
        <v>0.18844746938780499</v>
      </c>
      <c r="I3173">
        <v>0.16891756109161399</v>
      </c>
      <c r="J3173">
        <v>0.148886825815607</v>
      </c>
      <c r="K3173">
        <v>0.120864925582674</v>
      </c>
      <c r="L3173">
        <v>3098.6922805284999</v>
      </c>
      <c r="M3173">
        <v>54.714672682187299</v>
      </c>
      <c r="N3173">
        <v>57.010438820589201</v>
      </c>
      <c r="O3173">
        <v>56.558159717258597</v>
      </c>
      <c r="P3173">
        <v>-0.20515749879128101</v>
      </c>
      <c r="Q3173">
        <v>0.151721240824646</v>
      </c>
      <c r="R3173">
        <v>0.99550541839016005</v>
      </c>
      <c r="S3173" t="s">
        <v>9789</v>
      </c>
      <c r="T3173" t="s">
        <v>13232</v>
      </c>
      <c r="U3173" t="s">
        <v>13232</v>
      </c>
      <c r="V3173" t="s">
        <v>13232</v>
      </c>
      <c r="W3173" t="s">
        <v>16349</v>
      </c>
      <c r="X3173">
        <v>64</v>
      </c>
      <c r="Y3173" t="s">
        <v>22805</v>
      </c>
      <c r="Z3173" t="s">
        <v>29304</v>
      </c>
      <c r="AA3173">
        <v>0.62382062678330463</v>
      </c>
      <c r="AB3173" t="str">
        <f>HYPERLINK("Melting_Curves/meltCurve_Q13620_1_CUL4B.pdf", "Melting_Curves/meltCurve_Q13620_1_CUL4B.pdf")</f>
        <v>Melting_Curves/meltCurve_Q13620_1_CUL4B.pdf</v>
      </c>
    </row>
    <row r="3174" spans="1:28" x14ac:dyDescent="0.25">
      <c r="A3174" t="s">
        <v>3177</v>
      </c>
      <c r="B3174">
        <v>0.99930955844802105</v>
      </c>
      <c r="C3174">
        <v>1.0914801515419701</v>
      </c>
      <c r="D3174">
        <v>1.06902259106585</v>
      </c>
      <c r="E3174">
        <v>1.0351974176725101</v>
      </c>
      <c r="F3174">
        <v>0.86093755759692203</v>
      </c>
      <c r="G3174">
        <v>0.64802519013172699</v>
      </c>
      <c r="H3174">
        <v>0.615128513573449</v>
      </c>
      <c r="I3174">
        <v>0.63029885878910796</v>
      </c>
      <c r="J3174">
        <v>0.594232372964693</v>
      </c>
      <c r="K3174">
        <v>0.51543382341817101</v>
      </c>
      <c r="L3174">
        <v>2132.905728449</v>
      </c>
      <c r="M3174">
        <v>39.400013533149298</v>
      </c>
      <c r="O3174">
        <v>53.995751780565101</v>
      </c>
      <c r="P3174">
        <v>-7.5047335103360494E-2</v>
      </c>
      <c r="Q3174">
        <v>0.58860640589998803</v>
      </c>
      <c r="R3174">
        <v>0.94930233365365702</v>
      </c>
      <c r="S3174" t="s">
        <v>9790</v>
      </c>
      <c r="T3174" t="s">
        <v>13232</v>
      </c>
      <c r="U3174" t="s">
        <v>13232</v>
      </c>
      <c r="V3174" t="s">
        <v>13232</v>
      </c>
      <c r="W3174" t="s">
        <v>16350</v>
      </c>
      <c r="X3174">
        <v>20</v>
      </c>
      <c r="Y3174" t="s">
        <v>22806</v>
      </c>
      <c r="Z3174" t="s">
        <v>29305</v>
      </c>
      <c r="AA3174">
        <v>0.78401955876239748</v>
      </c>
      <c r="AB3174" t="str">
        <f>HYPERLINK("Melting_Curves/meltCurve_Q13625_TP53BP2.pdf", "Melting_Curves/meltCurve_Q13625_TP53BP2.pdf")</f>
        <v>Melting_Curves/meltCurve_Q13625_TP53BP2.pdf</v>
      </c>
    </row>
    <row r="3175" spans="1:28" x14ac:dyDescent="0.25">
      <c r="A3175" t="s">
        <v>3178</v>
      </c>
      <c r="B3175">
        <v>0.99930955844802105</v>
      </c>
      <c r="C3175">
        <v>0.86933809580811205</v>
      </c>
      <c r="D3175">
        <v>0.86430072661151902</v>
      </c>
      <c r="E3175">
        <v>0.70151679487889995</v>
      </c>
      <c r="F3175">
        <v>0.30237645920633499</v>
      </c>
      <c r="G3175">
        <v>0.145344741376109</v>
      </c>
      <c r="H3175">
        <v>7.2939496423035599E-2</v>
      </c>
      <c r="I3175">
        <v>5.9969568586180098E-2</v>
      </c>
      <c r="J3175">
        <v>4.8020654539002602E-2</v>
      </c>
      <c r="K3175">
        <v>4.2307502112874699E-2</v>
      </c>
      <c r="L3175">
        <v>999.14030286775096</v>
      </c>
      <c r="M3175">
        <v>19.532540577282202</v>
      </c>
      <c r="N3175">
        <v>51.3353077442165</v>
      </c>
      <c r="O3175">
        <v>50.625486880123397</v>
      </c>
      <c r="P3175">
        <v>-9.3220629029847596E-2</v>
      </c>
      <c r="Q3175">
        <v>3.3577620140084002E-2</v>
      </c>
      <c r="R3175">
        <v>0.98426551923285599</v>
      </c>
      <c r="S3175" t="s">
        <v>9791</v>
      </c>
      <c r="T3175" t="s">
        <v>13232</v>
      </c>
      <c r="U3175" t="s">
        <v>13232</v>
      </c>
      <c r="V3175" t="s">
        <v>13232</v>
      </c>
      <c r="W3175" t="s">
        <v>16351</v>
      </c>
      <c r="X3175">
        <v>10</v>
      </c>
      <c r="Y3175" t="s">
        <v>22807</v>
      </c>
      <c r="Z3175" t="s">
        <v>29306</v>
      </c>
      <c r="AA3175">
        <v>0.406859434239218</v>
      </c>
      <c r="AB3175" t="str">
        <f>HYPERLINK("Melting_Curves/meltCurve_Q13627_3_DYRK1A.pdf", "Melting_Curves/meltCurve_Q13627_3_DYRK1A.pdf")</f>
        <v>Melting_Curves/meltCurve_Q13627_3_DYRK1A.pdf</v>
      </c>
    </row>
    <row r="3176" spans="1:28" x14ac:dyDescent="0.25">
      <c r="A3176" t="s">
        <v>3179</v>
      </c>
      <c r="B3176">
        <v>0.99930955844802105</v>
      </c>
      <c r="C3176">
        <v>1.0877625575912899</v>
      </c>
      <c r="D3176">
        <v>1.0745759839773601</v>
      </c>
      <c r="E3176">
        <v>1.0110935715610301</v>
      </c>
      <c r="F3176">
        <v>0.82122113372212702</v>
      </c>
      <c r="G3176">
        <v>0.259126016540074</v>
      </c>
      <c r="H3176">
        <v>0.11343077584578901</v>
      </c>
      <c r="I3176">
        <v>9.0887647438232397E-2</v>
      </c>
      <c r="J3176">
        <v>8.5537688121173794E-2</v>
      </c>
      <c r="K3176">
        <v>6.2218396597142102E-2</v>
      </c>
      <c r="L3176">
        <v>2185.6732414368798</v>
      </c>
      <c r="M3176">
        <v>39.780215175478197</v>
      </c>
      <c r="N3176">
        <v>55.193876752848603</v>
      </c>
      <c r="O3176">
        <v>54.8054274285562</v>
      </c>
      <c r="P3176">
        <v>-0.16649316645560999</v>
      </c>
      <c r="Q3176">
        <v>8.2487642921403398E-2</v>
      </c>
      <c r="R3176">
        <v>0.99255717023286205</v>
      </c>
      <c r="S3176" t="s">
        <v>9792</v>
      </c>
      <c r="T3176" t="s">
        <v>13232</v>
      </c>
      <c r="U3176" t="s">
        <v>13232</v>
      </c>
      <c r="V3176" t="s">
        <v>13232</v>
      </c>
      <c r="W3176" t="s">
        <v>16352</v>
      </c>
      <c r="X3176">
        <v>14</v>
      </c>
      <c r="Y3176" t="s">
        <v>22808</v>
      </c>
      <c r="Z3176" t="s">
        <v>29307</v>
      </c>
      <c r="AA3176">
        <v>0.54303320012144074</v>
      </c>
      <c r="AB3176" t="str">
        <f>HYPERLINK("Melting_Curves/meltCurve_Q13630_TSTA3.pdf", "Melting_Curves/meltCurve_Q13630_TSTA3.pdf")</f>
        <v>Melting_Curves/meltCurve_Q13630_TSTA3.pdf</v>
      </c>
    </row>
    <row r="3177" spans="1:28" x14ac:dyDescent="0.25">
      <c r="A3177" t="s">
        <v>3180</v>
      </c>
      <c r="B3177">
        <v>0.99930955844802105</v>
      </c>
      <c r="C3177">
        <v>0.93808571216826497</v>
      </c>
      <c r="D3177">
        <v>0.83587147876958101</v>
      </c>
      <c r="E3177">
        <v>0.76563538306200696</v>
      </c>
      <c r="F3177">
        <v>0.37924303793210301</v>
      </c>
      <c r="G3177">
        <v>0.16967003082965901</v>
      </c>
      <c r="H3177">
        <v>5.5879114911763401E-2</v>
      </c>
      <c r="I3177">
        <v>7.1900173376203497E-2</v>
      </c>
      <c r="J3177">
        <v>8.1040892943497297E-2</v>
      </c>
      <c r="K3177">
        <v>5.4796516509315302E-2</v>
      </c>
      <c r="L3177">
        <v>1054.1287332736099</v>
      </c>
      <c r="M3177">
        <v>20.352560039606399</v>
      </c>
      <c r="N3177">
        <v>52.036068273970102</v>
      </c>
      <c r="O3177">
        <v>51.301179549182699</v>
      </c>
      <c r="P3177">
        <v>-9.4694642275683596E-2</v>
      </c>
      <c r="Q3177">
        <v>4.5270124541504302E-2</v>
      </c>
      <c r="R3177">
        <v>0.98610493043603398</v>
      </c>
      <c r="S3177" t="s">
        <v>9793</v>
      </c>
      <c r="T3177" t="s">
        <v>13232</v>
      </c>
      <c r="U3177" t="s">
        <v>13232</v>
      </c>
      <c r="V3177" t="s">
        <v>13232</v>
      </c>
      <c r="W3177" t="s">
        <v>16353</v>
      </c>
      <c r="X3177">
        <v>2</v>
      </c>
      <c r="Y3177" t="s">
        <v>22809</v>
      </c>
      <c r="Z3177" t="s">
        <v>29308</v>
      </c>
      <c r="AA3177">
        <v>0.43339792737142002</v>
      </c>
      <c r="AB3177" t="str">
        <f>HYPERLINK("Melting_Curves/meltCurve_Q13636_RAB31.pdf", "Melting_Curves/meltCurve_Q13636_RAB31.pdf")</f>
        <v>Melting_Curves/meltCurve_Q13636_RAB31.pdf</v>
      </c>
    </row>
    <row r="3178" spans="1:28" x14ac:dyDescent="0.25">
      <c r="A3178" t="s">
        <v>3181</v>
      </c>
      <c r="B3178">
        <v>0.99930955844802105</v>
      </c>
      <c r="C3178">
        <v>1.07087925960065</v>
      </c>
      <c r="D3178">
        <v>0.93411481501132998</v>
      </c>
      <c r="E3178">
        <v>0.91746201619472101</v>
      </c>
      <c r="F3178">
        <v>0.47803720588656001</v>
      </c>
      <c r="G3178">
        <v>0.20592120904364</v>
      </c>
      <c r="H3178">
        <v>8.1074574061931207E-2</v>
      </c>
      <c r="I3178">
        <v>4.7253981305729401E-2</v>
      </c>
      <c r="J3178">
        <v>3.5112315346103998E-2</v>
      </c>
      <c r="K3178">
        <v>3.6798366344194602E-2</v>
      </c>
      <c r="L3178">
        <v>1553.2908440021699</v>
      </c>
      <c r="M3178">
        <v>29.3083854325115</v>
      </c>
      <c r="N3178">
        <v>53.188222126504101</v>
      </c>
      <c r="O3178">
        <v>52.753274781648898</v>
      </c>
      <c r="P3178">
        <v>-0.13198973512978901</v>
      </c>
      <c r="Q3178">
        <v>4.97134677867807E-2</v>
      </c>
      <c r="R3178">
        <v>0.99090552114819697</v>
      </c>
      <c r="S3178" t="s">
        <v>9794</v>
      </c>
      <c r="T3178" t="s">
        <v>13232</v>
      </c>
      <c r="U3178" t="s">
        <v>13232</v>
      </c>
      <c r="V3178" t="s">
        <v>13232</v>
      </c>
      <c r="W3178" t="s">
        <v>16354</v>
      </c>
      <c r="X3178">
        <v>5</v>
      </c>
      <c r="Y3178" t="s">
        <v>22810</v>
      </c>
      <c r="Z3178" t="s">
        <v>29309</v>
      </c>
      <c r="AA3178">
        <v>0.46789637643133958</v>
      </c>
      <c r="AB3178" t="str">
        <f>HYPERLINK("Melting_Curves/meltCurve_Q13637_RAB32.pdf", "Melting_Curves/meltCurve_Q13637_RAB32.pdf")</f>
        <v>Melting_Curves/meltCurve_Q13637_RAB32.pdf</v>
      </c>
    </row>
    <row r="3179" spans="1:28" x14ac:dyDescent="0.25">
      <c r="A3179" t="s">
        <v>3182</v>
      </c>
      <c r="B3179">
        <v>0.99930955844802105</v>
      </c>
      <c r="C3179">
        <v>1.1314856370297699</v>
      </c>
      <c r="D3179">
        <v>1.0632092052872799</v>
      </c>
      <c r="E3179">
        <v>0.99241413149107804</v>
      </c>
      <c r="F3179">
        <v>0.60873697999598597</v>
      </c>
      <c r="G3179">
        <v>0.56377110902663796</v>
      </c>
      <c r="H3179">
        <v>0.42412189610708501</v>
      </c>
      <c r="I3179">
        <v>0.40252187185847799</v>
      </c>
      <c r="J3179">
        <v>0.35733619410596701</v>
      </c>
      <c r="K3179">
        <v>0.28941691909219303</v>
      </c>
      <c r="L3179">
        <v>1252.70451526887</v>
      </c>
      <c r="M3179">
        <v>23.369193312194302</v>
      </c>
      <c r="N3179">
        <v>56.699485857644603</v>
      </c>
      <c r="O3179">
        <v>53.217055209130002</v>
      </c>
      <c r="P3179">
        <v>-7.0224039688806597E-2</v>
      </c>
      <c r="Q3179">
        <v>0.36034575526136597</v>
      </c>
      <c r="R3179">
        <v>0.94007393275379403</v>
      </c>
      <c r="S3179" t="s">
        <v>9795</v>
      </c>
      <c r="T3179" t="s">
        <v>13232</v>
      </c>
      <c r="U3179" t="s">
        <v>13232</v>
      </c>
      <c r="V3179" t="s">
        <v>13232</v>
      </c>
      <c r="W3179" t="s">
        <v>16355</v>
      </c>
      <c r="X3179">
        <v>12</v>
      </c>
      <c r="Y3179" t="s">
        <v>22811</v>
      </c>
      <c r="Z3179" t="s">
        <v>29310</v>
      </c>
      <c r="AA3179">
        <v>0.65711065873365537</v>
      </c>
      <c r="AB3179" t="str">
        <f>HYPERLINK("Melting_Curves/meltCurve_Q13643_FHL3.pdf", "Melting_Curves/meltCurve_Q13643_FHL3.pdf")</f>
        <v>Melting_Curves/meltCurve_Q13643_FHL3.pdf</v>
      </c>
    </row>
    <row r="3180" spans="1:28" x14ac:dyDescent="0.25">
      <c r="A3180" t="s">
        <v>3183</v>
      </c>
      <c r="B3180">
        <v>0.99930955844802105</v>
      </c>
      <c r="C3180">
        <v>0.94609372582264595</v>
      </c>
      <c r="D3180">
        <v>0.66975518592241401</v>
      </c>
      <c r="E3180">
        <v>0.404005822640437</v>
      </c>
      <c r="F3180">
        <v>0.265333966151102</v>
      </c>
      <c r="G3180">
        <v>0.22105815854137001</v>
      </c>
      <c r="H3180">
        <v>0.113292191368168</v>
      </c>
      <c r="I3180">
        <v>8.9348779670481507E-2</v>
      </c>
      <c r="J3180">
        <v>5.4168484355466298E-2</v>
      </c>
      <c r="K3180">
        <v>8.6828202523525605E-2</v>
      </c>
      <c r="L3180">
        <v>769.313351799457</v>
      </c>
      <c r="M3180">
        <v>15.9420454212942</v>
      </c>
      <c r="N3180">
        <v>48.8072776337766</v>
      </c>
      <c r="O3180">
        <v>47.5167116193509</v>
      </c>
      <c r="P3180">
        <v>-7.6981519613328095E-2</v>
      </c>
      <c r="Q3180">
        <v>8.2271404710034302E-2</v>
      </c>
      <c r="R3180">
        <v>0.98969473041710898</v>
      </c>
      <c r="S3180" t="s">
        <v>9796</v>
      </c>
      <c r="T3180" t="s">
        <v>13232</v>
      </c>
      <c r="U3180" t="s">
        <v>13232</v>
      </c>
      <c r="V3180" t="s">
        <v>13232</v>
      </c>
      <c r="W3180" t="s">
        <v>16356</v>
      </c>
      <c r="X3180">
        <v>3</v>
      </c>
      <c r="Y3180" t="s">
        <v>22812</v>
      </c>
      <c r="Z3180" t="s">
        <v>29311</v>
      </c>
      <c r="AA3180">
        <v>0.35554943106867332</v>
      </c>
      <c r="AB3180" t="str">
        <f>HYPERLINK("Melting_Curves/meltCurve_Q13686_ALKBH1.pdf", "Melting_Curves/meltCurve_Q13686_ALKBH1.pdf")</f>
        <v>Melting_Curves/meltCurve_Q13686_ALKBH1.pdf</v>
      </c>
    </row>
    <row r="3181" spans="1:28" x14ac:dyDescent="0.25">
      <c r="A3181" t="s">
        <v>3184</v>
      </c>
      <c r="B3181">
        <v>0.99930955844802105</v>
      </c>
      <c r="C3181">
        <v>0.79841260387806001</v>
      </c>
      <c r="D3181">
        <v>0.54056227876354801</v>
      </c>
      <c r="E3181">
        <v>0.70676340985927</v>
      </c>
      <c r="F3181">
        <v>0.35111913049163901</v>
      </c>
      <c r="G3181">
        <v>0.14691601544188401</v>
      </c>
      <c r="H3181">
        <v>8.1806975542881494E-2</v>
      </c>
      <c r="I3181">
        <v>9.0234822726422095E-2</v>
      </c>
      <c r="J3181">
        <v>7.8425235962085199E-2</v>
      </c>
      <c r="K3181">
        <v>6.1964346073360398E-2</v>
      </c>
      <c r="L3181">
        <v>506.33267493742198</v>
      </c>
      <c r="M3181">
        <v>10.1507246645447</v>
      </c>
      <c r="N3181">
        <v>49.8814413287148</v>
      </c>
      <c r="O3181">
        <v>48.0616283153675</v>
      </c>
      <c r="P3181">
        <v>-5.2824819579155503E-2</v>
      </c>
      <c r="Q3181">
        <v>0</v>
      </c>
      <c r="R3181">
        <v>0.92169170531660105</v>
      </c>
      <c r="S3181" t="s">
        <v>9797</v>
      </c>
      <c r="T3181" t="s">
        <v>13232</v>
      </c>
      <c r="U3181" t="s">
        <v>13232</v>
      </c>
      <c r="V3181" t="s">
        <v>13232</v>
      </c>
      <c r="W3181" t="s">
        <v>16357</v>
      </c>
      <c r="X3181">
        <v>4</v>
      </c>
      <c r="Y3181" t="s">
        <v>22813</v>
      </c>
      <c r="Z3181" t="s">
        <v>29312</v>
      </c>
      <c r="AA3181">
        <v>0.37408397688448758</v>
      </c>
      <c r="AB3181" t="str">
        <f>HYPERLINK("Melting_Curves/meltCurve_Q13724_MOGS.pdf", "Melting_Curves/meltCurve_Q13724_MOGS.pdf")</f>
        <v>Melting_Curves/meltCurve_Q13724_MOGS.pdf</v>
      </c>
    </row>
    <row r="3182" spans="1:28" x14ac:dyDescent="0.25">
      <c r="A3182" t="s">
        <v>3185</v>
      </c>
      <c r="B3182">
        <v>0.99930955844802105</v>
      </c>
      <c r="C3182">
        <v>0.81219628012134104</v>
      </c>
      <c r="D3182">
        <v>0.88430075902576599</v>
      </c>
      <c r="E3182">
        <v>1.18797440334272</v>
      </c>
      <c r="F3182">
        <v>0.53051401649110497</v>
      </c>
      <c r="G3182">
        <v>0.28382295976306998</v>
      </c>
      <c r="H3182">
        <v>0.171832231909748</v>
      </c>
      <c r="I3182">
        <v>0.173722369247405</v>
      </c>
      <c r="J3182">
        <v>0.14774015490352699</v>
      </c>
      <c r="K3182">
        <v>0.109288463352423</v>
      </c>
      <c r="L3182">
        <v>13234.921002461901</v>
      </c>
      <c r="M3182">
        <v>250</v>
      </c>
      <c r="N3182">
        <v>53.032560279530102</v>
      </c>
      <c r="O3182">
        <v>52.936312755218403</v>
      </c>
      <c r="P3182">
        <v>-0.97135478103455097</v>
      </c>
      <c r="Q3182">
        <v>0.177281208915891</v>
      </c>
      <c r="R3182">
        <v>0.93262435409418198</v>
      </c>
      <c r="S3182" t="s">
        <v>9798</v>
      </c>
      <c r="T3182" t="s">
        <v>13232</v>
      </c>
      <c r="U3182" t="s">
        <v>13232</v>
      </c>
      <c r="V3182" t="s">
        <v>13232</v>
      </c>
      <c r="W3182" t="s">
        <v>16358</v>
      </c>
      <c r="X3182">
        <v>11</v>
      </c>
      <c r="Y3182" t="s">
        <v>22814</v>
      </c>
      <c r="Z3182" t="s">
        <v>29313</v>
      </c>
      <c r="AA3182">
        <v>0.53221501919092307</v>
      </c>
      <c r="AB3182" t="str">
        <f>HYPERLINK("Melting_Curves/meltCurve_Q13769_THOC5.pdf", "Melting_Curves/meltCurve_Q13769_THOC5.pdf")</f>
        <v>Melting_Curves/meltCurve_Q13769_THOC5.pdf</v>
      </c>
    </row>
    <row r="3183" spans="1:28" x14ac:dyDescent="0.25">
      <c r="A3183" t="s">
        <v>3186</v>
      </c>
      <c r="B3183">
        <v>0.99930955844802105</v>
      </c>
      <c r="C3183">
        <v>0.51948506124009497</v>
      </c>
      <c r="D3183">
        <v>0.52854536260071505</v>
      </c>
      <c r="E3183">
        <v>0.98801603711654795</v>
      </c>
      <c r="F3183">
        <v>1.0812525074593</v>
      </c>
      <c r="G3183">
        <v>0.68516670217255105</v>
      </c>
      <c r="H3183">
        <v>0.100551740514795</v>
      </c>
      <c r="I3183">
        <v>8.0453925172143795E-2</v>
      </c>
      <c r="J3183">
        <v>6.0602049519805003E-2</v>
      </c>
      <c r="K3183">
        <v>5.5119127447291097E-2</v>
      </c>
      <c r="L3183">
        <v>3926.6736214732</v>
      </c>
      <c r="M3183">
        <v>68.206603488831604</v>
      </c>
      <c r="N3183">
        <v>57.695511931442901</v>
      </c>
      <c r="O3183">
        <v>57.520855747954798</v>
      </c>
      <c r="P3183">
        <v>-0.27604699857955001</v>
      </c>
      <c r="Q3183">
        <v>6.8802435137884796E-2</v>
      </c>
      <c r="R3183">
        <v>0.70949559746389601</v>
      </c>
      <c r="S3183" t="s">
        <v>9799</v>
      </c>
      <c r="T3183" t="s">
        <v>13232</v>
      </c>
      <c r="U3183" t="s">
        <v>13232</v>
      </c>
      <c r="V3183" t="s">
        <v>13232</v>
      </c>
      <c r="W3183" t="s">
        <v>13258</v>
      </c>
      <c r="X3183">
        <v>164</v>
      </c>
      <c r="Y3183" t="s">
        <v>19796</v>
      </c>
      <c r="Z3183" t="s">
        <v>29314</v>
      </c>
      <c r="AA3183">
        <v>0.61544992401073428</v>
      </c>
      <c r="AB3183" t="str">
        <f>HYPERLINK("Melting_Curves/meltCurve_Q13813_SPTAN1.pdf", "Melting_Curves/meltCurve_Q13813_SPTAN1.pdf")</f>
        <v>Melting_Curves/meltCurve_Q13813_SPTAN1.pdf</v>
      </c>
    </row>
    <row r="3184" spans="1:28" x14ac:dyDescent="0.25">
      <c r="A3184" t="s">
        <v>3187</v>
      </c>
      <c r="B3184">
        <v>0.99930955844802105</v>
      </c>
      <c r="C3184">
        <v>0.66094095831217903</v>
      </c>
      <c r="D3184">
        <v>0.63350882787350604</v>
      </c>
      <c r="E3184">
        <v>0.88562511354057405</v>
      </c>
      <c r="F3184">
        <v>1.0355607937753</v>
      </c>
      <c r="G3184">
        <v>0.66476250379748503</v>
      </c>
      <c r="H3184">
        <v>0.19543139039872701</v>
      </c>
      <c r="I3184">
        <v>0.12588756750638799</v>
      </c>
      <c r="J3184">
        <v>9.5163885938076606E-2</v>
      </c>
      <c r="K3184">
        <v>7.4628017221521806E-2</v>
      </c>
      <c r="L3184">
        <v>2361.0040776453502</v>
      </c>
      <c r="M3184">
        <v>40.843880718827101</v>
      </c>
      <c r="N3184">
        <v>58.097673336103497</v>
      </c>
      <c r="O3184">
        <v>57.667537528649397</v>
      </c>
      <c r="P3184">
        <v>-0.16063143299555999</v>
      </c>
      <c r="Q3184">
        <v>9.2818879320326897E-2</v>
      </c>
      <c r="R3184">
        <v>0.79839070788349398</v>
      </c>
      <c r="S3184" t="s">
        <v>9800</v>
      </c>
      <c r="T3184" t="s">
        <v>13232</v>
      </c>
      <c r="U3184" t="s">
        <v>13232</v>
      </c>
      <c r="V3184" t="s">
        <v>13232</v>
      </c>
      <c r="W3184" t="s">
        <v>16359</v>
      </c>
      <c r="X3184">
        <v>164</v>
      </c>
      <c r="Y3184" t="s">
        <v>19796</v>
      </c>
      <c r="Z3184" t="s">
        <v>29315</v>
      </c>
      <c r="AA3184">
        <v>0.6346703141330825</v>
      </c>
      <c r="AB3184" t="str">
        <f>HYPERLINK("Melting_Curves/meltCurve_Q13813_2_SPTAN1.pdf", "Melting_Curves/meltCurve_Q13813_2_SPTAN1.pdf")</f>
        <v>Melting_Curves/meltCurve_Q13813_2_SPTAN1.pdf</v>
      </c>
    </row>
    <row r="3185" spans="1:28" x14ac:dyDescent="0.25">
      <c r="A3185" t="s">
        <v>3188</v>
      </c>
      <c r="B3185">
        <v>0.99930955844802105</v>
      </c>
      <c r="C3185">
        <v>1.0012373260999099</v>
      </c>
      <c r="D3185">
        <v>0.91573985567722505</v>
      </c>
      <c r="E3185">
        <v>0.698422383240073</v>
      </c>
      <c r="F3185">
        <v>0.25735312210204703</v>
      </c>
      <c r="G3185">
        <v>0.185155765280274</v>
      </c>
      <c r="H3185">
        <v>0.117366928479424</v>
      </c>
      <c r="I3185">
        <v>0.113148500672497</v>
      </c>
      <c r="J3185">
        <v>0.12416687597913199</v>
      </c>
      <c r="K3185">
        <v>8.39740747605906E-2</v>
      </c>
      <c r="L3185">
        <v>1733.46150405666</v>
      </c>
      <c r="M3185">
        <v>34.124743243769402</v>
      </c>
      <c r="N3185">
        <v>51.193383634681801</v>
      </c>
      <c r="O3185">
        <v>50.6242952746084</v>
      </c>
      <c r="P3185">
        <v>-0.148988669016766</v>
      </c>
      <c r="Q3185">
        <v>0.115900556141148</v>
      </c>
      <c r="R3185">
        <v>0.99416320191858398</v>
      </c>
      <c r="S3185" t="s">
        <v>9801</v>
      </c>
      <c r="T3185" t="s">
        <v>13232</v>
      </c>
      <c r="U3185" t="s">
        <v>13232</v>
      </c>
      <c r="V3185" t="s">
        <v>13232</v>
      </c>
      <c r="W3185" t="s">
        <v>16360</v>
      </c>
      <c r="X3185">
        <v>22</v>
      </c>
      <c r="Y3185" t="s">
        <v>22815</v>
      </c>
      <c r="Z3185" t="s">
        <v>29316</v>
      </c>
      <c r="AA3185">
        <v>0.43838682495237169</v>
      </c>
      <c r="AB3185" t="str">
        <f>HYPERLINK("Melting_Curves/meltCurve_Q13823_GNL2.pdf", "Melting_Curves/meltCurve_Q13823_GNL2.pdf")</f>
        <v>Melting_Curves/meltCurve_Q13823_GNL2.pdf</v>
      </c>
    </row>
    <row r="3186" spans="1:28" x14ac:dyDescent="0.25">
      <c r="A3186" t="s">
        <v>3189</v>
      </c>
      <c r="B3186">
        <v>0.99930955844802105</v>
      </c>
      <c r="C3186">
        <v>0.92362906186639004</v>
      </c>
      <c r="D3186">
        <v>0.85928384180608997</v>
      </c>
      <c r="E3186">
        <v>0.593643223738753</v>
      </c>
      <c r="F3186">
        <v>0.31575648517666199</v>
      </c>
      <c r="G3186">
        <v>0.20582846269038699</v>
      </c>
      <c r="H3186">
        <v>0.14546945782908899</v>
      </c>
      <c r="I3186">
        <v>0.15166498025208899</v>
      </c>
      <c r="J3186">
        <v>0.124111113668947</v>
      </c>
      <c r="K3186">
        <v>8.4292564140764595E-2</v>
      </c>
      <c r="L3186">
        <v>918.14954287518503</v>
      </c>
      <c r="M3186">
        <v>18.3098257522506</v>
      </c>
      <c r="N3186">
        <v>50.827102887066403</v>
      </c>
      <c r="O3186">
        <v>49.5585191626678</v>
      </c>
      <c r="P3186">
        <v>-8.2309696566745305E-2</v>
      </c>
      <c r="Q3186">
        <v>0.108902968015163</v>
      </c>
      <c r="R3186">
        <v>0.99575020311446005</v>
      </c>
      <c r="S3186" t="s">
        <v>9802</v>
      </c>
      <c r="T3186" t="s">
        <v>13232</v>
      </c>
      <c r="U3186" t="s">
        <v>13232</v>
      </c>
      <c r="V3186" t="s">
        <v>13232</v>
      </c>
      <c r="W3186" t="s">
        <v>16361</v>
      </c>
      <c r="X3186">
        <v>1</v>
      </c>
      <c r="Y3186" t="s">
        <v>22816</v>
      </c>
      <c r="Z3186" t="s">
        <v>29317</v>
      </c>
      <c r="AA3186">
        <v>0.42493431125699371</v>
      </c>
      <c r="AB3186" t="str">
        <f>HYPERLINK("Melting_Curves/meltCurve_Q13825_AUH.pdf", "Melting_Curves/meltCurve_Q13825_AUH.pdf")</f>
        <v>Melting_Curves/meltCurve_Q13825_AUH.pdf</v>
      </c>
    </row>
    <row r="3187" spans="1:28" x14ac:dyDescent="0.25">
      <c r="A3187" t="s">
        <v>3190</v>
      </c>
      <c r="B3187">
        <v>0.99930955844802105</v>
      </c>
      <c r="C3187">
        <v>1.2006000868820099</v>
      </c>
      <c r="D3187">
        <v>0.88517700841456803</v>
      </c>
      <c r="E3187">
        <v>0.88249191532874705</v>
      </c>
      <c r="F3187">
        <v>3.5166674635627899</v>
      </c>
      <c r="G3187">
        <v>0.47463756050140798</v>
      </c>
      <c r="H3187">
        <v>0.52888812328524404</v>
      </c>
      <c r="I3187">
        <v>0.52957216649877004</v>
      </c>
      <c r="J3187">
        <v>0.54488231040963298</v>
      </c>
      <c r="K3187">
        <v>0.23393858233010401</v>
      </c>
      <c r="L3187">
        <v>14048.6307451667</v>
      </c>
      <c r="M3187">
        <v>250</v>
      </c>
      <c r="N3187">
        <v>56.764144728341698</v>
      </c>
      <c r="O3187">
        <v>56.190926932666201</v>
      </c>
      <c r="P3187">
        <v>-0.60139417733509704</v>
      </c>
      <c r="Q3187">
        <v>0.45931366048842598</v>
      </c>
      <c r="R3187">
        <v>0.182199863184765</v>
      </c>
      <c r="S3187" t="s">
        <v>9803</v>
      </c>
      <c r="T3187" t="s">
        <v>13232</v>
      </c>
      <c r="U3187" t="s">
        <v>13232</v>
      </c>
      <c r="V3187" t="s">
        <v>13232</v>
      </c>
      <c r="W3187" t="s">
        <v>16362</v>
      </c>
      <c r="X3187">
        <v>1</v>
      </c>
      <c r="Y3187" t="s">
        <v>22817</v>
      </c>
      <c r="Z3187" t="s">
        <v>29318</v>
      </c>
      <c r="AA3187">
        <v>0.75123889493783058</v>
      </c>
      <c r="AB3187" t="str">
        <f>HYPERLINK("Melting_Curves/meltCurve_Q13835_2_PKP1.pdf", "Melting_Curves/meltCurve_Q13835_2_PKP1.pdf")</f>
        <v>Melting_Curves/meltCurve_Q13835_2_PKP1.pdf</v>
      </c>
    </row>
    <row r="3188" spans="1:28" x14ac:dyDescent="0.25">
      <c r="A3188" t="s">
        <v>3191</v>
      </c>
      <c r="B3188">
        <v>0.99930955844802105</v>
      </c>
      <c r="C3188">
        <v>0.93104502686103596</v>
      </c>
      <c r="D3188">
        <v>0.92324008175859795</v>
      </c>
      <c r="E3188">
        <v>0.85351715453531796</v>
      </c>
      <c r="F3188">
        <v>0.54607424922367798</v>
      </c>
      <c r="G3188">
        <v>0.185499170869484</v>
      </c>
      <c r="H3188">
        <v>0.10213104922558899</v>
      </c>
      <c r="I3188">
        <v>8.3255834021755695E-2</v>
      </c>
      <c r="J3188">
        <v>6.9501397651508104E-2</v>
      </c>
      <c r="K3188">
        <v>5.3963426266950901E-2</v>
      </c>
      <c r="L3188">
        <v>1352.6797674386601</v>
      </c>
      <c r="M3188">
        <v>25.4730110226864</v>
      </c>
      <c r="N3188">
        <v>53.377034326244001</v>
      </c>
      <c r="O3188">
        <v>52.778465415995399</v>
      </c>
      <c r="P3188">
        <v>-0.113252457520832</v>
      </c>
      <c r="Q3188">
        <v>6.14044715835141E-2</v>
      </c>
      <c r="R3188">
        <v>0.99444576931901896</v>
      </c>
      <c r="S3188" t="s">
        <v>9804</v>
      </c>
      <c r="T3188" t="s">
        <v>13232</v>
      </c>
      <c r="U3188" t="s">
        <v>13232</v>
      </c>
      <c r="V3188" t="s">
        <v>13232</v>
      </c>
      <c r="W3188" t="s">
        <v>16363</v>
      </c>
      <c r="X3188">
        <v>26</v>
      </c>
      <c r="Y3188" t="s">
        <v>22818</v>
      </c>
      <c r="Z3188" t="s">
        <v>29319</v>
      </c>
      <c r="AA3188">
        <v>0.47968392485647893</v>
      </c>
      <c r="AB3188" t="str">
        <f>HYPERLINK("Melting_Curves/meltCurve_Q13838_DDX39B.pdf", "Melting_Curves/meltCurve_Q13838_DDX39B.pdf")</f>
        <v>Melting_Curves/meltCurve_Q13838_DDX39B.pdf</v>
      </c>
    </row>
    <row r="3189" spans="1:28" x14ac:dyDescent="0.25">
      <c r="A3189" t="s">
        <v>3192</v>
      </c>
      <c r="B3189">
        <v>0.99930955844802105</v>
      </c>
      <c r="C3189">
        <v>0.85722747293657997</v>
      </c>
      <c r="D3189">
        <v>0.88264867921301204</v>
      </c>
      <c r="E3189">
        <v>0.89452522221416797</v>
      </c>
      <c r="F3189">
        <v>1.2145984576781299</v>
      </c>
      <c r="G3189">
        <v>0.86501496722194304</v>
      </c>
      <c r="H3189">
        <v>0.38238237315318402</v>
      </c>
      <c r="I3189">
        <v>0.44434833295610698</v>
      </c>
      <c r="J3189">
        <v>0.33450553490452301</v>
      </c>
      <c r="K3189">
        <v>0.171026797561911</v>
      </c>
      <c r="L3189">
        <v>2858.23872326628</v>
      </c>
      <c r="M3189">
        <v>48.6683675839231</v>
      </c>
      <c r="N3189">
        <v>59.889118689409102</v>
      </c>
      <c r="O3189">
        <v>58.629979753114199</v>
      </c>
      <c r="P3189">
        <v>-0.14417838995239601</v>
      </c>
      <c r="Q3189">
        <v>0.30524334475487502</v>
      </c>
      <c r="R3189">
        <v>0.87870276116449997</v>
      </c>
      <c r="S3189" t="s">
        <v>9805</v>
      </c>
      <c r="T3189" t="s">
        <v>13232</v>
      </c>
      <c r="U3189" t="s">
        <v>13232</v>
      </c>
      <c r="V3189" t="s">
        <v>13232</v>
      </c>
      <c r="W3189" t="s">
        <v>16364</v>
      </c>
      <c r="X3189">
        <v>33</v>
      </c>
      <c r="Y3189" t="s">
        <v>22819</v>
      </c>
      <c r="Z3189" t="s">
        <v>29320</v>
      </c>
      <c r="AA3189">
        <v>0.74086087264199929</v>
      </c>
      <c r="AB3189" t="str">
        <f>HYPERLINK("Melting_Curves/meltCurve_Q13867_BLMH.pdf", "Melting_Curves/meltCurve_Q13867_BLMH.pdf")</f>
        <v>Melting_Curves/meltCurve_Q13867_BLMH.pdf</v>
      </c>
    </row>
    <row r="3190" spans="1:28" x14ac:dyDescent="0.25">
      <c r="A3190" t="s">
        <v>3193</v>
      </c>
      <c r="B3190">
        <v>0.99930955844802105</v>
      </c>
      <c r="C3190">
        <v>0.87954313333291201</v>
      </c>
      <c r="D3190">
        <v>0.91888354773997205</v>
      </c>
      <c r="E3190">
        <v>1.02510401004048</v>
      </c>
      <c r="F3190">
        <v>1.0823304296774401</v>
      </c>
      <c r="G3190">
        <v>0.79394509972708804</v>
      </c>
      <c r="H3190">
        <v>0.32226290874251401</v>
      </c>
      <c r="I3190">
        <v>0.13826868157717701</v>
      </c>
      <c r="J3190">
        <v>7.85679528554276E-2</v>
      </c>
      <c r="K3190">
        <v>5.9773167469949297E-2</v>
      </c>
      <c r="L3190">
        <v>2069.8395895297099</v>
      </c>
      <c r="M3190">
        <v>34.923133737626401</v>
      </c>
      <c r="N3190">
        <v>59.500448862696103</v>
      </c>
      <c r="O3190">
        <v>59.075119621562102</v>
      </c>
      <c r="P3190">
        <v>-0.13838403758623699</v>
      </c>
      <c r="Q3190">
        <v>6.3655234329568405E-2</v>
      </c>
      <c r="R3190">
        <v>0.98057211855636905</v>
      </c>
      <c r="S3190" t="s">
        <v>9806</v>
      </c>
      <c r="T3190" t="s">
        <v>13232</v>
      </c>
      <c r="U3190" t="s">
        <v>13232</v>
      </c>
      <c r="V3190" t="s">
        <v>13232</v>
      </c>
      <c r="W3190" t="s">
        <v>16365</v>
      </c>
      <c r="X3190">
        <v>14</v>
      </c>
      <c r="Y3190" t="s">
        <v>22820</v>
      </c>
      <c r="Z3190" t="s">
        <v>29321</v>
      </c>
      <c r="AA3190">
        <v>0.66972486570721479</v>
      </c>
      <c r="AB3190" t="str">
        <f>HYPERLINK("Melting_Curves/meltCurve_Q13868_EXOSC2.pdf", "Melting_Curves/meltCurve_Q13868_EXOSC2.pdf")</f>
        <v>Melting_Curves/meltCurve_Q13868_EXOSC2.pdf</v>
      </c>
    </row>
    <row r="3191" spans="1:28" x14ac:dyDescent="0.25">
      <c r="A3191" t="s">
        <v>3194</v>
      </c>
      <c r="B3191">
        <v>0.99930955844802105</v>
      </c>
      <c r="C3191">
        <v>0.46662713500404202</v>
      </c>
      <c r="D3191">
        <v>0.38953154100241799</v>
      </c>
      <c r="E3191">
        <v>0.40626665051996702</v>
      </c>
      <c r="F3191">
        <v>0.329659658323051</v>
      </c>
      <c r="G3191">
        <v>0.17451865704924099</v>
      </c>
      <c r="H3191">
        <v>0.105015220035746</v>
      </c>
      <c r="I3191">
        <v>8.9086238319783906E-2</v>
      </c>
      <c r="J3191">
        <v>8.1267728334777703E-2</v>
      </c>
      <c r="K3191">
        <v>7.2470328253288099E-2</v>
      </c>
      <c r="L3191">
        <v>447.16468260892799</v>
      </c>
      <c r="M3191">
        <v>9.9326770021776394</v>
      </c>
      <c r="N3191">
        <v>45.6472669865569</v>
      </c>
      <c r="O3191">
        <v>43.308754752678801</v>
      </c>
      <c r="P3191">
        <v>-5.3703035860766302E-2</v>
      </c>
      <c r="Q3191">
        <v>6.38369865452902E-2</v>
      </c>
      <c r="R3191">
        <v>0.86071125516899105</v>
      </c>
      <c r="S3191" t="s">
        <v>9807</v>
      </c>
      <c r="T3191" t="s">
        <v>13232</v>
      </c>
      <c r="U3191" t="s">
        <v>13232</v>
      </c>
      <c r="V3191" t="s">
        <v>13232</v>
      </c>
      <c r="W3191" t="s">
        <v>16366</v>
      </c>
      <c r="X3191">
        <v>23</v>
      </c>
      <c r="Y3191" t="s">
        <v>22821</v>
      </c>
      <c r="Z3191" t="s">
        <v>29322</v>
      </c>
      <c r="AA3191">
        <v>0.28524461106788201</v>
      </c>
      <c r="AB3191" t="str">
        <f>HYPERLINK("Melting_Curves/meltCurve_Q13885_TUBB2A.pdf", "Melting_Curves/meltCurve_Q13885_TUBB2A.pdf")</f>
        <v>Melting_Curves/meltCurve_Q13885_TUBB2A.pdf</v>
      </c>
    </row>
    <row r="3192" spans="1:28" x14ac:dyDescent="0.25">
      <c r="A3192" t="s">
        <v>3195</v>
      </c>
      <c r="B3192">
        <v>0.99930955844802105</v>
      </c>
      <c r="C3192">
        <v>1.0772818849160399</v>
      </c>
      <c r="D3192">
        <v>0.78265036146266198</v>
      </c>
      <c r="E3192">
        <v>0.44905457734455001</v>
      </c>
      <c r="F3192">
        <v>0.31162031094660703</v>
      </c>
      <c r="G3192">
        <v>0.24944197413674499</v>
      </c>
      <c r="H3192">
        <v>0.20792095434730401</v>
      </c>
      <c r="I3192">
        <v>0.194916951354173</v>
      </c>
      <c r="J3192">
        <v>0.194990924806212</v>
      </c>
      <c r="K3192">
        <v>0.14984108761071499</v>
      </c>
      <c r="L3192">
        <v>1144.02855109333</v>
      </c>
      <c r="M3192">
        <v>23.6160378137882</v>
      </c>
      <c r="N3192">
        <v>49.479253405484499</v>
      </c>
      <c r="O3192">
        <v>48.099525826665001</v>
      </c>
      <c r="P3192">
        <v>-9.8798362150420399E-2</v>
      </c>
      <c r="Q3192">
        <v>0.195110660606268</v>
      </c>
      <c r="R3192">
        <v>0.98409509822506902</v>
      </c>
      <c r="S3192" t="s">
        <v>9808</v>
      </c>
      <c r="T3192" t="s">
        <v>13232</v>
      </c>
      <c r="U3192" t="s">
        <v>13232</v>
      </c>
      <c r="V3192" t="s">
        <v>13232</v>
      </c>
      <c r="W3192" t="s">
        <v>16367</v>
      </c>
      <c r="X3192">
        <v>17</v>
      </c>
      <c r="Y3192" t="s">
        <v>22822</v>
      </c>
      <c r="Z3192" t="s">
        <v>29323</v>
      </c>
      <c r="AA3192">
        <v>0.42964598573441731</v>
      </c>
      <c r="AB3192" t="str">
        <f>HYPERLINK("Melting_Curves/meltCurve_Q13895_BYSL.pdf", "Melting_Curves/meltCurve_Q13895_BYSL.pdf")</f>
        <v>Melting_Curves/meltCurve_Q13895_BYSL.pdf</v>
      </c>
    </row>
    <row r="3193" spans="1:28" x14ac:dyDescent="0.25">
      <c r="A3193" t="s">
        <v>3196</v>
      </c>
      <c r="B3193">
        <v>0.99930955844802105</v>
      </c>
      <c r="C3193">
        <v>1.30138401086509</v>
      </c>
      <c r="D3193">
        <v>1.2411848227020701</v>
      </c>
      <c r="E3193">
        <v>1.0423890979352901</v>
      </c>
      <c r="F3193">
        <v>0.49291440430484001</v>
      </c>
      <c r="G3193">
        <v>0.24334948012472199</v>
      </c>
      <c r="H3193">
        <v>0.14934470817823201</v>
      </c>
      <c r="I3193">
        <v>0.11601098535021701</v>
      </c>
      <c r="J3193">
        <v>7.3277472633391294E-2</v>
      </c>
      <c r="K3193">
        <v>5.3770929138984402E-2</v>
      </c>
      <c r="L3193">
        <v>13232.685328714801</v>
      </c>
      <c r="M3193">
        <v>250</v>
      </c>
      <c r="N3193">
        <v>52.992955414296198</v>
      </c>
      <c r="O3193">
        <v>52.927361004171402</v>
      </c>
      <c r="P3193">
        <v>-1.03071619371697</v>
      </c>
      <c r="Q3193">
        <v>0.12715070543297899</v>
      </c>
      <c r="R3193">
        <v>0.92788447176763</v>
      </c>
      <c r="S3193" t="s">
        <v>9809</v>
      </c>
      <c r="T3193" t="s">
        <v>13232</v>
      </c>
      <c r="U3193" t="s">
        <v>13232</v>
      </c>
      <c r="V3193" t="s">
        <v>13232</v>
      </c>
      <c r="W3193" t="s">
        <v>16368</v>
      </c>
      <c r="X3193">
        <v>4</v>
      </c>
      <c r="Y3193" t="s">
        <v>22823</v>
      </c>
      <c r="Z3193" t="s">
        <v>29324</v>
      </c>
      <c r="AA3193">
        <v>0.50345140119390597</v>
      </c>
      <c r="AB3193" t="str">
        <f>HYPERLINK("Melting_Curves/meltCurve_Q13901_C1D.pdf", "Melting_Curves/meltCurve_Q13901_C1D.pdf")</f>
        <v>Melting_Curves/meltCurve_Q13901_C1D.pdf</v>
      </c>
    </row>
    <row r="3194" spans="1:28" x14ac:dyDescent="0.25">
      <c r="A3194" t="s">
        <v>3197</v>
      </c>
      <c r="B3194">
        <v>0.99930955844802105</v>
      </c>
      <c r="C3194">
        <v>1.05388321180987</v>
      </c>
      <c r="D3194">
        <v>0.93537515273137695</v>
      </c>
      <c r="E3194">
        <v>0.816116108139184</v>
      </c>
      <c r="F3194">
        <v>0.61494921791256296</v>
      </c>
      <c r="G3194">
        <v>0.29062870394283002</v>
      </c>
      <c r="H3194">
        <v>0.35511897933521602</v>
      </c>
      <c r="I3194">
        <v>0.31001213878633099</v>
      </c>
      <c r="J3194">
        <v>0.27824343671044499</v>
      </c>
      <c r="K3194">
        <v>0.217562005207075</v>
      </c>
      <c r="L3194">
        <v>1265.89840046213</v>
      </c>
      <c r="M3194">
        <v>24.1665367762984</v>
      </c>
      <c r="N3194">
        <v>54.110535903044301</v>
      </c>
      <c r="O3194">
        <v>52.027557199955702</v>
      </c>
      <c r="P3194">
        <v>-8.48965721192462E-2</v>
      </c>
      <c r="Q3194">
        <v>0.26892407588352102</v>
      </c>
      <c r="R3194">
        <v>0.98172503138721201</v>
      </c>
      <c r="S3194" t="s">
        <v>9810</v>
      </c>
      <c r="T3194" t="s">
        <v>13232</v>
      </c>
      <c r="U3194" t="s">
        <v>13232</v>
      </c>
      <c r="V3194" t="s">
        <v>13232</v>
      </c>
      <c r="W3194" t="s">
        <v>16369</v>
      </c>
      <c r="X3194">
        <v>12</v>
      </c>
      <c r="Y3194" t="s">
        <v>22824</v>
      </c>
      <c r="Z3194" t="s">
        <v>29325</v>
      </c>
      <c r="AA3194">
        <v>0.57781370612003125</v>
      </c>
      <c r="AB3194" t="str">
        <f>HYPERLINK("Melting_Curves/meltCurve_Q13905_RAPGEF1.pdf", "Melting_Curves/meltCurve_Q13905_RAPGEF1.pdf")</f>
        <v>Melting_Curves/meltCurve_Q13905_RAPGEF1.pdf</v>
      </c>
    </row>
    <row r="3195" spans="1:28" x14ac:dyDescent="0.25">
      <c r="A3195" t="s">
        <v>3198</v>
      </c>
      <c r="B3195">
        <v>0.99930955844802105</v>
      </c>
      <c r="C3195">
        <v>1.0298069961118099</v>
      </c>
      <c r="D3195">
        <v>0.97713568852512001</v>
      </c>
      <c r="E3195">
        <v>0.89668833326032904</v>
      </c>
      <c r="F3195">
        <v>0.75887656272910098</v>
      </c>
      <c r="G3195">
        <v>0.611115395585211</v>
      </c>
      <c r="H3195">
        <v>0.46257552079021003</v>
      </c>
      <c r="I3195">
        <v>0.39100760697475101</v>
      </c>
      <c r="J3195">
        <v>0.34505286362394599</v>
      </c>
      <c r="K3195">
        <v>0.22186658641585399</v>
      </c>
      <c r="L3195">
        <v>658.02357080383103</v>
      </c>
      <c r="M3195">
        <v>11.3401800898856</v>
      </c>
      <c r="N3195">
        <v>60.006015913694696</v>
      </c>
      <c r="O3195">
        <v>56.309307705848802</v>
      </c>
      <c r="P3195">
        <v>-4.25018442460958E-2</v>
      </c>
      <c r="Q3195">
        <v>0.15608688922101699</v>
      </c>
      <c r="R3195">
        <v>0.99182798558716301</v>
      </c>
      <c r="S3195" t="s">
        <v>9811</v>
      </c>
      <c r="T3195" t="s">
        <v>13232</v>
      </c>
      <c r="U3195" t="s">
        <v>13232</v>
      </c>
      <c r="V3195" t="s">
        <v>13232</v>
      </c>
      <c r="W3195" t="s">
        <v>16370</v>
      </c>
      <c r="X3195">
        <v>15</v>
      </c>
      <c r="Y3195" t="s">
        <v>22825</v>
      </c>
      <c r="Z3195" t="s">
        <v>29326</v>
      </c>
      <c r="AA3195">
        <v>0.67323538266462502</v>
      </c>
      <c r="AB3195" t="str">
        <f>HYPERLINK("Melting_Curves/meltCurve_Q13907_IDI1.pdf", "Melting_Curves/meltCurve_Q13907_IDI1.pdf")</f>
        <v>Melting_Curves/meltCurve_Q13907_IDI1.pdf</v>
      </c>
    </row>
    <row r="3196" spans="1:28" x14ac:dyDescent="0.25">
      <c r="A3196" t="s">
        <v>3199</v>
      </c>
      <c r="B3196">
        <v>0.99930955844802105</v>
      </c>
      <c r="C3196">
        <v>1.14323018424481</v>
      </c>
      <c r="D3196">
        <v>1.1145613703999799</v>
      </c>
      <c r="E3196">
        <v>0.99318154306998196</v>
      </c>
      <c r="F3196">
        <v>0.46666834149743502</v>
      </c>
      <c r="G3196">
        <v>0.260224547957491</v>
      </c>
      <c r="H3196">
        <v>0.14838386994566799</v>
      </c>
      <c r="I3196">
        <v>0.11025308099237099</v>
      </c>
      <c r="J3196">
        <v>9.4779015337760397E-2</v>
      </c>
      <c r="K3196">
        <v>7.9798483787648394E-2</v>
      </c>
      <c r="L3196">
        <v>3036.1280537971902</v>
      </c>
      <c r="M3196">
        <v>57.703340232684297</v>
      </c>
      <c r="N3196">
        <v>52.905240850133403</v>
      </c>
      <c r="O3196">
        <v>52.553074574792902</v>
      </c>
      <c r="P3196">
        <v>-0.237384256883762</v>
      </c>
      <c r="Q3196">
        <v>0.135213546405267</v>
      </c>
      <c r="R3196">
        <v>0.972374644885041</v>
      </c>
      <c r="S3196" t="s">
        <v>9812</v>
      </c>
      <c r="T3196" t="s">
        <v>13232</v>
      </c>
      <c r="U3196" t="s">
        <v>13232</v>
      </c>
      <c r="V3196" t="s">
        <v>13232</v>
      </c>
      <c r="W3196" t="s">
        <v>16371</v>
      </c>
      <c r="X3196">
        <v>10</v>
      </c>
      <c r="Y3196" t="s">
        <v>22826</v>
      </c>
      <c r="Z3196" t="s">
        <v>29327</v>
      </c>
      <c r="AA3196">
        <v>0.50039446531175102</v>
      </c>
      <c r="AB3196" t="str">
        <f>HYPERLINK("Melting_Curves/meltCurve_Q13951_CBFB.pdf", "Melting_Curves/meltCurve_Q13951_CBFB.pdf")</f>
        <v>Melting_Curves/meltCurve_Q13951_CBFB.pdf</v>
      </c>
    </row>
    <row r="3197" spans="1:28" x14ac:dyDescent="0.25">
      <c r="A3197" t="s">
        <v>3200</v>
      </c>
      <c r="B3197">
        <v>0.99930955844802105</v>
      </c>
      <c r="C3197">
        <v>1.0675153675650799</v>
      </c>
      <c r="D3197">
        <v>1.11143191174394</v>
      </c>
      <c r="E3197">
        <v>0.99728454987344195</v>
      </c>
      <c r="F3197">
        <v>0.56193502827904396</v>
      </c>
      <c r="G3197">
        <v>0.224720219798063</v>
      </c>
      <c r="H3197">
        <v>0.115715194981791</v>
      </c>
      <c r="I3197">
        <v>9.64747894096354E-2</v>
      </c>
      <c r="J3197">
        <v>8.5139749055782907E-2</v>
      </c>
      <c r="K3197">
        <v>5.7635172178173502E-2</v>
      </c>
      <c r="L3197">
        <v>2049.61035490944</v>
      </c>
      <c r="M3197">
        <v>38.454981110115099</v>
      </c>
      <c r="N3197">
        <v>53.600731783072</v>
      </c>
      <c r="O3197">
        <v>53.155430098539902</v>
      </c>
      <c r="P3197">
        <v>-0.16325708975658099</v>
      </c>
      <c r="Q3197">
        <v>9.7336151083309494E-2</v>
      </c>
      <c r="R3197">
        <v>0.98554506326294899</v>
      </c>
      <c r="S3197" t="s">
        <v>9813</v>
      </c>
      <c r="T3197" t="s">
        <v>13232</v>
      </c>
      <c r="U3197" t="s">
        <v>13232</v>
      </c>
      <c r="V3197" t="s">
        <v>13232</v>
      </c>
      <c r="W3197" t="s">
        <v>16372</v>
      </c>
      <c r="X3197">
        <v>12</v>
      </c>
      <c r="Y3197" t="s">
        <v>22826</v>
      </c>
      <c r="Z3197" t="s">
        <v>29328</v>
      </c>
      <c r="AA3197">
        <v>0.50107959722673689</v>
      </c>
      <c r="AB3197" t="str">
        <f>HYPERLINK("Melting_Curves/meltCurve_Q13951_2_CBFB.pdf", "Melting_Curves/meltCurve_Q13951_2_CBFB.pdf")</f>
        <v>Melting_Curves/meltCurve_Q13951_2_CBFB.pdf</v>
      </c>
    </row>
    <row r="3198" spans="1:28" x14ac:dyDescent="0.25">
      <c r="A3198" t="s">
        <v>3201</v>
      </c>
      <c r="B3198">
        <v>0.99930955844802105</v>
      </c>
      <c r="C3198">
        <v>1.6354921530111799</v>
      </c>
      <c r="D3198">
        <v>1.6164468296333101</v>
      </c>
      <c r="E3198">
        <v>1.4373436133439901</v>
      </c>
      <c r="F3198">
        <v>1.30803783284241</v>
      </c>
      <c r="G3198">
        <v>0.59828238634350195</v>
      </c>
      <c r="H3198">
        <v>0.176732877119719</v>
      </c>
      <c r="I3198">
        <v>0.109415988104711</v>
      </c>
      <c r="J3198">
        <v>9.2230061667807006E-2</v>
      </c>
      <c r="K3198">
        <v>6.2291139990630198E-2</v>
      </c>
      <c r="L3198">
        <v>7403.1755793986604</v>
      </c>
      <c r="M3198">
        <v>129.684776356123</v>
      </c>
      <c r="N3198">
        <v>57.195594708020003</v>
      </c>
      <c r="O3198">
        <v>57.072352985256799</v>
      </c>
      <c r="P3198">
        <v>-0.50552772114448796</v>
      </c>
      <c r="Q3198">
        <v>0.110098886507438</v>
      </c>
      <c r="R3198">
        <v>0.73205903761552804</v>
      </c>
      <c r="S3198" t="s">
        <v>9814</v>
      </c>
      <c r="T3198" t="s">
        <v>13232</v>
      </c>
      <c r="U3198" t="s">
        <v>13232</v>
      </c>
      <c r="V3198" t="s">
        <v>13232</v>
      </c>
      <c r="W3198" t="s">
        <v>16373</v>
      </c>
      <c r="X3198">
        <v>9</v>
      </c>
      <c r="Y3198" t="s">
        <v>22827</v>
      </c>
      <c r="Z3198" t="s">
        <v>29329</v>
      </c>
      <c r="AA3198">
        <v>0.61725656466596279</v>
      </c>
      <c r="AB3198" t="str">
        <f>HYPERLINK("Melting_Curves/meltCurve_Q13952_3_NFYC.pdf", "Melting_Curves/meltCurve_Q13952_3_NFYC.pdf")</f>
        <v>Melting_Curves/meltCurve_Q13952_3_NFYC.pdf</v>
      </c>
    </row>
    <row r="3199" spans="1:28" x14ac:dyDescent="0.25">
      <c r="A3199" t="s">
        <v>3202</v>
      </c>
      <c r="B3199">
        <v>0.99930955844802105</v>
      </c>
      <c r="C3199">
        <v>1.06456566909399</v>
      </c>
      <c r="D3199">
        <v>1.02488266862515</v>
      </c>
      <c r="E3199">
        <v>0.92894710645941903</v>
      </c>
      <c r="F3199">
        <v>0.73784175168618704</v>
      </c>
      <c r="G3199">
        <v>0.54167554958739095</v>
      </c>
      <c r="H3199">
        <v>0.47719355021799098</v>
      </c>
      <c r="I3199">
        <v>0.49261293016549501</v>
      </c>
      <c r="J3199">
        <v>0.48560740765258797</v>
      </c>
      <c r="K3199">
        <v>0.39170131029695499</v>
      </c>
      <c r="L3199">
        <v>1454.5292214541901</v>
      </c>
      <c r="M3199">
        <v>27.294625340930502</v>
      </c>
      <c r="N3199">
        <v>58.499045829556799</v>
      </c>
      <c r="O3199">
        <v>53.006363363969498</v>
      </c>
      <c r="P3199">
        <v>-7.0031001284758407E-2</v>
      </c>
      <c r="Q3199">
        <v>0.456002289485823</v>
      </c>
      <c r="R3199">
        <v>0.982043951420568</v>
      </c>
      <c r="S3199" t="s">
        <v>9815</v>
      </c>
      <c r="T3199" t="s">
        <v>13232</v>
      </c>
      <c r="U3199" t="s">
        <v>13232</v>
      </c>
      <c r="V3199" t="s">
        <v>13232</v>
      </c>
      <c r="W3199" t="s">
        <v>16374</v>
      </c>
      <c r="X3199">
        <v>22</v>
      </c>
      <c r="Y3199" t="s">
        <v>22828</v>
      </c>
      <c r="Z3199" t="s">
        <v>29330</v>
      </c>
      <c r="AA3199">
        <v>0.70124389362962103</v>
      </c>
      <c r="AB3199" t="str">
        <f>HYPERLINK("Melting_Curves/meltCurve_Q14004_CDK13.pdf", "Melting_Curves/meltCurve_Q14004_CDK13.pdf")</f>
        <v>Melting_Curves/meltCurve_Q14004_CDK13.pdf</v>
      </c>
    </row>
    <row r="3200" spans="1:28" x14ac:dyDescent="0.25">
      <c r="A3200" t="s">
        <v>3203</v>
      </c>
      <c r="B3200">
        <v>0.99930955844802105</v>
      </c>
      <c r="C3200">
        <v>1.10491432721771</v>
      </c>
      <c r="D3200">
        <v>0.96793671651910296</v>
      </c>
      <c r="E3200">
        <v>0.63621780797392302</v>
      </c>
      <c r="F3200">
        <v>0.25754915790940702</v>
      </c>
      <c r="G3200">
        <v>0.15343566152119001</v>
      </c>
      <c r="H3200">
        <v>8.8433278297129297E-2</v>
      </c>
      <c r="I3200">
        <v>7.2930923003414597E-2</v>
      </c>
      <c r="J3200">
        <v>6.3804731759103395E-2</v>
      </c>
      <c r="K3200">
        <v>4.8062842532729202E-2</v>
      </c>
      <c r="L3200">
        <v>1566.1406228296</v>
      </c>
      <c r="M3200">
        <v>30.8850266336751</v>
      </c>
      <c r="N3200">
        <v>50.980724991749</v>
      </c>
      <c r="O3200">
        <v>50.497546650535597</v>
      </c>
      <c r="P3200">
        <v>-0.14129017506136299</v>
      </c>
      <c r="Q3200">
        <v>7.5957560939821103E-2</v>
      </c>
      <c r="R3200">
        <v>0.99127745918388099</v>
      </c>
      <c r="S3200" t="s">
        <v>9816</v>
      </c>
      <c r="T3200" t="s">
        <v>13232</v>
      </c>
      <c r="U3200" t="s">
        <v>13232</v>
      </c>
      <c r="V3200" t="s">
        <v>13232</v>
      </c>
      <c r="W3200" t="s">
        <v>16375</v>
      </c>
      <c r="X3200">
        <v>88</v>
      </c>
      <c r="Y3200" t="s">
        <v>22829</v>
      </c>
      <c r="Z3200" t="s">
        <v>29331</v>
      </c>
      <c r="AA3200">
        <v>0.411255643070359</v>
      </c>
      <c r="AB3200" t="str">
        <f>HYPERLINK("Melting_Curves/meltCurve_Q14008_CKAP5.pdf", "Melting_Curves/meltCurve_Q14008_CKAP5.pdf")</f>
        <v>Melting_Curves/meltCurve_Q14008_CKAP5.pdf</v>
      </c>
    </row>
    <row r="3201" spans="1:28" x14ac:dyDescent="0.25">
      <c r="A3201" t="s">
        <v>3204</v>
      </c>
      <c r="B3201">
        <v>0.99930955844802105</v>
      </c>
      <c r="C3201">
        <v>0.95265976178571399</v>
      </c>
      <c r="D3201">
        <v>0.99761686953082296</v>
      </c>
      <c r="E3201">
        <v>0.95649895512885896</v>
      </c>
      <c r="F3201">
        <v>0.83588918182559602</v>
      </c>
      <c r="G3201">
        <v>0.71786434692238998</v>
      </c>
      <c r="H3201">
        <v>0.76319641705787999</v>
      </c>
      <c r="I3201">
        <v>0.74388667952237497</v>
      </c>
      <c r="J3201">
        <v>0.72307521666035701</v>
      </c>
      <c r="K3201">
        <v>0.61343863010981603</v>
      </c>
      <c r="L3201">
        <v>1562.0779618710999</v>
      </c>
      <c r="M3201">
        <v>29.663456372877899</v>
      </c>
      <c r="O3201">
        <v>52.422430478652302</v>
      </c>
      <c r="P3201">
        <v>-4.1694110418623601E-2</v>
      </c>
      <c r="Q3201">
        <v>0.70526813395688304</v>
      </c>
      <c r="R3201">
        <v>0.90949662040033996</v>
      </c>
      <c r="S3201" t="s">
        <v>9817</v>
      </c>
      <c r="T3201" t="s">
        <v>13232</v>
      </c>
      <c r="U3201" t="s">
        <v>13232</v>
      </c>
      <c r="V3201" t="s">
        <v>13232</v>
      </c>
      <c r="W3201" t="s">
        <v>16376</v>
      </c>
      <c r="X3201">
        <v>6</v>
      </c>
      <c r="Y3201" t="s">
        <v>22830</v>
      </c>
      <c r="Z3201" t="s">
        <v>29332</v>
      </c>
      <c r="AA3201">
        <v>0.83158981095750839</v>
      </c>
      <c r="AB3201" t="str">
        <f>HYPERLINK("Melting_Curves/meltCurve_Q14011_CIRBP.pdf", "Melting_Curves/meltCurve_Q14011_CIRBP.pdf")</f>
        <v>Melting_Curves/meltCurve_Q14011_CIRBP.pdf</v>
      </c>
    </row>
    <row r="3202" spans="1:28" x14ac:dyDescent="0.25">
      <c r="A3202" t="s">
        <v>3205</v>
      </c>
      <c r="B3202">
        <v>0.99930955844802105</v>
      </c>
      <c r="C3202">
        <v>1.0452264581038</v>
      </c>
      <c r="D3202">
        <v>1.1130381017815401</v>
      </c>
      <c r="E3202">
        <v>1.01143615885255</v>
      </c>
      <c r="F3202">
        <v>0.78353796258581898</v>
      </c>
      <c r="G3202">
        <v>0.332113490352756</v>
      </c>
      <c r="H3202">
        <v>0.157301387938586</v>
      </c>
      <c r="I3202">
        <v>0.135975024658504</v>
      </c>
      <c r="J3202">
        <v>0.149995278625942</v>
      </c>
      <c r="K3202">
        <v>0.114418164843984</v>
      </c>
      <c r="L3202">
        <v>1871.5593096773</v>
      </c>
      <c r="M3202">
        <v>34.098706985943601</v>
      </c>
      <c r="N3202">
        <v>55.382091463733097</v>
      </c>
      <c r="O3202">
        <v>54.698773990961897</v>
      </c>
      <c r="P3202">
        <v>-0.13535645789116901</v>
      </c>
      <c r="Q3202">
        <v>0.131485751536419</v>
      </c>
      <c r="R3202">
        <v>0.98978330233561396</v>
      </c>
      <c r="S3202" t="s">
        <v>9818</v>
      </c>
      <c r="T3202" t="s">
        <v>13232</v>
      </c>
      <c r="U3202" t="s">
        <v>13232</v>
      </c>
      <c r="V3202" t="s">
        <v>13232</v>
      </c>
      <c r="W3202" t="s">
        <v>16377</v>
      </c>
      <c r="X3202">
        <v>6</v>
      </c>
      <c r="Y3202" t="s">
        <v>22831</v>
      </c>
      <c r="Z3202" t="s">
        <v>29333</v>
      </c>
      <c r="AA3202">
        <v>0.56695633911522536</v>
      </c>
      <c r="AB3202" t="str">
        <f>HYPERLINK("Melting_Curves/meltCurve_Q14012_CAMK1.pdf", "Melting_Curves/meltCurve_Q14012_CAMK1.pdf")</f>
        <v>Melting_Curves/meltCurve_Q14012_CAMK1.pdf</v>
      </c>
    </row>
    <row r="3203" spans="1:28" x14ac:dyDescent="0.25">
      <c r="A3203" t="s">
        <v>3206</v>
      </c>
      <c r="B3203">
        <v>0.99930955844802105</v>
      </c>
      <c r="C3203">
        <v>1.26328838564676</v>
      </c>
      <c r="D3203">
        <v>1.28635723354936</v>
      </c>
      <c r="E3203">
        <v>1.2597160609965901</v>
      </c>
      <c r="F3203">
        <v>1.1159601753270201</v>
      </c>
      <c r="G3203">
        <v>0.76561352796691995</v>
      </c>
      <c r="H3203">
        <v>0.308144134292265</v>
      </c>
      <c r="I3203">
        <v>0.13987023659033701</v>
      </c>
      <c r="J3203">
        <v>9.6574307250257105E-2</v>
      </c>
      <c r="K3203">
        <v>8.0312724881983405E-2</v>
      </c>
      <c r="L3203">
        <v>2173.9514370708098</v>
      </c>
      <c r="M3203">
        <v>36.8879413017833</v>
      </c>
      <c r="N3203">
        <v>59.246169582922803</v>
      </c>
      <c r="O3203">
        <v>58.761543437233698</v>
      </c>
      <c r="P3203">
        <v>-0.143076829094439</v>
      </c>
      <c r="Q3203">
        <v>8.83319076440722E-2</v>
      </c>
      <c r="R3203">
        <v>0.90278578338797699</v>
      </c>
      <c r="S3203" t="s">
        <v>9819</v>
      </c>
      <c r="T3203" t="s">
        <v>13232</v>
      </c>
      <c r="U3203" t="s">
        <v>13232</v>
      </c>
      <c r="V3203" t="s">
        <v>13232</v>
      </c>
      <c r="W3203" t="s">
        <v>16378</v>
      </c>
      <c r="X3203">
        <v>13</v>
      </c>
      <c r="Y3203" t="s">
        <v>22832</v>
      </c>
      <c r="Z3203" t="s">
        <v>29334</v>
      </c>
      <c r="AA3203">
        <v>0.66787399936886227</v>
      </c>
      <c r="AB3203" t="str">
        <f>HYPERLINK("Melting_Curves/meltCurve_Q14019_COTL1.pdf", "Melting_Curves/meltCurve_Q14019_COTL1.pdf")</f>
        <v>Melting_Curves/meltCurve_Q14019_COTL1.pdf</v>
      </c>
    </row>
    <row r="3204" spans="1:28" x14ac:dyDescent="0.25">
      <c r="A3204" t="s">
        <v>3207</v>
      </c>
      <c r="B3204">
        <v>0.99930955844802105</v>
      </c>
      <c r="C3204">
        <v>1.4080026881496099</v>
      </c>
      <c r="D3204">
        <v>1.2856946662965101</v>
      </c>
      <c r="E3204">
        <v>1.5298877576076599</v>
      </c>
      <c r="F3204">
        <v>1.5971316410415599</v>
      </c>
      <c r="G3204">
        <v>1.62560251542663</v>
      </c>
      <c r="H3204">
        <v>2.2369680264754299</v>
      </c>
      <c r="I3204">
        <v>2.65003755994733</v>
      </c>
      <c r="J3204">
        <v>2.72451121404481</v>
      </c>
      <c r="K3204">
        <v>2.14783654331131</v>
      </c>
      <c r="L3204">
        <v>2775.4419371004601</v>
      </c>
      <c r="M3204">
        <v>66.080241487942999</v>
      </c>
      <c r="O3204">
        <v>41.9626615736682</v>
      </c>
      <c r="P3204">
        <v>0.19684239455820099</v>
      </c>
      <c r="Q3204">
        <v>1.5</v>
      </c>
      <c r="R3204">
        <v>-0.24856088025621301</v>
      </c>
      <c r="S3204" t="s">
        <v>9820</v>
      </c>
      <c r="T3204" t="s">
        <v>13232</v>
      </c>
      <c r="U3204" t="s">
        <v>13232</v>
      </c>
      <c r="V3204" t="s">
        <v>13232</v>
      </c>
      <c r="W3204" t="s">
        <v>16379</v>
      </c>
      <c r="X3204">
        <v>6</v>
      </c>
      <c r="Y3204" t="s">
        <v>22833</v>
      </c>
      <c r="Z3204" t="s">
        <v>29335</v>
      </c>
      <c r="AA3204">
        <v>1.465783104338606</v>
      </c>
      <c r="AB3204" t="str">
        <f>HYPERLINK("Melting_Curves/meltCurve_Q14061_COX17.pdf", "Melting_Curves/meltCurve_Q14061_COX17.pdf")</f>
        <v>Melting_Curves/meltCurve_Q14061_COX17.pdf</v>
      </c>
    </row>
    <row r="3205" spans="1:28" x14ac:dyDescent="0.25">
      <c r="A3205" t="s">
        <v>3208</v>
      </c>
      <c r="B3205">
        <v>0.99930955844802105</v>
      </c>
      <c r="C3205">
        <v>0.99202856411455598</v>
      </c>
      <c r="D3205">
        <v>1.0497921110738899</v>
      </c>
      <c r="E3205">
        <v>0.98029993189308395</v>
      </c>
      <c r="F3205">
        <v>0.85240836125108199</v>
      </c>
      <c r="G3205">
        <v>0.79188895442158203</v>
      </c>
      <c r="H3205">
        <v>0.60730083772392895</v>
      </c>
      <c r="I3205">
        <v>0.55404009877039895</v>
      </c>
      <c r="J3205">
        <v>0.51325753970183896</v>
      </c>
      <c r="K3205">
        <v>0.34568329695681399</v>
      </c>
      <c r="L3205">
        <v>671.74217294568302</v>
      </c>
      <c r="M3205">
        <v>10.8035517509377</v>
      </c>
      <c r="N3205">
        <v>65.349298657273593</v>
      </c>
      <c r="O3205">
        <v>60.161232572168799</v>
      </c>
      <c r="P3205">
        <v>-3.5748042597625103E-2</v>
      </c>
      <c r="Q3205">
        <v>0.20401405436980999</v>
      </c>
      <c r="R3205">
        <v>0.97443086213708896</v>
      </c>
      <c r="S3205" t="s">
        <v>9821</v>
      </c>
      <c r="T3205" t="s">
        <v>13232</v>
      </c>
      <c r="U3205" t="s">
        <v>13232</v>
      </c>
      <c r="V3205" t="s">
        <v>13232</v>
      </c>
      <c r="W3205" t="s">
        <v>16380</v>
      </c>
      <c r="X3205">
        <v>25</v>
      </c>
      <c r="Y3205" t="s">
        <v>22834</v>
      </c>
      <c r="Z3205" t="s">
        <v>29336</v>
      </c>
      <c r="AA3205">
        <v>0.77789985989454125</v>
      </c>
      <c r="AB3205" t="str">
        <f>HYPERLINK("Melting_Curves/meltCurve_Q14103_3_HNRNPD.pdf", "Melting_Curves/meltCurve_Q14103_3_HNRNPD.pdf")</f>
        <v>Melting_Curves/meltCurve_Q14103_3_HNRNPD.pdf</v>
      </c>
    </row>
    <row r="3206" spans="1:28" x14ac:dyDescent="0.25">
      <c r="A3206" t="s">
        <v>3209</v>
      </c>
      <c r="B3206">
        <v>0.99930955844802105</v>
      </c>
      <c r="C3206">
        <v>1.01772441123465</v>
      </c>
      <c r="D3206">
        <v>1.1771148554661099</v>
      </c>
      <c r="E3206">
        <v>1.17164185706588</v>
      </c>
      <c r="F3206">
        <v>0.92690511867978398</v>
      </c>
      <c r="G3206">
        <v>1.3124734568241301</v>
      </c>
      <c r="H3206">
        <v>1.24754904668511</v>
      </c>
      <c r="I3206">
        <v>1.3601495183205601</v>
      </c>
      <c r="J3206">
        <v>1.5097212177803701</v>
      </c>
      <c r="K3206">
        <v>0.83447217642059901</v>
      </c>
      <c r="L3206">
        <v>540.62555245946101</v>
      </c>
      <c r="M3206">
        <v>11.097249345499201</v>
      </c>
      <c r="O3206">
        <v>47.215344259898302</v>
      </c>
      <c r="P3206">
        <v>1.41611237634165E-2</v>
      </c>
      <c r="Q3206">
        <v>1.2409261683489501</v>
      </c>
      <c r="R3206">
        <v>0.15068380647277499</v>
      </c>
      <c r="S3206" t="s">
        <v>9822</v>
      </c>
      <c r="T3206" t="s">
        <v>13232</v>
      </c>
      <c r="U3206" t="s">
        <v>13232</v>
      </c>
      <c r="V3206" t="s">
        <v>13232</v>
      </c>
      <c r="W3206" t="s">
        <v>16381</v>
      </c>
      <c r="X3206">
        <v>24</v>
      </c>
      <c r="Y3206" t="s">
        <v>22834</v>
      </c>
      <c r="Z3206" t="s">
        <v>29337</v>
      </c>
      <c r="AA3206">
        <v>1.160666279032486</v>
      </c>
      <c r="AB3206" t="str">
        <f>HYPERLINK("Melting_Curves/meltCurve_Q14103_4_HNRNPD.pdf", "Melting_Curves/meltCurve_Q14103_4_HNRNPD.pdf")</f>
        <v>Melting_Curves/meltCurve_Q14103_4_HNRNPD.pdf</v>
      </c>
    </row>
    <row r="3207" spans="1:28" x14ac:dyDescent="0.25">
      <c r="A3207" t="s">
        <v>3210</v>
      </c>
      <c r="B3207">
        <v>0.99930955844802105</v>
      </c>
      <c r="C3207">
        <v>1.1770875723866101</v>
      </c>
      <c r="D3207">
        <v>1.1065330359940799</v>
      </c>
      <c r="E3207">
        <v>1.1464642364147699</v>
      </c>
      <c r="F3207">
        <v>1.11163047808133</v>
      </c>
      <c r="G3207">
        <v>0.84090145692596696</v>
      </c>
      <c r="H3207">
        <v>0.52684977476040096</v>
      </c>
      <c r="I3207">
        <v>0.54051360457602704</v>
      </c>
      <c r="J3207">
        <v>0.46466783522371802</v>
      </c>
      <c r="K3207">
        <v>0.41256608980075699</v>
      </c>
      <c r="L3207">
        <v>2688.8063533988302</v>
      </c>
      <c r="M3207">
        <v>46.2141674117645</v>
      </c>
      <c r="N3207">
        <v>61.908368195777001</v>
      </c>
      <c r="O3207">
        <v>58.072812383466697</v>
      </c>
      <c r="P3207">
        <v>-0.10563283167713999</v>
      </c>
      <c r="Q3207">
        <v>0.46904702581153801</v>
      </c>
      <c r="R3207">
        <v>0.90382510442944097</v>
      </c>
      <c r="S3207" t="s">
        <v>9823</v>
      </c>
      <c r="T3207" t="s">
        <v>13232</v>
      </c>
      <c r="U3207" t="s">
        <v>13232</v>
      </c>
      <c r="V3207" t="s">
        <v>13232</v>
      </c>
      <c r="W3207" t="s">
        <v>16382</v>
      </c>
      <c r="X3207">
        <v>4</v>
      </c>
      <c r="Y3207" t="s">
        <v>22835</v>
      </c>
      <c r="Z3207" t="s">
        <v>29338</v>
      </c>
      <c r="AA3207">
        <v>0.79241249339565323</v>
      </c>
      <c r="AB3207" t="str">
        <f>HYPERLINK("Melting_Curves/meltCurve_Q14118_DAG1.pdf", "Melting_Curves/meltCurve_Q14118_DAG1.pdf")</f>
        <v>Melting_Curves/meltCurve_Q14118_DAG1.pdf</v>
      </c>
    </row>
    <row r="3208" spans="1:28" x14ac:dyDescent="0.25">
      <c r="A3208" t="s">
        <v>3211</v>
      </c>
      <c r="B3208">
        <v>0.99930955844802105</v>
      </c>
      <c r="C3208">
        <v>0.97759814548666202</v>
      </c>
      <c r="D3208">
        <v>0.88592816847192302</v>
      </c>
      <c r="E3208">
        <v>0.83418453669371095</v>
      </c>
      <c r="F3208">
        <v>0.73140798113074101</v>
      </c>
      <c r="G3208">
        <v>0.54429599414985796</v>
      </c>
      <c r="H3208">
        <v>0.53874987626054605</v>
      </c>
      <c r="I3208">
        <v>0.57972927888374803</v>
      </c>
      <c r="J3208">
        <v>0.55306716638204301</v>
      </c>
      <c r="K3208">
        <v>0.45220499561600103</v>
      </c>
      <c r="L3208">
        <v>716.70653311363606</v>
      </c>
      <c r="M3208">
        <v>13.8358976126464</v>
      </c>
      <c r="O3208">
        <v>50.7543730696026</v>
      </c>
      <c r="P3208">
        <v>-3.4616481593368498E-2</v>
      </c>
      <c r="Q3208">
        <v>0.492134310507652</v>
      </c>
      <c r="R3208">
        <v>0.96220728490898</v>
      </c>
      <c r="S3208" t="s">
        <v>9824</v>
      </c>
      <c r="T3208" t="s">
        <v>13232</v>
      </c>
      <c r="U3208" t="s">
        <v>13232</v>
      </c>
      <c r="V3208" t="s">
        <v>13232</v>
      </c>
      <c r="W3208" t="s">
        <v>16383</v>
      </c>
      <c r="X3208">
        <v>11</v>
      </c>
      <c r="Y3208" t="s">
        <v>22836</v>
      </c>
      <c r="Z3208" t="s">
        <v>29339</v>
      </c>
      <c r="AA3208">
        <v>0.70482098977558727</v>
      </c>
      <c r="AB3208" t="str">
        <f>HYPERLINK("Melting_Curves/meltCurve_Q14126_DSG2.pdf", "Melting_Curves/meltCurve_Q14126_DSG2.pdf")</f>
        <v>Melting_Curves/meltCurve_Q14126_DSG2.pdf</v>
      </c>
    </row>
    <row r="3209" spans="1:28" x14ac:dyDescent="0.25">
      <c r="A3209" t="s">
        <v>3212</v>
      </c>
      <c r="B3209">
        <v>0.99930955844802105</v>
      </c>
      <c r="C3209">
        <v>0.839842378348019</v>
      </c>
      <c r="D3209">
        <v>0.69012826007594097</v>
      </c>
      <c r="E3209">
        <v>0.429247513468827</v>
      </c>
      <c r="F3209">
        <v>0.28656862080648099</v>
      </c>
      <c r="G3209">
        <v>0.20241806637611101</v>
      </c>
      <c r="H3209">
        <v>0.16001076171310499</v>
      </c>
      <c r="I3209">
        <v>0.16154125347943901</v>
      </c>
      <c r="J3209">
        <v>0.17214133190455</v>
      </c>
      <c r="K3209">
        <v>0.12540792536172199</v>
      </c>
      <c r="L3209">
        <v>732.44951833397897</v>
      </c>
      <c r="M3209">
        <v>15.3636532754103</v>
      </c>
      <c r="N3209">
        <v>48.707639918019098</v>
      </c>
      <c r="O3209">
        <v>46.888383771471602</v>
      </c>
      <c r="P3209">
        <v>-7.0528811786850304E-2</v>
      </c>
      <c r="Q3209">
        <v>0.13909074525446899</v>
      </c>
      <c r="R3209">
        <v>0.99603717111700396</v>
      </c>
      <c r="S3209" t="s">
        <v>9825</v>
      </c>
      <c r="T3209" t="s">
        <v>13232</v>
      </c>
      <c r="U3209" t="s">
        <v>13232</v>
      </c>
      <c r="V3209" t="s">
        <v>13232</v>
      </c>
      <c r="W3209" t="s">
        <v>16384</v>
      </c>
      <c r="X3209">
        <v>19</v>
      </c>
      <c r="Y3209" t="s">
        <v>22837</v>
      </c>
      <c r="Z3209" t="s">
        <v>29340</v>
      </c>
      <c r="AA3209">
        <v>0.38076738576519281</v>
      </c>
      <c r="AB3209" t="str">
        <f>HYPERLINK("Melting_Curves/meltCurve_Q14137_BOP1.pdf", "Melting_Curves/meltCurve_Q14137_BOP1.pdf")</f>
        <v>Melting_Curves/meltCurve_Q14137_BOP1.pdf</v>
      </c>
    </row>
    <row r="3210" spans="1:28" x14ac:dyDescent="0.25">
      <c r="A3210" t="s">
        <v>3213</v>
      </c>
      <c r="B3210">
        <v>0.99930955844802105</v>
      </c>
      <c r="C3210">
        <v>0.96870378869769602</v>
      </c>
      <c r="D3210">
        <v>0.90307180943560705</v>
      </c>
      <c r="E3210">
        <v>0.48702042822795799</v>
      </c>
      <c r="F3210">
        <v>0.25833431969123599</v>
      </c>
      <c r="G3210">
        <v>0.19226813256061601</v>
      </c>
      <c r="H3210">
        <v>0.13007943503460301</v>
      </c>
      <c r="I3210">
        <v>0.114627814377688</v>
      </c>
      <c r="J3210">
        <v>0.107023786093106</v>
      </c>
      <c r="K3210">
        <v>8.2908768850461098E-2</v>
      </c>
      <c r="L3210">
        <v>1212.7987274531699</v>
      </c>
      <c r="M3210">
        <v>24.504189980283101</v>
      </c>
      <c r="N3210">
        <v>50.021587374058299</v>
      </c>
      <c r="O3210">
        <v>49.167432379564502</v>
      </c>
      <c r="P3210">
        <v>-0.110397848426509</v>
      </c>
      <c r="Q3210">
        <v>0.113963820981151</v>
      </c>
      <c r="R3210">
        <v>0.99702831713104401</v>
      </c>
      <c r="S3210" t="s">
        <v>9826</v>
      </c>
      <c r="T3210" t="s">
        <v>13232</v>
      </c>
      <c r="U3210" t="s">
        <v>13232</v>
      </c>
      <c r="V3210" t="s">
        <v>13232</v>
      </c>
      <c r="W3210" t="s">
        <v>16385</v>
      </c>
      <c r="X3210">
        <v>19</v>
      </c>
      <c r="Y3210" t="s">
        <v>22838</v>
      </c>
      <c r="Z3210" t="s">
        <v>29341</v>
      </c>
      <c r="AA3210">
        <v>0.40255965564046309</v>
      </c>
      <c r="AB3210" t="str">
        <f>HYPERLINK("Melting_Curves/meltCurve_Q14139_UBE4A.pdf", "Melting_Curves/meltCurve_Q14139_UBE4A.pdf")</f>
        <v>Melting_Curves/meltCurve_Q14139_UBE4A.pdf</v>
      </c>
    </row>
    <row r="3211" spans="1:28" x14ac:dyDescent="0.25">
      <c r="A3211" t="s">
        <v>3214</v>
      </c>
      <c r="B3211">
        <v>0.99930955844802105</v>
      </c>
      <c r="C3211">
        <v>0.83124085929622704</v>
      </c>
      <c r="D3211">
        <v>0.87799044196472797</v>
      </c>
      <c r="E3211">
        <v>0.96223837444922899</v>
      </c>
      <c r="F3211">
        <v>0.93800266187124803</v>
      </c>
      <c r="G3211">
        <v>0.56317665478762902</v>
      </c>
      <c r="H3211">
        <v>0.247417175894691</v>
      </c>
      <c r="I3211">
        <v>0.14233768295868601</v>
      </c>
      <c r="J3211">
        <v>8.6814796443178396E-2</v>
      </c>
      <c r="K3211">
        <v>6.4217714298880305E-2</v>
      </c>
      <c r="L3211">
        <v>1465.0295949420199</v>
      </c>
      <c r="M3211">
        <v>25.4915773540136</v>
      </c>
      <c r="N3211">
        <v>57.787860330865598</v>
      </c>
      <c r="O3211">
        <v>57.120944463444303</v>
      </c>
      <c r="P3211">
        <v>-0.10429541275154799</v>
      </c>
      <c r="Q3211">
        <v>6.5200515501603301E-2</v>
      </c>
      <c r="R3211">
        <v>0.96803199498674097</v>
      </c>
      <c r="S3211" t="s">
        <v>9827</v>
      </c>
      <c r="T3211" t="s">
        <v>13232</v>
      </c>
      <c r="U3211" t="s">
        <v>13232</v>
      </c>
      <c r="V3211" t="s">
        <v>13232</v>
      </c>
      <c r="W3211" t="s">
        <v>16386</v>
      </c>
      <c r="X3211">
        <v>23</v>
      </c>
      <c r="Y3211" t="s">
        <v>22839</v>
      </c>
      <c r="Z3211" t="s">
        <v>29342</v>
      </c>
      <c r="AA3211">
        <v>0.61766597269967471</v>
      </c>
      <c r="AB3211" t="str">
        <f>HYPERLINK("Melting_Curves/meltCurve_Q14141_2_SEPT6.pdf", "Melting_Curves/meltCurve_Q14141_2_SEPT6.pdf")</f>
        <v>Melting_Curves/meltCurve_Q14141_2_SEPT6.pdf</v>
      </c>
    </row>
    <row r="3212" spans="1:28" x14ac:dyDescent="0.25">
      <c r="A3212" t="s">
        <v>3215</v>
      </c>
      <c r="B3212">
        <v>0.99930955844802105</v>
      </c>
      <c r="C3212">
        <v>0.90288775119116105</v>
      </c>
      <c r="D3212">
        <v>0.84432760443351396</v>
      </c>
      <c r="E3212">
        <v>0.72987810099423001</v>
      </c>
      <c r="F3212">
        <v>0.45675552327905</v>
      </c>
      <c r="G3212">
        <v>0.30093549483117799</v>
      </c>
      <c r="H3212">
        <v>0.165132055553009</v>
      </c>
      <c r="I3212">
        <v>0.13394057620486199</v>
      </c>
      <c r="J3212">
        <v>0.111571075007179</v>
      </c>
      <c r="K3212">
        <v>6.7271099773748497E-2</v>
      </c>
      <c r="L3212">
        <v>663.92509476707198</v>
      </c>
      <c r="M3212">
        <v>12.627589828096101</v>
      </c>
      <c r="N3212">
        <v>52.885798181905002</v>
      </c>
      <c r="O3212">
        <v>51.3110337736208</v>
      </c>
      <c r="P3212">
        <v>-5.9352215741328103E-2</v>
      </c>
      <c r="Q3212">
        <v>3.5501898839533898E-2</v>
      </c>
      <c r="R3212">
        <v>0.99314822415875803</v>
      </c>
      <c r="S3212" t="s">
        <v>9828</v>
      </c>
      <c r="T3212" t="s">
        <v>13232</v>
      </c>
      <c r="U3212" t="s">
        <v>13232</v>
      </c>
      <c r="V3212" t="s">
        <v>13232</v>
      </c>
      <c r="W3212" t="s">
        <v>16387</v>
      </c>
      <c r="X3212">
        <v>9</v>
      </c>
      <c r="Y3212" t="s">
        <v>22840</v>
      </c>
      <c r="Z3212" t="s">
        <v>29343</v>
      </c>
      <c r="AA3212">
        <v>0.46650329045241551</v>
      </c>
      <c r="AB3212" t="str">
        <f>HYPERLINK("Melting_Curves/meltCurve_Q14145_KEAP1.pdf", "Melting_Curves/meltCurve_Q14145_KEAP1.pdf")</f>
        <v>Melting_Curves/meltCurve_Q14145_KEAP1.pdf</v>
      </c>
    </row>
    <row r="3213" spans="1:28" x14ac:dyDescent="0.25">
      <c r="A3213" t="s">
        <v>3216</v>
      </c>
      <c r="B3213">
        <v>0.99930955844802105</v>
      </c>
      <c r="C3213">
        <v>0.78747915242639199</v>
      </c>
      <c r="D3213">
        <v>0.55563752484972495</v>
      </c>
      <c r="E3213">
        <v>0.34612413517055102</v>
      </c>
      <c r="F3213">
        <v>0.248590477093869</v>
      </c>
      <c r="G3213">
        <v>0.18496872996302999</v>
      </c>
      <c r="H3213">
        <v>0.13274500224881</v>
      </c>
      <c r="I3213">
        <v>8.7827783403758505E-2</v>
      </c>
      <c r="J3213">
        <v>5.5883876226541798E-2</v>
      </c>
      <c r="K3213">
        <v>5.3001969227762798E-2</v>
      </c>
      <c r="L3213">
        <v>641.25569896669106</v>
      </c>
      <c r="M3213">
        <v>13.675435720318101</v>
      </c>
      <c r="N3213">
        <v>47.415183219364401</v>
      </c>
      <c r="O3213">
        <v>45.922493426338697</v>
      </c>
      <c r="P3213">
        <v>-6.9236121728400504E-2</v>
      </c>
      <c r="Q3213">
        <v>7.0147765005124194E-2</v>
      </c>
      <c r="R3213">
        <v>0.98751680181608803</v>
      </c>
      <c r="S3213" t="s">
        <v>9829</v>
      </c>
      <c r="T3213" t="s">
        <v>13232</v>
      </c>
      <c r="U3213" t="s">
        <v>13232</v>
      </c>
      <c r="V3213" t="s">
        <v>13232</v>
      </c>
      <c r="W3213" t="s">
        <v>16388</v>
      </c>
      <c r="X3213">
        <v>5</v>
      </c>
      <c r="Y3213" t="s">
        <v>22841</v>
      </c>
      <c r="Z3213" t="s">
        <v>29344</v>
      </c>
      <c r="AA3213">
        <v>0.31440633294101089</v>
      </c>
      <c r="AB3213" t="str">
        <f>HYPERLINK("Melting_Curves/meltCurve_Q14147_DHX34.pdf", "Melting_Curves/meltCurve_Q14147_DHX34.pdf")</f>
        <v>Melting_Curves/meltCurve_Q14147_DHX34.pdf</v>
      </c>
    </row>
    <row r="3214" spans="1:28" x14ac:dyDescent="0.25">
      <c r="A3214" t="s">
        <v>3217</v>
      </c>
      <c r="B3214">
        <v>0.99930955844802105</v>
      </c>
      <c r="C3214">
        <v>1.0277027800101499</v>
      </c>
      <c r="D3214">
        <v>0.91595219654488302</v>
      </c>
      <c r="E3214">
        <v>0.66505703399780303</v>
      </c>
      <c r="F3214">
        <v>0.50995354933746395</v>
      </c>
      <c r="G3214">
        <v>0.411891540743761</v>
      </c>
      <c r="H3214">
        <v>0.37413265357019099</v>
      </c>
      <c r="I3214">
        <v>0.36137517210126902</v>
      </c>
      <c r="J3214">
        <v>0.34793161135016298</v>
      </c>
      <c r="K3214">
        <v>0.30126981007586401</v>
      </c>
      <c r="L3214">
        <v>1033.6154695787</v>
      </c>
      <c r="M3214">
        <v>20.603957494118099</v>
      </c>
      <c r="N3214">
        <v>53.137773491415601</v>
      </c>
      <c r="O3214">
        <v>49.700482015460203</v>
      </c>
      <c r="P3214">
        <v>-6.8191971210275107E-2</v>
      </c>
      <c r="Q3214">
        <v>0.34205343307500802</v>
      </c>
      <c r="R3214">
        <v>0.993181253276609</v>
      </c>
      <c r="S3214" t="s">
        <v>9830</v>
      </c>
      <c r="T3214" t="s">
        <v>13232</v>
      </c>
      <c r="U3214" t="s">
        <v>13232</v>
      </c>
      <c r="V3214" t="s">
        <v>13232</v>
      </c>
      <c r="W3214" t="s">
        <v>16389</v>
      </c>
      <c r="X3214">
        <v>27</v>
      </c>
      <c r="Y3214" t="s">
        <v>22842</v>
      </c>
      <c r="Z3214" t="s">
        <v>29345</v>
      </c>
      <c r="AA3214">
        <v>0.57364641605139499</v>
      </c>
      <c r="AB3214" t="str">
        <f>HYPERLINK("Melting_Curves/meltCurve_Q14149_MORC3.pdf", "Melting_Curves/meltCurve_Q14149_MORC3.pdf")</f>
        <v>Melting_Curves/meltCurve_Q14149_MORC3.pdf</v>
      </c>
    </row>
    <row r="3215" spans="1:28" x14ac:dyDescent="0.25">
      <c r="A3215" t="s">
        <v>3218</v>
      </c>
      <c r="B3215">
        <v>0.99930955844802105</v>
      </c>
      <c r="C3215">
        <v>1.05392104777929</v>
      </c>
      <c r="D3215">
        <v>1.09296541330162</v>
      </c>
      <c r="E3215">
        <v>1.08614175083525</v>
      </c>
      <c r="F3215">
        <v>0.95581395609842201</v>
      </c>
      <c r="G3215">
        <v>0.84379933954905995</v>
      </c>
      <c r="H3215">
        <v>0.87121710043937906</v>
      </c>
      <c r="I3215">
        <v>0.87706226283290001</v>
      </c>
      <c r="J3215">
        <v>0.84552405083216198</v>
      </c>
      <c r="K3215">
        <v>0.70401858698484898</v>
      </c>
      <c r="L3215">
        <v>571.87288985243697</v>
      </c>
      <c r="M3215">
        <v>7.5837896547265302</v>
      </c>
      <c r="Q3215">
        <v>0.26218020369491002</v>
      </c>
      <c r="R3215">
        <v>0.73555223145077597</v>
      </c>
      <c r="S3215" t="s">
        <v>9831</v>
      </c>
      <c r="T3215" t="s">
        <v>13232</v>
      </c>
      <c r="U3215" t="s">
        <v>13232</v>
      </c>
      <c r="V3215" t="s">
        <v>13232</v>
      </c>
      <c r="W3215" t="s">
        <v>16390</v>
      </c>
      <c r="X3215">
        <v>23</v>
      </c>
      <c r="Y3215" t="s">
        <v>20723</v>
      </c>
      <c r="Z3215" t="s">
        <v>29346</v>
      </c>
      <c r="AA3215">
        <v>0.92555247744404912</v>
      </c>
      <c r="AB3215" t="str">
        <f>HYPERLINK("Melting_Curves/meltCurve_Q14151_SAFB2.pdf", "Melting_Curves/meltCurve_Q14151_SAFB2.pdf")</f>
        <v>Melting_Curves/meltCurve_Q14151_SAFB2.pdf</v>
      </c>
    </row>
    <row r="3216" spans="1:28" x14ac:dyDescent="0.25">
      <c r="A3216" t="s">
        <v>3219</v>
      </c>
      <c r="B3216">
        <v>0.99930955844802105</v>
      </c>
      <c r="C3216">
        <v>0.644766783519368</v>
      </c>
      <c r="D3216">
        <v>0.62000664332519095</v>
      </c>
      <c r="E3216">
        <v>0.34346675502255303</v>
      </c>
      <c r="F3216">
        <v>0.24502223949948199</v>
      </c>
      <c r="G3216">
        <v>0.211091136119304</v>
      </c>
      <c r="H3216">
        <v>0.183059706302096</v>
      </c>
      <c r="I3216">
        <v>0.20073091877469701</v>
      </c>
      <c r="J3216">
        <v>0.21329180203520301</v>
      </c>
      <c r="K3216">
        <v>0.15826019748735301</v>
      </c>
      <c r="L3216">
        <v>678.14717301569601</v>
      </c>
      <c r="M3216">
        <v>14.9149023545547</v>
      </c>
      <c r="N3216">
        <v>46.834677420118297</v>
      </c>
      <c r="O3216">
        <v>44.673877950309098</v>
      </c>
      <c r="P3216">
        <v>-6.8743596243944799E-2</v>
      </c>
      <c r="Q3216">
        <v>0.176467741732453</v>
      </c>
      <c r="R3216">
        <v>0.95903741725445901</v>
      </c>
      <c r="S3216" t="s">
        <v>9832</v>
      </c>
      <c r="T3216" t="s">
        <v>13232</v>
      </c>
      <c r="U3216" t="s">
        <v>13232</v>
      </c>
      <c r="V3216" t="s">
        <v>13232</v>
      </c>
      <c r="W3216" t="s">
        <v>16391</v>
      </c>
      <c r="X3216">
        <v>72</v>
      </c>
      <c r="Y3216" t="s">
        <v>22843</v>
      </c>
      <c r="Z3216" t="s">
        <v>29347</v>
      </c>
      <c r="AA3216">
        <v>0.35209014325512389</v>
      </c>
      <c r="AB3216" t="str">
        <f>HYPERLINK("Melting_Curves/meltCurve_Q14152_EIF3A.pdf", "Melting_Curves/meltCurve_Q14152_EIF3A.pdf")</f>
        <v>Melting_Curves/meltCurve_Q14152_EIF3A.pdf</v>
      </c>
    </row>
    <row r="3217" spans="1:28" x14ac:dyDescent="0.25">
      <c r="A3217" t="s">
        <v>3220</v>
      </c>
      <c r="B3217">
        <v>0.99930955844802105</v>
      </c>
      <c r="C3217">
        <v>1.1452589937398701</v>
      </c>
      <c r="D3217">
        <v>1.02375956283054</v>
      </c>
      <c r="E3217">
        <v>0.84342576212810805</v>
      </c>
      <c r="F3217">
        <v>0.67490286859445903</v>
      </c>
      <c r="G3217">
        <v>0.56681129139896702</v>
      </c>
      <c r="H3217">
        <v>0.61494534826053904</v>
      </c>
      <c r="I3217">
        <v>0.63241529254767803</v>
      </c>
      <c r="J3217">
        <v>0.77228103987930896</v>
      </c>
      <c r="K3217">
        <v>0.59208982531349097</v>
      </c>
      <c r="L3217">
        <v>2572.6848532445101</v>
      </c>
      <c r="M3217">
        <v>51.140818560226599</v>
      </c>
      <c r="O3217">
        <v>50.229161693067503</v>
      </c>
      <c r="P3217">
        <v>-9.2247183092438303E-2</v>
      </c>
      <c r="Q3217">
        <v>0.63758933175799803</v>
      </c>
      <c r="R3217">
        <v>0.87576025100223398</v>
      </c>
      <c r="S3217" t="s">
        <v>9833</v>
      </c>
      <c r="T3217" t="s">
        <v>13232</v>
      </c>
      <c r="U3217" t="s">
        <v>13232</v>
      </c>
      <c r="V3217" t="s">
        <v>13232</v>
      </c>
      <c r="W3217" t="s">
        <v>16392</v>
      </c>
      <c r="X3217">
        <v>4</v>
      </c>
      <c r="Y3217" t="s">
        <v>22844</v>
      </c>
      <c r="Z3217" t="s">
        <v>29348</v>
      </c>
      <c r="AA3217">
        <v>0.76285678165182036</v>
      </c>
      <c r="AB3217" t="str">
        <f>HYPERLINK("Melting_Curves/meltCurve_Q14153_FAM53B.pdf", "Melting_Curves/meltCurve_Q14153_FAM53B.pdf")</f>
        <v>Melting_Curves/meltCurve_Q14153_FAM53B.pdf</v>
      </c>
    </row>
    <row r="3218" spans="1:28" x14ac:dyDescent="0.25">
      <c r="A3218" t="s">
        <v>3221</v>
      </c>
      <c r="B3218">
        <v>0.99930955844802105</v>
      </c>
      <c r="C3218">
        <v>1.17910347155377</v>
      </c>
      <c r="D3218">
        <v>1.14698101461907</v>
      </c>
      <c r="E3218">
        <v>0.95685155112424203</v>
      </c>
      <c r="F3218">
        <v>0.41024164056013102</v>
      </c>
      <c r="G3218">
        <v>0.27554882499206101</v>
      </c>
      <c r="H3218">
        <v>0.17899654623316499</v>
      </c>
      <c r="I3218">
        <v>0.17207098172742999</v>
      </c>
      <c r="J3218">
        <v>0.15533468444814499</v>
      </c>
      <c r="K3218">
        <v>0.119528216149132</v>
      </c>
      <c r="L3218">
        <v>3170.5421075238</v>
      </c>
      <c r="M3218">
        <v>60.722456751237701</v>
      </c>
      <c r="N3218">
        <v>52.596162146128698</v>
      </c>
      <c r="O3218">
        <v>52.157114775027999</v>
      </c>
      <c r="P3218">
        <v>-0.239104080897208</v>
      </c>
      <c r="Q3218">
        <v>0.17849326786531899</v>
      </c>
      <c r="R3218">
        <v>0.96381878664006804</v>
      </c>
      <c r="S3218" t="s">
        <v>9834</v>
      </c>
      <c r="T3218" t="s">
        <v>13232</v>
      </c>
      <c r="U3218" t="s">
        <v>13232</v>
      </c>
      <c r="V3218" t="s">
        <v>13232</v>
      </c>
      <c r="W3218" t="s">
        <v>16393</v>
      </c>
      <c r="X3218">
        <v>19</v>
      </c>
      <c r="Y3218" t="s">
        <v>22845</v>
      </c>
      <c r="Z3218" t="s">
        <v>29349</v>
      </c>
      <c r="AA3218">
        <v>0.51422743907259905</v>
      </c>
      <c r="AB3218" t="str">
        <f>HYPERLINK("Melting_Curves/meltCurve_Q14155_1_ARHGEF7.pdf", "Melting_Curves/meltCurve_Q14155_1_ARHGEF7.pdf")</f>
        <v>Melting_Curves/meltCurve_Q14155_1_ARHGEF7.pdf</v>
      </c>
    </row>
    <row r="3219" spans="1:28" x14ac:dyDescent="0.25">
      <c r="A3219" t="s">
        <v>3222</v>
      </c>
      <c r="B3219">
        <v>0.99930955844802105</v>
      </c>
      <c r="C3219">
        <v>1.06362410415627</v>
      </c>
      <c r="D3219">
        <v>1.0679270055433501</v>
      </c>
      <c r="E3219">
        <v>1.0173890996680699</v>
      </c>
      <c r="F3219">
        <v>0.88212658782715803</v>
      </c>
      <c r="G3219">
        <v>0.83837791805435602</v>
      </c>
      <c r="H3219">
        <v>0.79617010859740001</v>
      </c>
      <c r="I3219">
        <v>0.83530499527465096</v>
      </c>
      <c r="J3219">
        <v>0.84413116423247503</v>
      </c>
      <c r="K3219">
        <v>0.67832968393765702</v>
      </c>
      <c r="L3219">
        <v>13231.8313912417</v>
      </c>
      <c r="M3219">
        <v>250</v>
      </c>
      <c r="O3219">
        <v>52.9239514803864</v>
      </c>
      <c r="P3219">
        <v>-0.23800339108552701</v>
      </c>
      <c r="Q3219">
        <v>0.79846277047153602</v>
      </c>
      <c r="R3219">
        <v>0.81029124836835897</v>
      </c>
      <c r="S3219" t="s">
        <v>9835</v>
      </c>
      <c r="T3219" t="s">
        <v>13232</v>
      </c>
      <c r="U3219" t="s">
        <v>13232</v>
      </c>
      <c r="V3219" t="s">
        <v>13232</v>
      </c>
      <c r="W3219" t="s">
        <v>16394</v>
      </c>
      <c r="X3219">
        <v>25</v>
      </c>
      <c r="Y3219" t="s">
        <v>22846</v>
      </c>
      <c r="Z3219" t="s">
        <v>29350</v>
      </c>
      <c r="AA3219">
        <v>0.88532606990533436</v>
      </c>
      <c r="AB3219" t="str">
        <f>HYPERLINK("Melting_Curves/meltCurve_Q14157_UBAP2L.pdf", "Melting_Curves/meltCurve_Q14157_UBAP2L.pdf")</f>
        <v>Melting_Curves/meltCurve_Q14157_UBAP2L.pdf</v>
      </c>
    </row>
    <row r="3220" spans="1:28" x14ac:dyDescent="0.25">
      <c r="A3220" t="s">
        <v>3223</v>
      </c>
      <c r="B3220">
        <v>0.99930955844802105</v>
      </c>
      <c r="C3220">
        <v>0.98825118247837296</v>
      </c>
      <c r="D3220">
        <v>0.78706788976002795</v>
      </c>
      <c r="E3220">
        <v>0.57441050649807801</v>
      </c>
      <c r="F3220">
        <v>0.44608873737982702</v>
      </c>
      <c r="G3220">
        <v>0.35152944688623899</v>
      </c>
      <c r="H3220">
        <v>0.35663800665261602</v>
      </c>
      <c r="I3220">
        <v>0.39802323878419799</v>
      </c>
      <c r="J3220">
        <v>0.405190569442756</v>
      </c>
      <c r="K3220">
        <v>0.311935273722452</v>
      </c>
      <c r="L3220">
        <v>997.29853612134696</v>
      </c>
      <c r="M3220">
        <v>20.758934270756001</v>
      </c>
      <c r="N3220">
        <v>51.175513727116801</v>
      </c>
      <c r="O3220">
        <v>47.602736869263701</v>
      </c>
      <c r="P3220">
        <v>-6.9804014305866705E-2</v>
      </c>
      <c r="Q3220">
        <v>0.35974189895214798</v>
      </c>
      <c r="R3220">
        <v>0.98527174055680999</v>
      </c>
      <c r="S3220" t="s">
        <v>9836</v>
      </c>
      <c r="T3220" t="s">
        <v>13232</v>
      </c>
      <c r="U3220" t="s">
        <v>13232</v>
      </c>
      <c r="V3220" t="s">
        <v>13232</v>
      </c>
      <c r="W3220" t="s">
        <v>16395</v>
      </c>
      <c r="X3220">
        <v>48</v>
      </c>
      <c r="Y3220" t="s">
        <v>20503</v>
      </c>
      <c r="Z3220" t="s">
        <v>29351</v>
      </c>
      <c r="AA3220">
        <v>0.53977246553518332</v>
      </c>
      <c r="AB3220" t="str">
        <f>HYPERLINK("Melting_Curves/meltCurve_Q14160_SCRIB.pdf", "Melting_Curves/meltCurve_Q14160_SCRIB.pdf")</f>
        <v>Melting_Curves/meltCurve_Q14160_SCRIB.pdf</v>
      </c>
    </row>
    <row r="3221" spans="1:28" x14ac:dyDescent="0.25">
      <c r="A3221" t="s">
        <v>3224</v>
      </c>
      <c r="B3221">
        <v>0.99930955844802105</v>
      </c>
      <c r="C3221">
        <v>0.99141650584825303</v>
      </c>
      <c r="D3221">
        <v>0.90789483491663903</v>
      </c>
      <c r="E3221">
        <v>0.77376917978719795</v>
      </c>
      <c r="F3221">
        <v>0.63493570972697999</v>
      </c>
      <c r="G3221">
        <v>0.55756775785727497</v>
      </c>
      <c r="H3221">
        <v>0.50331755065293604</v>
      </c>
      <c r="I3221">
        <v>0.48959663539583398</v>
      </c>
      <c r="J3221">
        <v>0.399369435516501</v>
      </c>
      <c r="K3221">
        <v>0.24454806773739399</v>
      </c>
      <c r="L3221">
        <v>449.60916025847001</v>
      </c>
      <c r="M3221">
        <v>7.9457830994802201</v>
      </c>
      <c r="N3221">
        <v>59.973671146512501</v>
      </c>
      <c r="O3221">
        <v>53.337436294104201</v>
      </c>
      <c r="P3221">
        <v>-3.0542267910174399E-2</v>
      </c>
      <c r="Q3221">
        <v>0.18086931498344999</v>
      </c>
      <c r="R3221">
        <v>0.96188971823204195</v>
      </c>
      <c r="S3221" t="s">
        <v>9837</v>
      </c>
      <c r="T3221" t="s">
        <v>13232</v>
      </c>
      <c r="U3221" t="s">
        <v>13232</v>
      </c>
      <c r="V3221" t="s">
        <v>13232</v>
      </c>
      <c r="W3221" t="s">
        <v>16396</v>
      </c>
      <c r="X3221">
        <v>18</v>
      </c>
      <c r="Y3221" t="s">
        <v>22847</v>
      </c>
      <c r="Z3221" t="s">
        <v>29352</v>
      </c>
      <c r="AA3221">
        <v>0.64613087961038429</v>
      </c>
      <c r="AB3221" t="str">
        <f>HYPERLINK("Melting_Curves/meltCurve_Q14161_4_GIT2.pdf", "Melting_Curves/meltCurve_Q14161_4_GIT2.pdf")</f>
        <v>Melting_Curves/meltCurve_Q14161_4_GIT2.pdf</v>
      </c>
    </row>
    <row r="3222" spans="1:28" x14ac:dyDescent="0.25">
      <c r="A3222" t="s">
        <v>3225</v>
      </c>
      <c r="B3222">
        <v>0.99930955844802105</v>
      </c>
      <c r="C3222">
        <v>0.94708691135543599</v>
      </c>
      <c r="D3222">
        <v>0.44228769247022898</v>
      </c>
      <c r="E3222">
        <v>0.25415809511833998</v>
      </c>
      <c r="F3222">
        <v>0.14388944734224901</v>
      </c>
      <c r="G3222">
        <v>0.10332183507607701</v>
      </c>
      <c r="H3222">
        <v>6.825808361249E-2</v>
      </c>
      <c r="I3222">
        <v>5.8430379644865901E-2</v>
      </c>
      <c r="J3222">
        <v>5.05586867152698E-2</v>
      </c>
      <c r="K3222">
        <v>3.8104725835605403E-2</v>
      </c>
      <c r="L3222">
        <v>1210.41332737827</v>
      </c>
      <c r="M3222">
        <v>26.416009729021798</v>
      </c>
      <c r="N3222">
        <v>46.123544081334501</v>
      </c>
      <c r="O3222">
        <v>45.5610256347573</v>
      </c>
      <c r="P3222">
        <v>-0.13342688152297</v>
      </c>
      <c r="Q3222">
        <v>7.9497630765879596E-2</v>
      </c>
      <c r="R3222">
        <v>0.98063398613193498</v>
      </c>
      <c r="S3222" t="s">
        <v>9838</v>
      </c>
      <c r="T3222" t="s">
        <v>13232</v>
      </c>
      <c r="U3222" t="s">
        <v>13232</v>
      </c>
      <c r="V3222" t="s">
        <v>13232</v>
      </c>
      <c r="W3222" t="s">
        <v>16397</v>
      </c>
      <c r="X3222">
        <v>29</v>
      </c>
      <c r="Y3222" t="s">
        <v>22848</v>
      </c>
      <c r="Z3222" t="s">
        <v>29353</v>
      </c>
      <c r="AA3222">
        <v>0.26566948750259689</v>
      </c>
      <c r="AB3222" t="str">
        <f>HYPERLINK("Melting_Curves/meltCurve_Q14166_TTLL12.pdf", "Melting_Curves/meltCurve_Q14166_TTLL12.pdf")</f>
        <v>Melting_Curves/meltCurve_Q14166_TTLL12.pdf</v>
      </c>
    </row>
    <row r="3223" spans="1:28" x14ac:dyDescent="0.25">
      <c r="A3223" t="s">
        <v>3226</v>
      </c>
      <c r="B3223">
        <v>0.99930955844802105</v>
      </c>
      <c r="C3223">
        <v>1.0410398354827199</v>
      </c>
      <c r="D3223">
        <v>0.96576309053078802</v>
      </c>
      <c r="E3223">
        <v>0.86477176476606898</v>
      </c>
      <c r="F3223">
        <v>0.44627583676035298</v>
      </c>
      <c r="G3223">
        <v>0.24353377761471101</v>
      </c>
      <c r="H3223">
        <v>0.16952251625938</v>
      </c>
      <c r="I3223">
        <v>0.157870406612553</v>
      </c>
      <c r="J3223">
        <v>0.14544270054694999</v>
      </c>
      <c r="K3223">
        <v>0.11888263223921899</v>
      </c>
      <c r="L3223">
        <v>1762.4215684550099</v>
      </c>
      <c r="M3223">
        <v>33.771046050956102</v>
      </c>
      <c r="N3223">
        <v>52.759988538674698</v>
      </c>
      <c r="O3223">
        <v>52.005381911427698</v>
      </c>
      <c r="P3223">
        <v>-0.13743540200391399</v>
      </c>
      <c r="Q3223">
        <v>0.15343439565678199</v>
      </c>
      <c r="R3223">
        <v>0.995395212746506</v>
      </c>
      <c r="S3223" t="s">
        <v>9839</v>
      </c>
      <c r="T3223" t="s">
        <v>13232</v>
      </c>
      <c r="U3223" t="s">
        <v>13232</v>
      </c>
      <c r="V3223" t="s">
        <v>13232</v>
      </c>
      <c r="W3223" t="s">
        <v>16398</v>
      </c>
      <c r="X3223">
        <v>12</v>
      </c>
      <c r="Y3223" t="s">
        <v>22849</v>
      </c>
      <c r="Z3223" t="s">
        <v>29354</v>
      </c>
      <c r="AA3223">
        <v>0.50163360485886799</v>
      </c>
      <c r="AB3223" t="str">
        <f>HYPERLINK("Melting_Curves/meltCurve_Q14181_POLA2.pdf", "Melting_Curves/meltCurve_Q14181_POLA2.pdf")</f>
        <v>Melting_Curves/meltCurve_Q14181_POLA2.pdf</v>
      </c>
    </row>
    <row r="3224" spans="1:28" x14ac:dyDescent="0.25">
      <c r="A3224" t="s">
        <v>3227</v>
      </c>
      <c r="B3224">
        <v>0.99930955844802105</v>
      </c>
      <c r="C3224">
        <v>0.95636333234192905</v>
      </c>
      <c r="D3224">
        <v>0.826259645425934</v>
      </c>
      <c r="E3224">
        <v>0.83989949086533899</v>
      </c>
      <c r="F3224">
        <v>0.64726742281125105</v>
      </c>
      <c r="G3224">
        <v>0.26607090944739598</v>
      </c>
      <c r="H3224">
        <v>0.158603702223548</v>
      </c>
      <c r="I3224">
        <v>0.114055773848502</v>
      </c>
      <c r="J3224">
        <v>8.3615317824427896E-2</v>
      </c>
      <c r="K3224">
        <v>6.1971245213028298E-2</v>
      </c>
      <c r="L3224">
        <v>914.92506816443995</v>
      </c>
      <c r="M3224">
        <v>16.926542182635</v>
      </c>
      <c r="N3224">
        <v>54.314527139712602</v>
      </c>
      <c r="O3224">
        <v>53.315144800414103</v>
      </c>
      <c r="P3224">
        <v>-7.6265359480029396E-2</v>
      </c>
      <c r="Q3224">
        <v>3.91792579424746E-2</v>
      </c>
      <c r="R3224">
        <v>0.98283139239165196</v>
      </c>
      <c r="S3224" t="s">
        <v>9840</v>
      </c>
      <c r="T3224" t="s">
        <v>13232</v>
      </c>
      <c r="U3224" t="s">
        <v>13232</v>
      </c>
      <c r="V3224" t="s">
        <v>13232</v>
      </c>
      <c r="W3224" t="s">
        <v>16399</v>
      </c>
      <c r="X3224">
        <v>15</v>
      </c>
      <c r="Y3224" t="s">
        <v>22850</v>
      </c>
      <c r="Z3224" t="s">
        <v>29355</v>
      </c>
      <c r="AA3224">
        <v>0.50601901883084299</v>
      </c>
      <c r="AB3224" t="str">
        <f>HYPERLINK("Melting_Curves/meltCurve_Q14191_WRN.pdf", "Melting_Curves/meltCurve_Q14191_WRN.pdf")</f>
        <v>Melting_Curves/meltCurve_Q14191_WRN.pdf</v>
      </c>
    </row>
    <row r="3225" spans="1:28" x14ac:dyDescent="0.25">
      <c r="A3225" t="s">
        <v>3228</v>
      </c>
      <c r="B3225">
        <v>0.99930955844802105</v>
      </c>
      <c r="C3225">
        <v>0.81732188717543097</v>
      </c>
      <c r="D3225">
        <v>0.64898047625392796</v>
      </c>
      <c r="E3225">
        <v>0.40395584765763598</v>
      </c>
      <c r="F3225">
        <v>0.21102015371420299</v>
      </c>
      <c r="G3225">
        <v>0.16285600374047701</v>
      </c>
      <c r="H3225">
        <v>8.8223825053056606E-2</v>
      </c>
      <c r="I3225">
        <v>7.11904896830034E-2</v>
      </c>
      <c r="J3225">
        <v>6.2854145115777596E-2</v>
      </c>
      <c r="K3225">
        <v>5.0697038017446301E-2</v>
      </c>
      <c r="L3225">
        <v>680.17230188865301</v>
      </c>
      <c r="M3225">
        <v>14.215674330403999</v>
      </c>
      <c r="N3225">
        <v>48.1865918258625</v>
      </c>
      <c r="O3225">
        <v>46.9296873842246</v>
      </c>
      <c r="P3225">
        <v>-7.2124327548907005E-2</v>
      </c>
      <c r="Q3225">
        <v>4.7713058311406202E-2</v>
      </c>
      <c r="R3225">
        <v>0.99473028183352397</v>
      </c>
      <c r="S3225" t="s">
        <v>9841</v>
      </c>
      <c r="T3225" t="s">
        <v>13232</v>
      </c>
      <c r="U3225" t="s">
        <v>13232</v>
      </c>
      <c r="V3225" t="s">
        <v>13232</v>
      </c>
      <c r="W3225" t="s">
        <v>16400</v>
      </c>
      <c r="X3225">
        <v>6</v>
      </c>
      <c r="Y3225" t="s">
        <v>22851</v>
      </c>
      <c r="Z3225" t="s">
        <v>29356</v>
      </c>
      <c r="AA3225">
        <v>0.32423158858031542</v>
      </c>
      <c r="AB3225" t="str">
        <f>HYPERLINK("Melting_Curves/meltCurve_Q14192_FHL2.pdf", "Melting_Curves/meltCurve_Q14192_FHL2.pdf")</f>
        <v>Melting_Curves/meltCurve_Q14192_FHL2.pdf</v>
      </c>
    </row>
    <row r="3226" spans="1:28" x14ac:dyDescent="0.25">
      <c r="A3226" t="s">
        <v>3229</v>
      </c>
      <c r="B3226">
        <v>0.99930955844802105</v>
      </c>
      <c r="C3226">
        <v>1.01752410004525</v>
      </c>
      <c r="D3226">
        <v>0.83012954660140104</v>
      </c>
      <c r="E3226">
        <v>0.53251665889530397</v>
      </c>
      <c r="F3226">
        <v>0.30771350453298002</v>
      </c>
      <c r="G3226">
        <v>0.21663323481134</v>
      </c>
      <c r="H3226">
        <v>0.12049861421642501</v>
      </c>
      <c r="I3226">
        <v>8.9526322557380703E-2</v>
      </c>
      <c r="J3226">
        <v>7.8880792715410403E-2</v>
      </c>
      <c r="K3226">
        <v>6.5737894797083599E-2</v>
      </c>
      <c r="L3226">
        <v>908.17457903410502</v>
      </c>
      <c r="M3226">
        <v>18.158422989761</v>
      </c>
      <c r="N3226">
        <v>50.495230511543802</v>
      </c>
      <c r="O3226">
        <v>49.419214335567901</v>
      </c>
      <c r="P3226">
        <v>-8.4564004290554398E-2</v>
      </c>
      <c r="Q3226">
        <v>7.9460239543807695E-2</v>
      </c>
      <c r="R3226">
        <v>0.99484904594510903</v>
      </c>
      <c r="S3226" t="s">
        <v>9842</v>
      </c>
      <c r="T3226" t="s">
        <v>13232</v>
      </c>
      <c r="U3226" t="s">
        <v>13232</v>
      </c>
      <c r="V3226" t="s">
        <v>13232</v>
      </c>
      <c r="W3226" t="s">
        <v>16401</v>
      </c>
      <c r="X3226">
        <v>12</v>
      </c>
      <c r="Y3226" t="s">
        <v>22852</v>
      </c>
      <c r="Z3226" t="s">
        <v>29357</v>
      </c>
      <c r="AA3226">
        <v>0.4021715344376981</v>
      </c>
      <c r="AB3226" t="str">
        <f>HYPERLINK("Melting_Curves/meltCurve_Q14202_2_ZMYM3.pdf", "Melting_Curves/meltCurve_Q14202_2_ZMYM3.pdf")</f>
        <v>Melting_Curves/meltCurve_Q14202_2_ZMYM3.pdf</v>
      </c>
    </row>
    <row r="3227" spans="1:28" x14ac:dyDescent="0.25">
      <c r="A3227" t="s">
        <v>3230</v>
      </c>
      <c r="B3227">
        <v>0.99930955844802105</v>
      </c>
      <c r="C3227">
        <v>0.82133392857089504</v>
      </c>
      <c r="D3227">
        <v>0.89263295177317004</v>
      </c>
      <c r="E3227">
        <v>0.60529685741412798</v>
      </c>
      <c r="F3227">
        <v>0.30929436682255601</v>
      </c>
      <c r="G3227">
        <v>0.19901165496749201</v>
      </c>
      <c r="H3227">
        <v>0.10807307574357899</v>
      </c>
      <c r="I3227">
        <v>9.2270556493746894E-2</v>
      </c>
      <c r="J3227">
        <v>8.6953922135500905E-2</v>
      </c>
      <c r="K3227">
        <v>6.7697119481821999E-2</v>
      </c>
      <c r="L3227">
        <v>827.80920730344997</v>
      </c>
      <c r="M3227">
        <v>16.385195600256701</v>
      </c>
      <c r="N3227">
        <v>50.921797456318302</v>
      </c>
      <c r="O3227">
        <v>49.787233693703797</v>
      </c>
      <c r="P3227">
        <v>-7.7313152622839706E-2</v>
      </c>
      <c r="Q3227">
        <v>6.0387776032109E-2</v>
      </c>
      <c r="R3227">
        <v>0.98132307349748304</v>
      </c>
      <c r="S3227" t="s">
        <v>9843</v>
      </c>
      <c r="T3227" t="s">
        <v>13232</v>
      </c>
      <c r="U3227" t="s">
        <v>13232</v>
      </c>
      <c r="V3227" t="s">
        <v>13232</v>
      </c>
      <c r="W3227" t="s">
        <v>16402</v>
      </c>
      <c r="X3227">
        <v>60</v>
      </c>
      <c r="Y3227" t="s">
        <v>22853</v>
      </c>
      <c r="Z3227" t="s">
        <v>29358</v>
      </c>
      <c r="AA3227">
        <v>0.40881997230228212</v>
      </c>
      <c r="AB3227" t="str">
        <f>HYPERLINK("Melting_Curves/meltCurve_Q14203_6_DCTN1.pdf", "Melting_Curves/meltCurve_Q14203_6_DCTN1.pdf")</f>
        <v>Melting_Curves/meltCurve_Q14203_6_DCTN1.pdf</v>
      </c>
    </row>
    <row r="3228" spans="1:28" x14ac:dyDescent="0.25">
      <c r="A3228" t="s">
        <v>3231</v>
      </c>
      <c r="B3228">
        <v>0.99930955844802105</v>
      </c>
      <c r="C3228">
        <v>0.47350494671996401</v>
      </c>
      <c r="D3228">
        <v>0.46571841131054098</v>
      </c>
      <c r="E3228">
        <v>0.29205824488927801</v>
      </c>
      <c r="F3228">
        <v>0.172704773534573</v>
      </c>
      <c r="G3228">
        <v>0.11638678550459999</v>
      </c>
      <c r="H3228">
        <v>6.8952845226054396E-2</v>
      </c>
      <c r="I3228">
        <v>5.9815904416918898E-2</v>
      </c>
      <c r="J3228">
        <v>5.2967921354783301E-2</v>
      </c>
      <c r="K3228">
        <v>4.0338230095399802E-2</v>
      </c>
      <c r="L3228">
        <v>581.89892072479904</v>
      </c>
      <c r="M3228">
        <v>13.023649592062901</v>
      </c>
      <c r="N3228">
        <v>45.048468464620001</v>
      </c>
      <c r="O3228">
        <v>43.666134402840399</v>
      </c>
      <c r="P3228">
        <v>-7.0810665111030305E-2</v>
      </c>
      <c r="Q3228">
        <v>5.0501327036035097E-2</v>
      </c>
      <c r="R3228">
        <v>0.92242229053440705</v>
      </c>
      <c r="S3228" t="s">
        <v>9844</v>
      </c>
      <c r="T3228" t="s">
        <v>13232</v>
      </c>
      <c r="U3228" t="s">
        <v>13232</v>
      </c>
      <c r="V3228" t="s">
        <v>13232</v>
      </c>
      <c r="W3228" t="s">
        <v>16403</v>
      </c>
      <c r="X3228">
        <v>148</v>
      </c>
      <c r="Y3228" t="s">
        <v>22854</v>
      </c>
      <c r="Z3228" t="s">
        <v>29359</v>
      </c>
      <c r="AA3228">
        <v>0.2406272347950304</v>
      </c>
      <c r="AB3228" t="str">
        <f>HYPERLINK("Melting_Curves/meltCurve_Q14204_DYNC1H1.pdf", "Melting_Curves/meltCurve_Q14204_DYNC1H1.pdf")</f>
        <v>Melting_Curves/meltCurve_Q14204_DYNC1H1.pdf</v>
      </c>
    </row>
    <row r="3229" spans="1:28" x14ac:dyDescent="0.25">
      <c r="A3229" t="s">
        <v>3232</v>
      </c>
      <c r="B3229">
        <v>0.99930955844802105</v>
      </c>
      <c r="C3229">
        <v>1.02956245078847</v>
      </c>
      <c r="D3229">
        <v>0.99752921760819802</v>
      </c>
      <c r="E3229">
        <v>0.95105826082700295</v>
      </c>
      <c r="F3229">
        <v>0.83962771832001204</v>
      </c>
      <c r="G3229">
        <v>0.69718972780895505</v>
      </c>
      <c r="H3229">
        <v>0.57679446131552503</v>
      </c>
      <c r="I3229">
        <v>0.535424390971589</v>
      </c>
      <c r="J3229">
        <v>0.50452490121717097</v>
      </c>
      <c r="K3229">
        <v>0.394101193666891</v>
      </c>
      <c r="L3229">
        <v>778.085649455311</v>
      </c>
      <c r="M3229">
        <v>13.520436938373701</v>
      </c>
      <c r="N3229">
        <v>64.679035860972405</v>
      </c>
      <c r="O3229">
        <v>56.333675248823603</v>
      </c>
      <c r="P3229">
        <v>-3.6764437032970401E-2</v>
      </c>
      <c r="Q3229">
        <v>0.38736838395255802</v>
      </c>
      <c r="R3229">
        <v>0.98751034487618505</v>
      </c>
      <c r="S3229" t="s">
        <v>9845</v>
      </c>
      <c r="T3229" t="s">
        <v>13232</v>
      </c>
      <c r="U3229" t="s">
        <v>13232</v>
      </c>
      <c r="V3229" t="s">
        <v>13232</v>
      </c>
      <c r="W3229" t="s">
        <v>16404</v>
      </c>
      <c r="X3229">
        <v>12</v>
      </c>
      <c r="Y3229" t="s">
        <v>22855</v>
      </c>
      <c r="Z3229" t="s">
        <v>29360</v>
      </c>
      <c r="AA3229">
        <v>0.75486765108654652</v>
      </c>
      <c r="AB3229" t="str">
        <f>HYPERLINK("Melting_Curves/meltCurve_Q14207_NPAT.pdf", "Melting_Curves/meltCurve_Q14207_NPAT.pdf")</f>
        <v>Melting_Curves/meltCurve_Q14207_NPAT.pdf</v>
      </c>
    </row>
    <row r="3230" spans="1:28" x14ac:dyDescent="0.25">
      <c r="A3230" t="s">
        <v>3233</v>
      </c>
      <c r="B3230">
        <v>0.99930955844802105</v>
      </c>
      <c r="C3230">
        <v>0.98342170295875098</v>
      </c>
      <c r="D3230">
        <v>1.0326760596889</v>
      </c>
      <c r="E3230">
        <v>0.92828061613055202</v>
      </c>
      <c r="F3230">
        <v>0.96201754514313498</v>
      </c>
      <c r="G3230">
        <v>0.71787499475030903</v>
      </c>
      <c r="H3230">
        <v>0.13863306795425001</v>
      </c>
      <c r="I3230">
        <v>9.1301596216094905E-2</v>
      </c>
      <c r="J3230">
        <v>6.7896085923882202E-2</v>
      </c>
      <c r="K3230">
        <v>5.5351767097526997E-2</v>
      </c>
      <c r="L3230">
        <v>2734.22932799611</v>
      </c>
      <c r="M3230">
        <v>47.151048572655398</v>
      </c>
      <c r="N3230">
        <v>58.159586002255303</v>
      </c>
      <c r="O3230">
        <v>57.884708963567199</v>
      </c>
      <c r="P3230">
        <v>-0.190471841697017</v>
      </c>
      <c r="Q3230">
        <v>6.4674468758722195E-2</v>
      </c>
      <c r="R3230">
        <v>0.995779124171569</v>
      </c>
      <c r="S3230" t="s">
        <v>9846</v>
      </c>
      <c r="T3230" t="s">
        <v>13232</v>
      </c>
      <c r="U3230" t="s">
        <v>13232</v>
      </c>
      <c r="V3230" t="s">
        <v>13232</v>
      </c>
      <c r="W3230" t="s">
        <v>16405</v>
      </c>
      <c r="X3230">
        <v>24</v>
      </c>
      <c r="Y3230" t="s">
        <v>22856</v>
      </c>
      <c r="Z3230" t="s">
        <v>29361</v>
      </c>
      <c r="AA3230">
        <v>0.62819250330051113</v>
      </c>
      <c r="AB3230" t="str">
        <f>HYPERLINK("Melting_Curves/meltCurve_Q14232_EIF2B1.pdf", "Melting_Curves/meltCurve_Q14232_EIF2B1.pdf")</f>
        <v>Melting_Curves/meltCurve_Q14232_EIF2B1.pdf</v>
      </c>
    </row>
    <row r="3231" spans="1:28" x14ac:dyDescent="0.25">
      <c r="A3231" t="s">
        <v>3234</v>
      </c>
      <c r="B3231">
        <v>0.99930955844802105</v>
      </c>
      <c r="C3231">
        <v>1.0003931441203699</v>
      </c>
      <c r="D3231">
        <v>1.01435743393815</v>
      </c>
      <c r="E3231">
        <v>0.85677848807339396</v>
      </c>
      <c r="F3231">
        <v>0.69210441581367499</v>
      </c>
      <c r="G3231">
        <v>0.63484046632295599</v>
      </c>
      <c r="H3231">
        <v>0.55346933979517798</v>
      </c>
      <c r="I3231">
        <v>0.62908577000342203</v>
      </c>
      <c r="J3231">
        <v>0.58571780181517497</v>
      </c>
      <c r="K3231">
        <v>0.479729760537289</v>
      </c>
      <c r="L3231">
        <v>1290.50420659219</v>
      </c>
      <c r="M3231">
        <v>25.057648081446601</v>
      </c>
      <c r="O3231">
        <v>51.176760912873</v>
      </c>
      <c r="P3231">
        <v>-5.3359790557367302E-2</v>
      </c>
      <c r="Q3231">
        <v>0.56408603732855001</v>
      </c>
      <c r="R3231">
        <v>0.96128764064788697</v>
      </c>
      <c r="S3231" t="s">
        <v>9847</v>
      </c>
      <c r="T3231" t="s">
        <v>13232</v>
      </c>
      <c r="U3231" t="s">
        <v>13232</v>
      </c>
      <c r="V3231" t="s">
        <v>13232</v>
      </c>
      <c r="W3231" t="s">
        <v>16406</v>
      </c>
      <c r="X3231">
        <v>21</v>
      </c>
      <c r="Y3231" t="s">
        <v>22857</v>
      </c>
      <c r="Z3231" t="s">
        <v>29362</v>
      </c>
      <c r="AA3231">
        <v>0.73514848778333997</v>
      </c>
      <c r="AB3231" t="str">
        <f>HYPERLINK("Melting_Curves/meltCurve_Q14241_TCEB3.pdf", "Melting_Curves/meltCurve_Q14241_TCEB3.pdf")</f>
        <v>Melting_Curves/meltCurve_Q14241_TCEB3.pdf</v>
      </c>
    </row>
    <row r="3232" spans="1:28" x14ac:dyDescent="0.25">
      <c r="A3232" t="s">
        <v>3235</v>
      </c>
      <c r="B3232">
        <v>0.99930955844802105</v>
      </c>
      <c r="C3232">
        <v>1.2090933823963399</v>
      </c>
      <c r="D3232">
        <v>1.13385668698387</v>
      </c>
      <c r="E3232">
        <v>1.18300395935515</v>
      </c>
      <c r="F3232">
        <v>1.14216613975201</v>
      </c>
      <c r="G3232">
        <v>1.11353353777946</v>
      </c>
      <c r="H3232">
        <v>1.3304181616947801</v>
      </c>
      <c r="I3232">
        <v>1.4913551976845101</v>
      </c>
      <c r="J3232">
        <v>1.8217657995623699</v>
      </c>
      <c r="K3232">
        <v>1.33132230684361</v>
      </c>
      <c r="L3232">
        <v>620.02672158345604</v>
      </c>
      <c r="M3232">
        <v>11.274180765457199</v>
      </c>
      <c r="O3232">
        <v>53.350224872195597</v>
      </c>
      <c r="P3232">
        <v>2.6423600215587699E-2</v>
      </c>
      <c r="Q3232">
        <v>1.5</v>
      </c>
      <c r="R3232">
        <v>0.49865937995595999</v>
      </c>
      <c r="S3232" t="s">
        <v>9848</v>
      </c>
      <c r="T3232" t="s">
        <v>13232</v>
      </c>
      <c r="U3232" t="s">
        <v>13232</v>
      </c>
      <c r="V3232" t="s">
        <v>13232</v>
      </c>
      <c r="W3232" t="s">
        <v>16407</v>
      </c>
      <c r="X3232">
        <v>17</v>
      </c>
      <c r="Y3232" t="s">
        <v>22858</v>
      </c>
      <c r="Z3232" t="s">
        <v>29363</v>
      </c>
      <c r="AA3232">
        <v>1.237869127751354</v>
      </c>
      <c r="AB3232" t="str">
        <f>HYPERLINK("Melting_Curves/meltCurve_Q14244_2_MAP7.pdf", "Melting_Curves/meltCurve_Q14244_2_MAP7.pdf")</f>
        <v>Melting_Curves/meltCurve_Q14244_2_MAP7.pdf</v>
      </c>
    </row>
    <row r="3233" spans="1:28" x14ac:dyDescent="0.25">
      <c r="A3233" t="s">
        <v>3236</v>
      </c>
      <c r="B3233">
        <v>0.99930955844802105</v>
      </c>
      <c r="C3233">
        <v>1.0512592741309399</v>
      </c>
      <c r="D3233">
        <v>1.1190126537306599</v>
      </c>
      <c r="E3233">
        <v>1.0520396144486199</v>
      </c>
      <c r="F3233">
        <v>0.92335411615348995</v>
      </c>
      <c r="G3233">
        <v>0.94457516789186002</v>
      </c>
      <c r="H3233">
        <v>0.95144668872433402</v>
      </c>
      <c r="I3233">
        <v>1.0242918498815199</v>
      </c>
      <c r="J3233">
        <v>1.0489122598570499</v>
      </c>
      <c r="K3233">
        <v>0.81931523057677402</v>
      </c>
      <c r="L3233">
        <v>15000</v>
      </c>
      <c r="M3233">
        <v>212.77396576958799</v>
      </c>
      <c r="Q3233">
        <v>0</v>
      </c>
      <c r="R3233">
        <v>0.48799457881006902</v>
      </c>
      <c r="S3233" t="s">
        <v>9849</v>
      </c>
      <c r="T3233" t="s">
        <v>13232</v>
      </c>
      <c r="U3233" t="s">
        <v>13232</v>
      </c>
      <c r="V3233" t="s">
        <v>13232</v>
      </c>
      <c r="W3233" t="s">
        <v>16408</v>
      </c>
      <c r="X3233">
        <v>47</v>
      </c>
      <c r="Y3233" t="s">
        <v>22859</v>
      </c>
      <c r="Z3233" t="s">
        <v>29364</v>
      </c>
      <c r="AA3233">
        <v>0.99785104290400062</v>
      </c>
      <c r="AB3233" t="str">
        <f>HYPERLINK("Melting_Curves/meltCurve_Q14247_CTTN.pdf", "Melting_Curves/meltCurve_Q14247_CTTN.pdf")</f>
        <v>Melting_Curves/meltCurve_Q14247_CTTN.pdf</v>
      </c>
    </row>
    <row r="3234" spans="1:28" x14ac:dyDescent="0.25">
      <c r="A3234" t="s">
        <v>3237</v>
      </c>
      <c r="B3234">
        <v>0.99930955844802105</v>
      </c>
      <c r="C3234">
        <v>0.75306439850448204</v>
      </c>
      <c r="D3234">
        <v>0.77039111686436201</v>
      </c>
      <c r="E3234">
        <v>0.57791678278752501</v>
      </c>
      <c r="F3234">
        <v>0.55047207917055296</v>
      </c>
      <c r="G3234">
        <v>0.68927593476988802</v>
      </c>
      <c r="H3234">
        <v>0.47950518877853698</v>
      </c>
      <c r="I3234">
        <v>0.89167978767832701</v>
      </c>
      <c r="J3234">
        <v>0.73130450548244996</v>
      </c>
      <c r="K3234">
        <v>0.52254720039428604</v>
      </c>
      <c r="L3234">
        <v>1226.70712738682</v>
      </c>
      <c r="M3234">
        <v>28.7841708493068</v>
      </c>
      <c r="O3234">
        <v>42.413320803747503</v>
      </c>
      <c r="P3234">
        <v>-6.0702706935379401E-2</v>
      </c>
      <c r="Q3234">
        <v>0.64222237934515003</v>
      </c>
      <c r="R3234">
        <v>0.44760094669852302</v>
      </c>
      <c r="S3234" t="s">
        <v>9850</v>
      </c>
      <c r="T3234" t="s">
        <v>13232</v>
      </c>
      <c r="U3234" t="s">
        <v>13232</v>
      </c>
      <c r="V3234" t="s">
        <v>13232</v>
      </c>
      <c r="W3234" t="s">
        <v>16409</v>
      </c>
      <c r="X3234">
        <v>43</v>
      </c>
      <c r="Y3234" t="s">
        <v>22859</v>
      </c>
      <c r="Z3234" t="s">
        <v>29365</v>
      </c>
      <c r="AA3234">
        <v>0.67755615917897394</v>
      </c>
      <c r="AB3234" t="str">
        <f>HYPERLINK("Melting_Curves/meltCurve_Q14247_3_CTTN.pdf", "Melting_Curves/meltCurve_Q14247_3_CTTN.pdf")</f>
        <v>Melting_Curves/meltCurve_Q14247_3_CTTN.pdf</v>
      </c>
    </row>
    <row r="3235" spans="1:28" x14ac:dyDescent="0.25">
      <c r="A3235" t="s">
        <v>3238</v>
      </c>
      <c r="B3235">
        <v>0.99930955844802105</v>
      </c>
      <c r="C3235">
        <v>0.81938791093729801</v>
      </c>
      <c r="D3235">
        <v>0.76405914890373605</v>
      </c>
      <c r="E3235">
        <v>0.60966833411904098</v>
      </c>
      <c r="F3235">
        <v>0.31372019274062402</v>
      </c>
      <c r="G3235">
        <v>0.22694795251592501</v>
      </c>
      <c r="H3235">
        <v>0.138121510268116</v>
      </c>
      <c r="I3235">
        <v>0.125328412105084</v>
      </c>
      <c r="J3235">
        <v>0.102489174096103</v>
      </c>
      <c r="K3235">
        <v>7.6571343683118506E-2</v>
      </c>
      <c r="L3235">
        <v>606.99375705478303</v>
      </c>
      <c r="M3235">
        <v>12.1008248041461</v>
      </c>
      <c r="N3235">
        <v>50.588826481802002</v>
      </c>
      <c r="O3235">
        <v>48.850393343069001</v>
      </c>
      <c r="P3235">
        <v>-5.8932117310659497E-2</v>
      </c>
      <c r="Q3235">
        <v>4.8598633868466697E-2</v>
      </c>
      <c r="R3235">
        <v>0.98445928736316302</v>
      </c>
      <c r="S3235" t="s">
        <v>9851</v>
      </c>
      <c r="T3235" t="s">
        <v>13232</v>
      </c>
      <c r="U3235" t="s">
        <v>13232</v>
      </c>
      <c r="V3235" t="s">
        <v>13232</v>
      </c>
      <c r="W3235" t="s">
        <v>16410</v>
      </c>
      <c r="X3235">
        <v>10</v>
      </c>
      <c r="Y3235" t="s">
        <v>22860</v>
      </c>
      <c r="Z3235" t="s">
        <v>29366</v>
      </c>
      <c r="AA3235">
        <v>0.40305278145332701</v>
      </c>
      <c r="AB3235" t="str">
        <f>HYPERLINK("Melting_Curves/meltCurve_Q14249_ENDOG.pdf", "Melting_Curves/meltCurve_Q14249_ENDOG.pdf")</f>
        <v>Melting_Curves/meltCurve_Q14249_ENDOG.pdf</v>
      </c>
    </row>
    <row r="3236" spans="1:28" x14ac:dyDescent="0.25">
      <c r="A3236" t="s">
        <v>3239</v>
      </c>
      <c r="B3236">
        <v>0.99930955844802105</v>
      </c>
      <c r="C3236">
        <v>1.0173782280558099</v>
      </c>
      <c r="D3236">
        <v>0.91728156772264102</v>
      </c>
      <c r="E3236">
        <v>0.64955055158497499</v>
      </c>
      <c r="F3236">
        <v>0.29638759392740899</v>
      </c>
      <c r="G3236">
        <v>0.16617840196025799</v>
      </c>
      <c r="H3236">
        <v>9.9691698486250604E-2</v>
      </c>
      <c r="I3236">
        <v>9.1115063364695298E-2</v>
      </c>
      <c r="J3236">
        <v>8.3994129309881399E-2</v>
      </c>
      <c r="K3236">
        <v>6.3333706897925501E-2</v>
      </c>
      <c r="L3236">
        <v>1275.74670095027</v>
      </c>
      <c r="M3236">
        <v>25.114107888789299</v>
      </c>
      <c r="N3236">
        <v>51.165079605819301</v>
      </c>
      <c r="O3236">
        <v>50.479211828626902</v>
      </c>
      <c r="P3236">
        <v>-0.11412649989208699</v>
      </c>
      <c r="Q3236">
        <v>8.2437645590303602E-2</v>
      </c>
      <c r="R3236">
        <v>0.99786648530661803</v>
      </c>
      <c r="S3236" t="s">
        <v>9852</v>
      </c>
      <c r="T3236" t="s">
        <v>13232</v>
      </c>
      <c r="U3236" t="s">
        <v>13232</v>
      </c>
      <c r="V3236" t="s">
        <v>13232</v>
      </c>
      <c r="W3236" t="s">
        <v>16411</v>
      </c>
      <c r="X3236">
        <v>27</v>
      </c>
      <c r="Y3236" t="s">
        <v>22861</v>
      </c>
      <c r="Z3236" t="s">
        <v>29367</v>
      </c>
      <c r="AA3236">
        <v>0.42089606025132098</v>
      </c>
      <c r="AB3236" t="str">
        <f>HYPERLINK("Melting_Curves/meltCurve_Q14258_TRIM25.pdf", "Melting_Curves/meltCurve_Q14258_TRIM25.pdf")</f>
        <v>Melting_Curves/meltCurve_Q14258_TRIM25.pdf</v>
      </c>
    </row>
    <row r="3237" spans="1:28" x14ac:dyDescent="0.25">
      <c r="A3237" t="s">
        <v>3240</v>
      </c>
      <c r="B3237">
        <v>0.99930955844802105</v>
      </c>
      <c r="C3237">
        <v>1.04058505325423</v>
      </c>
      <c r="D3237">
        <v>0.96131506052958704</v>
      </c>
      <c r="E3237">
        <v>0.73987187199210802</v>
      </c>
      <c r="F3237">
        <v>0.42739953586055202</v>
      </c>
      <c r="G3237">
        <v>0.246477044228538</v>
      </c>
      <c r="H3237">
        <v>0.146851373547293</v>
      </c>
      <c r="I3237">
        <v>0.113533362165186</v>
      </c>
      <c r="J3237">
        <v>9.8891366492404403E-2</v>
      </c>
      <c r="K3237">
        <v>7.2642128120935998E-2</v>
      </c>
      <c r="L3237">
        <v>1127.0119836477099</v>
      </c>
      <c r="M3237">
        <v>21.676236493529402</v>
      </c>
      <c r="N3237">
        <v>52.511276393563698</v>
      </c>
      <c r="O3237">
        <v>51.556525617765402</v>
      </c>
      <c r="P3237">
        <v>-9.4988939295141406E-2</v>
      </c>
      <c r="Q3237">
        <v>9.6303669657887503E-2</v>
      </c>
      <c r="R3237">
        <v>0.99626860282503604</v>
      </c>
      <c r="S3237" t="s">
        <v>9853</v>
      </c>
      <c r="T3237" t="s">
        <v>13232</v>
      </c>
      <c r="U3237" t="s">
        <v>13232</v>
      </c>
      <c r="V3237" t="s">
        <v>13232</v>
      </c>
      <c r="W3237" t="s">
        <v>16412</v>
      </c>
      <c r="X3237">
        <v>25</v>
      </c>
      <c r="Y3237" t="s">
        <v>22862</v>
      </c>
      <c r="Z3237" t="s">
        <v>29368</v>
      </c>
      <c r="AA3237">
        <v>0.46837162190461928</v>
      </c>
      <c r="AB3237" t="str">
        <f>HYPERLINK("Melting_Curves/meltCurve_Q14289_2_PTK2B.pdf", "Melting_Curves/meltCurve_Q14289_2_PTK2B.pdf")</f>
        <v>Melting_Curves/meltCurve_Q14289_2_PTK2B.pdf</v>
      </c>
    </row>
    <row r="3238" spans="1:28" x14ac:dyDescent="0.25">
      <c r="A3238" t="s">
        <v>3241</v>
      </c>
      <c r="B3238">
        <v>0.99930955844802105</v>
      </c>
      <c r="C3238">
        <v>1.06038935236739</v>
      </c>
      <c r="D3238">
        <v>1.05660879870456</v>
      </c>
      <c r="E3238">
        <v>1.01491719573456</v>
      </c>
      <c r="F3238">
        <v>0.91621936458497699</v>
      </c>
      <c r="G3238">
        <v>0.63745940685346503</v>
      </c>
      <c r="H3238">
        <v>0.248814500329917</v>
      </c>
      <c r="I3238">
        <v>0.17132230451749</v>
      </c>
      <c r="J3238">
        <v>0.13389096761934</v>
      </c>
      <c r="K3238">
        <v>9.9928645901246907E-2</v>
      </c>
      <c r="L3238">
        <v>1654.8613347435601</v>
      </c>
      <c r="M3238">
        <v>28.692769137518699</v>
      </c>
      <c r="N3238">
        <v>58.168938364090998</v>
      </c>
      <c r="O3238">
        <v>57.397230035239801</v>
      </c>
      <c r="P3238">
        <v>-0.111468037882028</v>
      </c>
      <c r="Q3238">
        <v>0.108080955320255</v>
      </c>
      <c r="R3238">
        <v>0.99465281576208298</v>
      </c>
      <c r="S3238" t="s">
        <v>9854</v>
      </c>
      <c r="T3238" t="s">
        <v>13232</v>
      </c>
      <c r="U3238" t="s">
        <v>13232</v>
      </c>
      <c r="V3238" t="s">
        <v>13232</v>
      </c>
      <c r="W3238" t="s">
        <v>16413</v>
      </c>
      <c r="X3238">
        <v>142</v>
      </c>
      <c r="Y3238" t="s">
        <v>22863</v>
      </c>
      <c r="Z3238" t="s">
        <v>29369</v>
      </c>
      <c r="AA3238">
        <v>0.63993166278291591</v>
      </c>
      <c r="AB3238" t="str">
        <f>HYPERLINK("Melting_Curves/meltCurve_Q14315_FLNC.pdf", "Melting_Curves/meltCurve_Q14315_FLNC.pdf")</f>
        <v>Melting_Curves/meltCurve_Q14315_FLNC.pdf</v>
      </c>
    </row>
    <row r="3239" spans="1:28" x14ac:dyDescent="0.25">
      <c r="A3239" t="s">
        <v>3242</v>
      </c>
      <c r="B3239">
        <v>0.99930955844802105</v>
      </c>
      <c r="C3239">
        <v>0.89866321729463805</v>
      </c>
      <c r="D3239">
        <v>0.60171072108367496</v>
      </c>
      <c r="E3239">
        <v>0.33922105302265798</v>
      </c>
      <c r="F3239">
        <v>0.18749520025239899</v>
      </c>
      <c r="G3239">
        <v>0.121964613609804</v>
      </c>
      <c r="H3239">
        <v>7.1148443114871507E-2</v>
      </c>
      <c r="I3239">
        <v>6.4292481736948306E-2</v>
      </c>
      <c r="J3239">
        <v>6.23938358850065E-2</v>
      </c>
      <c r="K3239">
        <v>4.7973447964337598E-2</v>
      </c>
      <c r="L3239">
        <v>832.51193986512499</v>
      </c>
      <c r="M3239">
        <v>17.6000026554483</v>
      </c>
      <c r="N3239">
        <v>47.640445816725297</v>
      </c>
      <c r="O3239">
        <v>46.703811205312398</v>
      </c>
      <c r="P3239">
        <v>-8.86761417380037E-2</v>
      </c>
      <c r="Q3239">
        <v>5.8797622139225E-2</v>
      </c>
      <c r="R3239">
        <v>0.99581968017924705</v>
      </c>
      <c r="S3239" t="s">
        <v>9855</v>
      </c>
      <c r="T3239" t="s">
        <v>13232</v>
      </c>
      <c r="U3239" t="s">
        <v>13232</v>
      </c>
      <c r="V3239" t="s">
        <v>13232</v>
      </c>
      <c r="W3239" t="s">
        <v>16414</v>
      </c>
      <c r="X3239">
        <v>12</v>
      </c>
      <c r="Y3239" t="s">
        <v>22864</v>
      </c>
      <c r="Z3239" t="s">
        <v>29370</v>
      </c>
      <c r="AA3239">
        <v>0.3058527196930077</v>
      </c>
      <c r="AB3239" t="str">
        <f>HYPERLINK("Melting_Curves/meltCurve_Q14318_2_FKBP8.pdf", "Melting_Curves/meltCurve_Q14318_2_FKBP8.pdf")</f>
        <v>Melting_Curves/meltCurve_Q14318_2_FKBP8.pdf</v>
      </c>
    </row>
    <row r="3240" spans="1:28" x14ac:dyDescent="0.25">
      <c r="A3240" t="s">
        <v>3243</v>
      </c>
      <c r="B3240">
        <v>0.99930955844802105</v>
      </c>
      <c r="C3240">
        <v>1.13163776738727</v>
      </c>
      <c r="D3240">
        <v>1.1698065525110399</v>
      </c>
      <c r="E3240">
        <v>1.0707098710195799</v>
      </c>
      <c r="F3240">
        <v>0.76637684466189004</v>
      </c>
      <c r="G3240">
        <v>0.45835526113083802</v>
      </c>
      <c r="H3240">
        <v>0.28167326989041902</v>
      </c>
      <c r="I3240">
        <v>0.25314638752565</v>
      </c>
      <c r="J3240">
        <v>0.23136407666074199</v>
      </c>
      <c r="K3240">
        <v>0.187493980606636</v>
      </c>
      <c r="L3240">
        <v>1614.0673961697501</v>
      </c>
      <c r="M3240">
        <v>29.2554512578557</v>
      </c>
      <c r="N3240">
        <v>56.310751700351197</v>
      </c>
      <c r="O3240">
        <v>54.915653127721697</v>
      </c>
      <c r="P3240">
        <v>-0.103436529791556</v>
      </c>
      <c r="Q3240">
        <v>0.22335927738390399</v>
      </c>
      <c r="R3240">
        <v>0.95867066606709295</v>
      </c>
      <c r="S3240" t="s">
        <v>9856</v>
      </c>
      <c r="T3240" t="s">
        <v>13232</v>
      </c>
      <c r="U3240" t="s">
        <v>13232</v>
      </c>
      <c r="V3240" t="s">
        <v>13232</v>
      </c>
      <c r="W3240" t="s">
        <v>16415</v>
      </c>
      <c r="X3240">
        <v>18</v>
      </c>
      <c r="Y3240" t="s">
        <v>22865</v>
      </c>
      <c r="Z3240" t="s">
        <v>29371</v>
      </c>
      <c r="AA3240">
        <v>0.62152639676818444</v>
      </c>
      <c r="AB3240" t="str">
        <f>HYPERLINK("Melting_Curves/meltCurve_Q14320_FAM50A.pdf", "Melting_Curves/meltCurve_Q14320_FAM50A.pdf")</f>
        <v>Melting_Curves/meltCurve_Q14320_FAM50A.pdf</v>
      </c>
    </row>
    <row r="3241" spans="1:28" x14ac:dyDescent="0.25">
      <c r="A3241" t="s">
        <v>3244</v>
      </c>
      <c r="B3241">
        <v>0.99930955844802105</v>
      </c>
      <c r="C3241">
        <v>1.26622166372936</v>
      </c>
      <c r="D3241">
        <v>1.24695515650101</v>
      </c>
      <c r="E3241">
        <v>1.04625552529813</v>
      </c>
      <c r="F3241">
        <v>0.60858619520194002</v>
      </c>
      <c r="G3241">
        <v>0.32268614981966198</v>
      </c>
      <c r="H3241">
        <v>0.22824039242761199</v>
      </c>
      <c r="I3241">
        <v>0.231693838516391</v>
      </c>
      <c r="J3241">
        <v>0.21666290992758999</v>
      </c>
      <c r="K3241">
        <v>0.17136866527752201</v>
      </c>
      <c r="L3241">
        <v>13247.6525689679</v>
      </c>
      <c r="M3241">
        <v>250</v>
      </c>
      <c r="N3241">
        <v>53.1248186860986</v>
      </c>
      <c r="O3241">
        <v>52.9872208070704</v>
      </c>
      <c r="P3241">
        <v>-0.90336597799778096</v>
      </c>
      <c r="Q3241">
        <v>0.23413038297442401</v>
      </c>
      <c r="R3241">
        <v>0.92272765183130401</v>
      </c>
      <c r="S3241" t="s">
        <v>9857</v>
      </c>
      <c r="T3241" t="s">
        <v>13232</v>
      </c>
      <c r="U3241" t="s">
        <v>13232</v>
      </c>
      <c r="V3241" t="s">
        <v>13232</v>
      </c>
      <c r="W3241" t="s">
        <v>16416</v>
      </c>
      <c r="X3241">
        <v>9</v>
      </c>
      <c r="Y3241" t="s">
        <v>22866</v>
      </c>
      <c r="Z3241" t="s">
        <v>29372</v>
      </c>
      <c r="AA3241">
        <v>0.5658387309814974</v>
      </c>
      <c r="AB3241" t="str">
        <f>HYPERLINK("Melting_Curves/meltCurve_Q14331_FRG1.pdf", "Melting_Curves/meltCurve_Q14331_FRG1.pdf")</f>
        <v>Melting_Curves/meltCurve_Q14331_FRG1.pdf</v>
      </c>
    </row>
    <row r="3242" spans="1:28" x14ac:dyDescent="0.25">
      <c r="A3242" t="s">
        <v>3245</v>
      </c>
      <c r="B3242">
        <v>0.99930955844802105</v>
      </c>
      <c r="C3242">
        <v>1.11901489950554</v>
      </c>
      <c r="D3242">
        <v>1.1459766235673801</v>
      </c>
      <c r="E3242">
        <v>0.95360590036243098</v>
      </c>
      <c r="F3242">
        <v>0.37659776195103301</v>
      </c>
      <c r="G3242">
        <v>0.148388466183274</v>
      </c>
      <c r="H3242">
        <v>7.1237659291584599E-2</v>
      </c>
      <c r="I3242">
        <v>5.7463464971553899E-2</v>
      </c>
      <c r="J3242">
        <v>4.6170152125489201E-2</v>
      </c>
      <c r="K3242">
        <v>3.5054743715344699E-2</v>
      </c>
      <c r="L3242">
        <v>3002.81577820438</v>
      </c>
      <c r="M3242">
        <v>57.334264163036202</v>
      </c>
      <c r="N3242">
        <v>52.509964116713803</v>
      </c>
      <c r="O3242">
        <v>52.310243256709597</v>
      </c>
      <c r="P3242">
        <v>-0.25508921651438199</v>
      </c>
      <c r="Q3242">
        <v>6.9054268865966106E-2</v>
      </c>
      <c r="R3242">
        <v>0.98063518326474697</v>
      </c>
      <c r="S3242" t="s">
        <v>9858</v>
      </c>
      <c r="T3242" t="s">
        <v>13232</v>
      </c>
      <c r="U3242" t="s">
        <v>13232</v>
      </c>
      <c r="V3242" t="s">
        <v>13232</v>
      </c>
      <c r="W3242" t="s">
        <v>16417</v>
      </c>
      <c r="X3242">
        <v>8</v>
      </c>
      <c r="Y3242" t="s">
        <v>22867</v>
      </c>
      <c r="Z3242" t="s">
        <v>29373</v>
      </c>
      <c r="AA3242">
        <v>0.45466692025093602</v>
      </c>
      <c r="AB3242" t="str">
        <f>HYPERLINK("Melting_Curves/meltCurve_Q14353_GAMT.pdf", "Melting_Curves/meltCurve_Q14353_GAMT.pdf")</f>
        <v>Melting_Curves/meltCurve_Q14353_GAMT.pdf</v>
      </c>
    </row>
    <row r="3243" spans="1:28" x14ac:dyDescent="0.25">
      <c r="A3243" t="s">
        <v>3246</v>
      </c>
      <c r="B3243">
        <v>0.99930955844802105</v>
      </c>
      <c r="C3243">
        <v>1.0773018096932501</v>
      </c>
      <c r="D3243">
        <v>1.0409245477147799</v>
      </c>
      <c r="E3243">
        <v>0.98487083145786702</v>
      </c>
      <c r="F3243">
        <v>0.263936361830794</v>
      </c>
      <c r="G3243">
        <v>0.16553022747436699</v>
      </c>
      <c r="H3243">
        <v>9.3013338877464394E-2</v>
      </c>
      <c r="I3243">
        <v>7.5147713998828095E-2</v>
      </c>
      <c r="J3243">
        <v>6.8301019142197605E-2</v>
      </c>
      <c r="K3243">
        <v>5.2015783001542297E-2</v>
      </c>
      <c r="L3243">
        <v>4766.9649630290896</v>
      </c>
      <c r="M3243">
        <v>91.385943862320502</v>
      </c>
      <c r="N3243">
        <v>52.277434698283898</v>
      </c>
      <c r="O3243">
        <v>52.138036131756998</v>
      </c>
      <c r="P3243">
        <v>-0.39846915958040002</v>
      </c>
      <c r="Q3243">
        <v>9.0652381069024499E-2</v>
      </c>
      <c r="R3243">
        <v>0.99230906005875996</v>
      </c>
      <c r="S3243" t="s">
        <v>9859</v>
      </c>
      <c r="T3243" t="s">
        <v>13232</v>
      </c>
      <c r="U3243" t="s">
        <v>13232</v>
      </c>
      <c r="V3243" t="s">
        <v>13232</v>
      </c>
      <c r="W3243" t="s">
        <v>16418</v>
      </c>
      <c r="X3243">
        <v>17</v>
      </c>
      <c r="Y3243" t="s">
        <v>22868</v>
      </c>
      <c r="Z3243" t="s">
        <v>29374</v>
      </c>
      <c r="AA3243">
        <v>0.45995610362541239</v>
      </c>
      <c r="AB3243" t="str">
        <f>HYPERLINK("Melting_Curves/meltCurve_Q14376_GALE.pdf", "Melting_Curves/meltCurve_Q14376_GALE.pdf")</f>
        <v>Melting_Curves/meltCurve_Q14376_GALE.pdf</v>
      </c>
    </row>
    <row r="3244" spans="1:28" x14ac:dyDescent="0.25">
      <c r="A3244" t="s">
        <v>3247</v>
      </c>
      <c r="B3244">
        <v>0.99930955844802105</v>
      </c>
      <c r="C3244">
        <v>1.04146206900232</v>
      </c>
      <c r="D3244">
        <v>1.0127808204845701</v>
      </c>
      <c r="E3244">
        <v>1.01976574082391</v>
      </c>
      <c r="F3244">
        <v>0.96260710785443204</v>
      </c>
      <c r="G3244">
        <v>0.84640267471915298</v>
      </c>
      <c r="H3244">
        <v>0.86152192211175005</v>
      </c>
      <c r="I3244">
        <v>0.92177725980649305</v>
      </c>
      <c r="J3244">
        <v>1.04570709081348</v>
      </c>
      <c r="K3244">
        <v>0.74241738672847701</v>
      </c>
      <c r="L3244">
        <v>13289.6703378278</v>
      </c>
      <c r="M3244">
        <v>250</v>
      </c>
      <c r="O3244">
        <v>53.155277497720199</v>
      </c>
      <c r="P3244">
        <v>-0.13690400895486601</v>
      </c>
      <c r="Q3244">
        <v>0.88356526625728304</v>
      </c>
      <c r="R3244">
        <v>0.43160953533079099</v>
      </c>
      <c r="S3244" t="s">
        <v>9860</v>
      </c>
      <c r="T3244" t="s">
        <v>13232</v>
      </c>
      <c r="U3244" t="s">
        <v>13232</v>
      </c>
      <c r="V3244" t="s">
        <v>13232</v>
      </c>
      <c r="W3244" t="s">
        <v>16419</v>
      </c>
      <c r="X3244">
        <v>24</v>
      </c>
      <c r="Y3244" t="s">
        <v>22869</v>
      </c>
      <c r="Z3244" t="s">
        <v>29375</v>
      </c>
      <c r="AA3244">
        <v>0.93464704741463434</v>
      </c>
      <c r="AB3244" t="str">
        <f>HYPERLINK("Melting_Curves/meltCurve_Q14444_2_CAPRIN1.pdf", "Melting_Curves/meltCurve_Q14444_2_CAPRIN1.pdf")</f>
        <v>Melting_Curves/meltCurve_Q14444_2_CAPRIN1.pdf</v>
      </c>
    </row>
    <row r="3245" spans="1:28" x14ac:dyDescent="0.25">
      <c r="A3245" t="s">
        <v>3248</v>
      </c>
      <c r="B3245">
        <v>0.99930955844802105</v>
      </c>
      <c r="C3245">
        <v>0.79359303561595895</v>
      </c>
      <c r="D3245">
        <v>0.78450124009393096</v>
      </c>
      <c r="E3245">
        <v>0.68988574246288603</v>
      </c>
      <c r="F3245">
        <v>0.449249390786569</v>
      </c>
      <c r="G3245">
        <v>0.28474897274724198</v>
      </c>
      <c r="H3245">
        <v>0.22542068536287699</v>
      </c>
      <c r="I3245">
        <v>0.244824504642316</v>
      </c>
      <c r="J3245">
        <v>0.221384153393685</v>
      </c>
      <c r="K3245">
        <v>0.17224036665668499</v>
      </c>
      <c r="L3245">
        <v>541.54674581628603</v>
      </c>
      <c r="M3245">
        <v>10.671478810795</v>
      </c>
      <c r="N3245">
        <v>52.250291534379997</v>
      </c>
      <c r="O3245">
        <v>49.062426321847802</v>
      </c>
      <c r="P3245">
        <v>-4.7207557160945601E-2</v>
      </c>
      <c r="Q3245">
        <v>0.13217669019022699</v>
      </c>
      <c r="R3245">
        <v>0.96913119649068602</v>
      </c>
      <c r="S3245" t="s">
        <v>9861</v>
      </c>
      <c r="T3245" t="s">
        <v>13232</v>
      </c>
      <c r="U3245" t="s">
        <v>13232</v>
      </c>
      <c r="V3245" t="s">
        <v>13232</v>
      </c>
      <c r="W3245" t="s">
        <v>16420</v>
      </c>
      <c r="X3245">
        <v>6</v>
      </c>
      <c r="Y3245" t="s">
        <v>22870</v>
      </c>
      <c r="Z3245" t="s">
        <v>29376</v>
      </c>
      <c r="AA3245">
        <v>0.47694650938138239</v>
      </c>
      <c r="AB3245" t="str">
        <f>HYPERLINK("Melting_Curves/meltCurve_Q14457_BECN1.pdf", "Melting_Curves/meltCurve_Q14457_BECN1.pdf")</f>
        <v>Melting_Curves/meltCurve_Q14457_BECN1.pdf</v>
      </c>
    </row>
    <row r="3246" spans="1:28" x14ac:dyDescent="0.25">
      <c r="A3246" t="s">
        <v>3249</v>
      </c>
      <c r="B3246">
        <v>0.99930955844802105</v>
      </c>
      <c r="C3246">
        <v>1.1091377498613399</v>
      </c>
      <c r="D3246">
        <v>1.0301424370824599</v>
      </c>
      <c r="E3246">
        <v>0.93726014015863401</v>
      </c>
      <c r="F3246">
        <v>0.79580729013940799</v>
      </c>
      <c r="G3246">
        <v>0.61650467946351195</v>
      </c>
      <c r="H3246">
        <v>0.54085989539892698</v>
      </c>
      <c r="I3246">
        <v>0.57569917696091899</v>
      </c>
      <c r="J3246">
        <v>0.62395411365266895</v>
      </c>
      <c r="K3246">
        <v>0.51582859123358205</v>
      </c>
      <c r="L3246">
        <v>1654.9831826557599</v>
      </c>
      <c r="M3246">
        <v>31.1158478255083</v>
      </c>
      <c r="O3246">
        <v>52.969539526045502</v>
      </c>
      <c r="P3246">
        <v>-6.4229495267539002E-2</v>
      </c>
      <c r="Q3246">
        <v>0.56264236687771296</v>
      </c>
      <c r="R3246">
        <v>0.95661083316610895</v>
      </c>
      <c r="S3246" t="s">
        <v>9862</v>
      </c>
      <c r="T3246" t="s">
        <v>13232</v>
      </c>
      <c r="U3246" t="s">
        <v>13232</v>
      </c>
      <c r="V3246" t="s">
        <v>13232</v>
      </c>
      <c r="W3246" t="s">
        <v>16421</v>
      </c>
      <c r="X3246">
        <v>8</v>
      </c>
      <c r="Y3246" t="s">
        <v>22871</v>
      </c>
      <c r="Z3246" t="s">
        <v>29377</v>
      </c>
      <c r="AA3246">
        <v>0.75754894765099368</v>
      </c>
      <c r="AB3246" t="str">
        <f>HYPERLINK("Melting_Curves/meltCurve_Q14493_SLBP.pdf", "Melting_Curves/meltCurve_Q14493_SLBP.pdf")</f>
        <v>Melting_Curves/meltCurve_Q14493_SLBP.pdf</v>
      </c>
    </row>
    <row r="3247" spans="1:28" x14ac:dyDescent="0.25">
      <c r="A3247" t="s">
        <v>3250</v>
      </c>
      <c r="B3247">
        <v>0.99930955844802105</v>
      </c>
      <c r="C3247">
        <v>1.1353027652557299</v>
      </c>
      <c r="D3247">
        <v>0.69041030026063799</v>
      </c>
      <c r="E3247">
        <v>0.86152204560439605</v>
      </c>
      <c r="F3247">
        <v>0.48700783604702202</v>
      </c>
      <c r="G3247">
        <v>0.28120445231254998</v>
      </c>
      <c r="H3247">
        <v>0.181706133483203</v>
      </c>
      <c r="I3247">
        <v>0.16009727951136599</v>
      </c>
      <c r="J3247">
        <v>0.145644645814648</v>
      </c>
      <c r="K3247">
        <v>0.110115160822381</v>
      </c>
      <c r="L3247">
        <v>834.94336601366695</v>
      </c>
      <c r="M3247">
        <v>15.8610054009362</v>
      </c>
      <c r="N3247">
        <v>53.378196824688203</v>
      </c>
      <c r="O3247">
        <v>51.8257898427048</v>
      </c>
      <c r="P3247">
        <v>-6.8993488976046902E-2</v>
      </c>
      <c r="Q3247">
        <v>9.8329078673221396E-2</v>
      </c>
      <c r="R3247">
        <v>0.92861111279385</v>
      </c>
      <c r="S3247" t="s">
        <v>9863</v>
      </c>
      <c r="T3247" t="s">
        <v>13232</v>
      </c>
      <c r="U3247" t="s">
        <v>13232</v>
      </c>
      <c r="V3247" t="s">
        <v>13232</v>
      </c>
      <c r="W3247" t="s">
        <v>16422</v>
      </c>
      <c r="X3247">
        <v>21</v>
      </c>
      <c r="Y3247" t="s">
        <v>22872</v>
      </c>
      <c r="Z3247" t="s">
        <v>29378</v>
      </c>
      <c r="AA3247">
        <v>0.49640364991884323</v>
      </c>
      <c r="AB3247" t="str">
        <f>HYPERLINK("Melting_Curves/meltCurve_Q14498_2_RBM39.pdf", "Melting_Curves/meltCurve_Q14498_2_RBM39.pdf")</f>
        <v>Melting_Curves/meltCurve_Q14498_2_RBM39.pdf</v>
      </c>
    </row>
    <row r="3248" spans="1:28" x14ac:dyDescent="0.25">
      <c r="A3248" t="s">
        <v>3251</v>
      </c>
      <c r="B3248">
        <v>0.99930955844802105</v>
      </c>
      <c r="C3248">
        <v>1.09050654737824</v>
      </c>
      <c r="D3248">
        <v>1.07692071772912</v>
      </c>
      <c r="E3248">
        <v>1.04874700129917</v>
      </c>
      <c r="F3248">
        <v>1.00431693554678</v>
      </c>
      <c r="G3248">
        <v>0.79047037866126402</v>
      </c>
      <c r="H3248">
        <v>0.31148397433659297</v>
      </c>
      <c r="I3248">
        <v>0.119082270425518</v>
      </c>
      <c r="J3248">
        <v>8.9501785566141107E-2</v>
      </c>
      <c r="K3248">
        <v>7.8855659778954798E-2</v>
      </c>
      <c r="L3248">
        <v>2076.8083797673398</v>
      </c>
      <c r="M3248">
        <v>35.151412599912902</v>
      </c>
      <c r="N3248">
        <v>59.345090400319798</v>
      </c>
      <c r="O3248">
        <v>58.891555589613297</v>
      </c>
      <c r="P3248">
        <v>-0.13844744496095801</v>
      </c>
      <c r="Q3248">
        <v>7.2201507435085896E-2</v>
      </c>
      <c r="R3248">
        <v>0.99055902992857703</v>
      </c>
      <c r="S3248" t="s">
        <v>9864</v>
      </c>
      <c r="T3248" t="s">
        <v>13232</v>
      </c>
      <c r="U3248" t="s">
        <v>13232</v>
      </c>
      <c r="V3248" t="s">
        <v>13232</v>
      </c>
      <c r="W3248" t="s">
        <v>16423</v>
      </c>
      <c r="X3248">
        <v>1</v>
      </c>
      <c r="Y3248" t="s">
        <v>22873</v>
      </c>
      <c r="Z3248" t="s">
        <v>29379</v>
      </c>
      <c r="AA3248">
        <v>0.66693190454605344</v>
      </c>
      <c r="AB3248" t="str">
        <f>HYPERLINK("Melting_Curves/meltCurve_Q14520_2_HABP2.pdf", "Melting_Curves/meltCurve_Q14520_2_HABP2.pdf")</f>
        <v>Melting_Curves/meltCurve_Q14520_2_HABP2.pdf</v>
      </c>
    </row>
    <row r="3249" spans="1:28" x14ac:dyDescent="0.25">
      <c r="A3249" t="s">
        <v>3252</v>
      </c>
      <c r="B3249">
        <v>0.99930955844802105</v>
      </c>
      <c r="C3249">
        <v>0.944273219068822</v>
      </c>
      <c r="D3249">
        <v>0.80093932774954701</v>
      </c>
      <c r="E3249">
        <v>0.65584709670381403</v>
      </c>
      <c r="F3249">
        <v>0.534466929149369</v>
      </c>
      <c r="G3249">
        <v>0.49587798879189099</v>
      </c>
      <c r="H3249">
        <v>0.56027567301824399</v>
      </c>
      <c r="I3249">
        <v>0.64938526407314401</v>
      </c>
      <c r="J3249">
        <v>0.63834999706116802</v>
      </c>
      <c r="K3249">
        <v>0.51948470758156795</v>
      </c>
      <c r="L3249">
        <v>1198.00917230302</v>
      </c>
      <c r="M3249">
        <v>25.857017442115399</v>
      </c>
      <c r="O3249">
        <v>46.057609212493901</v>
      </c>
      <c r="P3249">
        <v>-6.0702717064594798E-2</v>
      </c>
      <c r="Q3249">
        <v>0.56750013601007399</v>
      </c>
      <c r="R3249">
        <v>0.91860200058792396</v>
      </c>
      <c r="S3249" t="s">
        <v>9865</v>
      </c>
      <c r="T3249" t="s">
        <v>13232</v>
      </c>
      <c r="U3249" t="s">
        <v>13232</v>
      </c>
      <c r="V3249" t="s">
        <v>13232</v>
      </c>
      <c r="W3249" t="s">
        <v>16424</v>
      </c>
      <c r="X3249">
        <v>9</v>
      </c>
      <c r="Y3249" t="s">
        <v>22874</v>
      </c>
      <c r="Z3249" t="s">
        <v>29380</v>
      </c>
      <c r="AA3249">
        <v>0.66243401754681375</v>
      </c>
      <c r="AB3249" t="str">
        <f>HYPERLINK("Melting_Curves/meltCurve_Q14527_HLTF.pdf", "Melting_Curves/meltCurve_Q14527_HLTF.pdf")</f>
        <v>Melting_Curves/meltCurve_Q14527_HLTF.pdf</v>
      </c>
    </row>
    <row r="3250" spans="1:28" x14ac:dyDescent="0.25">
      <c r="A3250" t="s">
        <v>3253</v>
      </c>
      <c r="B3250">
        <v>0.99930955844802105</v>
      </c>
      <c r="C3250">
        <v>0.96726715326618096</v>
      </c>
      <c r="D3250">
        <v>0.91954555735546795</v>
      </c>
      <c r="E3250">
        <v>0.84402921001878495</v>
      </c>
      <c r="F3250">
        <v>0.48641381171160603</v>
      </c>
      <c r="G3250">
        <v>0.189957535917575</v>
      </c>
      <c r="H3250">
        <v>0.117644184265301</v>
      </c>
      <c r="I3250">
        <v>0.10018981373989801</v>
      </c>
      <c r="J3250">
        <v>8.6355016881337607E-2</v>
      </c>
      <c r="K3250">
        <v>6.7429437598648098E-2</v>
      </c>
      <c r="L3250">
        <v>1389.11386478176</v>
      </c>
      <c r="M3250">
        <v>26.392500021980599</v>
      </c>
      <c r="N3250">
        <v>52.996454394154597</v>
      </c>
      <c r="O3250">
        <v>52.333504590569</v>
      </c>
      <c r="P3250">
        <v>-0.115639892780752</v>
      </c>
      <c r="Q3250">
        <v>8.2803518958448494E-2</v>
      </c>
      <c r="R3250">
        <v>0.99606894059592199</v>
      </c>
      <c r="S3250" t="s">
        <v>9866</v>
      </c>
      <c r="T3250" t="s">
        <v>13232</v>
      </c>
      <c r="U3250" t="s">
        <v>13232</v>
      </c>
      <c r="V3250" t="s">
        <v>13232</v>
      </c>
      <c r="W3250" t="s">
        <v>16425</v>
      </c>
      <c r="X3250">
        <v>16</v>
      </c>
      <c r="Y3250" t="s">
        <v>22875</v>
      </c>
      <c r="Z3250" t="s">
        <v>29381</v>
      </c>
      <c r="AA3250">
        <v>0.47662514816066648</v>
      </c>
      <c r="AB3250" t="str">
        <f>HYPERLINK("Melting_Curves/meltCurve_Q14554_PDIA5.pdf", "Melting_Curves/meltCurve_Q14554_PDIA5.pdf")</f>
        <v>Melting_Curves/meltCurve_Q14554_PDIA5.pdf</v>
      </c>
    </row>
    <row r="3251" spans="1:28" x14ac:dyDescent="0.25">
      <c r="A3251" t="s">
        <v>3254</v>
      </c>
      <c r="B3251">
        <v>0.99930955844802105</v>
      </c>
      <c r="C3251">
        <v>0.67178261276180196</v>
      </c>
      <c r="D3251">
        <v>0.64833630359896799</v>
      </c>
      <c r="E3251">
        <v>0.754203258521008</v>
      </c>
      <c r="F3251">
        <v>0.642489129624505</v>
      </c>
      <c r="G3251">
        <v>0.30946866223270297</v>
      </c>
      <c r="H3251">
        <v>0.12980920995371001</v>
      </c>
      <c r="I3251">
        <v>9.5070208047591295E-2</v>
      </c>
      <c r="J3251">
        <v>7.5381542354748907E-2</v>
      </c>
      <c r="K3251">
        <v>5.4328099777712503E-2</v>
      </c>
      <c r="L3251">
        <v>476.45466522868998</v>
      </c>
      <c r="M3251">
        <v>9.0915813165612391</v>
      </c>
      <c r="N3251">
        <v>52.406135321043401</v>
      </c>
      <c r="O3251">
        <v>50.057286434961398</v>
      </c>
      <c r="P3251">
        <v>-4.5437597497718502E-2</v>
      </c>
      <c r="Q3251">
        <v>0</v>
      </c>
      <c r="R3251">
        <v>0.87747104234249096</v>
      </c>
      <c r="S3251" t="s">
        <v>9867</v>
      </c>
      <c r="T3251" t="s">
        <v>13232</v>
      </c>
      <c r="U3251" t="s">
        <v>13232</v>
      </c>
      <c r="V3251" t="s">
        <v>13232</v>
      </c>
      <c r="W3251" t="s">
        <v>16426</v>
      </c>
      <c r="X3251">
        <v>9</v>
      </c>
      <c r="Y3251" t="s">
        <v>22876</v>
      </c>
      <c r="Z3251" t="s">
        <v>29382</v>
      </c>
      <c r="AA3251">
        <v>0.45349822323104261</v>
      </c>
      <c r="AB3251" t="str">
        <f>HYPERLINK("Melting_Curves/meltCurve_Q14558_PRPSAP1.pdf", "Melting_Curves/meltCurve_Q14558_PRPSAP1.pdf")</f>
        <v>Melting_Curves/meltCurve_Q14558_PRPSAP1.pdf</v>
      </c>
    </row>
    <row r="3252" spans="1:28" x14ac:dyDescent="0.25">
      <c r="A3252" t="s">
        <v>3255</v>
      </c>
      <c r="B3252">
        <v>0.99930955844802105</v>
      </c>
      <c r="C3252">
        <v>0.99879219846356304</v>
      </c>
      <c r="D3252">
        <v>0.96313392212799098</v>
      </c>
      <c r="E3252">
        <v>0.90908811614436502</v>
      </c>
      <c r="F3252">
        <v>0.78970989998554497</v>
      </c>
      <c r="G3252">
        <v>0.35932598464570698</v>
      </c>
      <c r="H3252">
        <v>0.15618822405612701</v>
      </c>
      <c r="I3252">
        <v>0.121781168979016</v>
      </c>
      <c r="J3252">
        <v>9.9935375653002895E-2</v>
      </c>
      <c r="K3252">
        <v>7.6730505027903004E-2</v>
      </c>
      <c r="L3252">
        <v>1402.5283090235901</v>
      </c>
      <c r="M3252">
        <v>25.388541406048201</v>
      </c>
      <c r="N3252">
        <v>55.639761785132997</v>
      </c>
      <c r="O3252">
        <v>54.903237530699201</v>
      </c>
      <c r="P3252">
        <v>-0.106025520544496</v>
      </c>
      <c r="Q3252">
        <v>8.2881817259312901E-2</v>
      </c>
      <c r="R3252">
        <v>0.99814094156421895</v>
      </c>
      <c r="S3252" t="s">
        <v>9868</v>
      </c>
      <c r="T3252" t="s">
        <v>13232</v>
      </c>
      <c r="U3252" t="s">
        <v>13232</v>
      </c>
      <c r="V3252" t="s">
        <v>13232</v>
      </c>
      <c r="W3252" t="s">
        <v>16427</v>
      </c>
      <c r="X3252">
        <v>23</v>
      </c>
      <c r="Y3252" t="s">
        <v>22877</v>
      </c>
      <c r="Z3252" t="s">
        <v>29383</v>
      </c>
      <c r="AA3252">
        <v>0.55710789781326753</v>
      </c>
      <c r="AB3252" t="str">
        <f>HYPERLINK("Melting_Curves/meltCurve_Q14562_DHX8.pdf", "Melting_Curves/meltCurve_Q14562_DHX8.pdf")</f>
        <v>Melting_Curves/meltCurve_Q14562_DHX8.pdf</v>
      </c>
    </row>
    <row r="3253" spans="1:28" x14ac:dyDescent="0.25">
      <c r="A3253" t="s">
        <v>3256</v>
      </c>
      <c r="B3253">
        <v>0.99930955844802105</v>
      </c>
      <c r="C3253">
        <v>0.70909201868020899</v>
      </c>
      <c r="D3253">
        <v>0.72498697645011201</v>
      </c>
      <c r="E3253">
        <v>0.42544805832301802</v>
      </c>
      <c r="F3253">
        <v>0.21625275370101801</v>
      </c>
      <c r="G3253">
        <v>0.14911624359789</v>
      </c>
      <c r="H3253">
        <v>9.0025646885625504E-2</v>
      </c>
      <c r="I3253">
        <v>7.1407404511266995E-2</v>
      </c>
      <c r="J3253">
        <v>6.12852901600641E-2</v>
      </c>
      <c r="K3253">
        <v>4.66976717370578E-2</v>
      </c>
      <c r="L3253">
        <v>605.40403859365597</v>
      </c>
      <c r="M3253">
        <v>12.558885134275799</v>
      </c>
      <c r="N3253">
        <v>48.406562765016197</v>
      </c>
      <c r="O3253">
        <v>47.032008509663299</v>
      </c>
      <c r="P3253">
        <v>-6.5071556957805698E-2</v>
      </c>
      <c r="Q3253">
        <v>2.5446032798774901E-2</v>
      </c>
      <c r="R3253">
        <v>0.97514574820962696</v>
      </c>
      <c r="S3253" t="s">
        <v>9869</v>
      </c>
      <c r="T3253" t="s">
        <v>13232</v>
      </c>
      <c r="U3253" t="s">
        <v>13232</v>
      </c>
      <c r="V3253" t="s">
        <v>13232</v>
      </c>
      <c r="W3253" t="s">
        <v>16428</v>
      </c>
      <c r="X3253">
        <v>46</v>
      </c>
      <c r="Y3253" t="s">
        <v>22878</v>
      </c>
      <c r="Z3253" t="s">
        <v>29384</v>
      </c>
      <c r="AA3253">
        <v>0.32670402687116062</v>
      </c>
      <c r="AB3253" t="str">
        <f>HYPERLINK("Melting_Curves/meltCurve_Q14566_MCM6.pdf", "Melting_Curves/meltCurve_Q14566_MCM6.pdf")</f>
        <v>Melting_Curves/meltCurve_Q14566_MCM6.pdf</v>
      </c>
    </row>
    <row r="3254" spans="1:28" x14ac:dyDescent="0.25">
      <c r="A3254" t="s">
        <v>3257</v>
      </c>
      <c r="B3254">
        <v>0.99930955844802105</v>
      </c>
      <c r="C3254">
        <v>1.0025888063021</v>
      </c>
      <c r="D3254">
        <v>0.99594895211397805</v>
      </c>
      <c r="E3254">
        <v>0.89498888925380105</v>
      </c>
      <c r="F3254">
        <v>0.74195316018926105</v>
      </c>
      <c r="G3254">
        <v>0.60601909876928906</v>
      </c>
      <c r="H3254">
        <v>0.54750989237201797</v>
      </c>
      <c r="I3254">
        <v>0.54917116118401899</v>
      </c>
      <c r="J3254">
        <v>0.51976588153077496</v>
      </c>
      <c r="K3254">
        <v>0.45710970723368199</v>
      </c>
      <c r="L3254">
        <v>1037.58629371853</v>
      </c>
      <c r="M3254">
        <v>19.5167091344988</v>
      </c>
      <c r="O3254">
        <v>52.615282807978502</v>
      </c>
      <c r="P3254">
        <v>-4.63997478287929E-2</v>
      </c>
      <c r="Q3254">
        <v>0.49965985991724698</v>
      </c>
      <c r="R3254">
        <v>0.99064275065401997</v>
      </c>
      <c r="S3254" t="s">
        <v>9870</v>
      </c>
      <c r="T3254" t="s">
        <v>13232</v>
      </c>
      <c r="U3254" t="s">
        <v>13232</v>
      </c>
      <c r="V3254" t="s">
        <v>13232</v>
      </c>
      <c r="W3254" t="s">
        <v>16429</v>
      </c>
      <c r="X3254">
        <v>5</v>
      </c>
      <c r="Y3254" t="s">
        <v>22879</v>
      </c>
      <c r="Z3254" t="s">
        <v>29385</v>
      </c>
      <c r="AA3254">
        <v>0.72636871079242171</v>
      </c>
      <c r="AB3254" t="str">
        <f>HYPERLINK("Melting_Curves/meltCurve_Q14596_2_NBR1.pdf", "Melting_Curves/meltCurve_Q14596_2_NBR1.pdf")</f>
        <v>Melting_Curves/meltCurve_Q14596_2_NBR1.pdf</v>
      </c>
    </row>
    <row r="3255" spans="1:28" x14ac:dyDescent="0.25">
      <c r="A3255" t="s">
        <v>3258</v>
      </c>
      <c r="B3255">
        <v>0.99930955844802105</v>
      </c>
      <c r="C3255">
        <v>1.02771935503044</v>
      </c>
      <c r="D3255">
        <v>0.98944692858917005</v>
      </c>
      <c r="E3255">
        <v>0.89999218342910203</v>
      </c>
      <c r="F3255">
        <v>0.44760027361283899</v>
      </c>
      <c r="G3255">
        <v>0.21957671863699299</v>
      </c>
      <c r="H3255">
        <v>0.12400204431511</v>
      </c>
      <c r="I3255">
        <v>0.100919984738878</v>
      </c>
      <c r="J3255">
        <v>9.0448507948923604E-2</v>
      </c>
      <c r="K3255">
        <v>7.0957528072280895E-2</v>
      </c>
      <c r="L3255">
        <v>1838.45350336601</v>
      </c>
      <c r="M3255">
        <v>35.021364161553201</v>
      </c>
      <c r="N3255">
        <v>52.852504784384699</v>
      </c>
      <c r="O3255">
        <v>52.324921249362703</v>
      </c>
      <c r="P3255">
        <v>-0.149689171022554</v>
      </c>
      <c r="Q3255">
        <v>0.105409326644944</v>
      </c>
      <c r="R3255">
        <v>0.99505189469281496</v>
      </c>
      <c r="S3255" t="s">
        <v>9871</v>
      </c>
      <c r="T3255" t="s">
        <v>13232</v>
      </c>
      <c r="U3255" t="s">
        <v>13232</v>
      </c>
      <c r="V3255" t="s">
        <v>13232</v>
      </c>
      <c r="W3255" t="s">
        <v>16430</v>
      </c>
      <c r="X3255">
        <v>17</v>
      </c>
      <c r="Y3255" t="s">
        <v>22880</v>
      </c>
      <c r="Z3255" t="s">
        <v>29386</v>
      </c>
      <c r="AA3255">
        <v>0.48224662343330899</v>
      </c>
      <c r="AB3255" t="str">
        <f>HYPERLINK("Melting_Curves/meltCurve_Q14651_PLS1.pdf", "Melting_Curves/meltCurve_Q14651_PLS1.pdf")</f>
        <v>Melting_Curves/meltCurve_Q14651_PLS1.pdf</v>
      </c>
    </row>
    <row r="3256" spans="1:28" x14ac:dyDescent="0.25">
      <c r="A3256" t="s">
        <v>3259</v>
      </c>
      <c r="B3256">
        <v>0.99930955844802105</v>
      </c>
      <c r="C3256">
        <v>1.1722599299874901</v>
      </c>
      <c r="D3256">
        <v>1.1808954993504099</v>
      </c>
      <c r="E3256">
        <v>1.0319045553358599</v>
      </c>
      <c r="F3256">
        <v>0.778746947578983</v>
      </c>
      <c r="G3256">
        <v>0.29951406901522198</v>
      </c>
      <c r="H3256">
        <v>0.13753246292062099</v>
      </c>
      <c r="I3256">
        <v>0.11149176187879099</v>
      </c>
      <c r="J3256">
        <v>9.1327579803423001E-2</v>
      </c>
      <c r="K3256">
        <v>7.0643112796972704E-2</v>
      </c>
      <c r="L3256">
        <v>1910.22453278693</v>
      </c>
      <c r="M3256">
        <v>34.780028450584901</v>
      </c>
      <c r="N3256">
        <v>55.254499278087401</v>
      </c>
      <c r="O3256">
        <v>54.742408710842298</v>
      </c>
      <c r="P3256">
        <v>-0.143879793881806</v>
      </c>
      <c r="Q3256">
        <v>9.4158544126780402E-2</v>
      </c>
      <c r="R3256">
        <v>0.96800623263362595</v>
      </c>
      <c r="S3256" t="s">
        <v>9872</v>
      </c>
      <c r="T3256" t="s">
        <v>13232</v>
      </c>
      <c r="U3256" t="s">
        <v>13232</v>
      </c>
      <c r="V3256" t="s">
        <v>13232</v>
      </c>
      <c r="W3256" t="s">
        <v>16431</v>
      </c>
      <c r="X3256">
        <v>10</v>
      </c>
      <c r="Y3256" t="s">
        <v>22881</v>
      </c>
      <c r="Z3256" t="s">
        <v>29387</v>
      </c>
      <c r="AA3256">
        <v>0.54927164421936581</v>
      </c>
      <c r="AB3256" t="str">
        <f>HYPERLINK("Melting_Curves/meltCurve_Q14653_IRF3.pdf", "Melting_Curves/meltCurve_Q14653_IRF3.pdf")</f>
        <v>Melting_Curves/meltCurve_Q14653_IRF3.pdf</v>
      </c>
    </row>
    <row r="3257" spans="1:28" x14ac:dyDescent="0.25">
      <c r="A3257" t="s">
        <v>3260</v>
      </c>
      <c r="B3257">
        <v>0.99930955844802105</v>
      </c>
      <c r="C3257">
        <v>1.1077011178109999</v>
      </c>
      <c r="D3257">
        <v>1.0238612186385401</v>
      </c>
      <c r="E3257">
        <v>0.97152110808557401</v>
      </c>
      <c r="F3257">
        <v>0.81713841490852002</v>
      </c>
      <c r="G3257">
        <v>0.80308037448119995</v>
      </c>
      <c r="H3257">
        <v>0.418751928877033</v>
      </c>
      <c r="I3257">
        <v>0.21413574207074099</v>
      </c>
      <c r="J3257">
        <v>0.163350842749095</v>
      </c>
      <c r="K3257">
        <v>8.9286320130940094E-2</v>
      </c>
      <c r="L3257">
        <v>1106.9342314432699</v>
      </c>
      <c r="M3257">
        <v>18.462559297327701</v>
      </c>
      <c r="N3257">
        <v>60.080137516145797</v>
      </c>
      <c r="O3257">
        <v>59.265513249136397</v>
      </c>
      <c r="P3257">
        <v>-7.6422273935099802E-2</v>
      </c>
      <c r="Q3257">
        <v>1.8770274446842001E-2</v>
      </c>
      <c r="R3257">
        <v>0.97825128052921695</v>
      </c>
      <c r="S3257" t="s">
        <v>9873</v>
      </c>
      <c r="T3257" t="s">
        <v>13232</v>
      </c>
      <c r="U3257" t="s">
        <v>13232</v>
      </c>
      <c r="V3257" t="s">
        <v>13232</v>
      </c>
      <c r="W3257" t="s">
        <v>16432</v>
      </c>
      <c r="X3257">
        <v>7</v>
      </c>
      <c r="Y3257" t="s">
        <v>22882</v>
      </c>
      <c r="Z3257" t="s">
        <v>29388</v>
      </c>
      <c r="AA3257">
        <v>0.67975326149666881</v>
      </c>
      <c r="AB3257" t="str">
        <f>HYPERLINK("Melting_Curves/meltCurve_Q14657_LAGE3.pdf", "Melting_Curves/meltCurve_Q14657_LAGE3.pdf")</f>
        <v>Melting_Curves/meltCurve_Q14657_LAGE3.pdf</v>
      </c>
    </row>
    <row r="3258" spans="1:28" x14ac:dyDescent="0.25">
      <c r="A3258" t="s">
        <v>3261</v>
      </c>
      <c r="B3258">
        <v>0.99930955844802105</v>
      </c>
      <c r="C3258">
        <v>0.87840069859249603</v>
      </c>
      <c r="D3258">
        <v>0.78206747832315904</v>
      </c>
      <c r="E3258">
        <v>0.711895320431298</v>
      </c>
      <c r="F3258">
        <v>0.43484780194894901</v>
      </c>
      <c r="G3258">
        <v>0.26832222438681802</v>
      </c>
      <c r="H3258">
        <v>0.19453886981247501</v>
      </c>
      <c r="I3258">
        <v>0.20149792617142601</v>
      </c>
      <c r="J3258">
        <v>0.19847891515532201</v>
      </c>
      <c r="K3258">
        <v>0.154946851881861</v>
      </c>
      <c r="L3258">
        <v>654.63484944704101</v>
      </c>
      <c r="M3258">
        <v>12.8405448665543</v>
      </c>
      <c r="N3258">
        <v>52.189024824836999</v>
      </c>
      <c r="O3258">
        <v>49.792815724435997</v>
      </c>
      <c r="P3258">
        <v>-5.61970830118328E-2</v>
      </c>
      <c r="Q3258">
        <v>0.12848158404863599</v>
      </c>
      <c r="R3258">
        <v>0.98152099179287799</v>
      </c>
      <c r="S3258" t="s">
        <v>9874</v>
      </c>
      <c r="T3258" t="s">
        <v>13232</v>
      </c>
      <c r="U3258" t="s">
        <v>13232</v>
      </c>
      <c r="V3258" t="s">
        <v>13232</v>
      </c>
      <c r="W3258" t="s">
        <v>16433</v>
      </c>
      <c r="X3258">
        <v>49</v>
      </c>
      <c r="Y3258" t="s">
        <v>22883</v>
      </c>
      <c r="Z3258" t="s">
        <v>29389</v>
      </c>
      <c r="AA3258">
        <v>0.47327342039382492</v>
      </c>
      <c r="AB3258" t="str">
        <f>HYPERLINK("Melting_Curves/meltCurve_Q14669_2_TRIP12.pdf", "Melting_Curves/meltCurve_Q14669_2_TRIP12.pdf")</f>
        <v>Melting_Curves/meltCurve_Q14669_2_TRIP12.pdf</v>
      </c>
    </row>
    <row r="3259" spans="1:28" x14ac:dyDescent="0.25">
      <c r="A3259" t="s">
        <v>3262</v>
      </c>
      <c r="B3259">
        <v>0.99930955844802105</v>
      </c>
      <c r="C3259">
        <v>1.3749270525636099</v>
      </c>
      <c r="D3259">
        <v>1.13510731954848</v>
      </c>
      <c r="E3259">
        <v>1.18395665373013</v>
      </c>
      <c r="F3259">
        <v>1.1037850563545999</v>
      </c>
      <c r="G3259">
        <v>1.03634773086054</v>
      </c>
      <c r="H3259">
        <v>1.1497365440851499</v>
      </c>
      <c r="I3259">
        <v>1.4635266442153401</v>
      </c>
      <c r="J3259">
        <v>1.5352550677032299</v>
      </c>
      <c r="K3259">
        <v>1.16906499886545</v>
      </c>
      <c r="L3259">
        <v>173.03423838043699</v>
      </c>
      <c r="M3259">
        <v>2.91366150688417</v>
      </c>
      <c r="O3259">
        <v>43.159159895661404</v>
      </c>
      <c r="P3259">
        <v>8.7221062041095594E-3</v>
      </c>
      <c r="Q3259">
        <v>1.5</v>
      </c>
      <c r="R3259">
        <v>0.15608745388259099</v>
      </c>
      <c r="S3259" t="s">
        <v>9875</v>
      </c>
      <c r="T3259" t="s">
        <v>13232</v>
      </c>
      <c r="U3259" t="s">
        <v>13232</v>
      </c>
      <c r="V3259" t="s">
        <v>13232</v>
      </c>
      <c r="W3259" t="s">
        <v>16434</v>
      </c>
      <c r="X3259">
        <v>49</v>
      </c>
      <c r="Y3259" t="s">
        <v>22883</v>
      </c>
      <c r="Z3259" t="s">
        <v>29390</v>
      </c>
      <c r="AA3259">
        <v>1.213935347629632</v>
      </c>
      <c r="AB3259" t="str">
        <f>HYPERLINK("Melting_Curves/meltCurve_Q14669_3_TRIP12.pdf", "Melting_Curves/meltCurve_Q14669_3_TRIP12.pdf")</f>
        <v>Melting_Curves/meltCurve_Q14669_3_TRIP12.pdf</v>
      </c>
    </row>
    <row r="3260" spans="1:28" x14ac:dyDescent="0.25">
      <c r="A3260" t="s">
        <v>3263</v>
      </c>
      <c r="B3260">
        <v>0.99930955844802105</v>
      </c>
      <c r="C3260">
        <v>1.0260731278779001</v>
      </c>
      <c r="D3260">
        <v>1.0095354873039699</v>
      </c>
      <c r="E3260">
        <v>0.94003789141758298</v>
      </c>
      <c r="F3260">
        <v>0.77600411160636695</v>
      </c>
      <c r="G3260">
        <v>0.65662974947932895</v>
      </c>
      <c r="H3260">
        <v>0.63728415744630196</v>
      </c>
      <c r="I3260">
        <v>0.64870437237189305</v>
      </c>
      <c r="J3260">
        <v>0.63492769118528603</v>
      </c>
      <c r="K3260">
        <v>0.52364582002009796</v>
      </c>
      <c r="L3260">
        <v>1485.9311124058199</v>
      </c>
      <c r="M3260">
        <v>28.196401294861001</v>
      </c>
      <c r="O3260">
        <v>52.436379471651598</v>
      </c>
      <c r="P3260">
        <v>-5.2664805566962299E-2</v>
      </c>
      <c r="Q3260">
        <v>0.608243815075035</v>
      </c>
      <c r="R3260">
        <v>0.96625417885875597</v>
      </c>
      <c r="S3260" t="s">
        <v>9876</v>
      </c>
      <c r="T3260" t="s">
        <v>13232</v>
      </c>
      <c r="U3260" t="s">
        <v>13232</v>
      </c>
      <c r="V3260" t="s">
        <v>13232</v>
      </c>
      <c r="W3260" t="s">
        <v>16435</v>
      </c>
      <c r="X3260">
        <v>25</v>
      </c>
      <c r="Y3260" t="s">
        <v>22884</v>
      </c>
      <c r="Z3260" t="s">
        <v>29391</v>
      </c>
      <c r="AA3260">
        <v>0.77693437393226505</v>
      </c>
      <c r="AB3260" t="str">
        <f>HYPERLINK("Melting_Curves/meltCurve_Q14671_2_PUM1.pdf", "Melting_Curves/meltCurve_Q14671_2_PUM1.pdf")</f>
        <v>Melting_Curves/meltCurve_Q14671_2_PUM1.pdf</v>
      </c>
    </row>
    <row r="3261" spans="1:28" x14ac:dyDescent="0.25">
      <c r="A3261" t="s">
        <v>3264</v>
      </c>
      <c r="B3261">
        <v>0.99930955844802105</v>
      </c>
      <c r="C3261">
        <v>0.94672105866839296</v>
      </c>
      <c r="D3261">
        <v>0.92882091583455795</v>
      </c>
      <c r="E3261">
        <v>0.71552360094990197</v>
      </c>
      <c r="F3261">
        <v>0.52811468528581695</v>
      </c>
      <c r="G3261">
        <v>0.50098833757265404</v>
      </c>
      <c r="H3261">
        <v>0.45998033255022103</v>
      </c>
      <c r="I3261">
        <v>0.49875621268582299</v>
      </c>
      <c r="J3261">
        <v>0.50867465280380697</v>
      </c>
      <c r="K3261">
        <v>0.36705346811501699</v>
      </c>
      <c r="L3261">
        <v>1139.97603217868</v>
      </c>
      <c r="M3261">
        <v>22.9934547954498</v>
      </c>
      <c r="N3261">
        <v>55.4426470552282</v>
      </c>
      <c r="O3261">
        <v>49.207849667356001</v>
      </c>
      <c r="P3261">
        <v>-6.3541590484879507E-2</v>
      </c>
      <c r="Q3261">
        <v>0.45607365815224199</v>
      </c>
      <c r="R3261">
        <v>0.96897186497227195</v>
      </c>
      <c r="S3261" t="s">
        <v>9877</v>
      </c>
      <c r="T3261" t="s">
        <v>13232</v>
      </c>
      <c r="U3261" t="s">
        <v>13232</v>
      </c>
      <c r="V3261" t="s">
        <v>13232</v>
      </c>
      <c r="W3261" t="s">
        <v>16436</v>
      </c>
      <c r="X3261">
        <v>8</v>
      </c>
      <c r="Y3261" t="s">
        <v>22885</v>
      </c>
      <c r="Z3261" t="s">
        <v>29392</v>
      </c>
      <c r="AA3261">
        <v>0.6354726332229016</v>
      </c>
      <c r="AB3261" t="str">
        <f>HYPERLINK("Melting_Curves/meltCurve_Q14674_ESPL1.pdf", "Melting_Curves/meltCurve_Q14674_ESPL1.pdf")</f>
        <v>Melting_Curves/meltCurve_Q14674_ESPL1.pdf</v>
      </c>
    </row>
    <row r="3262" spans="1:28" x14ac:dyDescent="0.25">
      <c r="A3262" t="s">
        <v>3265</v>
      </c>
      <c r="B3262">
        <v>0.99930955844802105</v>
      </c>
      <c r="C3262">
        <v>1.09567316672457</v>
      </c>
      <c r="D3262">
        <v>1.0743119000653401</v>
      </c>
      <c r="E3262">
        <v>1.03180958358206</v>
      </c>
      <c r="F3262">
        <v>0.86732051274397004</v>
      </c>
      <c r="G3262">
        <v>0.73825823975859795</v>
      </c>
      <c r="H3262">
        <v>0.71829646255368196</v>
      </c>
      <c r="I3262">
        <v>0.72505531372641796</v>
      </c>
      <c r="J3262">
        <v>0.70877237309518704</v>
      </c>
      <c r="K3262">
        <v>0.59198646061930804</v>
      </c>
      <c r="L3262">
        <v>2012.98464868477</v>
      </c>
      <c r="M3262">
        <v>37.402151029459503</v>
      </c>
      <c r="O3262">
        <v>53.666866656814399</v>
      </c>
      <c r="P3262">
        <v>-5.4492280119118101E-2</v>
      </c>
      <c r="Q3262">
        <v>0.68724560223745401</v>
      </c>
      <c r="R3262">
        <v>0.901086185178812</v>
      </c>
      <c r="S3262" t="s">
        <v>9878</v>
      </c>
      <c r="T3262" t="s">
        <v>13232</v>
      </c>
      <c r="U3262" t="s">
        <v>13232</v>
      </c>
      <c r="V3262" t="s">
        <v>13232</v>
      </c>
      <c r="W3262" t="s">
        <v>16437</v>
      </c>
      <c r="X3262">
        <v>48</v>
      </c>
      <c r="Y3262" t="s">
        <v>22886</v>
      </c>
      <c r="Z3262" t="s">
        <v>29393</v>
      </c>
      <c r="AA3262">
        <v>0.83264942205874393</v>
      </c>
      <c r="AB3262" t="str">
        <f>HYPERLINK("Melting_Curves/meltCurve_Q14676_MDC1.pdf", "Melting_Curves/meltCurve_Q14676_MDC1.pdf")</f>
        <v>Melting_Curves/meltCurve_Q14676_MDC1.pdf</v>
      </c>
    </row>
    <row r="3263" spans="1:28" x14ac:dyDescent="0.25">
      <c r="A3263" t="s">
        <v>3266</v>
      </c>
      <c r="B3263">
        <v>0.99930955844802105</v>
      </c>
      <c r="C3263">
        <v>1.0318281409046399</v>
      </c>
      <c r="D3263">
        <v>0.98424726651777505</v>
      </c>
      <c r="E3263">
        <v>0.95805897351776403</v>
      </c>
      <c r="F3263">
        <v>0.82620518432311796</v>
      </c>
      <c r="G3263">
        <v>0.64527599660089097</v>
      </c>
      <c r="H3263">
        <v>0.54701020323820104</v>
      </c>
      <c r="I3263">
        <v>0.51673083412787402</v>
      </c>
      <c r="J3263">
        <v>0.47957854354083301</v>
      </c>
      <c r="K3263">
        <v>0.35761944035919602</v>
      </c>
      <c r="L3263">
        <v>832.21443979291598</v>
      </c>
      <c r="M3263">
        <v>14.681321044641299</v>
      </c>
      <c r="N3263">
        <v>62.841074854947301</v>
      </c>
      <c r="O3263">
        <v>55.664716838179402</v>
      </c>
      <c r="P3263">
        <v>-4.07981406650565E-2</v>
      </c>
      <c r="Q3263">
        <v>0.38131798621167401</v>
      </c>
      <c r="R3263">
        <v>0.98207872991443601</v>
      </c>
      <c r="S3263" t="s">
        <v>9879</v>
      </c>
      <c r="T3263" t="s">
        <v>13232</v>
      </c>
      <c r="U3263" t="s">
        <v>13232</v>
      </c>
      <c r="V3263" t="s">
        <v>13232</v>
      </c>
      <c r="W3263" t="s">
        <v>16438</v>
      </c>
      <c r="X3263">
        <v>23</v>
      </c>
      <c r="Y3263" t="s">
        <v>22887</v>
      </c>
      <c r="Z3263" t="s">
        <v>29394</v>
      </c>
      <c r="AA3263">
        <v>0.73574535943577046</v>
      </c>
      <c r="AB3263" t="str">
        <f>HYPERLINK("Melting_Curves/meltCurve_Q14677_CLINT1.pdf", "Melting_Curves/meltCurve_Q14677_CLINT1.pdf")</f>
        <v>Melting_Curves/meltCurve_Q14677_CLINT1.pdf</v>
      </c>
    </row>
    <row r="3264" spans="1:28" x14ac:dyDescent="0.25">
      <c r="A3264" t="s">
        <v>3267</v>
      </c>
      <c r="B3264">
        <v>0.99930955844802105</v>
      </c>
      <c r="C3264">
        <v>0.60507008316116695</v>
      </c>
      <c r="D3264">
        <v>0.69733235886228495</v>
      </c>
      <c r="E3264">
        <v>0.74625182409015001</v>
      </c>
      <c r="F3264">
        <v>0.31795868431733298</v>
      </c>
      <c r="G3264">
        <v>0.184129841165668</v>
      </c>
      <c r="H3264">
        <v>9.0559065260335303E-2</v>
      </c>
      <c r="I3264">
        <v>7.7427583345855394E-2</v>
      </c>
      <c r="J3264">
        <v>6.8483805332087602E-2</v>
      </c>
      <c r="K3264">
        <v>5.14369198718507E-2</v>
      </c>
      <c r="L3264">
        <v>490.61113825666001</v>
      </c>
      <c r="M3264">
        <v>9.7901151666434707</v>
      </c>
      <c r="N3264">
        <v>50.112915449854903</v>
      </c>
      <c r="O3264">
        <v>48.156252355474201</v>
      </c>
      <c r="P3264">
        <v>-5.08515428169019E-2</v>
      </c>
      <c r="Q3264">
        <v>0</v>
      </c>
      <c r="R3264">
        <v>0.88278813467759498</v>
      </c>
      <c r="S3264" t="s">
        <v>9880</v>
      </c>
      <c r="T3264" t="s">
        <v>13232</v>
      </c>
      <c r="U3264" t="s">
        <v>13232</v>
      </c>
      <c r="V3264" t="s">
        <v>13232</v>
      </c>
      <c r="W3264" t="s">
        <v>16439</v>
      </c>
      <c r="X3264">
        <v>69</v>
      </c>
      <c r="Y3264" t="s">
        <v>22888</v>
      </c>
      <c r="Z3264" t="s">
        <v>29395</v>
      </c>
      <c r="AA3264">
        <v>0.3831820727486871</v>
      </c>
      <c r="AB3264" t="str">
        <f>HYPERLINK("Melting_Curves/meltCurve_Q14683_SMC1A.pdf", "Melting_Curves/meltCurve_Q14683_SMC1A.pdf")</f>
        <v>Melting_Curves/meltCurve_Q14683_SMC1A.pdf</v>
      </c>
    </row>
    <row r="3265" spans="1:28" x14ac:dyDescent="0.25">
      <c r="A3265" t="s">
        <v>3268</v>
      </c>
      <c r="B3265">
        <v>0.99930955844802105</v>
      </c>
      <c r="C3265">
        <v>0.971094876733129</v>
      </c>
      <c r="D3265">
        <v>0.82779678019223901</v>
      </c>
      <c r="E3265">
        <v>0.737783559752754</v>
      </c>
      <c r="F3265">
        <v>0.64356181730365702</v>
      </c>
      <c r="G3265">
        <v>0.536467100120812</v>
      </c>
      <c r="H3265">
        <v>0.51469948606919602</v>
      </c>
      <c r="I3265">
        <v>0.56932433934096405</v>
      </c>
      <c r="J3265">
        <v>0.57042820390240201</v>
      </c>
      <c r="K3265">
        <v>0.44709001061249698</v>
      </c>
      <c r="L3265">
        <v>712.85636628126394</v>
      </c>
      <c r="M3265">
        <v>14.528958261071001</v>
      </c>
      <c r="O3265">
        <v>48.163121164977603</v>
      </c>
      <c r="P3265">
        <v>-3.7176613615321097E-2</v>
      </c>
      <c r="Q3265">
        <v>0.50709837150360304</v>
      </c>
      <c r="R3265">
        <v>0.96092478466324804</v>
      </c>
      <c r="S3265" t="s">
        <v>9881</v>
      </c>
      <c r="T3265" t="s">
        <v>13232</v>
      </c>
      <c r="U3265" t="s">
        <v>13232</v>
      </c>
      <c r="V3265" t="s">
        <v>13232</v>
      </c>
      <c r="W3265" t="s">
        <v>16440</v>
      </c>
      <c r="X3265">
        <v>16</v>
      </c>
      <c r="Y3265" t="s">
        <v>22889</v>
      </c>
      <c r="Z3265" t="s">
        <v>29396</v>
      </c>
      <c r="AA3265">
        <v>0.66890758500649783</v>
      </c>
      <c r="AB3265" t="str">
        <f>HYPERLINK("Melting_Curves/meltCurve_Q14684_RRP1B.pdf", "Melting_Curves/meltCurve_Q14684_RRP1B.pdf")</f>
        <v>Melting_Curves/meltCurve_Q14684_RRP1B.pdf</v>
      </c>
    </row>
    <row r="3266" spans="1:28" x14ac:dyDescent="0.25">
      <c r="A3266" t="s">
        <v>3269</v>
      </c>
      <c r="B3266">
        <v>0.99930955844802105</v>
      </c>
      <c r="C3266">
        <v>1.1398574677464599</v>
      </c>
      <c r="D3266">
        <v>1.11227482547126</v>
      </c>
      <c r="E3266">
        <v>0.98040473768275305</v>
      </c>
      <c r="F3266">
        <v>0.90041456043036405</v>
      </c>
      <c r="G3266">
        <v>0.828555291643292</v>
      </c>
      <c r="H3266">
        <v>0.81001861778401596</v>
      </c>
      <c r="I3266">
        <v>0.71585766069482304</v>
      </c>
      <c r="J3266">
        <v>0.84936177601156004</v>
      </c>
      <c r="K3266">
        <v>0.69935830967375601</v>
      </c>
      <c r="L3266">
        <v>1347.65908220954</v>
      </c>
      <c r="M3266">
        <v>24.750540688318001</v>
      </c>
      <c r="O3266">
        <v>54.097965940335499</v>
      </c>
      <c r="P3266">
        <v>-2.7186710905322299E-2</v>
      </c>
      <c r="Q3266">
        <v>0.76231223402366799</v>
      </c>
      <c r="R3266">
        <v>0.76860433947430296</v>
      </c>
      <c r="S3266" t="s">
        <v>9882</v>
      </c>
      <c r="T3266" t="s">
        <v>13232</v>
      </c>
      <c r="U3266" t="s">
        <v>13232</v>
      </c>
      <c r="V3266" t="s">
        <v>13232</v>
      </c>
      <c r="W3266" t="s">
        <v>16441</v>
      </c>
      <c r="X3266">
        <v>11</v>
      </c>
      <c r="Y3266" t="s">
        <v>22890</v>
      </c>
      <c r="Z3266" t="s">
        <v>29397</v>
      </c>
      <c r="AA3266">
        <v>0.87903678721755696</v>
      </c>
      <c r="AB3266" t="str">
        <f>HYPERLINK("Melting_Curves/meltCurve_Q14686_NCOA6.pdf", "Melting_Curves/meltCurve_Q14686_NCOA6.pdf")</f>
        <v>Melting_Curves/meltCurve_Q14686_NCOA6.pdf</v>
      </c>
    </row>
    <row r="3267" spans="1:28" x14ac:dyDescent="0.25">
      <c r="A3267" t="s">
        <v>3270</v>
      </c>
      <c r="B3267">
        <v>0.99930955844802105</v>
      </c>
      <c r="C3267">
        <v>1.0614554435479999</v>
      </c>
      <c r="D3267">
        <v>1.0217016820778999</v>
      </c>
      <c r="E3267">
        <v>0.90847955212868203</v>
      </c>
      <c r="F3267">
        <v>0.72374889278756904</v>
      </c>
      <c r="G3267">
        <v>0.55312136392745903</v>
      </c>
      <c r="H3267">
        <v>0.51283452222547798</v>
      </c>
      <c r="I3267">
        <v>0.55427604304382805</v>
      </c>
      <c r="J3267">
        <v>0.57133264773844095</v>
      </c>
      <c r="K3267">
        <v>0.47929608012369301</v>
      </c>
      <c r="L3267">
        <v>1722.6196032230901</v>
      </c>
      <c r="M3267">
        <v>32.894348364785003</v>
      </c>
      <c r="O3267">
        <v>52.175847676703299</v>
      </c>
      <c r="P3267">
        <v>-7.4495185765197897E-2</v>
      </c>
      <c r="Q3267">
        <v>0.52735565808730001</v>
      </c>
      <c r="R3267">
        <v>0.98000782409481502</v>
      </c>
      <c r="S3267" t="s">
        <v>9883</v>
      </c>
      <c r="T3267" t="s">
        <v>13232</v>
      </c>
      <c r="U3267" t="s">
        <v>13232</v>
      </c>
      <c r="V3267" t="s">
        <v>13232</v>
      </c>
      <c r="W3267" t="s">
        <v>16442</v>
      </c>
      <c r="X3267">
        <v>26</v>
      </c>
      <c r="Y3267" t="s">
        <v>22891</v>
      </c>
      <c r="Z3267" t="s">
        <v>29398</v>
      </c>
      <c r="AA3267">
        <v>0.72474488553907546</v>
      </c>
      <c r="AB3267" t="str">
        <f>HYPERLINK("Melting_Curves/meltCurve_Q14687_GSE1.pdf", "Melting_Curves/meltCurve_Q14687_GSE1.pdf")</f>
        <v>Melting_Curves/meltCurve_Q14687_GSE1.pdf</v>
      </c>
    </row>
    <row r="3268" spans="1:28" x14ac:dyDescent="0.25">
      <c r="A3268" t="s">
        <v>3271</v>
      </c>
      <c r="B3268">
        <v>0.99930955844802105</v>
      </c>
      <c r="C3268">
        <v>0.92673740154009698</v>
      </c>
      <c r="D3268">
        <v>0.89505018419007498</v>
      </c>
      <c r="E3268">
        <v>0.68376415609566199</v>
      </c>
      <c r="F3268">
        <v>0.44583924770690198</v>
      </c>
      <c r="G3268">
        <v>0.33687981560091901</v>
      </c>
      <c r="H3268">
        <v>0.27877786320186998</v>
      </c>
      <c r="I3268">
        <v>0.29630359794997702</v>
      </c>
      <c r="J3268">
        <v>0.27908981349397499</v>
      </c>
      <c r="K3268">
        <v>0.22863641573247401</v>
      </c>
      <c r="L3268">
        <v>925.37490420202198</v>
      </c>
      <c r="M3268">
        <v>18.3412074494351</v>
      </c>
      <c r="N3268">
        <v>52.4885403360447</v>
      </c>
      <c r="O3268">
        <v>49.865028572011603</v>
      </c>
      <c r="P3268">
        <v>-6.8558223032181703E-2</v>
      </c>
      <c r="Q3268">
        <v>0.25446541747155099</v>
      </c>
      <c r="R3268">
        <v>0.99366692209797502</v>
      </c>
      <c r="S3268" t="s">
        <v>9884</v>
      </c>
      <c r="T3268" t="s">
        <v>13232</v>
      </c>
      <c r="U3268" t="s">
        <v>13232</v>
      </c>
      <c r="V3268" t="s">
        <v>13232</v>
      </c>
      <c r="W3268" t="s">
        <v>16443</v>
      </c>
      <c r="X3268">
        <v>7</v>
      </c>
      <c r="Y3268" t="s">
        <v>22892</v>
      </c>
      <c r="Z3268" t="s">
        <v>29399</v>
      </c>
      <c r="AA3268">
        <v>0.52645076740757102</v>
      </c>
      <c r="AB3268" t="str">
        <f>HYPERLINK("Melting_Curves/meltCurve_Q14689_6_DIP2A.pdf", "Melting_Curves/meltCurve_Q14689_6_DIP2A.pdf")</f>
        <v>Melting_Curves/meltCurve_Q14689_6_DIP2A.pdf</v>
      </c>
    </row>
    <row r="3269" spans="1:28" x14ac:dyDescent="0.25">
      <c r="A3269" t="s">
        <v>3272</v>
      </c>
      <c r="B3269">
        <v>0.99930955844802105</v>
      </c>
      <c r="C3269">
        <v>0.76148604841066303</v>
      </c>
      <c r="D3269">
        <v>0.369257596205054</v>
      </c>
      <c r="E3269">
        <v>0.29903552820241902</v>
      </c>
      <c r="F3269">
        <v>0.20433127182581801</v>
      </c>
      <c r="G3269">
        <v>0.16051687685706201</v>
      </c>
      <c r="H3269">
        <v>0.127716890804775</v>
      </c>
      <c r="I3269">
        <v>0.135642474715194</v>
      </c>
      <c r="J3269">
        <v>0.122113604541554</v>
      </c>
      <c r="K3269">
        <v>9.3751998857826202E-2</v>
      </c>
      <c r="L3269">
        <v>1037.7170807047901</v>
      </c>
      <c r="M3269">
        <v>23.281997038955598</v>
      </c>
      <c r="N3269">
        <v>45.234915458899401</v>
      </c>
      <c r="O3269">
        <v>44.246735226233703</v>
      </c>
      <c r="P3269">
        <v>-0.11252629948279499</v>
      </c>
      <c r="Q3269">
        <v>0.14460395751677599</v>
      </c>
      <c r="R3269">
        <v>0.97714332321540098</v>
      </c>
      <c r="S3269" t="s">
        <v>9885</v>
      </c>
      <c r="T3269" t="s">
        <v>13232</v>
      </c>
      <c r="U3269" t="s">
        <v>13232</v>
      </c>
      <c r="V3269" t="s">
        <v>13232</v>
      </c>
      <c r="W3269" t="s">
        <v>16444</v>
      </c>
      <c r="X3269">
        <v>9</v>
      </c>
      <c r="Y3269" t="s">
        <v>22893</v>
      </c>
      <c r="Z3269" t="s">
        <v>29400</v>
      </c>
      <c r="AA3269">
        <v>0.28560604616632529</v>
      </c>
      <c r="AB3269" t="str">
        <f>HYPERLINK("Melting_Curves/meltCurve_Q14690_PDCD11.pdf", "Melting_Curves/meltCurve_Q14690_PDCD11.pdf")</f>
        <v>Melting_Curves/meltCurve_Q14690_PDCD11.pdf</v>
      </c>
    </row>
    <row r="3270" spans="1:28" x14ac:dyDescent="0.25">
      <c r="A3270" t="s">
        <v>3273</v>
      </c>
      <c r="B3270">
        <v>0.99930955844802105</v>
      </c>
      <c r="C3270">
        <v>1.0315778067366701</v>
      </c>
      <c r="D3270">
        <v>0.97549163404390804</v>
      </c>
      <c r="E3270">
        <v>0.80705206101611304</v>
      </c>
      <c r="F3270">
        <v>0.204698062307927</v>
      </c>
      <c r="G3270">
        <v>0.125903804063</v>
      </c>
      <c r="H3270">
        <v>8.4270740150834994E-2</v>
      </c>
      <c r="I3270">
        <v>8.02135984961522E-2</v>
      </c>
      <c r="J3270">
        <v>7.68091935126618E-2</v>
      </c>
      <c r="K3270">
        <v>5.1758367578197503E-2</v>
      </c>
      <c r="L3270">
        <v>2783.9231991125998</v>
      </c>
      <c r="M3270">
        <v>54.367096090771497</v>
      </c>
      <c r="N3270">
        <v>51.376351941612398</v>
      </c>
      <c r="O3270">
        <v>51.136890732934702</v>
      </c>
      <c r="P3270">
        <v>-0.24387399524557701</v>
      </c>
      <c r="Q3270">
        <v>8.2463392063100702E-2</v>
      </c>
      <c r="R3270">
        <v>0.99769776631730001</v>
      </c>
      <c r="S3270" t="s">
        <v>9886</v>
      </c>
      <c r="T3270" t="s">
        <v>13232</v>
      </c>
      <c r="U3270" t="s">
        <v>13232</v>
      </c>
      <c r="V3270" t="s">
        <v>13232</v>
      </c>
      <c r="W3270" t="s">
        <v>16445</v>
      </c>
      <c r="X3270">
        <v>10</v>
      </c>
      <c r="Y3270" t="s">
        <v>22894</v>
      </c>
      <c r="Z3270" t="s">
        <v>29401</v>
      </c>
      <c r="AA3270">
        <v>0.42694618627513259</v>
      </c>
      <c r="AB3270" t="str">
        <f>HYPERLINK("Melting_Curves/meltCurve_Q14691_GINS1.pdf", "Melting_Curves/meltCurve_Q14691_GINS1.pdf")</f>
        <v>Melting_Curves/meltCurve_Q14691_GINS1.pdf</v>
      </c>
    </row>
    <row r="3271" spans="1:28" x14ac:dyDescent="0.25">
      <c r="A3271" t="s">
        <v>3274</v>
      </c>
      <c r="B3271">
        <v>0.99930955844802105</v>
      </c>
      <c r="C3271">
        <v>1.19976893626745</v>
      </c>
      <c r="D3271">
        <v>1.1098221180227701</v>
      </c>
      <c r="E3271">
        <v>0.94218950384716804</v>
      </c>
      <c r="F3271">
        <v>0.86785726950648101</v>
      </c>
      <c r="G3271">
        <v>0.77807307417327398</v>
      </c>
      <c r="H3271">
        <v>0.93736860529375099</v>
      </c>
      <c r="I3271">
        <v>1.05815621421983</v>
      </c>
      <c r="J3271">
        <v>1.09929498060259</v>
      </c>
      <c r="K3271">
        <v>0.88575366629331798</v>
      </c>
      <c r="L3271">
        <v>12371.660766094201</v>
      </c>
      <c r="M3271">
        <v>250</v>
      </c>
      <c r="O3271">
        <v>49.483500257049698</v>
      </c>
      <c r="P3271">
        <v>-7.8623918687559705E-2</v>
      </c>
      <c r="Q3271">
        <v>0.93775064283840703</v>
      </c>
      <c r="R3271">
        <v>0.166466795400013</v>
      </c>
      <c r="S3271" t="s">
        <v>9887</v>
      </c>
      <c r="T3271" t="s">
        <v>13232</v>
      </c>
      <c r="U3271" t="s">
        <v>13232</v>
      </c>
      <c r="V3271" t="s">
        <v>13232</v>
      </c>
      <c r="W3271" t="s">
        <v>16446</v>
      </c>
      <c r="X3271">
        <v>10</v>
      </c>
      <c r="Y3271" t="s">
        <v>22895</v>
      </c>
      <c r="Z3271" t="s">
        <v>29402</v>
      </c>
      <c r="AA3271">
        <v>0.95744063016782843</v>
      </c>
      <c r="AB3271" t="str">
        <f>HYPERLINK("Melting_Curves/meltCurve_Q14692_BMS1.pdf", "Melting_Curves/meltCurve_Q14692_BMS1.pdf")</f>
        <v>Melting_Curves/meltCurve_Q14692_BMS1.pdf</v>
      </c>
    </row>
    <row r="3272" spans="1:28" x14ac:dyDescent="0.25">
      <c r="A3272" t="s">
        <v>3275</v>
      </c>
      <c r="B3272">
        <v>0.99930955844802105</v>
      </c>
      <c r="C3272">
        <v>0.56561501555070104</v>
      </c>
      <c r="D3272">
        <v>0.352233634862398</v>
      </c>
      <c r="E3272">
        <v>0.30491918634859499</v>
      </c>
      <c r="F3272">
        <v>0.24880801066309399</v>
      </c>
      <c r="G3272">
        <v>0.19215908213691599</v>
      </c>
      <c r="H3272">
        <v>0.15593866290087899</v>
      </c>
      <c r="I3272">
        <v>0.15322596006283601</v>
      </c>
      <c r="J3272">
        <v>0.14769552290662399</v>
      </c>
      <c r="K3272">
        <v>0.11982809915895</v>
      </c>
      <c r="L3272">
        <v>1062.79261324609</v>
      </c>
      <c r="M3272">
        <v>24.569958795945102</v>
      </c>
      <c r="N3272">
        <v>44.0666754473353</v>
      </c>
      <c r="O3272">
        <v>42.972288305401499</v>
      </c>
      <c r="P3272">
        <v>-0.116946751867968</v>
      </c>
      <c r="Q3272">
        <v>0.181863160155602</v>
      </c>
      <c r="R3272">
        <v>0.950577912551691</v>
      </c>
      <c r="S3272" t="s">
        <v>9888</v>
      </c>
      <c r="T3272" t="s">
        <v>13232</v>
      </c>
      <c r="U3272" t="s">
        <v>13232</v>
      </c>
      <c r="V3272" t="s">
        <v>13232</v>
      </c>
      <c r="W3272" t="s">
        <v>16447</v>
      </c>
      <c r="X3272">
        <v>16</v>
      </c>
      <c r="Y3272" t="s">
        <v>22896</v>
      </c>
      <c r="Z3272" t="s">
        <v>29403</v>
      </c>
      <c r="AA3272">
        <v>0.28207148758177802</v>
      </c>
      <c r="AB3272" t="str">
        <f>HYPERLINK("Melting_Curves/meltCurve_Q14694_USP10.pdf", "Melting_Curves/meltCurve_Q14694_USP10.pdf")</f>
        <v>Melting_Curves/meltCurve_Q14694_USP10.pdf</v>
      </c>
    </row>
    <row r="3273" spans="1:28" x14ac:dyDescent="0.25">
      <c r="A3273" t="s">
        <v>3276</v>
      </c>
      <c r="B3273">
        <v>0.99930955844802105</v>
      </c>
      <c r="C3273">
        <v>1.0456346191591299</v>
      </c>
      <c r="D3273">
        <v>1.05514996788756</v>
      </c>
      <c r="E3273">
        <v>0.987836412220223</v>
      </c>
      <c r="F3273">
        <v>0.82735058662447503</v>
      </c>
      <c r="G3273">
        <v>0.69612625983861598</v>
      </c>
      <c r="H3273">
        <v>0.469549204184248</v>
      </c>
      <c r="I3273">
        <v>0.327346169019122</v>
      </c>
      <c r="J3273">
        <v>0.216013798313859</v>
      </c>
      <c r="K3273">
        <v>0.14586326590408999</v>
      </c>
      <c r="L3273">
        <v>860.369028463272</v>
      </c>
      <c r="M3273">
        <v>14.336561659883801</v>
      </c>
      <c r="N3273">
        <v>60.375486072182198</v>
      </c>
      <c r="O3273">
        <v>58.8808400669054</v>
      </c>
      <c r="P3273">
        <v>-5.83628638632534E-2</v>
      </c>
      <c r="Q3273">
        <v>4.1321039510076402E-2</v>
      </c>
      <c r="R3273">
        <v>0.99070750197924495</v>
      </c>
      <c r="S3273" t="s">
        <v>9889</v>
      </c>
      <c r="T3273" t="s">
        <v>13232</v>
      </c>
      <c r="U3273" t="s">
        <v>13232</v>
      </c>
      <c r="V3273" t="s">
        <v>13232</v>
      </c>
      <c r="W3273" t="s">
        <v>16448</v>
      </c>
      <c r="X3273">
        <v>11</v>
      </c>
      <c r="Y3273" t="s">
        <v>22897</v>
      </c>
      <c r="Z3273" t="s">
        <v>29404</v>
      </c>
      <c r="AA3273">
        <v>0.68675299658211941</v>
      </c>
      <c r="AB3273" t="str">
        <f>HYPERLINK("Melting_Curves/meltCurve_Q14696_MESDC2.pdf", "Melting_Curves/meltCurve_Q14696_MESDC2.pdf")</f>
        <v>Melting_Curves/meltCurve_Q14696_MESDC2.pdf</v>
      </c>
    </row>
    <row r="3274" spans="1:28" x14ac:dyDescent="0.25">
      <c r="A3274" t="s">
        <v>3277</v>
      </c>
      <c r="B3274">
        <v>0.99930955844802105</v>
      </c>
      <c r="C3274">
        <v>1.0140281238078299</v>
      </c>
      <c r="D3274">
        <v>0.88465371510049595</v>
      </c>
      <c r="E3274">
        <v>0.53201648801769397</v>
      </c>
      <c r="F3274">
        <v>0.22109663352981199</v>
      </c>
      <c r="G3274">
        <v>0.14748939077569101</v>
      </c>
      <c r="H3274">
        <v>8.9947715428749297E-2</v>
      </c>
      <c r="I3274">
        <v>7.9192920263944797E-2</v>
      </c>
      <c r="J3274">
        <v>7.1024584808737704E-2</v>
      </c>
      <c r="K3274">
        <v>5.51133554244276E-2</v>
      </c>
      <c r="L3274">
        <v>1246.44969354815</v>
      </c>
      <c r="M3274">
        <v>25.004793903411599</v>
      </c>
      <c r="N3274">
        <v>50.172741781284699</v>
      </c>
      <c r="O3274">
        <v>49.532883259307098</v>
      </c>
      <c r="P3274">
        <v>-0.116787169123932</v>
      </c>
      <c r="Q3274">
        <v>7.4621100066472698E-2</v>
      </c>
      <c r="R3274">
        <v>0.99770469709028198</v>
      </c>
      <c r="S3274" t="s">
        <v>9890</v>
      </c>
      <c r="T3274" t="s">
        <v>13232</v>
      </c>
      <c r="U3274" t="s">
        <v>13232</v>
      </c>
      <c r="V3274" t="s">
        <v>13232</v>
      </c>
      <c r="W3274" t="s">
        <v>16449</v>
      </c>
      <c r="X3274">
        <v>44</v>
      </c>
      <c r="Y3274" t="s">
        <v>22898</v>
      </c>
      <c r="Z3274" t="s">
        <v>29405</v>
      </c>
      <c r="AA3274">
        <v>0.38666050441233712</v>
      </c>
      <c r="AB3274" t="str">
        <f>HYPERLINK("Melting_Curves/meltCurve_Q14697_GANAB.pdf", "Melting_Curves/meltCurve_Q14697_GANAB.pdf")</f>
        <v>Melting_Curves/meltCurve_Q14697_GANAB.pdf</v>
      </c>
    </row>
    <row r="3275" spans="1:28" x14ac:dyDescent="0.25">
      <c r="A3275" t="s">
        <v>3278</v>
      </c>
      <c r="B3275">
        <v>0.99930955844802105</v>
      </c>
      <c r="C3275">
        <v>1.1504231021118501</v>
      </c>
      <c r="D3275">
        <v>0.66130929220358003</v>
      </c>
      <c r="E3275">
        <v>0.80420871170559005</v>
      </c>
      <c r="F3275">
        <v>0.36439769293073898</v>
      </c>
      <c r="G3275">
        <v>0.19154199592035501</v>
      </c>
      <c r="H3275">
        <v>0.17118698250939801</v>
      </c>
      <c r="I3275">
        <v>0.17834956255491999</v>
      </c>
      <c r="J3275">
        <v>0.26060484008461199</v>
      </c>
      <c r="K3275">
        <v>0.135245988591535</v>
      </c>
      <c r="L3275">
        <v>976.09277859064196</v>
      </c>
      <c r="M3275">
        <v>19.2004965069344</v>
      </c>
      <c r="N3275">
        <v>51.865720463819301</v>
      </c>
      <c r="O3275">
        <v>50.2950527030697</v>
      </c>
      <c r="P3275">
        <v>-8.0327301684533697E-2</v>
      </c>
      <c r="Q3275">
        <v>0.158373847283417</v>
      </c>
      <c r="R3275">
        <v>0.90052983469076897</v>
      </c>
      <c r="S3275" t="s">
        <v>9891</v>
      </c>
      <c r="T3275" t="s">
        <v>13232</v>
      </c>
      <c r="U3275" t="s">
        <v>13232</v>
      </c>
      <c r="V3275" t="s">
        <v>13232</v>
      </c>
      <c r="W3275" t="s">
        <v>16450</v>
      </c>
      <c r="X3275">
        <v>43</v>
      </c>
      <c r="Y3275" t="s">
        <v>22898</v>
      </c>
      <c r="Z3275" t="s">
        <v>29406</v>
      </c>
      <c r="AA3275">
        <v>0.47500893919422121</v>
      </c>
      <c r="AB3275" t="str">
        <f>HYPERLINK("Melting_Curves/meltCurve_Q14697_2_GANAB.pdf", "Melting_Curves/meltCurve_Q14697_2_GANAB.pdf")</f>
        <v>Melting_Curves/meltCurve_Q14697_2_GANAB.pdf</v>
      </c>
    </row>
    <row r="3276" spans="1:28" x14ac:dyDescent="0.25">
      <c r="A3276" t="s">
        <v>3279</v>
      </c>
      <c r="B3276">
        <v>0.99930955844802105</v>
      </c>
      <c r="C3276">
        <v>1.25803946945121</v>
      </c>
      <c r="D3276">
        <v>1.2319080622804399</v>
      </c>
      <c r="E3276">
        <v>1.2420244984089599</v>
      </c>
      <c r="F3276">
        <v>1.1247319002316001</v>
      </c>
      <c r="G3276">
        <v>0.86952612449814404</v>
      </c>
      <c r="H3276">
        <v>0.81890267314694298</v>
      </c>
      <c r="I3276">
        <v>0.80267974822032895</v>
      </c>
      <c r="J3276">
        <v>0.79314437334574095</v>
      </c>
      <c r="K3276">
        <v>0.64605299943243999</v>
      </c>
      <c r="L3276">
        <v>1445.4575875814401</v>
      </c>
      <c r="M3276">
        <v>24.0141239094071</v>
      </c>
      <c r="O3276">
        <v>59.779246041245301</v>
      </c>
      <c r="P3276">
        <v>-2.9188403604045999E-2</v>
      </c>
      <c r="Q3276">
        <v>0.70936556778891402</v>
      </c>
      <c r="R3276">
        <v>0.52114718240378299</v>
      </c>
      <c r="S3276" t="s">
        <v>9892</v>
      </c>
      <c r="T3276" t="s">
        <v>13232</v>
      </c>
      <c r="U3276" t="s">
        <v>13232</v>
      </c>
      <c r="V3276" t="s">
        <v>13232</v>
      </c>
      <c r="W3276" t="s">
        <v>16451</v>
      </c>
      <c r="X3276">
        <v>9</v>
      </c>
      <c r="Y3276" t="s">
        <v>22899</v>
      </c>
      <c r="Z3276" t="s">
        <v>29407</v>
      </c>
      <c r="AA3276">
        <v>0.90714765660170638</v>
      </c>
      <c r="AB3276" t="str">
        <f>HYPERLINK("Melting_Curves/meltCurve_Q14739_LBR.pdf", "Melting_Curves/meltCurve_Q14739_LBR.pdf")</f>
        <v>Melting_Curves/meltCurve_Q14739_LBR.pdf</v>
      </c>
    </row>
    <row r="3277" spans="1:28" x14ac:dyDescent="0.25">
      <c r="A3277" t="s">
        <v>3280</v>
      </c>
      <c r="B3277">
        <v>0.99930955844802105</v>
      </c>
      <c r="C3277">
        <v>0.76824299091769999</v>
      </c>
      <c r="D3277">
        <v>0.52656230445562302</v>
      </c>
      <c r="E3277">
        <v>0.36533212652312602</v>
      </c>
      <c r="F3277">
        <v>0.24763361111708301</v>
      </c>
      <c r="G3277">
        <v>0.177400940952155</v>
      </c>
      <c r="H3277">
        <v>0.12510268492218701</v>
      </c>
      <c r="I3277">
        <v>0.110532610627001</v>
      </c>
      <c r="J3277">
        <v>0.102087421767919</v>
      </c>
      <c r="K3277">
        <v>7.59762134267737E-2</v>
      </c>
      <c r="L3277">
        <v>653.78345699912302</v>
      </c>
      <c r="M3277">
        <v>14.077193781783601</v>
      </c>
      <c r="N3277">
        <v>47.147330680461103</v>
      </c>
      <c r="O3277">
        <v>45.535659297883001</v>
      </c>
      <c r="P3277">
        <v>-6.9964180730319903E-2</v>
      </c>
      <c r="Q3277">
        <v>9.4861500334066498E-2</v>
      </c>
      <c r="R3277">
        <v>0.98659294388262697</v>
      </c>
      <c r="S3277" t="s">
        <v>9893</v>
      </c>
      <c r="T3277" t="s">
        <v>13232</v>
      </c>
      <c r="U3277" t="s">
        <v>13232</v>
      </c>
      <c r="V3277" t="s">
        <v>13232</v>
      </c>
      <c r="W3277" t="s">
        <v>16452</v>
      </c>
      <c r="X3277">
        <v>11</v>
      </c>
      <c r="Y3277" t="s">
        <v>22900</v>
      </c>
      <c r="Z3277" t="s">
        <v>29408</v>
      </c>
      <c r="AA3277">
        <v>0.31835081575586138</v>
      </c>
      <c r="AB3277" t="str">
        <f>HYPERLINK("Melting_Curves/meltCurve_Q14746_2_COG2.pdf", "Melting_Curves/meltCurve_Q14746_2_COG2.pdf")</f>
        <v>Melting_Curves/meltCurve_Q14746_2_COG2.pdf</v>
      </c>
    </row>
    <row r="3278" spans="1:28" x14ac:dyDescent="0.25">
      <c r="A3278" t="s">
        <v>3281</v>
      </c>
      <c r="B3278">
        <v>0.99930955844802105</v>
      </c>
      <c r="C3278">
        <v>1.3908485628551399</v>
      </c>
      <c r="D3278">
        <v>1.2906236663478201</v>
      </c>
      <c r="E3278">
        <v>1.2102774987110401</v>
      </c>
      <c r="F3278">
        <v>1.34615237090707</v>
      </c>
      <c r="G3278">
        <v>1.21219809332809</v>
      </c>
      <c r="H3278">
        <v>1.3888736310377601</v>
      </c>
      <c r="I3278">
        <v>1.5793145745483299</v>
      </c>
      <c r="J3278">
        <v>1.6295873302963899</v>
      </c>
      <c r="K3278">
        <v>1.2172031576666</v>
      </c>
      <c r="L3278">
        <v>10281.816311029001</v>
      </c>
      <c r="M3278">
        <v>250</v>
      </c>
      <c r="O3278">
        <v>41.124633383638802</v>
      </c>
      <c r="P3278">
        <v>0.55135394103956303</v>
      </c>
      <c r="Q3278">
        <v>1.36278765850951</v>
      </c>
      <c r="R3278">
        <v>0.38225657324225898</v>
      </c>
      <c r="S3278" t="s">
        <v>9894</v>
      </c>
      <c r="T3278" t="s">
        <v>13232</v>
      </c>
      <c r="U3278" t="s">
        <v>13232</v>
      </c>
      <c r="V3278" t="s">
        <v>13232</v>
      </c>
      <c r="W3278" t="s">
        <v>16453</v>
      </c>
      <c r="X3278">
        <v>3</v>
      </c>
      <c r="Y3278" t="s">
        <v>22901</v>
      </c>
      <c r="Z3278" t="s">
        <v>29409</v>
      </c>
      <c r="AA3278">
        <v>1.349127916203114</v>
      </c>
      <c r="AB3278" t="str">
        <f>HYPERLINK("Melting_Curves/meltCurve_Q14781_CBX2.pdf", "Melting_Curves/meltCurve_Q14781_CBX2.pdf")</f>
        <v>Melting_Curves/meltCurve_Q14781_CBX2.pdf</v>
      </c>
    </row>
    <row r="3279" spans="1:28" x14ac:dyDescent="0.25">
      <c r="A3279" t="s">
        <v>3282</v>
      </c>
      <c r="B3279">
        <v>0.99930955844802105</v>
      </c>
      <c r="C3279">
        <v>0.96548059325026903</v>
      </c>
      <c r="D3279">
        <v>0.88868905949940602</v>
      </c>
      <c r="E3279">
        <v>0.88966347475653396</v>
      </c>
      <c r="F3279">
        <v>0.81957476673594198</v>
      </c>
      <c r="G3279">
        <v>0.647416320650535</v>
      </c>
      <c r="H3279">
        <v>0.40226984412134997</v>
      </c>
      <c r="I3279">
        <v>0.37458287883445002</v>
      </c>
      <c r="J3279">
        <v>0.36025327966536602</v>
      </c>
      <c r="K3279">
        <v>0.27269023801659298</v>
      </c>
      <c r="L3279">
        <v>695.45644712128603</v>
      </c>
      <c r="M3279">
        <v>12.105260227524299</v>
      </c>
      <c r="N3279">
        <v>59.969365266952998</v>
      </c>
      <c r="O3279">
        <v>55.950346437799404</v>
      </c>
      <c r="P3279">
        <v>-4.3320968229080499E-2</v>
      </c>
      <c r="Q3279">
        <v>0.19927092814161901</v>
      </c>
      <c r="R3279">
        <v>0.98167256706191297</v>
      </c>
      <c r="S3279" t="s">
        <v>9895</v>
      </c>
      <c r="T3279" t="s">
        <v>13232</v>
      </c>
      <c r="U3279" t="s">
        <v>13232</v>
      </c>
      <c r="V3279" t="s">
        <v>13232</v>
      </c>
      <c r="W3279" t="s">
        <v>16454</v>
      </c>
      <c r="X3279">
        <v>50</v>
      </c>
      <c r="Y3279" t="s">
        <v>22902</v>
      </c>
      <c r="Z3279" t="s">
        <v>29410</v>
      </c>
      <c r="AA3279">
        <v>0.67712749477237688</v>
      </c>
      <c r="AB3279" t="str">
        <f>HYPERLINK("Melting_Curves/meltCurve_Q14789_GOLGB1.pdf", "Melting_Curves/meltCurve_Q14789_GOLGB1.pdf")</f>
        <v>Melting_Curves/meltCurve_Q14789_GOLGB1.pdf</v>
      </c>
    </row>
    <row r="3280" spans="1:28" x14ac:dyDescent="0.25">
      <c r="A3280" t="s">
        <v>3283</v>
      </c>
      <c r="B3280">
        <v>0.99930955844802105</v>
      </c>
      <c r="C3280">
        <v>0.99849969148029905</v>
      </c>
      <c r="D3280">
        <v>0.94953664954852102</v>
      </c>
      <c r="E3280">
        <v>0.59935821255826904</v>
      </c>
      <c r="F3280">
        <v>0.232381712980545</v>
      </c>
      <c r="G3280">
        <v>0.132266710109498</v>
      </c>
      <c r="H3280">
        <v>8.8797118832355401E-2</v>
      </c>
      <c r="I3280">
        <v>8.7323437948853902E-2</v>
      </c>
      <c r="J3280">
        <v>7.8323913442218895E-2</v>
      </c>
      <c r="K3280">
        <v>6.0630084352142302E-2</v>
      </c>
      <c r="L3280">
        <v>1559.08517554531</v>
      </c>
      <c r="M3280">
        <v>30.9489659319106</v>
      </c>
      <c r="N3280">
        <v>50.667746264991401</v>
      </c>
      <c r="O3280">
        <v>50.167093651095598</v>
      </c>
      <c r="P3280">
        <v>-0.14164303676126799</v>
      </c>
      <c r="Q3280">
        <v>8.1613669388569204E-2</v>
      </c>
      <c r="R3280">
        <v>0.99911728425919</v>
      </c>
      <c r="S3280" t="s">
        <v>9896</v>
      </c>
      <c r="T3280" t="s">
        <v>13232</v>
      </c>
      <c r="U3280" t="s">
        <v>13232</v>
      </c>
      <c r="V3280" t="s">
        <v>13232</v>
      </c>
      <c r="W3280" t="s">
        <v>16455</v>
      </c>
      <c r="X3280">
        <v>11</v>
      </c>
      <c r="Y3280" t="s">
        <v>22903</v>
      </c>
      <c r="Z3280" t="s">
        <v>29411</v>
      </c>
      <c r="AA3280">
        <v>0.40462045148895648</v>
      </c>
      <c r="AB3280" t="str">
        <f>HYPERLINK("Melting_Curves/meltCurve_Q14790_9_CASP8.pdf", "Melting_Curves/meltCurve_Q14790_9_CASP8.pdf")</f>
        <v>Melting_Curves/meltCurve_Q14790_9_CASP8.pdf</v>
      </c>
    </row>
    <row r="3281" spans="1:28" x14ac:dyDescent="0.25">
      <c r="A3281" t="s">
        <v>3284</v>
      </c>
      <c r="B3281">
        <v>0.99930955844802105</v>
      </c>
      <c r="C3281">
        <v>1.02753516513439</v>
      </c>
      <c r="D3281">
        <v>0.93695588294029597</v>
      </c>
      <c r="E3281">
        <v>0.798504464023299</v>
      </c>
      <c r="F3281">
        <v>0.62840811147340303</v>
      </c>
      <c r="G3281">
        <v>0.54622526799214999</v>
      </c>
      <c r="H3281">
        <v>0.62689207085074905</v>
      </c>
      <c r="I3281">
        <v>0.74736799663476805</v>
      </c>
      <c r="J3281">
        <v>0.82912749381320805</v>
      </c>
      <c r="K3281">
        <v>0.61749171871564201</v>
      </c>
      <c r="L3281">
        <v>1940.90151233659</v>
      </c>
      <c r="M3281">
        <v>39.565164287558503</v>
      </c>
      <c r="O3281">
        <v>48.930999546640997</v>
      </c>
      <c r="P3281">
        <v>-6.7551924293039495E-2</v>
      </c>
      <c r="Q3281">
        <v>0.66582966766542295</v>
      </c>
      <c r="R3281">
        <v>0.78186908159714297</v>
      </c>
      <c r="S3281" t="s">
        <v>9897</v>
      </c>
      <c r="T3281" t="s">
        <v>13232</v>
      </c>
      <c r="U3281" t="s">
        <v>13232</v>
      </c>
      <c r="V3281" t="s">
        <v>13232</v>
      </c>
      <c r="W3281" t="s">
        <v>16456</v>
      </c>
      <c r="X3281">
        <v>6</v>
      </c>
      <c r="Y3281" t="s">
        <v>22904</v>
      </c>
      <c r="Z3281" t="s">
        <v>29412</v>
      </c>
      <c r="AA3281">
        <v>0.76786218276191665</v>
      </c>
      <c r="AB3281" t="str">
        <f>HYPERLINK("Melting_Curves/meltCurve_Q147X3_NAA30.pdf", "Melting_Curves/meltCurve_Q147X3_NAA30.pdf")</f>
        <v>Melting_Curves/meltCurve_Q147X3_NAA30.pdf</v>
      </c>
    </row>
    <row r="3282" spans="1:28" x14ac:dyDescent="0.25">
      <c r="A3282" t="s">
        <v>3285</v>
      </c>
      <c r="B3282">
        <v>0.99930955844802105</v>
      </c>
      <c r="C3282">
        <v>1.0133852917264301</v>
      </c>
      <c r="D3282">
        <v>1.03542969951792</v>
      </c>
      <c r="E3282">
        <v>1.00927676227126</v>
      </c>
      <c r="F3282">
        <v>0.95440272633226497</v>
      </c>
      <c r="G3282">
        <v>0.84178281857780901</v>
      </c>
      <c r="H3282">
        <v>0.80669611386728102</v>
      </c>
      <c r="I3282">
        <v>0.91016757415424798</v>
      </c>
      <c r="J3282">
        <v>0.85945370261792797</v>
      </c>
      <c r="K3282">
        <v>0.686495307667087</v>
      </c>
      <c r="L3282">
        <v>425.95158089560698</v>
      </c>
      <c r="M3282">
        <v>5.0310861628821399</v>
      </c>
      <c r="Q3282">
        <v>0</v>
      </c>
      <c r="R3282">
        <v>0.74822438825709103</v>
      </c>
      <c r="S3282" t="s">
        <v>9898</v>
      </c>
      <c r="T3282" t="s">
        <v>13232</v>
      </c>
      <c r="U3282" t="s">
        <v>13232</v>
      </c>
      <c r="V3282" t="s">
        <v>13232</v>
      </c>
      <c r="W3282" t="s">
        <v>16457</v>
      </c>
      <c r="X3282">
        <v>9</v>
      </c>
      <c r="Y3282" t="s">
        <v>22905</v>
      </c>
      <c r="Z3282" t="s">
        <v>29413</v>
      </c>
      <c r="AA3282">
        <v>0.91342521115347175</v>
      </c>
      <c r="AB3282" t="str">
        <f>HYPERLINK("Melting_Curves/meltCurve_Q14807_KIF22.pdf", "Melting_Curves/meltCurve_Q14807_KIF22.pdf")</f>
        <v>Melting_Curves/meltCurve_Q14807_KIF22.pdf</v>
      </c>
    </row>
    <row r="3283" spans="1:28" x14ac:dyDescent="0.25">
      <c r="A3283" t="s">
        <v>3286</v>
      </c>
      <c r="B3283">
        <v>0.99930955844802105</v>
      </c>
      <c r="C3283">
        <v>1.0630236597890801</v>
      </c>
      <c r="D3283">
        <v>1.0948229245996799</v>
      </c>
      <c r="E3283">
        <v>0.96217199566037404</v>
      </c>
      <c r="F3283">
        <v>0.88265845743974802</v>
      </c>
      <c r="G3283">
        <v>0.65383514273996302</v>
      </c>
      <c r="H3283">
        <v>0.52605109364393099</v>
      </c>
      <c r="I3283">
        <v>0.46022955346370198</v>
      </c>
      <c r="J3283">
        <v>0.532794071000526</v>
      </c>
      <c r="K3283">
        <v>0.39293431736962697</v>
      </c>
      <c r="L3283">
        <v>1343.1185321205201</v>
      </c>
      <c r="M3283">
        <v>24.045152395358802</v>
      </c>
      <c r="N3283">
        <v>61.832153315882501</v>
      </c>
      <c r="O3283">
        <v>55.476136613801998</v>
      </c>
      <c r="P3283">
        <v>-5.9487632686366497E-2</v>
      </c>
      <c r="Q3283">
        <v>0.45101749512892902</v>
      </c>
      <c r="R3283">
        <v>0.96491897278430705</v>
      </c>
      <c r="S3283" t="s">
        <v>9899</v>
      </c>
      <c r="T3283" t="s">
        <v>13232</v>
      </c>
      <c r="U3283" t="s">
        <v>13232</v>
      </c>
      <c r="V3283" t="s">
        <v>13232</v>
      </c>
      <c r="W3283" t="s">
        <v>16458</v>
      </c>
      <c r="X3283">
        <v>8</v>
      </c>
      <c r="Y3283" t="s">
        <v>22906</v>
      </c>
      <c r="Z3283" t="s">
        <v>29414</v>
      </c>
      <c r="AA3283">
        <v>0.74659675639835543</v>
      </c>
      <c r="AB3283" t="str">
        <f>HYPERLINK("Melting_Curves/meltCurve_Q14814_4_MEF2D.pdf", "Melting_Curves/meltCurve_Q14814_4_MEF2D.pdf")</f>
        <v>Melting_Curves/meltCurve_Q14814_4_MEF2D.pdf</v>
      </c>
    </row>
    <row r="3284" spans="1:28" x14ac:dyDescent="0.25">
      <c r="A3284" t="s">
        <v>3287</v>
      </c>
      <c r="B3284">
        <v>0.99930955844802105</v>
      </c>
      <c r="C3284">
        <v>1.0270541902275601</v>
      </c>
      <c r="D3284">
        <v>0.63596728479856102</v>
      </c>
      <c r="E3284">
        <v>0.42964973749394197</v>
      </c>
      <c r="F3284">
        <v>0.225834424048935</v>
      </c>
      <c r="G3284">
        <v>0.15455563072714901</v>
      </c>
      <c r="H3284">
        <v>9.6382828759253095E-2</v>
      </c>
      <c r="I3284">
        <v>8.6408870641243293E-2</v>
      </c>
      <c r="J3284">
        <v>7.8464086495390106E-2</v>
      </c>
      <c r="K3284">
        <v>5.98922828396138E-2</v>
      </c>
      <c r="L3284">
        <v>873.31440068044799</v>
      </c>
      <c r="M3284">
        <v>18.111258771964302</v>
      </c>
      <c r="N3284">
        <v>48.670923495246598</v>
      </c>
      <c r="O3284">
        <v>47.6430882199666</v>
      </c>
      <c r="P3284">
        <v>-8.7691543202282202E-2</v>
      </c>
      <c r="Q3284">
        <v>7.7326474829484598E-2</v>
      </c>
      <c r="R3284">
        <v>0.98120657400946398</v>
      </c>
      <c r="S3284" t="s">
        <v>9900</v>
      </c>
      <c r="T3284" t="s">
        <v>13232</v>
      </c>
      <c r="U3284" t="s">
        <v>13232</v>
      </c>
      <c r="V3284" t="s">
        <v>13232</v>
      </c>
      <c r="W3284" t="s">
        <v>16459</v>
      </c>
      <c r="X3284">
        <v>75</v>
      </c>
      <c r="Y3284" t="s">
        <v>22907</v>
      </c>
      <c r="Z3284" t="s">
        <v>29415</v>
      </c>
      <c r="AA3284">
        <v>0.34618265850380758</v>
      </c>
      <c r="AB3284" t="str">
        <f>HYPERLINK("Melting_Curves/meltCurve_Q14839_2_CHD4.pdf", "Melting_Curves/meltCurve_Q14839_2_CHD4.pdf")</f>
        <v>Melting_Curves/meltCurve_Q14839_2_CHD4.pdf</v>
      </c>
    </row>
    <row r="3285" spans="1:28" x14ac:dyDescent="0.25">
      <c r="A3285" t="s">
        <v>3288</v>
      </c>
      <c r="B3285">
        <v>0.99930955844802105</v>
      </c>
      <c r="C3285">
        <v>1.05655403139189</v>
      </c>
      <c r="D3285">
        <v>1.04738758588605</v>
      </c>
      <c r="E3285">
        <v>0.97973033225926198</v>
      </c>
      <c r="F3285">
        <v>0.84953362058338899</v>
      </c>
      <c r="G3285">
        <v>0.77840415953033004</v>
      </c>
      <c r="H3285">
        <v>0.80138093778015296</v>
      </c>
      <c r="I3285">
        <v>0.925863192266421</v>
      </c>
      <c r="J3285">
        <v>0.97789978429004898</v>
      </c>
      <c r="K3285">
        <v>0.72475850312813195</v>
      </c>
      <c r="L3285">
        <v>4391.2658242009902</v>
      </c>
      <c r="M3285">
        <v>85.897664123197103</v>
      </c>
      <c r="O3285">
        <v>51.094377352761299</v>
      </c>
      <c r="P3285">
        <v>-6.6504954644105801E-2</v>
      </c>
      <c r="Q3285">
        <v>0.84176386063538799</v>
      </c>
      <c r="R3285">
        <v>0.59679558032623103</v>
      </c>
      <c r="S3285" t="s">
        <v>9901</v>
      </c>
      <c r="T3285" t="s">
        <v>13232</v>
      </c>
      <c r="U3285" t="s">
        <v>13232</v>
      </c>
      <c r="V3285" t="s">
        <v>13232</v>
      </c>
      <c r="W3285" t="s">
        <v>16460</v>
      </c>
      <c r="X3285">
        <v>20</v>
      </c>
      <c r="Y3285" t="s">
        <v>22908</v>
      </c>
      <c r="Z3285" t="s">
        <v>29416</v>
      </c>
      <c r="AA3285">
        <v>0.90054806094001483</v>
      </c>
      <c r="AB3285" t="str">
        <f>HYPERLINK("Melting_Curves/meltCurve_Q14847_LASP1.pdf", "Melting_Curves/meltCurve_Q14847_LASP1.pdf")</f>
        <v>Melting_Curves/meltCurve_Q14847_LASP1.pdf</v>
      </c>
    </row>
    <row r="3286" spans="1:28" x14ac:dyDescent="0.25">
      <c r="A3286" t="s">
        <v>3289</v>
      </c>
      <c r="B3286">
        <v>0.99930955844802105</v>
      </c>
      <c r="C3286">
        <v>0.91272801789282698</v>
      </c>
      <c r="D3286">
        <v>0.86237903826737305</v>
      </c>
      <c r="E3286">
        <v>0.79112143821498304</v>
      </c>
      <c r="F3286">
        <v>0.48148642021409499</v>
      </c>
      <c r="G3286">
        <v>0.35459976517684799</v>
      </c>
      <c r="H3286">
        <v>0.26553995433046201</v>
      </c>
      <c r="I3286">
        <v>0.18581801183760999</v>
      </c>
      <c r="J3286">
        <v>0.17833228268118201</v>
      </c>
      <c r="K3286">
        <v>0.118279844059793</v>
      </c>
      <c r="L3286">
        <v>672.01753187868098</v>
      </c>
      <c r="M3286">
        <v>12.703018915544</v>
      </c>
      <c r="N3286">
        <v>53.860515736036099</v>
      </c>
      <c r="O3286">
        <v>51.642560592910499</v>
      </c>
      <c r="P3286">
        <v>-5.5285424107390402E-2</v>
      </c>
      <c r="Q3286">
        <v>0.101149370770616</v>
      </c>
      <c r="R3286">
        <v>0.98606881284228598</v>
      </c>
      <c r="S3286" t="s">
        <v>9902</v>
      </c>
      <c r="T3286" t="s">
        <v>13232</v>
      </c>
      <c r="U3286" t="s">
        <v>13232</v>
      </c>
      <c r="V3286" t="s">
        <v>13232</v>
      </c>
      <c r="W3286" t="s">
        <v>16461</v>
      </c>
      <c r="X3286">
        <v>1</v>
      </c>
      <c r="Y3286" t="s">
        <v>22909</v>
      </c>
      <c r="Z3286" t="s">
        <v>29417</v>
      </c>
      <c r="AA3286">
        <v>0.51184675064045337</v>
      </c>
      <c r="AB3286" t="str">
        <f>HYPERLINK("Melting_Curves/meltCurve_Q14849_2_STARD3.pdf", "Melting_Curves/meltCurve_Q14849_2_STARD3.pdf")</f>
        <v>Melting_Curves/meltCurve_Q14849_2_STARD3.pdf</v>
      </c>
    </row>
    <row r="3287" spans="1:28" x14ac:dyDescent="0.25">
      <c r="A3287" t="s">
        <v>3290</v>
      </c>
      <c r="B3287">
        <v>0.99930955844802105</v>
      </c>
      <c r="C3287">
        <v>0.93474955273312998</v>
      </c>
      <c r="D3287">
        <v>0.93776913976379295</v>
      </c>
      <c r="E3287">
        <v>0.81999200954043705</v>
      </c>
      <c r="F3287">
        <v>0.66347775006197496</v>
      </c>
      <c r="G3287">
        <v>0.42753504522316299</v>
      </c>
      <c r="H3287">
        <v>0.23055059092639599</v>
      </c>
      <c r="I3287">
        <v>0.17317664697285201</v>
      </c>
      <c r="J3287">
        <v>0.14327326068061999</v>
      </c>
      <c r="K3287">
        <v>8.7340485325000994E-2</v>
      </c>
      <c r="L3287">
        <v>746.69738903292102</v>
      </c>
      <c r="M3287">
        <v>13.508641631719099</v>
      </c>
      <c r="N3287">
        <v>55.631147578377004</v>
      </c>
      <c r="O3287">
        <v>54.106387459550497</v>
      </c>
      <c r="P3287">
        <v>-5.9844306751393503E-2</v>
      </c>
      <c r="Q3287">
        <v>4.13642414741653E-2</v>
      </c>
      <c r="R3287">
        <v>0.99742400423268796</v>
      </c>
      <c r="S3287" t="s">
        <v>9903</v>
      </c>
      <c r="T3287" t="s">
        <v>13232</v>
      </c>
      <c r="U3287" t="s">
        <v>13232</v>
      </c>
      <c r="V3287" t="s">
        <v>13232</v>
      </c>
      <c r="W3287" t="s">
        <v>16462</v>
      </c>
      <c r="X3287">
        <v>12</v>
      </c>
      <c r="Y3287" t="s">
        <v>22910</v>
      </c>
      <c r="Z3287" t="s">
        <v>29418</v>
      </c>
      <c r="AA3287">
        <v>0.54942339646450666</v>
      </c>
      <c r="AB3287" t="str">
        <f>HYPERLINK("Melting_Curves/meltCurve_Q14914_2_PTGR1.pdf", "Melting_Curves/meltCurve_Q14914_2_PTGR1.pdf")</f>
        <v>Melting_Curves/meltCurve_Q14914_2_PTGR1.pdf</v>
      </c>
    </row>
    <row r="3288" spans="1:28" x14ac:dyDescent="0.25">
      <c r="A3288" t="s">
        <v>3291</v>
      </c>
      <c r="B3288">
        <v>0.99930955844802105</v>
      </c>
      <c r="C3288">
        <v>1.14879869183831</v>
      </c>
      <c r="D3288">
        <v>1.15528826810708</v>
      </c>
      <c r="E3288">
        <v>1.10906528112273</v>
      </c>
      <c r="F3288">
        <v>1.03219315998751</v>
      </c>
      <c r="G3288">
        <v>0.77539437785278698</v>
      </c>
      <c r="H3288">
        <v>0.46226828581975898</v>
      </c>
      <c r="I3288">
        <v>0.29258399074189501</v>
      </c>
      <c r="J3288">
        <v>0.214569238088308</v>
      </c>
      <c r="K3288">
        <v>0.17273510483492299</v>
      </c>
      <c r="L3288">
        <v>1621.3363547245699</v>
      </c>
      <c r="M3288">
        <v>27.247898357184699</v>
      </c>
      <c r="N3288">
        <v>60.451878604575597</v>
      </c>
      <c r="O3288">
        <v>59.185442398151899</v>
      </c>
      <c r="P3288">
        <v>-9.5073251234715897E-2</v>
      </c>
      <c r="Q3288">
        <v>0.17396952091451401</v>
      </c>
      <c r="R3288">
        <v>0.95716015208888405</v>
      </c>
      <c r="S3288" t="s">
        <v>9904</v>
      </c>
      <c r="T3288" t="s">
        <v>13232</v>
      </c>
      <c r="U3288" t="s">
        <v>13232</v>
      </c>
      <c r="V3288" t="s">
        <v>13232</v>
      </c>
      <c r="W3288" t="s">
        <v>16463</v>
      </c>
      <c r="X3288">
        <v>7</v>
      </c>
      <c r="Y3288" t="s">
        <v>22911</v>
      </c>
      <c r="Z3288" t="s">
        <v>29419</v>
      </c>
      <c r="AA3288">
        <v>0.71685147390529202</v>
      </c>
      <c r="AB3288" t="str">
        <f>HYPERLINK("Melting_Curves/meltCurve_Q14919_DRAP1.pdf", "Melting_Curves/meltCurve_Q14919_DRAP1.pdf")</f>
        <v>Melting_Curves/meltCurve_Q14919_DRAP1.pdf</v>
      </c>
    </row>
    <row r="3289" spans="1:28" x14ac:dyDescent="0.25">
      <c r="A3289" t="s">
        <v>3292</v>
      </c>
      <c r="B3289">
        <v>0.99930955844802105</v>
      </c>
      <c r="C3289">
        <v>1.18180119618437</v>
      </c>
      <c r="D3289">
        <v>1.0544977778100499</v>
      </c>
      <c r="E3289">
        <v>1.0162698366087799</v>
      </c>
      <c r="F3289">
        <v>0.89589781703941995</v>
      </c>
      <c r="G3289">
        <v>0.68628808675303898</v>
      </c>
      <c r="H3289">
        <v>0.73466513629394403</v>
      </c>
      <c r="I3289">
        <v>0.71342742993582997</v>
      </c>
      <c r="J3289">
        <v>0.73820061751556099</v>
      </c>
      <c r="K3289">
        <v>0.60189130047042005</v>
      </c>
      <c r="L3289">
        <v>13284.871273474801</v>
      </c>
      <c r="M3289">
        <v>250</v>
      </c>
      <c r="O3289">
        <v>53.136085382274501</v>
      </c>
      <c r="P3289">
        <v>-0.35887275536913499</v>
      </c>
      <c r="Q3289">
        <v>0.69489451138078895</v>
      </c>
      <c r="R3289">
        <v>0.85441479610311499</v>
      </c>
      <c r="S3289" t="s">
        <v>9905</v>
      </c>
      <c r="T3289" t="s">
        <v>13232</v>
      </c>
      <c r="U3289" t="s">
        <v>13232</v>
      </c>
      <c r="V3289" t="s">
        <v>13232</v>
      </c>
      <c r="W3289" t="s">
        <v>16464</v>
      </c>
      <c r="X3289">
        <v>3</v>
      </c>
      <c r="Y3289" t="s">
        <v>22912</v>
      </c>
      <c r="Z3289" t="s">
        <v>29420</v>
      </c>
      <c r="AA3289">
        <v>0.82855393253015275</v>
      </c>
      <c r="AB3289" t="str">
        <f>HYPERLINK("Melting_Curves/meltCurve_Q14934_8_NFATC4.pdf", "Melting_Curves/meltCurve_Q14934_8_NFATC4.pdf")</f>
        <v>Melting_Curves/meltCurve_Q14934_8_NFATC4.pdf</v>
      </c>
    </row>
    <row r="3290" spans="1:28" x14ac:dyDescent="0.25">
      <c r="A3290" t="s">
        <v>3293</v>
      </c>
      <c r="B3290">
        <v>0.99930955844802105</v>
      </c>
      <c r="C3290">
        <v>1.0530764531807799</v>
      </c>
      <c r="D3290">
        <v>1.05117780083766</v>
      </c>
      <c r="E3290">
        <v>1.01396586543291</v>
      </c>
      <c r="F3290">
        <v>0.83670854505546</v>
      </c>
      <c r="G3290">
        <v>0.66157678448891899</v>
      </c>
      <c r="H3290">
        <v>0.56300704847629202</v>
      </c>
      <c r="I3290">
        <v>0.554290993873505</v>
      </c>
      <c r="J3290">
        <v>0.52456605028245895</v>
      </c>
      <c r="K3290">
        <v>0.417696091368157</v>
      </c>
      <c r="L3290">
        <v>1222.5419295623101</v>
      </c>
      <c r="M3290">
        <v>22.007422622570399</v>
      </c>
      <c r="N3290">
        <v>66.015173750127403</v>
      </c>
      <c r="O3290">
        <v>55.098767591173903</v>
      </c>
      <c r="P3290">
        <v>-5.1453745324248901E-2</v>
      </c>
      <c r="Q3290">
        <v>0.484723877518285</v>
      </c>
      <c r="R3290">
        <v>0.96742482444686095</v>
      </c>
      <c r="S3290" t="s">
        <v>9906</v>
      </c>
      <c r="T3290" t="s">
        <v>13232</v>
      </c>
      <c r="U3290" t="s">
        <v>13232</v>
      </c>
      <c r="V3290" t="s">
        <v>13232</v>
      </c>
      <c r="W3290" t="s">
        <v>16465</v>
      </c>
      <c r="X3290">
        <v>59</v>
      </c>
      <c r="Y3290" t="s">
        <v>22913</v>
      </c>
      <c r="Z3290" t="s">
        <v>29421</v>
      </c>
      <c r="AA3290">
        <v>0.75768362007549994</v>
      </c>
      <c r="AB3290" t="str">
        <f>HYPERLINK("Melting_Curves/meltCurve_Q14966_ZNF638.pdf", "Melting_Curves/meltCurve_Q14966_ZNF638.pdf")</f>
        <v>Melting_Curves/meltCurve_Q14966_ZNF638.pdf</v>
      </c>
    </row>
    <row r="3291" spans="1:28" x14ac:dyDescent="0.25">
      <c r="A3291" t="s">
        <v>3294</v>
      </c>
      <c r="B3291">
        <v>0.99930955844802105</v>
      </c>
      <c r="C3291">
        <v>1.01702696804179</v>
      </c>
      <c r="D3291">
        <v>0.83991699703028799</v>
      </c>
      <c r="E3291">
        <v>0.66871343173780295</v>
      </c>
      <c r="F3291">
        <v>0.293334143045132</v>
      </c>
      <c r="G3291">
        <v>0.16556870712563401</v>
      </c>
      <c r="H3291">
        <v>8.8214255360378996E-2</v>
      </c>
      <c r="I3291">
        <v>7.1746129223741004E-2</v>
      </c>
      <c r="J3291">
        <v>6.2110903846868903E-2</v>
      </c>
      <c r="K3291">
        <v>4.5379656313629398E-2</v>
      </c>
      <c r="L3291">
        <v>1041.0255641091901</v>
      </c>
      <c r="M3291">
        <v>20.4571188426861</v>
      </c>
      <c r="N3291">
        <v>51.1670420076195</v>
      </c>
      <c r="O3291">
        <v>50.4093973159166</v>
      </c>
      <c r="P3291">
        <v>-9.6105951203061701E-2</v>
      </c>
      <c r="Q3291">
        <v>5.2750531241761503E-2</v>
      </c>
      <c r="R3291">
        <v>0.99225696031006305</v>
      </c>
      <c r="S3291" t="s">
        <v>9907</v>
      </c>
      <c r="T3291" t="s">
        <v>13232</v>
      </c>
      <c r="U3291" t="s">
        <v>13232</v>
      </c>
      <c r="V3291" t="s">
        <v>13232</v>
      </c>
      <c r="W3291" t="s">
        <v>16466</v>
      </c>
      <c r="X3291">
        <v>37</v>
      </c>
      <c r="Y3291" t="s">
        <v>22914</v>
      </c>
      <c r="Z3291" t="s">
        <v>29422</v>
      </c>
      <c r="AA3291">
        <v>0.40914851137597819</v>
      </c>
      <c r="AB3291" t="str">
        <f>HYPERLINK("Melting_Curves/meltCurve_Q14974_KPNB1.pdf", "Melting_Curves/meltCurve_Q14974_KPNB1.pdf")</f>
        <v>Melting_Curves/meltCurve_Q14974_KPNB1.pdf</v>
      </c>
    </row>
    <row r="3292" spans="1:28" x14ac:dyDescent="0.25">
      <c r="A3292" t="s">
        <v>3295</v>
      </c>
      <c r="B3292">
        <v>0.99930955844802105</v>
      </c>
      <c r="C3292">
        <v>0.78279560621935895</v>
      </c>
      <c r="D3292">
        <v>0.83741925989766097</v>
      </c>
      <c r="E3292">
        <v>0.66286528890323504</v>
      </c>
      <c r="F3292">
        <v>0.60410892405924799</v>
      </c>
      <c r="G3292">
        <v>0.65977227961564999</v>
      </c>
      <c r="H3292">
        <v>0.77576492990175006</v>
      </c>
      <c r="I3292">
        <v>1.02454126027459</v>
      </c>
      <c r="J3292">
        <v>1.0729750037391701</v>
      </c>
      <c r="K3292">
        <v>0.79592648688284096</v>
      </c>
      <c r="L3292">
        <v>10223.932342604599</v>
      </c>
      <c r="M3292">
        <v>250</v>
      </c>
      <c r="O3292">
        <v>40.893112325648303</v>
      </c>
      <c r="P3292">
        <v>-0.30292936381155899</v>
      </c>
      <c r="Q3292">
        <v>0.80179640826662901</v>
      </c>
      <c r="R3292">
        <v>0.146807157152849</v>
      </c>
      <c r="S3292" t="s">
        <v>9908</v>
      </c>
      <c r="T3292" t="s">
        <v>13232</v>
      </c>
      <c r="U3292" t="s">
        <v>13232</v>
      </c>
      <c r="V3292" t="s">
        <v>13232</v>
      </c>
      <c r="W3292" t="s">
        <v>16467</v>
      </c>
      <c r="X3292">
        <v>24</v>
      </c>
      <c r="Y3292" t="s">
        <v>22915</v>
      </c>
      <c r="Z3292" t="s">
        <v>29423</v>
      </c>
      <c r="AA3292">
        <v>0.80773231936981915</v>
      </c>
      <c r="AB3292" t="str">
        <f>HYPERLINK("Melting_Curves/meltCurve_Q14978_3_NOLC1.pdf", "Melting_Curves/meltCurve_Q14978_3_NOLC1.pdf")</f>
        <v>Melting_Curves/meltCurve_Q14978_3_NOLC1.pdf</v>
      </c>
    </row>
    <row r="3293" spans="1:28" x14ac:dyDescent="0.25">
      <c r="A3293" t="s">
        <v>3296</v>
      </c>
      <c r="B3293">
        <v>0.99930955844802105</v>
      </c>
      <c r="C3293">
        <v>0.97272534921614595</v>
      </c>
      <c r="D3293">
        <v>0.91828805083562504</v>
      </c>
      <c r="E3293">
        <v>0.76424163009203405</v>
      </c>
      <c r="F3293">
        <v>0.57009362314749101</v>
      </c>
      <c r="G3293">
        <v>0.43849134517964899</v>
      </c>
      <c r="H3293">
        <v>0.22389112723655599</v>
      </c>
      <c r="I3293">
        <v>0.194799523008375</v>
      </c>
      <c r="J3293">
        <v>0.13840394875770601</v>
      </c>
      <c r="K3293">
        <v>0.104912268171286</v>
      </c>
      <c r="L3293">
        <v>665.19954727414495</v>
      </c>
      <c r="M3293">
        <v>12.218738689450401</v>
      </c>
      <c r="N3293">
        <v>54.9171611554493</v>
      </c>
      <c r="O3293">
        <v>53.044301210668301</v>
      </c>
      <c r="P3293">
        <v>-5.47048722763138E-2</v>
      </c>
      <c r="Q3293">
        <v>5.0268711568687098E-2</v>
      </c>
      <c r="R3293">
        <v>0.99663265399206902</v>
      </c>
      <c r="S3293" t="s">
        <v>9909</v>
      </c>
      <c r="T3293" t="s">
        <v>13232</v>
      </c>
      <c r="U3293" t="s">
        <v>13232</v>
      </c>
      <c r="V3293" t="s">
        <v>13232</v>
      </c>
      <c r="W3293" t="s">
        <v>16468</v>
      </c>
      <c r="X3293">
        <v>148</v>
      </c>
      <c r="Y3293" t="s">
        <v>20514</v>
      </c>
      <c r="Z3293" t="s">
        <v>29424</v>
      </c>
      <c r="AA3293">
        <v>0.53080789337091649</v>
      </c>
      <c r="AB3293" t="str">
        <f>HYPERLINK("Melting_Curves/meltCurve_Q14980_NUMA1.pdf", "Melting_Curves/meltCurve_Q14980_NUMA1.pdf")</f>
        <v>Melting_Curves/meltCurve_Q14980_NUMA1.pdf</v>
      </c>
    </row>
    <row r="3294" spans="1:28" x14ac:dyDescent="0.25">
      <c r="A3294" t="s">
        <v>3297</v>
      </c>
      <c r="B3294">
        <v>0.99930955844802105</v>
      </c>
      <c r="C3294">
        <v>1.0531964488891501</v>
      </c>
      <c r="D3294">
        <v>0.98744822111844199</v>
      </c>
      <c r="E3294">
        <v>0.91277872265692295</v>
      </c>
      <c r="F3294">
        <v>0.74158403226390901</v>
      </c>
      <c r="G3294">
        <v>0.52936845997146298</v>
      </c>
      <c r="H3294">
        <v>0.40249982100522702</v>
      </c>
      <c r="I3294">
        <v>0.38012251605269498</v>
      </c>
      <c r="J3294">
        <v>0.36438173708671301</v>
      </c>
      <c r="K3294">
        <v>0.27580723860851802</v>
      </c>
      <c r="L3294">
        <v>1021.95915167403</v>
      </c>
      <c r="M3294">
        <v>18.686311181451</v>
      </c>
      <c r="N3294">
        <v>57.737569833644102</v>
      </c>
      <c r="O3294">
        <v>54.0754585718594</v>
      </c>
      <c r="P3294">
        <v>-5.9308248773544299E-2</v>
      </c>
      <c r="Q3294">
        <v>0.31351154583785001</v>
      </c>
      <c r="R3294">
        <v>0.99099495968137497</v>
      </c>
      <c r="S3294" t="s">
        <v>9910</v>
      </c>
      <c r="T3294" t="s">
        <v>13232</v>
      </c>
      <c r="U3294" t="s">
        <v>13232</v>
      </c>
      <c r="V3294" t="s">
        <v>13232</v>
      </c>
      <c r="W3294" t="s">
        <v>16469</v>
      </c>
      <c r="X3294">
        <v>150</v>
      </c>
      <c r="Y3294" t="s">
        <v>20514</v>
      </c>
      <c r="Z3294" t="s">
        <v>29425</v>
      </c>
      <c r="AA3294">
        <v>0.6598583522915854</v>
      </c>
      <c r="AB3294" t="str">
        <f>HYPERLINK("Melting_Curves/meltCurve_Q14980_2_NUMA1.pdf", "Melting_Curves/meltCurve_Q14980_2_NUMA1.pdf")</f>
        <v>Melting_Curves/meltCurve_Q14980_2_NUMA1.pdf</v>
      </c>
    </row>
    <row r="3295" spans="1:28" x14ac:dyDescent="0.25">
      <c r="A3295" t="s">
        <v>3298</v>
      </c>
      <c r="B3295">
        <v>0.99930955844802105</v>
      </c>
      <c r="C3295">
        <v>1.0166356433095101</v>
      </c>
      <c r="D3295">
        <v>1.06347090673564</v>
      </c>
      <c r="E3295">
        <v>0.74662612587879695</v>
      </c>
      <c r="F3295">
        <v>0.58423030859274006</v>
      </c>
      <c r="G3295">
        <v>0.50204106535232296</v>
      </c>
      <c r="H3295">
        <v>0.415661976984112</v>
      </c>
      <c r="I3295">
        <v>0.32082307573489799</v>
      </c>
      <c r="J3295">
        <v>0.30666986113446598</v>
      </c>
      <c r="K3295">
        <v>0.20995807468920399</v>
      </c>
      <c r="L3295">
        <v>793.62324075473498</v>
      </c>
      <c r="M3295">
        <v>14.898840760459899</v>
      </c>
      <c r="N3295">
        <v>56.017533046006697</v>
      </c>
      <c r="O3295">
        <v>52.335435557670301</v>
      </c>
      <c r="P3295">
        <v>-5.2714606421584299E-2</v>
      </c>
      <c r="Q3295">
        <v>0.25939051151839798</v>
      </c>
      <c r="R3295">
        <v>0.963428435203732</v>
      </c>
      <c r="S3295" t="s">
        <v>9911</v>
      </c>
      <c r="T3295" t="s">
        <v>13232</v>
      </c>
      <c r="U3295" t="s">
        <v>13232</v>
      </c>
      <c r="V3295" t="s">
        <v>13232</v>
      </c>
      <c r="W3295" t="s">
        <v>16470</v>
      </c>
      <c r="X3295">
        <v>124</v>
      </c>
      <c r="Y3295" t="s">
        <v>20514</v>
      </c>
      <c r="Z3295" t="s">
        <v>29426</v>
      </c>
      <c r="AA3295">
        <v>0.60282090733445348</v>
      </c>
      <c r="AB3295" t="str">
        <f>HYPERLINK("Melting_Curves/meltCurve_Q14980_4_NUMA1.pdf", "Melting_Curves/meltCurve_Q14980_4_NUMA1.pdf")</f>
        <v>Melting_Curves/meltCurve_Q14980_4_NUMA1.pdf</v>
      </c>
    </row>
    <row r="3296" spans="1:28" x14ac:dyDescent="0.25">
      <c r="A3296" t="s">
        <v>3299</v>
      </c>
      <c r="B3296">
        <v>0.99930955844802105</v>
      </c>
      <c r="C3296">
        <v>0.58247436512443196</v>
      </c>
      <c r="D3296">
        <v>0.667310346786951</v>
      </c>
      <c r="E3296">
        <v>0.85300861350199197</v>
      </c>
      <c r="F3296">
        <v>0.30973182774804903</v>
      </c>
      <c r="G3296">
        <v>0.157275952127583</v>
      </c>
      <c r="H3296">
        <v>9.3830678394940095E-2</v>
      </c>
      <c r="I3296">
        <v>8.1161238635364202E-2</v>
      </c>
      <c r="J3296">
        <v>7.5469547786628094E-2</v>
      </c>
      <c r="K3296">
        <v>5.6155510770933198E-2</v>
      </c>
      <c r="L3296">
        <v>488.97330758630198</v>
      </c>
      <c r="M3296">
        <v>9.7100494098299706</v>
      </c>
      <c r="N3296">
        <v>50.357468340996903</v>
      </c>
      <c r="O3296">
        <v>48.360794513598798</v>
      </c>
      <c r="P3296">
        <v>-5.02231920361976E-2</v>
      </c>
      <c r="Q3296">
        <v>0</v>
      </c>
      <c r="R3296">
        <v>0.82122737397617096</v>
      </c>
      <c r="S3296" t="s">
        <v>9912</v>
      </c>
      <c r="T3296" t="s">
        <v>13232</v>
      </c>
      <c r="U3296" t="s">
        <v>13232</v>
      </c>
      <c r="V3296" t="s">
        <v>13232</v>
      </c>
      <c r="W3296" t="s">
        <v>16471</v>
      </c>
      <c r="X3296">
        <v>37</v>
      </c>
      <c r="Y3296" t="s">
        <v>22916</v>
      </c>
      <c r="Z3296" t="s">
        <v>29427</v>
      </c>
      <c r="AA3296">
        <v>0.39087405801814068</v>
      </c>
      <c r="AB3296" t="str">
        <f>HYPERLINK("Melting_Curves/meltCurve_Q14997_PSME4.pdf", "Melting_Curves/meltCurve_Q14997_PSME4.pdf")</f>
        <v>Melting_Curves/meltCurve_Q14997_PSME4.pdf</v>
      </c>
    </row>
    <row r="3297" spans="1:28" x14ac:dyDescent="0.25">
      <c r="A3297" t="s">
        <v>3300</v>
      </c>
      <c r="B3297">
        <v>0.99930955844802105</v>
      </c>
      <c r="C3297">
        <v>0.97681332708586299</v>
      </c>
      <c r="D3297">
        <v>0.86338739316200497</v>
      </c>
      <c r="E3297">
        <v>0.87220884012522104</v>
      </c>
      <c r="F3297">
        <v>0.689811866200012</v>
      </c>
      <c r="G3297">
        <v>0.55539593981461299</v>
      </c>
      <c r="H3297">
        <v>0.542075493662596</v>
      </c>
      <c r="I3297">
        <v>0.56305251417430102</v>
      </c>
      <c r="J3297">
        <v>0.56497262609785204</v>
      </c>
      <c r="K3297">
        <v>0.437963684589187</v>
      </c>
      <c r="L3297">
        <v>705.55021700673694</v>
      </c>
      <c r="M3297">
        <v>13.6192961659538</v>
      </c>
      <c r="O3297">
        <v>50.726568352537001</v>
      </c>
      <c r="P3297">
        <v>-3.4459791548592703E-2</v>
      </c>
      <c r="Q3297">
        <v>0.48667848996065299</v>
      </c>
      <c r="R3297">
        <v>0.94871307581869402</v>
      </c>
      <c r="S3297" t="s">
        <v>9913</v>
      </c>
      <c r="T3297" t="s">
        <v>13232</v>
      </c>
      <c r="U3297" t="s">
        <v>13232</v>
      </c>
      <c r="V3297" t="s">
        <v>13232</v>
      </c>
      <c r="W3297" t="s">
        <v>16472</v>
      </c>
      <c r="X3297">
        <v>2</v>
      </c>
      <c r="Y3297" t="s">
        <v>22917</v>
      </c>
      <c r="Z3297" t="s">
        <v>29428</v>
      </c>
      <c r="AA3297">
        <v>0.70203162787598361</v>
      </c>
      <c r="AB3297" t="str">
        <f>HYPERLINK("Melting_Curves/meltCurve_Q14999_CUL7.pdf", "Melting_Curves/meltCurve_Q14999_CUL7.pdf")</f>
        <v>Melting_Curves/meltCurve_Q14999_CUL7.pdf</v>
      </c>
    </row>
    <row r="3298" spans="1:28" x14ac:dyDescent="0.25">
      <c r="A3298" t="s">
        <v>3301</v>
      </c>
      <c r="B3298">
        <v>0.99930955844802105</v>
      </c>
      <c r="C3298">
        <v>0.83774975661302198</v>
      </c>
      <c r="D3298">
        <v>0.73818749322170096</v>
      </c>
      <c r="E3298">
        <v>0.72481921187036802</v>
      </c>
      <c r="F3298">
        <v>0.45720913693481802</v>
      </c>
      <c r="G3298">
        <v>0.30316056284017501</v>
      </c>
      <c r="H3298">
        <v>0.22385474328383201</v>
      </c>
      <c r="I3298">
        <v>0.243095350139995</v>
      </c>
      <c r="J3298">
        <v>0.227499801034211</v>
      </c>
      <c r="K3298">
        <v>0.16730143732266101</v>
      </c>
      <c r="L3298">
        <v>530.89133100677202</v>
      </c>
      <c r="M3298">
        <v>10.390093303382599</v>
      </c>
      <c r="N3298">
        <v>52.543711820117302</v>
      </c>
      <c r="O3298">
        <v>49.311861147751401</v>
      </c>
      <c r="P3298">
        <v>-4.6137903068190197E-2</v>
      </c>
      <c r="Q3298">
        <v>0.124477472337633</v>
      </c>
      <c r="R3298">
        <v>0.96854656936155703</v>
      </c>
      <c r="S3298" t="s">
        <v>9914</v>
      </c>
      <c r="T3298" t="s">
        <v>13232</v>
      </c>
      <c r="U3298" t="s">
        <v>13232</v>
      </c>
      <c r="V3298" t="s">
        <v>13232</v>
      </c>
      <c r="W3298" t="s">
        <v>16473</v>
      </c>
      <c r="X3298">
        <v>3</v>
      </c>
      <c r="Y3298" t="s">
        <v>22918</v>
      </c>
      <c r="Z3298" t="s">
        <v>29429</v>
      </c>
      <c r="AA3298">
        <v>0.48273651951607188</v>
      </c>
      <c r="AB3298" t="str">
        <f>HYPERLINK("Melting_Curves/meltCurve_Q14BN4_2_SLMAP.pdf", "Melting_Curves/meltCurve_Q14BN4_2_SLMAP.pdf")</f>
        <v>Melting_Curves/meltCurve_Q14BN4_2_SLMAP.pdf</v>
      </c>
    </row>
    <row r="3299" spans="1:28" x14ac:dyDescent="0.25">
      <c r="A3299" t="s">
        <v>3302</v>
      </c>
      <c r="B3299">
        <v>0.99930955844802105</v>
      </c>
      <c r="C3299">
        <v>0.97467835979603501</v>
      </c>
      <c r="D3299">
        <v>0.91958745769811401</v>
      </c>
      <c r="E3299">
        <v>0.70776752439670998</v>
      </c>
      <c r="F3299">
        <v>0.33875573080782601</v>
      </c>
      <c r="G3299">
        <v>0.21379067983495001</v>
      </c>
      <c r="H3299">
        <v>0.136388835033558</v>
      </c>
      <c r="I3299">
        <v>0.117419100770042</v>
      </c>
      <c r="J3299">
        <v>0.104855447958208</v>
      </c>
      <c r="K3299">
        <v>8.2573503637679804E-2</v>
      </c>
      <c r="L3299">
        <v>1213.1243037233501</v>
      </c>
      <c r="M3299">
        <v>23.7017056260568</v>
      </c>
      <c r="N3299">
        <v>51.700869780798797</v>
      </c>
      <c r="O3299">
        <v>50.822819529602903</v>
      </c>
      <c r="P3299">
        <v>-0.10427184414555001</v>
      </c>
      <c r="Q3299">
        <v>0.10566751096208001</v>
      </c>
      <c r="R3299">
        <v>0.99599559787006897</v>
      </c>
      <c r="S3299" t="s">
        <v>9915</v>
      </c>
      <c r="T3299" t="s">
        <v>13232</v>
      </c>
      <c r="U3299" t="s">
        <v>13232</v>
      </c>
      <c r="V3299" t="s">
        <v>13232</v>
      </c>
      <c r="W3299" t="s">
        <v>16474</v>
      </c>
      <c r="X3299">
        <v>59</v>
      </c>
      <c r="Y3299" t="s">
        <v>22919</v>
      </c>
      <c r="Z3299" t="s">
        <v>29430</v>
      </c>
      <c r="AA3299">
        <v>0.44802776809431161</v>
      </c>
      <c r="AB3299" t="str">
        <f>HYPERLINK("Melting_Curves/meltCurve_Q14C86_6_GAPVD1.pdf", "Melting_Curves/meltCurve_Q14C86_6_GAPVD1.pdf")</f>
        <v>Melting_Curves/meltCurve_Q14C86_6_GAPVD1.pdf</v>
      </c>
    </row>
    <row r="3300" spans="1:28" x14ac:dyDescent="0.25">
      <c r="A3300" t="s">
        <v>3303</v>
      </c>
      <c r="B3300">
        <v>0.99930955844802105</v>
      </c>
      <c r="C3300">
        <v>0.94482868234859196</v>
      </c>
      <c r="D3300">
        <v>0.93453930502306504</v>
      </c>
      <c r="E3300">
        <v>0.830892827387125</v>
      </c>
      <c r="F3300">
        <v>0.66906775845758304</v>
      </c>
      <c r="G3300">
        <v>0.56075954571625397</v>
      </c>
      <c r="H3300">
        <v>0.54222112637307995</v>
      </c>
      <c r="I3300">
        <v>0.58960900198872501</v>
      </c>
      <c r="J3300">
        <v>0.59636414805931903</v>
      </c>
      <c r="K3300">
        <v>0.48137746129386599</v>
      </c>
      <c r="L3300">
        <v>1016.33680439181</v>
      </c>
      <c r="M3300">
        <v>20.020035643932101</v>
      </c>
      <c r="O3300">
        <v>50.267589271571303</v>
      </c>
      <c r="P3300">
        <v>-4.5803617010081399E-2</v>
      </c>
      <c r="Q3300">
        <v>0.53998810414666099</v>
      </c>
      <c r="R3300">
        <v>0.964388440474228</v>
      </c>
      <c r="S3300" t="s">
        <v>9916</v>
      </c>
      <c r="T3300" t="s">
        <v>13232</v>
      </c>
      <c r="U3300" t="s">
        <v>13232</v>
      </c>
      <c r="V3300" t="s">
        <v>13232</v>
      </c>
      <c r="W3300" t="s">
        <v>16475</v>
      </c>
      <c r="X3300">
        <v>7</v>
      </c>
      <c r="Y3300" t="s">
        <v>22920</v>
      </c>
      <c r="Z3300" t="s">
        <v>29431</v>
      </c>
      <c r="AA3300">
        <v>0.71144805860898608</v>
      </c>
      <c r="AB3300" t="str">
        <f>HYPERLINK("Melting_Curves/meltCurve_Q14CS0_UBXN2B.pdf", "Melting_Curves/meltCurve_Q14CS0_UBXN2B.pdf")</f>
        <v>Melting_Curves/meltCurve_Q14CS0_UBXN2B.pdf</v>
      </c>
    </row>
    <row r="3301" spans="1:28" x14ac:dyDescent="0.25">
      <c r="A3301" t="s">
        <v>3304</v>
      </c>
      <c r="B3301">
        <v>0.99930955844802105</v>
      </c>
      <c r="C3301">
        <v>0.98553611662124296</v>
      </c>
      <c r="D3301">
        <v>0.976561136977113</v>
      </c>
      <c r="E3301">
        <v>0.92655325395432298</v>
      </c>
      <c r="F3301">
        <v>0.29731135361945399</v>
      </c>
      <c r="G3301">
        <v>0.15465519278193701</v>
      </c>
      <c r="H3301">
        <v>8.3114497568444801E-2</v>
      </c>
      <c r="I3301">
        <v>6.7060891076442294E-2</v>
      </c>
      <c r="J3301">
        <v>5.8420675544823802E-2</v>
      </c>
      <c r="K3301">
        <v>4.4415161521925699E-2</v>
      </c>
      <c r="L3301">
        <v>3100.3936550517801</v>
      </c>
      <c r="M3301">
        <v>59.644888458933899</v>
      </c>
      <c r="N3301">
        <v>52.133069540897701</v>
      </c>
      <c r="O3301">
        <v>51.922541575178897</v>
      </c>
      <c r="P3301">
        <v>-0.26423569656576101</v>
      </c>
      <c r="Q3301">
        <v>7.9902180869755798E-2</v>
      </c>
      <c r="R3301">
        <v>0.99579141536403104</v>
      </c>
      <c r="S3301" t="s">
        <v>9917</v>
      </c>
      <c r="T3301" t="s">
        <v>13232</v>
      </c>
      <c r="U3301" t="s">
        <v>13232</v>
      </c>
      <c r="V3301" t="s">
        <v>13232</v>
      </c>
      <c r="W3301" t="s">
        <v>16476</v>
      </c>
      <c r="X3301">
        <v>33</v>
      </c>
      <c r="Y3301" t="s">
        <v>22921</v>
      </c>
      <c r="Z3301" t="s">
        <v>29432</v>
      </c>
      <c r="AA3301">
        <v>0.44883490554557998</v>
      </c>
      <c r="AB3301" t="str">
        <f>HYPERLINK("Melting_Curves/meltCurve_Q14CX7_NAA25.pdf", "Melting_Curves/meltCurve_Q14CX7_NAA25.pdf")</f>
        <v>Melting_Curves/meltCurve_Q14CX7_NAA25.pdf</v>
      </c>
    </row>
    <row r="3302" spans="1:28" x14ac:dyDescent="0.25">
      <c r="A3302" t="s">
        <v>3305</v>
      </c>
      <c r="B3302">
        <v>0.99930955844802105</v>
      </c>
      <c r="C3302">
        <v>0.841525006919421</v>
      </c>
      <c r="D3302">
        <v>0.59666985681639195</v>
      </c>
      <c r="E3302">
        <v>0.40138198484611498</v>
      </c>
      <c r="F3302">
        <v>0.28932635452099498</v>
      </c>
      <c r="G3302">
        <v>0.21160685219341099</v>
      </c>
      <c r="H3302">
        <v>0.16210569558622701</v>
      </c>
      <c r="I3302">
        <v>0.162286157336128</v>
      </c>
      <c r="J3302">
        <v>0.15752162688656601</v>
      </c>
      <c r="K3302">
        <v>0.12764272906910601</v>
      </c>
      <c r="L3302">
        <v>715.48736678549699</v>
      </c>
      <c r="M3302">
        <v>15.2447980225101</v>
      </c>
      <c r="N3302">
        <v>48.013308790284</v>
      </c>
      <c r="O3302">
        <v>46.147860319143803</v>
      </c>
      <c r="P3302">
        <v>-7.0604997621561305E-2</v>
      </c>
      <c r="Q3302">
        <v>0.14516136955683601</v>
      </c>
      <c r="R3302">
        <v>0.99300991172557995</v>
      </c>
      <c r="S3302" t="s">
        <v>9918</v>
      </c>
      <c r="T3302" t="s">
        <v>13232</v>
      </c>
      <c r="U3302" t="s">
        <v>13232</v>
      </c>
      <c r="V3302" t="s">
        <v>13232</v>
      </c>
      <c r="W3302" t="s">
        <v>16477</v>
      </c>
      <c r="X3302">
        <v>22</v>
      </c>
      <c r="Y3302" t="s">
        <v>22922</v>
      </c>
      <c r="Z3302" t="s">
        <v>29433</v>
      </c>
      <c r="AA3302">
        <v>0.36527601639838519</v>
      </c>
      <c r="AB3302" t="str">
        <f>HYPERLINK("Melting_Curves/meltCurve_Q15003_NCAPH.pdf", "Melting_Curves/meltCurve_Q15003_NCAPH.pdf")</f>
        <v>Melting_Curves/meltCurve_Q15003_NCAPH.pdf</v>
      </c>
    </row>
    <row r="3303" spans="1:28" x14ac:dyDescent="0.25">
      <c r="A3303" t="s">
        <v>3306</v>
      </c>
      <c r="B3303">
        <v>0.99930955844802105</v>
      </c>
      <c r="C3303">
        <v>0.91382455863307499</v>
      </c>
      <c r="D3303">
        <v>0.89923215887276797</v>
      </c>
      <c r="E3303">
        <v>0.75177591367718399</v>
      </c>
      <c r="F3303">
        <v>0.28726283608924402</v>
      </c>
      <c r="G3303">
        <v>0.17113425151751599</v>
      </c>
      <c r="H3303">
        <v>9.3276104134102103E-2</v>
      </c>
      <c r="I3303">
        <v>8.0771235589422202E-2</v>
      </c>
      <c r="J3303">
        <v>7.06064989949612E-2</v>
      </c>
      <c r="K3303">
        <v>6.0276470002137497E-2</v>
      </c>
      <c r="L3303">
        <v>1558.8916061999701</v>
      </c>
      <c r="M3303">
        <v>30.3962029893626</v>
      </c>
      <c r="N3303">
        <v>51.582036418281803</v>
      </c>
      <c r="O3303">
        <v>51.065283762583199</v>
      </c>
      <c r="P3303">
        <v>-0.13689081473984499</v>
      </c>
      <c r="Q3303">
        <v>8.0105366644851198E-2</v>
      </c>
      <c r="R3303">
        <v>0.98712095007034195</v>
      </c>
      <c r="S3303" t="s">
        <v>9919</v>
      </c>
      <c r="T3303" t="s">
        <v>13232</v>
      </c>
      <c r="U3303" t="s">
        <v>13232</v>
      </c>
      <c r="V3303" t="s">
        <v>13232</v>
      </c>
      <c r="W3303" t="s">
        <v>16478</v>
      </c>
      <c r="X3303">
        <v>15</v>
      </c>
      <c r="Y3303" t="s">
        <v>22923</v>
      </c>
      <c r="Z3303" t="s">
        <v>29434</v>
      </c>
      <c r="AA3303">
        <v>0.43182208673701161</v>
      </c>
      <c r="AB3303" t="str">
        <f>HYPERLINK("Melting_Curves/meltCurve_Q15007_WTAP.pdf", "Melting_Curves/meltCurve_Q15007_WTAP.pdf")</f>
        <v>Melting_Curves/meltCurve_Q15007_WTAP.pdf</v>
      </c>
    </row>
    <row r="3304" spans="1:28" x14ac:dyDescent="0.25">
      <c r="A3304" t="s">
        <v>3307</v>
      </c>
      <c r="B3304">
        <v>0.99930955844802105</v>
      </c>
      <c r="C3304">
        <v>0.59789839801553801</v>
      </c>
      <c r="D3304">
        <v>0.68215124682813</v>
      </c>
      <c r="E3304">
        <v>0.67797532781135805</v>
      </c>
      <c r="F3304">
        <v>0.326274068590657</v>
      </c>
      <c r="G3304">
        <v>0.18752587606090099</v>
      </c>
      <c r="H3304">
        <v>8.5053729443088602E-2</v>
      </c>
      <c r="I3304">
        <v>6.6332458021892596E-2</v>
      </c>
      <c r="J3304">
        <v>5.7199968094555902E-2</v>
      </c>
      <c r="K3304">
        <v>4.3292489070163601E-2</v>
      </c>
      <c r="L3304">
        <v>478.33953763834302</v>
      </c>
      <c r="M3304">
        <v>9.6416986593604008</v>
      </c>
      <c r="N3304">
        <v>49.6115562784845</v>
      </c>
      <c r="O3304">
        <v>47.618311054178697</v>
      </c>
      <c r="P3304">
        <v>-5.0648000841151702E-2</v>
      </c>
      <c r="Q3304">
        <v>0</v>
      </c>
      <c r="R3304">
        <v>0.902853199750702</v>
      </c>
      <c r="S3304" t="s">
        <v>9920</v>
      </c>
      <c r="T3304" t="s">
        <v>13232</v>
      </c>
      <c r="U3304" t="s">
        <v>13232</v>
      </c>
      <c r="V3304" t="s">
        <v>13232</v>
      </c>
      <c r="W3304" t="s">
        <v>13469</v>
      </c>
      <c r="X3304">
        <v>29</v>
      </c>
      <c r="Y3304" t="s">
        <v>20008</v>
      </c>
      <c r="Z3304" t="s">
        <v>29435</v>
      </c>
      <c r="AA3304">
        <v>0.36944315617095069</v>
      </c>
      <c r="AB3304" t="str">
        <f>HYPERLINK("Melting_Curves/meltCurve_Q15008_PSMD6.pdf", "Melting_Curves/meltCurve_Q15008_PSMD6.pdf")</f>
        <v>Melting_Curves/meltCurve_Q15008_PSMD6.pdf</v>
      </c>
    </row>
    <row r="3305" spans="1:28" x14ac:dyDescent="0.25">
      <c r="A3305" t="s">
        <v>3308</v>
      </c>
      <c r="B3305">
        <v>0.99930955844802105</v>
      </c>
      <c r="C3305">
        <v>1.0622178747123601</v>
      </c>
      <c r="D3305">
        <v>1.0394879582002501</v>
      </c>
      <c r="E3305">
        <v>0.74966088889954696</v>
      </c>
      <c r="F3305">
        <v>0.47034141389498202</v>
      </c>
      <c r="G3305">
        <v>0.38156226579212599</v>
      </c>
      <c r="H3305">
        <v>0.28847783913459402</v>
      </c>
      <c r="I3305">
        <v>0.271500516146159</v>
      </c>
      <c r="J3305">
        <v>0.25379281344997401</v>
      </c>
      <c r="K3305">
        <v>0.21320568600620299</v>
      </c>
      <c r="L3305">
        <v>1378.49812517644</v>
      </c>
      <c r="M3305">
        <v>26.820960909056801</v>
      </c>
      <c r="N3305">
        <v>52.8813567428803</v>
      </c>
      <c r="O3305">
        <v>51.113133165221001</v>
      </c>
      <c r="P3305">
        <v>-9.6477421040613395E-2</v>
      </c>
      <c r="Q3305">
        <v>0.26457325278898802</v>
      </c>
      <c r="R3305">
        <v>0.98440895344257695</v>
      </c>
      <c r="S3305" t="s">
        <v>9921</v>
      </c>
      <c r="T3305" t="s">
        <v>13232</v>
      </c>
      <c r="U3305" t="s">
        <v>13232</v>
      </c>
      <c r="V3305" t="s">
        <v>13232</v>
      </c>
      <c r="W3305" t="s">
        <v>16479</v>
      </c>
      <c r="X3305">
        <v>4</v>
      </c>
      <c r="Y3305" t="s">
        <v>22924</v>
      </c>
      <c r="Z3305" t="s">
        <v>29436</v>
      </c>
      <c r="AA3305">
        <v>0.54975726244202672</v>
      </c>
      <c r="AB3305" t="str">
        <f>HYPERLINK("Melting_Curves/meltCurve_Q15013_MAD2L1BP.pdf", "Melting_Curves/meltCurve_Q15013_MAD2L1BP.pdf")</f>
        <v>Melting_Curves/meltCurve_Q15013_MAD2L1BP.pdf</v>
      </c>
    </row>
    <row r="3306" spans="1:28" x14ac:dyDescent="0.25">
      <c r="A3306" t="s">
        <v>3309</v>
      </c>
      <c r="B3306">
        <v>0.99930955844802105</v>
      </c>
      <c r="C3306">
        <v>1.14631555317412</v>
      </c>
      <c r="D3306">
        <v>1.1151333748300301</v>
      </c>
      <c r="E3306">
        <v>1.10428937355428</v>
      </c>
      <c r="F3306">
        <v>0.85753021818975195</v>
      </c>
      <c r="G3306">
        <v>0.52173028193172499</v>
      </c>
      <c r="H3306">
        <v>0.32638458137246301</v>
      </c>
      <c r="I3306">
        <v>0.28332893027602402</v>
      </c>
      <c r="J3306">
        <v>0.25549623946539401</v>
      </c>
      <c r="K3306">
        <v>0.189639959392019</v>
      </c>
      <c r="L3306">
        <v>1692.6439930898</v>
      </c>
      <c r="M3306">
        <v>30.183645021586901</v>
      </c>
      <c r="N3306">
        <v>57.3204533060442</v>
      </c>
      <c r="O3306">
        <v>55.833757745208601</v>
      </c>
      <c r="P3306">
        <v>-0.102706691680145</v>
      </c>
      <c r="Q3306">
        <v>0.240056783653291</v>
      </c>
      <c r="R3306">
        <v>0.96190002678403097</v>
      </c>
      <c r="S3306" t="s">
        <v>9922</v>
      </c>
      <c r="T3306" t="s">
        <v>13232</v>
      </c>
      <c r="U3306" t="s">
        <v>13232</v>
      </c>
      <c r="V3306" t="s">
        <v>13232</v>
      </c>
      <c r="W3306" t="s">
        <v>16480</v>
      </c>
      <c r="X3306">
        <v>12</v>
      </c>
      <c r="Y3306" t="s">
        <v>22925</v>
      </c>
      <c r="Z3306" t="s">
        <v>29437</v>
      </c>
      <c r="AA3306">
        <v>0.65235254558617206</v>
      </c>
      <c r="AB3306" t="str">
        <f>HYPERLINK("Melting_Curves/meltCurve_Q15014_MORF4L2.pdf", "Melting_Curves/meltCurve_Q15014_MORF4L2.pdf")</f>
        <v>Melting_Curves/meltCurve_Q15014_MORF4L2.pdf</v>
      </c>
    </row>
    <row r="3307" spans="1:28" x14ac:dyDescent="0.25">
      <c r="A3307" t="s">
        <v>3310</v>
      </c>
      <c r="B3307">
        <v>0.99930955844802105</v>
      </c>
      <c r="C3307">
        <v>0.88824970818526106</v>
      </c>
      <c r="D3307">
        <v>0.91853709766481395</v>
      </c>
      <c r="E3307">
        <v>0.997427523756519</v>
      </c>
      <c r="F3307">
        <v>1.0666478185945201</v>
      </c>
      <c r="G3307">
        <v>0.89168664726202895</v>
      </c>
      <c r="H3307">
        <v>0.409425957682028</v>
      </c>
      <c r="I3307">
        <v>0.23886175982980401</v>
      </c>
      <c r="J3307">
        <v>0.12725192966334201</v>
      </c>
      <c r="K3307">
        <v>0.105777308031546</v>
      </c>
      <c r="L3307">
        <v>2195.2349695163698</v>
      </c>
      <c r="M3307">
        <v>36.600082909344501</v>
      </c>
      <c r="N3307">
        <v>60.423372970092402</v>
      </c>
      <c r="O3307">
        <v>59.800745358167902</v>
      </c>
      <c r="P3307">
        <v>-0.13495359829584</v>
      </c>
      <c r="Q3307">
        <v>0.11800174224073399</v>
      </c>
      <c r="R3307">
        <v>0.98072790425985001</v>
      </c>
      <c r="S3307" t="s">
        <v>9923</v>
      </c>
      <c r="T3307" t="s">
        <v>13232</v>
      </c>
      <c r="U3307" t="s">
        <v>13232</v>
      </c>
      <c r="V3307" t="s">
        <v>13232</v>
      </c>
      <c r="W3307" t="s">
        <v>16481</v>
      </c>
      <c r="X3307">
        <v>16</v>
      </c>
      <c r="Y3307" t="s">
        <v>22926</v>
      </c>
      <c r="Z3307" t="s">
        <v>29438</v>
      </c>
      <c r="AA3307">
        <v>0.70938687375521237</v>
      </c>
      <c r="AB3307" t="str">
        <f>HYPERLINK("Melting_Curves/meltCurve_Q15018_FAM175B.pdf", "Melting_Curves/meltCurve_Q15018_FAM175B.pdf")</f>
        <v>Melting_Curves/meltCurve_Q15018_FAM175B.pdf</v>
      </c>
    </row>
    <row r="3308" spans="1:28" x14ac:dyDescent="0.25">
      <c r="A3308" t="s">
        <v>3311</v>
      </c>
      <c r="B3308">
        <v>0.99930955844802105</v>
      </c>
      <c r="C3308">
        <v>0.85525676682033802</v>
      </c>
      <c r="D3308">
        <v>0.88997572568375705</v>
      </c>
      <c r="E3308">
        <v>0.89924007301989395</v>
      </c>
      <c r="F3308">
        <v>0.86978362737572101</v>
      </c>
      <c r="G3308">
        <v>0.58153994621814498</v>
      </c>
      <c r="H3308">
        <v>0.31730356717178998</v>
      </c>
      <c r="I3308">
        <v>0.19726653249715501</v>
      </c>
      <c r="J3308">
        <v>0.117858468306258</v>
      </c>
      <c r="K3308">
        <v>9.3571618706827994E-2</v>
      </c>
      <c r="L3308">
        <v>895.49223547879296</v>
      </c>
      <c r="M3308">
        <v>15.402795475485799</v>
      </c>
      <c r="N3308">
        <v>58.210264926124303</v>
      </c>
      <c r="O3308">
        <v>57.184756280782302</v>
      </c>
      <c r="P3308">
        <v>-6.6708800912802499E-2</v>
      </c>
      <c r="Q3308">
        <v>9.4319726362134901E-3</v>
      </c>
      <c r="R3308">
        <v>0.97298377483675902</v>
      </c>
      <c r="S3308" t="s">
        <v>9924</v>
      </c>
      <c r="T3308" t="s">
        <v>13232</v>
      </c>
      <c r="U3308" t="s">
        <v>13232</v>
      </c>
      <c r="V3308" t="s">
        <v>13232</v>
      </c>
      <c r="W3308" t="s">
        <v>16482</v>
      </c>
      <c r="X3308">
        <v>22</v>
      </c>
      <c r="Y3308" t="s">
        <v>22927</v>
      </c>
      <c r="Z3308" t="s">
        <v>29439</v>
      </c>
      <c r="AA3308">
        <v>0.62122303572000204</v>
      </c>
      <c r="AB3308" t="str">
        <f>HYPERLINK("Melting_Curves/meltCurve_Q15019_SEPT2.pdf", "Melting_Curves/meltCurve_Q15019_SEPT2.pdf")</f>
        <v>Melting_Curves/meltCurve_Q15019_SEPT2.pdf</v>
      </c>
    </row>
    <row r="3309" spans="1:28" x14ac:dyDescent="0.25">
      <c r="A3309" t="s">
        <v>3312</v>
      </c>
      <c r="B3309">
        <v>0.99930955844802105</v>
      </c>
      <c r="C3309">
        <v>0.78067142597442196</v>
      </c>
      <c r="D3309">
        <v>0.78397185900351296</v>
      </c>
      <c r="E3309">
        <v>0.72367607475981599</v>
      </c>
      <c r="F3309">
        <v>0.33575671873334201</v>
      </c>
      <c r="G3309">
        <v>0.21279159370558701</v>
      </c>
      <c r="H3309">
        <v>0.16161224257630799</v>
      </c>
      <c r="I3309">
        <v>0.16401081172634099</v>
      </c>
      <c r="J3309">
        <v>0.16070680881070201</v>
      </c>
      <c r="K3309">
        <v>0.119118527153323</v>
      </c>
      <c r="L3309">
        <v>627.03028864658597</v>
      </c>
      <c r="M3309">
        <v>12.4053940145117</v>
      </c>
      <c r="N3309">
        <v>51.313370739777397</v>
      </c>
      <c r="O3309">
        <v>49.2854343013354</v>
      </c>
      <c r="P3309">
        <v>-5.7604468949502101E-2</v>
      </c>
      <c r="Q3309">
        <v>8.4766135875249601E-2</v>
      </c>
      <c r="R3309">
        <v>0.95000326262666501</v>
      </c>
      <c r="S3309" t="s">
        <v>9925</v>
      </c>
      <c r="T3309" t="s">
        <v>13232</v>
      </c>
      <c r="U3309" t="s">
        <v>13232</v>
      </c>
      <c r="V3309" t="s">
        <v>13232</v>
      </c>
      <c r="W3309" t="s">
        <v>16483</v>
      </c>
      <c r="X3309">
        <v>44</v>
      </c>
      <c r="Y3309" t="s">
        <v>22928</v>
      </c>
      <c r="Z3309" t="s">
        <v>29440</v>
      </c>
      <c r="AA3309">
        <v>0.43564734447937342</v>
      </c>
      <c r="AB3309" t="str">
        <f>HYPERLINK("Melting_Curves/meltCurve_Q15020_SART3.pdf", "Melting_Curves/meltCurve_Q15020_SART3.pdf")</f>
        <v>Melting_Curves/meltCurve_Q15020_SART3.pdf</v>
      </c>
    </row>
    <row r="3310" spans="1:28" x14ac:dyDescent="0.25">
      <c r="A3310" t="s">
        <v>3313</v>
      </c>
      <c r="B3310">
        <v>0.99930955844802105</v>
      </c>
      <c r="C3310">
        <v>0.74143247465682005</v>
      </c>
      <c r="D3310">
        <v>0.50337856657296898</v>
      </c>
      <c r="E3310">
        <v>0.28366189810488102</v>
      </c>
      <c r="F3310">
        <v>0.17129797360135099</v>
      </c>
      <c r="G3310">
        <v>0.119448279861157</v>
      </c>
      <c r="H3310">
        <v>7.5228899589153297E-2</v>
      </c>
      <c r="I3310">
        <v>6.4478909284698002E-2</v>
      </c>
      <c r="J3310">
        <v>5.7879678934812898E-2</v>
      </c>
      <c r="K3310">
        <v>4.3981507472128999E-2</v>
      </c>
      <c r="L3310">
        <v>732.99657184418299</v>
      </c>
      <c r="M3310">
        <v>15.9468898082871</v>
      </c>
      <c r="N3310">
        <v>46.329387105563903</v>
      </c>
      <c r="O3310">
        <v>45.260267177454899</v>
      </c>
      <c r="P3310">
        <v>-8.2897509491937596E-2</v>
      </c>
      <c r="Q3310">
        <v>5.8959997394602198E-2</v>
      </c>
      <c r="R3310">
        <v>0.99092220956416099</v>
      </c>
      <c r="S3310" t="s">
        <v>9926</v>
      </c>
      <c r="T3310" t="s">
        <v>13232</v>
      </c>
      <c r="U3310" t="s">
        <v>13232</v>
      </c>
      <c r="V3310" t="s">
        <v>13232</v>
      </c>
      <c r="W3310" t="s">
        <v>16484</v>
      </c>
      <c r="X3310">
        <v>37</v>
      </c>
      <c r="Y3310" t="s">
        <v>22929</v>
      </c>
      <c r="Z3310" t="s">
        <v>29441</v>
      </c>
      <c r="AA3310">
        <v>0.27025747151005081</v>
      </c>
      <c r="AB3310" t="str">
        <f>HYPERLINK("Melting_Curves/meltCurve_Q15021_NCAPD2.pdf", "Melting_Curves/meltCurve_Q15021_NCAPD2.pdf")</f>
        <v>Melting_Curves/meltCurve_Q15021_NCAPD2.pdf</v>
      </c>
    </row>
    <row r="3311" spans="1:28" x14ac:dyDescent="0.25">
      <c r="A3311" t="s">
        <v>3314</v>
      </c>
      <c r="B3311">
        <v>0.99930955844802105</v>
      </c>
      <c r="C3311">
        <v>0.85957779452154903</v>
      </c>
      <c r="D3311">
        <v>0.88457645909503602</v>
      </c>
      <c r="E3311">
        <v>0.95691041085587603</v>
      </c>
      <c r="F3311">
        <v>0.96488202174948701</v>
      </c>
      <c r="G3311">
        <v>0.72169699961313205</v>
      </c>
      <c r="H3311">
        <v>0.31774433938601798</v>
      </c>
      <c r="I3311">
        <v>0.165199622126357</v>
      </c>
      <c r="J3311">
        <v>8.8147198820596503E-2</v>
      </c>
      <c r="K3311">
        <v>6.1213707723181202E-2</v>
      </c>
      <c r="L3311">
        <v>1535.4357562984701</v>
      </c>
      <c r="M3311">
        <v>26.065809609675998</v>
      </c>
      <c r="N3311">
        <v>59.143343281800298</v>
      </c>
      <c r="O3311">
        <v>58.562687900063302</v>
      </c>
      <c r="P3311">
        <v>-0.10575131871657199</v>
      </c>
      <c r="Q3311">
        <v>4.96346015581412E-2</v>
      </c>
      <c r="R3311">
        <v>0.975497216294262</v>
      </c>
      <c r="S3311" t="s">
        <v>9927</v>
      </c>
      <c r="T3311" t="s">
        <v>13232</v>
      </c>
      <c r="U3311" t="s">
        <v>13232</v>
      </c>
      <c r="V3311" t="s">
        <v>13232</v>
      </c>
      <c r="W3311" t="s">
        <v>16485</v>
      </c>
      <c r="X3311">
        <v>15</v>
      </c>
      <c r="Y3311" t="s">
        <v>22930</v>
      </c>
      <c r="Z3311" t="s">
        <v>29442</v>
      </c>
      <c r="AA3311">
        <v>0.65600372040741795</v>
      </c>
      <c r="AB3311" t="str">
        <f>HYPERLINK("Melting_Curves/meltCurve_Q15024_EXOSC7.pdf", "Melting_Curves/meltCurve_Q15024_EXOSC7.pdf")</f>
        <v>Melting_Curves/meltCurve_Q15024_EXOSC7.pdf</v>
      </c>
    </row>
    <row r="3312" spans="1:28" x14ac:dyDescent="0.25">
      <c r="A3312" t="s">
        <v>3315</v>
      </c>
      <c r="B3312">
        <v>0.99930955844802105</v>
      </c>
      <c r="C3312">
        <v>0.835767908032644</v>
      </c>
      <c r="D3312">
        <v>0.87989747016099296</v>
      </c>
      <c r="E3312">
        <v>1.0764108306439499</v>
      </c>
      <c r="F3312">
        <v>1.3377982489875</v>
      </c>
      <c r="G3312">
        <v>0.85050607263467903</v>
      </c>
      <c r="H3312">
        <v>0.32244211321121402</v>
      </c>
      <c r="I3312">
        <v>0.124512033835779</v>
      </c>
      <c r="J3312">
        <v>8.5709846298454906E-2</v>
      </c>
      <c r="K3312">
        <v>7.0657689622730002E-2</v>
      </c>
      <c r="L3312">
        <v>2589.0410338657698</v>
      </c>
      <c r="M3312">
        <v>43.511311181175103</v>
      </c>
      <c r="N3312">
        <v>59.736511995489103</v>
      </c>
      <c r="O3312">
        <v>59.3774369467314</v>
      </c>
      <c r="P3312">
        <v>-0.16885571917633199</v>
      </c>
      <c r="Q3312">
        <v>7.8289790320817801E-2</v>
      </c>
      <c r="R3312">
        <v>0.91475219638168304</v>
      </c>
      <c r="S3312" t="s">
        <v>9928</v>
      </c>
      <c r="T3312" t="s">
        <v>13232</v>
      </c>
      <c r="U3312" t="s">
        <v>13232</v>
      </c>
      <c r="V3312" t="s">
        <v>13232</v>
      </c>
      <c r="W3312" t="s">
        <v>16486</v>
      </c>
      <c r="X3312">
        <v>41</v>
      </c>
      <c r="Y3312" t="s">
        <v>22931</v>
      </c>
      <c r="Z3312" t="s">
        <v>29443</v>
      </c>
      <c r="AA3312">
        <v>0.68059486832835991</v>
      </c>
      <c r="AB3312" t="str">
        <f>HYPERLINK("Melting_Curves/meltCurve_Q15029_2_EFTUD2.pdf", "Melting_Curves/meltCurve_Q15029_2_EFTUD2.pdf")</f>
        <v>Melting_Curves/meltCurve_Q15029_2_EFTUD2.pdf</v>
      </c>
    </row>
    <row r="3313" spans="1:28" x14ac:dyDescent="0.25">
      <c r="A3313" t="s">
        <v>3316</v>
      </c>
      <c r="B3313">
        <v>0.99930955844802105</v>
      </c>
      <c r="C3313">
        <v>0.98121644885083703</v>
      </c>
      <c r="D3313">
        <v>0.96410175397615805</v>
      </c>
      <c r="E3313">
        <v>0.92008537900052301</v>
      </c>
      <c r="F3313">
        <v>0.74885198618169202</v>
      </c>
      <c r="G3313">
        <v>0.58893952679823103</v>
      </c>
      <c r="H3313">
        <v>0.49971187692834201</v>
      </c>
      <c r="I3313">
        <v>0.50294758918447802</v>
      </c>
      <c r="J3313">
        <v>0.45995307055215501</v>
      </c>
      <c r="K3313">
        <v>0.35575346045883499</v>
      </c>
      <c r="L3313">
        <v>829.19742929280801</v>
      </c>
      <c r="M3313">
        <v>15.153674628902699</v>
      </c>
      <c r="N3313">
        <v>60.977230891693502</v>
      </c>
      <c r="O3313">
        <v>53.792839836985799</v>
      </c>
      <c r="P3313">
        <v>-4.2652329433140103E-2</v>
      </c>
      <c r="Q3313">
        <v>0.39442600894111102</v>
      </c>
      <c r="R3313">
        <v>0.98363250991240203</v>
      </c>
      <c r="S3313" t="s">
        <v>9929</v>
      </c>
      <c r="T3313" t="s">
        <v>13232</v>
      </c>
      <c r="U3313" t="s">
        <v>13232</v>
      </c>
      <c r="V3313" t="s">
        <v>13232</v>
      </c>
      <c r="W3313" t="s">
        <v>16487</v>
      </c>
      <c r="X3313">
        <v>21</v>
      </c>
      <c r="Y3313" t="s">
        <v>22932</v>
      </c>
      <c r="Z3313" t="s">
        <v>29444</v>
      </c>
      <c r="AA3313">
        <v>0.70331369230202723</v>
      </c>
      <c r="AB3313" t="str">
        <f>HYPERLINK("Melting_Curves/meltCurve_Q15032_2_R3HDM1.pdf", "Melting_Curves/meltCurve_Q15032_2_R3HDM1.pdf")</f>
        <v>Melting_Curves/meltCurve_Q15032_2_R3HDM1.pdf</v>
      </c>
    </row>
    <row r="3314" spans="1:28" x14ac:dyDescent="0.25">
      <c r="A3314" t="s">
        <v>3317</v>
      </c>
      <c r="B3314">
        <v>0.99930955844802105</v>
      </c>
      <c r="C3314">
        <v>0.75646287806814705</v>
      </c>
      <c r="D3314">
        <v>0.52789835382192696</v>
      </c>
      <c r="E3314">
        <v>0.27325470294496002</v>
      </c>
      <c r="F3314">
        <v>0.113952624983142</v>
      </c>
      <c r="G3314">
        <v>6.8430574687544904E-2</v>
      </c>
      <c r="H3314">
        <v>3.5733294153713298E-2</v>
      </c>
      <c r="I3314">
        <v>2.7663192068964601E-2</v>
      </c>
      <c r="J3314">
        <v>2.5322155937548298E-2</v>
      </c>
      <c r="K3314">
        <v>1.7012086052082102E-2</v>
      </c>
      <c r="L3314">
        <v>759.19065175040703</v>
      </c>
      <c r="M3314">
        <v>16.389355693535499</v>
      </c>
      <c r="N3314">
        <v>46.429212044117897</v>
      </c>
      <c r="O3314">
        <v>45.649020151611602</v>
      </c>
      <c r="P3314">
        <v>-8.8099716786910601E-2</v>
      </c>
      <c r="Q3314">
        <v>1.85389006948866E-2</v>
      </c>
      <c r="R3314">
        <v>0.99384349124175797</v>
      </c>
      <c r="S3314" t="s">
        <v>9930</v>
      </c>
      <c r="T3314" t="s">
        <v>13232</v>
      </c>
      <c r="U3314" t="s">
        <v>13232</v>
      </c>
      <c r="V3314" t="s">
        <v>13232</v>
      </c>
      <c r="W3314" t="s">
        <v>16488</v>
      </c>
      <c r="X3314">
        <v>5</v>
      </c>
      <c r="Y3314" t="s">
        <v>22933</v>
      </c>
      <c r="Z3314" t="s">
        <v>29445</v>
      </c>
      <c r="AA3314">
        <v>0.2485057519000933</v>
      </c>
      <c r="AB3314" t="str">
        <f>HYPERLINK("Melting_Curves/meltCurve_Q15036_2_SNX17.pdf", "Melting_Curves/meltCurve_Q15036_2_SNX17.pdf")</f>
        <v>Melting_Curves/meltCurve_Q15036_2_SNX17.pdf</v>
      </c>
    </row>
    <row r="3315" spans="1:28" x14ac:dyDescent="0.25">
      <c r="A3315" t="s">
        <v>3318</v>
      </c>
      <c r="B3315">
        <v>0.99930955844802105</v>
      </c>
      <c r="C3315">
        <v>0.834392299858709</v>
      </c>
      <c r="D3315">
        <v>0.69086556579662195</v>
      </c>
      <c r="E3315">
        <v>0.33992816677577098</v>
      </c>
      <c r="F3315">
        <v>0.204115803930076</v>
      </c>
      <c r="G3315">
        <v>0.14158108590534599</v>
      </c>
      <c r="H3315">
        <v>8.4185015059752205E-2</v>
      </c>
      <c r="I3315">
        <v>8.7027348696445697E-2</v>
      </c>
      <c r="J3315">
        <v>8.1554348549045405E-2</v>
      </c>
      <c r="K3315">
        <v>6.3644689596459303E-2</v>
      </c>
      <c r="L3315">
        <v>809.294907535226</v>
      </c>
      <c r="M3315">
        <v>17.015987895873799</v>
      </c>
      <c r="N3315">
        <v>47.9905295020463</v>
      </c>
      <c r="O3315">
        <v>46.918564362214802</v>
      </c>
      <c r="P3315">
        <v>-8.4266657155932706E-2</v>
      </c>
      <c r="Q3315">
        <v>7.0656217611202707E-2</v>
      </c>
      <c r="R3315">
        <v>0.99633115194474098</v>
      </c>
      <c r="S3315" t="s">
        <v>9931</v>
      </c>
      <c r="T3315" t="s">
        <v>13232</v>
      </c>
      <c r="U3315" t="s">
        <v>13232</v>
      </c>
      <c r="V3315" t="s">
        <v>13232</v>
      </c>
      <c r="W3315" t="s">
        <v>16489</v>
      </c>
      <c r="X3315">
        <v>27</v>
      </c>
      <c r="Y3315" t="s">
        <v>22934</v>
      </c>
      <c r="Z3315" t="s">
        <v>29446</v>
      </c>
      <c r="AA3315">
        <v>0.32372685594850331</v>
      </c>
      <c r="AB3315" t="str">
        <f>HYPERLINK("Melting_Curves/meltCurve_Q15042_RAB3GAP1.pdf", "Melting_Curves/meltCurve_Q15042_RAB3GAP1.pdf")</f>
        <v>Melting_Curves/meltCurve_Q15042_RAB3GAP1.pdf</v>
      </c>
    </row>
    <row r="3316" spans="1:28" x14ac:dyDescent="0.25">
      <c r="A3316" t="s">
        <v>3319</v>
      </c>
      <c r="B3316">
        <v>0.99930955844802105</v>
      </c>
      <c r="C3316">
        <v>0.72962476755584305</v>
      </c>
      <c r="D3316">
        <v>0.70627776505195805</v>
      </c>
      <c r="E3316">
        <v>0.54195349060698605</v>
      </c>
      <c r="F3316">
        <v>0.351474911595758</v>
      </c>
      <c r="G3316">
        <v>0.21291436538303701</v>
      </c>
      <c r="H3316">
        <v>9.8712239374565899E-2</v>
      </c>
      <c r="I3316">
        <v>8.42450549283911E-2</v>
      </c>
      <c r="J3316">
        <v>7.41535892899048E-2</v>
      </c>
      <c r="K3316">
        <v>5.4766728215289898E-2</v>
      </c>
      <c r="L3316">
        <v>505.16392364261998</v>
      </c>
      <c r="M3316">
        <v>10.1429164334434</v>
      </c>
      <c r="N3316">
        <v>49.804607597617803</v>
      </c>
      <c r="O3316">
        <v>47.984971250821602</v>
      </c>
      <c r="P3316">
        <v>-5.2868580609020298E-2</v>
      </c>
      <c r="Q3316">
        <v>0</v>
      </c>
      <c r="R3316">
        <v>0.97923616211690501</v>
      </c>
      <c r="S3316" t="s">
        <v>9932</v>
      </c>
      <c r="T3316" t="s">
        <v>13232</v>
      </c>
      <c r="U3316" t="s">
        <v>13232</v>
      </c>
      <c r="V3316" t="s">
        <v>13232</v>
      </c>
      <c r="W3316" t="s">
        <v>16490</v>
      </c>
      <c r="X3316">
        <v>34</v>
      </c>
      <c r="Y3316" t="s">
        <v>22935</v>
      </c>
      <c r="Z3316" t="s">
        <v>29447</v>
      </c>
      <c r="AA3316">
        <v>0.37184225551569727</v>
      </c>
      <c r="AB3316" t="str">
        <f>HYPERLINK("Melting_Curves/meltCurve_Q15046_KARS.pdf", "Melting_Curves/meltCurve_Q15046_KARS.pdf")</f>
        <v>Melting_Curves/meltCurve_Q15046_KARS.pdf</v>
      </c>
    </row>
    <row r="3317" spans="1:28" x14ac:dyDescent="0.25">
      <c r="A3317" t="s">
        <v>3320</v>
      </c>
      <c r="B3317">
        <v>0.99930955844802105</v>
      </c>
      <c r="C3317">
        <v>1.0224780669453799</v>
      </c>
      <c r="D3317">
        <v>0.88548156819473001</v>
      </c>
      <c r="E3317">
        <v>0.61908570444950095</v>
      </c>
      <c r="F3317">
        <v>0.42893677958329601</v>
      </c>
      <c r="G3317">
        <v>0.34162673656557702</v>
      </c>
      <c r="H3317">
        <v>0.29032418772757701</v>
      </c>
      <c r="I3317">
        <v>0.286773626765783</v>
      </c>
      <c r="J3317">
        <v>0.253095781517713</v>
      </c>
      <c r="K3317">
        <v>0.218169413302195</v>
      </c>
      <c r="L3317">
        <v>1008.17685639488</v>
      </c>
      <c r="M3317">
        <v>20.170421970072301</v>
      </c>
      <c r="N3317">
        <v>51.841881106280297</v>
      </c>
      <c r="O3317">
        <v>49.499418066591403</v>
      </c>
      <c r="P3317">
        <v>-7.5650628828914004E-2</v>
      </c>
      <c r="Q3317">
        <v>0.25741876148033899</v>
      </c>
      <c r="R3317">
        <v>0.99397445434190301</v>
      </c>
      <c r="S3317" t="s">
        <v>9933</v>
      </c>
      <c r="T3317" t="s">
        <v>13232</v>
      </c>
      <c r="U3317" t="s">
        <v>13232</v>
      </c>
      <c r="V3317" t="s">
        <v>13232</v>
      </c>
      <c r="W3317" t="s">
        <v>16491</v>
      </c>
      <c r="X3317">
        <v>19</v>
      </c>
      <c r="Y3317" t="s">
        <v>22936</v>
      </c>
      <c r="Z3317" t="s">
        <v>29448</v>
      </c>
      <c r="AA3317">
        <v>0.51469180869150755</v>
      </c>
      <c r="AB3317" t="str">
        <f>HYPERLINK("Melting_Curves/meltCurve_Q15047_3_SETDB1.pdf", "Melting_Curves/meltCurve_Q15047_3_SETDB1.pdf")</f>
        <v>Melting_Curves/meltCurve_Q15047_3_SETDB1.pdf</v>
      </c>
    </row>
    <row r="3318" spans="1:28" x14ac:dyDescent="0.25">
      <c r="A3318" t="s">
        <v>3321</v>
      </c>
      <c r="B3318">
        <v>0.99930955844802105</v>
      </c>
      <c r="C3318">
        <v>0.65241835032050299</v>
      </c>
      <c r="D3318">
        <v>0.443476428393211</v>
      </c>
      <c r="E3318">
        <v>0.36902321317255499</v>
      </c>
      <c r="F3318">
        <v>0.28438964612732198</v>
      </c>
      <c r="G3318">
        <v>0.16022026978332399</v>
      </c>
      <c r="H3318">
        <v>0.108805762652278</v>
      </c>
      <c r="I3318">
        <v>9.6210520522473003E-2</v>
      </c>
      <c r="J3318">
        <v>8.6507662072006303E-2</v>
      </c>
      <c r="K3318">
        <v>6.6244368710307894E-2</v>
      </c>
      <c r="L3318">
        <v>557.11175823992596</v>
      </c>
      <c r="M3318">
        <v>12.1721316078517</v>
      </c>
      <c r="N3318">
        <v>46.406129064392999</v>
      </c>
      <c r="O3318">
        <v>44.586665191339897</v>
      </c>
      <c r="P3318">
        <v>-6.3015856459534503E-2</v>
      </c>
      <c r="Q3318">
        <v>7.6899544944147399E-2</v>
      </c>
      <c r="R3318">
        <v>0.95672056511640902</v>
      </c>
      <c r="S3318" t="s">
        <v>9934</v>
      </c>
      <c r="T3318" t="s">
        <v>13232</v>
      </c>
      <c r="U3318" t="s">
        <v>13232</v>
      </c>
      <c r="V3318" t="s">
        <v>13232</v>
      </c>
      <c r="W3318" t="s">
        <v>16492</v>
      </c>
      <c r="X3318">
        <v>6</v>
      </c>
      <c r="Y3318" t="s">
        <v>22937</v>
      </c>
      <c r="Z3318" t="s">
        <v>29449</v>
      </c>
      <c r="AA3318">
        <v>0.2961635186683142</v>
      </c>
      <c r="AB3318" t="str">
        <f>HYPERLINK("Melting_Curves/meltCurve_Q15048_LRRC14.pdf", "Melting_Curves/meltCurve_Q15048_LRRC14.pdf")</f>
        <v>Melting_Curves/meltCurve_Q15048_LRRC14.pdf</v>
      </c>
    </row>
    <row r="3319" spans="1:28" x14ac:dyDescent="0.25">
      <c r="A3319" t="s">
        <v>3322</v>
      </c>
      <c r="B3319">
        <v>0.99930955844802105</v>
      </c>
      <c r="C3319">
        <v>0.9328072511455</v>
      </c>
      <c r="D3319">
        <v>0.84751643223755502</v>
      </c>
      <c r="E3319">
        <v>0.65870093574477095</v>
      </c>
      <c r="F3319">
        <v>0.51348647102259004</v>
      </c>
      <c r="G3319">
        <v>0.42461919342511201</v>
      </c>
      <c r="H3319">
        <v>0.37281146955646299</v>
      </c>
      <c r="I3319">
        <v>0.42406451421559999</v>
      </c>
      <c r="J3319">
        <v>0.46258063133418797</v>
      </c>
      <c r="K3319">
        <v>0.34765109516450698</v>
      </c>
      <c r="L3319">
        <v>847.08055499647799</v>
      </c>
      <c r="M3319">
        <v>17.2912749568702</v>
      </c>
      <c r="N3319">
        <v>53.677376560677402</v>
      </c>
      <c r="O3319">
        <v>48.347752066453097</v>
      </c>
      <c r="P3319">
        <v>-5.4581419757504197E-2</v>
      </c>
      <c r="Q3319">
        <v>0.38957965698894997</v>
      </c>
      <c r="R3319">
        <v>0.98236110272932198</v>
      </c>
      <c r="S3319" t="s">
        <v>9935</v>
      </c>
      <c r="T3319" t="s">
        <v>13232</v>
      </c>
      <c r="U3319" t="s">
        <v>13232</v>
      </c>
      <c r="V3319" t="s">
        <v>13232</v>
      </c>
      <c r="W3319" t="s">
        <v>16493</v>
      </c>
      <c r="X3319">
        <v>15</v>
      </c>
      <c r="Y3319" t="s">
        <v>22938</v>
      </c>
      <c r="Z3319" t="s">
        <v>29450</v>
      </c>
      <c r="AA3319">
        <v>0.58393300049636876</v>
      </c>
      <c r="AB3319" t="str">
        <f>HYPERLINK("Melting_Curves/meltCurve_Q15050_RRS1.pdf", "Melting_Curves/meltCurve_Q15050_RRS1.pdf")</f>
        <v>Melting_Curves/meltCurve_Q15050_RRS1.pdf</v>
      </c>
    </row>
    <row r="3320" spans="1:28" x14ac:dyDescent="0.25">
      <c r="A3320" t="s">
        <v>3323</v>
      </c>
      <c r="B3320">
        <v>0.99930955844802105</v>
      </c>
      <c r="C3320">
        <v>0.76352398615693196</v>
      </c>
      <c r="D3320">
        <v>0.52326776164815902</v>
      </c>
      <c r="E3320">
        <v>0.22009181466026601</v>
      </c>
      <c r="F3320">
        <v>0.12273891637194401</v>
      </c>
      <c r="G3320">
        <v>7.4733979081679697E-2</v>
      </c>
      <c r="H3320">
        <v>3.1255479890226201E-2</v>
      </c>
      <c r="I3320">
        <v>2.4948488754130901E-2</v>
      </c>
      <c r="J3320">
        <v>1.92836042108365E-2</v>
      </c>
      <c r="K3320">
        <v>1.4770809049582201E-2</v>
      </c>
      <c r="L3320">
        <v>811.31317972555098</v>
      </c>
      <c r="M3320">
        <v>17.591283656722801</v>
      </c>
      <c r="N3320">
        <v>46.239618699811601</v>
      </c>
      <c r="O3320">
        <v>45.536563002790999</v>
      </c>
      <c r="P3320">
        <v>-9.4437815088352001E-2</v>
      </c>
      <c r="Q3320">
        <v>2.22109318696572E-2</v>
      </c>
      <c r="R3320">
        <v>0.99532068605971902</v>
      </c>
      <c r="S3320" t="s">
        <v>9936</v>
      </c>
      <c r="T3320" t="s">
        <v>13232</v>
      </c>
      <c r="U3320" t="s">
        <v>13232</v>
      </c>
      <c r="V3320" t="s">
        <v>13232</v>
      </c>
      <c r="W3320" t="s">
        <v>16494</v>
      </c>
      <c r="X3320">
        <v>3</v>
      </c>
      <c r="Y3320" t="s">
        <v>22939</v>
      </c>
      <c r="Z3320" t="s">
        <v>29451</v>
      </c>
      <c r="AA3320">
        <v>0.2417101046164209</v>
      </c>
      <c r="AB3320" t="str">
        <f>HYPERLINK("Melting_Curves/meltCurve_Q15051_IQCB1.pdf", "Melting_Curves/meltCurve_Q15051_IQCB1.pdf")</f>
        <v>Melting_Curves/meltCurve_Q15051_IQCB1.pdf</v>
      </c>
    </row>
    <row r="3321" spans="1:28" x14ac:dyDescent="0.25">
      <c r="A3321" t="s">
        <v>3324</v>
      </c>
      <c r="B3321">
        <v>0.99930955844802105</v>
      </c>
      <c r="C3321">
        <v>0.99828407291027099</v>
      </c>
      <c r="D3321">
        <v>0.94920430805198297</v>
      </c>
      <c r="E3321">
        <v>0.73327970226561301</v>
      </c>
      <c r="F3321">
        <v>0.48978802073598099</v>
      </c>
      <c r="G3321">
        <v>0.40630200024153101</v>
      </c>
      <c r="H3321">
        <v>0.342251336835315</v>
      </c>
      <c r="I3321">
        <v>0.34932454683042102</v>
      </c>
      <c r="J3321">
        <v>0.332873281182549</v>
      </c>
      <c r="K3321">
        <v>0.27426411731535799</v>
      </c>
      <c r="L3321">
        <v>1168.2636941820101</v>
      </c>
      <c r="M3321">
        <v>22.979619073532898</v>
      </c>
      <c r="N3321">
        <v>53.238659741868801</v>
      </c>
      <c r="O3321">
        <v>50.458816727339503</v>
      </c>
      <c r="P3321">
        <v>-7.7135387477975506E-2</v>
      </c>
      <c r="Q3321">
        <v>0.32251491922526798</v>
      </c>
      <c r="R3321">
        <v>0.99426258398179601</v>
      </c>
      <c r="S3321" t="s">
        <v>9937</v>
      </c>
      <c r="T3321" t="s">
        <v>13232</v>
      </c>
      <c r="U3321" t="s">
        <v>13232</v>
      </c>
      <c r="V3321" t="s">
        <v>13232</v>
      </c>
      <c r="W3321" t="s">
        <v>16495</v>
      </c>
      <c r="X3321">
        <v>21</v>
      </c>
      <c r="Y3321" t="s">
        <v>22940</v>
      </c>
      <c r="Z3321" t="s">
        <v>29452</v>
      </c>
      <c r="AA3321">
        <v>0.57450100937293835</v>
      </c>
      <c r="AB3321" t="str">
        <f>HYPERLINK("Melting_Curves/meltCurve_Q15052_ARHGEF6.pdf", "Melting_Curves/meltCurve_Q15052_ARHGEF6.pdf")</f>
        <v>Melting_Curves/meltCurve_Q15052_ARHGEF6.pdf</v>
      </c>
    </row>
    <row r="3322" spans="1:28" x14ac:dyDescent="0.25">
      <c r="A3322" t="s">
        <v>3325</v>
      </c>
      <c r="B3322">
        <v>0.99930955844802105</v>
      </c>
      <c r="C3322">
        <v>1.14920448224925</v>
      </c>
      <c r="D3322">
        <v>1.19274351252428</v>
      </c>
      <c r="E3322">
        <v>1.20671744291338</v>
      </c>
      <c r="F3322">
        <v>1.0739063125321</v>
      </c>
      <c r="G3322">
        <v>1.00827801947199</v>
      </c>
      <c r="H3322">
        <v>1.13590677808365</v>
      </c>
      <c r="I3322">
        <v>1.16401781587567</v>
      </c>
      <c r="J3322">
        <v>1.3089177368693901</v>
      </c>
      <c r="K3322">
        <v>1.0126902216789</v>
      </c>
      <c r="L3322">
        <v>10299.008614316601</v>
      </c>
      <c r="M3322">
        <v>250</v>
      </c>
      <c r="O3322">
        <v>41.193418272753703</v>
      </c>
      <c r="P3322">
        <v>0.21112946345993</v>
      </c>
      <c r="Q3322">
        <v>1.1391542412615301</v>
      </c>
      <c r="R3322">
        <v>0.19137551653885601</v>
      </c>
      <c r="S3322" t="s">
        <v>9938</v>
      </c>
      <c r="T3322" t="s">
        <v>13232</v>
      </c>
      <c r="U3322" t="s">
        <v>13232</v>
      </c>
      <c r="V3322" t="s">
        <v>13232</v>
      </c>
      <c r="W3322" t="s">
        <v>16496</v>
      </c>
      <c r="X3322">
        <v>23</v>
      </c>
      <c r="Y3322" t="s">
        <v>22941</v>
      </c>
      <c r="Z3322" t="s">
        <v>29453</v>
      </c>
      <c r="AA3322">
        <v>1.1335959997451579</v>
      </c>
      <c r="AB3322" t="str">
        <f>HYPERLINK("Melting_Curves/meltCurve_Q15056_EIF4H.pdf", "Melting_Curves/meltCurve_Q15056_EIF4H.pdf")</f>
        <v>Melting_Curves/meltCurve_Q15056_EIF4H.pdf</v>
      </c>
    </row>
    <row r="3323" spans="1:28" x14ac:dyDescent="0.25">
      <c r="A3323" t="s">
        <v>3326</v>
      </c>
      <c r="B3323">
        <v>0.99930955844802105</v>
      </c>
      <c r="C3323">
        <v>1.00879374977157</v>
      </c>
      <c r="D3323">
        <v>0.99212077818639099</v>
      </c>
      <c r="E3323">
        <v>0.90030478061851504</v>
      </c>
      <c r="F3323">
        <v>0.76094094122214395</v>
      </c>
      <c r="G3323">
        <v>0.71802901477839498</v>
      </c>
      <c r="H3323">
        <v>0.72135455810718996</v>
      </c>
      <c r="I3323">
        <v>0.81400704900218401</v>
      </c>
      <c r="J3323">
        <v>0.79010772196365497</v>
      </c>
      <c r="K3323">
        <v>0.67747573945666995</v>
      </c>
      <c r="L3323">
        <v>2794.8504892495898</v>
      </c>
      <c r="M3323">
        <v>55.451013075934398</v>
      </c>
      <c r="O3323">
        <v>50.336733234429403</v>
      </c>
      <c r="P3323">
        <v>-7.0426723108747702E-2</v>
      </c>
      <c r="Q3323">
        <v>0.744275272438226</v>
      </c>
      <c r="R3323">
        <v>0.91207301600421797</v>
      </c>
      <c r="S3323" t="s">
        <v>9939</v>
      </c>
      <c r="T3323" t="s">
        <v>13232</v>
      </c>
      <c r="U3323" t="s">
        <v>13232</v>
      </c>
      <c r="V3323" t="s">
        <v>13232</v>
      </c>
      <c r="W3323" t="s">
        <v>16497</v>
      </c>
      <c r="X3323">
        <v>22</v>
      </c>
      <c r="Y3323" t="s">
        <v>22941</v>
      </c>
      <c r="Z3323" t="s">
        <v>29454</v>
      </c>
      <c r="AA3323">
        <v>0.83340664218960714</v>
      </c>
      <c r="AB3323" t="str">
        <f>HYPERLINK("Melting_Curves/meltCurve_Q15056_2_EIF4H.pdf", "Melting_Curves/meltCurve_Q15056_2_EIF4H.pdf")</f>
        <v>Melting_Curves/meltCurve_Q15056_2_EIF4H.pdf</v>
      </c>
    </row>
    <row r="3324" spans="1:28" x14ac:dyDescent="0.25">
      <c r="A3324" t="s">
        <v>3327</v>
      </c>
      <c r="B3324">
        <v>0.99930955844802105</v>
      </c>
      <c r="C3324">
        <v>1.0003460393080501</v>
      </c>
      <c r="D3324">
        <v>0.78149396678440397</v>
      </c>
      <c r="E3324">
        <v>0.58480870095345905</v>
      </c>
      <c r="F3324">
        <v>0.28577126025247701</v>
      </c>
      <c r="G3324">
        <v>0.20535402803473099</v>
      </c>
      <c r="H3324">
        <v>0.15957465939257201</v>
      </c>
      <c r="I3324">
        <v>0.15440130832845</v>
      </c>
      <c r="J3324">
        <v>0.149477546197362</v>
      </c>
      <c r="K3324">
        <v>0.116869511380518</v>
      </c>
      <c r="L3324">
        <v>930.791251510047</v>
      </c>
      <c r="M3324">
        <v>18.774095750752799</v>
      </c>
      <c r="N3324">
        <v>50.393429179108999</v>
      </c>
      <c r="O3324">
        <v>49.026250007422497</v>
      </c>
      <c r="P3324">
        <v>-8.3204388470581203E-2</v>
      </c>
      <c r="Q3324">
        <v>0.13092396348118801</v>
      </c>
      <c r="R3324">
        <v>0.99114837317631599</v>
      </c>
      <c r="S3324" t="s">
        <v>9940</v>
      </c>
      <c r="T3324" t="s">
        <v>13232</v>
      </c>
      <c r="U3324" t="s">
        <v>13232</v>
      </c>
      <c r="V3324" t="s">
        <v>13232</v>
      </c>
      <c r="W3324" t="s">
        <v>16498</v>
      </c>
      <c r="X3324">
        <v>19</v>
      </c>
      <c r="Y3324" t="s">
        <v>22942</v>
      </c>
      <c r="Z3324" t="s">
        <v>29455</v>
      </c>
      <c r="AA3324">
        <v>0.42213837221400591</v>
      </c>
      <c r="AB3324" t="str">
        <f>HYPERLINK("Melting_Curves/meltCurve_Q15057_ACAP2.pdf", "Melting_Curves/meltCurve_Q15057_ACAP2.pdf")</f>
        <v>Melting_Curves/meltCurve_Q15057_ACAP2.pdf</v>
      </c>
    </row>
    <row r="3325" spans="1:28" x14ac:dyDescent="0.25">
      <c r="A3325" t="s">
        <v>3328</v>
      </c>
      <c r="B3325">
        <v>0.99930955844802105</v>
      </c>
      <c r="C3325">
        <v>0.94720874333343796</v>
      </c>
      <c r="D3325">
        <v>0.61245773774045198</v>
      </c>
      <c r="E3325">
        <v>0.40181881898320299</v>
      </c>
      <c r="F3325">
        <v>0.243982556468476</v>
      </c>
      <c r="G3325">
        <v>0.17855838870524299</v>
      </c>
      <c r="H3325">
        <v>0.111971841413171</v>
      </c>
      <c r="I3325">
        <v>0.105402008406367</v>
      </c>
      <c r="J3325">
        <v>9.5302721264313495E-2</v>
      </c>
      <c r="K3325">
        <v>7.7051185562604901E-2</v>
      </c>
      <c r="L3325">
        <v>801.70353347950299</v>
      </c>
      <c r="M3325">
        <v>16.809754933119699</v>
      </c>
      <c r="N3325">
        <v>48.295005511993097</v>
      </c>
      <c r="O3325">
        <v>47.033130396930602</v>
      </c>
      <c r="P3325">
        <v>-8.0907325217168494E-2</v>
      </c>
      <c r="Q3325">
        <v>9.4554571423885195E-2</v>
      </c>
      <c r="R3325">
        <v>0.98895942621787103</v>
      </c>
      <c r="S3325" t="s">
        <v>9941</v>
      </c>
      <c r="T3325" t="s">
        <v>13232</v>
      </c>
      <c r="U3325" t="s">
        <v>13232</v>
      </c>
      <c r="V3325" t="s">
        <v>13232</v>
      </c>
      <c r="W3325" t="s">
        <v>16499</v>
      </c>
      <c r="X3325">
        <v>25</v>
      </c>
      <c r="Y3325" t="s">
        <v>22943</v>
      </c>
      <c r="Z3325" t="s">
        <v>29456</v>
      </c>
      <c r="AA3325">
        <v>0.34546904183858163</v>
      </c>
      <c r="AB3325" t="str">
        <f>HYPERLINK("Melting_Curves/meltCurve_Q15058_KIF14.pdf", "Melting_Curves/meltCurve_Q15058_KIF14.pdf")</f>
        <v>Melting_Curves/meltCurve_Q15058_KIF14.pdf</v>
      </c>
    </row>
    <row r="3326" spans="1:28" x14ac:dyDescent="0.25">
      <c r="A3326" t="s">
        <v>3329</v>
      </c>
      <c r="B3326">
        <v>0.99930955844802105</v>
      </c>
      <c r="C3326">
        <v>1.0780552907955001</v>
      </c>
      <c r="D3326">
        <v>1.09969189792128</v>
      </c>
      <c r="E3326">
        <v>0.98538449968921005</v>
      </c>
      <c r="F3326">
        <v>0.65478353190473804</v>
      </c>
      <c r="G3326">
        <v>0.48063777033898197</v>
      </c>
      <c r="H3326">
        <v>0.41554303825349398</v>
      </c>
      <c r="I3326">
        <v>0.45169680215538899</v>
      </c>
      <c r="J3326">
        <v>0.42829649934650499</v>
      </c>
      <c r="K3326">
        <v>0.35119084310128501</v>
      </c>
      <c r="L3326">
        <v>2871.1257966570802</v>
      </c>
      <c r="M3326">
        <v>54.524225348476598</v>
      </c>
      <c r="N3326">
        <v>54.527181918633197</v>
      </c>
      <c r="O3326">
        <v>52.587117202037</v>
      </c>
      <c r="P3326">
        <v>-0.14959416969174999</v>
      </c>
      <c r="Q3326">
        <v>0.42288257589816902</v>
      </c>
      <c r="R3326">
        <v>0.97122021406068504</v>
      </c>
      <c r="S3326" t="s">
        <v>9942</v>
      </c>
      <c r="T3326" t="s">
        <v>13232</v>
      </c>
      <c r="U3326" t="s">
        <v>13232</v>
      </c>
      <c r="V3326" t="s">
        <v>13232</v>
      </c>
      <c r="W3326" t="s">
        <v>16500</v>
      </c>
      <c r="X3326">
        <v>22</v>
      </c>
      <c r="Y3326" t="s">
        <v>22944</v>
      </c>
      <c r="Z3326" t="s">
        <v>29457</v>
      </c>
      <c r="AA3326">
        <v>0.66751004021087768</v>
      </c>
      <c r="AB3326" t="str">
        <f>HYPERLINK("Melting_Curves/meltCurve_Q15059_BRD3.pdf", "Melting_Curves/meltCurve_Q15059_BRD3.pdf")</f>
        <v>Melting_Curves/meltCurve_Q15059_BRD3.pdf</v>
      </c>
    </row>
    <row r="3327" spans="1:28" x14ac:dyDescent="0.25">
      <c r="A3327" t="s">
        <v>3330</v>
      </c>
      <c r="B3327">
        <v>0.99930955844802105</v>
      </c>
      <c r="C3327">
        <v>1.0341628479728999</v>
      </c>
      <c r="D3327">
        <v>1.03684809644913</v>
      </c>
      <c r="E3327">
        <v>0.92310794410865504</v>
      </c>
      <c r="F3327">
        <v>0.74884565149392601</v>
      </c>
      <c r="G3327">
        <v>0.54443443583947104</v>
      </c>
      <c r="H3327">
        <v>0.27086754024086201</v>
      </c>
      <c r="I3327">
        <v>0.114001729690584</v>
      </c>
      <c r="J3327">
        <v>7.7522789298290901E-2</v>
      </c>
      <c r="K3327">
        <v>6.4826052247332094E-2</v>
      </c>
      <c r="L3327">
        <v>958.53720525323695</v>
      </c>
      <c r="M3327">
        <v>16.758787138563999</v>
      </c>
      <c r="N3327">
        <v>57.211030926804298</v>
      </c>
      <c r="O3327">
        <v>56.400324632849802</v>
      </c>
      <c r="P3327">
        <v>-7.4127690547665007E-2</v>
      </c>
      <c r="Q3327">
        <v>2.18256227227833E-3</v>
      </c>
      <c r="R3327">
        <v>0.99466733863771095</v>
      </c>
      <c r="S3327" t="s">
        <v>9943</v>
      </c>
      <c r="T3327" t="s">
        <v>13232</v>
      </c>
      <c r="U3327" t="s">
        <v>13232</v>
      </c>
      <c r="V3327" t="s">
        <v>13232</v>
      </c>
      <c r="W3327" t="s">
        <v>16501</v>
      </c>
      <c r="X3327">
        <v>12</v>
      </c>
      <c r="Y3327" t="s">
        <v>22945</v>
      </c>
      <c r="Z3327" t="s">
        <v>29458</v>
      </c>
      <c r="AA3327">
        <v>0.58843799518926587</v>
      </c>
      <c r="AB3327" t="str">
        <f>HYPERLINK("Melting_Curves/meltCurve_Q15061_WDR43.pdf", "Melting_Curves/meltCurve_Q15061_WDR43.pdf")</f>
        <v>Melting_Curves/meltCurve_Q15061_WDR43.pdf</v>
      </c>
    </row>
    <row r="3328" spans="1:28" x14ac:dyDescent="0.25">
      <c r="A3328" t="s">
        <v>3331</v>
      </c>
      <c r="B3328">
        <v>0.99930955844802105</v>
      </c>
      <c r="C3328">
        <v>1.2365402880967999</v>
      </c>
      <c r="D3328">
        <v>1.0396888387123699</v>
      </c>
      <c r="E3328">
        <v>1.2489566872711599</v>
      </c>
      <c r="F3328">
        <v>1.1228480181465901</v>
      </c>
      <c r="G3328">
        <v>0.77241563081475795</v>
      </c>
      <c r="H3328">
        <v>0.47208493545543601</v>
      </c>
      <c r="I3328">
        <v>0.38577310429058098</v>
      </c>
      <c r="J3328">
        <v>0</v>
      </c>
      <c r="K3328">
        <v>9.1632726087673894E-2</v>
      </c>
      <c r="L3328">
        <v>1420.57475028307</v>
      </c>
      <c r="M3328">
        <v>23.247276625214699</v>
      </c>
      <c r="N3328">
        <v>61.124747738042302</v>
      </c>
      <c r="O3328">
        <v>60.660370177683298</v>
      </c>
      <c r="P3328">
        <v>-9.5490867023409795E-2</v>
      </c>
      <c r="Q3328">
        <v>3.3400866141818702E-3</v>
      </c>
      <c r="R3328">
        <v>0.90767939802669095</v>
      </c>
      <c r="S3328" t="s">
        <v>9944</v>
      </c>
      <c r="T3328" t="s">
        <v>13232</v>
      </c>
      <c r="U3328" t="s">
        <v>13232</v>
      </c>
      <c r="V3328" t="s">
        <v>13232</v>
      </c>
      <c r="W3328" t="s">
        <v>16502</v>
      </c>
      <c r="X3328">
        <v>1</v>
      </c>
      <c r="Y3328" t="s">
        <v>22946</v>
      </c>
      <c r="Z3328" t="s">
        <v>29459</v>
      </c>
      <c r="AA3328">
        <v>0.71073803735080632</v>
      </c>
      <c r="AB3328" t="str">
        <f>HYPERLINK("Melting_Curves/meltCurve_Q15067_2_ACOX1.pdf", "Melting_Curves/meltCurve_Q15067_2_ACOX1.pdf")</f>
        <v>Melting_Curves/meltCurve_Q15067_2_ACOX1.pdf</v>
      </c>
    </row>
    <row r="3329" spans="1:28" x14ac:dyDescent="0.25">
      <c r="A3329" t="s">
        <v>3332</v>
      </c>
      <c r="B3329">
        <v>0.99930955844802105</v>
      </c>
      <c r="C3329">
        <v>1.1146570957533499</v>
      </c>
      <c r="D3329">
        <v>1.05923511062552</v>
      </c>
      <c r="E3329">
        <v>1.02150984812023</v>
      </c>
      <c r="F3329">
        <v>1.0395153339823</v>
      </c>
      <c r="G3329">
        <v>0.89215749725293103</v>
      </c>
      <c r="H3329">
        <v>0.70917047371413999</v>
      </c>
      <c r="I3329">
        <v>0.63983796092482603</v>
      </c>
      <c r="J3329">
        <v>0.603591339513739</v>
      </c>
      <c r="K3329">
        <v>0.48035835237792701</v>
      </c>
      <c r="L3329">
        <v>1322.3919136734301</v>
      </c>
      <c r="M3329">
        <v>21.7741617023154</v>
      </c>
      <c r="O3329">
        <v>60.226868267178801</v>
      </c>
      <c r="P3329">
        <v>-4.5389442144881699E-2</v>
      </c>
      <c r="Q3329">
        <v>0.497826756051993</v>
      </c>
      <c r="R3329">
        <v>0.94315214328019303</v>
      </c>
      <c r="S3329" t="s">
        <v>9945</v>
      </c>
      <c r="T3329" t="s">
        <v>13232</v>
      </c>
      <c r="U3329" t="s">
        <v>13232</v>
      </c>
      <c r="V3329" t="s">
        <v>13232</v>
      </c>
      <c r="W3329" t="s">
        <v>16503</v>
      </c>
      <c r="X3329">
        <v>96</v>
      </c>
      <c r="Y3329" t="s">
        <v>22947</v>
      </c>
      <c r="Z3329" t="s">
        <v>29460</v>
      </c>
      <c r="AA3329">
        <v>0.84832422861697387</v>
      </c>
      <c r="AB3329" t="str">
        <f>HYPERLINK("Melting_Curves/meltCurve_Q15075_EEA1.pdf", "Melting_Curves/meltCurve_Q15075_EEA1.pdf")</f>
        <v>Melting_Curves/meltCurve_Q15075_EEA1.pdf</v>
      </c>
    </row>
    <row r="3330" spans="1:28" x14ac:dyDescent="0.25">
      <c r="A3330" t="s">
        <v>3333</v>
      </c>
      <c r="B3330">
        <v>0.99930955844802105</v>
      </c>
      <c r="C3330">
        <v>0.96173905390941095</v>
      </c>
      <c r="D3330">
        <v>0.78951351156434801</v>
      </c>
      <c r="E3330">
        <v>0.40660961922233102</v>
      </c>
      <c r="F3330">
        <v>0.17905547539531499</v>
      </c>
      <c r="G3330">
        <v>0.112441927326528</v>
      </c>
      <c r="H3330">
        <v>6.7047727313576305E-2</v>
      </c>
      <c r="I3330">
        <v>5.8105264195625797E-2</v>
      </c>
      <c r="J3330">
        <v>6.1981289736338999E-2</v>
      </c>
      <c r="K3330">
        <v>4.7987311214506299E-2</v>
      </c>
      <c r="L3330">
        <v>1065.2010155717501</v>
      </c>
      <c r="M3330">
        <v>21.866646595064701</v>
      </c>
      <c r="N3330">
        <v>48.980178691176597</v>
      </c>
      <c r="O3330">
        <v>48.311581769498801</v>
      </c>
      <c r="P3330">
        <v>-0.106806534765145</v>
      </c>
      <c r="Q3330">
        <v>5.6119629277446202E-2</v>
      </c>
      <c r="R3330">
        <v>0.99936674247503299</v>
      </c>
      <c r="S3330" t="s">
        <v>9946</v>
      </c>
      <c r="T3330" t="s">
        <v>13232</v>
      </c>
      <c r="U3330" t="s">
        <v>13232</v>
      </c>
      <c r="V3330" t="s">
        <v>13232</v>
      </c>
      <c r="W3330" t="s">
        <v>16504</v>
      </c>
      <c r="X3330">
        <v>11</v>
      </c>
      <c r="Y3330" t="s">
        <v>22948</v>
      </c>
      <c r="Z3330" t="s">
        <v>29461</v>
      </c>
      <c r="AA3330">
        <v>0.34129850705514392</v>
      </c>
      <c r="AB3330" t="str">
        <f>HYPERLINK("Melting_Curves/meltCurve_Q15102_PAFAH1B3.pdf", "Melting_Curves/meltCurve_Q15102_PAFAH1B3.pdf")</f>
        <v>Melting_Curves/meltCurve_Q15102_PAFAH1B3.pdf</v>
      </c>
    </row>
    <row r="3331" spans="1:28" x14ac:dyDescent="0.25">
      <c r="A3331" t="s">
        <v>3334</v>
      </c>
      <c r="B3331">
        <v>0.99930955844802105</v>
      </c>
      <c r="C3331">
        <v>0.95803879024766503</v>
      </c>
      <c r="D3331">
        <v>0.85614029707811701</v>
      </c>
      <c r="E3331">
        <v>0.52349296114486599</v>
      </c>
      <c r="F3331">
        <v>0.35753982669819301</v>
      </c>
      <c r="G3331">
        <v>0.23137289059254099</v>
      </c>
      <c r="H3331">
        <v>0.15991088791066099</v>
      </c>
      <c r="I3331">
        <v>0.16939869850782899</v>
      </c>
      <c r="J3331">
        <v>0.14554718041857301</v>
      </c>
      <c r="K3331">
        <v>0.117787102571661</v>
      </c>
      <c r="L3331">
        <v>909.87377542842898</v>
      </c>
      <c r="M3331">
        <v>18.301266385467301</v>
      </c>
      <c r="N3331">
        <v>50.610513496391398</v>
      </c>
      <c r="O3331">
        <v>49.1342494247248</v>
      </c>
      <c r="P3331">
        <v>-8.0260542947762706E-2</v>
      </c>
      <c r="Q3331">
        <v>0.13812318268695001</v>
      </c>
      <c r="R3331">
        <v>0.99806919700371499</v>
      </c>
      <c r="S3331" t="s">
        <v>9947</v>
      </c>
      <c r="T3331" t="s">
        <v>13232</v>
      </c>
      <c r="U3331" t="s">
        <v>13232</v>
      </c>
      <c r="V3331" t="s">
        <v>13232</v>
      </c>
      <c r="W3331" t="s">
        <v>16505</v>
      </c>
      <c r="X3331">
        <v>15</v>
      </c>
      <c r="Y3331" t="s">
        <v>22949</v>
      </c>
      <c r="Z3331" t="s">
        <v>29462</v>
      </c>
      <c r="AA3331">
        <v>0.43155863476475442</v>
      </c>
      <c r="AB3331" t="str">
        <f>HYPERLINK("Melting_Curves/meltCurve_Q15111_PLCL1.pdf", "Melting_Curves/meltCurve_Q15111_PLCL1.pdf")</f>
        <v>Melting_Curves/meltCurve_Q15111_PLCL1.pdf</v>
      </c>
    </row>
    <row r="3332" spans="1:28" x14ac:dyDescent="0.25">
      <c r="A3332" t="s">
        <v>3335</v>
      </c>
      <c r="B3332">
        <v>0.99930955844802105</v>
      </c>
      <c r="C3332">
        <v>1.08979729370839</v>
      </c>
      <c r="D3332">
        <v>1.0655224530160901</v>
      </c>
      <c r="E3332">
        <v>1.00750392937322</v>
      </c>
      <c r="F3332">
        <v>0.80684861622075998</v>
      </c>
      <c r="G3332">
        <v>0.62821387811079499</v>
      </c>
      <c r="H3332">
        <v>0.54930774146833306</v>
      </c>
      <c r="I3332">
        <v>0.56414412018307303</v>
      </c>
      <c r="J3332">
        <v>0.58318040103275404</v>
      </c>
      <c r="K3332">
        <v>0.50490184074955302</v>
      </c>
      <c r="L3332">
        <v>1916.00835917621</v>
      </c>
      <c r="M3332">
        <v>35.682894810369703</v>
      </c>
      <c r="O3332">
        <v>53.527615626211499</v>
      </c>
      <c r="P3332">
        <v>-7.4549865541366001E-2</v>
      </c>
      <c r="Q3332">
        <v>0.55267485790265602</v>
      </c>
      <c r="R3332">
        <v>0.96431956535610097</v>
      </c>
      <c r="S3332" t="s">
        <v>9948</v>
      </c>
      <c r="T3332" t="s">
        <v>13232</v>
      </c>
      <c r="U3332" t="s">
        <v>13232</v>
      </c>
      <c r="V3332" t="s">
        <v>13232</v>
      </c>
      <c r="W3332" t="s">
        <v>16506</v>
      </c>
      <c r="X3332">
        <v>10</v>
      </c>
      <c r="Y3332" t="s">
        <v>22950</v>
      </c>
      <c r="Z3332" t="s">
        <v>29463</v>
      </c>
      <c r="AA3332">
        <v>0.758966832561903</v>
      </c>
      <c r="AB3332" t="str">
        <f>HYPERLINK("Melting_Curves/meltCurve_Q15121_PEA15.pdf", "Melting_Curves/meltCurve_Q15121_PEA15.pdf")</f>
        <v>Melting_Curves/meltCurve_Q15121_PEA15.pdf</v>
      </c>
    </row>
    <row r="3333" spans="1:28" x14ac:dyDescent="0.25">
      <c r="A3333" t="s">
        <v>3336</v>
      </c>
      <c r="B3333">
        <v>0.99930955844802105</v>
      </c>
      <c r="C3333">
        <v>0.93711426317007496</v>
      </c>
      <c r="D3333">
        <v>0.50448576723136995</v>
      </c>
      <c r="E3333">
        <v>0.25894164117540402</v>
      </c>
      <c r="F3333">
        <v>0.15506595535846601</v>
      </c>
      <c r="G3333">
        <v>0.114742779686485</v>
      </c>
      <c r="H3333">
        <v>6.9073566213808807E-2</v>
      </c>
      <c r="I3333">
        <v>5.7558882912006601E-2</v>
      </c>
      <c r="J3333">
        <v>5.5412952182558997E-2</v>
      </c>
      <c r="K3333">
        <v>3.8190204053333399E-2</v>
      </c>
      <c r="L3333">
        <v>1048.98264725477</v>
      </c>
      <c r="M3333">
        <v>22.654011866363899</v>
      </c>
      <c r="N3333">
        <v>46.624264401607398</v>
      </c>
      <c r="O3333">
        <v>45.9482273143634</v>
      </c>
      <c r="P3333">
        <v>-0.114392319848012</v>
      </c>
      <c r="Q3333">
        <v>7.1949261865992403E-2</v>
      </c>
      <c r="R3333">
        <v>0.98769197284680299</v>
      </c>
      <c r="S3333" t="s">
        <v>9949</v>
      </c>
      <c r="T3333" t="s">
        <v>13232</v>
      </c>
      <c r="U3333" t="s">
        <v>13232</v>
      </c>
      <c r="V3333" t="s">
        <v>13232</v>
      </c>
      <c r="W3333" t="s">
        <v>16507</v>
      </c>
      <c r="X3333">
        <v>15</v>
      </c>
      <c r="Y3333" t="s">
        <v>22951</v>
      </c>
      <c r="Z3333" t="s">
        <v>29464</v>
      </c>
      <c r="AA3333">
        <v>0.27756577250384068</v>
      </c>
      <c r="AB3333" t="str">
        <f>HYPERLINK("Melting_Curves/meltCurve_Q15126_PMVK.pdf", "Melting_Curves/meltCurve_Q15126_PMVK.pdf")</f>
        <v>Melting_Curves/meltCurve_Q15126_PMVK.pdf</v>
      </c>
    </row>
    <row r="3334" spans="1:28" x14ac:dyDescent="0.25">
      <c r="A3334" t="s">
        <v>3337</v>
      </c>
      <c r="B3334">
        <v>0.99930955844802105</v>
      </c>
      <c r="C3334">
        <v>0.97888466408135</v>
      </c>
      <c r="D3334">
        <v>0.91404713146729999</v>
      </c>
      <c r="E3334">
        <v>0.74085657382067804</v>
      </c>
      <c r="F3334">
        <v>0.30016848347210101</v>
      </c>
      <c r="G3334">
        <v>0.16930085979133</v>
      </c>
      <c r="H3334">
        <v>0.146182674501076</v>
      </c>
      <c r="I3334">
        <v>6.8441827896166901E-2</v>
      </c>
      <c r="J3334">
        <v>6.1441095318947897E-2</v>
      </c>
      <c r="K3334">
        <v>3.3435137659229397E-2</v>
      </c>
      <c r="L3334">
        <v>1439.06920089862</v>
      </c>
      <c r="M3334">
        <v>28.043120671012002</v>
      </c>
      <c r="N3334">
        <v>51.624508211043199</v>
      </c>
      <c r="O3334">
        <v>51.057470068465399</v>
      </c>
      <c r="P3334">
        <v>-0.126728770946645</v>
      </c>
      <c r="Q3334">
        <v>7.7078985867138294E-2</v>
      </c>
      <c r="R3334">
        <v>0.99102025372941505</v>
      </c>
      <c r="S3334" t="s">
        <v>9950</v>
      </c>
      <c r="T3334" t="s">
        <v>13232</v>
      </c>
      <c r="U3334" t="s">
        <v>13232</v>
      </c>
      <c r="V3334" t="s">
        <v>13232</v>
      </c>
      <c r="W3334" t="s">
        <v>16508</v>
      </c>
      <c r="X3334">
        <v>2</v>
      </c>
      <c r="Y3334" t="s">
        <v>22952</v>
      </c>
      <c r="Z3334" t="s">
        <v>29465</v>
      </c>
      <c r="AA3334">
        <v>0.43188537428931129</v>
      </c>
      <c r="AB3334" t="str">
        <f>HYPERLINK("Melting_Curves/meltCurve_Q15147_2_PLCB4.pdf", "Melting_Curves/meltCurve_Q15147_2_PLCB4.pdf")</f>
        <v>Melting_Curves/meltCurve_Q15147_2_PLCB4.pdf</v>
      </c>
    </row>
    <row r="3335" spans="1:28" x14ac:dyDescent="0.25">
      <c r="A3335" t="s">
        <v>3338</v>
      </c>
      <c r="B3335">
        <v>0.99930955844802105</v>
      </c>
      <c r="C3335">
        <v>0.97427714911458696</v>
      </c>
      <c r="D3335">
        <v>0.95288142854024704</v>
      </c>
      <c r="E3335">
        <v>0.72647265424132001</v>
      </c>
      <c r="F3335">
        <v>0.55432436207539004</v>
      </c>
      <c r="G3335">
        <v>0.287873966841869</v>
      </c>
      <c r="H3335">
        <v>0.12723593891384199</v>
      </c>
      <c r="I3335">
        <v>0.111476722207836</v>
      </c>
      <c r="J3335">
        <v>9.4929057980576007E-2</v>
      </c>
      <c r="K3335">
        <v>7.3803030790477994E-2</v>
      </c>
      <c r="L3335">
        <v>889.29318967219297</v>
      </c>
      <c r="M3335">
        <v>16.750896826286301</v>
      </c>
      <c r="N3335">
        <v>53.469652994911002</v>
      </c>
      <c r="O3335">
        <v>52.349974693049496</v>
      </c>
      <c r="P3335">
        <v>-7.5506635195729796E-2</v>
      </c>
      <c r="Q3335">
        <v>5.6167175216506902E-2</v>
      </c>
      <c r="R3335">
        <v>0.99836203933669099</v>
      </c>
      <c r="S3335" t="s">
        <v>9951</v>
      </c>
      <c r="T3335" t="s">
        <v>13232</v>
      </c>
      <c r="U3335" t="s">
        <v>13232</v>
      </c>
      <c r="V3335" t="s">
        <v>13232</v>
      </c>
      <c r="W3335" t="s">
        <v>16509</v>
      </c>
      <c r="X3335">
        <v>198</v>
      </c>
      <c r="Y3335" t="s">
        <v>22953</v>
      </c>
      <c r="Z3335" t="s">
        <v>29466</v>
      </c>
      <c r="AA3335">
        <v>0.48521901586446559</v>
      </c>
      <c r="AB3335" t="str">
        <f>HYPERLINK("Melting_Curves/meltCurve_Q15149_3_PLEC.pdf", "Melting_Curves/meltCurve_Q15149_3_PLEC.pdf")</f>
        <v>Melting_Curves/meltCurve_Q15149_3_PLEC.pdf</v>
      </c>
    </row>
    <row r="3336" spans="1:28" x14ac:dyDescent="0.25">
      <c r="A3336" t="s">
        <v>3339</v>
      </c>
      <c r="B3336">
        <v>0.99930955844802105</v>
      </c>
      <c r="C3336">
        <v>0.98307538550350804</v>
      </c>
      <c r="D3336">
        <v>0.93128455450986503</v>
      </c>
      <c r="E3336">
        <v>0.71429716586348602</v>
      </c>
      <c r="F3336">
        <v>0.36509708053487699</v>
      </c>
      <c r="G3336">
        <v>0.22914033800158301</v>
      </c>
      <c r="H3336">
        <v>0.14010496375808701</v>
      </c>
      <c r="I3336">
        <v>0.12359890195140601</v>
      </c>
      <c r="J3336">
        <v>0.111210879463122</v>
      </c>
      <c r="K3336">
        <v>8.5489286875285994E-2</v>
      </c>
      <c r="L3336">
        <v>1174.3322496815499</v>
      </c>
      <c r="M3336">
        <v>22.865792878863001</v>
      </c>
      <c r="N3336">
        <v>51.916598201866002</v>
      </c>
      <c r="O3336">
        <v>50.969653390229603</v>
      </c>
      <c r="P3336">
        <v>-9.9917951598987406E-2</v>
      </c>
      <c r="Q3336">
        <v>0.109117565251646</v>
      </c>
      <c r="R3336">
        <v>0.99689635123367903</v>
      </c>
      <c r="S3336" t="s">
        <v>9952</v>
      </c>
      <c r="T3336" t="s">
        <v>13232</v>
      </c>
      <c r="U3336" t="s">
        <v>13232</v>
      </c>
      <c r="V3336" t="s">
        <v>13232</v>
      </c>
      <c r="W3336" t="s">
        <v>16510</v>
      </c>
      <c r="X3336">
        <v>199</v>
      </c>
      <c r="Y3336" t="s">
        <v>22953</v>
      </c>
      <c r="Z3336" t="s">
        <v>29467</v>
      </c>
      <c r="AA3336">
        <v>0.45599637257831171</v>
      </c>
      <c r="AB3336" t="str">
        <f>HYPERLINK("Melting_Curves/meltCurve_Q15149_4_PLEC.pdf", "Melting_Curves/meltCurve_Q15149_4_PLEC.pdf")</f>
        <v>Melting_Curves/meltCurve_Q15149_4_PLEC.pdf</v>
      </c>
    </row>
    <row r="3337" spans="1:28" x14ac:dyDescent="0.25">
      <c r="A3337" t="s">
        <v>3340</v>
      </c>
      <c r="B3337">
        <v>0.99930955844802105</v>
      </c>
      <c r="C3337">
        <v>0.68917754460924896</v>
      </c>
      <c r="D3337">
        <v>0.73756238932364504</v>
      </c>
      <c r="E3337">
        <v>0.59430789797399497</v>
      </c>
      <c r="F3337">
        <v>0.491883846207193</v>
      </c>
      <c r="G3337">
        <v>0.54509030781013401</v>
      </c>
      <c r="H3337">
        <v>0.405143104262706</v>
      </c>
      <c r="I3337">
        <v>0.54639836783879003</v>
      </c>
      <c r="J3337">
        <v>0.48888958056823101</v>
      </c>
      <c r="K3337">
        <v>0.37803477173441902</v>
      </c>
      <c r="L3337">
        <v>546.54052695893199</v>
      </c>
      <c r="M3337">
        <v>12.1249560633982</v>
      </c>
      <c r="N3337">
        <v>55.631838033886702</v>
      </c>
      <c r="O3337">
        <v>43.902105226057301</v>
      </c>
      <c r="P3337">
        <v>-3.7990232440157402E-2</v>
      </c>
      <c r="Q3337">
        <v>0.449906439855149</v>
      </c>
      <c r="R3337">
        <v>0.84082483304178202</v>
      </c>
      <c r="S3337" t="s">
        <v>9953</v>
      </c>
      <c r="T3337" t="s">
        <v>13232</v>
      </c>
      <c r="U3337" t="s">
        <v>13232</v>
      </c>
      <c r="V3337" t="s">
        <v>13232</v>
      </c>
      <c r="W3337" t="s">
        <v>16511</v>
      </c>
      <c r="X3337">
        <v>48</v>
      </c>
      <c r="Y3337" t="s">
        <v>20167</v>
      </c>
      <c r="Z3337" t="s">
        <v>29468</v>
      </c>
      <c r="AA3337">
        <v>0.56972597437296157</v>
      </c>
      <c r="AB3337" t="str">
        <f>HYPERLINK("Melting_Curves/meltCurve_Q15154_PCM1.pdf", "Melting_Curves/meltCurve_Q15154_PCM1.pdf")</f>
        <v>Melting_Curves/meltCurve_Q15154_PCM1.pdf</v>
      </c>
    </row>
    <row r="3338" spans="1:28" x14ac:dyDescent="0.25">
      <c r="A3338" t="s">
        <v>3341</v>
      </c>
      <c r="B3338">
        <v>0.99930955844802105</v>
      </c>
      <c r="C3338">
        <v>0.99416202409933796</v>
      </c>
      <c r="D3338">
        <v>0.82813067497277304</v>
      </c>
      <c r="E3338">
        <v>0.82598128189170295</v>
      </c>
      <c r="F3338">
        <v>0.66361605421786896</v>
      </c>
      <c r="G3338">
        <v>0.31025015884996099</v>
      </c>
      <c r="H3338">
        <v>0.15800630734178001</v>
      </c>
      <c r="I3338">
        <v>0.11383609107329801</v>
      </c>
      <c r="J3338">
        <v>8.1304353397040299E-2</v>
      </c>
      <c r="K3338">
        <v>6.7771950456577898E-2</v>
      </c>
      <c r="L3338">
        <v>852.13497040328502</v>
      </c>
      <c r="M3338">
        <v>15.660083179092201</v>
      </c>
      <c r="N3338">
        <v>54.596695879948101</v>
      </c>
      <c r="O3338">
        <v>53.550319648549099</v>
      </c>
      <c r="P3338">
        <v>-7.1253610235174999E-2</v>
      </c>
      <c r="Q3338">
        <v>2.5464170268747002E-2</v>
      </c>
      <c r="R3338">
        <v>0.98622964429650595</v>
      </c>
      <c r="S3338" t="s">
        <v>9954</v>
      </c>
      <c r="T3338" t="s">
        <v>13232</v>
      </c>
      <c r="U3338" t="s">
        <v>13232</v>
      </c>
      <c r="V3338" t="s">
        <v>13232</v>
      </c>
      <c r="W3338" t="s">
        <v>16512</v>
      </c>
      <c r="X3338">
        <v>47</v>
      </c>
      <c r="Y3338" t="s">
        <v>20167</v>
      </c>
      <c r="Z3338" t="s">
        <v>29469</v>
      </c>
      <c r="AA3338">
        <v>0.51225386105413773</v>
      </c>
      <c r="AB3338" t="str">
        <f>HYPERLINK("Melting_Curves/meltCurve_Q15154_2_PCM1.pdf", "Melting_Curves/meltCurve_Q15154_2_PCM1.pdf")</f>
        <v>Melting_Curves/meltCurve_Q15154_2_PCM1.pdf</v>
      </c>
    </row>
    <row r="3339" spans="1:28" x14ac:dyDescent="0.25">
      <c r="A3339" t="s">
        <v>3342</v>
      </c>
      <c r="B3339">
        <v>0.99930955844802105</v>
      </c>
      <c r="C3339">
        <v>1.0825220942110201</v>
      </c>
      <c r="D3339">
        <v>1.13067097046521</v>
      </c>
      <c r="E3339">
        <v>1.10861224494832</v>
      </c>
      <c r="F3339">
        <v>1.03494499714606</v>
      </c>
      <c r="G3339">
        <v>1.0163452594575799</v>
      </c>
      <c r="H3339">
        <v>1.1710699659378101</v>
      </c>
      <c r="I3339">
        <v>1.3844088246978199</v>
      </c>
      <c r="J3339">
        <v>1.6584167409741699</v>
      </c>
      <c r="K3339">
        <v>1.2059042682874299</v>
      </c>
      <c r="L3339">
        <v>4404.5556804198204</v>
      </c>
      <c r="M3339">
        <v>71.804089490904005</v>
      </c>
      <c r="O3339">
        <v>61.293764649910699</v>
      </c>
      <c r="P3339">
        <v>0.124091829127867</v>
      </c>
      <c r="Q3339">
        <v>1.4237114554449599</v>
      </c>
      <c r="R3339">
        <v>0.61932727882781702</v>
      </c>
      <c r="S3339" t="s">
        <v>9955</v>
      </c>
      <c r="T3339" t="s">
        <v>13232</v>
      </c>
      <c r="U3339" t="s">
        <v>13232</v>
      </c>
      <c r="V3339" t="s">
        <v>13232</v>
      </c>
      <c r="W3339" t="s">
        <v>16513</v>
      </c>
      <c r="X3339">
        <v>5</v>
      </c>
      <c r="Y3339" t="s">
        <v>22954</v>
      </c>
      <c r="Z3339" t="s">
        <v>29470</v>
      </c>
      <c r="AA3339">
        <v>1.1217410603666409</v>
      </c>
      <c r="AB3339" t="str">
        <f>HYPERLINK("Melting_Curves/meltCurve_Q15170_2_TCEAL1.pdf", "Melting_Curves/meltCurve_Q15170_2_TCEAL1.pdf")</f>
        <v>Melting_Curves/meltCurve_Q15170_2_TCEAL1.pdf</v>
      </c>
    </row>
    <row r="3340" spans="1:28" x14ac:dyDescent="0.25">
      <c r="A3340" t="s">
        <v>3343</v>
      </c>
      <c r="B3340">
        <v>0.99930955844802105</v>
      </c>
      <c r="C3340">
        <v>0.88805468925414899</v>
      </c>
      <c r="D3340">
        <v>0.91059181005787104</v>
      </c>
      <c r="E3340">
        <v>0.52327348110769001</v>
      </c>
      <c r="F3340">
        <v>0.18295808574779801</v>
      </c>
      <c r="G3340">
        <v>0.119398958149649</v>
      </c>
      <c r="H3340">
        <v>5.9622501954465501E-2</v>
      </c>
      <c r="I3340">
        <v>4.9668813156019398E-2</v>
      </c>
      <c r="J3340">
        <v>4.2985130290340803E-2</v>
      </c>
      <c r="K3340">
        <v>3.17350970647894E-2</v>
      </c>
      <c r="L3340">
        <v>1255.04000940173</v>
      </c>
      <c r="M3340">
        <v>25.172559519227899</v>
      </c>
      <c r="N3340">
        <v>50.045837506743503</v>
      </c>
      <c r="O3340">
        <v>49.546011062075202</v>
      </c>
      <c r="P3340">
        <v>-0.12127659616990299</v>
      </c>
      <c r="Q3340">
        <v>4.5199568310011901E-2</v>
      </c>
      <c r="R3340">
        <v>0.99156902124977497</v>
      </c>
      <c r="S3340" t="s">
        <v>9956</v>
      </c>
      <c r="T3340" t="s">
        <v>13232</v>
      </c>
      <c r="U3340" t="s">
        <v>13232</v>
      </c>
      <c r="V3340" t="s">
        <v>13232</v>
      </c>
      <c r="W3340" t="s">
        <v>16514</v>
      </c>
      <c r="X3340">
        <v>14</v>
      </c>
      <c r="Y3340" t="s">
        <v>22955</v>
      </c>
      <c r="Z3340" t="s">
        <v>29471</v>
      </c>
      <c r="AA3340">
        <v>0.36733414730289282</v>
      </c>
      <c r="AB3340" t="str">
        <f>HYPERLINK("Melting_Curves/meltCurve_Q15172_PPP2R5A.pdf", "Melting_Curves/meltCurve_Q15172_PPP2R5A.pdf")</f>
        <v>Melting_Curves/meltCurve_Q15172_PPP2R5A.pdf</v>
      </c>
    </row>
    <row r="3341" spans="1:28" x14ac:dyDescent="0.25">
      <c r="A3341" t="s">
        <v>3344</v>
      </c>
      <c r="B3341">
        <v>0.99930955844802105</v>
      </c>
      <c r="C3341">
        <v>0.87078049037899796</v>
      </c>
      <c r="D3341">
        <v>0.75523836398116595</v>
      </c>
      <c r="E3341">
        <v>0.61164184287737999</v>
      </c>
      <c r="F3341">
        <v>0.43639562269481302</v>
      </c>
      <c r="G3341">
        <v>0.35959469756114798</v>
      </c>
      <c r="H3341">
        <v>0.28040259423701203</v>
      </c>
      <c r="I3341">
        <v>0.328446649486203</v>
      </c>
      <c r="J3341">
        <v>0.29271443198785702</v>
      </c>
      <c r="K3341">
        <v>0.23908907491367201</v>
      </c>
      <c r="L3341">
        <v>620.57338315835</v>
      </c>
      <c r="M3341">
        <v>12.6715280449614</v>
      </c>
      <c r="N3341">
        <v>51.832181278744301</v>
      </c>
      <c r="O3341">
        <v>47.8021706109745</v>
      </c>
      <c r="P3341">
        <v>-4.9619591276383102E-2</v>
      </c>
      <c r="Q3341">
        <v>0.25140476163348902</v>
      </c>
      <c r="R3341">
        <v>0.98871281817541201</v>
      </c>
      <c r="S3341" t="s">
        <v>9957</v>
      </c>
      <c r="T3341" t="s">
        <v>13232</v>
      </c>
      <c r="U3341" t="s">
        <v>13232</v>
      </c>
      <c r="V3341" t="s">
        <v>13232</v>
      </c>
      <c r="W3341" t="s">
        <v>16515</v>
      </c>
      <c r="X3341">
        <v>4</v>
      </c>
      <c r="Y3341" t="s">
        <v>22956</v>
      </c>
      <c r="Z3341" t="s">
        <v>29472</v>
      </c>
      <c r="AA3341">
        <v>0.50043406429510573</v>
      </c>
      <c r="AB3341" t="str">
        <f>HYPERLINK("Melting_Curves/meltCurve_Q15173_PPP2R5B.pdf", "Melting_Curves/meltCurve_Q15173_PPP2R5B.pdf")</f>
        <v>Melting_Curves/meltCurve_Q15173_PPP2R5B.pdf</v>
      </c>
    </row>
    <row r="3342" spans="1:28" x14ac:dyDescent="0.25">
      <c r="A3342" t="s">
        <v>3345</v>
      </c>
      <c r="B3342">
        <v>0.99930955844802105</v>
      </c>
      <c r="C3342">
        <v>1.1524117550194</v>
      </c>
      <c r="D3342">
        <v>0.98903015135193495</v>
      </c>
      <c r="E3342">
        <v>1.0267001296202001</v>
      </c>
      <c r="F3342">
        <v>0.58191275857640601</v>
      </c>
      <c r="G3342">
        <v>0.19878113547087101</v>
      </c>
      <c r="H3342">
        <v>9.7680363789073604E-2</v>
      </c>
      <c r="I3342">
        <v>6.9561560719482093E-2</v>
      </c>
      <c r="J3342">
        <v>5.8658763063914203E-2</v>
      </c>
      <c r="K3342">
        <v>4.5035923419922498E-2</v>
      </c>
      <c r="L3342">
        <v>2140.3287222488302</v>
      </c>
      <c r="M3342">
        <v>40.040574736076898</v>
      </c>
      <c r="N3342">
        <v>53.673313046023402</v>
      </c>
      <c r="O3342">
        <v>53.321200868264199</v>
      </c>
      <c r="P3342">
        <v>-0.173565148829216</v>
      </c>
      <c r="Q3342">
        <v>7.5469805646481994E-2</v>
      </c>
      <c r="R3342">
        <v>0.98257244950228795</v>
      </c>
      <c r="S3342" t="s">
        <v>9958</v>
      </c>
      <c r="T3342" t="s">
        <v>13232</v>
      </c>
      <c r="U3342" t="s">
        <v>13232</v>
      </c>
      <c r="V3342" t="s">
        <v>13232</v>
      </c>
      <c r="W3342" t="s">
        <v>16516</v>
      </c>
      <c r="X3342">
        <v>22</v>
      </c>
      <c r="Y3342" t="s">
        <v>22957</v>
      </c>
      <c r="Z3342" t="s">
        <v>29473</v>
      </c>
      <c r="AA3342">
        <v>0.4934948604664412</v>
      </c>
      <c r="AB3342" t="str">
        <f>HYPERLINK("Melting_Curves/meltCurve_Q15181_PPA1.pdf", "Melting_Curves/meltCurve_Q15181_PPA1.pdf")</f>
        <v>Melting_Curves/meltCurve_Q15181_PPA1.pdf</v>
      </c>
    </row>
    <row r="3343" spans="1:28" x14ac:dyDescent="0.25">
      <c r="A3343" t="s">
        <v>3346</v>
      </c>
      <c r="B3343">
        <v>0.99930955844802105</v>
      </c>
      <c r="C3343">
        <v>1.0000185228112499</v>
      </c>
      <c r="D3343">
        <v>0.81384313027529598</v>
      </c>
      <c r="E3343">
        <v>0.43731670267890599</v>
      </c>
      <c r="F3343">
        <v>0.23379866047995801</v>
      </c>
      <c r="G3343">
        <v>0.164169191558592</v>
      </c>
      <c r="H3343">
        <v>0.10734095737037901</v>
      </c>
      <c r="I3343">
        <v>9.8680828057616299E-2</v>
      </c>
      <c r="J3343">
        <v>9.3846834373875199E-2</v>
      </c>
      <c r="K3343">
        <v>7.1152541675033307E-2</v>
      </c>
      <c r="L3343">
        <v>1083.8173997655299</v>
      </c>
      <c r="M3343">
        <v>22.1461364580124</v>
      </c>
      <c r="N3343">
        <v>49.406338314839203</v>
      </c>
      <c r="O3343">
        <v>48.545561053635801</v>
      </c>
      <c r="P3343">
        <v>-0.103280328425379</v>
      </c>
      <c r="Q3343">
        <v>9.4435051804678399E-2</v>
      </c>
      <c r="R3343">
        <v>0.997601332940248</v>
      </c>
      <c r="S3343" t="s">
        <v>9959</v>
      </c>
      <c r="T3343" t="s">
        <v>13232</v>
      </c>
      <c r="U3343" t="s">
        <v>13232</v>
      </c>
      <c r="V3343" t="s">
        <v>13232</v>
      </c>
      <c r="W3343" t="s">
        <v>16517</v>
      </c>
      <c r="X3343">
        <v>20</v>
      </c>
      <c r="Y3343" t="s">
        <v>22958</v>
      </c>
      <c r="Z3343" t="s">
        <v>29474</v>
      </c>
      <c r="AA3343">
        <v>0.37457325985053552</v>
      </c>
      <c r="AB3343" t="str">
        <f>HYPERLINK("Melting_Curves/meltCurve_Q15208_STK38.pdf", "Melting_Curves/meltCurve_Q15208_STK38.pdf")</f>
        <v>Melting_Curves/meltCurve_Q15208_STK38.pdf</v>
      </c>
    </row>
    <row r="3344" spans="1:28" x14ac:dyDescent="0.25">
      <c r="A3344" t="s">
        <v>3347</v>
      </c>
      <c r="B3344">
        <v>0.99930955844802105</v>
      </c>
      <c r="C3344">
        <v>0.77285850200469297</v>
      </c>
      <c r="D3344">
        <v>0.38955253025828701</v>
      </c>
      <c r="E3344">
        <v>0.26982515290980302</v>
      </c>
      <c r="F3344">
        <v>0.18979395110443101</v>
      </c>
      <c r="G3344">
        <v>0.156819693879786</v>
      </c>
      <c r="H3344">
        <v>0.12425156466468899</v>
      </c>
      <c r="I3344">
        <v>0.12234199217562999</v>
      </c>
      <c r="J3344">
        <v>0.119642182332849</v>
      </c>
      <c r="K3344">
        <v>9.2506614032339798E-2</v>
      </c>
      <c r="L3344">
        <v>1050.51851467141</v>
      </c>
      <c r="M3344">
        <v>23.488835334577701</v>
      </c>
      <c r="N3344">
        <v>45.334607950414402</v>
      </c>
      <c r="O3344">
        <v>44.403786700168297</v>
      </c>
      <c r="P3344">
        <v>-0.11431860695443501</v>
      </c>
      <c r="Q3344">
        <v>0.13557388317968799</v>
      </c>
      <c r="R3344">
        <v>0.98570299736429601</v>
      </c>
      <c r="S3344" t="s">
        <v>9960</v>
      </c>
      <c r="T3344" t="s">
        <v>13232</v>
      </c>
      <c r="U3344" t="s">
        <v>13232</v>
      </c>
      <c r="V3344" t="s">
        <v>13232</v>
      </c>
      <c r="W3344" t="s">
        <v>16518</v>
      </c>
      <c r="X3344">
        <v>39</v>
      </c>
      <c r="Y3344" t="s">
        <v>22959</v>
      </c>
      <c r="Z3344" t="s">
        <v>29475</v>
      </c>
      <c r="AA3344">
        <v>0.28202505985741649</v>
      </c>
      <c r="AB3344" t="str">
        <f>HYPERLINK("Melting_Curves/meltCurve_Q15233_NONO.pdf", "Melting_Curves/meltCurve_Q15233_NONO.pdf")</f>
        <v>Melting_Curves/meltCurve_Q15233_NONO.pdf</v>
      </c>
    </row>
    <row r="3345" spans="1:28" x14ac:dyDescent="0.25">
      <c r="A3345" t="s">
        <v>3348</v>
      </c>
      <c r="B3345">
        <v>0.99930955844802105</v>
      </c>
      <c r="C3345">
        <v>1.0446531323572901</v>
      </c>
      <c r="D3345">
        <v>1.0593077752212501</v>
      </c>
      <c r="E3345">
        <v>0.96054216447909802</v>
      </c>
      <c r="F3345">
        <v>0.79266326723080105</v>
      </c>
      <c r="G3345">
        <v>0.34781625864443799</v>
      </c>
      <c r="H3345">
        <v>0.11465649412670401</v>
      </c>
      <c r="I3345">
        <v>9.3580721852213E-2</v>
      </c>
      <c r="J3345">
        <v>7.4228942714760895E-2</v>
      </c>
      <c r="K3345">
        <v>5.7177744215609901E-2</v>
      </c>
      <c r="L3345">
        <v>1612.9812178382001</v>
      </c>
      <c r="M3345">
        <v>29.1507847657982</v>
      </c>
      <c r="N3345">
        <v>55.595566121993997</v>
      </c>
      <c r="O3345">
        <v>55.073925303526103</v>
      </c>
      <c r="P3345">
        <v>-0.123797159612816</v>
      </c>
      <c r="Q3345">
        <v>6.4458288823531995E-2</v>
      </c>
      <c r="R3345">
        <v>0.99664913560453805</v>
      </c>
      <c r="S3345" t="s">
        <v>9961</v>
      </c>
      <c r="T3345" t="s">
        <v>13232</v>
      </c>
      <c r="U3345" t="s">
        <v>13232</v>
      </c>
      <c r="V3345" t="s">
        <v>13232</v>
      </c>
      <c r="W3345" t="s">
        <v>16519</v>
      </c>
      <c r="X3345">
        <v>17</v>
      </c>
      <c r="Y3345" t="s">
        <v>22960</v>
      </c>
      <c r="Z3345" t="s">
        <v>29476</v>
      </c>
      <c r="AA3345">
        <v>0.54915513124501625</v>
      </c>
      <c r="AB3345" t="str">
        <f>HYPERLINK("Melting_Curves/meltCurve_Q15257_PPP2R4.pdf", "Melting_Curves/meltCurve_Q15257_PPP2R4.pdf")</f>
        <v>Melting_Curves/meltCurve_Q15257_PPP2R4.pdf</v>
      </c>
    </row>
    <row r="3346" spans="1:28" x14ac:dyDescent="0.25">
      <c r="A3346" t="s">
        <v>3349</v>
      </c>
      <c r="B3346">
        <v>0.99930955844802105</v>
      </c>
      <c r="C3346">
        <v>1.0078442182521901</v>
      </c>
      <c r="D3346">
        <v>0.888754624612896</v>
      </c>
      <c r="E3346">
        <v>0.91911858462753904</v>
      </c>
      <c r="F3346">
        <v>0.77085159519805901</v>
      </c>
      <c r="G3346">
        <v>0.58439026651878201</v>
      </c>
      <c r="H3346">
        <v>0.19162512361544901</v>
      </c>
      <c r="I3346">
        <v>0.183206864348642</v>
      </c>
      <c r="J3346">
        <v>0.19666413211429401</v>
      </c>
      <c r="K3346">
        <v>0.13545363621532899</v>
      </c>
      <c r="L3346">
        <v>1058.92925047428</v>
      </c>
      <c r="M3346">
        <v>18.7808491533062</v>
      </c>
      <c r="N3346">
        <v>57.123933675962697</v>
      </c>
      <c r="O3346">
        <v>55.755875008474902</v>
      </c>
      <c r="P3346">
        <v>-7.5115241276115297E-2</v>
      </c>
      <c r="Q3346">
        <v>0.10804006501708401</v>
      </c>
      <c r="R3346">
        <v>0.97905297140043501</v>
      </c>
      <c r="S3346" t="s">
        <v>9962</v>
      </c>
      <c r="T3346" t="s">
        <v>13232</v>
      </c>
      <c r="U3346" t="s">
        <v>13232</v>
      </c>
      <c r="V3346" t="s">
        <v>13232</v>
      </c>
      <c r="W3346" t="s">
        <v>16520</v>
      </c>
      <c r="X3346">
        <v>16</v>
      </c>
      <c r="Y3346" t="s">
        <v>22960</v>
      </c>
      <c r="Z3346" t="s">
        <v>29477</v>
      </c>
      <c r="AA3346">
        <v>0.60736755549431554</v>
      </c>
      <c r="AB3346" t="str">
        <f>HYPERLINK("Melting_Curves/meltCurve_Q15257_2_PPP2R4.pdf", "Melting_Curves/meltCurve_Q15257_2_PPP2R4.pdf")</f>
        <v>Melting_Curves/meltCurve_Q15257_2_PPP2R4.pdf</v>
      </c>
    </row>
    <row r="3347" spans="1:28" x14ac:dyDescent="0.25">
      <c r="A3347" t="s">
        <v>3350</v>
      </c>
      <c r="B3347">
        <v>0.99930955844802105</v>
      </c>
      <c r="C3347">
        <v>1.00722289420765</v>
      </c>
      <c r="D3347">
        <v>1.06931139576469</v>
      </c>
      <c r="E3347">
        <v>0.88683208796258906</v>
      </c>
      <c r="F3347">
        <v>0.782736659103346</v>
      </c>
      <c r="G3347">
        <v>0.65239806455874005</v>
      </c>
      <c r="H3347">
        <v>0.42804246348797598</v>
      </c>
      <c r="I3347">
        <v>0.45017750063787099</v>
      </c>
      <c r="J3347">
        <v>0.33509208148817399</v>
      </c>
      <c r="K3347">
        <v>0.22222537723053401</v>
      </c>
      <c r="L3347">
        <v>711.28818393100403</v>
      </c>
      <c r="M3347">
        <v>12.204276887295199</v>
      </c>
      <c r="N3347">
        <v>60.372659669457597</v>
      </c>
      <c r="O3347">
        <v>56.783313509387703</v>
      </c>
      <c r="P3347">
        <v>-4.4481383536826298E-2</v>
      </c>
      <c r="Q3347">
        <v>0.172345836259261</v>
      </c>
      <c r="R3347">
        <v>0.97536716211911301</v>
      </c>
      <c r="S3347" t="s">
        <v>9963</v>
      </c>
      <c r="T3347" t="s">
        <v>13232</v>
      </c>
      <c r="U3347" t="s">
        <v>13232</v>
      </c>
      <c r="V3347" t="s">
        <v>13232</v>
      </c>
      <c r="W3347" t="s">
        <v>16521</v>
      </c>
      <c r="X3347">
        <v>2</v>
      </c>
      <c r="Y3347" t="s">
        <v>22961</v>
      </c>
      <c r="Z3347" t="s">
        <v>29478</v>
      </c>
      <c r="AA3347">
        <v>0.68633161630827821</v>
      </c>
      <c r="AB3347" t="str">
        <f>HYPERLINK("Melting_Curves/meltCurve_Q15262_PTPRK.pdf", "Melting_Curves/meltCurve_Q15262_PTPRK.pdf")</f>
        <v>Melting_Curves/meltCurve_Q15262_PTPRK.pdf</v>
      </c>
    </row>
    <row r="3348" spans="1:28" x14ac:dyDescent="0.25">
      <c r="A3348" t="s">
        <v>3351</v>
      </c>
      <c r="B3348">
        <v>0.99930955844802105</v>
      </c>
      <c r="C3348">
        <v>0.75624249379703501</v>
      </c>
      <c r="D3348">
        <v>0.58624680563472997</v>
      </c>
      <c r="E3348">
        <v>0.47215697679354501</v>
      </c>
      <c r="F3348">
        <v>0.28682991160432803</v>
      </c>
      <c r="G3348">
        <v>0.13484123165329101</v>
      </c>
      <c r="H3348">
        <v>7.8153227508906298E-2</v>
      </c>
      <c r="I3348">
        <v>8.4504710172838796E-2</v>
      </c>
      <c r="J3348">
        <v>5.4906999576239797E-2</v>
      </c>
      <c r="K3348">
        <v>3.2959270079057898E-2</v>
      </c>
      <c r="L3348">
        <v>531.03140476352496</v>
      </c>
      <c r="M3348">
        <v>10.9817455982599</v>
      </c>
      <c r="N3348">
        <v>48.389244526914098</v>
      </c>
      <c r="O3348">
        <v>46.835342336053301</v>
      </c>
      <c r="P3348">
        <v>-5.8417299319248897E-2</v>
      </c>
      <c r="Q3348">
        <v>3.77747037715678E-3</v>
      </c>
      <c r="R3348">
        <v>0.98263803524358395</v>
      </c>
      <c r="S3348" t="s">
        <v>9964</v>
      </c>
      <c r="T3348" t="s">
        <v>13232</v>
      </c>
      <c r="U3348" t="s">
        <v>13232</v>
      </c>
      <c r="V3348" t="s">
        <v>13232</v>
      </c>
      <c r="W3348" t="s">
        <v>16522</v>
      </c>
      <c r="X3348">
        <v>1</v>
      </c>
      <c r="Y3348" t="s">
        <v>22962</v>
      </c>
      <c r="Z3348" t="s">
        <v>29479</v>
      </c>
      <c r="AA3348">
        <v>0.32549183021865041</v>
      </c>
      <c r="AB3348" t="str">
        <f>HYPERLINK("Melting_Curves/meltCurve_Q15269_PWP2.pdf", "Melting_Curves/meltCurve_Q15269_PWP2.pdf")</f>
        <v>Melting_Curves/meltCurve_Q15269_PWP2.pdf</v>
      </c>
    </row>
    <row r="3349" spans="1:28" x14ac:dyDescent="0.25">
      <c r="A3349" t="s">
        <v>3352</v>
      </c>
      <c r="B3349">
        <v>0.99930955844802105</v>
      </c>
      <c r="C3349">
        <v>0.995016615852646</v>
      </c>
      <c r="D3349">
        <v>0.97677595541167594</v>
      </c>
      <c r="E3349">
        <v>0.819831030246572</v>
      </c>
      <c r="F3349">
        <v>0.92013360718185799</v>
      </c>
      <c r="G3349">
        <v>0.76092628007386598</v>
      </c>
      <c r="H3349">
        <v>0.565125540016015</v>
      </c>
      <c r="I3349">
        <v>0.59788378423607902</v>
      </c>
      <c r="J3349">
        <v>0.56119461838576701</v>
      </c>
      <c r="K3349">
        <v>0.39313680559911302</v>
      </c>
      <c r="L3349">
        <v>466.78542479106</v>
      </c>
      <c r="M3349">
        <v>7.2475348461635098</v>
      </c>
      <c r="N3349">
        <v>66.862039144477905</v>
      </c>
      <c r="O3349">
        <v>60.045186549109403</v>
      </c>
      <c r="P3349">
        <v>-2.6692468688097E-2</v>
      </c>
      <c r="Q3349">
        <v>0.11686199491136701</v>
      </c>
      <c r="R3349">
        <v>0.93778613888025897</v>
      </c>
      <c r="S3349" t="s">
        <v>9965</v>
      </c>
      <c r="T3349" t="s">
        <v>13232</v>
      </c>
      <c r="U3349" t="s">
        <v>13232</v>
      </c>
      <c r="V3349" t="s">
        <v>13232</v>
      </c>
      <c r="W3349" t="s">
        <v>16523</v>
      </c>
      <c r="X3349">
        <v>10</v>
      </c>
      <c r="Y3349" t="s">
        <v>22963</v>
      </c>
      <c r="Z3349" t="s">
        <v>29480</v>
      </c>
      <c r="AA3349">
        <v>0.76714095777022029</v>
      </c>
      <c r="AB3349" t="str">
        <f>HYPERLINK("Melting_Curves/meltCurve_Q15274_QPRT.pdf", "Melting_Curves/meltCurve_Q15274_QPRT.pdf")</f>
        <v>Melting_Curves/meltCurve_Q15274_QPRT.pdf</v>
      </c>
    </row>
    <row r="3350" spans="1:28" x14ac:dyDescent="0.25">
      <c r="A3350" t="s">
        <v>3353</v>
      </c>
      <c r="B3350">
        <v>0.99930955844802105</v>
      </c>
      <c r="C3350">
        <v>1.0578368039234001</v>
      </c>
      <c r="D3350">
        <v>1.0004353227884599</v>
      </c>
      <c r="E3350">
        <v>0.92840137338382001</v>
      </c>
      <c r="F3350">
        <v>0.78886962991950704</v>
      </c>
      <c r="G3350">
        <v>0.54882773425881004</v>
      </c>
      <c r="H3350">
        <v>0.40203605126974001</v>
      </c>
      <c r="I3350">
        <v>0.38539348525207801</v>
      </c>
      <c r="J3350">
        <v>0.36709123430877</v>
      </c>
      <c r="K3350">
        <v>0.30909528222698002</v>
      </c>
      <c r="L3350">
        <v>1151.67655625047</v>
      </c>
      <c r="M3350">
        <v>20.935763295891299</v>
      </c>
      <c r="N3350">
        <v>58.042900124389398</v>
      </c>
      <c r="O3350">
        <v>54.515491282471501</v>
      </c>
      <c r="P3350">
        <v>-6.4082150172511801E-2</v>
      </c>
      <c r="Q3350">
        <v>0.33255359283425101</v>
      </c>
      <c r="R3350">
        <v>0.99351218167265698</v>
      </c>
      <c r="S3350" t="s">
        <v>9966</v>
      </c>
      <c r="T3350" t="s">
        <v>13232</v>
      </c>
      <c r="U3350" t="s">
        <v>13232</v>
      </c>
      <c r="V3350" t="s">
        <v>13232</v>
      </c>
      <c r="W3350" t="s">
        <v>16524</v>
      </c>
      <c r="X3350">
        <v>46</v>
      </c>
      <c r="Y3350" t="s">
        <v>22964</v>
      </c>
      <c r="Z3350" t="s">
        <v>29481</v>
      </c>
      <c r="AA3350">
        <v>0.67478530820539395</v>
      </c>
      <c r="AB3350" t="str">
        <f>HYPERLINK("Melting_Curves/meltCurve_Q15276_RABEP1.pdf", "Melting_Curves/meltCurve_Q15276_RABEP1.pdf")</f>
        <v>Melting_Curves/meltCurve_Q15276_RABEP1.pdf</v>
      </c>
    </row>
    <row r="3351" spans="1:28" x14ac:dyDescent="0.25">
      <c r="A3351" t="s">
        <v>3354</v>
      </c>
      <c r="B3351">
        <v>0.99930955844802105</v>
      </c>
      <c r="C3351">
        <v>0.58520076779471397</v>
      </c>
      <c r="D3351">
        <v>0.40768237321860501</v>
      </c>
      <c r="E3351">
        <v>0.18428037814335099</v>
      </c>
      <c r="F3351">
        <v>0.1210859357406</v>
      </c>
      <c r="G3351">
        <v>4.6474556050385099E-2</v>
      </c>
      <c r="H3351">
        <v>2.24369316151403E-2</v>
      </c>
      <c r="I3351">
        <v>0</v>
      </c>
      <c r="J3351">
        <v>0</v>
      </c>
      <c r="K3351">
        <v>0</v>
      </c>
      <c r="L3351">
        <v>733.46049217530197</v>
      </c>
      <c r="M3351">
        <v>16.376178801434602</v>
      </c>
      <c r="N3351">
        <v>44.849930645059402</v>
      </c>
      <c r="O3351">
        <v>44.136343177558501</v>
      </c>
      <c r="P3351">
        <v>-9.1733001033493702E-2</v>
      </c>
      <c r="Q3351">
        <v>1.1131570197974099E-2</v>
      </c>
      <c r="R3351">
        <v>0.97418962149210497</v>
      </c>
      <c r="S3351" t="s">
        <v>9967</v>
      </c>
      <c r="T3351" t="s">
        <v>13232</v>
      </c>
      <c r="U3351" t="s">
        <v>13232</v>
      </c>
      <c r="V3351" t="s">
        <v>13232</v>
      </c>
      <c r="W3351" t="s">
        <v>16525</v>
      </c>
      <c r="X3351">
        <v>3</v>
      </c>
      <c r="Y3351" t="s">
        <v>22965</v>
      </c>
      <c r="Z3351" t="s">
        <v>29482</v>
      </c>
      <c r="AA3351">
        <v>0.19592555644579471</v>
      </c>
      <c r="AB3351" t="str">
        <f>HYPERLINK("Melting_Curves/meltCurve_Q15283_2_RASA2.pdf", "Melting_Curves/meltCurve_Q15283_2_RASA2.pdf")</f>
        <v>Melting_Curves/meltCurve_Q15283_2_RASA2.pdf</v>
      </c>
    </row>
    <row r="3352" spans="1:28" x14ac:dyDescent="0.25">
      <c r="A3352" t="s">
        <v>3355</v>
      </c>
      <c r="B3352">
        <v>0.99930955844802105</v>
      </c>
      <c r="C3352">
        <v>1.2134693571352499</v>
      </c>
      <c r="D3352">
        <v>1.20220927553088</v>
      </c>
      <c r="E3352">
        <v>1.1321673157307399</v>
      </c>
      <c r="F3352">
        <v>0.94589847141950001</v>
      </c>
      <c r="G3352">
        <v>0.368087377530325</v>
      </c>
      <c r="H3352">
        <v>0.17581499070908399</v>
      </c>
      <c r="I3352">
        <v>0.12604901598179399</v>
      </c>
      <c r="J3352">
        <v>0.12184444052351</v>
      </c>
      <c r="K3352">
        <v>9.0626083091324694E-2</v>
      </c>
      <c r="L3352">
        <v>2799.9045039733501</v>
      </c>
      <c r="M3352">
        <v>50.050309537620699</v>
      </c>
      <c r="N3352">
        <v>56.261975286327299</v>
      </c>
      <c r="O3352">
        <v>55.852697261586499</v>
      </c>
      <c r="P3352">
        <v>-0.19626501444855099</v>
      </c>
      <c r="Q3352">
        <v>0.12392757340922</v>
      </c>
      <c r="R3352">
        <v>0.95202964529536704</v>
      </c>
      <c r="S3352" t="s">
        <v>9968</v>
      </c>
      <c r="T3352" t="s">
        <v>13232</v>
      </c>
      <c r="U3352" t="s">
        <v>13232</v>
      </c>
      <c r="V3352" t="s">
        <v>13232</v>
      </c>
      <c r="W3352" t="s">
        <v>16526</v>
      </c>
      <c r="X3352">
        <v>9</v>
      </c>
      <c r="Y3352" t="s">
        <v>22966</v>
      </c>
      <c r="Z3352" t="s">
        <v>29483</v>
      </c>
      <c r="AA3352">
        <v>0.59162179861744879</v>
      </c>
      <c r="AB3352" t="str">
        <f>HYPERLINK("Melting_Curves/meltCurve_Q15286_RAB35.pdf", "Melting_Curves/meltCurve_Q15286_RAB35.pdf")</f>
        <v>Melting_Curves/meltCurve_Q15286_RAB35.pdf</v>
      </c>
    </row>
    <row r="3353" spans="1:28" x14ac:dyDescent="0.25">
      <c r="A3353" t="s">
        <v>3356</v>
      </c>
      <c r="B3353">
        <v>0.99930955844802105</v>
      </c>
      <c r="C3353">
        <v>0.908943881717303</v>
      </c>
      <c r="D3353">
        <v>0.98269181153952201</v>
      </c>
      <c r="E3353">
        <v>0.91811229822222196</v>
      </c>
      <c r="F3353">
        <v>0.99517598053940004</v>
      </c>
      <c r="G3353">
        <v>0.87334480824926097</v>
      </c>
      <c r="H3353">
        <v>0.66839155291590502</v>
      </c>
      <c r="I3353">
        <v>0.48721887799055502</v>
      </c>
      <c r="J3353">
        <v>0.25716128412372402</v>
      </c>
      <c r="K3353">
        <v>0.10219854420845</v>
      </c>
      <c r="L3353">
        <v>1218.3589160966501</v>
      </c>
      <c r="M3353">
        <v>19.231917744586301</v>
      </c>
      <c r="N3353">
        <v>63.350883330396201</v>
      </c>
      <c r="O3353">
        <v>62.677857406154899</v>
      </c>
      <c r="P3353">
        <v>-7.6712293011554106E-2</v>
      </c>
      <c r="Q3353">
        <v>0</v>
      </c>
      <c r="R3353">
        <v>0.98170470707359203</v>
      </c>
      <c r="S3353" t="s">
        <v>9969</v>
      </c>
      <c r="T3353" t="s">
        <v>13232</v>
      </c>
      <c r="U3353" t="s">
        <v>13232</v>
      </c>
      <c r="V3353" t="s">
        <v>13232</v>
      </c>
      <c r="W3353" t="s">
        <v>16527</v>
      </c>
      <c r="X3353">
        <v>19</v>
      </c>
      <c r="Y3353" t="s">
        <v>22967</v>
      </c>
      <c r="Z3353" t="s">
        <v>29484</v>
      </c>
      <c r="AA3353">
        <v>0.77496717020293793</v>
      </c>
      <c r="AB3353" t="str">
        <f>HYPERLINK("Melting_Curves/meltCurve_Q15291_RBBP5.pdf", "Melting_Curves/meltCurve_Q15291_RBBP5.pdf")</f>
        <v>Melting_Curves/meltCurve_Q15291_RBBP5.pdf</v>
      </c>
    </row>
    <row r="3354" spans="1:28" x14ac:dyDescent="0.25">
      <c r="A3354" t="s">
        <v>3357</v>
      </c>
      <c r="B3354">
        <v>0.99930955844802105</v>
      </c>
      <c r="C3354">
        <v>1.05520241699927</v>
      </c>
      <c r="D3354">
        <v>1.00133977852195</v>
      </c>
      <c r="E3354">
        <v>0.96408033225573497</v>
      </c>
      <c r="F3354">
        <v>0.83961112584994302</v>
      </c>
      <c r="G3354">
        <v>0.709292235901682</v>
      </c>
      <c r="H3354">
        <v>0.71788822571247202</v>
      </c>
      <c r="I3354">
        <v>0.745598270329348</v>
      </c>
      <c r="J3354">
        <v>0.776712594238679</v>
      </c>
      <c r="K3354">
        <v>0.63268444398919499</v>
      </c>
      <c r="L3354">
        <v>2205.19294361526</v>
      </c>
      <c r="M3354">
        <v>41.925495991587397</v>
      </c>
      <c r="O3354">
        <v>52.478656393793301</v>
      </c>
      <c r="P3354">
        <v>-5.7002686247837699E-2</v>
      </c>
      <c r="Q3354">
        <v>0.71459665410676698</v>
      </c>
      <c r="R3354">
        <v>0.92578246988942603</v>
      </c>
      <c r="S3354" t="s">
        <v>9970</v>
      </c>
      <c r="T3354" t="s">
        <v>13232</v>
      </c>
      <c r="U3354" t="s">
        <v>13232</v>
      </c>
      <c r="V3354" t="s">
        <v>13232</v>
      </c>
      <c r="W3354" t="s">
        <v>16528</v>
      </c>
      <c r="X3354">
        <v>16</v>
      </c>
      <c r="Y3354" t="s">
        <v>22968</v>
      </c>
      <c r="Z3354" t="s">
        <v>29485</v>
      </c>
      <c r="AA3354">
        <v>0.83538943857330206</v>
      </c>
      <c r="AB3354" t="str">
        <f>HYPERLINK("Melting_Curves/meltCurve_Q15293_RCN1.pdf", "Melting_Curves/meltCurve_Q15293_RCN1.pdf")</f>
        <v>Melting_Curves/meltCurve_Q15293_RCN1.pdf</v>
      </c>
    </row>
    <row r="3355" spans="1:28" x14ac:dyDescent="0.25">
      <c r="A3355" t="s">
        <v>3358</v>
      </c>
      <c r="B3355">
        <v>0.99930955844802105</v>
      </c>
      <c r="C3355">
        <v>1.04040516006405</v>
      </c>
      <c r="D3355">
        <v>0.71050377833034295</v>
      </c>
      <c r="E3355">
        <v>0.362113835929323</v>
      </c>
      <c r="F3355">
        <v>0.25168658805414701</v>
      </c>
      <c r="G3355">
        <v>0.19420427697989301</v>
      </c>
      <c r="H3355">
        <v>0.14387687604688701</v>
      </c>
      <c r="I3355">
        <v>0.13252230955133301</v>
      </c>
      <c r="J3355">
        <v>0.126738725426392</v>
      </c>
      <c r="K3355">
        <v>9.3240204416848105E-2</v>
      </c>
      <c r="L3355">
        <v>1104.0997469328299</v>
      </c>
      <c r="M3355">
        <v>23.0855532471363</v>
      </c>
      <c r="N3355">
        <v>48.492934151107697</v>
      </c>
      <c r="O3355">
        <v>47.471901993846899</v>
      </c>
      <c r="P3355">
        <v>-0.105049717847952</v>
      </c>
      <c r="Q3355">
        <v>0.13594136191589001</v>
      </c>
      <c r="R3355">
        <v>0.98708142364372098</v>
      </c>
      <c r="S3355" t="s">
        <v>9971</v>
      </c>
      <c r="T3355" t="s">
        <v>13232</v>
      </c>
      <c r="U3355" t="s">
        <v>13232</v>
      </c>
      <c r="V3355" t="s">
        <v>13232</v>
      </c>
      <c r="W3355" t="s">
        <v>16529</v>
      </c>
      <c r="X3355">
        <v>20</v>
      </c>
      <c r="Y3355" t="s">
        <v>22969</v>
      </c>
      <c r="Z3355" t="s">
        <v>29486</v>
      </c>
      <c r="AA3355">
        <v>0.37042111481439588</v>
      </c>
      <c r="AB3355" t="str">
        <f>HYPERLINK("Melting_Curves/meltCurve_Q15311_RALBP1.pdf", "Melting_Curves/meltCurve_Q15311_RALBP1.pdf")</f>
        <v>Melting_Curves/meltCurve_Q15311_RALBP1.pdf</v>
      </c>
    </row>
    <row r="3356" spans="1:28" x14ac:dyDescent="0.25">
      <c r="A3356" t="s">
        <v>3359</v>
      </c>
      <c r="B3356">
        <v>0.99930955844802105</v>
      </c>
      <c r="C3356">
        <v>0.96989822534681602</v>
      </c>
      <c r="D3356">
        <v>0.92219518788260701</v>
      </c>
      <c r="E3356">
        <v>0.78009491465259395</v>
      </c>
      <c r="F3356">
        <v>0.70608885711958502</v>
      </c>
      <c r="G3356">
        <v>0.467317652407161</v>
      </c>
      <c r="H3356">
        <v>0.29621387649154002</v>
      </c>
      <c r="I3356">
        <v>0.31387586774174803</v>
      </c>
      <c r="J3356">
        <v>0.241814771473296</v>
      </c>
      <c r="K3356">
        <v>0.18910693940069501</v>
      </c>
      <c r="L3356">
        <v>678.16855661619002</v>
      </c>
      <c r="M3356">
        <v>12.359964376872099</v>
      </c>
      <c r="N3356">
        <v>56.484988356970803</v>
      </c>
      <c r="O3356">
        <v>53.491234775925903</v>
      </c>
      <c r="P3356">
        <v>-4.9170268904811E-2</v>
      </c>
      <c r="Q3356">
        <v>0.148990096770938</v>
      </c>
      <c r="R3356">
        <v>0.99328926972888598</v>
      </c>
      <c r="S3356" t="s">
        <v>9972</v>
      </c>
      <c r="T3356" t="s">
        <v>13232</v>
      </c>
      <c r="U3356" t="s">
        <v>13232</v>
      </c>
      <c r="V3356" t="s">
        <v>13232</v>
      </c>
      <c r="W3356" t="s">
        <v>16530</v>
      </c>
      <c r="X3356">
        <v>2</v>
      </c>
      <c r="Y3356" t="s">
        <v>22970</v>
      </c>
      <c r="Z3356" t="s">
        <v>29487</v>
      </c>
      <c r="AA3356">
        <v>0.59058637609893971</v>
      </c>
      <c r="AB3356" t="str">
        <f>HYPERLINK("Melting_Curves/meltCurve_Q15323_KRT31.pdf", "Melting_Curves/meltCurve_Q15323_KRT31.pdf")</f>
        <v>Melting_Curves/meltCurve_Q15323_KRT31.pdf</v>
      </c>
    </row>
    <row r="3357" spans="1:28" x14ac:dyDescent="0.25">
      <c r="A3357" t="s">
        <v>3360</v>
      </c>
      <c r="B3357">
        <v>0.99930955844802105</v>
      </c>
      <c r="C3357">
        <v>1.0076407832152401</v>
      </c>
      <c r="D3357">
        <v>0.77199521746203104</v>
      </c>
      <c r="E3357">
        <v>0.56629116978743199</v>
      </c>
      <c r="F3357">
        <v>0.43831335563476398</v>
      </c>
      <c r="G3357">
        <v>0.33128868850246301</v>
      </c>
      <c r="H3357">
        <v>0.22110805525032701</v>
      </c>
      <c r="I3357">
        <v>0.20939530081286001</v>
      </c>
      <c r="J3357">
        <v>0.20719206310655</v>
      </c>
      <c r="K3357">
        <v>0.151501885957739</v>
      </c>
      <c r="L3357">
        <v>710.59262789978595</v>
      </c>
      <c r="M3357">
        <v>14.200769679046401</v>
      </c>
      <c r="N3357">
        <v>51.553835095704201</v>
      </c>
      <c r="O3357">
        <v>49.078089725893001</v>
      </c>
      <c r="P3357">
        <v>-6.0006093801263899E-2</v>
      </c>
      <c r="Q3357">
        <v>0.170575522958991</v>
      </c>
      <c r="R3357">
        <v>0.98799573126523599</v>
      </c>
      <c r="S3357" t="s">
        <v>9973</v>
      </c>
      <c r="T3357" t="s">
        <v>13232</v>
      </c>
      <c r="U3357" t="s">
        <v>13232</v>
      </c>
      <c r="V3357" t="s">
        <v>13232</v>
      </c>
      <c r="W3357" t="s">
        <v>16531</v>
      </c>
      <c r="X3357">
        <v>11</v>
      </c>
      <c r="Y3357" t="s">
        <v>22971</v>
      </c>
      <c r="Z3357" t="s">
        <v>29488</v>
      </c>
      <c r="AA3357">
        <v>0.46986186223980098</v>
      </c>
      <c r="AB3357" t="str">
        <f>HYPERLINK("Melting_Curves/meltCurve_Q15334_LLGL1.pdf", "Melting_Curves/meltCurve_Q15334_LLGL1.pdf")</f>
        <v>Melting_Curves/meltCurve_Q15334_LLGL1.pdf</v>
      </c>
    </row>
    <row r="3358" spans="1:28" x14ac:dyDescent="0.25">
      <c r="A3358" t="s">
        <v>3361</v>
      </c>
      <c r="B3358">
        <v>0.99930955844802105</v>
      </c>
      <c r="C3358">
        <v>0.89817737054111901</v>
      </c>
      <c r="D3358">
        <v>0.80137772470172897</v>
      </c>
      <c r="E3358">
        <v>0.59550624118408202</v>
      </c>
      <c r="F3358">
        <v>0.41476066181668098</v>
      </c>
      <c r="G3358">
        <v>0.33561414846656101</v>
      </c>
      <c r="H3358">
        <v>0.27105531614460199</v>
      </c>
      <c r="I3358">
        <v>0.328178503939767</v>
      </c>
      <c r="J3358">
        <v>0.29622364192247402</v>
      </c>
      <c r="K3358">
        <v>0.23611916512275399</v>
      </c>
      <c r="L3358">
        <v>753.89316463520095</v>
      </c>
      <c r="M3358">
        <v>15.4021707769129</v>
      </c>
      <c r="N3358">
        <v>51.443870486360098</v>
      </c>
      <c r="O3358">
        <v>48.144350939250103</v>
      </c>
      <c r="P3358">
        <v>-5.8932093196831799E-2</v>
      </c>
      <c r="Q3358">
        <v>0.26322366063756403</v>
      </c>
      <c r="R3358">
        <v>0.99098298914670602</v>
      </c>
      <c r="S3358" t="s">
        <v>9974</v>
      </c>
      <c r="T3358" t="s">
        <v>13232</v>
      </c>
      <c r="U3358" t="s">
        <v>13232</v>
      </c>
      <c r="V3358" t="s">
        <v>13232</v>
      </c>
      <c r="W3358" t="s">
        <v>16532</v>
      </c>
      <c r="X3358">
        <v>13</v>
      </c>
      <c r="Y3358" t="s">
        <v>22972</v>
      </c>
      <c r="Z3358" t="s">
        <v>29489</v>
      </c>
      <c r="AA3358">
        <v>0.5002882126677215</v>
      </c>
      <c r="AB3358" t="str">
        <f>HYPERLINK("Melting_Curves/meltCurve_Q15345_LRRC41.pdf", "Melting_Curves/meltCurve_Q15345_LRRC41.pdf")</f>
        <v>Melting_Curves/meltCurve_Q15345_LRRC41.pdf</v>
      </c>
    </row>
    <row r="3359" spans="1:28" x14ac:dyDescent="0.25">
      <c r="A3359" t="s">
        <v>3362</v>
      </c>
      <c r="B3359">
        <v>0.99930955844802105</v>
      </c>
      <c r="C3359">
        <v>1.23774631575575</v>
      </c>
      <c r="D3359">
        <v>1.30351818046393</v>
      </c>
      <c r="E3359">
        <v>0.97862212636077495</v>
      </c>
      <c r="F3359">
        <v>0.59215383094562402</v>
      </c>
      <c r="G3359">
        <v>0.52000761195924905</v>
      </c>
      <c r="H3359">
        <v>0.45257242887590199</v>
      </c>
      <c r="I3359">
        <v>0.44923061563531103</v>
      </c>
      <c r="J3359">
        <v>0.48002018603214802</v>
      </c>
      <c r="K3359">
        <v>0.38110290237872602</v>
      </c>
      <c r="L3359">
        <v>3654.24882145228</v>
      </c>
      <c r="M3359">
        <v>70.028745851828901</v>
      </c>
      <c r="N3359">
        <v>54.058893589888598</v>
      </c>
      <c r="O3359">
        <v>52.139626239568301</v>
      </c>
      <c r="P3359">
        <v>-0.18265026286800901</v>
      </c>
      <c r="Q3359">
        <v>0.45603404857367402</v>
      </c>
      <c r="R3359">
        <v>0.85859190190264401</v>
      </c>
      <c r="S3359" t="s">
        <v>9975</v>
      </c>
      <c r="T3359" t="s">
        <v>13232</v>
      </c>
      <c r="U3359" t="s">
        <v>13232</v>
      </c>
      <c r="V3359" t="s">
        <v>13232</v>
      </c>
      <c r="W3359" t="s">
        <v>16533</v>
      </c>
      <c r="X3359">
        <v>3</v>
      </c>
      <c r="Y3359" t="s">
        <v>22973</v>
      </c>
      <c r="Z3359" t="s">
        <v>29490</v>
      </c>
      <c r="AA3359">
        <v>0.67755931184045248</v>
      </c>
      <c r="AB3359" t="str">
        <f>HYPERLINK("Melting_Curves/meltCurve_Q15361_TTF1.pdf", "Melting_Curves/meltCurve_Q15361_TTF1.pdf")</f>
        <v>Melting_Curves/meltCurve_Q15361_TTF1.pdf</v>
      </c>
    </row>
    <row r="3360" spans="1:28" x14ac:dyDescent="0.25">
      <c r="A3360" t="s">
        <v>3363</v>
      </c>
      <c r="B3360">
        <v>0.99930955844802105</v>
      </c>
      <c r="C3360">
        <v>0.75226297000506004</v>
      </c>
      <c r="D3360">
        <v>0.65481860451892004</v>
      </c>
      <c r="E3360">
        <v>0.733724254089274</v>
      </c>
      <c r="F3360">
        <v>0.41832277840320498</v>
      </c>
      <c r="G3360">
        <v>0.28088138850279998</v>
      </c>
      <c r="H3360">
        <v>0.22052538774782601</v>
      </c>
      <c r="I3360">
        <v>0.24021758655341799</v>
      </c>
      <c r="J3360">
        <v>0.220904176434017</v>
      </c>
      <c r="K3360">
        <v>0.147810811496047</v>
      </c>
      <c r="L3360">
        <v>429.857347686065</v>
      </c>
      <c r="M3360">
        <v>8.4711850666803308</v>
      </c>
      <c r="N3360">
        <v>51.782742161868597</v>
      </c>
      <c r="O3360">
        <v>48.152523650703401</v>
      </c>
      <c r="P3360">
        <v>-4.0579836280153297E-2</v>
      </c>
      <c r="Q3360">
        <v>7.81739248497689E-2</v>
      </c>
      <c r="R3360">
        <v>0.92842143118550302</v>
      </c>
      <c r="S3360" t="s">
        <v>9976</v>
      </c>
      <c r="T3360" t="s">
        <v>13232</v>
      </c>
      <c r="U3360" t="s">
        <v>13232</v>
      </c>
      <c r="V3360" t="s">
        <v>13232</v>
      </c>
      <c r="W3360" t="s">
        <v>16534</v>
      </c>
      <c r="X3360">
        <v>3</v>
      </c>
      <c r="Y3360" t="s">
        <v>22974</v>
      </c>
      <c r="Z3360" t="s">
        <v>29491</v>
      </c>
      <c r="AA3360">
        <v>0.45598041191628402</v>
      </c>
      <c r="AB3360" t="str">
        <f>HYPERLINK("Melting_Curves/meltCurve_Q15363_TMED2.pdf", "Melting_Curves/meltCurve_Q15363_TMED2.pdf")</f>
        <v>Melting_Curves/meltCurve_Q15363_TMED2.pdf</v>
      </c>
    </row>
    <row r="3361" spans="1:28" x14ac:dyDescent="0.25">
      <c r="A3361" t="s">
        <v>3364</v>
      </c>
      <c r="B3361">
        <v>0.99930955844802105</v>
      </c>
      <c r="C3361">
        <v>1.0302028604162199</v>
      </c>
      <c r="D3361">
        <v>1.04962242092499</v>
      </c>
      <c r="E3361">
        <v>0.96841577789006095</v>
      </c>
      <c r="F3361">
        <v>0.74835305089686099</v>
      </c>
      <c r="G3361">
        <v>0.58234744764617197</v>
      </c>
      <c r="H3361">
        <v>0.43702349997476497</v>
      </c>
      <c r="I3361">
        <v>0.32904028917358003</v>
      </c>
      <c r="J3361">
        <v>0.226322682505776</v>
      </c>
      <c r="K3361">
        <v>0.11986032431772201</v>
      </c>
      <c r="L3361">
        <v>746.18769816772203</v>
      </c>
      <c r="M3361">
        <v>12.6965043433967</v>
      </c>
      <c r="N3361">
        <v>59.227394165080099</v>
      </c>
      <c r="O3361">
        <v>57.370343138886298</v>
      </c>
      <c r="P3361">
        <v>-5.2759441219562497E-2</v>
      </c>
      <c r="Q3361">
        <v>4.6590457650268001E-2</v>
      </c>
      <c r="R3361">
        <v>0.98340735837020898</v>
      </c>
      <c r="S3361" t="s">
        <v>9977</v>
      </c>
      <c r="T3361" t="s">
        <v>13232</v>
      </c>
      <c r="U3361" t="s">
        <v>13232</v>
      </c>
      <c r="V3361" t="s">
        <v>13232</v>
      </c>
      <c r="W3361" t="s">
        <v>16535</v>
      </c>
      <c r="X3361">
        <v>19</v>
      </c>
      <c r="Y3361" t="s">
        <v>22975</v>
      </c>
      <c r="Z3361" t="s">
        <v>29492</v>
      </c>
      <c r="AA3361">
        <v>0.65258417517913081</v>
      </c>
      <c r="AB3361" t="str">
        <f>HYPERLINK("Melting_Curves/meltCurve_Q15365_PCBP1.pdf", "Melting_Curves/meltCurve_Q15365_PCBP1.pdf")</f>
        <v>Melting_Curves/meltCurve_Q15365_PCBP1.pdf</v>
      </c>
    </row>
    <row r="3362" spans="1:28" x14ac:dyDescent="0.25">
      <c r="A3362" t="s">
        <v>3365</v>
      </c>
      <c r="B3362">
        <v>0.99930955844802105</v>
      </c>
      <c r="C3362">
        <v>0.81620825541930397</v>
      </c>
      <c r="D3362">
        <v>1.11383100431774</v>
      </c>
      <c r="E3362">
        <v>0.906759717724683</v>
      </c>
      <c r="F3362">
        <v>0.60642406340195198</v>
      </c>
      <c r="G3362">
        <v>0.333978906595435</v>
      </c>
      <c r="H3362">
        <v>0.16812039753570401</v>
      </c>
      <c r="I3362">
        <v>0.11917949946558801</v>
      </c>
      <c r="J3362">
        <v>8.7488945619935699E-2</v>
      </c>
      <c r="K3362">
        <v>5.18517485231859E-2</v>
      </c>
      <c r="L3362">
        <v>1191.1656124180699</v>
      </c>
      <c r="M3362">
        <v>21.962406337543499</v>
      </c>
      <c r="N3362">
        <v>54.645513928351797</v>
      </c>
      <c r="O3362">
        <v>53.792921018683899</v>
      </c>
      <c r="P3362">
        <v>-9.4336559386051094E-2</v>
      </c>
      <c r="Q3362">
        <v>7.5779822142921394E-2</v>
      </c>
      <c r="R3362">
        <v>0.96448013475505101</v>
      </c>
      <c r="S3362" t="s">
        <v>9978</v>
      </c>
      <c r="T3362" t="s">
        <v>13232</v>
      </c>
      <c r="U3362" t="s">
        <v>13232</v>
      </c>
      <c r="V3362" t="s">
        <v>13232</v>
      </c>
      <c r="W3362" t="s">
        <v>16536</v>
      </c>
      <c r="X3362">
        <v>20</v>
      </c>
      <c r="Y3362" t="s">
        <v>22976</v>
      </c>
      <c r="Z3362" t="s">
        <v>29493</v>
      </c>
      <c r="AA3362">
        <v>0.52510416560652162</v>
      </c>
      <c r="AB3362" t="str">
        <f>HYPERLINK("Melting_Curves/meltCurve_Q15366_2_PCBP2.pdf", "Melting_Curves/meltCurve_Q15366_2_PCBP2.pdf")</f>
        <v>Melting_Curves/meltCurve_Q15366_2_PCBP2.pdf</v>
      </c>
    </row>
    <row r="3363" spans="1:28" x14ac:dyDescent="0.25">
      <c r="A3363" t="s">
        <v>3366</v>
      </c>
      <c r="B3363">
        <v>0.99930955844802105</v>
      </c>
      <c r="C3363">
        <v>1.09250421887233</v>
      </c>
      <c r="D3363">
        <v>1.11206130693455</v>
      </c>
      <c r="E3363">
        <v>0.93729468620589196</v>
      </c>
      <c r="F3363">
        <v>0.63135673459621</v>
      </c>
      <c r="G3363">
        <v>0.32331193032931499</v>
      </c>
      <c r="H3363">
        <v>0.10315652871770301</v>
      </c>
      <c r="I3363">
        <v>6.4303712133396695E-2</v>
      </c>
      <c r="J3363">
        <v>4.6081320943441403E-2</v>
      </c>
      <c r="K3363">
        <v>3.6325736204492198E-2</v>
      </c>
      <c r="L3363">
        <v>1319.6162551388099</v>
      </c>
      <c r="M3363">
        <v>24.200204502154801</v>
      </c>
      <c r="N3363">
        <v>54.711742764512401</v>
      </c>
      <c r="O3363">
        <v>54.160886619489801</v>
      </c>
      <c r="P3363">
        <v>-0.107372943021533</v>
      </c>
      <c r="Q3363">
        <v>3.87974148201196E-2</v>
      </c>
      <c r="R3363">
        <v>0.98540230155022601</v>
      </c>
      <c r="S3363" t="s">
        <v>9979</v>
      </c>
      <c r="T3363" t="s">
        <v>13232</v>
      </c>
      <c r="U3363" t="s">
        <v>13232</v>
      </c>
      <c r="V3363" t="s">
        <v>13232</v>
      </c>
      <c r="W3363" t="s">
        <v>16537</v>
      </c>
      <c r="X3363">
        <v>20</v>
      </c>
      <c r="Y3363" t="s">
        <v>22976</v>
      </c>
      <c r="Z3363" t="s">
        <v>29494</v>
      </c>
      <c r="AA3363">
        <v>0.51374077651901884</v>
      </c>
      <c r="AB3363" t="str">
        <f>HYPERLINK("Melting_Curves/meltCurve_Q15366_3_PCBP2.pdf", "Melting_Curves/meltCurve_Q15366_3_PCBP2.pdf")</f>
        <v>Melting_Curves/meltCurve_Q15366_3_PCBP2.pdf</v>
      </c>
    </row>
    <row r="3364" spans="1:28" x14ac:dyDescent="0.25">
      <c r="A3364" t="s">
        <v>3367</v>
      </c>
      <c r="B3364">
        <v>0.99930955844802105</v>
      </c>
      <c r="C3364">
        <v>1.1806691735739501</v>
      </c>
      <c r="D3364">
        <v>1.08585934698169</v>
      </c>
      <c r="E3364">
        <v>0.72468540552740401</v>
      </c>
      <c r="F3364">
        <v>0.30378459266432201</v>
      </c>
      <c r="G3364">
        <v>0.16385013267800499</v>
      </c>
      <c r="H3364">
        <v>7.6068199487272406E-2</v>
      </c>
      <c r="I3364">
        <v>5.8098217762060402E-2</v>
      </c>
      <c r="J3364">
        <v>5.36786297788742E-2</v>
      </c>
      <c r="K3364">
        <v>4.0014521084195197E-2</v>
      </c>
      <c r="L3364">
        <v>1770.9661730442399</v>
      </c>
      <c r="M3364">
        <v>34.475313419098597</v>
      </c>
      <c r="N3364">
        <v>51.5937135834793</v>
      </c>
      <c r="O3364">
        <v>51.197193179517299</v>
      </c>
      <c r="P3364">
        <v>-0.156615775823333</v>
      </c>
      <c r="Q3364">
        <v>6.9681192049367999E-2</v>
      </c>
      <c r="R3364">
        <v>0.97583136067418497</v>
      </c>
      <c r="S3364" t="s">
        <v>9980</v>
      </c>
      <c r="T3364" t="s">
        <v>13232</v>
      </c>
      <c r="U3364" t="s">
        <v>13232</v>
      </c>
      <c r="V3364" t="s">
        <v>13232</v>
      </c>
      <c r="W3364" t="s">
        <v>16538</v>
      </c>
      <c r="X3364">
        <v>12</v>
      </c>
      <c r="Y3364" t="s">
        <v>22977</v>
      </c>
      <c r="Z3364" t="s">
        <v>29495</v>
      </c>
      <c r="AA3364">
        <v>0.42669825974648268</v>
      </c>
      <c r="AB3364" t="str">
        <f>HYPERLINK("Melting_Curves/meltCurve_Q15382_RHEB.pdf", "Melting_Curves/meltCurve_Q15382_RHEB.pdf")</f>
        <v>Melting_Curves/meltCurve_Q15382_RHEB.pdf</v>
      </c>
    </row>
    <row r="3365" spans="1:28" x14ac:dyDescent="0.25">
      <c r="A3365" t="s">
        <v>3368</v>
      </c>
      <c r="B3365">
        <v>0.99930955844802105</v>
      </c>
      <c r="C3365">
        <v>0.96891197946058905</v>
      </c>
      <c r="D3365">
        <v>0.93220438673679396</v>
      </c>
      <c r="E3365">
        <v>0.80065038026979096</v>
      </c>
      <c r="F3365">
        <v>0.23142574708868599</v>
      </c>
      <c r="G3365">
        <v>0.14615218068487201</v>
      </c>
      <c r="H3365">
        <v>9.2243391208125303E-2</v>
      </c>
      <c r="I3365">
        <v>8.79620179503562E-2</v>
      </c>
      <c r="J3365">
        <v>7.9915684081574304E-2</v>
      </c>
      <c r="K3365">
        <v>5.6472944660060601E-2</v>
      </c>
      <c r="L3365">
        <v>2528.6225612764702</v>
      </c>
      <c r="M3365">
        <v>49.337363340515303</v>
      </c>
      <c r="N3365">
        <v>51.458725617806898</v>
      </c>
      <c r="O3365">
        <v>51.167685766327999</v>
      </c>
      <c r="P3365">
        <v>-0.219356253245586</v>
      </c>
      <c r="Q3365">
        <v>9.0025002285991501E-2</v>
      </c>
      <c r="R3365">
        <v>0.99446245594418403</v>
      </c>
      <c r="S3365" t="s">
        <v>9981</v>
      </c>
      <c r="T3365" t="s">
        <v>13232</v>
      </c>
      <c r="U3365" t="s">
        <v>13232</v>
      </c>
      <c r="V3365" t="s">
        <v>13232</v>
      </c>
      <c r="W3365" t="s">
        <v>16539</v>
      </c>
      <c r="X3365">
        <v>30</v>
      </c>
      <c r="Y3365" t="s">
        <v>22978</v>
      </c>
      <c r="Z3365" t="s">
        <v>29496</v>
      </c>
      <c r="AA3365">
        <v>0.43342953265048928</v>
      </c>
      <c r="AB3365" t="str">
        <f>HYPERLINK("Melting_Curves/meltCurve_Q15386_UBE3C.pdf", "Melting_Curves/meltCurve_Q15386_UBE3C.pdf")</f>
        <v>Melting_Curves/meltCurve_Q15386_UBE3C.pdf</v>
      </c>
    </row>
    <row r="3366" spans="1:28" x14ac:dyDescent="0.25">
      <c r="A3366" t="s">
        <v>3369</v>
      </c>
      <c r="B3366">
        <v>0.99930955844802105</v>
      </c>
      <c r="C3366">
        <v>0.63771348316056997</v>
      </c>
      <c r="D3366">
        <v>0.67699780368710205</v>
      </c>
      <c r="E3366">
        <v>0.78044810577567203</v>
      </c>
      <c r="F3366">
        <v>0.72140135446508102</v>
      </c>
      <c r="G3366">
        <v>0.31037255152800802</v>
      </c>
      <c r="H3366">
        <v>0.113742894437372</v>
      </c>
      <c r="I3366">
        <v>8.0006753857283605E-2</v>
      </c>
      <c r="J3366">
        <v>6.2924197022614203E-2</v>
      </c>
      <c r="K3366">
        <v>4.6773011509356699E-2</v>
      </c>
      <c r="L3366">
        <v>529.54725027402196</v>
      </c>
      <c r="M3366">
        <v>9.9648916248694004</v>
      </c>
      <c r="N3366">
        <v>53.141294221358798</v>
      </c>
      <c r="O3366">
        <v>51.134083324744303</v>
      </c>
      <c r="P3366">
        <v>-4.8743433109105602E-2</v>
      </c>
      <c r="Q3366">
        <v>0</v>
      </c>
      <c r="R3366">
        <v>0.84065321017989703</v>
      </c>
      <c r="S3366" t="s">
        <v>9982</v>
      </c>
      <c r="T3366" t="s">
        <v>13232</v>
      </c>
      <c r="U3366" t="s">
        <v>13232</v>
      </c>
      <c r="V3366" t="s">
        <v>13232</v>
      </c>
      <c r="W3366" t="s">
        <v>16540</v>
      </c>
      <c r="X3366">
        <v>46</v>
      </c>
      <c r="Y3366" t="s">
        <v>22979</v>
      </c>
      <c r="Z3366" t="s">
        <v>29497</v>
      </c>
      <c r="AA3366">
        <v>0.47180785805019959</v>
      </c>
      <c r="AB3366" t="str">
        <f>HYPERLINK("Melting_Curves/meltCurve_Q15393_SF3B3.pdf", "Melting_Curves/meltCurve_Q15393_SF3B3.pdf")</f>
        <v>Melting_Curves/meltCurve_Q15393_SF3B3.pdf</v>
      </c>
    </row>
    <row r="3367" spans="1:28" x14ac:dyDescent="0.25">
      <c r="A3367" t="s">
        <v>3370</v>
      </c>
      <c r="B3367">
        <v>0.99930955844802105</v>
      </c>
      <c r="C3367">
        <v>0.95590650948975198</v>
      </c>
      <c r="D3367">
        <v>0.88785121092971897</v>
      </c>
      <c r="E3367">
        <v>0.80543238661995897</v>
      </c>
      <c r="F3367">
        <v>0.67263996049861596</v>
      </c>
      <c r="G3367">
        <v>0.56281752893426495</v>
      </c>
      <c r="H3367">
        <v>0.51870241021174601</v>
      </c>
      <c r="I3367">
        <v>0.56610045479859095</v>
      </c>
      <c r="J3367">
        <v>0.533703658420145</v>
      </c>
      <c r="K3367">
        <v>0.43072755475973401</v>
      </c>
      <c r="L3367">
        <v>663.05147873608803</v>
      </c>
      <c r="M3367">
        <v>12.9341657551634</v>
      </c>
      <c r="N3367">
        <v>66.364400122508698</v>
      </c>
      <c r="O3367">
        <v>50.084532990991598</v>
      </c>
      <c r="P3367">
        <v>-3.39882301701332E-2</v>
      </c>
      <c r="Q3367">
        <v>0.473648730352971</v>
      </c>
      <c r="R3367">
        <v>0.97384144363516201</v>
      </c>
      <c r="S3367" t="s">
        <v>9983</v>
      </c>
      <c r="T3367" t="s">
        <v>13232</v>
      </c>
      <c r="U3367" t="s">
        <v>13232</v>
      </c>
      <c r="V3367" t="s">
        <v>13232</v>
      </c>
      <c r="W3367" t="s">
        <v>16541</v>
      </c>
      <c r="X3367">
        <v>24</v>
      </c>
      <c r="Y3367" t="s">
        <v>22980</v>
      </c>
      <c r="Z3367" t="s">
        <v>29498</v>
      </c>
      <c r="AA3367">
        <v>0.68643821164202212</v>
      </c>
      <c r="AB3367" t="str">
        <f>HYPERLINK("Melting_Curves/meltCurve_Q15398_DLGAP5.pdf", "Melting_Curves/meltCurve_Q15398_DLGAP5.pdf")</f>
        <v>Melting_Curves/meltCurve_Q15398_DLGAP5.pdf</v>
      </c>
    </row>
    <row r="3368" spans="1:28" x14ac:dyDescent="0.25">
      <c r="A3368" t="s">
        <v>3371</v>
      </c>
      <c r="B3368">
        <v>0.99930955844802105</v>
      </c>
      <c r="C3368">
        <v>1.0493353058824899</v>
      </c>
      <c r="D3368">
        <v>0.99172091860599798</v>
      </c>
      <c r="E3368">
        <v>0.85237831258684604</v>
      </c>
      <c r="F3368">
        <v>0.503218724204756</v>
      </c>
      <c r="G3368">
        <v>0.25953393001251901</v>
      </c>
      <c r="H3368">
        <v>0.16406967523246099</v>
      </c>
      <c r="I3368">
        <v>0.13267358964016501</v>
      </c>
      <c r="J3368">
        <v>0.11604971382422601</v>
      </c>
      <c r="K3368">
        <v>8.4862305379970596E-2</v>
      </c>
      <c r="L3368">
        <v>1354.5975165254699</v>
      </c>
      <c r="M3368">
        <v>25.6669628045968</v>
      </c>
      <c r="N3368">
        <v>53.329561202291302</v>
      </c>
      <c r="O3368">
        <v>52.458675965663602</v>
      </c>
      <c r="P3368">
        <v>-0.108015214243006</v>
      </c>
      <c r="Q3368">
        <v>0.11695555170454</v>
      </c>
      <c r="R3368">
        <v>0.99563421451143397</v>
      </c>
      <c r="S3368" t="s">
        <v>9984</v>
      </c>
      <c r="T3368" t="s">
        <v>13232</v>
      </c>
      <c r="U3368" t="s">
        <v>13232</v>
      </c>
      <c r="V3368" t="s">
        <v>13232</v>
      </c>
      <c r="W3368" t="s">
        <v>16542</v>
      </c>
      <c r="X3368">
        <v>13</v>
      </c>
      <c r="Y3368" t="s">
        <v>22981</v>
      </c>
      <c r="Z3368" t="s">
        <v>29499</v>
      </c>
      <c r="AA3368">
        <v>0.5007339723199753</v>
      </c>
      <c r="AB3368" t="str">
        <f>HYPERLINK("Melting_Curves/meltCurve_Q15404_RSU1.pdf", "Melting_Curves/meltCurve_Q15404_RSU1.pdf")</f>
        <v>Melting_Curves/meltCurve_Q15404_RSU1.pdf</v>
      </c>
    </row>
    <row r="3369" spans="1:28" x14ac:dyDescent="0.25">
      <c r="A3369" t="s">
        <v>3372</v>
      </c>
      <c r="B3369">
        <v>0.99930955844802105</v>
      </c>
      <c r="C3369">
        <v>1.12280803383655</v>
      </c>
      <c r="D3369">
        <v>1.13443635619301</v>
      </c>
      <c r="E3369">
        <v>1.1255632447844599</v>
      </c>
      <c r="F3369">
        <v>1.0576224788279001</v>
      </c>
      <c r="G3369">
        <v>0.94312171074977302</v>
      </c>
      <c r="H3369">
        <v>0.94565055435522005</v>
      </c>
      <c r="I3369">
        <v>0.99163335994005997</v>
      </c>
      <c r="J3369">
        <v>0.98338295303696399</v>
      </c>
      <c r="K3369">
        <v>0.83967749743805697</v>
      </c>
      <c r="L3369">
        <v>3593.1503925637498</v>
      </c>
      <c r="M3369">
        <v>49.673558515818797</v>
      </c>
      <c r="Q3369">
        <v>0</v>
      </c>
      <c r="R3369">
        <v>0.290650848179064</v>
      </c>
      <c r="S3369" t="s">
        <v>9985</v>
      </c>
      <c r="T3369" t="s">
        <v>13232</v>
      </c>
      <c r="U3369" t="s">
        <v>13232</v>
      </c>
      <c r="V3369" t="s">
        <v>13232</v>
      </c>
      <c r="W3369" t="s">
        <v>16543</v>
      </c>
      <c r="X3369">
        <v>21</v>
      </c>
      <c r="Y3369" t="s">
        <v>22982</v>
      </c>
      <c r="Z3369" t="s">
        <v>29500</v>
      </c>
      <c r="AA3369">
        <v>0.99237162984298921</v>
      </c>
      <c r="AB3369" t="str">
        <f>HYPERLINK("Melting_Curves/meltCurve_Q15424_SAFB.pdf", "Melting_Curves/meltCurve_Q15424_SAFB.pdf")</f>
        <v>Melting_Curves/meltCurve_Q15424_SAFB.pdf</v>
      </c>
    </row>
    <row r="3370" spans="1:28" x14ac:dyDescent="0.25">
      <c r="A3370" t="s">
        <v>3373</v>
      </c>
      <c r="B3370">
        <v>0.99930955844802105</v>
      </c>
      <c r="C3370">
        <v>0.88291289069948498</v>
      </c>
      <c r="D3370">
        <v>0.94237232361210399</v>
      </c>
      <c r="E3370">
        <v>1.2038002805705199</v>
      </c>
      <c r="F3370">
        <v>1.04629993438241</v>
      </c>
      <c r="G3370">
        <v>0.56845879260766496</v>
      </c>
      <c r="H3370">
        <v>0.38312030521860502</v>
      </c>
      <c r="I3370">
        <v>0.29609669352761597</v>
      </c>
      <c r="J3370">
        <v>0.241563832625006</v>
      </c>
      <c r="K3370">
        <v>0.185720130899549</v>
      </c>
      <c r="L3370">
        <v>2822.8876557093399</v>
      </c>
      <c r="M3370">
        <v>49.772083185563702</v>
      </c>
      <c r="N3370">
        <v>57.602583881633798</v>
      </c>
      <c r="O3370">
        <v>56.624932924442298</v>
      </c>
      <c r="P3370">
        <v>-0.16095798760827101</v>
      </c>
      <c r="Q3370">
        <v>0.26752269192651001</v>
      </c>
      <c r="R3370">
        <v>0.93801255885830204</v>
      </c>
      <c r="S3370" t="s">
        <v>9986</v>
      </c>
      <c r="T3370" t="s">
        <v>13232</v>
      </c>
      <c r="U3370" t="s">
        <v>13232</v>
      </c>
      <c r="V3370" t="s">
        <v>13232</v>
      </c>
      <c r="W3370" t="s">
        <v>16544</v>
      </c>
      <c r="X3370">
        <v>3</v>
      </c>
      <c r="Y3370" t="s">
        <v>22983</v>
      </c>
      <c r="Z3370" t="s">
        <v>29501</v>
      </c>
      <c r="AA3370">
        <v>0.67751189028268299</v>
      </c>
      <c r="AB3370" t="str">
        <f>HYPERLINK("Melting_Curves/meltCurve_Q15427_SF3B4.pdf", "Melting_Curves/meltCurve_Q15427_SF3B4.pdf")</f>
        <v>Melting_Curves/meltCurve_Q15427_SF3B4.pdf</v>
      </c>
    </row>
    <row r="3371" spans="1:28" x14ac:dyDescent="0.25">
      <c r="A3371" t="s">
        <v>3374</v>
      </c>
      <c r="B3371">
        <v>0.99930955844802105</v>
      </c>
      <c r="C3371">
        <v>0.91456749678389104</v>
      </c>
      <c r="D3371">
        <v>0.55935748847724398</v>
      </c>
      <c r="E3371">
        <v>0.53944385485951396</v>
      </c>
      <c r="F3371">
        <v>0.34578338787547802</v>
      </c>
      <c r="G3371">
        <v>0.239970405933214</v>
      </c>
      <c r="H3371">
        <v>0.154784463800788</v>
      </c>
      <c r="I3371">
        <v>0.14824835197195901</v>
      </c>
      <c r="J3371">
        <v>0.13562257842435799</v>
      </c>
      <c r="K3371">
        <v>9.6932592066898304E-2</v>
      </c>
      <c r="L3371">
        <v>575.66286502919104</v>
      </c>
      <c r="M3371">
        <v>11.828198492948999</v>
      </c>
      <c r="N3371">
        <v>49.526320450834397</v>
      </c>
      <c r="O3371">
        <v>47.340085772129001</v>
      </c>
      <c r="P3371">
        <v>-5.6693909504782598E-2</v>
      </c>
      <c r="Q3371">
        <v>9.2605503453062399E-2</v>
      </c>
      <c r="R3371">
        <v>0.96697986204688002</v>
      </c>
      <c r="S3371" t="s">
        <v>9987</v>
      </c>
      <c r="T3371" t="s">
        <v>13232</v>
      </c>
      <c r="U3371" t="s">
        <v>13232</v>
      </c>
      <c r="V3371" t="s">
        <v>13232</v>
      </c>
      <c r="W3371" t="s">
        <v>16545</v>
      </c>
      <c r="X3371">
        <v>10</v>
      </c>
      <c r="Y3371" t="s">
        <v>22984</v>
      </c>
      <c r="Z3371" t="s">
        <v>29502</v>
      </c>
      <c r="AA3371">
        <v>0.38966734900255873</v>
      </c>
      <c r="AB3371" t="str">
        <f>HYPERLINK("Melting_Curves/meltCurve_Q15428_SF3A2.pdf", "Melting_Curves/meltCurve_Q15428_SF3A2.pdf")</f>
        <v>Melting_Curves/meltCurve_Q15428_SF3A2.pdf</v>
      </c>
    </row>
    <row r="3372" spans="1:28" x14ac:dyDescent="0.25">
      <c r="A3372" t="s">
        <v>3375</v>
      </c>
      <c r="B3372">
        <v>0.99930955844802105</v>
      </c>
      <c r="C3372">
        <v>0.97947273296148396</v>
      </c>
      <c r="D3372">
        <v>0.57516699210530897</v>
      </c>
      <c r="E3372">
        <v>0.73325567109747403</v>
      </c>
      <c r="F3372">
        <v>0.32031317182314001</v>
      </c>
      <c r="G3372">
        <v>0.16976698624610201</v>
      </c>
      <c r="H3372">
        <v>9.95867551289564E-2</v>
      </c>
      <c r="I3372">
        <v>7.7964377764656104E-2</v>
      </c>
      <c r="J3372">
        <v>6.6198435457685001E-2</v>
      </c>
      <c r="K3372">
        <v>5.0230287253576901E-2</v>
      </c>
      <c r="L3372">
        <v>611.14362316224799</v>
      </c>
      <c r="M3372">
        <v>12.041522845392301</v>
      </c>
      <c r="N3372">
        <v>50.753017615331103</v>
      </c>
      <c r="O3372">
        <v>49.414065374307</v>
      </c>
      <c r="P3372">
        <v>-6.0936027953767097E-2</v>
      </c>
      <c r="Q3372">
        <v>0</v>
      </c>
      <c r="R3372">
        <v>0.93285961721575705</v>
      </c>
      <c r="S3372" t="s">
        <v>9988</v>
      </c>
      <c r="T3372" t="s">
        <v>13232</v>
      </c>
      <c r="U3372" t="s">
        <v>13232</v>
      </c>
      <c r="V3372" t="s">
        <v>13232</v>
      </c>
      <c r="W3372" t="s">
        <v>16546</v>
      </c>
      <c r="X3372">
        <v>21</v>
      </c>
      <c r="Y3372" t="s">
        <v>22985</v>
      </c>
      <c r="Z3372" t="s">
        <v>29503</v>
      </c>
      <c r="AA3372">
        <v>0.39137184709592632</v>
      </c>
      <c r="AB3372" t="str">
        <f>HYPERLINK("Melting_Curves/meltCurve_Q15435_PPP1R7.pdf", "Melting_Curves/meltCurve_Q15435_PPP1R7.pdf")</f>
        <v>Melting_Curves/meltCurve_Q15435_PPP1R7.pdf</v>
      </c>
    </row>
    <row r="3373" spans="1:28" x14ac:dyDescent="0.25">
      <c r="A3373" t="s">
        <v>3376</v>
      </c>
      <c r="B3373">
        <v>0.99930955844802105</v>
      </c>
      <c r="C3373">
        <v>0.92507010044056703</v>
      </c>
      <c r="D3373">
        <v>0.91673300294542404</v>
      </c>
      <c r="E3373">
        <v>0.77968691663020695</v>
      </c>
      <c r="F3373">
        <v>0.48543086649572498</v>
      </c>
      <c r="G3373">
        <v>0.33358980080380701</v>
      </c>
      <c r="H3373">
        <v>0.112435057391421</v>
      </c>
      <c r="I3373">
        <v>9.3112762653416101E-2</v>
      </c>
      <c r="J3373">
        <v>7.7164989341936205E-2</v>
      </c>
      <c r="K3373">
        <v>6.0983996000165401E-2</v>
      </c>
      <c r="L3373">
        <v>817.88571459675904</v>
      </c>
      <c r="M3373">
        <v>15.358329106250499</v>
      </c>
      <c r="N3373">
        <v>53.459743103065897</v>
      </c>
      <c r="O3373">
        <v>52.3752352090358</v>
      </c>
      <c r="P3373">
        <v>-7.1207723058527503E-2</v>
      </c>
      <c r="Q3373">
        <v>2.8754711358504201E-2</v>
      </c>
      <c r="R3373">
        <v>0.99268100220548205</v>
      </c>
      <c r="S3373" t="s">
        <v>9989</v>
      </c>
      <c r="T3373" t="s">
        <v>13232</v>
      </c>
      <c r="U3373" t="s">
        <v>13232</v>
      </c>
      <c r="V3373" t="s">
        <v>13232</v>
      </c>
      <c r="W3373" t="s">
        <v>16547</v>
      </c>
      <c r="X3373">
        <v>32</v>
      </c>
      <c r="Y3373" t="s">
        <v>22986</v>
      </c>
      <c r="Z3373" t="s">
        <v>29504</v>
      </c>
      <c r="AA3373">
        <v>0.47785003303721368</v>
      </c>
      <c r="AB3373" t="str">
        <f>HYPERLINK("Melting_Curves/meltCurve_Q15437_SEC23B.pdf", "Melting_Curves/meltCurve_Q15437_SEC23B.pdf")</f>
        <v>Melting_Curves/meltCurve_Q15437_SEC23B.pdf</v>
      </c>
    </row>
    <row r="3374" spans="1:28" x14ac:dyDescent="0.25">
      <c r="A3374" t="s">
        <v>3377</v>
      </c>
      <c r="B3374">
        <v>0.99930955844802105</v>
      </c>
      <c r="C3374">
        <v>1.0861180883322401</v>
      </c>
      <c r="D3374">
        <v>1.0433197500303699</v>
      </c>
      <c r="E3374">
        <v>0.865925992100956</v>
      </c>
      <c r="F3374">
        <v>0.426271816307697</v>
      </c>
      <c r="G3374">
        <v>0.21056049933809801</v>
      </c>
      <c r="H3374">
        <v>0.119776439411702</v>
      </c>
      <c r="I3374">
        <v>0.10493328447763001</v>
      </c>
      <c r="J3374">
        <v>9.5810492997985802E-2</v>
      </c>
      <c r="K3374">
        <v>6.8399165528605005E-2</v>
      </c>
      <c r="L3374">
        <v>1831.52904625673</v>
      </c>
      <c r="M3374">
        <v>35.027847251890201</v>
      </c>
      <c r="N3374">
        <v>52.6461224905187</v>
      </c>
      <c r="O3374">
        <v>52.118266039135001</v>
      </c>
      <c r="P3374">
        <v>-0.15020128252044701</v>
      </c>
      <c r="Q3374">
        <v>0.106059674818062</v>
      </c>
      <c r="R3374">
        <v>0.99103266687434299</v>
      </c>
      <c r="S3374" t="s">
        <v>9990</v>
      </c>
      <c r="T3374" t="s">
        <v>13232</v>
      </c>
      <c r="U3374" t="s">
        <v>13232</v>
      </c>
      <c r="V3374" t="s">
        <v>13232</v>
      </c>
      <c r="W3374" t="s">
        <v>16548</v>
      </c>
      <c r="X3374">
        <v>10</v>
      </c>
      <c r="Y3374" t="s">
        <v>22987</v>
      </c>
      <c r="Z3374" t="s">
        <v>29505</v>
      </c>
      <c r="AA3374">
        <v>0.47642594418389062</v>
      </c>
      <c r="AB3374" t="str">
        <f>HYPERLINK("Melting_Curves/meltCurve_Q15438_2_CYTH1.pdf", "Melting_Curves/meltCurve_Q15438_2_CYTH1.pdf")</f>
        <v>Melting_Curves/meltCurve_Q15438_2_CYTH1.pdf</v>
      </c>
    </row>
    <row r="3375" spans="1:28" x14ac:dyDescent="0.25">
      <c r="A3375" t="s">
        <v>3378</v>
      </c>
      <c r="B3375">
        <v>0.99930955844802105</v>
      </c>
      <c r="C3375">
        <v>1.3938157357427401</v>
      </c>
      <c r="D3375">
        <v>1.1711867539632299</v>
      </c>
      <c r="E3375">
        <v>1.3200892031323299</v>
      </c>
      <c r="F3375">
        <v>1.1952925949939499</v>
      </c>
      <c r="G3375">
        <v>1.1944227355961801</v>
      </c>
      <c r="H3375">
        <v>1.3393857643974201</v>
      </c>
      <c r="I3375">
        <v>1.7929524948051601</v>
      </c>
      <c r="J3375">
        <v>2.2403814387334502</v>
      </c>
      <c r="K3375">
        <v>1.5270292795045299</v>
      </c>
      <c r="L3375">
        <v>485.20115779717497</v>
      </c>
      <c r="M3375">
        <v>10.419193852703501</v>
      </c>
      <c r="O3375">
        <v>44.950577600193903</v>
      </c>
      <c r="P3375">
        <v>2.8986052785206801E-2</v>
      </c>
      <c r="Q3375">
        <v>1.5</v>
      </c>
      <c r="R3375">
        <v>0.26734455131519202</v>
      </c>
      <c r="S3375" t="s">
        <v>9991</v>
      </c>
      <c r="T3375" t="s">
        <v>13232</v>
      </c>
      <c r="U3375" t="s">
        <v>13232</v>
      </c>
      <c r="V3375" t="s">
        <v>13232</v>
      </c>
      <c r="W3375" t="s">
        <v>16549</v>
      </c>
      <c r="X3375">
        <v>3</v>
      </c>
      <c r="Y3375" t="s">
        <v>22988</v>
      </c>
      <c r="Z3375" t="s">
        <v>29506</v>
      </c>
      <c r="AA3375">
        <v>1.362696838620032</v>
      </c>
      <c r="AB3375" t="str">
        <f>HYPERLINK("Melting_Curves/meltCurve_Q15464_SHB.pdf", "Melting_Curves/meltCurve_Q15464_SHB.pdf")</f>
        <v>Melting_Curves/meltCurve_Q15464_SHB.pdf</v>
      </c>
    </row>
    <row r="3376" spans="1:28" x14ac:dyDescent="0.25">
      <c r="A3376" t="s">
        <v>3379</v>
      </c>
      <c r="B3376">
        <v>0.99930955844802105</v>
      </c>
      <c r="C3376">
        <v>0.704375480065218</v>
      </c>
      <c r="D3376">
        <v>0.89365485946303902</v>
      </c>
      <c r="E3376">
        <v>0.80915909960829302</v>
      </c>
      <c r="F3376">
        <v>0.84396135550520301</v>
      </c>
      <c r="G3376">
        <v>0.63411168495936898</v>
      </c>
      <c r="H3376">
        <v>0.86618700707159502</v>
      </c>
      <c r="I3376">
        <v>0.86284242753120399</v>
      </c>
      <c r="J3376">
        <v>0.93794573156193395</v>
      </c>
      <c r="K3376">
        <v>0.73744842219524898</v>
      </c>
      <c r="L3376">
        <v>10216.3456890167</v>
      </c>
      <c r="M3376">
        <v>250</v>
      </c>
      <c r="O3376">
        <v>40.862767659839903</v>
      </c>
      <c r="P3376">
        <v>-0.29066018006057298</v>
      </c>
      <c r="Q3376">
        <v>0.80996512981028801</v>
      </c>
      <c r="R3376">
        <v>0.29307364278929199</v>
      </c>
      <c r="S3376" t="s">
        <v>9992</v>
      </c>
      <c r="T3376" t="s">
        <v>13232</v>
      </c>
      <c r="U3376" t="s">
        <v>13232</v>
      </c>
      <c r="V3376" t="s">
        <v>13232</v>
      </c>
      <c r="W3376" t="s">
        <v>16550</v>
      </c>
      <c r="X3376">
        <v>2</v>
      </c>
      <c r="Y3376" t="s">
        <v>22989</v>
      </c>
      <c r="Z3376" t="s">
        <v>29507</v>
      </c>
      <c r="AA3376">
        <v>0.81546491996398029</v>
      </c>
      <c r="AB3376" t="str">
        <f>HYPERLINK("Melting_Curves/meltCurve_Q15506_SPA17.pdf", "Melting_Curves/meltCurve_Q15506_SPA17.pdf")</f>
        <v>Melting_Curves/meltCurve_Q15506_SPA17.pdf</v>
      </c>
    </row>
    <row r="3377" spans="1:28" x14ac:dyDescent="0.25">
      <c r="A3377" t="s">
        <v>3380</v>
      </c>
      <c r="B3377">
        <v>0.99930955844802105</v>
      </c>
      <c r="C3377">
        <v>0.81017478483457195</v>
      </c>
      <c r="D3377">
        <v>0.85805227185412303</v>
      </c>
      <c r="E3377">
        <v>0.68597409416101296</v>
      </c>
      <c r="F3377">
        <v>0.33708847901060801</v>
      </c>
      <c r="G3377">
        <v>0.21791610199990599</v>
      </c>
      <c r="H3377">
        <v>0.13643979769039299</v>
      </c>
      <c r="I3377">
        <v>0.124031128959064</v>
      </c>
      <c r="J3377">
        <v>0.112065527815883</v>
      </c>
      <c r="K3377">
        <v>9.1202748120535804E-2</v>
      </c>
      <c r="L3377">
        <v>754.00735645587099</v>
      </c>
      <c r="M3377">
        <v>14.811049442794699</v>
      </c>
      <c r="N3377">
        <v>51.444139939806</v>
      </c>
      <c r="O3377">
        <v>50.007416264698399</v>
      </c>
      <c r="P3377">
        <v>-6.8760102048156593E-2</v>
      </c>
      <c r="Q3377">
        <v>7.1463497791590502E-2</v>
      </c>
      <c r="R3377">
        <v>0.97303223342140999</v>
      </c>
      <c r="S3377" t="s">
        <v>9993</v>
      </c>
      <c r="T3377" t="s">
        <v>13232</v>
      </c>
      <c r="U3377" t="s">
        <v>13232</v>
      </c>
      <c r="V3377" t="s">
        <v>13232</v>
      </c>
      <c r="W3377" t="s">
        <v>16551</v>
      </c>
      <c r="X3377">
        <v>8</v>
      </c>
      <c r="Y3377" t="s">
        <v>22990</v>
      </c>
      <c r="Z3377" t="s">
        <v>29508</v>
      </c>
      <c r="AA3377">
        <v>0.43106583187928488</v>
      </c>
      <c r="AB3377" t="str">
        <f>HYPERLINK("Melting_Curves/meltCurve_Q15527_SURF2.pdf", "Melting_Curves/meltCurve_Q15527_SURF2.pdf")</f>
        <v>Melting_Curves/meltCurve_Q15527_SURF2.pdf</v>
      </c>
    </row>
    <row r="3378" spans="1:28" x14ac:dyDescent="0.25">
      <c r="A3378" t="s">
        <v>3381</v>
      </c>
      <c r="B3378">
        <v>0.99930955844802105</v>
      </c>
      <c r="C3378">
        <v>0.93723099897374296</v>
      </c>
      <c r="D3378">
        <v>0.71600593616012398</v>
      </c>
      <c r="E3378">
        <v>0.48430194134478299</v>
      </c>
      <c r="F3378">
        <v>0.27836301227789001</v>
      </c>
      <c r="G3378">
        <v>0.21475414705735399</v>
      </c>
      <c r="H3378">
        <v>0.14924752741518399</v>
      </c>
      <c r="I3378">
        <v>0.149030863257404</v>
      </c>
      <c r="J3378">
        <v>0.14288255842368899</v>
      </c>
      <c r="K3378">
        <v>0.110969393703644</v>
      </c>
      <c r="L3378">
        <v>803.13139067800705</v>
      </c>
      <c r="M3378">
        <v>16.545621577567999</v>
      </c>
      <c r="N3378">
        <v>49.4060906864039</v>
      </c>
      <c r="O3378">
        <v>47.8479729302341</v>
      </c>
      <c r="P3378">
        <v>-7.5576004209142997E-2</v>
      </c>
      <c r="Q3378">
        <v>0.12583277818967001</v>
      </c>
      <c r="R3378">
        <v>0.99585875232314403</v>
      </c>
      <c r="S3378" t="s">
        <v>9994</v>
      </c>
      <c r="T3378" t="s">
        <v>13232</v>
      </c>
      <c r="U3378" t="s">
        <v>13232</v>
      </c>
      <c r="V3378" t="s">
        <v>13232</v>
      </c>
      <c r="W3378" t="s">
        <v>16552</v>
      </c>
      <c r="X3378">
        <v>8</v>
      </c>
      <c r="Y3378" t="s">
        <v>22991</v>
      </c>
      <c r="Z3378" t="s">
        <v>29509</v>
      </c>
      <c r="AA3378">
        <v>0.39281141416071758</v>
      </c>
      <c r="AB3378" t="str">
        <f>HYPERLINK("Melting_Curves/meltCurve_Q15542_2_TAF5.pdf", "Melting_Curves/meltCurve_Q15542_2_TAF5.pdf")</f>
        <v>Melting_Curves/meltCurve_Q15542_2_TAF5.pdf</v>
      </c>
    </row>
    <row r="3379" spans="1:28" x14ac:dyDescent="0.25">
      <c r="A3379" t="s">
        <v>3382</v>
      </c>
      <c r="B3379">
        <v>0.99930955844802105</v>
      </c>
      <c r="C3379">
        <v>1.19758683547181</v>
      </c>
      <c r="D3379">
        <v>1.11770777703957</v>
      </c>
      <c r="E3379">
        <v>1.08983304375598</v>
      </c>
      <c r="F3379">
        <v>0.97234371390824503</v>
      </c>
      <c r="G3379">
        <v>0.84599860993859499</v>
      </c>
      <c r="H3379">
        <v>0.95957990952539696</v>
      </c>
      <c r="I3379">
        <v>1.03758351665092</v>
      </c>
      <c r="J3379">
        <v>1.0472959093762</v>
      </c>
      <c r="K3379">
        <v>0.86196008329558804</v>
      </c>
      <c r="L3379">
        <v>13237.5355977736</v>
      </c>
      <c r="M3379">
        <v>250</v>
      </c>
      <c r="O3379">
        <v>52.946756778500202</v>
      </c>
      <c r="P3379">
        <v>-5.8450706833363598E-2</v>
      </c>
      <c r="Q3379">
        <v>0.95048359698498597</v>
      </c>
      <c r="R3379">
        <v>0.10502563903855</v>
      </c>
      <c r="S3379" t="s">
        <v>9995</v>
      </c>
      <c r="T3379" t="s">
        <v>13232</v>
      </c>
      <c r="U3379" t="s">
        <v>13232</v>
      </c>
      <c r="V3379" t="s">
        <v>13232</v>
      </c>
      <c r="W3379" t="s">
        <v>16553</v>
      </c>
      <c r="X3379">
        <v>2</v>
      </c>
      <c r="Y3379" t="s">
        <v>22992</v>
      </c>
      <c r="Z3379" t="s">
        <v>29510</v>
      </c>
      <c r="AA3379">
        <v>0.97186301403769115</v>
      </c>
      <c r="AB3379" t="str">
        <f>HYPERLINK("Melting_Curves/meltCurve_Q15544_2_TAF11.pdf", "Melting_Curves/meltCurve_Q15544_2_TAF11.pdf")</f>
        <v>Melting_Curves/meltCurve_Q15544_2_TAF11.pdf</v>
      </c>
    </row>
    <row r="3380" spans="1:28" x14ac:dyDescent="0.25">
      <c r="A3380" t="s">
        <v>3383</v>
      </c>
      <c r="B3380">
        <v>0.99930955844802105</v>
      </c>
      <c r="C3380">
        <v>1.07354680427674</v>
      </c>
      <c r="D3380">
        <v>1.00107451435098</v>
      </c>
      <c r="E3380">
        <v>0.90676653933609497</v>
      </c>
      <c r="F3380">
        <v>0.77493267725106196</v>
      </c>
      <c r="G3380">
        <v>0.60234662093952995</v>
      </c>
      <c r="H3380">
        <v>0.63024402115482803</v>
      </c>
      <c r="I3380">
        <v>0.66617016274463503</v>
      </c>
      <c r="J3380">
        <v>0.64699121045025598</v>
      </c>
      <c r="K3380">
        <v>0.53374729830376499</v>
      </c>
      <c r="L3380">
        <v>1637.35662211211</v>
      </c>
      <c r="M3380">
        <v>31.389395473462599</v>
      </c>
      <c r="O3380">
        <v>51.952387074072902</v>
      </c>
      <c r="P3380">
        <v>-5.8670566994502002E-2</v>
      </c>
      <c r="Q3380">
        <v>0.61158098571990005</v>
      </c>
      <c r="R3380">
        <v>0.94906147660706897</v>
      </c>
      <c r="S3380" t="s">
        <v>9996</v>
      </c>
      <c r="T3380" t="s">
        <v>13232</v>
      </c>
      <c r="U3380" t="s">
        <v>13232</v>
      </c>
      <c r="V3380" t="s">
        <v>13232</v>
      </c>
      <c r="W3380" t="s">
        <v>16554</v>
      </c>
      <c r="X3380">
        <v>12</v>
      </c>
      <c r="Y3380" t="s">
        <v>22993</v>
      </c>
      <c r="Z3380" t="s">
        <v>29511</v>
      </c>
      <c r="AA3380">
        <v>0.77132981256615907</v>
      </c>
      <c r="AB3380" t="str">
        <f>HYPERLINK("Melting_Curves/meltCurve_Q15545_TAF7.pdf", "Melting_Curves/meltCurve_Q15545_TAF7.pdf")</f>
        <v>Melting_Curves/meltCurve_Q15545_TAF7.pdf</v>
      </c>
    </row>
    <row r="3381" spans="1:28" x14ac:dyDescent="0.25">
      <c r="A3381" t="s">
        <v>3384</v>
      </c>
      <c r="B3381">
        <v>0.99930955844802105</v>
      </c>
      <c r="C3381">
        <v>0.97629405622818199</v>
      </c>
      <c r="D3381">
        <v>0.93577310781217105</v>
      </c>
      <c r="E3381">
        <v>0.64513119839701805</v>
      </c>
      <c r="F3381">
        <v>0.40711930455387502</v>
      </c>
      <c r="G3381">
        <v>0.304581807177015</v>
      </c>
      <c r="H3381">
        <v>0.23545796970687699</v>
      </c>
      <c r="I3381">
        <v>0.234445440483874</v>
      </c>
      <c r="J3381">
        <v>0.20205068088457701</v>
      </c>
      <c r="K3381">
        <v>0.165890391687188</v>
      </c>
      <c r="L3381">
        <v>1066.05353173153</v>
      </c>
      <c r="M3381">
        <v>21.073846163698601</v>
      </c>
      <c r="N3381">
        <v>51.878649294168497</v>
      </c>
      <c r="O3381">
        <v>50.137665715174101</v>
      </c>
      <c r="P3381">
        <v>-8.3626749458014599E-2</v>
      </c>
      <c r="Q3381">
        <v>0.20418152839631401</v>
      </c>
      <c r="R3381">
        <v>0.99612319341629496</v>
      </c>
      <c r="S3381" t="s">
        <v>9997</v>
      </c>
      <c r="T3381" t="s">
        <v>13232</v>
      </c>
      <c r="U3381" t="s">
        <v>13232</v>
      </c>
      <c r="V3381" t="s">
        <v>13232</v>
      </c>
      <c r="W3381" t="s">
        <v>16555</v>
      </c>
      <c r="X3381">
        <v>17</v>
      </c>
      <c r="Y3381" t="s">
        <v>22994</v>
      </c>
      <c r="Z3381" t="s">
        <v>29512</v>
      </c>
      <c r="AA3381">
        <v>0.49501802896821062</v>
      </c>
      <c r="AB3381" t="str">
        <f>HYPERLINK("Melting_Curves/meltCurve_Q15554_3_TERF2.pdf", "Melting_Curves/meltCurve_Q15554_3_TERF2.pdf")</f>
        <v>Melting_Curves/meltCurve_Q15554_3_TERF2.pdf</v>
      </c>
    </row>
    <row r="3382" spans="1:28" x14ac:dyDescent="0.25">
      <c r="A3382" t="s">
        <v>3385</v>
      </c>
      <c r="B3382">
        <v>0.99930955844802105</v>
      </c>
      <c r="C3382">
        <v>0.98744647603921498</v>
      </c>
      <c r="D3382">
        <v>0.60909917725755502</v>
      </c>
      <c r="E3382">
        <v>0.49081537748493698</v>
      </c>
      <c r="F3382">
        <v>0.378427930588006</v>
      </c>
      <c r="G3382">
        <v>0.40435275839955898</v>
      </c>
      <c r="H3382">
        <v>0.44227809957272401</v>
      </c>
      <c r="I3382">
        <v>0.50275396477185497</v>
      </c>
      <c r="J3382">
        <v>0.46885502616149999</v>
      </c>
      <c r="K3382">
        <v>0.375235618516915</v>
      </c>
      <c r="L3382">
        <v>2625.9510736492298</v>
      </c>
      <c r="M3382">
        <v>57.887980961548799</v>
      </c>
      <c r="N3382">
        <v>47.045199330758003</v>
      </c>
      <c r="O3382">
        <v>45.308589811598502</v>
      </c>
      <c r="P3382">
        <v>-0.17985005970311199</v>
      </c>
      <c r="Q3382">
        <v>0.436929836729475</v>
      </c>
      <c r="R3382">
        <v>0.96721644158386599</v>
      </c>
      <c r="S3382" t="s">
        <v>9998</v>
      </c>
      <c r="T3382" t="s">
        <v>13232</v>
      </c>
      <c r="U3382" t="s">
        <v>13232</v>
      </c>
      <c r="V3382" t="s">
        <v>13232</v>
      </c>
      <c r="W3382" t="s">
        <v>16556</v>
      </c>
      <c r="X3382">
        <v>12</v>
      </c>
      <c r="Y3382" t="s">
        <v>22995</v>
      </c>
      <c r="Z3382" t="s">
        <v>29513</v>
      </c>
      <c r="AA3382">
        <v>0.53842515613931996</v>
      </c>
      <c r="AB3382" t="str">
        <f>HYPERLINK("Melting_Curves/meltCurve_Q15555_MAPRE2.pdf", "Melting_Curves/meltCurve_Q15555_MAPRE2.pdf")</f>
        <v>Melting_Curves/meltCurve_Q15555_MAPRE2.pdf</v>
      </c>
    </row>
    <row r="3383" spans="1:28" x14ac:dyDescent="0.25">
      <c r="A3383" t="s">
        <v>3386</v>
      </c>
      <c r="B3383">
        <v>0.99930955844802105</v>
      </c>
      <c r="C3383">
        <v>0.96812394255836198</v>
      </c>
      <c r="D3383">
        <v>0.92258555381526797</v>
      </c>
      <c r="E3383">
        <v>0.70494924466152897</v>
      </c>
      <c r="F3383">
        <v>0.46083198936346997</v>
      </c>
      <c r="G3383">
        <v>0.26001928424132698</v>
      </c>
      <c r="H3383">
        <v>0.18736515843083101</v>
      </c>
      <c r="I3383">
        <v>0.16710995488593</v>
      </c>
      <c r="J3383">
        <v>0.16003761339851599</v>
      </c>
      <c r="K3383">
        <v>0.122440596777521</v>
      </c>
      <c r="L3383">
        <v>970.74387895410598</v>
      </c>
      <c r="M3383">
        <v>18.7944698374944</v>
      </c>
      <c r="N3383">
        <v>52.542705993441501</v>
      </c>
      <c r="O3383">
        <v>51.076419841381799</v>
      </c>
      <c r="P3383">
        <v>-7.9427950134802305E-2</v>
      </c>
      <c r="Q3383">
        <v>0.13661272178262901</v>
      </c>
      <c r="R3383">
        <v>0.99923059102543799</v>
      </c>
      <c r="S3383" t="s">
        <v>9999</v>
      </c>
      <c r="T3383" t="s">
        <v>13232</v>
      </c>
      <c r="U3383" t="s">
        <v>13232</v>
      </c>
      <c r="V3383" t="s">
        <v>13232</v>
      </c>
      <c r="W3383" t="s">
        <v>16557</v>
      </c>
      <c r="X3383">
        <v>6</v>
      </c>
      <c r="Y3383" t="s">
        <v>22996</v>
      </c>
      <c r="Z3383" t="s">
        <v>29514</v>
      </c>
      <c r="AA3383">
        <v>0.48528795166646382</v>
      </c>
      <c r="AB3383" t="str">
        <f>HYPERLINK("Melting_Curves/meltCurve_Q15560_2_TCEA2.pdf", "Melting_Curves/meltCurve_Q15560_2_TCEA2.pdf")</f>
        <v>Melting_Curves/meltCurve_Q15560_2_TCEA2.pdf</v>
      </c>
    </row>
    <row r="3384" spans="1:28" x14ac:dyDescent="0.25">
      <c r="A3384" t="s">
        <v>3387</v>
      </c>
      <c r="B3384">
        <v>0.99930955844802105</v>
      </c>
      <c r="C3384">
        <v>0.95817686664278301</v>
      </c>
      <c r="D3384">
        <v>0.96542743054340796</v>
      </c>
      <c r="E3384">
        <v>0.77754244796819705</v>
      </c>
      <c r="F3384">
        <v>0.525031442169823</v>
      </c>
      <c r="G3384">
        <v>0.29083196086576502</v>
      </c>
      <c r="H3384">
        <v>0.118400401520991</v>
      </c>
      <c r="I3384">
        <v>7.3047209127980697E-2</v>
      </c>
      <c r="J3384">
        <v>6.7252246091089499E-2</v>
      </c>
      <c r="K3384">
        <v>4.6560421032636301E-2</v>
      </c>
      <c r="L3384">
        <v>938.96072412098704</v>
      </c>
      <c r="M3384">
        <v>17.603205502647501</v>
      </c>
      <c r="N3384">
        <v>53.546960903775201</v>
      </c>
      <c r="O3384">
        <v>52.666235978995303</v>
      </c>
      <c r="P3384">
        <v>-8.0820816356020203E-2</v>
      </c>
      <c r="Q3384">
        <v>3.2835467902622699E-2</v>
      </c>
      <c r="R3384">
        <v>0.99844914211341096</v>
      </c>
      <c r="S3384" t="s">
        <v>10000</v>
      </c>
      <c r="T3384" t="s">
        <v>13232</v>
      </c>
      <c r="U3384" t="s">
        <v>13232</v>
      </c>
      <c r="V3384" t="s">
        <v>13232</v>
      </c>
      <c r="W3384" t="s">
        <v>16558</v>
      </c>
      <c r="X3384">
        <v>4</v>
      </c>
      <c r="Y3384" t="s">
        <v>22997</v>
      </c>
      <c r="Z3384" t="s">
        <v>29515</v>
      </c>
      <c r="AA3384">
        <v>0.47919189485699037</v>
      </c>
      <c r="AB3384" t="str">
        <f>HYPERLINK("Melting_Curves/meltCurve_Q15561_2_TEAD4.pdf", "Melting_Curves/meltCurve_Q15561_2_TEAD4.pdf")</f>
        <v>Melting_Curves/meltCurve_Q15561_2_TEAD4.pdf</v>
      </c>
    </row>
    <row r="3385" spans="1:28" x14ac:dyDescent="0.25">
      <c r="A3385" t="s">
        <v>3388</v>
      </c>
      <c r="B3385">
        <v>0.99930955844802105</v>
      </c>
      <c r="C3385">
        <v>0.94392456891300702</v>
      </c>
      <c r="D3385">
        <v>0.71831546212421404</v>
      </c>
      <c r="E3385">
        <v>0.57759143329123097</v>
      </c>
      <c r="F3385">
        <v>0.44925897459716901</v>
      </c>
      <c r="G3385">
        <v>0.374049952475905</v>
      </c>
      <c r="H3385">
        <v>0.34230807322694901</v>
      </c>
      <c r="I3385">
        <v>0.32310252103450599</v>
      </c>
      <c r="J3385">
        <v>0.32732648538716702</v>
      </c>
      <c r="K3385">
        <v>0.26101381629352799</v>
      </c>
      <c r="L3385">
        <v>704.63522943912403</v>
      </c>
      <c r="M3385">
        <v>14.597556188044701</v>
      </c>
      <c r="N3385">
        <v>51.464513351515599</v>
      </c>
      <c r="O3385">
        <v>47.391990515174399</v>
      </c>
      <c r="P3385">
        <v>-5.40702036989563E-2</v>
      </c>
      <c r="Q3385">
        <v>0.29790769167203401</v>
      </c>
      <c r="R3385">
        <v>0.98740430728686202</v>
      </c>
      <c r="S3385" t="s">
        <v>10001</v>
      </c>
      <c r="T3385" t="s">
        <v>13232</v>
      </c>
      <c r="U3385" t="s">
        <v>13232</v>
      </c>
      <c r="V3385" t="s">
        <v>13232</v>
      </c>
      <c r="W3385" t="s">
        <v>16559</v>
      </c>
      <c r="X3385">
        <v>17</v>
      </c>
      <c r="Y3385" t="s">
        <v>22998</v>
      </c>
      <c r="Z3385" t="s">
        <v>29516</v>
      </c>
      <c r="AA3385">
        <v>0.51028354455015967</v>
      </c>
      <c r="AB3385" t="str">
        <f>HYPERLINK("Melting_Curves/meltCurve_Q15596_NCOA2.pdf", "Melting_Curves/meltCurve_Q15596_NCOA2.pdf")</f>
        <v>Melting_Curves/meltCurve_Q15596_NCOA2.pdf</v>
      </c>
    </row>
    <row r="3386" spans="1:28" x14ac:dyDescent="0.25">
      <c r="A3386" t="s">
        <v>3389</v>
      </c>
      <c r="B3386">
        <v>0.99930955844802105</v>
      </c>
      <c r="C3386">
        <v>1.01579229411796</v>
      </c>
      <c r="D3386">
        <v>0.96714094147612895</v>
      </c>
      <c r="E3386">
        <v>0.92816098892416898</v>
      </c>
      <c r="F3386">
        <v>0.89249170731669702</v>
      </c>
      <c r="G3386">
        <v>0.723563997691554</v>
      </c>
      <c r="H3386">
        <v>0.63474988012385802</v>
      </c>
      <c r="I3386">
        <v>0.70110159635324998</v>
      </c>
      <c r="J3386">
        <v>0.66796825848167996</v>
      </c>
      <c r="K3386">
        <v>0.50841078082576796</v>
      </c>
      <c r="L3386">
        <v>720.67975938381005</v>
      </c>
      <c r="M3386">
        <v>12.7766550865566</v>
      </c>
      <c r="O3386">
        <v>55.077759938493003</v>
      </c>
      <c r="P3386">
        <v>-2.5996858754066401E-2</v>
      </c>
      <c r="Q3386">
        <v>0.55181439515591402</v>
      </c>
      <c r="R3386">
        <v>0.93165884896706697</v>
      </c>
      <c r="S3386" t="s">
        <v>10002</v>
      </c>
      <c r="T3386" t="s">
        <v>13232</v>
      </c>
      <c r="U3386" t="s">
        <v>13232</v>
      </c>
      <c r="V3386" t="s">
        <v>13232</v>
      </c>
      <c r="W3386" t="s">
        <v>16560</v>
      </c>
      <c r="X3386">
        <v>9</v>
      </c>
      <c r="Y3386" t="s">
        <v>22999</v>
      </c>
      <c r="Z3386" t="s">
        <v>29517</v>
      </c>
      <c r="AA3386">
        <v>0.80526482476052452</v>
      </c>
      <c r="AB3386" t="str">
        <f>HYPERLINK("Melting_Curves/meltCurve_Q15599_SLC9A3R2.pdf", "Melting_Curves/meltCurve_Q15599_SLC9A3R2.pdf")</f>
        <v>Melting_Curves/meltCurve_Q15599_SLC9A3R2.pdf</v>
      </c>
    </row>
    <row r="3387" spans="1:28" x14ac:dyDescent="0.25">
      <c r="A3387" t="s">
        <v>3390</v>
      </c>
      <c r="B3387">
        <v>0.99930955844802105</v>
      </c>
      <c r="C3387">
        <v>1.0094824457304199</v>
      </c>
      <c r="D3387">
        <v>0.97274991392878096</v>
      </c>
      <c r="E3387">
        <v>0.70157952663495704</v>
      </c>
      <c r="F3387">
        <v>0.36970322133224698</v>
      </c>
      <c r="G3387">
        <v>0.26195614366032499</v>
      </c>
      <c r="H3387">
        <v>0.13503577158952501</v>
      </c>
      <c r="I3387">
        <v>8.2958769593750703E-2</v>
      </c>
      <c r="J3387">
        <v>5.8501950292948898E-2</v>
      </c>
      <c r="K3387">
        <v>4.9074823634721002E-2</v>
      </c>
      <c r="L3387">
        <v>1057.83566715436</v>
      </c>
      <c r="M3387">
        <v>20.445177551361699</v>
      </c>
      <c r="N3387">
        <v>52.131722116524401</v>
      </c>
      <c r="O3387">
        <v>51.252746398920401</v>
      </c>
      <c r="P3387">
        <v>-9.2630879672083E-2</v>
      </c>
      <c r="Q3387">
        <v>7.1185304958548606E-2</v>
      </c>
      <c r="R3387">
        <v>0.99239540890906397</v>
      </c>
      <c r="S3387" t="s">
        <v>10003</v>
      </c>
      <c r="T3387" t="s">
        <v>13232</v>
      </c>
      <c r="U3387" t="s">
        <v>13232</v>
      </c>
      <c r="V3387" t="s">
        <v>13232</v>
      </c>
      <c r="W3387" t="s">
        <v>16561</v>
      </c>
      <c r="X3387">
        <v>9</v>
      </c>
      <c r="Y3387" t="s">
        <v>23000</v>
      </c>
      <c r="Z3387" t="s">
        <v>29518</v>
      </c>
      <c r="AA3387">
        <v>0.4470255755541393</v>
      </c>
      <c r="AB3387" t="str">
        <f>HYPERLINK("Melting_Curves/meltCurve_Q15628_TRADD.pdf", "Melting_Curves/meltCurve_Q15628_TRADD.pdf")</f>
        <v>Melting_Curves/meltCurve_Q15628_TRADD.pdf</v>
      </c>
    </row>
    <row r="3388" spans="1:28" x14ac:dyDescent="0.25">
      <c r="A3388" t="s">
        <v>3391</v>
      </c>
      <c r="B3388">
        <v>0.99930955844802105</v>
      </c>
      <c r="C3388">
        <v>0.84498526656972905</v>
      </c>
      <c r="D3388">
        <v>0.79544480301148301</v>
      </c>
      <c r="E3388">
        <v>0.63513800756267802</v>
      </c>
      <c r="F3388">
        <v>0.38079253839059402</v>
      </c>
      <c r="G3388">
        <v>0.31943843091690799</v>
      </c>
      <c r="H3388">
        <v>0.25723620195432101</v>
      </c>
      <c r="I3388">
        <v>0.25459146063110999</v>
      </c>
      <c r="J3388">
        <v>0.255320721214222</v>
      </c>
      <c r="K3388">
        <v>0.20752556575592501</v>
      </c>
      <c r="L3388">
        <v>657.79432534319506</v>
      </c>
      <c r="M3388">
        <v>13.300761765850501</v>
      </c>
      <c r="N3388">
        <v>51.515264129366997</v>
      </c>
      <c r="O3388">
        <v>48.377574530230902</v>
      </c>
      <c r="P3388">
        <v>-5.4567343660000898E-2</v>
      </c>
      <c r="Q3388">
        <v>0.20623819293568599</v>
      </c>
      <c r="R3388">
        <v>0.98338180527182295</v>
      </c>
      <c r="S3388" t="s">
        <v>10004</v>
      </c>
      <c r="T3388" t="s">
        <v>13232</v>
      </c>
      <c r="U3388" t="s">
        <v>13232</v>
      </c>
      <c r="V3388" t="s">
        <v>13232</v>
      </c>
      <c r="W3388" t="s">
        <v>16562</v>
      </c>
      <c r="X3388">
        <v>6</v>
      </c>
      <c r="Y3388" t="s">
        <v>23001</v>
      </c>
      <c r="Z3388" t="s">
        <v>29519</v>
      </c>
      <c r="AA3388">
        <v>0.4802928609376152</v>
      </c>
      <c r="AB3388" t="str">
        <f>HYPERLINK("Melting_Curves/meltCurve_Q15633_2_TARBP2.pdf", "Melting_Curves/meltCurve_Q15633_2_TARBP2.pdf")</f>
        <v>Melting_Curves/meltCurve_Q15633_2_TARBP2.pdf</v>
      </c>
    </row>
    <row r="3389" spans="1:28" x14ac:dyDescent="0.25">
      <c r="A3389" t="s">
        <v>3392</v>
      </c>
      <c r="B3389">
        <v>0.99930955844802105</v>
      </c>
      <c r="C3389">
        <v>1.0772908159333601</v>
      </c>
      <c r="D3389">
        <v>1.0800609916881501</v>
      </c>
      <c r="E3389">
        <v>1.01322903940399</v>
      </c>
      <c r="F3389">
        <v>0.93962225733501004</v>
      </c>
      <c r="G3389">
        <v>0.79795734210499503</v>
      </c>
      <c r="H3389">
        <v>0.71844012419206205</v>
      </c>
      <c r="I3389">
        <v>0.66521850288055495</v>
      </c>
      <c r="J3389">
        <v>0.60206279165404397</v>
      </c>
      <c r="K3389">
        <v>0.477147645803154</v>
      </c>
      <c r="L3389">
        <v>791.53016697217299</v>
      </c>
      <c r="M3389">
        <v>12.8168724387307</v>
      </c>
      <c r="O3389">
        <v>60.311429221691</v>
      </c>
      <c r="P3389">
        <v>-3.15338076252311E-2</v>
      </c>
      <c r="Q3389">
        <v>0.40656536070286597</v>
      </c>
      <c r="R3389">
        <v>0.94773469131909405</v>
      </c>
      <c r="S3389" t="s">
        <v>10005</v>
      </c>
      <c r="T3389" t="s">
        <v>13232</v>
      </c>
      <c r="U3389" t="s">
        <v>13232</v>
      </c>
      <c r="V3389" t="s">
        <v>13232</v>
      </c>
      <c r="W3389" t="s">
        <v>16563</v>
      </c>
      <c r="X3389">
        <v>24</v>
      </c>
      <c r="Y3389" t="s">
        <v>20592</v>
      </c>
      <c r="Z3389" t="s">
        <v>29520</v>
      </c>
      <c r="AA3389">
        <v>0.83296175181423671</v>
      </c>
      <c r="AB3389" t="str">
        <f>HYPERLINK("Melting_Curves/meltCurve_Q15637_5_SF1.pdf", "Melting_Curves/meltCurve_Q15637_5_SF1.pdf")</f>
        <v>Melting_Curves/meltCurve_Q15637_5_SF1.pdf</v>
      </c>
    </row>
    <row r="3390" spans="1:28" x14ac:dyDescent="0.25">
      <c r="A3390" t="s">
        <v>3393</v>
      </c>
      <c r="B3390">
        <v>0.99930955844802105</v>
      </c>
      <c r="C3390">
        <v>1.09307050556708</v>
      </c>
      <c r="D3390">
        <v>1.05375087580758</v>
      </c>
      <c r="E3390">
        <v>0.79201114075694901</v>
      </c>
      <c r="F3390">
        <v>0.262870204931898</v>
      </c>
      <c r="G3390">
        <v>0.207812215656968</v>
      </c>
      <c r="H3390">
        <v>0.150468830215816</v>
      </c>
      <c r="I3390">
        <v>0.151656465187299</v>
      </c>
      <c r="J3390">
        <v>0.141643616074244</v>
      </c>
      <c r="K3390">
        <v>0.115723362832388</v>
      </c>
      <c r="L3390">
        <v>2657.0157379981101</v>
      </c>
      <c r="M3390">
        <v>52.009837183409097</v>
      </c>
      <c r="N3390">
        <v>51.446023068698302</v>
      </c>
      <c r="O3390">
        <v>51.011434143195203</v>
      </c>
      <c r="P3390">
        <v>-0.216081694395093</v>
      </c>
      <c r="Q3390">
        <v>0.15226582410883399</v>
      </c>
      <c r="R3390">
        <v>0.99033442149468898</v>
      </c>
      <c r="S3390" t="s">
        <v>10006</v>
      </c>
      <c r="T3390" t="s">
        <v>13232</v>
      </c>
      <c r="U3390" t="s">
        <v>13232</v>
      </c>
      <c r="V3390" t="s">
        <v>13232</v>
      </c>
      <c r="W3390" t="s">
        <v>16564</v>
      </c>
      <c r="X3390">
        <v>23</v>
      </c>
      <c r="Y3390" t="s">
        <v>23002</v>
      </c>
      <c r="Z3390" t="s">
        <v>29521</v>
      </c>
      <c r="AA3390">
        <v>0.46731899908531987</v>
      </c>
      <c r="AB3390" t="str">
        <f>HYPERLINK("Melting_Curves/meltCurve_Q15642_2_TRIP10.pdf", "Melting_Curves/meltCurve_Q15642_2_TRIP10.pdf")</f>
        <v>Melting_Curves/meltCurve_Q15642_2_TRIP10.pdf</v>
      </c>
    </row>
    <row r="3391" spans="1:28" x14ac:dyDescent="0.25">
      <c r="A3391" t="s">
        <v>3394</v>
      </c>
      <c r="B3391">
        <v>0.99930955844802105</v>
      </c>
      <c r="C3391">
        <v>1.03797470653311</v>
      </c>
      <c r="D3391">
        <v>0.857261214999405</v>
      </c>
      <c r="E3391">
        <v>0.75388636592096403</v>
      </c>
      <c r="F3391">
        <v>0.68941932345047496</v>
      </c>
      <c r="G3391">
        <v>0.52527500242101299</v>
      </c>
      <c r="H3391">
        <v>0.39665896134033302</v>
      </c>
      <c r="I3391">
        <v>0.37898920328462299</v>
      </c>
      <c r="J3391">
        <v>0.38087298896145999</v>
      </c>
      <c r="K3391">
        <v>0.29073757370213499</v>
      </c>
      <c r="L3391">
        <v>606.23176201082401</v>
      </c>
      <c r="M3391">
        <v>11.295844324816001</v>
      </c>
      <c r="N3391">
        <v>57.6808094628405</v>
      </c>
      <c r="O3391">
        <v>52.069047248253398</v>
      </c>
      <c r="P3391">
        <v>-3.9489242074689797E-2</v>
      </c>
      <c r="Q3391">
        <v>0.27210712437754397</v>
      </c>
      <c r="R3391">
        <v>0.98087229339214399</v>
      </c>
      <c r="S3391" t="s">
        <v>10007</v>
      </c>
      <c r="T3391" t="s">
        <v>13232</v>
      </c>
      <c r="U3391" t="s">
        <v>13232</v>
      </c>
      <c r="V3391" t="s">
        <v>13232</v>
      </c>
      <c r="W3391" t="s">
        <v>16565</v>
      </c>
      <c r="X3391">
        <v>45</v>
      </c>
      <c r="Y3391" t="s">
        <v>23003</v>
      </c>
      <c r="Z3391" t="s">
        <v>29522</v>
      </c>
      <c r="AA3391">
        <v>0.62450958434236137</v>
      </c>
      <c r="AB3391" t="str">
        <f>HYPERLINK("Melting_Curves/meltCurve_Q15643_TRIP11.pdf", "Melting_Curves/meltCurve_Q15643_TRIP11.pdf")</f>
        <v>Melting_Curves/meltCurve_Q15643_TRIP11.pdf</v>
      </c>
    </row>
    <row r="3392" spans="1:28" x14ac:dyDescent="0.25">
      <c r="A3392" t="s">
        <v>3395</v>
      </c>
      <c r="B3392">
        <v>0.99930955844802105</v>
      </c>
      <c r="C3392">
        <v>0.65750298117301897</v>
      </c>
      <c r="D3392">
        <v>0.32559935075612101</v>
      </c>
      <c r="E3392">
        <v>0.238879199882746</v>
      </c>
      <c r="F3392">
        <v>0.14658254163722301</v>
      </c>
      <c r="G3392">
        <v>0.103056981096389</v>
      </c>
      <c r="H3392">
        <v>5.7956457423595197E-2</v>
      </c>
      <c r="I3392">
        <v>4.8238876231145603E-2</v>
      </c>
      <c r="J3392">
        <v>3.8481416396356397E-2</v>
      </c>
      <c r="K3392">
        <v>3.1324069236808798E-2</v>
      </c>
      <c r="L3392">
        <v>898.83327314189899</v>
      </c>
      <c r="M3392">
        <v>20.270870559425401</v>
      </c>
      <c r="N3392">
        <v>44.671927509819902</v>
      </c>
      <c r="O3392">
        <v>43.916373807769503</v>
      </c>
      <c r="P3392">
        <v>-0.10735600094280399</v>
      </c>
      <c r="Q3392">
        <v>6.9691741500795601E-2</v>
      </c>
      <c r="R3392">
        <v>0.97386645331009702</v>
      </c>
      <c r="S3392" t="s">
        <v>10008</v>
      </c>
      <c r="T3392" t="s">
        <v>13232</v>
      </c>
      <c r="U3392" t="s">
        <v>13232</v>
      </c>
      <c r="V3392" t="s">
        <v>13232</v>
      </c>
      <c r="W3392" t="s">
        <v>16566</v>
      </c>
      <c r="X3392">
        <v>14</v>
      </c>
      <c r="Y3392" t="s">
        <v>23004</v>
      </c>
      <c r="Z3392" t="s">
        <v>29523</v>
      </c>
      <c r="AA3392">
        <v>0.22093430087702171</v>
      </c>
      <c r="AB3392" t="str">
        <f>HYPERLINK("Melting_Curves/meltCurve_Q15645_TRIP13.pdf", "Melting_Curves/meltCurve_Q15645_TRIP13.pdf")</f>
        <v>Melting_Curves/meltCurve_Q15645_TRIP13.pdf</v>
      </c>
    </row>
    <row r="3393" spans="1:28" x14ac:dyDescent="0.25">
      <c r="A3393" t="s">
        <v>3396</v>
      </c>
      <c r="B3393">
        <v>0.99930955844802105</v>
      </c>
      <c r="C3393">
        <v>0.85732181590729395</v>
      </c>
      <c r="D3393">
        <v>0.87224539577038196</v>
      </c>
      <c r="E3393">
        <v>0.95263847282724001</v>
      </c>
      <c r="F3393">
        <v>0.67317536868461003</v>
      </c>
      <c r="G3393">
        <v>0.52789996818770801</v>
      </c>
      <c r="H3393">
        <v>0.57304049634549103</v>
      </c>
      <c r="I3393">
        <v>0.67818316409229296</v>
      </c>
      <c r="J3393">
        <v>0.76620681231545895</v>
      </c>
      <c r="K3393">
        <v>0.56511726663423401</v>
      </c>
      <c r="L3393">
        <v>3418.8371762062002</v>
      </c>
      <c r="M3393">
        <v>66.421540999372596</v>
      </c>
      <c r="O3393">
        <v>51.425206449327902</v>
      </c>
      <c r="P3393">
        <v>-0.12193572698617799</v>
      </c>
      <c r="Q3393">
        <v>0.62237735607274403</v>
      </c>
      <c r="R3393">
        <v>0.70589761606421297</v>
      </c>
      <c r="S3393" t="s">
        <v>10009</v>
      </c>
      <c r="T3393" t="s">
        <v>13232</v>
      </c>
      <c r="U3393" t="s">
        <v>13232</v>
      </c>
      <c r="V3393" t="s">
        <v>13232</v>
      </c>
      <c r="W3393" t="s">
        <v>16567</v>
      </c>
      <c r="X3393">
        <v>22</v>
      </c>
      <c r="Y3393" t="s">
        <v>23005</v>
      </c>
      <c r="Z3393" t="s">
        <v>29524</v>
      </c>
      <c r="AA3393">
        <v>0.76726256532767545</v>
      </c>
      <c r="AB3393" t="str">
        <f>HYPERLINK("Melting_Curves/meltCurve_Q15648_MED1.pdf", "Melting_Curves/meltCurve_Q15648_MED1.pdf")</f>
        <v>Melting_Curves/meltCurve_Q15648_MED1.pdf</v>
      </c>
    </row>
    <row r="3394" spans="1:28" x14ac:dyDescent="0.25">
      <c r="A3394" t="s">
        <v>3397</v>
      </c>
      <c r="B3394">
        <v>0.99930955844802105</v>
      </c>
      <c r="C3394">
        <v>1.2427194578938501</v>
      </c>
      <c r="D3394">
        <v>1.1379048005733901</v>
      </c>
      <c r="E3394">
        <v>1.15433793982803</v>
      </c>
      <c r="F3394">
        <v>1.1722572636566999</v>
      </c>
      <c r="G3394">
        <v>1.01802343449148</v>
      </c>
      <c r="H3394">
        <v>1.06123049951217</v>
      </c>
      <c r="I3394">
        <v>1.0547268846440401</v>
      </c>
      <c r="J3394">
        <v>1.2461878217867299</v>
      </c>
      <c r="K3394">
        <v>0.82855713281851795</v>
      </c>
      <c r="L3394">
        <v>10246.476585308599</v>
      </c>
      <c r="M3394">
        <v>250</v>
      </c>
      <c r="O3394">
        <v>40.983283527311499</v>
      </c>
      <c r="P3394">
        <v>0.15520263763227901</v>
      </c>
      <c r="Q3394">
        <v>1.1017714190866701</v>
      </c>
      <c r="R3394">
        <v>6.5278487319305398E-2</v>
      </c>
      <c r="S3394" t="s">
        <v>10010</v>
      </c>
      <c r="T3394" t="s">
        <v>13232</v>
      </c>
      <c r="U3394" t="s">
        <v>13232</v>
      </c>
      <c r="V3394" t="s">
        <v>13232</v>
      </c>
      <c r="W3394" t="s">
        <v>16568</v>
      </c>
      <c r="X3394">
        <v>4</v>
      </c>
      <c r="Y3394" t="s">
        <v>23006</v>
      </c>
      <c r="Z3394" t="s">
        <v>29525</v>
      </c>
      <c r="AA3394">
        <v>1.0984184221430291</v>
      </c>
      <c r="AB3394" t="str">
        <f>HYPERLINK("Melting_Curves/meltCurve_Q15649_ZNHIT3.pdf", "Melting_Curves/meltCurve_Q15649_ZNHIT3.pdf")</f>
        <v>Melting_Curves/meltCurve_Q15649_ZNHIT3.pdf</v>
      </c>
    </row>
    <row r="3395" spans="1:28" x14ac:dyDescent="0.25">
      <c r="A3395" t="s">
        <v>3398</v>
      </c>
      <c r="B3395">
        <v>0.99930955844802105</v>
      </c>
      <c r="C3395">
        <v>1.01235707500991</v>
      </c>
      <c r="D3395">
        <v>0.98955564782937999</v>
      </c>
      <c r="E3395">
        <v>0.97239946624113005</v>
      </c>
      <c r="F3395">
        <v>0.81386434333479196</v>
      </c>
      <c r="G3395">
        <v>0.64772559260365503</v>
      </c>
      <c r="H3395">
        <v>0.70777699898051905</v>
      </c>
      <c r="I3395">
        <v>0.61772222933921805</v>
      </c>
      <c r="J3395">
        <v>0.62493199584335402</v>
      </c>
      <c r="K3395">
        <v>0.51529293315292801</v>
      </c>
      <c r="L3395">
        <v>1360.38775406798</v>
      </c>
      <c r="M3395">
        <v>25.405111409403901</v>
      </c>
      <c r="O3395">
        <v>53.219322551566698</v>
      </c>
      <c r="P3395">
        <v>-4.7367468507006398E-2</v>
      </c>
      <c r="Q3395">
        <v>0.60309833897421605</v>
      </c>
      <c r="R3395">
        <v>0.94526876687615302</v>
      </c>
      <c r="S3395" t="s">
        <v>10011</v>
      </c>
      <c r="T3395" t="s">
        <v>13232</v>
      </c>
      <c r="U3395" t="s">
        <v>13232</v>
      </c>
      <c r="V3395" t="s">
        <v>13232</v>
      </c>
      <c r="W3395" t="s">
        <v>16569</v>
      </c>
      <c r="X3395">
        <v>20</v>
      </c>
      <c r="Y3395" t="s">
        <v>23007</v>
      </c>
      <c r="Z3395" t="s">
        <v>29526</v>
      </c>
      <c r="AA3395">
        <v>0.78589524761471408</v>
      </c>
      <c r="AB3395" t="str">
        <f>HYPERLINK("Melting_Curves/meltCurve_Q15650_TRIP4.pdf", "Melting_Curves/meltCurve_Q15650_TRIP4.pdf")</f>
        <v>Melting_Curves/meltCurve_Q15650_TRIP4.pdf</v>
      </c>
    </row>
    <row r="3396" spans="1:28" x14ac:dyDescent="0.25">
      <c r="A3396" t="s">
        <v>3399</v>
      </c>
      <c r="B3396">
        <v>0.99930955844802105</v>
      </c>
      <c r="C3396">
        <v>1.3774293896213401</v>
      </c>
      <c r="D3396">
        <v>1.0056834672974899</v>
      </c>
      <c r="E3396">
        <v>1.79570320680538</v>
      </c>
      <c r="F3396">
        <v>1.6358479645661199</v>
      </c>
      <c r="G3396">
        <v>2.0563693560027998</v>
      </c>
      <c r="H3396">
        <v>2.3303197915574199</v>
      </c>
      <c r="I3396">
        <v>2.6693424158632899</v>
      </c>
      <c r="J3396">
        <v>2.5896166900280999</v>
      </c>
      <c r="K3396">
        <v>1.82746336793925</v>
      </c>
      <c r="L3396">
        <v>1055.4499266978901</v>
      </c>
      <c r="M3396">
        <v>23.821538673616701</v>
      </c>
      <c r="O3396">
        <v>43.997847177679901</v>
      </c>
      <c r="P3396">
        <v>6.7679239260324306E-2</v>
      </c>
      <c r="Q3396">
        <v>1.5</v>
      </c>
      <c r="R3396">
        <v>-0.240372597568971</v>
      </c>
      <c r="S3396" t="s">
        <v>10012</v>
      </c>
      <c r="T3396" t="s">
        <v>13232</v>
      </c>
      <c r="U3396" t="s">
        <v>13232</v>
      </c>
      <c r="V3396" t="s">
        <v>13232</v>
      </c>
      <c r="W3396" t="s">
        <v>16570</v>
      </c>
      <c r="X3396">
        <v>8</v>
      </c>
      <c r="Y3396" t="s">
        <v>23008</v>
      </c>
      <c r="Z3396" t="s">
        <v>29527</v>
      </c>
      <c r="AA3396">
        <v>1.4221043424557771</v>
      </c>
      <c r="AB3396" t="str">
        <f>HYPERLINK("Melting_Curves/meltCurve_Q15651_HMGN3.pdf", "Melting_Curves/meltCurve_Q15651_HMGN3.pdf")</f>
        <v>Melting_Curves/meltCurve_Q15651_HMGN3.pdf</v>
      </c>
    </row>
    <row r="3397" spans="1:28" x14ac:dyDescent="0.25">
      <c r="A3397" t="s">
        <v>3400</v>
      </c>
      <c r="B3397">
        <v>0.99930955844802105</v>
      </c>
      <c r="C3397">
        <v>1.09170121799649</v>
      </c>
      <c r="D3397">
        <v>1.04906947785362</v>
      </c>
      <c r="E3397">
        <v>1.00004633815642</v>
      </c>
      <c r="F3397">
        <v>0.87690063328819001</v>
      </c>
      <c r="G3397">
        <v>0.79405671219733398</v>
      </c>
      <c r="H3397">
        <v>0.77550359192782603</v>
      </c>
      <c r="I3397">
        <v>0.860430855201616</v>
      </c>
      <c r="J3397">
        <v>0.819819476878617</v>
      </c>
      <c r="K3397">
        <v>0.68606599611668995</v>
      </c>
      <c r="L3397">
        <v>4578.7408486669601</v>
      </c>
      <c r="M3397">
        <v>86.704759899443204</v>
      </c>
      <c r="O3397">
        <v>52.780341212976197</v>
      </c>
      <c r="P3397">
        <v>-8.7438669208719899E-2</v>
      </c>
      <c r="Q3397">
        <v>0.78709162818364797</v>
      </c>
      <c r="R3397">
        <v>0.82677233315780696</v>
      </c>
      <c r="S3397" t="s">
        <v>10013</v>
      </c>
      <c r="T3397" t="s">
        <v>13232</v>
      </c>
      <c r="U3397" t="s">
        <v>13232</v>
      </c>
      <c r="V3397" t="s">
        <v>13232</v>
      </c>
      <c r="W3397" t="s">
        <v>16571</v>
      </c>
      <c r="X3397">
        <v>26</v>
      </c>
      <c r="Y3397" t="s">
        <v>23009</v>
      </c>
      <c r="Z3397" t="s">
        <v>29528</v>
      </c>
      <c r="AA3397">
        <v>0.87815655807705995</v>
      </c>
      <c r="AB3397" t="str">
        <f>HYPERLINK("Melting_Curves/meltCurve_Q15652_JMJD1C.pdf", "Melting_Curves/meltCurve_Q15652_JMJD1C.pdf")</f>
        <v>Melting_Curves/meltCurve_Q15652_JMJD1C.pdf</v>
      </c>
    </row>
    <row r="3398" spans="1:28" x14ac:dyDescent="0.25">
      <c r="A3398" t="s">
        <v>3401</v>
      </c>
      <c r="B3398">
        <v>0.99930955844802105</v>
      </c>
      <c r="C3398">
        <v>0.915196355425271</v>
      </c>
      <c r="D3398">
        <v>0.79742787329287201</v>
      </c>
      <c r="E3398">
        <v>0.62367013233386603</v>
      </c>
      <c r="F3398">
        <v>0.41847555500786099</v>
      </c>
      <c r="G3398">
        <v>0.32773083245378198</v>
      </c>
      <c r="H3398">
        <v>0.24231750215088099</v>
      </c>
      <c r="I3398">
        <v>0.24604734773998499</v>
      </c>
      <c r="J3398">
        <v>0.22503882685357801</v>
      </c>
      <c r="K3398">
        <v>0.17044259971042899</v>
      </c>
      <c r="L3398">
        <v>672.77673033092901</v>
      </c>
      <c r="M3398">
        <v>13.426694810225399</v>
      </c>
      <c r="N3398">
        <v>51.856911769175802</v>
      </c>
      <c r="O3398">
        <v>49.035044129125602</v>
      </c>
      <c r="P3398">
        <v>-5.5995389864874401E-2</v>
      </c>
      <c r="Q3398">
        <v>0.18213416558333101</v>
      </c>
      <c r="R3398">
        <v>0.99516982022882206</v>
      </c>
      <c r="S3398" t="s">
        <v>10014</v>
      </c>
      <c r="T3398" t="s">
        <v>13232</v>
      </c>
      <c r="U3398" t="s">
        <v>13232</v>
      </c>
      <c r="V3398" t="s">
        <v>13232</v>
      </c>
      <c r="W3398" t="s">
        <v>16572</v>
      </c>
      <c r="X3398">
        <v>24</v>
      </c>
      <c r="Y3398" t="s">
        <v>23010</v>
      </c>
      <c r="Z3398" t="s">
        <v>29529</v>
      </c>
      <c r="AA3398">
        <v>0.48117602778962809</v>
      </c>
      <c r="AB3398" t="str">
        <f>HYPERLINK("Melting_Curves/meltCurve_Q15654_TRIP6.pdf", "Melting_Curves/meltCurve_Q15654_TRIP6.pdf")</f>
        <v>Melting_Curves/meltCurve_Q15654_TRIP6.pdf</v>
      </c>
    </row>
    <row r="3399" spans="1:28" x14ac:dyDescent="0.25">
      <c r="A3399" t="s">
        <v>3402</v>
      </c>
      <c r="B3399">
        <v>0.99930955844802105</v>
      </c>
      <c r="C3399">
        <v>0.98346299140703897</v>
      </c>
      <c r="D3399">
        <v>1.11135935791447</v>
      </c>
      <c r="E3399">
        <v>1.0117619592245799</v>
      </c>
      <c r="F3399">
        <v>0.782159332401967</v>
      </c>
      <c r="G3399">
        <v>0.36879413343982198</v>
      </c>
      <c r="H3399">
        <v>0.22957393064456399</v>
      </c>
      <c r="I3399">
        <v>0.22033123388837</v>
      </c>
      <c r="J3399">
        <v>0.20948813401236499</v>
      </c>
      <c r="K3399">
        <v>0.16541420555480099</v>
      </c>
      <c r="L3399">
        <v>1860.7689887409799</v>
      </c>
      <c r="M3399">
        <v>34.0126190145021</v>
      </c>
      <c r="N3399">
        <v>55.537728824826701</v>
      </c>
      <c r="O3399">
        <v>54.520116303285</v>
      </c>
      <c r="P3399">
        <v>-0.124902889319798</v>
      </c>
      <c r="Q3399">
        <v>0.199156858973284</v>
      </c>
      <c r="R3399">
        <v>0.98845425273588305</v>
      </c>
      <c r="S3399" t="s">
        <v>10015</v>
      </c>
      <c r="T3399" t="s">
        <v>13232</v>
      </c>
      <c r="U3399" t="s">
        <v>13232</v>
      </c>
      <c r="V3399" t="s">
        <v>13232</v>
      </c>
      <c r="W3399" t="s">
        <v>16573</v>
      </c>
      <c r="X3399">
        <v>19</v>
      </c>
      <c r="Y3399" t="s">
        <v>23011</v>
      </c>
      <c r="Z3399" t="s">
        <v>29530</v>
      </c>
      <c r="AA3399">
        <v>0.5959477635637318</v>
      </c>
      <c r="AB3399" t="str">
        <f>HYPERLINK("Melting_Curves/meltCurve_Q15691_MAPRE1.pdf", "Melting_Curves/meltCurve_Q15691_MAPRE1.pdf")</f>
        <v>Melting_Curves/meltCurve_Q15691_MAPRE1.pdf</v>
      </c>
    </row>
    <row r="3400" spans="1:28" x14ac:dyDescent="0.25">
      <c r="A3400" t="s">
        <v>3403</v>
      </c>
      <c r="B3400">
        <v>0.99930955844802105</v>
      </c>
      <c r="C3400">
        <v>0.70494963616362105</v>
      </c>
      <c r="D3400">
        <v>0.61374537272333596</v>
      </c>
      <c r="E3400">
        <v>0.59309836549455197</v>
      </c>
      <c r="F3400">
        <v>0.53211092262835402</v>
      </c>
      <c r="G3400">
        <v>0.31949203579003599</v>
      </c>
      <c r="H3400">
        <v>0.190918104573536</v>
      </c>
      <c r="I3400">
        <v>0.15174065213228799</v>
      </c>
      <c r="J3400">
        <v>0.14547251613392601</v>
      </c>
      <c r="K3400">
        <v>0.11764819883962301</v>
      </c>
      <c r="L3400">
        <v>378.23746890806899</v>
      </c>
      <c r="M3400">
        <v>7.3901526188292399</v>
      </c>
      <c r="N3400">
        <v>51.181276729863697</v>
      </c>
      <c r="O3400">
        <v>47.834324501847703</v>
      </c>
      <c r="P3400">
        <v>-3.8682339043011403E-2</v>
      </c>
      <c r="Q3400">
        <v>0</v>
      </c>
      <c r="R3400">
        <v>0.94448530901763195</v>
      </c>
      <c r="S3400" t="s">
        <v>10016</v>
      </c>
      <c r="T3400" t="s">
        <v>13232</v>
      </c>
      <c r="U3400" t="s">
        <v>13232</v>
      </c>
      <c r="V3400" t="s">
        <v>13232</v>
      </c>
      <c r="W3400" t="s">
        <v>16574</v>
      </c>
      <c r="X3400">
        <v>1</v>
      </c>
      <c r="Y3400" t="s">
        <v>23012</v>
      </c>
      <c r="Z3400" t="s">
        <v>29531</v>
      </c>
      <c r="AA3400">
        <v>0.42900803537962467</v>
      </c>
      <c r="AB3400" t="str">
        <f>HYPERLINK("Melting_Curves/meltCurve_Q15695_ZRSR1.pdf", "Melting_Curves/meltCurve_Q15695_ZRSR1.pdf")</f>
        <v>Melting_Curves/meltCurve_Q15695_ZRSR1.pdf</v>
      </c>
    </row>
    <row r="3401" spans="1:28" x14ac:dyDescent="0.25">
      <c r="A3401" t="s">
        <v>3404</v>
      </c>
      <c r="B3401">
        <v>0.99930955844802105</v>
      </c>
      <c r="C3401">
        <v>1.0818006405568801</v>
      </c>
      <c r="D3401">
        <v>1.12436790929673</v>
      </c>
      <c r="E3401">
        <v>1.0511422217180399</v>
      </c>
      <c r="F3401">
        <v>0.88991220785195002</v>
      </c>
      <c r="G3401">
        <v>0.77201918489187304</v>
      </c>
      <c r="H3401">
        <v>0.71846123680126694</v>
      </c>
      <c r="I3401">
        <v>0.72666537447414703</v>
      </c>
      <c r="J3401">
        <v>0.7774698673978</v>
      </c>
      <c r="K3401">
        <v>0.57243476050768405</v>
      </c>
      <c r="L3401">
        <v>1716.1874711360001</v>
      </c>
      <c r="M3401">
        <v>31.3531559876876</v>
      </c>
      <c r="O3401">
        <v>54.516101939692298</v>
      </c>
      <c r="P3401">
        <v>-4.3838719716667501E-2</v>
      </c>
      <c r="Q3401">
        <v>0.69509901187910295</v>
      </c>
      <c r="R3401">
        <v>0.83734337680934701</v>
      </c>
      <c r="S3401" t="s">
        <v>10017</v>
      </c>
      <c r="T3401" t="s">
        <v>13232</v>
      </c>
      <c r="U3401" t="s">
        <v>13232</v>
      </c>
      <c r="V3401" t="s">
        <v>13232</v>
      </c>
      <c r="W3401" t="s">
        <v>16575</v>
      </c>
      <c r="X3401">
        <v>2</v>
      </c>
      <c r="Y3401" t="s">
        <v>23013</v>
      </c>
      <c r="Z3401" t="s">
        <v>29532</v>
      </c>
      <c r="AA3401">
        <v>0.846734594435951</v>
      </c>
      <c r="AB3401" t="str">
        <f>HYPERLINK("Melting_Curves/meltCurve_Q15697_2_ZNF174.pdf", "Melting_Curves/meltCurve_Q15697_2_ZNF174.pdf")</f>
        <v>Melting_Curves/meltCurve_Q15697_2_ZNF174.pdf</v>
      </c>
    </row>
    <row r="3402" spans="1:28" x14ac:dyDescent="0.25">
      <c r="A3402" t="s">
        <v>3405</v>
      </c>
      <c r="B3402">
        <v>0.99930955844802105</v>
      </c>
      <c r="C3402">
        <v>1.2448334172239901</v>
      </c>
      <c r="D3402">
        <v>1.31530757795312</v>
      </c>
      <c r="E3402">
        <v>1.17946171638011</v>
      </c>
      <c r="F3402">
        <v>1.05859999974278</v>
      </c>
      <c r="G3402">
        <v>1.0963486840429</v>
      </c>
      <c r="H3402">
        <v>1.03804657967641</v>
      </c>
      <c r="I3402">
        <v>1.1906973637367699</v>
      </c>
      <c r="J3402">
        <v>1.2106653592485499</v>
      </c>
      <c r="K3402">
        <v>0.95522088173842501</v>
      </c>
      <c r="L3402">
        <v>10254.156358140601</v>
      </c>
      <c r="M3402">
        <v>250</v>
      </c>
      <c r="O3402">
        <v>41.014000657299697</v>
      </c>
      <c r="P3402">
        <v>0.218282619412242</v>
      </c>
      <c r="Q3402">
        <v>1.1432422957105599</v>
      </c>
      <c r="R3402">
        <v>0.15223822515610999</v>
      </c>
      <c r="S3402" t="s">
        <v>10018</v>
      </c>
      <c r="T3402" t="s">
        <v>13232</v>
      </c>
      <c r="U3402" t="s">
        <v>13232</v>
      </c>
      <c r="V3402" t="s">
        <v>13232</v>
      </c>
      <c r="W3402" t="s">
        <v>16576</v>
      </c>
      <c r="X3402">
        <v>5</v>
      </c>
      <c r="Y3402" t="s">
        <v>23014</v>
      </c>
      <c r="Z3402" t="s">
        <v>29533</v>
      </c>
      <c r="AA3402">
        <v>1.1383765740897911</v>
      </c>
      <c r="AB3402" t="str">
        <f>HYPERLINK("Melting_Curves/meltCurve_Q15714_2_TSC22D1.pdf", "Melting_Curves/meltCurve_Q15714_2_TSC22D1.pdf")</f>
        <v>Melting_Curves/meltCurve_Q15714_2_TSC22D1.pdf</v>
      </c>
    </row>
    <row r="3403" spans="1:28" x14ac:dyDescent="0.25">
      <c r="A3403" t="s">
        <v>3406</v>
      </c>
      <c r="B3403">
        <v>0.99930955844802105</v>
      </c>
      <c r="C3403">
        <v>1.0513982723301201</v>
      </c>
      <c r="D3403">
        <v>1.0681235591042699</v>
      </c>
      <c r="E3403">
        <v>0.97322813952016396</v>
      </c>
      <c r="F3403">
        <v>0.71301130788940204</v>
      </c>
      <c r="G3403">
        <v>0.395860647383523</v>
      </c>
      <c r="H3403">
        <v>0.184712559543114</v>
      </c>
      <c r="I3403">
        <v>0.120844961454584</v>
      </c>
      <c r="J3403">
        <v>0.109734816440951</v>
      </c>
      <c r="K3403">
        <v>9.8130994237531605E-2</v>
      </c>
      <c r="L3403">
        <v>1332.99417403763</v>
      </c>
      <c r="M3403">
        <v>24.180244565088099</v>
      </c>
      <c r="N3403">
        <v>55.6266105487204</v>
      </c>
      <c r="O3403">
        <v>54.754505652638898</v>
      </c>
      <c r="P3403">
        <v>-9.9636518071835198E-2</v>
      </c>
      <c r="Q3403">
        <v>9.7533562072360996E-2</v>
      </c>
      <c r="R3403">
        <v>0.99263844924101596</v>
      </c>
      <c r="S3403" t="s">
        <v>10019</v>
      </c>
      <c r="T3403" t="s">
        <v>13232</v>
      </c>
      <c r="U3403" t="s">
        <v>13232</v>
      </c>
      <c r="V3403" t="s">
        <v>13232</v>
      </c>
      <c r="W3403" t="s">
        <v>16577</v>
      </c>
      <c r="X3403">
        <v>15</v>
      </c>
      <c r="Y3403" t="s">
        <v>23015</v>
      </c>
      <c r="Z3403" t="s">
        <v>29534</v>
      </c>
      <c r="AA3403">
        <v>0.56143841031398489</v>
      </c>
      <c r="AB3403" t="str">
        <f>HYPERLINK("Melting_Curves/meltCurve_Q15717_ELAVL1.pdf", "Melting_Curves/meltCurve_Q15717_ELAVL1.pdf")</f>
        <v>Melting_Curves/meltCurve_Q15717_ELAVL1.pdf</v>
      </c>
    </row>
    <row r="3404" spans="1:28" x14ac:dyDescent="0.25">
      <c r="A3404" t="s">
        <v>3407</v>
      </c>
      <c r="B3404">
        <v>0.99930955844802105</v>
      </c>
      <c r="C3404">
        <v>1.0695384416237399</v>
      </c>
      <c r="D3404">
        <v>1.0872348846956601</v>
      </c>
      <c r="E3404">
        <v>1.1143616436161801</v>
      </c>
      <c r="F3404">
        <v>1.0300852632906301</v>
      </c>
      <c r="G3404">
        <v>0.91624720882595401</v>
      </c>
      <c r="H3404">
        <v>0.89309162151693899</v>
      </c>
      <c r="I3404">
        <v>1.0002036395600999</v>
      </c>
      <c r="J3404">
        <v>0.92725660391509601</v>
      </c>
      <c r="K3404">
        <v>0.74402927918443695</v>
      </c>
      <c r="L3404">
        <v>2075.2485010977998</v>
      </c>
      <c r="M3404">
        <v>28.560818661418701</v>
      </c>
      <c r="Q3404">
        <v>0</v>
      </c>
      <c r="R3404">
        <v>0.59917391456501601</v>
      </c>
      <c r="S3404" t="s">
        <v>10020</v>
      </c>
      <c r="T3404" t="s">
        <v>13232</v>
      </c>
      <c r="U3404" t="s">
        <v>13232</v>
      </c>
      <c r="V3404" t="s">
        <v>13232</v>
      </c>
      <c r="W3404" t="s">
        <v>16578</v>
      </c>
      <c r="X3404">
        <v>11</v>
      </c>
      <c r="Y3404" t="s">
        <v>23016</v>
      </c>
      <c r="Z3404" t="s">
        <v>29535</v>
      </c>
      <c r="AA3404">
        <v>0.97860731949852764</v>
      </c>
      <c r="AB3404" t="str">
        <f>HYPERLINK("Melting_Curves/meltCurve_Q15723_1_ELF2.pdf", "Melting_Curves/meltCurve_Q15723_1_ELF2.pdf")</f>
        <v>Melting_Curves/meltCurve_Q15723_1_ELF2.pdf</v>
      </c>
    </row>
    <row r="3405" spans="1:28" x14ac:dyDescent="0.25">
      <c r="A3405" t="s">
        <v>3408</v>
      </c>
      <c r="B3405">
        <v>0.99930955844802105</v>
      </c>
      <c r="C3405">
        <v>0.77640624359619304</v>
      </c>
      <c r="D3405">
        <v>0.78404072922500601</v>
      </c>
      <c r="E3405">
        <v>0.75863121481017703</v>
      </c>
      <c r="F3405">
        <v>0.41932030316993701</v>
      </c>
      <c r="G3405">
        <v>0.240160878634781</v>
      </c>
      <c r="H3405">
        <v>0.13195446213216999</v>
      </c>
      <c r="I3405">
        <v>0.110825588605328</v>
      </c>
      <c r="J3405">
        <v>7.6675435433299105E-2</v>
      </c>
      <c r="K3405">
        <v>6.3183193564718396E-2</v>
      </c>
      <c r="L3405">
        <v>585.69623545437605</v>
      </c>
      <c r="M3405">
        <v>11.2397182535209</v>
      </c>
      <c r="N3405">
        <v>52.109503575140799</v>
      </c>
      <c r="O3405">
        <v>50.541673323136699</v>
      </c>
      <c r="P3405">
        <v>-5.56135471057266E-2</v>
      </c>
      <c r="Q3405">
        <v>0</v>
      </c>
      <c r="R3405">
        <v>0.96068960025485495</v>
      </c>
      <c r="S3405" t="s">
        <v>10021</v>
      </c>
      <c r="T3405" t="s">
        <v>13232</v>
      </c>
      <c r="U3405" t="s">
        <v>13232</v>
      </c>
      <c r="V3405" t="s">
        <v>13232</v>
      </c>
      <c r="W3405" t="s">
        <v>16579</v>
      </c>
      <c r="X3405">
        <v>4</v>
      </c>
      <c r="Y3405" t="s">
        <v>23017</v>
      </c>
      <c r="Z3405" t="s">
        <v>29536</v>
      </c>
      <c r="AA3405">
        <v>0.43657391752472541</v>
      </c>
      <c r="AB3405" t="str">
        <f>HYPERLINK("Melting_Curves/meltCurve_Q15738_NSDHL.pdf", "Melting_Curves/meltCurve_Q15738_NSDHL.pdf")</f>
        <v>Melting_Curves/meltCurve_Q15738_NSDHL.pdf</v>
      </c>
    </row>
    <row r="3406" spans="1:28" x14ac:dyDescent="0.25">
      <c r="A3406" t="s">
        <v>3409</v>
      </c>
      <c r="B3406">
        <v>0.99930955844802105</v>
      </c>
      <c r="C3406">
        <v>0.92991851950293303</v>
      </c>
      <c r="D3406">
        <v>0.76240381969441096</v>
      </c>
      <c r="E3406">
        <v>0.52868184280094899</v>
      </c>
      <c r="F3406">
        <v>0.33355728258186201</v>
      </c>
      <c r="G3406">
        <v>0.24133929239244201</v>
      </c>
      <c r="H3406">
        <v>0.17018199655808799</v>
      </c>
      <c r="I3406">
        <v>0.164135357681959</v>
      </c>
      <c r="J3406">
        <v>0.14901900086008801</v>
      </c>
      <c r="K3406">
        <v>0.12162766930938</v>
      </c>
      <c r="L3406">
        <v>756.84694756996601</v>
      </c>
      <c r="M3406">
        <v>15.366980840118501</v>
      </c>
      <c r="N3406">
        <v>50.236599108267903</v>
      </c>
      <c r="O3406">
        <v>48.4400545123572</v>
      </c>
      <c r="P3406">
        <v>-6.8998744767828302E-2</v>
      </c>
      <c r="Q3406">
        <v>0.13008391622141999</v>
      </c>
      <c r="R3406">
        <v>0.99800358020027202</v>
      </c>
      <c r="S3406" t="s">
        <v>10022</v>
      </c>
      <c r="T3406" t="s">
        <v>13232</v>
      </c>
      <c r="U3406" t="s">
        <v>13232</v>
      </c>
      <c r="V3406" t="s">
        <v>13232</v>
      </c>
      <c r="W3406" t="s">
        <v>16580</v>
      </c>
      <c r="X3406">
        <v>10</v>
      </c>
      <c r="Y3406" t="s">
        <v>23018</v>
      </c>
      <c r="Z3406" t="s">
        <v>29537</v>
      </c>
      <c r="AA3406">
        <v>0.41868903988009681</v>
      </c>
      <c r="AB3406" t="str">
        <f>HYPERLINK("Melting_Curves/meltCurve_Q15742_NAB2.pdf", "Melting_Curves/meltCurve_Q15742_NAB2.pdf")</f>
        <v>Melting_Curves/meltCurve_Q15742_NAB2.pdf</v>
      </c>
    </row>
    <row r="3407" spans="1:28" x14ac:dyDescent="0.25">
      <c r="A3407" t="s">
        <v>3410</v>
      </c>
      <c r="B3407">
        <v>0.99930955844802105</v>
      </c>
      <c r="C3407">
        <v>0.91842959201750096</v>
      </c>
      <c r="D3407">
        <v>0.72139979258675302</v>
      </c>
      <c r="E3407">
        <v>0.45978670597299998</v>
      </c>
      <c r="F3407">
        <v>0.25663916676621701</v>
      </c>
      <c r="G3407">
        <v>0.12848126407167301</v>
      </c>
      <c r="H3407">
        <v>0.116346037218513</v>
      </c>
      <c r="I3407">
        <v>7.4434078359863307E-2</v>
      </c>
      <c r="J3407">
        <v>6.3221959471696093E-2</v>
      </c>
      <c r="K3407">
        <v>4.9645559636684801E-2</v>
      </c>
      <c r="L3407">
        <v>781.64159097011895</v>
      </c>
      <c r="M3407">
        <v>15.9966678366489</v>
      </c>
      <c r="N3407">
        <v>49.209703736836403</v>
      </c>
      <c r="O3407">
        <v>48.118281708480403</v>
      </c>
      <c r="P3407">
        <v>-7.8685439813011904E-2</v>
      </c>
      <c r="Q3407">
        <v>5.3324803097141903E-2</v>
      </c>
      <c r="R3407">
        <v>0.99787855486919397</v>
      </c>
      <c r="S3407" t="s">
        <v>10023</v>
      </c>
      <c r="T3407" t="s">
        <v>13232</v>
      </c>
      <c r="U3407" t="s">
        <v>13232</v>
      </c>
      <c r="V3407" t="s">
        <v>13232</v>
      </c>
      <c r="W3407" t="s">
        <v>16581</v>
      </c>
      <c r="X3407">
        <v>4</v>
      </c>
      <c r="Y3407" t="s">
        <v>23019</v>
      </c>
      <c r="Z3407" t="s">
        <v>29538</v>
      </c>
      <c r="AA3407">
        <v>0.35375568923123418</v>
      </c>
      <c r="AB3407" t="str">
        <f>HYPERLINK("Melting_Curves/meltCurve_Q15746_4_MYLK.pdf", "Melting_Curves/meltCurve_Q15746_4_MYLK.pdf")</f>
        <v>Melting_Curves/meltCurve_Q15746_4_MYLK.pdf</v>
      </c>
    </row>
    <row r="3408" spans="1:28" x14ac:dyDescent="0.25">
      <c r="A3408" t="s">
        <v>3411</v>
      </c>
      <c r="B3408">
        <v>0.99930955844802105</v>
      </c>
      <c r="C3408">
        <v>1.0626722662107</v>
      </c>
      <c r="D3408">
        <v>1.0084112550970601</v>
      </c>
      <c r="E3408">
        <v>0.56294345379001398</v>
      </c>
      <c r="F3408">
        <v>0.23216513028730201</v>
      </c>
      <c r="G3408">
        <v>0.15384578616360001</v>
      </c>
      <c r="H3408">
        <v>8.7025937276118695E-2</v>
      </c>
      <c r="I3408">
        <v>7.1222583854661903E-2</v>
      </c>
      <c r="J3408">
        <v>6.5271818519770902E-2</v>
      </c>
      <c r="K3408">
        <v>5.2090347637974099E-2</v>
      </c>
      <c r="L3408">
        <v>1684.27948752354</v>
      </c>
      <c r="M3408">
        <v>33.508488304061402</v>
      </c>
      <c r="N3408">
        <v>50.5354248466965</v>
      </c>
      <c r="O3408">
        <v>50.086255078602299</v>
      </c>
      <c r="P3408">
        <v>-0.15349304101219299</v>
      </c>
      <c r="Q3408">
        <v>8.2279180082470801E-2</v>
      </c>
      <c r="R3408">
        <v>0.99336169226910698</v>
      </c>
      <c r="S3408" t="s">
        <v>10024</v>
      </c>
      <c r="T3408" t="s">
        <v>13232</v>
      </c>
      <c r="U3408" t="s">
        <v>13232</v>
      </c>
      <c r="V3408" t="s">
        <v>13232</v>
      </c>
      <c r="W3408" t="s">
        <v>16582</v>
      </c>
      <c r="X3408">
        <v>21</v>
      </c>
      <c r="Y3408" t="s">
        <v>23020</v>
      </c>
      <c r="Z3408" t="s">
        <v>29539</v>
      </c>
      <c r="AA3408">
        <v>0.40082985538072158</v>
      </c>
      <c r="AB3408" t="str">
        <f>HYPERLINK("Melting_Curves/meltCurve_Q15750_2_TAB1.pdf", "Melting_Curves/meltCurve_Q15750_2_TAB1.pdf")</f>
        <v>Melting_Curves/meltCurve_Q15750_2_TAB1.pdf</v>
      </c>
    </row>
    <row r="3409" spans="1:28" x14ac:dyDescent="0.25">
      <c r="A3409" t="s">
        <v>3412</v>
      </c>
      <c r="B3409">
        <v>0.99930955844802105</v>
      </c>
      <c r="C3409">
        <v>0.64683453924974998</v>
      </c>
      <c r="D3409">
        <v>0.69126366138467599</v>
      </c>
      <c r="E3409">
        <v>0.70131567474561696</v>
      </c>
      <c r="F3409">
        <v>0.45534673986583302</v>
      </c>
      <c r="G3409">
        <v>0.43710301471236401</v>
      </c>
      <c r="H3409">
        <v>0.37393339097671502</v>
      </c>
      <c r="I3409">
        <v>0.47949706900349498</v>
      </c>
      <c r="J3409">
        <v>0.42328458024431997</v>
      </c>
      <c r="K3409">
        <v>0.34012936204517602</v>
      </c>
      <c r="L3409">
        <v>423.19781744510198</v>
      </c>
      <c r="M3409">
        <v>9.1111596853756502</v>
      </c>
      <c r="N3409">
        <v>53.863857014407699</v>
      </c>
      <c r="O3409">
        <v>44.3747682076921</v>
      </c>
      <c r="P3409">
        <v>-3.3009516942891302E-2</v>
      </c>
      <c r="Q3409">
        <v>0.357370349225615</v>
      </c>
      <c r="R3409">
        <v>0.82271342111988899</v>
      </c>
      <c r="S3409" t="s">
        <v>10025</v>
      </c>
      <c r="T3409" t="s">
        <v>13232</v>
      </c>
      <c r="U3409" t="s">
        <v>13232</v>
      </c>
      <c r="V3409" t="s">
        <v>13232</v>
      </c>
      <c r="W3409" t="s">
        <v>16583</v>
      </c>
      <c r="X3409">
        <v>7</v>
      </c>
      <c r="Y3409" t="s">
        <v>23021</v>
      </c>
      <c r="Z3409" t="s">
        <v>29540</v>
      </c>
      <c r="AA3409">
        <v>0.54023398404243039</v>
      </c>
      <c r="AB3409" t="str">
        <f>HYPERLINK("Melting_Curves/meltCurve_Q15751_HERC1.pdf", "Melting_Curves/meltCurve_Q15751_HERC1.pdf")</f>
        <v>Melting_Curves/meltCurve_Q15751_HERC1.pdf</v>
      </c>
    </row>
    <row r="3410" spans="1:28" x14ac:dyDescent="0.25">
      <c r="A3410" t="s">
        <v>3413</v>
      </c>
      <c r="B3410">
        <v>0.99930955844802105</v>
      </c>
      <c r="C3410">
        <v>0.84218621192591103</v>
      </c>
      <c r="D3410">
        <v>0.64881229924807504</v>
      </c>
      <c r="E3410">
        <v>0.91684080357633302</v>
      </c>
      <c r="F3410">
        <v>0.54001522464179097</v>
      </c>
      <c r="G3410">
        <v>0.36981331669922501</v>
      </c>
      <c r="H3410">
        <v>0.42020505587143497</v>
      </c>
      <c r="I3410">
        <v>0.49063004199764398</v>
      </c>
      <c r="J3410">
        <v>0.54301844657507403</v>
      </c>
      <c r="K3410">
        <v>0.43025359040435401</v>
      </c>
      <c r="L3410">
        <v>506.43995457456998</v>
      </c>
      <c r="M3410">
        <v>10.459002309522299</v>
      </c>
      <c r="N3410">
        <v>58.490008039804202</v>
      </c>
      <c r="O3410">
        <v>46.751709718674</v>
      </c>
      <c r="P3410">
        <v>-3.2598041582068298E-2</v>
      </c>
      <c r="Q3410">
        <v>0.41738599969694101</v>
      </c>
      <c r="R3410">
        <v>0.71880301033193905</v>
      </c>
      <c r="S3410" t="s">
        <v>10026</v>
      </c>
      <c r="T3410" t="s">
        <v>13232</v>
      </c>
      <c r="U3410" t="s">
        <v>13232</v>
      </c>
      <c r="V3410" t="s">
        <v>13232</v>
      </c>
      <c r="W3410" t="s">
        <v>16584</v>
      </c>
      <c r="X3410">
        <v>5</v>
      </c>
      <c r="Y3410" t="s">
        <v>23022</v>
      </c>
      <c r="Z3410" t="s">
        <v>29541</v>
      </c>
      <c r="AA3410">
        <v>0.60877860852119825</v>
      </c>
      <c r="AB3410" t="str">
        <f>HYPERLINK("Melting_Curves/meltCurve_Q15758_SLC1A5.pdf", "Melting_Curves/meltCurve_Q15758_SLC1A5.pdf")</f>
        <v>Melting_Curves/meltCurve_Q15758_SLC1A5.pdf</v>
      </c>
    </row>
    <row r="3411" spans="1:28" x14ac:dyDescent="0.25">
      <c r="A3411" t="s">
        <v>3414</v>
      </c>
      <c r="B3411">
        <v>0.99930955844802105</v>
      </c>
      <c r="C3411">
        <v>0.93604160017722104</v>
      </c>
      <c r="D3411">
        <v>0.90903709296483104</v>
      </c>
      <c r="E3411">
        <v>0.53515292811024096</v>
      </c>
      <c r="F3411">
        <v>0.16555979636552901</v>
      </c>
      <c r="G3411">
        <v>0.12522175459322199</v>
      </c>
      <c r="H3411">
        <v>5.39501311951322E-2</v>
      </c>
      <c r="I3411">
        <v>4.2253423738608603E-2</v>
      </c>
      <c r="J3411">
        <v>3.6269901384314698E-2</v>
      </c>
      <c r="K3411">
        <v>2.8640260957440499E-2</v>
      </c>
      <c r="L3411">
        <v>1360.57620000763</v>
      </c>
      <c r="M3411">
        <v>27.2468814956353</v>
      </c>
      <c r="N3411">
        <v>50.102735208796602</v>
      </c>
      <c r="O3411">
        <v>49.668458309801302</v>
      </c>
      <c r="P3411">
        <v>-0.13117082795446999</v>
      </c>
      <c r="Q3411">
        <v>4.3561658829832102E-2</v>
      </c>
      <c r="R3411">
        <v>0.99494552387713897</v>
      </c>
      <c r="S3411" t="s">
        <v>10027</v>
      </c>
      <c r="T3411" t="s">
        <v>13232</v>
      </c>
      <c r="U3411" t="s">
        <v>13232</v>
      </c>
      <c r="V3411" t="s">
        <v>13232</v>
      </c>
      <c r="W3411" t="s">
        <v>16585</v>
      </c>
      <c r="X3411">
        <v>4</v>
      </c>
      <c r="Y3411" t="s">
        <v>23023</v>
      </c>
      <c r="Z3411" t="s">
        <v>29542</v>
      </c>
      <c r="AA3411">
        <v>0.36748648103907511</v>
      </c>
      <c r="AB3411" t="str">
        <f>HYPERLINK("Melting_Curves/meltCurve_Q15759_MAPK11.pdf", "Melting_Curves/meltCurve_Q15759_MAPK11.pdf")</f>
        <v>Melting_Curves/meltCurve_Q15759_MAPK11.pdf</v>
      </c>
    </row>
    <row r="3412" spans="1:28" x14ac:dyDescent="0.25">
      <c r="A3412" t="s">
        <v>3415</v>
      </c>
      <c r="B3412">
        <v>0.99930955844802105</v>
      </c>
      <c r="C3412">
        <v>0.91794570681643906</v>
      </c>
      <c r="D3412">
        <v>0.79551517985804199</v>
      </c>
      <c r="E3412">
        <v>0.72470456947818596</v>
      </c>
      <c r="F3412">
        <v>0.638210996598917</v>
      </c>
      <c r="G3412">
        <v>0.498521157533791</v>
      </c>
      <c r="H3412">
        <v>0.428199185669494</v>
      </c>
      <c r="I3412">
        <v>0.421250756028893</v>
      </c>
      <c r="J3412">
        <v>0.41881475958571401</v>
      </c>
      <c r="K3412">
        <v>0.365428551933837</v>
      </c>
      <c r="L3412">
        <v>509.11463581784102</v>
      </c>
      <c r="M3412">
        <v>9.9312700904917897</v>
      </c>
      <c r="N3412">
        <v>57.709023716741299</v>
      </c>
      <c r="O3412">
        <v>49.315194448018403</v>
      </c>
      <c r="P3412">
        <v>-3.34924930606081E-2</v>
      </c>
      <c r="Q3412">
        <v>0.33508433036802598</v>
      </c>
      <c r="R3412">
        <v>0.98821838938925699</v>
      </c>
      <c r="S3412" t="s">
        <v>10028</v>
      </c>
      <c r="T3412" t="s">
        <v>13232</v>
      </c>
      <c r="U3412" t="s">
        <v>13232</v>
      </c>
      <c r="V3412" t="s">
        <v>13232</v>
      </c>
      <c r="W3412" t="s">
        <v>16586</v>
      </c>
      <c r="X3412">
        <v>4</v>
      </c>
      <c r="Y3412" t="s">
        <v>23024</v>
      </c>
      <c r="Z3412" t="s">
        <v>29543</v>
      </c>
      <c r="AA3412">
        <v>0.61198016809569289</v>
      </c>
      <c r="AB3412" t="str">
        <f>HYPERLINK("Melting_Curves/meltCurve_Q15773_MLF2.pdf", "Melting_Curves/meltCurve_Q15773_MLF2.pdf")</f>
        <v>Melting_Curves/meltCurve_Q15773_MLF2.pdf</v>
      </c>
    </row>
    <row r="3413" spans="1:28" x14ac:dyDescent="0.25">
      <c r="A3413" t="s">
        <v>3416</v>
      </c>
      <c r="B3413">
        <v>0.99930955844802105</v>
      </c>
      <c r="C3413">
        <v>1.1126835460686599</v>
      </c>
      <c r="D3413">
        <v>1.0461114622846599</v>
      </c>
      <c r="E3413">
        <v>0.91483936490456896</v>
      </c>
      <c r="F3413">
        <v>0.79231199761479798</v>
      </c>
      <c r="G3413">
        <v>0.64503317257617698</v>
      </c>
      <c r="H3413">
        <v>0.53276016104669599</v>
      </c>
      <c r="I3413">
        <v>0.29200301473789098</v>
      </c>
      <c r="J3413">
        <v>0.24935144803557599</v>
      </c>
      <c r="K3413">
        <v>0.19765172762737501</v>
      </c>
      <c r="L3413">
        <v>748.558101008942</v>
      </c>
      <c r="M3413">
        <v>12.580513148683901</v>
      </c>
      <c r="N3413">
        <v>60.200355487956799</v>
      </c>
      <c r="O3413">
        <v>58.058016452524697</v>
      </c>
      <c r="P3413">
        <v>-5.0501301328740103E-2</v>
      </c>
      <c r="Q3413">
        <v>6.7949927102164603E-2</v>
      </c>
      <c r="R3413">
        <v>0.97361466650378203</v>
      </c>
      <c r="S3413" t="s">
        <v>10029</v>
      </c>
      <c r="T3413" t="s">
        <v>13232</v>
      </c>
      <c r="U3413" t="s">
        <v>13232</v>
      </c>
      <c r="V3413" t="s">
        <v>13232</v>
      </c>
      <c r="W3413" t="s">
        <v>16587</v>
      </c>
      <c r="X3413">
        <v>13</v>
      </c>
      <c r="Y3413" t="s">
        <v>23025</v>
      </c>
      <c r="Z3413" t="s">
        <v>29544</v>
      </c>
      <c r="AA3413">
        <v>0.67965966307854253</v>
      </c>
      <c r="AB3413" t="str">
        <f>HYPERLINK("Melting_Curves/meltCurve_Q15776_ZKSCAN8.pdf", "Melting_Curves/meltCurve_Q15776_ZKSCAN8.pdf")</f>
        <v>Melting_Curves/meltCurve_Q15776_ZKSCAN8.pdf</v>
      </c>
    </row>
    <row r="3414" spans="1:28" x14ac:dyDescent="0.25">
      <c r="A3414" t="s">
        <v>3417</v>
      </c>
      <c r="B3414">
        <v>0.99930955844802105</v>
      </c>
      <c r="C3414">
        <v>0.85307340141063903</v>
      </c>
      <c r="D3414">
        <v>0.465643856005727</v>
      </c>
      <c r="E3414">
        <v>0.27010053944925</v>
      </c>
      <c r="F3414">
        <v>0.13739470241232099</v>
      </c>
      <c r="G3414">
        <v>9.3412018802850896E-2</v>
      </c>
      <c r="H3414">
        <v>5.5682299039125499E-2</v>
      </c>
      <c r="I3414">
        <v>5.2195451988440097E-2</v>
      </c>
      <c r="J3414">
        <v>4.6402164818047299E-2</v>
      </c>
      <c r="K3414">
        <v>3.6336943231351601E-2</v>
      </c>
      <c r="L3414">
        <v>902.27847720859802</v>
      </c>
      <c r="M3414">
        <v>19.605459249875999</v>
      </c>
      <c r="N3414">
        <v>46.302778198840201</v>
      </c>
      <c r="O3414">
        <v>45.551014432665397</v>
      </c>
      <c r="P3414">
        <v>-0.10157050397048099</v>
      </c>
      <c r="Q3414">
        <v>5.60840216409337E-2</v>
      </c>
      <c r="R3414">
        <v>0.99016835859755303</v>
      </c>
      <c r="S3414" t="s">
        <v>10030</v>
      </c>
      <c r="T3414" t="s">
        <v>13232</v>
      </c>
      <c r="U3414" t="s">
        <v>13232</v>
      </c>
      <c r="V3414" t="s">
        <v>13232</v>
      </c>
      <c r="W3414" t="s">
        <v>16588</v>
      </c>
      <c r="X3414">
        <v>21</v>
      </c>
      <c r="Y3414" t="s">
        <v>23026</v>
      </c>
      <c r="Z3414" t="s">
        <v>29545</v>
      </c>
      <c r="AA3414">
        <v>0.26080126044041158</v>
      </c>
      <c r="AB3414" t="str">
        <f>HYPERLINK("Melting_Curves/meltCurve_Q15785_TOMM34.pdf", "Melting_Curves/meltCurve_Q15785_TOMM34.pdf")</f>
        <v>Melting_Curves/meltCurve_Q15785_TOMM34.pdf</v>
      </c>
    </row>
    <row r="3415" spans="1:28" x14ac:dyDescent="0.25">
      <c r="A3415" t="s">
        <v>3418</v>
      </c>
      <c r="B3415">
        <v>0.99930955844802105</v>
      </c>
      <c r="C3415">
        <v>0.96197675987507403</v>
      </c>
      <c r="D3415">
        <v>0.99130469310136404</v>
      </c>
      <c r="E3415">
        <v>0.87907666880072699</v>
      </c>
      <c r="F3415">
        <v>0.76116124024128495</v>
      </c>
      <c r="G3415">
        <v>0.64732778563351601</v>
      </c>
      <c r="H3415">
        <v>0.54066830217479001</v>
      </c>
      <c r="I3415">
        <v>0.58282339779832004</v>
      </c>
      <c r="J3415">
        <v>0.50440007975133105</v>
      </c>
      <c r="K3415">
        <v>0.42630621897078702</v>
      </c>
      <c r="L3415">
        <v>692.630395977989</v>
      </c>
      <c r="M3415">
        <v>12.6296471109903</v>
      </c>
      <c r="N3415">
        <v>65.816213989468807</v>
      </c>
      <c r="O3415">
        <v>53.521205343230598</v>
      </c>
      <c r="P3415">
        <v>-3.3094049982298597E-2</v>
      </c>
      <c r="Q3415">
        <v>0.43913449574210001</v>
      </c>
      <c r="R3415">
        <v>0.978107778702756</v>
      </c>
      <c r="S3415" t="s">
        <v>10031</v>
      </c>
      <c r="T3415" t="s">
        <v>13232</v>
      </c>
      <c r="U3415" t="s">
        <v>13232</v>
      </c>
      <c r="V3415" t="s">
        <v>13232</v>
      </c>
      <c r="W3415" t="s">
        <v>16589</v>
      </c>
      <c r="X3415">
        <v>9</v>
      </c>
      <c r="Y3415" t="s">
        <v>23027</v>
      </c>
      <c r="Z3415" t="s">
        <v>29546</v>
      </c>
      <c r="AA3415">
        <v>0.7294910780385081</v>
      </c>
      <c r="AB3415" t="str">
        <f>HYPERLINK("Melting_Curves/meltCurve_Q15788_2_NCOA1.pdf", "Melting_Curves/meltCurve_Q15788_2_NCOA1.pdf")</f>
        <v>Melting_Curves/meltCurve_Q15788_2_NCOA1.pdf</v>
      </c>
    </row>
    <row r="3416" spans="1:28" x14ac:dyDescent="0.25">
      <c r="A3416" t="s">
        <v>3419</v>
      </c>
      <c r="B3416">
        <v>0.99930955844802105</v>
      </c>
      <c r="C3416">
        <v>1.0341091311801101</v>
      </c>
      <c r="D3416">
        <v>0.46692549941802503</v>
      </c>
      <c r="E3416">
        <v>0.58965351258314802</v>
      </c>
      <c r="F3416">
        <v>0.23638241810739799</v>
      </c>
      <c r="G3416">
        <v>0.160965968898755</v>
      </c>
      <c r="H3416">
        <v>8.2162023867756298E-2</v>
      </c>
      <c r="I3416">
        <v>6.7315087909534305E-2</v>
      </c>
      <c r="J3416">
        <v>5.52444610922024E-2</v>
      </c>
      <c r="K3416">
        <v>4.0679036156903499E-2</v>
      </c>
      <c r="L3416">
        <v>649.46437753158398</v>
      </c>
      <c r="M3416">
        <v>13.296826001625099</v>
      </c>
      <c r="N3416">
        <v>49.055044011973997</v>
      </c>
      <c r="O3416">
        <v>47.778477375053598</v>
      </c>
      <c r="P3416">
        <v>-6.7648304971355003E-2</v>
      </c>
      <c r="Q3416">
        <v>2.78551679856959E-2</v>
      </c>
      <c r="R3416">
        <v>0.91728591804264503</v>
      </c>
      <c r="S3416" t="s">
        <v>10032</v>
      </c>
      <c r="T3416" t="s">
        <v>13232</v>
      </c>
      <c r="U3416" t="s">
        <v>13232</v>
      </c>
      <c r="V3416" t="s">
        <v>13232</v>
      </c>
      <c r="W3416" t="s">
        <v>16590</v>
      </c>
      <c r="X3416">
        <v>16</v>
      </c>
      <c r="Y3416" t="s">
        <v>23028</v>
      </c>
      <c r="Z3416" t="s">
        <v>29547</v>
      </c>
      <c r="AA3416">
        <v>0.34458260079688929</v>
      </c>
      <c r="AB3416" t="str">
        <f>HYPERLINK("Melting_Curves/meltCurve_Q15796_2_SMAD2.pdf", "Melting_Curves/meltCurve_Q15796_2_SMAD2.pdf")</f>
        <v>Melting_Curves/meltCurve_Q15796_2_SMAD2.pdf</v>
      </c>
    </row>
    <row r="3417" spans="1:28" x14ac:dyDescent="0.25">
      <c r="A3417" t="s">
        <v>3420</v>
      </c>
      <c r="B3417">
        <v>0.99930955844802105</v>
      </c>
      <c r="C3417">
        <v>1.08694274886039</v>
      </c>
      <c r="D3417">
        <v>0.98605865653858504</v>
      </c>
      <c r="E3417">
        <v>0.70753269152533904</v>
      </c>
      <c r="F3417">
        <v>0.27309151503414902</v>
      </c>
      <c r="G3417">
        <v>0.20504520658039099</v>
      </c>
      <c r="H3417">
        <v>0.148782167253247</v>
      </c>
      <c r="I3417">
        <v>0.147842796328015</v>
      </c>
      <c r="J3417">
        <v>0.133742836466445</v>
      </c>
      <c r="K3417">
        <v>0.111227912858596</v>
      </c>
      <c r="L3417">
        <v>2032.1525668804099</v>
      </c>
      <c r="M3417">
        <v>40.002144686912402</v>
      </c>
      <c r="N3417">
        <v>51.241366439571799</v>
      </c>
      <c r="O3417">
        <v>50.674639318770502</v>
      </c>
      <c r="P3417">
        <v>-0.16864767467181299</v>
      </c>
      <c r="Q3417">
        <v>0.14543177476983499</v>
      </c>
      <c r="R3417">
        <v>0.99257729106723003</v>
      </c>
      <c r="S3417" t="s">
        <v>10033</v>
      </c>
      <c r="T3417" t="s">
        <v>13232</v>
      </c>
      <c r="U3417" t="s">
        <v>13232</v>
      </c>
      <c r="V3417" t="s">
        <v>13232</v>
      </c>
      <c r="W3417" t="s">
        <v>16591</v>
      </c>
      <c r="X3417">
        <v>10</v>
      </c>
      <c r="Y3417" t="s">
        <v>23029</v>
      </c>
      <c r="Z3417" t="s">
        <v>29548</v>
      </c>
      <c r="AA3417">
        <v>0.45610793503002861</v>
      </c>
      <c r="AB3417" t="str">
        <f>HYPERLINK("Melting_Curves/meltCurve_Q15797_SMAD1.pdf", "Melting_Curves/meltCurve_Q15797_SMAD1.pdf")</f>
        <v>Melting_Curves/meltCurve_Q15797_SMAD1.pdf</v>
      </c>
    </row>
    <row r="3418" spans="1:28" x14ac:dyDescent="0.25">
      <c r="A3418" t="s">
        <v>3421</v>
      </c>
      <c r="B3418">
        <v>0.99930955844802105</v>
      </c>
      <c r="C3418">
        <v>1.1152736474001499</v>
      </c>
      <c r="D3418">
        <v>1.0486402096656899</v>
      </c>
      <c r="E3418">
        <v>0.53991431025470404</v>
      </c>
      <c r="F3418">
        <v>0.370955251514408</v>
      </c>
      <c r="G3418">
        <v>0.29343720007349799</v>
      </c>
      <c r="H3418">
        <v>0.19755141575627599</v>
      </c>
      <c r="I3418">
        <v>0.162591196113125</v>
      </c>
      <c r="J3418">
        <v>0.13269904925543299</v>
      </c>
      <c r="K3418">
        <v>9.6139479374627801E-2</v>
      </c>
      <c r="L3418">
        <v>1406.82544439144</v>
      </c>
      <c r="M3418">
        <v>28.0053346785228</v>
      </c>
      <c r="N3418">
        <v>50.993052749533902</v>
      </c>
      <c r="O3418">
        <v>49.980156971385803</v>
      </c>
      <c r="P3418">
        <v>-0.116211628960604</v>
      </c>
      <c r="Q3418">
        <v>0.17041160308672501</v>
      </c>
      <c r="R3418">
        <v>0.96645030598944703</v>
      </c>
      <c r="S3418" t="s">
        <v>10034</v>
      </c>
      <c r="T3418" t="s">
        <v>13232</v>
      </c>
      <c r="U3418" t="s">
        <v>13232</v>
      </c>
      <c r="V3418" t="s">
        <v>13232</v>
      </c>
      <c r="W3418" t="s">
        <v>16592</v>
      </c>
      <c r="X3418">
        <v>27</v>
      </c>
      <c r="Y3418" t="s">
        <v>23030</v>
      </c>
      <c r="Z3418" t="s">
        <v>29549</v>
      </c>
      <c r="AA3418">
        <v>0.45933463910540839</v>
      </c>
      <c r="AB3418" t="str">
        <f>HYPERLINK("Melting_Curves/meltCurve_Q15813_TBCE.pdf", "Melting_Curves/meltCurve_Q15813_TBCE.pdf")</f>
        <v>Melting_Curves/meltCurve_Q15813_TBCE.pdf</v>
      </c>
    </row>
    <row r="3419" spans="1:28" x14ac:dyDescent="0.25">
      <c r="A3419" t="s">
        <v>3422</v>
      </c>
      <c r="B3419">
        <v>0.99930955844802105</v>
      </c>
      <c r="C3419">
        <v>1.0410589142787099</v>
      </c>
      <c r="D3419">
        <v>1.07477932240882</v>
      </c>
      <c r="E3419">
        <v>0.99006722301093197</v>
      </c>
      <c r="F3419">
        <v>0.82929043309393402</v>
      </c>
      <c r="G3419">
        <v>0.50082915399379002</v>
      </c>
      <c r="H3419">
        <v>0.19632861745868399</v>
      </c>
      <c r="I3419">
        <v>0.16585438949479001</v>
      </c>
      <c r="J3419">
        <v>0.14305643618026401</v>
      </c>
      <c r="K3419">
        <v>0.108174867142598</v>
      </c>
      <c r="L3419">
        <v>1469.61524862397</v>
      </c>
      <c r="M3419">
        <v>26.117798835746399</v>
      </c>
      <c r="N3419">
        <v>56.843598058383101</v>
      </c>
      <c r="O3419">
        <v>55.941956016498303</v>
      </c>
      <c r="P3419">
        <v>-0.103172270282193</v>
      </c>
      <c r="Q3419">
        <v>0.11606735415625501</v>
      </c>
      <c r="R3419">
        <v>0.99369012689876901</v>
      </c>
      <c r="S3419" t="s">
        <v>10035</v>
      </c>
      <c r="T3419" t="s">
        <v>13232</v>
      </c>
      <c r="U3419" t="s">
        <v>13232</v>
      </c>
      <c r="V3419" t="s">
        <v>13232</v>
      </c>
      <c r="W3419" t="s">
        <v>16593</v>
      </c>
      <c r="X3419">
        <v>13</v>
      </c>
      <c r="Y3419" t="s">
        <v>23031</v>
      </c>
      <c r="Z3419" t="s">
        <v>29550</v>
      </c>
      <c r="AA3419">
        <v>0.6029336485988156</v>
      </c>
      <c r="AB3419" t="str">
        <f>HYPERLINK("Melting_Curves/meltCurve_Q15814_TBCC.pdf", "Melting_Curves/meltCurve_Q15814_TBCC.pdf")</f>
        <v>Melting_Curves/meltCurve_Q15814_TBCC.pdf</v>
      </c>
    </row>
    <row r="3420" spans="1:28" x14ac:dyDescent="0.25">
      <c r="A3420" t="s">
        <v>3423</v>
      </c>
      <c r="B3420">
        <v>0.99930955844802105</v>
      </c>
      <c r="C3420">
        <v>0.99963011830066395</v>
      </c>
      <c r="D3420">
        <v>1.04354631991655</v>
      </c>
      <c r="E3420">
        <v>0.90176416664299897</v>
      </c>
      <c r="F3420">
        <v>0.76284520848537696</v>
      </c>
      <c r="G3420">
        <v>0.38657610837919898</v>
      </c>
      <c r="H3420">
        <v>0.15582644645964</v>
      </c>
      <c r="I3420">
        <v>0.103296412081958</v>
      </c>
      <c r="J3420">
        <v>7.8086205228611996E-2</v>
      </c>
      <c r="K3420">
        <v>6.42248303633116E-2</v>
      </c>
      <c r="L3420">
        <v>1263.0690193954099</v>
      </c>
      <c r="M3420">
        <v>22.786028887295</v>
      </c>
      <c r="N3420">
        <v>55.730056044845703</v>
      </c>
      <c r="O3420">
        <v>55.010086451083303</v>
      </c>
      <c r="P3420">
        <v>-9.7609962535832095E-2</v>
      </c>
      <c r="Q3420">
        <v>5.7417548213510701E-2</v>
      </c>
      <c r="R3420">
        <v>0.99789537364291503</v>
      </c>
      <c r="S3420" t="s">
        <v>10036</v>
      </c>
      <c r="T3420" t="s">
        <v>13232</v>
      </c>
      <c r="U3420" t="s">
        <v>13232</v>
      </c>
      <c r="V3420" t="s">
        <v>13232</v>
      </c>
      <c r="W3420" t="s">
        <v>16594</v>
      </c>
      <c r="X3420">
        <v>13</v>
      </c>
      <c r="Y3420" t="s">
        <v>23032</v>
      </c>
      <c r="Z3420" t="s">
        <v>29551</v>
      </c>
      <c r="AA3420">
        <v>0.5524270167798252</v>
      </c>
      <c r="AB3420" t="str">
        <f>HYPERLINK("Melting_Curves/meltCurve_Q15819_UBE2V2.pdf", "Melting_Curves/meltCurve_Q15819_UBE2V2.pdf")</f>
        <v>Melting_Curves/meltCurve_Q15819_UBE2V2.pdf</v>
      </c>
    </row>
    <row r="3421" spans="1:28" x14ac:dyDescent="0.25">
      <c r="A3421" t="s">
        <v>3424</v>
      </c>
      <c r="B3421">
        <v>0.99930955844802105</v>
      </c>
      <c r="C3421">
        <v>0.86481675330765995</v>
      </c>
      <c r="D3421">
        <v>0.84567891078934898</v>
      </c>
      <c r="E3421">
        <v>0.79443491396857202</v>
      </c>
      <c r="F3421">
        <v>0.73273538066652799</v>
      </c>
      <c r="G3421">
        <v>0.50685412523142004</v>
      </c>
      <c r="H3421">
        <v>0.21006995368727399</v>
      </c>
      <c r="I3421">
        <v>9.7962984600627398E-2</v>
      </c>
      <c r="J3421">
        <v>6.4046604717090103E-2</v>
      </c>
      <c r="K3421">
        <v>6.1411469826051897E-2</v>
      </c>
      <c r="L3421">
        <v>755.67488476415303</v>
      </c>
      <c r="M3421">
        <v>13.5106855306417</v>
      </c>
      <c r="N3421">
        <v>55.931647312746101</v>
      </c>
      <c r="O3421">
        <v>54.748976593692099</v>
      </c>
      <c r="P3421">
        <v>-6.1703172067037897E-2</v>
      </c>
      <c r="Q3421">
        <v>0</v>
      </c>
      <c r="R3421">
        <v>0.96883880298244396</v>
      </c>
      <c r="S3421" t="s">
        <v>10037</v>
      </c>
      <c r="T3421" t="s">
        <v>13232</v>
      </c>
      <c r="U3421" t="s">
        <v>13232</v>
      </c>
      <c r="V3421" t="s">
        <v>13232</v>
      </c>
      <c r="W3421" t="s">
        <v>16595</v>
      </c>
      <c r="X3421">
        <v>7</v>
      </c>
      <c r="Y3421" t="s">
        <v>23033</v>
      </c>
      <c r="Z3421" t="s">
        <v>29552</v>
      </c>
      <c r="AA3421">
        <v>0.55039444680100713</v>
      </c>
      <c r="AB3421" t="str">
        <f>HYPERLINK("Melting_Curves/meltCurve_Q15831_2_STK11.pdf", "Melting_Curves/meltCurve_Q15831_2_STK11.pdf")</f>
        <v>Melting_Curves/meltCurve_Q15831_2_STK11.pdf</v>
      </c>
    </row>
    <row r="3422" spans="1:28" x14ac:dyDescent="0.25">
      <c r="A3422" t="s">
        <v>3425</v>
      </c>
      <c r="B3422">
        <v>0.99930955844802105</v>
      </c>
      <c r="C3422">
        <v>1.05690591669959</v>
      </c>
      <c r="D3422">
        <v>0.857377027098847</v>
      </c>
      <c r="E3422">
        <v>0.33416818051899</v>
      </c>
      <c r="F3422">
        <v>0.18094366757409799</v>
      </c>
      <c r="G3422">
        <v>0.129895601073068</v>
      </c>
      <c r="H3422">
        <v>8.0658484511410805E-2</v>
      </c>
      <c r="I3422">
        <v>7.1362878172126706E-2</v>
      </c>
      <c r="J3422">
        <v>6.6602247486272595E-2</v>
      </c>
      <c r="K3422">
        <v>5.03355940989412E-2</v>
      </c>
      <c r="L3422">
        <v>1489.9534220890901</v>
      </c>
      <c r="M3422">
        <v>30.675805330726298</v>
      </c>
      <c r="N3422">
        <v>48.853517158249602</v>
      </c>
      <c r="O3422">
        <v>48.365948049324999</v>
      </c>
      <c r="P3422">
        <v>-0.14567305872991801</v>
      </c>
      <c r="Q3422">
        <v>8.1285876777463906E-2</v>
      </c>
      <c r="R3422">
        <v>0.993915141942328</v>
      </c>
      <c r="S3422" t="s">
        <v>10038</v>
      </c>
      <c r="T3422" t="s">
        <v>13232</v>
      </c>
      <c r="U3422" t="s">
        <v>13232</v>
      </c>
      <c r="V3422" t="s">
        <v>13232</v>
      </c>
      <c r="W3422" t="s">
        <v>16596</v>
      </c>
      <c r="X3422">
        <v>28</v>
      </c>
      <c r="Y3422" t="s">
        <v>23034</v>
      </c>
      <c r="Z3422" t="s">
        <v>29553</v>
      </c>
      <c r="AA3422">
        <v>0.34907497756024269</v>
      </c>
      <c r="AB3422" t="str">
        <f>HYPERLINK("Melting_Curves/meltCurve_Q15833_STXBP2.pdf", "Melting_Curves/meltCurve_Q15833_STXBP2.pdf")</f>
        <v>Melting_Curves/meltCurve_Q15833_STXBP2.pdf</v>
      </c>
    </row>
    <row r="3423" spans="1:28" x14ac:dyDescent="0.25">
      <c r="A3423" t="s">
        <v>3426</v>
      </c>
      <c r="B3423">
        <v>0.99930955844802105</v>
      </c>
      <c r="C3423">
        <v>1.1544108016619601</v>
      </c>
      <c r="D3423">
        <v>1.1090922998672501</v>
      </c>
      <c r="E3423">
        <v>1.03310449187176</v>
      </c>
      <c r="F3423">
        <v>0.84282568476569197</v>
      </c>
      <c r="G3423">
        <v>0.73574508593427201</v>
      </c>
      <c r="H3423">
        <v>0.69933717432707099</v>
      </c>
      <c r="I3423">
        <v>0.63542402089303696</v>
      </c>
      <c r="J3423">
        <v>0.66915918898411697</v>
      </c>
      <c r="K3423">
        <v>0.55375621165634403</v>
      </c>
      <c r="L3423">
        <v>1359.63399672795</v>
      </c>
      <c r="M3423">
        <v>24.777026287696501</v>
      </c>
      <c r="O3423">
        <v>54.521071751790601</v>
      </c>
      <c r="P3423">
        <v>-4.2495188423984399E-2</v>
      </c>
      <c r="Q3423">
        <v>0.62596787518114005</v>
      </c>
      <c r="R3423">
        <v>0.87579844398695395</v>
      </c>
      <c r="S3423" t="s">
        <v>10039</v>
      </c>
      <c r="T3423" t="s">
        <v>13232</v>
      </c>
      <c r="U3423" t="s">
        <v>13232</v>
      </c>
      <c r="V3423" t="s">
        <v>13232</v>
      </c>
      <c r="W3423" t="s">
        <v>16597</v>
      </c>
      <c r="X3423">
        <v>3</v>
      </c>
      <c r="Y3423" t="s">
        <v>23035</v>
      </c>
      <c r="Z3423" t="s">
        <v>29554</v>
      </c>
      <c r="AA3423">
        <v>0.81493949459229831</v>
      </c>
      <c r="AB3423" t="str">
        <f>HYPERLINK("Melting_Curves/meltCurve_Q15836_VAMP3.pdf", "Melting_Curves/meltCurve_Q15836_VAMP3.pdf")</f>
        <v>Melting_Curves/meltCurve_Q15836_VAMP3.pdf</v>
      </c>
    </row>
    <row r="3424" spans="1:28" x14ac:dyDescent="0.25">
      <c r="A3424" t="s">
        <v>3427</v>
      </c>
      <c r="B3424">
        <v>0.99930955844802105</v>
      </c>
      <c r="C3424">
        <v>1.16650518580105</v>
      </c>
      <c r="D3424">
        <v>1.24711753072271</v>
      </c>
      <c r="E3424">
        <v>0.95091401447498403</v>
      </c>
      <c r="F3424">
        <v>0.88568801591024104</v>
      </c>
      <c r="G3424">
        <v>1.1852695404646001</v>
      </c>
      <c r="H3424">
        <v>0.86219783164042896</v>
      </c>
      <c r="I3424">
        <v>1.19850694632449</v>
      </c>
      <c r="J3424">
        <v>0.959070335977671</v>
      </c>
      <c r="K3424">
        <v>0.62253137500356803</v>
      </c>
      <c r="L3424">
        <v>15000</v>
      </c>
      <c r="M3424">
        <v>221.77292032377099</v>
      </c>
      <c r="O3424">
        <v>67.631252413946299</v>
      </c>
      <c r="P3424">
        <v>-0.30961733965424598</v>
      </c>
      <c r="Q3424">
        <v>0.62231983577397798</v>
      </c>
      <c r="R3424">
        <v>0.42156049285348701</v>
      </c>
      <c r="S3424" t="s">
        <v>10040</v>
      </c>
      <c r="T3424" t="s">
        <v>13232</v>
      </c>
      <c r="U3424" t="s">
        <v>13232</v>
      </c>
      <c r="V3424" t="s">
        <v>13232</v>
      </c>
      <c r="W3424" t="s">
        <v>16598</v>
      </c>
      <c r="X3424">
        <v>7</v>
      </c>
      <c r="Y3424" t="s">
        <v>16598</v>
      </c>
      <c r="Z3424" t="s">
        <v>29555</v>
      </c>
      <c r="AA3424">
        <v>0.9703029175420419</v>
      </c>
      <c r="AB3424" t="str">
        <f>HYPERLINK("Melting_Curves/meltCurve_Q15843_NEDD8.pdf", "Melting_Curves/meltCurve_Q15843_NEDD8.pdf")</f>
        <v>Melting_Curves/meltCurve_Q15843_NEDD8.pdf</v>
      </c>
    </row>
    <row r="3425" spans="1:28" x14ac:dyDescent="0.25">
      <c r="A3425" t="s">
        <v>3428</v>
      </c>
      <c r="B3425">
        <v>0.99930955844802105</v>
      </c>
      <c r="C3425">
        <v>0.80230869094291402</v>
      </c>
      <c r="D3425">
        <v>0.537031976203036</v>
      </c>
      <c r="E3425">
        <v>0.69529231187749896</v>
      </c>
      <c r="F3425">
        <v>0.40727461323143199</v>
      </c>
      <c r="G3425">
        <v>0.15605437959773499</v>
      </c>
      <c r="H3425">
        <v>0.101950714522619</v>
      </c>
      <c r="I3425">
        <v>0.140751945061836</v>
      </c>
      <c r="J3425">
        <v>9.7559031581200897E-2</v>
      </c>
      <c r="K3425">
        <v>9.6341685312601996E-2</v>
      </c>
      <c r="L3425">
        <v>467.54029761344702</v>
      </c>
      <c r="M3425">
        <v>9.3088155302702802</v>
      </c>
      <c r="N3425">
        <v>50.225541165446003</v>
      </c>
      <c r="O3425">
        <v>48.0710251579969</v>
      </c>
      <c r="P3425">
        <v>-4.84427164421775E-2</v>
      </c>
      <c r="Q3425">
        <v>0</v>
      </c>
      <c r="R3425">
        <v>0.91875043330231299</v>
      </c>
      <c r="S3425" t="s">
        <v>10041</v>
      </c>
      <c r="T3425" t="s">
        <v>13232</v>
      </c>
      <c r="U3425" t="s">
        <v>13232</v>
      </c>
      <c r="V3425" t="s">
        <v>13232</v>
      </c>
      <c r="W3425" t="s">
        <v>16599</v>
      </c>
      <c r="X3425">
        <v>1</v>
      </c>
      <c r="Y3425" t="s">
        <v>23036</v>
      </c>
      <c r="Z3425" t="s">
        <v>29556</v>
      </c>
      <c r="AA3425">
        <v>0.38956162713897319</v>
      </c>
      <c r="AB3425" t="str">
        <f>HYPERLINK("Melting_Curves/meltCurve_Q15904_ATP6AP1.pdf", "Melting_Curves/meltCurve_Q15904_ATP6AP1.pdf")</f>
        <v>Melting_Curves/meltCurve_Q15904_ATP6AP1.pdf</v>
      </c>
    </row>
    <row r="3426" spans="1:28" x14ac:dyDescent="0.25">
      <c r="A3426" t="s">
        <v>3429</v>
      </c>
      <c r="B3426">
        <v>0.99930955844802105</v>
      </c>
      <c r="C3426">
        <v>0.86807531108603297</v>
      </c>
      <c r="D3426">
        <v>0.91855202321978802</v>
      </c>
      <c r="E3426">
        <v>0.83511374776191805</v>
      </c>
      <c r="F3426">
        <v>0.699004519572196</v>
      </c>
      <c r="G3426">
        <v>0.608105182726147</v>
      </c>
      <c r="H3426">
        <v>0.54385034845286595</v>
      </c>
      <c r="I3426">
        <v>0.57964954879653197</v>
      </c>
      <c r="J3426">
        <v>0.55956471635017901</v>
      </c>
      <c r="K3426">
        <v>0.45979344164376601</v>
      </c>
      <c r="L3426">
        <v>496.93791845739298</v>
      </c>
      <c r="M3426">
        <v>9.4339099184121604</v>
      </c>
      <c r="O3426">
        <v>50.471557878526497</v>
      </c>
      <c r="P3426">
        <v>-2.55775640956292E-2</v>
      </c>
      <c r="Q3426">
        <v>0.45297090855844102</v>
      </c>
      <c r="R3426">
        <v>0.94920603830602801</v>
      </c>
      <c r="S3426" t="s">
        <v>10042</v>
      </c>
      <c r="T3426" t="s">
        <v>13232</v>
      </c>
      <c r="U3426" t="s">
        <v>13232</v>
      </c>
      <c r="V3426" t="s">
        <v>13232</v>
      </c>
      <c r="W3426" t="s">
        <v>16600</v>
      </c>
      <c r="X3426">
        <v>4</v>
      </c>
      <c r="Y3426" t="s">
        <v>23037</v>
      </c>
      <c r="Z3426" t="s">
        <v>29557</v>
      </c>
      <c r="AA3426">
        <v>0.70457707138841941</v>
      </c>
      <c r="AB3426" t="str">
        <f>HYPERLINK("Melting_Curves/meltCurve_Q15906_VPS72.pdf", "Melting_Curves/meltCurve_Q15906_VPS72.pdf")</f>
        <v>Melting_Curves/meltCurve_Q15906_VPS72.pdf</v>
      </c>
    </row>
    <row r="3427" spans="1:28" x14ac:dyDescent="0.25">
      <c r="A3427" t="s">
        <v>3430</v>
      </c>
      <c r="B3427">
        <v>0.99930955844802105</v>
      </c>
      <c r="C3427">
        <v>1.0443203817519</v>
      </c>
      <c r="D3427">
        <v>1.0388947062256599</v>
      </c>
      <c r="E3427">
        <v>0.98558991610354196</v>
      </c>
      <c r="F3427">
        <v>0.83090840689331602</v>
      </c>
      <c r="G3427">
        <v>0.414035215334559</v>
      </c>
      <c r="H3427">
        <v>0.17075463779156499</v>
      </c>
      <c r="I3427">
        <v>0.122185196228004</v>
      </c>
      <c r="J3427">
        <v>9.7778960463254197E-2</v>
      </c>
      <c r="K3427">
        <v>7.0775923070960298E-2</v>
      </c>
      <c r="L3427">
        <v>1571.8916234778301</v>
      </c>
      <c r="M3427">
        <v>28.140281673875599</v>
      </c>
      <c r="N3427">
        <v>56.236226015493799</v>
      </c>
      <c r="O3427">
        <v>55.5793252193277</v>
      </c>
      <c r="P3427">
        <v>-0.11569442837907699</v>
      </c>
      <c r="Q3427">
        <v>8.5984461667494405E-2</v>
      </c>
      <c r="R3427">
        <v>0.99735938823044901</v>
      </c>
      <c r="S3427" t="s">
        <v>10043</v>
      </c>
      <c r="T3427" t="s">
        <v>13232</v>
      </c>
      <c r="U3427" t="s">
        <v>13232</v>
      </c>
      <c r="V3427" t="s">
        <v>13232</v>
      </c>
      <c r="W3427" t="s">
        <v>16601</v>
      </c>
      <c r="X3427">
        <v>14</v>
      </c>
      <c r="Y3427" t="s">
        <v>23038</v>
      </c>
      <c r="Z3427" t="s">
        <v>29558</v>
      </c>
      <c r="AA3427">
        <v>0.57601140560989206</v>
      </c>
      <c r="AB3427" t="str">
        <f>HYPERLINK("Melting_Curves/meltCurve_Q15907_RAB11B.pdf", "Melting_Curves/meltCurve_Q15907_RAB11B.pdf")</f>
        <v>Melting_Curves/meltCurve_Q15907_RAB11B.pdf</v>
      </c>
    </row>
    <row r="3428" spans="1:28" x14ac:dyDescent="0.25">
      <c r="A3428" t="s">
        <v>3431</v>
      </c>
      <c r="B3428">
        <v>0.99930955844802105</v>
      </c>
      <c r="C3428">
        <v>0.88646593977376198</v>
      </c>
      <c r="D3428">
        <v>0.61551133021494497</v>
      </c>
      <c r="E3428">
        <v>0.39809539257747101</v>
      </c>
      <c r="F3428">
        <v>0.23374835212797099</v>
      </c>
      <c r="G3428">
        <v>0.18044977068860901</v>
      </c>
      <c r="H3428">
        <v>0.13222739020431001</v>
      </c>
      <c r="I3428">
        <v>0.13379982513948999</v>
      </c>
      <c r="J3428">
        <v>0.13144072138723301</v>
      </c>
      <c r="K3428">
        <v>0.103024856493194</v>
      </c>
      <c r="L3428">
        <v>795.67014538499802</v>
      </c>
      <c r="M3428">
        <v>16.841596303277001</v>
      </c>
      <c r="N3428">
        <v>48.022360928883501</v>
      </c>
      <c r="O3428">
        <v>46.593317362581999</v>
      </c>
      <c r="P3428">
        <v>-7.9580691532673095E-2</v>
      </c>
      <c r="Q3428">
        <v>0.119396594144699</v>
      </c>
      <c r="R3428">
        <v>0.99464458475647699</v>
      </c>
      <c r="S3428" t="s">
        <v>10044</v>
      </c>
      <c r="T3428" t="s">
        <v>13232</v>
      </c>
      <c r="U3428" t="s">
        <v>13232</v>
      </c>
      <c r="V3428" t="s">
        <v>13232</v>
      </c>
      <c r="W3428" t="s">
        <v>16602</v>
      </c>
      <c r="X3428">
        <v>9</v>
      </c>
      <c r="Y3428" t="s">
        <v>23039</v>
      </c>
      <c r="Z3428" t="s">
        <v>29559</v>
      </c>
      <c r="AA3428">
        <v>0.35056390648403052</v>
      </c>
      <c r="AB3428" t="str">
        <f>HYPERLINK("Melting_Curves/meltCurve_Q15910_EZH2.pdf", "Melting_Curves/meltCurve_Q15910_EZH2.pdf")</f>
        <v>Melting_Curves/meltCurve_Q15910_EZH2.pdf</v>
      </c>
    </row>
    <row r="3429" spans="1:28" x14ac:dyDescent="0.25">
      <c r="A3429" t="s">
        <v>3432</v>
      </c>
      <c r="B3429">
        <v>0.99930955844802105</v>
      </c>
      <c r="C3429">
        <v>1.2618580387486</v>
      </c>
      <c r="D3429">
        <v>1.0848062931936799</v>
      </c>
      <c r="E3429">
        <v>1.09128316796131</v>
      </c>
      <c r="F3429">
        <v>1.07209500288758</v>
      </c>
      <c r="G3429">
        <v>1.09204378683824</v>
      </c>
      <c r="H3429">
        <v>1.18416923965008</v>
      </c>
      <c r="I3429">
        <v>1.4750619512811101</v>
      </c>
      <c r="J3429">
        <v>1.3392072375388699</v>
      </c>
      <c r="K3429">
        <v>1.1679783201940299</v>
      </c>
      <c r="L3429">
        <v>231.64579319086499</v>
      </c>
      <c r="M3429">
        <v>3.6096301634966199</v>
      </c>
      <c r="O3429">
        <v>50.884056035144198</v>
      </c>
      <c r="P3429">
        <v>9.0248496048258298E-3</v>
      </c>
      <c r="Q3429">
        <v>1.5</v>
      </c>
      <c r="R3429">
        <v>0.30435979811007902</v>
      </c>
      <c r="S3429" t="s">
        <v>10045</v>
      </c>
      <c r="T3429" t="s">
        <v>13232</v>
      </c>
      <c r="U3429" t="s">
        <v>13232</v>
      </c>
      <c r="V3429" t="s">
        <v>13232</v>
      </c>
      <c r="W3429" t="s">
        <v>16603</v>
      </c>
      <c r="X3429">
        <v>2</v>
      </c>
      <c r="Y3429" t="s">
        <v>23040</v>
      </c>
      <c r="Z3429" t="s">
        <v>29560</v>
      </c>
      <c r="AA3429">
        <v>1.173562307915311</v>
      </c>
      <c r="AB3429" t="str">
        <f>HYPERLINK("Melting_Curves/meltCurve_Q15935_ZNF77.pdf", "Melting_Curves/meltCurve_Q15935_ZNF77.pdf")</f>
        <v>Melting_Curves/meltCurve_Q15935_ZNF77.pdf</v>
      </c>
    </row>
    <row r="3430" spans="1:28" x14ac:dyDescent="0.25">
      <c r="A3430" t="s">
        <v>3433</v>
      </c>
      <c r="B3430">
        <v>0.99930955844802105</v>
      </c>
      <c r="C3430">
        <v>1.0941293644735299</v>
      </c>
      <c r="D3430">
        <v>1.0753073611177699</v>
      </c>
      <c r="E3430">
        <v>1.004024068436</v>
      </c>
      <c r="F3430">
        <v>0.83429127793148095</v>
      </c>
      <c r="G3430">
        <v>0.72986768002506697</v>
      </c>
      <c r="H3430">
        <v>0.62403899030698295</v>
      </c>
      <c r="I3430">
        <v>0.63320058696858905</v>
      </c>
      <c r="J3430">
        <v>0.66877748060101305</v>
      </c>
      <c r="K3430">
        <v>0.49700034844666602</v>
      </c>
      <c r="L3430">
        <v>1248.4585077132101</v>
      </c>
      <c r="M3430">
        <v>22.715951721285801</v>
      </c>
      <c r="O3430">
        <v>54.5389434089033</v>
      </c>
      <c r="P3430">
        <v>-4.27126862318443E-2</v>
      </c>
      <c r="Q3430">
        <v>0.58981089570885303</v>
      </c>
      <c r="R3430">
        <v>0.91707911606047299</v>
      </c>
      <c r="S3430" t="s">
        <v>10046</v>
      </c>
      <c r="T3430" t="s">
        <v>13232</v>
      </c>
      <c r="U3430" t="s">
        <v>13232</v>
      </c>
      <c r="V3430" t="s">
        <v>13232</v>
      </c>
      <c r="W3430" t="s">
        <v>16604</v>
      </c>
      <c r="X3430">
        <v>22</v>
      </c>
      <c r="Y3430" t="s">
        <v>23041</v>
      </c>
      <c r="Z3430" t="s">
        <v>29561</v>
      </c>
      <c r="AA3430">
        <v>0.79882225889111025</v>
      </c>
      <c r="AB3430" t="str">
        <f>HYPERLINK("Melting_Curves/meltCurve_Q15942_ZYX.pdf", "Melting_Curves/meltCurve_Q15942_ZYX.pdf")</f>
        <v>Melting_Curves/meltCurve_Q15942_ZYX.pdf</v>
      </c>
    </row>
    <row r="3431" spans="1:28" x14ac:dyDescent="0.25">
      <c r="A3431" t="s">
        <v>3434</v>
      </c>
      <c r="B3431">
        <v>0.99930955844802105</v>
      </c>
      <c r="C3431">
        <v>0.81370651044499098</v>
      </c>
      <c r="D3431">
        <v>0.90435713218888403</v>
      </c>
      <c r="E3431">
        <v>0.91944543259378597</v>
      </c>
      <c r="F3431">
        <v>0.84307460557263303</v>
      </c>
      <c r="G3431">
        <v>0.27229303282490103</v>
      </c>
      <c r="H3431">
        <v>0.120000213972321</v>
      </c>
      <c r="I3431">
        <v>9.97131534295366E-2</v>
      </c>
      <c r="J3431">
        <v>8.7143184101315996E-2</v>
      </c>
      <c r="K3431">
        <v>6.6637383097919098E-2</v>
      </c>
      <c r="L3431">
        <v>2044.80556253701</v>
      </c>
      <c r="M3431">
        <v>37.148782197217599</v>
      </c>
      <c r="N3431">
        <v>55.317534229390802</v>
      </c>
      <c r="O3431">
        <v>54.884900147036603</v>
      </c>
      <c r="P3431">
        <v>-0.15499969308954101</v>
      </c>
      <c r="Q3431">
        <v>8.3994843257510304E-2</v>
      </c>
      <c r="R3431">
        <v>0.96813912363263299</v>
      </c>
      <c r="S3431" t="s">
        <v>10047</v>
      </c>
      <c r="T3431" t="s">
        <v>13232</v>
      </c>
      <c r="U3431" t="s">
        <v>13232</v>
      </c>
      <c r="V3431" t="s">
        <v>13232</v>
      </c>
      <c r="W3431" t="s">
        <v>16605</v>
      </c>
      <c r="X3431">
        <v>30</v>
      </c>
      <c r="Y3431" t="s">
        <v>23042</v>
      </c>
      <c r="Z3431" t="s">
        <v>29562</v>
      </c>
      <c r="AA3431">
        <v>0.54735055499866869</v>
      </c>
      <c r="AB3431" t="str">
        <f>HYPERLINK("Melting_Curves/meltCurve_Q16181_SEPT7.pdf", "Melting_Curves/meltCurve_Q16181_SEPT7.pdf")</f>
        <v>Melting_Curves/meltCurve_Q16181_SEPT7.pdf</v>
      </c>
    </row>
    <row r="3432" spans="1:28" x14ac:dyDescent="0.25">
      <c r="A3432" t="s">
        <v>3435</v>
      </c>
      <c r="B3432">
        <v>0.99930955844802105</v>
      </c>
      <c r="C3432">
        <v>0.74870650660123494</v>
      </c>
      <c r="D3432">
        <v>0.73769706320475503</v>
      </c>
      <c r="E3432">
        <v>0.67590073789489902</v>
      </c>
      <c r="F3432">
        <v>0.50656989760998306</v>
      </c>
      <c r="G3432">
        <v>0.48338004312094701</v>
      </c>
      <c r="H3432">
        <v>0.437474591935329</v>
      </c>
      <c r="I3432">
        <v>0.50212529857218502</v>
      </c>
      <c r="J3432">
        <v>0.45355950104822002</v>
      </c>
      <c r="K3432">
        <v>0.352677508657951</v>
      </c>
      <c r="L3432">
        <v>465.30255672617801</v>
      </c>
      <c r="M3432">
        <v>9.8467141225145802</v>
      </c>
      <c r="N3432">
        <v>56.090551675821402</v>
      </c>
      <c r="O3432">
        <v>45.429344142761003</v>
      </c>
      <c r="P3432">
        <v>-3.2854321477885799E-2</v>
      </c>
      <c r="Q3432">
        <v>0.39399836587098802</v>
      </c>
      <c r="R3432">
        <v>0.91310553030641095</v>
      </c>
      <c r="S3432" t="s">
        <v>10048</v>
      </c>
      <c r="T3432" t="s">
        <v>13232</v>
      </c>
      <c r="U3432" t="s">
        <v>13232</v>
      </c>
      <c r="V3432" t="s">
        <v>13232</v>
      </c>
      <c r="W3432" t="s">
        <v>16606</v>
      </c>
      <c r="X3432">
        <v>10</v>
      </c>
      <c r="Y3432" t="s">
        <v>23043</v>
      </c>
      <c r="Z3432" t="s">
        <v>29563</v>
      </c>
      <c r="AA3432">
        <v>0.5754759888696116</v>
      </c>
      <c r="AB3432" t="str">
        <f>HYPERLINK("Melting_Curves/meltCurve_Q16186_ADRM1.pdf", "Melting_Curves/meltCurve_Q16186_ADRM1.pdf")</f>
        <v>Melting_Curves/meltCurve_Q16186_ADRM1.pdf</v>
      </c>
    </row>
    <row r="3433" spans="1:28" x14ac:dyDescent="0.25">
      <c r="A3433" t="s">
        <v>3436</v>
      </c>
      <c r="B3433">
        <v>0.99930955844802105</v>
      </c>
      <c r="C3433">
        <v>0.96090574347884505</v>
      </c>
      <c r="D3433">
        <v>0.94126404609376801</v>
      </c>
      <c r="E3433">
        <v>0.88003820437135405</v>
      </c>
      <c r="F3433">
        <v>0.72882800114526802</v>
      </c>
      <c r="G3433">
        <v>0.46577088619847301</v>
      </c>
      <c r="H3433">
        <v>0.28634058494664999</v>
      </c>
      <c r="I3433">
        <v>0.24618690321221801</v>
      </c>
      <c r="J3433">
        <v>0.243611781374066</v>
      </c>
      <c r="K3433">
        <v>0.18618112054859901</v>
      </c>
      <c r="L3433">
        <v>953.48310265766099</v>
      </c>
      <c r="M3433">
        <v>17.349359259971202</v>
      </c>
      <c r="N3433">
        <v>56.417540392407901</v>
      </c>
      <c r="O3433">
        <v>54.243266121710498</v>
      </c>
      <c r="P3433">
        <v>-6.5505241854221893E-2</v>
      </c>
      <c r="Q3433">
        <v>0.18083070765706499</v>
      </c>
      <c r="R3433">
        <v>0.996553749601648</v>
      </c>
      <c r="S3433" t="s">
        <v>10049</v>
      </c>
      <c r="T3433" t="s">
        <v>13232</v>
      </c>
      <c r="U3433" t="s">
        <v>13232</v>
      </c>
      <c r="V3433" t="s">
        <v>13232</v>
      </c>
      <c r="W3433" t="s">
        <v>16607</v>
      </c>
      <c r="X3433">
        <v>27</v>
      </c>
      <c r="Y3433" t="s">
        <v>23044</v>
      </c>
      <c r="Z3433" t="s">
        <v>29564</v>
      </c>
      <c r="AA3433">
        <v>0.60259375577354468</v>
      </c>
      <c r="AB3433" t="str">
        <f>HYPERLINK("Melting_Curves/meltCurve_Q16204_CCDC6.pdf", "Melting_Curves/meltCurve_Q16204_CCDC6.pdf")</f>
        <v>Melting_Curves/meltCurve_Q16204_CCDC6.pdf</v>
      </c>
    </row>
    <row r="3434" spans="1:28" x14ac:dyDescent="0.25">
      <c r="A3434" t="s">
        <v>3437</v>
      </c>
      <c r="B3434">
        <v>0.99930955844802105</v>
      </c>
      <c r="C3434">
        <v>0.94679047868471999</v>
      </c>
      <c r="D3434">
        <v>0.87850286466886895</v>
      </c>
      <c r="E3434">
        <v>0.82971429074907399</v>
      </c>
      <c r="F3434">
        <v>0.66948597328892601</v>
      </c>
      <c r="G3434">
        <v>0.27033839202101301</v>
      </c>
      <c r="H3434">
        <v>0.107052825925118</v>
      </c>
      <c r="I3434">
        <v>9.3590437441966198E-2</v>
      </c>
      <c r="J3434">
        <v>7.3222965295923995E-2</v>
      </c>
      <c r="K3434">
        <v>5.6408226289112198E-2</v>
      </c>
      <c r="L3434">
        <v>1056.53547750962</v>
      </c>
      <c r="M3434">
        <v>19.512264116203401</v>
      </c>
      <c r="N3434">
        <v>54.3632975276103</v>
      </c>
      <c r="O3434">
        <v>53.588135858949798</v>
      </c>
      <c r="P3434">
        <v>-8.7636020688913505E-2</v>
      </c>
      <c r="Q3434">
        <v>3.7306502233964103E-2</v>
      </c>
      <c r="R3434">
        <v>0.98958088528878296</v>
      </c>
      <c r="S3434" t="s">
        <v>10050</v>
      </c>
      <c r="T3434" t="s">
        <v>13232</v>
      </c>
      <c r="U3434" t="s">
        <v>13232</v>
      </c>
      <c r="V3434" t="s">
        <v>13232</v>
      </c>
      <c r="W3434" t="s">
        <v>16608</v>
      </c>
      <c r="X3434">
        <v>21</v>
      </c>
      <c r="Y3434" t="s">
        <v>23045</v>
      </c>
      <c r="Z3434" t="s">
        <v>29565</v>
      </c>
      <c r="AA3434">
        <v>0.50486103243517899</v>
      </c>
      <c r="AB3434" t="str">
        <f>HYPERLINK("Melting_Curves/meltCurve_Q16222_2_UAP1.pdf", "Melting_Curves/meltCurve_Q16222_2_UAP1.pdf")</f>
        <v>Melting_Curves/meltCurve_Q16222_2_UAP1.pdf</v>
      </c>
    </row>
    <row r="3435" spans="1:28" x14ac:dyDescent="0.25">
      <c r="A3435" t="s">
        <v>3438</v>
      </c>
      <c r="B3435">
        <v>0.99930955844802105</v>
      </c>
      <c r="C3435">
        <v>0.991701584974504</v>
      </c>
      <c r="D3435">
        <v>0.97576541364080105</v>
      </c>
      <c r="E3435">
        <v>0.81033944743441999</v>
      </c>
      <c r="F3435">
        <v>0.67641617357353101</v>
      </c>
      <c r="G3435">
        <v>0.46797755604729102</v>
      </c>
      <c r="H3435">
        <v>0.25453483016575701</v>
      </c>
      <c r="I3435">
        <v>0.101825905687025</v>
      </c>
      <c r="J3435">
        <v>6.7374176879753694E-2</v>
      </c>
      <c r="K3435">
        <v>7.3082806787252597E-2</v>
      </c>
      <c r="L3435">
        <v>786.99072687351304</v>
      </c>
      <c r="M3435">
        <v>14.0698235264129</v>
      </c>
      <c r="N3435">
        <v>55.934655132686601</v>
      </c>
      <c r="O3435">
        <v>54.841077077628697</v>
      </c>
      <c r="P3435">
        <v>-6.4147397072870899E-2</v>
      </c>
      <c r="Q3435">
        <v>0</v>
      </c>
      <c r="R3435">
        <v>0.99603267333271295</v>
      </c>
      <c r="S3435" t="s">
        <v>10051</v>
      </c>
      <c r="T3435" t="s">
        <v>13232</v>
      </c>
      <c r="U3435" t="s">
        <v>13232</v>
      </c>
      <c r="V3435" t="s">
        <v>13232</v>
      </c>
      <c r="W3435" t="s">
        <v>16609</v>
      </c>
      <c r="X3435">
        <v>5</v>
      </c>
      <c r="Y3435" t="s">
        <v>23046</v>
      </c>
      <c r="Z3435" t="s">
        <v>29566</v>
      </c>
      <c r="AA3435">
        <v>0.54994844549707089</v>
      </c>
      <c r="AB3435" t="str">
        <f>HYPERLINK("Melting_Curves/meltCurve_Q16254_E2F4.pdf", "Melting_Curves/meltCurve_Q16254_E2F4.pdf")</f>
        <v>Melting_Curves/meltCurve_Q16254_E2F4.pdf</v>
      </c>
    </row>
    <row r="3436" spans="1:28" x14ac:dyDescent="0.25">
      <c r="A3436" t="s">
        <v>3439</v>
      </c>
      <c r="B3436">
        <v>0.99930955844802105</v>
      </c>
      <c r="C3436">
        <v>1.2103196254031701</v>
      </c>
      <c r="D3436">
        <v>1.04397521904446</v>
      </c>
      <c r="E3436">
        <v>0.84959844465537804</v>
      </c>
      <c r="F3436">
        <v>0.71636903549954001</v>
      </c>
      <c r="G3436">
        <v>0.55078812625706897</v>
      </c>
      <c r="H3436">
        <v>0.43942569659043801</v>
      </c>
      <c r="I3436">
        <v>0.43539348888248902</v>
      </c>
      <c r="J3436">
        <v>0.43461568516839599</v>
      </c>
      <c r="K3436">
        <v>0.33897035277934501</v>
      </c>
      <c r="L3436">
        <v>1083.29398413853</v>
      </c>
      <c r="M3436">
        <v>20.235620201043201</v>
      </c>
      <c r="N3436">
        <v>57.950043874294501</v>
      </c>
      <c r="O3436">
        <v>53.019410170913801</v>
      </c>
      <c r="P3436">
        <v>-5.7916732080677498E-2</v>
      </c>
      <c r="Q3436">
        <v>0.39302745760298802</v>
      </c>
      <c r="R3436">
        <v>0.93336291760411305</v>
      </c>
      <c r="S3436" t="s">
        <v>10052</v>
      </c>
      <c r="T3436" t="s">
        <v>13232</v>
      </c>
      <c r="U3436" t="s">
        <v>13232</v>
      </c>
      <c r="V3436" t="s">
        <v>13232</v>
      </c>
      <c r="W3436" t="s">
        <v>16610</v>
      </c>
      <c r="X3436">
        <v>6</v>
      </c>
      <c r="Y3436" t="s">
        <v>23047</v>
      </c>
      <c r="Z3436" t="s">
        <v>29567</v>
      </c>
      <c r="AA3436">
        <v>0.67499591884539811</v>
      </c>
      <c r="AB3436" t="str">
        <f>HYPERLINK("Melting_Curves/meltCurve_Q16352_INA.pdf", "Melting_Curves/meltCurve_Q16352_INA.pdf")</f>
        <v>Melting_Curves/meltCurve_Q16352_INA.pdf</v>
      </c>
    </row>
    <row r="3437" spans="1:28" x14ac:dyDescent="0.25">
      <c r="A3437" t="s">
        <v>3440</v>
      </c>
      <c r="B3437">
        <v>0.99930955844802105</v>
      </c>
      <c r="C3437">
        <v>0.65439315619284699</v>
      </c>
      <c r="D3437">
        <v>0.68344305615706602</v>
      </c>
      <c r="E3437">
        <v>0.69260364179979295</v>
      </c>
      <c r="F3437">
        <v>0.66338185165435404</v>
      </c>
      <c r="G3437">
        <v>0.28975651262819002</v>
      </c>
      <c r="H3437">
        <v>0.10022568275615</v>
      </c>
      <c r="I3437">
        <v>7.6322047597639095E-2</v>
      </c>
      <c r="J3437">
        <v>7.0792561712336902E-2</v>
      </c>
      <c r="K3437">
        <v>5.0662546966514899E-2</v>
      </c>
      <c r="L3437">
        <v>484.30722921901298</v>
      </c>
      <c r="M3437">
        <v>9.2991540633050693</v>
      </c>
      <c r="N3437">
        <v>52.080778794441102</v>
      </c>
      <c r="O3437">
        <v>49.842363749910199</v>
      </c>
      <c r="P3437">
        <v>-4.6672745832638203E-2</v>
      </c>
      <c r="Q3437">
        <v>0</v>
      </c>
      <c r="R3437">
        <v>0.87826243264282799</v>
      </c>
      <c r="S3437" t="s">
        <v>10053</v>
      </c>
      <c r="T3437" t="s">
        <v>13232</v>
      </c>
      <c r="U3437" t="s">
        <v>13232</v>
      </c>
      <c r="V3437" t="s">
        <v>13232</v>
      </c>
      <c r="W3437" t="s">
        <v>16611</v>
      </c>
      <c r="X3437">
        <v>24</v>
      </c>
      <c r="Y3437" t="s">
        <v>23048</v>
      </c>
      <c r="Z3437" t="s">
        <v>29568</v>
      </c>
      <c r="AA3437">
        <v>0.44329120288986762</v>
      </c>
      <c r="AB3437" t="str">
        <f>HYPERLINK("Melting_Curves/meltCurve_Q16401_2_PSMD5.pdf", "Melting_Curves/meltCurve_Q16401_2_PSMD5.pdf")</f>
        <v>Melting_Curves/meltCurve_Q16401_2_PSMD5.pdf</v>
      </c>
    </row>
    <row r="3438" spans="1:28" x14ac:dyDescent="0.25">
      <c r="A3438" t="s">
        <v>3441</v>
      </c>
      <c r="B3438">
        <v>0.99930955844802105</v>
      </c>
      <c r="C3438">
        <v>0.98913562957773804</v>
      </c>
      <c r="D3438">
        <v>0.84008714282413999</v>
      </c>
      <c r="E3438">
        <v>0.49788207345997998</v>
      </c>
      <c r="F3438">
        <v>0.17653981052461401</v>
      </c>
      <c r="G3438">
        <v>0.12495663261069399</v>
      </c>
      <c r="H3438">
        <v>7.9810427229407496E-2</v>
      </c>
      <c r="I3438">
        <v>7.6666796300420295E-2</v>
      </c>
      <c r="J3438">
        <v>6.9667296387007402E-2</v>
      </c>
      <c r="K3438">
        <v>5.4131032254499202E-2</v>
      </c>
      <c r="L3438">
        <v>1188.238762273</v>
      </c>
      <c r="M3438">
        <v>24.051897263944198</v>
      </c>
      <c r="N3438">
        <v>49.696775892576497</v>
      </c>
      <c r="O3438">
        <v>49.065431120779301</v>
      </c>
      <c r="P3438">
        <v>-0.114434028920897</v>
      </c>
      <c r="Q3438">
        <v>6.6241788324584397E-2</v>
      </c>
      <c r="R3438">
        <v>0.99706922788437202</v>
      </c>
      <c r="S3438" t="s">
        <v>10054</v>
      </c>
      <c r="T3438" t="s">
        <v>13232</v>
      </c>
      <c r="U3438" t="s">
        <v>13232</v>
      </c>
      <c r="V3438" t="s">
        <v>13232</v>
      </c>
      <c r="W3438" t="s">
        <v>16612</v>
      </c>
      <c r="X3438">
        <v>27</v>
      </c>
      <c r="Y3438" t="s">
        <v>23049</v>
      </c>
      <c r="Z3438" t="s">
        <v>29569</v>
      </c>
      <c r="AA3438">
        <v>0.36789613847242442</v>
      </c>
      <c r="AB3438" t="str">
        <f>HYPERLINK("Melting_Curves/meltCurve_Q16512_PKN1.pdf", "Melting_Curves/meltCurve_Q16512_PKN1.pdf")</f>
        <v>Melting_Curves/meltCurve_Q16512_PKN1.pdf</v>
      </c>
    </row>
    <row r="3439" spans="1:28" x14ac:dyDescent="0.25">
      <c r="A3439" t="s">
        <v>3442</v>
      </c>
      <c r="B3439">
        <v>0.99930955844802105</v>
      </c>
      <c r="C3439">
        <v>0.78511388629579704</v>
      </c>
      <c r="D3439">
        <v>0.81639184660014397</v>
      </c>
      <c r="E3439">
        <v>0.83918610493824497</v>
      </c>
      <c r="F3439">
        <v>0.631734623896956</v>
      </c>
      <c r="G3439">
        <v>0.44914892209081297</v>
      </c>
      <c r="H3439">
        <v>0.27272159163177601</v>
      </c>
      <c r="I3439">
        <v>0.24567671648203099</v>
      </c>
      <c r="J3439">
        <v>0.218199218346639</v>
      </c>
      <c r="K3439">
        <v>0.16768873009072999</v>
      </c>
      <c r="L3439">
        <v>466.29553558963602</v>
      </c>
      <c r="M3439">
        <v>8.3445395978625001</v>
      </c>
      <c r="N3439">
        <v>55.880319111227202</v>
      </c>
      <c r="O3439">
        <v>52.9472664314901</v>
      </c>
      <c r="P3439">
        <v>-3.9438298536362298E-2</v>
      </c>
      <c r="Q3439">
        <v>0</v>
      </c>
      <c r="R3439">
        <v>0.95345255800484696</v>
      </c>
      <c r="S3439" t="s">
        <v>10055</v>
      </c>
      <c r="T3439" t="s">
        <v>13232</v>
      </c>
      <c r="U3439" t="s">
        <v>13232</v>
      </c>
      <c r="V3439" t="s">
        <v>13232</v>
      </c>
      <c r="W3439" t="s">
        <v>16613</v>
      </c>
      <c r="X3439">
        <v>11</v>
      </c>
      <c r="Y3439" t="s">
        <v>23050</v>
      </c>
      <c r="Z3439" t="s">
        <v>29570</v>
      </c>
      <c r="AA3439">
        <v>0.55042593402189255</v>
      </c>
      <c r="AB3439" t="str">
        <f>HYPERLINK("Melting_Curves/meltCurve_Q16513_3_PKN2.pdf", "Melting_Curves/meltCurve_Q16513_3_PKN2.pdf")</f>
        <v>Melting_Curves/meltCurve_Q16513_3_PKN2.pdf</v>
      </c>
    </row>
    <row r="3440" spans="1:28" x14ac:dyDescent="0.25">
      <c r="A3440" t="s">
        <v>3443</v>
      </c>
      <c r="B3440">
        <v>0.99930955844802105</v>
      </c>
      <c r="C3440">
        <v>0.85251088609807901</v>
      </c>
      <c r="D3440">
        <v>0.78780350484046102</v>
      </c>
      <c r="E3440">
        <v>0.60645814015912902</v>
      </c>
      <c r="F3440">
        <v>0.39681245484674499</v>
      </c>
      <c r="G3440">
        <v>0.26410019850687999</v>
      </c>
      <c r="H3440">
        <v>0.17959839261500701</v>
      </c>
      <c r="I3440">
        <v>0.17323707375439301</v>
      </c>
      <c r="J3440">
        <v>0.16543432557568899</v>
      </c>
      <c r="K3440">
        <v>0.15025816401994199</v>
      </c>
      <c r="L3440">
        <v>635.21667534616699</v>
      </c>
      <c r="M3440">
        <v>12.667699327835701</v>
      </c>
      <c r="N3440">
        <v>51.224950850148097</v>
      </c>
      <c r="O3440">
        <v>48.944221804085799</v>
      </c>
      <c r="P3440">
        <v>-5.7130775879619601E-2</v>
      </c>
      <c r="Q3440">
        <v>0.117227188043434</v>
      </c>
      <c r="R3440">
        <v>0.99290717224476099</v>
      </c>
      <c r="S3440" t="s">
        <v>10056</v>
      </c>
      <c r="T3440" t="s">
        <v>13232</v>
      </c>
      <c r="U3440" t="s">
        <v>13232</v>
      </c>
      <c r="V3440" t="s">
        <v>13232</v>
      </c>
      <c r="W3440" t="s">
        <v>16614</v>
      </c>
      <c r="X3440">
        <v>3</v>
      </c>
      <c r="Y3440" t="s">
        <v>23051</v>
      </c>
      <c r="Z3440" t="s">
        <v>29571</v>
      </c>
      <c r="AA3440">
        <v>0.4435676841216436</v>
      </c>
      <c r="AB3440" t="str">
        <f>HYPERLINK("Melting_Curves/meltCurve_Q16514_2_TAF12.pdf", "Melting_Curves/meltCurve_Q16514_2_TAF12.pdf")</f>
        <v>Melting_Curves/meltCurve_Q16514_2_TAF12.pdf</v>
      </c>
    </row>
    <row r="3441" spans="1:28" x14ac:dyDescent="0.25">
      <c r="A3441" t="s">
        <v>3444</v>
      </c>
      <c r="B3441">
        <v>0.99930955844802105</v>
      </c>
      <c r="C3441">
        <v>0.85774756098203297</v>
      </c>
      <c r="D3441">
        <v>0.88051347785461698</v>
      </c>
      <c r="E3441">
        <v>0.84307223009382404</v>
      </c>
      <c r="F3441">
        <v>0.99165772434355204</v>
      </c>
      <c r="G3441">
        <v>0.83455157980212802</v>
      </c>
      <c r="H3441">
        <v>0.45957987448931997</v>
      </c>
      <c r="I3441">
        <v>0.13670302300678799</v>
      </c>
      <c r="J3441">
        <v>7.3369738802108994E-2</v>
      </c>
      <c r="K3441">
        <v>6.0621644870857E-2</v>
      </c>
      <c r="L3441">
        <v>1771.39842063164</v>
      </c>
      <c r="M3441">
        <v>29.376641836557098</v>
      </c>
      <c r="N3441">
        <v>60.404090843008497</v>
      </c>
      <c r="O3441">
        <v>60.022202184213597</v>
      </c>
      <c r="P3441">
        <v>-0.119325679604232</v>
      </c>
      <c r="Q3441">
        <v>2.4784464219241398E-2</v>
      </c>
      <c r="R3441">
        <v>0.95527036242722196</v>
      </c>
      <c r="S3441" t="s">
        <v>10057</v>
      </c>
      <c r="T3441" t="s">
        <v>13232</v>
      </c>
      <c r="U3441" t="s">
        <v>13232</v>
      </c>
      <c r="V3441" t="s">
        <v>13232</v>
      </c>
      <c r="W3441" t="s">
        <v>16615</v>
      </c>
      <c r="X3441">
        <v>60</v>
      </c>
      <c r="Y3441" t="s">
        <v>23052</v>
      </c>
      <c r="Z3441" t="s">
        <v>29572</v>
      </c>
      <c r="AA3441">
        <v>0.69060350545289639</v>
      </c>
      <c r="AB3441" t="str">
        <f>HYPERLINK("Melting_Curves/meltCurve_Q16531_DDB1.pdf", "Melting_Curves/meltCurve_Q16531_DDB1.pdf")</f>
        <v>Melting_Curves/meltCurve_Q16531_DDB1.pdf</v>
      </c>
    </row>
    <row r="3442" spans="1:28" x14ac:dyDescent="0.25">
      <c r="A3442" t="s">
        <v>3445</v>
      </c>
      <c r="B3442">
        <v>0.99930955844802105</v>
      </c>
      <c r="C3442">
        <v>0.91220232391377598</v>
      </c>
      <c r="D3442">
        <v>0.62965101031443205</v>
      </c>
      <c r="E3442">
        <v>0.28580721393825098</v>
      </c>
      <c r="F3442">
        <v>0.17564210851353801</v>
      </c>
      <c r="G3442">
        <v>0.140529181410943</v>
      </c>
      <c r="H3442">
        <v>7.8779595826949406E-2</v>
      </c>
      <c r="I3442">
        <v>7.7326641961666706E-2</v>
      </c>
      <c r="J3442">
        <v>6.3929902160549404E-2</v>
      </c>
      <c r="K3442">
        <v>5.1160071531108603E-2</v>
      </c>
      <c r="L3442">
        <v>961.96002153908398</v>
      </c>
      <c r="M3442">
        <v>20.426422699006299</v>
      </c>
      <c r="N3442">
        <v>47.4709324175845</v>
      </c>
      <c r="O3442">
        <v>46.649507498474598</v>
      </c>
      <c r="P3442">
        <v>-0.101273829542361</v>
      </c>
      <c r="Q3442">
        <v>7.4878088723999495E-2</v>
      </c>
      <c r="R3442">
        <v>0.99667459803408998</v>
      </c>
      <c r="S3442" t="s">
        <v>10058</v>
      </c>
      <c r="T3442" t="s">
        <v>13232</v>
      </c>
      <c r="U3442" t="s">
        <v>13232</v>
      </c>
      <c r="V3442" t="s">
        <v>13232</v>
      </c>
      <c r="W3442" t="s">
        <v>16616</v>
      </c>
      <c r="X3442">
        <v>12</v>
      </c>
      <c r="Y3442" t="s">
        <v>23053</v>
      </c>
      <c r="Z3442" t="s">
        <v>29573</v>
      </c>
      <c r="AA3442">
        <v>0.30651614591409382</v>
      </c>
      <c r="AB3442" t="str">
        <f>HYPERLINK("Melting_Curves/meltCurve_Q16539_MAPK14.pdf", "Melting_Curves/meltCurve_Q16539_MAPK14.pdf")</f>
        <v>Melting_Curves/meltCurve_Q16539_MAPK14.pdf</v>
      </c>
    </row>
    <row r="3443" spans="1:28" x14ac:dyDescent="0.25">
      <c r="A3443" t="s">
        <v>3446</v>
      </c>
      <c r="B3443">
        <v>0.99930955844802105</v>
      </c>
      <c r="C3443">
        <v>0.69673365591221603</v>
      </c>
      <c r="D3443">
        <v>0.30363618039365498</v>
      </c>
      <c r="E3443">
        <v>0.14485486800823499</v>
      </c>
      <c r="F3443">
        <v>8.8583597327999197E-2</v>
      </c>
      <c r="G3443">
        <v>5.9294554090534801E-2</v>
      </c>
      <c r="H3443">
        <v>3.34815753295582E-2</v>
      </c>
      <c r="I3443">
        <v>3.4494865713652199E-2</v>
      </c>
      <c r="J3443">
        <v>3.06211373677635E-2</v>
      </c>
      <c r="K3443">
        <v>1.8517550803679499E-2</v>
      </c>
      <c r="L3443">
        <v>1124.3164673138899</v>
      </c>
      <c r="M3443">
        <v>25.367373706753099</v>
      </c>
      <c r="N3443">
        <v>44.4926194600828</v>
      </c>
      <c r="O3443">
        <v>44.0486779065333</v>
      </c>
      <c r="P3443">
        <v>-0.137278459087042</v>
      </c>
      <c r="Q3443">
        <v>4.6514141107566097E-2</v>
      </c>
      <c r="R3443">
        <v>0.99204899499586796</v>
      </c>
      <c r="S3443" t="s">
        <v>10059</v>
      </c>
      <c r="T3443" t="s">
        <v>13232</v>
      </c>
      <c r="U3443" t="s">
        <v>13232</v>
      </c>
      <c r="V3443" t="s">
        <v>13232</v>
      </c>
      <c r="W3443" t="s">
        <v>16617</v>
      </c>
      <c r="X3443">
        <v>11</v>
      </c>
      <c r="Y3443" t="s">
        <v>23053</v>
      </c>
      <c r="Z3443" t="s">
        <v>29574</v>
      </c>
      <c r="AA3443">
        <v>0.19385280269216429</v>
      </c>
      <c r="AB3443" t="str">
        <f>HYPERLINK("Melting_Curves/meltCurve_Q16539_2_MAPK14.pdf", "Melting_Curves/meltCurve_Q16539_2_MAPK14.pdf")</f>
        <v>Melting_Curves/meltCurve_Q16539_2_MAPK14.pdf</v>
      </c>
    </row>
    <row r="3444" spans="1:28" x14ac:dyDescent="0.25">
      <c r="A3444" t="s">
        <v>3447</v>
      </c>
      <c r="B3444">
        <v>0.99930955844802105</v>
      </c>
      <c r="C3444">
        <v>1.0027165308674799</v>
      </c>
      <c r="D3444">
        <v>1.01925397411054</v>
      </c>
      <c r="E3444">
        <v>1.0015614956090699</v>
      </c>
      <c r="F3444">
        <v>0.91637646728450395</v>
      </c>
      <c r="G3444">
        <v>0.70744797249741098</v>
      </c>
      <c r="H3444">
        <v>0.27020376228273901</v>
      </c>
      <c r="I3444">
        <v>0.14386672324105901</v>
      </c>
      <c r="J3444">
        <v>0.11258322551281599</v>
      </c>
      <c r="K3444">
        <v>9.0240909168849304E-2</v>
      </c>
      <c r="L3444">
        <v>1705.7479241873</v>
      </c>
      <c r="M3444">
        <v>29.250279722822199</v>
      </c>
      <c r="N3444">
        <v>58.682666606880801</v>
      </c>
      <c r="O3444">
        <v>58.045079513850197</v>
      </c>
      <c r="P3444">
        <v>-0.115449909864346</v>
      </c>
      <c r="Q3444">
        <v>8.3598387345025796E-2</v>
      </c>
      <c r="R3444">
        <v>0.99850528592808097</v>
      </c>
      <c r="S3444" t="s">
        <v>10060</v>
      </c>
      <c r="T3444" t="s">
        <v>13232</v>
      </c>
      <c r="U3444" t="s">
        <v>13232</v>
      </c>
      <c r="V3444" t="s">
        <v>13232</v>
      </c>
      <c r="W3444" t="s">
        <v>16618</v>
      </c>
      <c r="X3444">
        <v>33</v>
      </c>
      <c r="Y3444" t="s">
        <v>20700</v>
      </c>
      <c r="Z3444" t="s">
        <v>29575</v>
      </c>
      <c r="AA3444">
        <v>0.64931977137740282</v>
      </c>
      <c r="AB3444" t="str">
        <f>HYPERLINK("Melting_Curves/meltCurve_Q16543_CDC37.pdf", "Melting_Curves/meltCurve_Q16543_CDC37.pdf")</f>
        <v>Melting_Curves/meltCurve_Q16543_CDC37.pdf</v>
      </c>
    </row>
    <row r="3445" spans="1:28" x14ac:dyDescent="0.25">
      <c r="A3445" t="s">
        <v>3448</v>
      </c>
      <c r="B3445">
        <v>0.99930955844802105</v>
      </c>
      <c r="C3445">
        <v>0.86941050455007096</v>
      </c>
      <c r="D3445">
        <v>0.85948754520485005</v>
      </c>
      <c r="E3445">
        <v>0.74204339208043701</v>
      </c>
      <c r="F3445">
        <v>0.65279144078070706</v>
      </c>
      <c r="G3445">
        <v>0.42644738425749501</v>
      </c>
      <c r="H3445">
        <v>0.13224044682049901</v>
      </c>
      <c r="I3445">
        <v>8.1998948159842697E-2</v>
      </c>
      <c r="J3445">
        <v>6.4469754053179895E-2</v>
      </c>
      <c r="K3445">
        <v>5.4798226297517003E-2</v>
      </c>
      <c r="L3445">
        <v>709.86507460269797</v>
      </c>
      <c r="M3445">
        <v>13.0141707649209</v>
      </c>
      <c r="N3445">
        <v>54.545547839456503</v>
      </c>
      <c r="O3445">
        <v>53.305863893551198</v>
      </c>
      <c r="P3445">
        <v>-6.1046112588761803E-2</v>
      </c>
      <c r="Q3445">
        <v>0</v>
      </c>
      <c r="R3445">
        <v>0.977574166795523</v>
      </c>
      <c r="S3445" t="s">
        <v>10061</v>
      </c>
      <c r="T3445" t="s">
        <v>13232</v>
      </c>
      <c r="U3445" t="s">
        <v>13232</v>
      </c>
      <c r="V3445" t="s">
        <v>13232</v>
      </c>
      <c r="W3445" t="s">
        <v>16619</v>
      </c>
      <c r="X3445">
        <v>21</v>
      </c>
      <c r="Y3445" t="s">
        <v>23054</v>
      </c>
      <c r="Z3445" t="s">
        <v>29576</v>
      </c>
      <c r="AA3445">
        <v>0.50788478198963216</v>
      </c>
      <c r="AB3445" t="str">
        <f>HYPERLINK("Melting_Curves/meltCurve_Q16555_2_DPYSL2.pdf", "Melting_Curves/meltCurve_Q16555_2_DPYSL2.pdf")</f>
        <v>Melting_Curves/meltCurve_Q16555_2_DPYSL2.pdf</v>
      </c>
    </row>
    <row r="3446" spans="1:28" x14ac:dyDescent="0.25">
      <c r="A3446" t="s">
        <v>3449</v>
      </c>
      <c r="B3446">
        <v>0.99930955844802105</v>
      </c>
      <c r="C3446">
        <v>0.97567045493382398</v>
      </c>
      <c r="D3446">
        <v>0.96759919118778703</v>
      </c>
      <c r="E3446">
        <v>0.90286422763110596</v>
      </c>
      <c r="F3446">
        <v>0.66836520491898299</v>
      </c>
      <c r="G3446">
        <v>0.37101867640290798</v>
      </c>
      <c r="H3446">
        <v>0.15678207698136501</v>
      </c>
      <c r="I3446">
        <v>0.111559688641184</v>
      </c>
      <c r="J3446">
        <v>9.6123667043051697E-2</v>
      </c>
      <c r="K3446">
        <v>7.5749130880381599E-2</v>
      </c>
      <c r="L3446">
        <v>1114.1027552298799</v>
      </c>
      <c r="M3446">
        <v>20.342225448561901</v>
      </c>
      <c r="N3446">
        <v>55.151550929483001</v>
      </c>
      <c r="O3446">
        <v>54.246960817213498</v>
      </c>
      <c r="P3446">
        <v>-8.7567173571345594E-2</v>
      </c>
      <c r="Q3446">
        <v>6.5961018113151096E-2</v>
      </c>
      <c r="R3446">
        <v>0.99881189031234097</v>
      </c>
      <c r="S3446" t="s">
        <v>10062</v>
      </c>
      <c r="T3446" t="s">
        <v>13232</v>
      </c>
      <c r="U3446" t="s">
        <v>13232</v>
      </c>
      <c r="V3446" t="s">
        <v>13232</v>
      </c>
      <c r="W3446" t="s">
        <v>16620</v>
      </c>
      <c r="X3446">
        <v>16</v>
      </c>
      <c r="Y3446" t="s">
        <v>23055</v>
      </c>
      <c r="Z3446" t="s">
        <v>29577</v>
      </c>
      <c r="AA3446">
        <v>0.53794298077671121</v>
      </c>
      <c r="AB3446" t="str">
        <f>HYPERLINK("Melting_Curves/meltCurve_Q16576_RBBP7.pdf", "Melting_Curves/meltCurve_Q16576_RBBP7.pdf")</f>
        <v>Melting_Curves/meltCurve_Q16576_RBBP7.pdf</v>
      </c>
    </row>
    <row r="3447" spans="1:28" x14ac:dyDescent="0.25">
      <c r="A3447" t="s">
        <v>3450</v>
      </c>
      <c r="B3447">
        <v>0.99930955844802105</v>
      </c>
      <c r="C3447">
        <v>0.96440084283758798</v>
      </c>
      <c r="D3447">
        <v>0.89774779756473599</v>
      </c>
      <c r="E3447">
        <v>0.846380466078689</v>
      </c>
      <c r="F3447">
        <v>0.86743462590423503</v>
      </c>
      <c r="G3447">
        <v>0.82683920666928801</v>
      </c>
      <c r="H3447">
        <v>0.85077258477812301</v>
      </c>
      <c r="I3447">
        <v>0.88171060051026895</v>
      </c>
      <c r="J3447">
        <v>0.94481085754351102</v>
      </c>
      <c r="K3447">
        <v>0.76752254790369501</v>
      </c>
      <c r="L3447">
        <v>1418.6602998746</v>
      </c>
      <c r="M3447">
        <v>31.8330747313261</v>
      </c>
      <c r="O3447">
        <v>44.390841566419397</v>
      </c>
      <c r="P3447">
        <v>-2.6059586061941701E-2</v>
      </c>
      <c r="Q3447">
        <v>0.85464162749568595</v>
      </c>
      <c r="R3447">
        <v>0.59371742565434904</v>
      </c>
      <c r="S3447" t="s">
        <v>10063</v>
      </c>
      <c r="T3447" t="s">
        <v>13232</v>
      </c>
      <c r="U3447" t="s">
        <v>13232</v>
      </c>
      <c r="V3447" t="s">
        <v>13232</v>
      </c>
      <c r="W3447" t="s">
        <v>16621</v>
      </c>
      <c r="X3447">
        <v>2</v>
      </c>
      <c r="Y3447" t="s">
        <v>23056</v>
      </c>
      <c r="Z3447" t="s">
        <v>29578</v>
      </c>
      <c r="AA3447">
        <v>0.87760905549253265</v>
      </c>
      <c r="AB3447" t="str">
        <f>HYPERLINK("Melting_Curves/meltCurve_Q16600_ZNF239.pdf", "Melting_Curves/meltCurve_Q16600_ZNF239.pdf")</f>
        <v>Melting_Curves/meltCurve_Q16600_ZNF239.pdf</v>
      </c>
    </row>
    <row r="3448" spans="1:28" x14ac:dyDescent="0.25">
      <c r="A3448" t="s">
        <v>3451</v>
      </c>
      <c r="B3448">
        <v>0.99930955844802105</v>
      </c>
      <c r="C3448">
        <v>1.00579256976261</v>
      </c>
      <c r="D3448">
        <v>0.92921804268534203</v>
      </c>
      <c r="E3448">
        <v>0.79905725476332601</v>
      </c>
      <c r="F3448">
        <v>0.59825707599372802</v>
      </c>
      <c r="G3448">
        <v>0.50484994431769203</v>
      </c>
      <c r="H3448">
        <v>0.39562631538976401</v>
      </c>
      <c r="I3448">
        <v>0.35038120993153599</v>
      </c>
      <c r="J3448">
        <v>0.33142263973797498</v>
      </c>
      <c r="K3448">
        <v>0.31124273094903498</v>
      </c>
      <c r="L3448">
        <v>787.04533665246197</v>
      </c>
      <c r="M3448">
        <v>14.939053882184499</v>
      </c>
      <c r="N3448">
        <v>56.2517504175567</v>
      </c>
      <c r="O3448">
        <v>51.766760219652198</v>
      </c>
      <c r="P3448">
        <v>-5.00629431329499E-2</v>
      </c>
      <c r="Q3448">
        <v>0.306159445668788</v>
      </c>
      <c r="R3448">
        <v>0.99502640880078197</v>
      </c>
      <c r="S3448" t="s">
        <v>10064</v>
      </c>
      <c r="T3448" t="s">
        <v>13232</v>
      </c>
      <c r="U3448" t="s">
        <v>13232</v>
      </c>
      <c r="V3448" t="s">
        <v>13232</v>
      </c>
      <c r="W3448" t="s">
        <v>16622</v>
      </c>
      <c r="X3448">
        <v>5</v>
      </c>
      <c r="Y3448" t="s">
        <v>23057</v>
      </c>
      <c r="Z3448" t="s">
        <v>29579</v>
      </c>
      <c r="AA3448">
        <v>0.61472226071874014</v>
      </c>
      <c r="AB3448" t="str">
        <f>HYPERLINK("Melting_Curves/meltCurve_Q16610_ECM1.pdf", "Melting_Curves/meltCurve_Q16610_ECM1.pdf")</f>
        <v>Melting_Curves/meltCurve_Q16610_ECM1.pdf</v>
      </c>
    </row>
    <row r="3449" spans="1:28" x14ac:dyDescent="0.25">
      <c r="A3449" t="s">
        <v>3452</v>
      </c>
      <c r="B3449">
        <v>0.99930955844802105</v>
      </c>
      <c r="C3449">
        <v>1.07457162072718</v>
      </c>
      <c r="D3449">
        <v>1.0667794639228101</v>
      </c>
      <c r="E3449">
        <v>0.85262153584681399</v>
      </c>
      <c r="F3449">
        <v>0.28957192115588298</v>
      </c>
      <c r="G3449">
        <v>0.121229536388981</v>
      </c>
      <c r="H3449">
        <v>6.3651644185659897E-2</v>
      </c>
      <c r="I3449">
        <v>6.0710252260368899E-2</v>
      </c>
      <c r="J3449">
        <v>4.3087094848723598E-2</v>
      </c>
      <c r="K3449">
        <v>3.0046913344707299E-2</v>
      </c>
      <c r="L3449">
        <v>2443.1107451768298</v>
      </c>
      <c r="M3449">
        <v>47.1948490473006</v>
      </c>
      <c r="N3449">
        <v>51.9077083577926</v>
      </c>
      <c r="O3449">
        <v>51.673782894295798</v>
      </c>
      <c r="P3449">
        <v>-0.21457272020700499</v>
      </c>
      <c r="Q3449">
        <v>6.0255733185542101E-2</v>
      </c>
      <c r="R3449">
        <v>0.99303198964517403</v>
      </c>
      <c r="S3449" t="s">
        <v>10065</v>
      </c>
      <c r="T3449" t="s">
        <v>13232</v>
      </c>
      <c r="U3449" t="s">
        <v>13232</v>
      </c>
      <c r="V3449" t="s">
        <v>13232</v>
      </c>
      <c r="W3449" t="s">
        <v>16623</v>
      </c>
      <c r="X3449">
        <v>2</v>
      </c>
      <c r="Y3449" t="s">
        <v>23058</v>
      </c>
      <c r="Z3449" t="s">
        <v>29580</v>
      </c>
      <c r="AA3449">
        <v>0.43124806143445321</v>
      </c>
      <c r="AB3449" t="str">
        <f>HYPERLINK("Melting_Curves/meltCurve_Q16619_2_CTF1.pdf", "Melting_Curves/meltCurve_Q16619_2_CTF1.pdf")</f>
        <v>Melting_Curves/meltCurve_Q16619_2_CTF1.pdf</v>
      </c>
    </row>
    <row r="3450" spans="1:28" x14ac:dyDescent="0.25">
      <c r="A3450" t="s">
        <v>3453</v>
      </c>
      <c r="B3450">
        <v>0.99930955844802105</v>
      </c>
      <c r="C3450">
        <v>1.05023888357007</v>
      </c>
      <c r="D3450">
        <v>1.0706345011699401</v>
      </c>
      <c r="E3450">
        <v>1.0202098803199899</v>
      </c>
      <c r="F3450">
        <v>0.95157766368683006</v>
      </c>
      <c r="G3450">
        <v>0.758410987159018</v>
      </c>
      <c r="H3450">
        <v>0.59270051130336798</v>
      </c>
      <c r="I3450">
        <v>0.87663753171664105</v>
      </c>
      <c r="J3450">
        <v>0.95577785398459003</v>
      </c>
      <c r="K3450">
        <v>0.79393544186103904</v>
      </c>
      <c r="L3450">
        <v>13312.0333586304</v>
      </c>
      <c r="M3450">
        <v>250</v>
      </c>
      <c r="O3450">
        <v>53.244725922732002</v>
      </c>
      <c r="P3450">
        <v>-0.240056096432058</v>
      </c>
      <c r="Q3450">
        <v>0.79549246332979295</v>
      </c>
      <c r="R3450">
        <v>0.60157205015133497</v>
      </c>
      <c r="S3450" t="s">
        <v>10066</v>
      </c>
      <c r="T3450" t="s">
        <v>13232</v>
      </c>
      <c r="U3450" t="s">
        <v>13232</v>
      </c>
      <c r="V3450" t="s">
        <v>13232</v>
      </c>
      <c r="W3450" t="s">
        <v>16624</v>
      </c>
      <c r="X3450">
        <v>2</v>
      </c>
      <c r="Y3450" t="s">
        <v>23059</v>
      </c>
      <c r="Z3450" t="s">
        <v>29581</v>
      </c>
      <c r="AA3450">
        <v>0.88582301229232807</v>
      </c>
      <c r="AB3450" t="str">
        <f>HYPERLINK("Melting_Curves/meltCurve_Q16626_MEA1.pdf", "Melting_Curves/meltCurve_Q16626_MEA1.pdf")</f>
        <v>Melting_Curves/meltCurve_Q16626_MEA1.pdf</v>
      </c>
    </row>
    <row r="3451" spans="1:28" x14ac:dyDescent="0.25">
      <c r="A3451" t="s">
        <v>3454</v>
      </c>
      <c r="B3451">
        <v>0.99930955844802105</v>
      </c>
      <c r="C3451">
        <v>1.0248501879717899</v>
      </c>
      <c r="D3451">
        <v>0.98270368998904201</v>
      </c>
      <c r="E3451">
        <v>1.0262295226335101</v>
      </c>
      <c r="F3451">
        <v>0.78969733155303101</v>
      </c>
      <c r="G3451">
        <v>0.40135473926279602</v>
      </c>
      <c r="H3451">
        <v>0.24300301704834401</v>
      </c>
      <c r="I3451">
        <v>0.218043504547586</v>
      </c>
      <c r="J3451">
        <v>0.223847565093033</v>
      </c>
      <c r="K3451">
        <v>0.20234391379563399</v>
      </c>
      <c r="L3451">
        <v>1799.55911684023</v>
      </c>
      <c r="M3451">
        <v>32.801192113029501</v>
      </c>
      <c r="N3451">
        <v>55.810212939425</v>
      </c>
      <c r="O3451">
        <v>54.659909672783101</v>
      </c>
      <c r="P3451">
        <v>-0.117991815443038</v>
      </c>
      <c r="Q3451">
        <v>0.21351740631336899</v>
      </c>
      <c r="R3451">
        <v>0.99624205515254405</v>
      </c>
      <c r="S3451" t="s">
        <v>10067</v>
      </c>
      <c r="T3451" t="s">
        <v>13232</v>
      </c>
      <c r="U3451" t="s">
        <v>13232</v>
      </c>
      <c r="V3451" t="s">
        <v>13232</v>
      </c>
      <c r="W3451" t="s">
        <v>16625</v>
      </c>
      <c r="X3451">
        <v>7</v>
      </c>
      <c r="Y3451" t="s">
        <v>23060</v>
      </c>
      <c r="Z3451" t="s">
        <v>29582</v>
      </c>
      <c r="AA3451">
        <v>0.60754863705981632</v>
      </c>
      <c r="AB3451" t="str">
        <f>HYPERLINK("Melting_Curves/meltCurve_Q16629_3_SRSF7.pdf", "Melting_Curves/meltCurve_Q16629_3_SRSF7.pdf")</f>
        <v>Melting_Curves/meltCurve_Q16629_3_SRSF7.pdf</v>
      </c>
    </row>
    <row r="3452" spans="1:28" x14ac:dyDescent="0.25">
      <c r="A3452" t="s">
        <v>3455</v>
      </c>
      <c r="B3452">
        <v>0.99930955844802105</v>
      </c>
      <c r="C3452">
        <v>1.0966571950022299</v>
      </c>
      <c r="D3452">
        <v>1.1968549241737101</v>
      </c>
      <c r="E3452">
        <v>1.0928002651287301</v>
      </c>
      <c r="F3452">
        <v>0.91938685254945895</v>
      </c>
      <c r="G3452">
        <v>0.66727279274125895</v>
      </c>
      <c r="H3452">
        <v>0.41989328413551902</v>
      </c>
      <c r="I3452">
        <v>0.31824878317342198</v>
      </c>
      <c r="J3452">
        <v>0.28898724514608898</v>
      </c>
      <c r="K3452">
        <v>0.22852013867829801</v>
      </c>
      <c r="L3452">
        <v>1488.1401574128299</v>
      </c>
      <c r="M3452">
        <v>25.7807917998947</v>
      </c>
      <c r="N3452">
        <v>59.343460317384498</v>
      </c>
      <c r="O3452">
        <v>57.378882112584897</v>
      </c>
      <c r="P3452">
        <v>-8.3941522936605298E-2</v>
      </c>
      <c r="Q3452">
        <v>0.25271287417953597</v>
      </c>
      <c r="R3452">
        <v>0.95249942735156801</v>
      </c>
      <c r="S3452" t="s">
        <v>10068</v>
      </c>
      <c r="T3452" t="s">
        <v>13232</v>
      </c>
      <c r="U3452" t="s">
        <v>13232</v>
      </c>
      <c r="V3452" t="s">
        <v>13232</v>
      </c>
      <c r="W3452" t="s">
        <v>16626</v>
      </c>
      <c r="X3452">
        <v>9</v>
      </c>
      <c r="Y3452" t="s">
        <v>23061</v>
      </c>
      <c r="Z3452" t="s">
        <v>29583</v>
      </c>
      <c r="AA3452">
        <v>0.70046849792641208</v>
      </c>
      <c r="AB3452" t="str">
        <f>HYPERLINK("Melting_Curves/meltCurve_Q16637_3_SMN1.pdf", "Melting_Curves/meltCurve_Q16637_3_SMN1.pdf")</f>
        <v>Melting_Curves/meltCurve_Q16637_3_SMN1.pdf</v>
      </c>
    </row>
    <row r="3453" spans="1:28" x14ac:dyDescent="0.25">
      <c r="A3453" t="s">
        <v>3456</v>
      </c>
      <c r="B3453">
        <v>0.99930955844802105</v>
      </c>
      <c r="C3453">
        <v>0.78509983212828105</v>
      </c>
      <c r="D3453">
        <v>0.78907974372004597</v>
      </c>
      <c r="E3453">
        <v>0.89326852770008802</v>
      </c>
      <c r="F3453">
        <v>0.81712825105570197</v>
      </c>
      <c r="G3453">
        <v>0.60249890751274504</v>
      </c>
      <c r="H3453">
        <v>0.61044016716093497</v>
      </c>
      <c r="I3453">
        <v>0.69532218424217196</v>
      </c>
      <c r="J3453">
        <v>0.73665456745282298</v>
      </c>
      <c r="K3453">
        <v>0.62928990739292601</v>
      </c>
      <c r="L3453">
        <v>329.13990596272998</v>
      </c>
      <c r="M3453">
        <v>6.8110825551499801</v>
      </c>
      <c r="O3453">
        <v>44.671948020394801</v>
      </c>
      <c r="P3453">
        <v>-1.49443439015115E-2</v>
      </c>
      <c r="Q3453">
        <v>0.60873893982816196</v>
      </c>
      <c r="R3453">
        <v>0.59997539469279304</v>
      </c>
      <c r="S3453" t="s">
        <v>10069</v>
      </c>
      <c r="T3453" t="s">
        <v>13232</v>
      </c>
      <c r="U3453" t="s">
        <v>13232</v>
      </c>
      <c r="V3453" t="s">
        <v>13232</v>
      </c>
      <c r="W3453" t="s">
        <v>16627</v>
      </c>
      <c r="X3453">
        <v>10</v>
      </c>
      <c r="Y3453" t="s">
        <v>23062</v>
      </c>
      <c r="Z3453" t="s">
        <v>29584</v>
      </c>
      <c r="AA3453">
        <v>0.75055419320603534</v>
      </c>
      <c r="AB3453" t="str">
        <f>HYPERLINK("Melting_Curves/meltCurve_Q16643_DBN1.pdf", "Melting_Curves/meltCurve_Q16643_DBN1.pdf")</f>
        <v>Melting_Curves/meltCurve_Q16643_DBN1.pdf</v>
      </c>
    </row>
    <row r="3454" spans="1:28" x14ac:dyDescent="0.25">
      <c r="A3454" t="s">
        <v>3457</v>
      </c>
      <c r="B3454">
        <v>0.99930955844802105</v>
      </c>
      <c r="C3454">
        <v>1.39880860089333</v>
      </c>
      <c r="D3454">
        <v>1.1653609513110701</v>
      </c>
      <c r="E3454">
        <v>0.699876396366237</v>
      </c>
      <c r="F3454">
        <v>0.34019467298147499</v>
      </c>
      <c r="G3454">
        <v>0.248806133877534</v>
      </c>
      <c r="H3454">
        <v>0.14801037554410901</v>
      </c>
      <c r="I3454">
        <v>0.14299349998070601</v>
      </c>
      <c r="J3454">
        <v>0.14423880818179999</v>
      </c>
      <c r="K3454">
        <v>9.5410428307430906E-2</v>
      </c>
      <c r="L3454">
        <v>1883.79714287754</v>
      </c>
      <c r="M3454">
        <v>36.896839365298298</v>
      </c>
      <c r="N3454">
        <v>51.563315997229502</v>
      </c>
      <c r="O3454">
        <v>50.906507527549699</v>
      </c>
      <c r="P3454">
        <v>-0.153608770413037</v>
      </c>
      <c r="Q3454">
        <v>0.15226741896820201</v>
      </c>
      <c r="R3454">
        <v>0.90583887415486097</v>
      </c>
      <c r="S3454" t="s">
        <v>10070</v>
      </c>
      <c r="T3454" t="s">
        <v>13232</v>
      </c>
      <c r="U3454" t="s">
        <v>13232</v>
      </c>
      <c r="V3454" t="s">
        <v>13232</v>
      </c>
      <c r="W3454" t="s">
        <v>16628</v>
      </c>
      <c r="X3454">
        <v>11</v>
      </c>
      <c r="Y3454" t="s">
        <v>23063</v>
      </c>
      <c r="Z3454" t="s">
        <v>29585</v>
      </c>
      <c r="AA3454">
        <v>0.4681989575550739</v>
      </c>
      <c r="AB3454" t="str">
        <f>HYPERLINK("Melting_Curves/meltCurve_Q16644_MAPKAPK3.pdf", "Melting_Curves/meltCurve_Q16644_MAPKAPK3.pdf")</f>
        <v>Melting_Curves/meltCurve_Q16644_MAPKAPK3.pdf</v>
      </c>
    </row>
    <row r="3455" spans="1:28" x14ac:dyDescent="0.25">
      <c r="A3455" t="s">
        <v>3458</v>
      </c>
      <c r="B3455">
        <v>0.99930955844802105</v>
      </c>
      <c r="C3455">
        <v>0.99543611856209302</v>
      </c>
      <c r="D3455">
        <v>0.91848773396058803</v>
      </c>
      <c r="E3455">
        <v>0.77052535897311403</v>
      </c>
      <c r="F3455">
        <v>0.543077396931814</v>
      </c>
      <c r="G3455">
        <v>0.45953538281275502</v>
      </c>
      <c r="H3455">
        <v>0.45718486448169299</v>
      </c>
      <c r="I3455">
        <v>0.49976636435895799</v>
      </c>
      <c r="J3455">
        <v>0.51736184972573196</v>
      </c>
      <c r="K3455">
        <v>0.41030724530187901</v>
      </c>
      <c r="L3455">
        <v>1385.2509449450899</v>
      </c>
      <c r="M3455">
        <v>27.608927616870901</v>
      </c>
      <c r="N3455">
        <v>55.375851165297902</v>
      </c>
      <c r="O3455">
        <v>49.913006084085197</v>
      </c>
      <c r="P3455">
        <v>-7.4312280132829103E-2</v>
      </c>
      <c r="Q3455">
        <v>0.46262080044174902</v>
      </c>
      <c r="R3455">
        <v>0.97976894372386902</v>
      </c>
      <c r="S3455" t="s">
        <v>10071</v>
      </c>
      <c r="T3455" t="s">
        <v>13232</v>
      </c>
      <c r="U3455" t="s">
        <v>13232</v>
      </c>
      <c r="V3455" t="s">
        <v>13232</v>
      </c>
      <c r="W3455" t="s">
        <v>16629</v>
      </c>
      <c r="X3455">
        <v>2</v>
      </c>
      <c r="Y3455" t="s">
        <v>23064</v>
      </c>
      <c r="Z3455" t="s">
        <v>29586</v>
      </c>
      <c r="AA3455">
        <v>0.64880575524072981</v>
      </c>
      <c r="AB3455" t="str">
        <f>HYPERLINK("Melting_Curves/meltCurve_Q16649_NFIL3.pdf", "Melting_Curves/meltCurve_Q16649_NFIL3.pdf")</f>
        <v>Melting_Curves/meltCurve_Q16649_NFIL3.pdf</v>
      </c>
    </row>
    <row r="3456" spans="1:28" x14ac:dyDescent="0.25">
      <c r="A3456" t="s">
        <v>3459</v>
      </c>
      <c r="B3456">
        <v>0.99930955844802105</v>
      </c>
      <c r="C3456">
        <v>1.00652725164549</v>
      </c>
      <c r="D3456">
        <v>1.0227083389876901</v>
      </c>
      <c r="E3456">
        <v>0.85550773877793795</v>
      </c>
      <c r="F3456">
        <v>0.60440260382757804</v>
      </c>
      <c r="G3456">
        <v>0.34435708027826401</v>
      </c>
      <c r="H3456">
        <v>0.18128402839410401</v>
      </c>
      <c r="I3456">
        <v>0.13639233122845501</v>
      </c>
      <c r="J3456">
        <v>0.11358851946929201</v>
      </c>
      <c r="K3456">
        <v>9.5868917046462193E-2</v>
      </c>
      <c r="L3456">
        <v>1095.7034263378901</v>
      </c>
      <c r="M3456">
        <v>20.3108188678851</v>
      </c>
      <c r="N3456">
        <v>54.534647668984597</v>
      </c>
      <c r="O3456">
        <v>53.432003192931603</v>
      </c>
      <c r="P3456">
        <v>-8.5690522609660702E-2</v>
      </c>
      <c r="Q3456">
        <v>9.8317780701612595E-2</v>
      </c>
      <c r="R3456">
        <v>0.99747428426238705</v>
      </c>
      <c r="S3456" t="s">
        <v>10072</v>
      </c>
      <c r="T3456" t="s">
        <v>13232</v>
      </c>
      <c r="U3456" t="s">
        <v>13232</v>
      </c>
      <c r="V3456" t="s">
        <v>13232</v>
      </c>
      <c r="W3456" t="s">
        <v>16630</v>
      </c>
      <c r="X3456">
        <v>5</v>
      </c>
      <c r="Y3456" t="s">
        <v>23065</v>
      </c>
      <c r="Z3456" t="s">
        <v>29587</v>
      </c>
      <c r="AA3456">
        <v>0.52946522271322083</v>
      </c>
      <c r="AB3456" t="str">
        <f>HYPERLINK("Melting_Curves/meltCurve_Q16656_NRF1.pdf", "Melting_Curves/meltCurve_Q16656_NRF1.pdf")</f>
        <v>Melting_Curves/meltCurve_Q16656_NRF1.pdf</v>
      </c>
    </row>
    <row r="3457" spans="1:28" x14ac:dyDescent="0.25">
      <c r="A3457" t="s">
        <v>3460</v>
      </c>
      <c r="B3457">
        <v>0.99930955844802105</v>
      </c>
      <c r="C3457">
        <v>1.1077075784753501</v>
      </c>
      <c r="D3457">
        <v>1.0206707099826</v>
      </c>
      <c r="E3457">
        <v>1.0547743509217899</v>
      </c>
      <c r="F3457">
        <v>0.86902543057251602</v>
      </c>
      <c r="G3457">
        <v>0.50585324130887999</v>
      </c>
      <c r="H3457">
        <v>0.17669077840091099</v>
      </c>
      <c r="I3457">
        <v>9.4950192275217199E-2</v>
      </c>
      <c r="J3457">
        <v>6.9364240121278606E-2</v>
      </c>
      <c r="K3457">
        <v>5.3473425205233301E-2</v>
      </c>
      <c r="L3457">
        <v>1621.1533568913601</v>
      </c>
      <c r="M3457">
        <v>28.540129197725999</v>
      </c>
      <c r="N3457">
        <v>57.040128380286397</v>
      </c>
      <c r="O3457">
        <v>56.525912054596702</v>
      </c>
      <c r="P3457">
        <v>-0.11915428569980201</v>
      </c>
      <c r="Q3457">
        <v>5.6030745510006003E-2</v>
      </c>
      <c r="R3457">
        <v>0.99042700276509499</v>
      </c>
      <c r="S3457" t="s">
        <v>10073</v>
      </c>
      <c r="T3457" t="s">
        <v>13232</v>
      </c>
      <c r="U3457" t="s">
        <v>13232</v>
      </c>
      <c r="V3457" t="s">
        <v>13232</v>
      </c>
      <c r="W3457" t="s">
        <v>16631</v>
      </c>
      <c r="X3457">
        <v>40</v>
      </c>
      <c r="Y3457" t="s">
        <v>23066</v>
      </c>
      <c r="Z3457" t="s">
        <v>29588</v>
      </c>
      <c r="AA3457">
        <v>0.59160110116177622</v>
      </c>
      <c r="AB3457" t="str">
        <f>HYPERLINK("Melting_Curves/meltCurve_Q16658_FSCN1.pdf", "Melting_Curves/meltCurve_Q16658_FSCN1.pdf")</f>
        <v>Melting_Curves/meltCurve_Q16658_FSCN1.pdf</v>
      </c>
    </row>
    <row r="3458" spans="1:28" x14ac:dyDescent="0.25">
      <c r="A3458" t="s">
        <v>3461</v>
      </c>
      <c r="B3458">
        <v>0.99930955844802105</v>
      </c>
      <c r="C3458">
        <v>0.97386796815775201</v>
      </c>
      <c r="D3458">
        <v>0.98242333506189194</v>
      </c>
      <c r="E3458">
        <v>0.90990675210556704</v>
      </c>
      <c r="F3458">
        <v>0.69527672321239198</v>
      </c>
      <c r="G3458">
        <v>0.47834518907557999</v>
      </c>
      <c r="H3458">
        <v>0.31353794952334002</v>
      </c>
      <c r="I3458">
        <v>0.23347025683452999</v>
      </c>
      <c r="J3458">
        <v>0.21111696620595399</v>
      </c>
      <c r="K3458">
        <v>0.19637661472397899</v>
      </c>
      <c r="L3458">
        <v>970.90943521537895</v>
      </c>
      <c r="M3458">
        <v>17.636791847026402</v>
      </c>
      <c r="N3458">
        <v>56.460870984539703</v>
      </c>
      <c r="O3458">
        <v>54.357127958636099</v>
      </c>
      <c r="P3458">
        <v>-6.6665035416263396E-2</v>
      </c>
      <c r="Q3458">
        <v>0.17818935599536001</v>
      </c>
      <c r="R3458">
        <v>0.99781388222216205</v>
      </c>
      <c r="S3458" t="s">
        <v>10074</v>
      </c>
      <c r="T3458" t="s">
        <v>13232</v>
      </c>
      <c r="U3458" t="s">
        <v>13232</v>
      </c>
      <c r="V3458" t="s">
        <v>13232</v>
      </c>
      <c r="W3458" t="s">
        <v>16632</v>
      </c>
      <c r="X3458">
        <v>3</v>
      </c>
      <c r="Y3458" t="s">
        <v>23067</v>
      </c>
      <c r="Z3458" t="s">
        <v>29589</v>
      </c>
      <c r="AA3458">
        <v>0.60350572835319993</v>
      </c>
      <c r="AB3458" t="str">
        <f>HYPERLINK("Melting_Curves/meltCurve_Q16659_MAPK6.pdf", "Melting_Curves/meltCurve_Q16659_MAPK6.pdf")</f>
        <v>Melting_Curves/meltCurve_Q16659_MAPK6.pdf</v>
      </c>
    </row>
    <row r="3459" spans="1:28" x14ac:dyDescent="0.25">
      <c r="A3459" t="s">
        <v>3462</v>
      </c>
      <c r="B3459">
        <v>0.99930955844802105</v>
      </c>
      <c r="C3459">
        <v>1.0617461619298301</v>
      </c>
      <c r="D3459">
        <v>0.60369246784509001</v>
      </c>
      <c r="E3459">
        <v>0.89153815028143102</v>
      </c>
      <c r="F3459">
        <v>0.37885102979249602</v>
      </c>
      <c r="G3459">
        <v>0.19869062579699601</v>
      </c>
      <c r="H3459">
        <v>0.112390307022995</v>
      </c>
      <c r="I3459">
        <v>0.11524880479789799</v>
      </c>
      <c r="J3459">
        <v>0.110552041777219</v>
      </c>
      <c r="K3459">
        <v>8.6000571758978503E-2</v>
      </c>
      <c r="L3459">
        <v>788.66580431560703</v>
      </c>
      <c r="M3459">
        <v>15.1889767896149</v>
      </c>
      <c r="N3459">
        <v>52.2998159637648</v>
      </c>
      <c r="O3459">
        <v>51.048482847097297</v>
      </c>
      <c r="P3459">
        <v>-7.0541926786902007E-2</v>
      </c>
      <c r="Q3459">
        <v>5.1756531912985702E-2</v>
      </c>
      <c r="R3459">
        <v>0.89494381447293103</v>
      </c>
      <c r="S3459" t="s">
        <v>10075</v>
      </c>
      <c r="T3459" t="s">
        <v>13232</v>
      </c>
      <c r="U3459" t="s">
        <v>13232</v>
      </c>
      <c r="V3459" t="s">
        <v>13232</v>
      </c>
      <c r="W3459" t="s">
        <v>16633</v>
      </c>
      <c r="X3459">
        <v>20</v>
      </c>
      <c r="Y3459" t="s">
        <v>23068</v>
      </c>
      <c r="Z3459" t="s">
        <v>29590</v>
      </c>
      <c r="AA3459">
        <v>0.44948663040097753</v>
      </c>
      <c r="AB3459" t="str">
        <f>HYPERLINK("Melting_Curves/meltCurve_Q16666_3_IFI16.pdf", "Melting_Curves/meltCurve_Q16666_3_IFI16.pdf")</f>
        <v>Melting_Curves/meltCurve_Q16666_3_IFI16.pdf</v>
      </c>
    </row>
    <row r="3460" spans="1:28" x14ac:dyDescent="0.25">
      <c r="A3460" t="s">
        <v>3463</v>
      </c>
      <c r="B3460">
        <v>0.99930955844802105</v>
      </c>
      <c r="C3460">
        <v>1.05524457759268</v>
      </c>
      <c r="D3460">
        <v>0.95169392608381997</v>
      </c>
      <c r="E3460">
        <v>1.0288884031361401</v>
      </c>
      <c r="F3460">
        <v>0.938974994401375</v>
      </c>
      <c r="G3460">
        <v>0.75671912102609795</v>
      </c>
      <c r="H3460">
        <v>0.72404191794406503</v>
      </c>
      <c r="I3460">
        <v>0.76259413081091698</v>
      </c>
      <c r="J3460">
        <v>0.82334587563761896</v>
      </c>
      <c r="K3460">
        <v>0.65356158052383195</v>
      </c>
      <c r="L3460">
        <v>3388.7254418985499</v>
      </c>
      <c r="M3460">
        <v>62.721674924364002</v>
      </c>
      <c r="O3460">
        <v>53.973139642597602</v>
      </c>
      <c r="P3460">
        <v>-7.4946353231426996E-2</v>
      </c>
      <c r="Q3460">
        <v>0.74202930140340195</v>
      </c>
      <c r="R3460">
        <v>0.88190594606628903</v>
      </c>
      <c r="S3460" t="s">
        <v>10076</v>
      </c>
      <c r="T3460" t="s">
        <v>13232</v>
      </c>
      <c r="U3460" t="s">
        <v>13232</v>
      </c>
      <c r="V3460" t="s">
        <v>13232</v>
      </c>
      <c r="W3460" t="s">
        <v>16634</v>
      </c>
      <c r="X3460">
        <v>2</v>
      </c>
      <c r="Y3460" t="s">
        <v>23069</v>
      </c>
      <c r="Z3460" t="s">
        <v>29591</v>
      </c>
      <c r="AA3460">
        <v>0.86304611965189404</v>
      </c>
      <c r="AB3460" t="str">
        <f>HYPERLINK("Melting_Curves/meltCurve_Q16670_ZSCAN26.pdf", "Melting_Curves/meltCurve_Q16670_ZSCAN26.pdf")</f>
        <v>Melting_Curves/meltCurve_Q16670_ZSCAN26.pdf</v>
      </c>
    </row>
    <row r="3461" spans="1:28" x14ac:dyDescent="0.25">
      <c r="A3461" t="s">
        <v>3464</v>
      </c>
      <c r="B3461">
        <v>0.99930955844802105</v>
      </c>
      <c r="C3461">
        <v>0.99260068858974304</v>
      </c>
      <c r="D3461">
        <v>0.93861975453630198</v>
      </c>
      <c r="E3461">
        <v>0.92372575258870804</v>
      </c>
      <c r="F3461">
        <v>0.88775386036121995</v>
      </c>
      <c r="G3461">
        <v>0.67910410095473595</v>
      </c>
      <c r="H3461">
        <v>0.49443979506155</v>
      </c>
      <c r="I3461">
        <v>0.34135450542250001</v>
      </c>
      <c r="J3461">
        <v>0.14392124124627101</v>
      </c>
      <c r="K3461">
        <v>6.9675262105028696E-2</v>
      </c>
      <c r="L3461">
        <v>890.30537214871697</v>
      </c>
      <c r="M3461">
        <v>14.759796459542001</v>
      </c>
      <c r="N3461">
        <v>60.319624085076903</v>
      </c>
      <c r="O3461">
        <v>59.244831501239197</v>
      </c>
      <c r="P3461">
        <v>-6.2289760876603803E-2</v>
      </c>
      <c r="Q3461">
        <v>0</v>
      </c>
      <c r="R3461">
        <v>0.99053033720363004</v>
      </c>
      <c r="S3461" t="s">
        <v>10077</v>
      </c>
      <c r="T3461" t="s">
        <v>13232</v>
      </c>
      <c r="U3461" t="s">
        <v>13232</v>
      </c>
      <c r="V3461" t="s">
        <v>13232</v>
      </c>
      <c r="W3461" t="s">
        <v>16635</v>
      </c>
      <c r="X3461">
        <v>15</v>
      </c>
      <c r="Y3461" t="s">
        <v>23070</v>
      </c>
      <c r="Z3461" t="s">
        <v>29592</v>
      </c>
      <c r="AA3461">
        <v>0.6826230255210729</v>
      </c>
      <c r="AB3461" t="str">
        <f>HYPERLINK("Melting_Curves/meltCurve_Q16719_KYNU.pdf", "Melting_Curves/meltCurve_Q16719_KYNU.pdf")</f>
        <v>Melting_Curves/meltCurve_Q16719_KYNU.pdf</v>
      </c>
    </row>
    <row r="3462" spans="1:28" x14ac:dyDescent="0.25">
      <c r="A3462" t="s">
        <v>3465</v>
      </c>
      <c r="B3462">
        <v>0.99930955844802105</v>
      </c>
      <c r="C3462">
        <v>0.96055940020935804</v>
      </c>
      <c r="D3462">
        <v>0.89910866468790396</v>
      </c>
      <c r="E3462">
        <v>0.83612972975448197</v>
      </c>
      <c r="F3462">
        <v>0.71834636278761899</v>
      </c>
      <c r="G3462">
        <v>0.41569533712891799</v>
      </c>
      <c r="H3462">
        <v>0.17939446274677101</v>
      </c>
      <c r="I3462">
        <v>0.11538031149896</v>
      </c>
      <c r="J3462">
        <v>9.7965908957574496E-2</v>
      </c>
      <c r="K3462">
        <v>7.4298090396604496E-2</v>
      </c>
      <c r="L3462">
        <v>862.02810383751398</v>
      </c>
      <c r="M3462">
        <v>15.5382408337292</v>
      </c>
      <c r="N3462">
        <v>55.626452753885602</v>
      </c>
      <c r="O3462">
        <v>54.583296161234401</v>
      </c>
      <c r="P3462">
        <v>-6.9726782167266604E-2</v>
      </c>
      <c r="Q3462">
        <v>2.03307786441114E-2</v>
      </c>
      <c r="R3462">
        <v>0.99401137772736403</v>
      </c>
      <c r="S3462" t="s">
        <v>10078</v>
      </c>
      <c r="T3462" t="s">
        <v>13232</v>
      </c>
      <c r="U3462" t="s">
        <v>13232</v>
      </c>
      <c r="V3462" t="s">
        <v>13232</v>
      </c>
      <c r="W3462" t="s">
        <v>16636</v>
      </c>
      <c r="X3462">
        <v>11</v>
      </c>
      <c r="Y3462" t="s">
        <v>23071</v>
      </c>
      <c r="Z3462" t="s">
        <v>29593</v>
      </c>
      <c r="AA3462">
        <v>0.54335175470939601</v>
      </c>
      <c r="AB3462" t="str">
        <f>HYPERLINK("Melting_Curves/meltCurve_Q16740_CLPP.pdf", "Melting_Curves/meltCurve_Q16740_CLPP.pdf")</f>
        <v>Melting_Curves/meltCurve_Q16740_CLPP.pdf</v>
      </c>
    </row>
    <row r="3463" spans="1:28" x14ac:dyDescent="0.25">
      <c r="A3463" t="s">
        <v>3466</v>
      </c>
      <c r="B3463">
        <v>0.99930955844802105</v>
      </c>
      <c r="C3463">
        <v>0.93565323335538098</v>
      </c>
      <c r="D3463">
        <v>0.87467378145914099</v>
      </c>
      <c r="E3463">
        <v>0.53254144095754596</v>
      </c>
      <c r="F3463">
        <v>0.17035787198747901</v>
      </c>
      <c r="G3463">
        <v>0.14287414630044301</v>
      </c>
      <c r="H3463">
        <v>9.1988772711395397E-2</v>
      </c>
      <c r="I3463">
        <v>9.0867442679650703E-2</v>
      </c>
      <c r="J3463">
        <v>6.3430668382654695E-2</v>
      </c>
      <c r="K3463">
        <v>4.6299413947373198E-2</v>
      </c>
      <c r="L3463">
        <v>1249.30890027072</v>
      </c>
      <c r="M3463">
        <v>25.157539490674498</v>
      </c>
      <c r="N3463">
        <v>49.962602631074198</v>
      </c>
      <c r="O3463">
        <v>49.348839466611402</v>
      </c>
      <c r="P3463">
        <v>-0.118427239074949</v>
      </c>
      <c r="Q3463">
        <v>7.0788317776525903E-2</v>
      </c>
      <c r="R3463">
        <v>0.99323349322825005</v>
      </c>
      <c r="S3463" t="s">
        <v>10079</v>
      </c>
      <c r="T3463" t="s">
        <v>13232</v>
      </c>
      <c r="U3463" t="s">
        <v>13232</v>
      </c>
      <c r="V3463" t="s">
        <v>13232</v>
      </c>
      <c r="W3463" t="s">
        <v>16637</v>
      </c>
      <c r="X3463">
        <v>5</v>
      </c>
      <c r="Y3463" t="s">
        <v>23072</v>
      </c>
      <c r="Z3463" t="s">
        <v>29594</v>
      </c>
      <c r="AA3463">
        <v>0.37814947139916788</v>
      </c>
      <c r="AB3463" t="str">
        <f>HYPERLINK("Melting_Curves/meltCurve_Q16762_TST.pdf", "Melting_Curves/meltCurve_Q16762_TST.pdf")</f>
        <v>Melting_Curves/meltCurve_Q16762_TST.pdf</v>
      </c>
    </row>
    <row r="3464" spans="1:28" x14ac:dyDescent="0.25">
      <c r="A3464" t="s">
        <v>3467</v>
      </c>
      <c r="B3464">
        <v>0.99930955844802105</v>
      </c>
      <c r="C3464">
        <v>1.1213789348487</v>
      </c>
      <c r="D3464">
        <v>1.1469614953560701</v>
      </c>
      <c r="E3464">
        <v>1.0120115811918899</v>
      </c>
      <c r="F3464">
        <v>0.78948387012795096</v>
      </c>
      <c r="G3464">
        <v>0.51934433473305897</v>
      </c>
      <c r="H3464">
        <v>0.25439677514851999</v>
      </c>
      <c r="I3464">
        <v>0.125033771086416</v>
      </c>
      <c r="J3464">
        <v>7.0927528607567805E-2</v>
      </c>
      <c r="K3464">
        <v>4.9491177711314602E-2</v>
      </c>
      <c r="L3464">
        <v>1196.2364147841399</v>
      </c>
      <c r="M3464">
        <v>20.976154994770202</v>
      </c>
      <c r="N3464">
        <v>57.235544791528</v>
      </c>
      <c r="O3464">
        <v>56.517672698358702</v>
      </c>
      <c r="P3464">
        <v>-8.9396510953044406E-2</v>
      </c>
      <c r="Q3464">
        <v>3.65543075493504E-2</v>
      </c>
      <c r="R3464">
        <v>0.97598377784315204</v>
      </c>
      <c r="S3464" t="s">
        <v>10080</v>
      </c>
      <c r="T3464" t="s">
        <v>13232</v>
      </c>
      <c r="U3464" t="s">
        <v>13232</v>
      </c>
      <c r="V3464" t="s">
        <v>13232</v>
      </c>
      <c r="W3464" t="s">
        <v>16638</v>
      </c>
      <c r="X3464">
        <v>9</v>
      </c>
      <c r="Y3464" t="s">
        <v>23073</v>
      </c>
      <c r="Z3464" t="s">
        <v>29595</v>
      </c>
      <c r="AA3464">
        <v>0.59452476524196096</v>
      </c>
      <c r="AB3464" t="str">
        <f>HYPERLINK("Melting_Curves/meltCurve_Q16763_UBE2S.pdf", "Melting_Curves/meltCurve_Q16763_UBE2S.pdf")</f>
        <v>Melting_Curves/meltCurve_Q16763_UBE2S.pdf</v>
      </c>
    </row>
    <row r="3465" spans="1:28" x14ac:dyDescent="0.25">
      <c r="A3465" t="s">
        <v>3468</v>
      </c>
      <c r="B3465">
        <v>0.99930955844802105</v>
      </c>
      <c r="C3465">
        <v>0.94178976620009003</v>
      </c>
      <c r="D3465">
        <v>0.94042039243156605</v>
      </c>
      <c r="E3465">
        <v>0.86179735937959201</v>
      </c>
      <c r="F3465">
        <v>0.66807741657884501</v>
      </c>
      <c r="G3465">
        <v>0.47158715237840398</v>
      </c>
      <c r="H3465">
        <v>0.22872230723156101</v>
      </c>
      <c r="I3465">
        <v>0.124357835586143</v>
      </c>
      <c r="J3465">
        <v>9.4038036661625996E-2</v>
      </c>
      <c r="K3465">
        <v>7.1361456221345404E-2</v>
      </c>
      <c r="L3465">
        <v>783.01001574437601</v>
      </c>
      <c r="M3465">
        <v>13.9784673504848</v>
      </c>
      <c r="N3465">
        <v>56.0154411382535</v>
      </c>
      <c r="O3465">
        <v>54.9063874849775</v>
      </c>
      <c r="P3465">
        <v>-6.3655285749096999E-2</v>
      </c>
      <c r="Q3465">
        <v>0</v>
      </c>
      <c r="R3465">
        <v>0.99633249582682504</v>
      </c>
      <c r="S3465" t="s">
        <v>10081</v>
      </c>
      <c r="T3465" t="s">
        <v>13232</v>
      </c>
      <c r="U3465" t="s">
        <v>13232</v>
      </c>
      <c r="V3465" t="s">
        <v>13232</v>
      </c>
      <c r="W3465" t="s">
        <v>16639</v>
      </c>
      <c r="X3465">
        <v>11</v>
      </c>
      <c r="Y3465" t="s">
        <v>23074</v>
      </c>
      <c r="Z3465" t="s">
        <v>29596</v>
      </c>
      <c r="AA3465">
        <v>0.55255809293041946</v>
      </c>
      <c r="AB3465" t="str">
        <f>HYPERLINK("Melting_Curves/meltCurve_Q16773_CCBL1.pdf", "Melting_Curves/meltCurve_Q16773_CCBL1.pdf")</f>
        <v>Melting_Curves/meltCurve_Q16773_CCBL1.pdf</v>
      </c>
    </row>
    <row r="3466" spans="1:28" x14ac:dyDescent="0.25">
      <c r="A3466" t="s">
        <v>3469</v>
      </c>
      <c r="B3466">
        <v>0.99930955844802105</v>
      </c>
      <c r="C3466">
        <v>0.80261642404306499</v>
      </c>
      <c r="D3466">
        <v>0.69259452184714998</v>
      </c>
      <c r="E3466">
        <v>0.51469709681018605</v>
      </c>
      <c r="F3466">
        <v>0.239994989183339</v>
      </c>
      <c r="G3466">
        <v>0.13863508927831</v>
      </c>
      <c r="H3466">
        <v>7.5853691919535102E-2</v>
      </c>
      <c r="I3466">
        <v>4.6904402906417599E-2</v>
      </c>
      <c r="J3466">
        <v>3.4459195313020101E-2</v>
      </c>
      <c r="K3466">
        <v>2.84145174147152E-2</v>
      </c>
      <c r="L3466">
        <v>620.69589598469497</v>
      </c>
      <c r="M3466">
        <v>12.633486548500599</v>
      </c>
      <c r="N3466">
        <v>49.131005406185899</v>
      </c>
      <c r="O3466">
        <v>47.948767246654597</v>
      </c>
      <c r="P3466">
        <v>-6.58827197492622E-2</v>
      </c>
      <c r="Q3466">
        <v>0</v>
      </c>
      <c r="R3466">
        <v>0.98884621564214603</v>
      </c>
      <c r="S3466" t="s">
        <v>10082</v>
      </c>
      <c r="T3466" t="s">
        <v>13232</v>
      </c>
      <c r="U3466" t="s">
        <v>13232</v>
      </c>
      <c r="V3466" t="s">
        <v>13232</v>
      </c>
      <c r="W3466" t="s">
        <v>16640</v>
      </c>
      <c r="X3466">
        <v>8</v>
      </c>
      <c r="Y3466" t="s">
        <v>23075</v>
      </c>
      <c r="Z3466" t="s">
        <v>29597</v>
      </c>
      <c r="AA3466">
        <v>0.33778520247675659</v>
      </c>
      <c r="AB3466" t="str">
        <f>HYPERLINK("Melting_Curves/meltCurve_Q16778_HIST2H2BE.pdf", "Melting_Curves/meltCurve_Q16778_HIST2H2BE.pdf")</f>
        <v>Melting_Curves/meltCurve_Q16778_HIST2H2BE.pdf</v>
      </c>
    </row>
    <row r="3467" spans="1:28" x14ac:dyDescent="0.25">
      <c r="A3467" t="s">
        <v>3470</v>
      </c>
      <c r="B3467">
        <v>0.99930955844802105</v>
      </c>
      <c r="C3467">
        <v>1.16429757042004</v>
      </c>
      <c r="D3467">
        <v>1.3126691420599801</v>
      </c>
      <c r="E3467">
        <v>1.1670952261582801</v>
      </c>
      <c r="F3467">
        <v>0.96409535922105705</v>
      </c>
      <c r="G3467">
        <v>0.83399483413789099</v>
      </c>
      <c r="H3467">
        <v>0.53034779986927405</v>
      </c>
      <c r="I3467">
        <v>0.43168405713123198</v>
      </c>
      <c r="J3467">
        <v>0.35529672285768699</v>
      </c>
      <c r="K3467">
        <v>0.25592934527494499</v>
      </c>
      <c r="L3467">
        <v>1492.83098351391</v>
      </c>
      <c r="M3467">
        <v>24.951297207612399</v>
      </c>
      <c r="N3467">
        <v>61.856271065934997</v>
      </c>
      <c r="O3467">
        <v>59.449453757463999</v>
      </c>
      <c r="P3467">
        <v>-7.5630203943008095E-2</v>
      </c>
      <c r="Q3467">
        <v>0.27921769414373598</v>
      </c>
      <c r="R3467">
        <v>0.87755411343862699</v>
      </c>
      <c r="S3467" t="s">
        <v>10083</v>
      </c>
      <c r="T3467" t="s">
        <v>13232</v>
      </c>
      <c r="U3467" t="s">
        <v>13232</v>
      </c>
      <c r="V3467" t="s">
        <v>13232</v>
      </c>
      <c r="W3467" t="s">
        <v>16641</v>
      </c>
      <c r="X3467">
        <v>2</v>
      </c>
      <c r="Y3467" t="s">
        <v>23076</v>
      </c>
      <c r="Z3467" t="s">
        <v>29598</v>
      </c>
      <c r="AA3467">
        <v>0.76111991729069994</v>
      </c>
      <c r="AB3467" t="str">
        <f>HYPERLINK("Melting_Curves/meltCurve_Q16819_MEP1A.pdf", "Melting_Curves/meltCurve_Q16819_MEP1A.pdf")</f>
        <v>Melting_Curves/meltCurve_Q16819_MEP1A.pdf</v>
      </c>
    </row>
    <row r="3468" spans="1:28" x14ac:dyDescent="0.25">
      <c r="A3468" t="s">
        <v>3471</v>
      </c>
      <c r="B3468">
        <v>0.99930955844802105</v>
      </c>
      <c r="C3468">
        <v>0.85814104767355004</v>
      </c>
      <c r="D3468">
        <v>0.70816049688476401</v>
      </c>
      <c r="E3468">
        <v>0.36589842280739798</v>
      </c>
      <c r="F3468">
        <v>0.20359418408399299</v>
      </c>
      <c r="G3468">
        <v>0.129731185034858</v>
      </c>
      <c r="H3468">
        <v>8.0235038356498797E-2</v>
      </c>
      <c r="I3468">
        <v>5.9844759001175897E-2</v>
      </c>
      <c r="J3468">
        <v>4.6171715983402001E-2</v>
      </c>
      <c r="K3468">
        <v>4.0036054717095503E-2</v>
      </c>
      <c r="L3468">
        <v>797.19902809918597</v>
      </c>
      <c r="M3468">
        <v>16.587348594002901</v>
      </c>
      <c r="N3468">
        <v>48.332473800020502</v>
      </c>
      <c r="O3468">
        <v>47.378431174820399</v>
      </c>
      <c r="P3468">
        <v>-8.3633628456939196E-2</v>
      </c>
      <c r="Q3468">
        <v>4.45344040268041E-2</v>
      </c>
      <c r="R3468">
        <v>0.99774789844511103</v>
      </c>
      <c r="S3468" t="s">
        <v>10084</v>
      </c>
      <c r="T3468" t="s">
        <v>13232</v>
      </c>
      <c r="U3468" t="s">
        <v>13232</v>
      </c>
      <c r="V3468" t="s">
        <v>13232</v>
      </c>
      <c r="W3468" t="s">
        <v>16642</v>
      </c>
      <c r="X3468">
        <v>29</v>
      </c>
      <c r="Y3468" t="s">
        <v>23077</v>
      </c>
      <c r="Z3468" t="s">
        <v>29599</v>
      </c>
      <c r="AA3468">
        <v>0.32128792403481948</v>
      </c>
      <c r="AB3468" t="str">
        <f>HYPERLINK("Melting_Curves/meltCurve_Q16822_PCK2.pdf", "Melting_Curves/meltCurve_Q16822_PCK2.pdf")</f>
        <v>Melting_Curves/meltCurve_Q16822_PCK2.pdf</v>
      </c>
    </row>
    <row r="3469" spans="1:28" x14ac:dyDescent="0.25">
      <c r="A3469" t="s">
        <v>3472</v>
      </c>
      <c r="B3469">
        <v>0.99930955844802105</v>
      </c>
      <c r="C3469">
        <v>1.0178114770597699</v>
      </c>
      <c r="D3469">
        <v>0.943892680719154</v>
      </c>
      <c r="E3469">
        <v>0.85278177403683597</v>
      </c>
      <c r="F3469">
        <v>0.80067698166297696</v>
      </c>
      <c r="G3469">
        <v>0.61171916738436904</v>
      </c>
      <c r="H3469">
        <v>0.41582109075992202</v>
      </c>
      <c r="I3469">
        <v>0.27746772775069001</v>
      </c>
      <c r="J3469">
        <v>0.22919608636404401</v>
      </c>
      <c r="K3469">
        <v>0.158984954687834</v>
      </c>
      <c r="L3469">
        <v>659.03780221338195</v>
      </c>
      <c r="M3469">
        <v>11.171295079124601</v>
      </c>
      <c r="N3469">
        <v>59.107182197678398</v>
      </c>
      <c r="O3469">
        <v>57.198174605473604</v>
      </c>
      <c r="P3469">
        <v>-4.8325239672577E-2</v>
      </c>
      <c r="Q3469">
        <v>1.05938384781198E-2</v>
      </c>
      <c r="R3469">
        <v>0.99658652380657098</v>
      </c>
      <c r="S3469" t="s">
        <v>10085</v>
      </c>
      <c r="T3469" t="s">
        <v>13232</v>
      </c>
      <c r="U3469" t="s">
        <v>13232</v>
      </c>
      <c r="V3469" t="s">
        <v>13232</v>
      </c>
      <c r="W3469" t="s">
        <v>16643</v>
      </c>
      <c r="X3469">
        <v>6</v>
      </c>
      <c r="Y3469" t="s">
        <v>23078</v>
      </c>
      <c r="Z3469" t="s">
        <v>29600</v>
      </c>
      <c r="AA3469">
        <v>0.64338117248437643</v>
      </c>
      <c r="AB3469" t="str">
        <f>HYPERLINK("Melting_Curves/meltCurve_Q16831_UPP1.pdf", "Melting_Curves/meltCurve_Q16831_UPP1.pdf")</f>
        <v>Melting_Curves/meltCurve_Q16831_UPP1.pdf</v>
      </c>
    </row>
    <row r="3470" spans="1:28" x14ac:dyDescent="0.25">
      <c r="A3470" t="s">
        <v>3473</v>
      </c>
      <c r="B3470">
        <v>0.99930955844802105</v>
      </c>
      <c r="C3470">
        <v>1.0476622915523</v>
      </c>
      <c r="D3470">
        <v>0.97298327917432204</v>
      </c>
      <c r="E3470">
        <v>0.63155495169612996</v>
      </c>
      <c r="F3470">
        <v>0.24717203640941701</v>
      </c>
      <c r="G3470">
        <v>0.176910910714657</v>
      </c>
      <c r="H3470">
        <v>0.106040340868853</v>
      </c>
      <c r="I3470">
        <v>8.8123563182439899E-2</v>
      </c>
      <c r="J3470">
        <v>6.9968757634356296E-2</v>
      </c>
      <c r="K3470">
        <v>5.5095310653266498E-2</v>
      </c>
      <c r="L3470">
        <v>1609.30851119044</v>
      </c>
      <c r="M3470">
        <v>31.8088968705753</v>
      </c>
      <c r="N3470">
        <v>50.911935802973602</v>
      </c>
      <c r="O3470">
        <v>50.394344349355102</v>
      </c>
      <c r="P3470">
        <v>-0.143547331446777</v>
      </c>
      <c r="Q3470">
        <v>9.0325697934125801E-2</v>
      </c>
      <c r="R3470">
        <v>0.99472854378054998</v>
      </c>
      <c r="S3470" t="s">
        <v>10086</v>
      </c>
      <c r="T3470" t="s">
        <v>13232</v>
      </c>
      <c r="U3470" t="s">
        <v>13232</v>
      </c>
      <c r="V3470" t="s">
        <v>13232</v>
      </c>
      <c r="W3470" t="s">
        <v>16644</v>
      </c>
      <c r="X3470">
        <v>12</v>
      </c>
      <c r="Y3470" t="s">
        <v>23079</v>
      </c>
      <c r="Z3470" t="s">
        <v>29601</v>
      </c>
      <c r="AA3470">
        <v>0.41658238437040118</v>
      </c>
      <c r="AB3470" t="str">
        <f>HYPERLINK("Melting_Curves/meltCurve_Q16836_HADH.pdf", "Melting_Curves/meltCurve_Q16836_HADH.pdf")</f>
        <v>Melting_Curves/meltCurve_Q16836_HADH.pdf</v>
      </c>
    </row>
    <row r="3471" spans="1:28" x14ac:dyDescent="0.25">
      <c r="A3471" t="s">
        <v>3474</v>
      </c>
      <c r="B3471">
        <v>0.99930955844802105</v>
      </c>
      <c r="C3471">
        <v>0.73110080657172805</v>
      </c>
      <c r="D3471">
        <v>0.80533159715105596</v>
      </c>
      <c r="E3471">
        <v>0.95882118061053401</v>
      </c>
      <c r="F3471">
        <v>1.1190582515828</v>
      </c>
      <c r="G3471">
        <v>0.29651392608542998</v>
      </c>
      <c r="H3471">
        <v>0.106733666327908</v>
      </c>
      <c r="I3471">
        <v>8.3479728613240697E-2</v>
      </c>
      <c r="J3471">
        <v>6.8162490184520794E-2</v>
      </c>
      <c r="K3471">
        <v>5.2453239315261302E-2</v>
      </c>
      <c r="L3471">
        <v>14183.432009038999</v>
      </c>
      <c r="M3471">
        <v>250</v>
      </c>
      <c r="N3471">
        <v>56.772094118234897</v>
      </c>
      <c r="O3471">
        <v>56.7300974841353</v>
      </c>
      <c r="P3471">
        <v>-1.01609723974906</v>
      </c>
      <c r="Q3471">
        <v>7.77072741439227E-2</v>
      </c>
      <c r="R3471">
        <v>0.92667004564845001</v>
      </c>
      <c r="S3471" t="s">
        <v>10087</v>
      </c>
      <c r="T3471" t="s">
        <v>13232</v>
      </c>
      <c r="U3471" t="s">
        <v>13232</v>
      </c>
      <c r="V3471" t="s">
        <v>13232</v>
      </c>
      <c r="W3471" t="s">
        <v>16645</v>
      </c>
      <c r="X3471">
        <v>32</v>
      </c>
      <c r="Y3471" t="s">
        <v>23080</v>
      </c>
      <c r="Z3471" t="s">
        <v>29602</v>
      </c>
      <c r="AA3471">
        <v>0.59224562536162773</v>
      </c>
      <c r="AB3471" t="str">
        <f>HYPERLINK("Melting_Curves/meltCurve_Q16851_UGP2.pdf", "Melting_Curves/meltCurve_Q16851_UGP2.pdf")</f>
        <v>Melting_Curves/meltCurve_Q16851_UGP2.pdf</v>
      </c>
    </row>
    <row r="3472" spans="1:28" x14ac:dyDescent="0.25">
      <c r="A3472" t="s">
        <v>3475</v>
      </c>
      <c r="B3472">
        <v>0.99930955844802105</v>
      </c>
      <c r="C3472">
        <v>1.22462018158388</v>
      </c>
      <c r="D3472">
        <v>1.22788256141247</v>
      </c>
      <c r="E3472">
        <v>1.0084053647086699</v>
      </c>
      <c r="F3472">
        <v>0.99860916441802805</v>
      </c>
      <c r="G3472">
        <v>0.89343126157795405</v>
      </c>
      <c r="H3472">
        <v>0.87281150243241601</v>
      </c>
      <c r="I3472">
        <v>0.83467090229685104</v>
      </c>
      <c r="J3472">
        <v>0.482833553709417</v>
      </c>
      <c r="K3472">
        <v>0.11490454330691401</v>
      </c>
      <c r="L3472">
        <v>2385.7865521522199</v>
      </c>
      <c r="M3472">
        <v>35.776246238880098</v>
      </c>
      <c r="N3472">
        <v>66.686322107560599</v>
      </c>
      <c r="O3472">
        <v>66.4790194197235</v>
      </c>
      <c r="P3472">
        <v>-0.13454007887414099</v>
      </c>
      <c r="Q3472">
        <v>0</v>
      </c>
      <c r="R3472">
        <v>0.87891720338506996</v>
      </c>
      <c r="S3472" t="s">
        <v>10088</v>
      </c>
      <c r="T3472" t="s">
        <v>13232</v>
      </c>
      <c r="U3472" t="s">
        <v>13232</v>
      </c>
      <c r="V3472" t="s">
        <v>13232</v>
      </c>
      <c r="W3472" t="s">
        <v>16646</v>
      </c>
      <c r="X3472">
        <v>6</v>
      </c>
      <c r="Y3472" t="s">
        <v>23081</v>
      </c>
      <c r="Z3472" t="s">
        <v>29603</v>
      </c>
      <c r="AA3472">
        <v>0.88298654663370102</v>
      </c>
      <c r="AB3472" t="str">
        <f>HYPERLINK("Melting_Curves/meltCurve_Q16854_DGUOK.pdf", "Melting_Curves/meltCurve_Q16854_DGUOK.pdf")</f>
        <v>Melting_Curves/meltCurve_Q16854_DGUOK.pdf</v>
      </c>
    </row>
    <row r="3473" spans="1:28" x14ac:dyDescent="0.25">
      <c r="A3473" t="s">
        <v>3476</v>
      </c>
      <c r="B3473">
        <v>0.99930955844802105</v>
      </c>
      <c r="C3473">
        <v>0.89194704978967698</v>
      </c>
      <c r="D3473">
        <v>0.90519616455927998</v>
      </c>
      <c r="E3473">
        <v>0.94421098569037099</v>
      </c>
      <c r="F3473">
        <v>0.92164534751675398</v>
      </c>
      <c r="G3473">
        <v>0.72271701978542002</v>
      </c>
      <c r="H3473">
        <v>0.42370232375602102</v>
      </c>
      <c r="I3473">
        <v>0.38969345343487799</v>
      </c>
      <c r="J3473">
        <v>0.327690089227621</v>
      </c>
      <c r="K3473">
        <v>0.227376217997285</v>
      </c>
      <c r="L3473">
        <v>1041.02301922162</v>
      </c>
      <c r="M3473">
        <v>17.768216690537699</v>
      </c>
      <c r="N3473">
        <v>60.530698094802602</v>
      </c>
      <c r="O3473">
        <v>57.8620425872883</v>
      </c>
      <c r="P3473">
        <v>-6.0096643599801498E-2</v>
      </c>
      <c r="Q3473">
        <v>0.21722387145275099</v>
      </c>
      <c r="R3473">
        <v>0.96702451091817998</v>
      </c>
      <c r="S3473" t="s">
        <v>10089</v>
      </c>
      <c r="T3473" t="s">
        <v>13232</v>
      </c>
      <c r="U3473" t="s">
        <v>13232</v>
      </c>
      <c r="V3473" t="s">
        <v>13232</v>
      </c>
      <c r="W3473" t="s">
        <v>16647</v>
      </c>
      <c r="X3473">
        <v>9</v>
      </c>
      <c r="Y3473" t="s">
        <v>23082</v>
      </c>
      <c r="Z3473" t="s">
        <v>29604</v>
      </c>
      <c r="AA3473">
        <v>0.71122028964066952</v>
      </c>
      <c r="AB3473" t="str">
        <f>HYPERLINK("Melting_Curves/meltCurve_Q16864_ATP6V1F.pdf", "Melting_Curves/meltCurve_Q16864_ATP6V1F.pdf")</f>
        <v>Melting_Curves/meltCurve_Q16864_ATP6V1F.pdf</v>
      </c>
    </row>
    <row r="3474" spans="1:28" x14ac:dyDescent="0.25">
      <c r="A3474" t="s">
        <v>3477</v>
      </c>
      <c r="B3474">
        <v>0.99930955844802105</v>
      </c>
      <c r="C3474">
        <v>0.880351587925706</v>
      </c>
      <c r="D3474">
        <v>0.77926005674235999</v>
      </c>
      <c r="E3474">
        <v>0.65788113115795699</v>
      </c>
      <c r="F3474">
        <v>0.41705874714040803</v>
      </c>
      <c r="G3474">
        <v>0.19799037367456301</v>
      </c>
      <c r="H3474">
        <v>0.123673729786184</v>
      </c>
      <c r="I3474">
        <v>0.11447817777239</v>
      </c>
      <c r="J3474">
        <v>9.8777597712998294E-2</v>
      </c>
      <c r="K3474">
        <v>7.3806394420283902E-2</v>
      </c>
      <c r="L3474">
        <v>653.96550240612805</v>
      </c>
      <c r="M3474">
        <v>12.7651742308515</v>
      </c>
      <c r="N3474">
        <v>51.518762353136999</v>
      </c>
      <c r="O3474">
        <v>50.022011670317497</v>
      </c>
      <c r="P3474">
        <v>-6.1610130343869203E-2</v>
      </c>
      <c r="Q3474">
        <v>3.44736820536031E-2</v>
      </c>
      <c r="R3474">
        <v>0.99043836478756697</v>
      </c>
      <c r="S3474" t="s">
        <v>10090</v>
      </c>
      <c r="T3474" t="s">
        <v>13232</v>
      </c>
      <c r="U3474" t="s">
        <v>13232</v>
      </c>
      <c r="V3474" t="s">
        <v>13232</v>
      </c>
      <c r="W3474" t="s">
        <v>16648</v>
      </c>
      <c r="X3474">
        <v>16</v>
      </c>
      <c r="Y3474" t="s">
        <v>23083</v>
      </c>
      <c r="Z3474" t="s">
        <v>29605</v>
      </c>
      <c r="AA3474">
        <v>0.42433542801997193</v>
      </c>
      <c r="AB3474" t="str">
        <f>HYPERLINK("Melting_Curves/meltCurve_Q16875_3_PFKFB3.pdf", "Melting_Curves/meltCurve_Q16875_3_PFKFB3.pdf")</f>
        <v>Melting_Curves/meltCurve_Q16875_3_PFKFB3.pdf</v>
      </c>
    </row>
    <row r="3475" spans="1:28" x14ac:dyDescent="0.25">
      <c r="A3475" t="s">
        <v>3478</v>
      </c>
      <c r="B3475">
        <v>0.99930955844802105</v>
      </c>
      <c r="C3475">
        <v>1.0573622794342701</v>
      </c>
      <c r="D3475">
        <v>0.97577999018461004</v>
      </c>
      <c r="E3475">
        <v>0.89808915049405702</v>
      </c>
      <c r="F3475">
        <v>0.65748343081721805</v>
      </c>
      <c r="G3475">
        <v>0.51246778194351095</v>
      </c>
      <c r="H3475">
        <v>0.36425681877848298</v>
      </c>
      <c r="I3475">
        <v>0.30684382303562402</v>
      </c>
      <c r="J3475">
        <v>0.210119870863583</v>
      </c>
      <c r="K3475">
        <v>0.122950170963677</v>
      </c>
      <c r="L3475">
        <v>718.54642606330901</v>
      </c>
      <c r="M3475">
        <v>12.730127265518201</v>
      </c>
      <c r="N3475">
        <v>57.4078786918219</v>
      </c>
      <c r="O3475">
        <v>55.106076278120703</v>
      </c>
      <c r="P3475">
        <v>-5.22087262867931E-2</v>
      </c>
      <c r="Q3475">
        <v>9.6170304843985102E-2</v>
      </c>
      <c r="R3475">
        <v>0.98499880702113496</v>
      </c>
      <c r="S3475" t="s">
        <v>10091</v>
      </c>
      <c r="T3475" t="s">
        <v>13232</v>
      </c>
      <c r="U3475" t="s">
        <v>13232</v>
      </c>
      <c r="V3475" t="s">
        <v>13232</v>
      </c>
      <c r="W3475" t="s">
        <v>16649</v>
      </c>
      <c r="X3475">
        <v>12</v>
      </c>
      <c r="Y3475" t="s">
        <v>23084</v>
      </c>
      <c r="Z3475" t="s">
        <v>29606</v>
      </c>
      <c r="AA3475">
        <v>0.60836926513230161</v>
      </c>
      <c r="AB3475" t="str">
        <f>HYPERLINK("Melting_Curves/meltCurve_Q17R31_2_TATDN3.pdf", "Melting_Curves/meltCurve_Q17R31_2_TATDN3.pdf")</f>
        <v>Melting_Curves/meltCurve_Q17R31_2_TATDN3.pdf</v>
      </c>
    </row>
    <row r="3476" spans="1:28" x14ac:dyDescent="0.25">
      <c r="A3476" t="s">
        <v>3479</v>
      </c>
      <c r="B3476">
        <v>0.99930955844802105</v>
      </c>
      <c r="C3476">
        <v>0.85813083786995303</v>
      </c>
      <c r="D3476">
        <v>0.85101070358759001</v>
      </c>
      <c r="E3476">
        <v>0.56703967171154102</v>
      </c>
      <c r="F3476">
        <v>0.25894225106408297</v>
      </c>
      <c r="G3476">
        <v>0.16979452826882499</v>
      </c>
      <c r="H3476">
        <v>0.121530822467175</v>
      </c>
      <c r="I3476">
        <v>0.10392835996112899</v>
      </c>
      <c r="J3476">
        <v>0.107966894071037</v>
      </c>
      <c r="K3476">
        <v>7.7262999872702104E-2</v>
      </c>
      <c r="L3476">
        <v>897.66574808790097</v>
      </c>
      <c r="M3476">
        <v>18.032432692766701</v>
      </c>
      <c r="N3476">
        <v>50.285836531553201</v>
      </c>
      <c r="O3476">
        <v>49.180522268625502</v>
      </c>
      <c r="P3476">
        <v>-8.4073985902170398E-2</v>
      </c>
      <c r="Q3476">
        <v>8.2852531601091003E-2</v>
      </c>
      <c r="R3476">
        <v>0.98812481058705603</v>
      </c>
      <c r="S3476" t="s">
        <v>10092</v>
      </c>
      <c r="T3476" t="s">
        <v>13232</v>
      </c>
      <c r="U3476" t="s">
        <v>13232</v>
      </c>
      <c r="V3476" t="s">
        <v>13232</v>
      </c>
      <c r="W3476" t="s">
        <v>16650</v>
      </c>
      <c r="X3476">
        <v>4</v>
      </c>
      <c r="Y3476" t="s">
        <v>23085</v>
      </c>
      <c r="Z3476" t="s">
        <v>29607</v>
      </c>
      <c r="AA3476">
        <v>0.39749448872426102</v>
      </c>
      <c r="AB3476" t="str">
        <f>HYPERLINK("Melting_Curves/meltCurve_Q17RN3_FAM98C.pdf", "Melting_Curves/meltCurve_Q17RN3_FAM98C.pdf")</f>
        <v>Melting_Curves/meltCurve_Q17RN3_FAM98C.pdf</v>
      </c>
    </row>
    <row r="3477" spans="1:28" x14ac:dyDescent="0.25">
      <c r="A3477" t="s">
        <v>3480</v>
      </c>
      <c r="B3477">
        <v>0.99930955844802105</v>
      </c>
      <c r="C3477">
        <v>1.0087539179476299</v>
      </c>
      <c r="D3477">
        <v>0.96003305183825205</v>
      </c>
      <c r="E3477">
        <v>0.789107597684087</v>
      </c>
      <c r="F3477">
        <v>0.47872994892349302</v>
      </c>
      <c r="G3477">
        <v>0.27543071860693702</v>
      </c>
      <c r="H3477">
        <v>0.220397272340696</v>
      </c>
      <c r="I3477">
        <v>0.228680690095282</v>
      </c>
      <c r="J3477">
        <v>0.20557766139017999</v>
      </c>
      <c r="K3477">
        <v>0.17171974315988101</v>
      </c>
      <c r="L3477">
        <v>1360.9451724456201</v>
      </c>
      <c r="M3477">
        <v>26.2546037651455</v>
      </c>
      <c r="N3477">
        <v>52.8728381266925</v>
      </c>
      <c r="O3477">
        <v>51.5385337151152</v>
      </c>
      <c r="P3477">
        <v>-0.101738830509442</v>
      </c>
      <c r="Q3477">
        <v>0.20114431130017299</v>
      </c>
      <c r="R3477">
        <v>0.998350344850788</v>
      </c>
      <c r="S3477" t="s">
        <v>10093</v>
      </c>
      <c r="T3477" t="s">
        <v>13232</v>
      </c>
      <c r="U3477" t="s">
        <v>13232</v>
      </c>
      <c r="V3477" t="s">
        <v>13232</v>
      </c>
      <c r="W3477" t="s">
        <v>16651</v>
      </c>
      <c r="X3477">
        <v>18</v>
      </c>
      <c r="Y3477" t="s">
        <v>23086</v>
      </c>
      <c r="Z3477" t="s">
        <v>29608</v>
      </c>
      <c r="AA3477">
        <v>0.52295188008065407</v>
      </c>
      <c r="AB3477" t="str">
        <f>HYPERLINK("Melting_Curves/meltCurve_Q17RU2_REL.pdf", "Melting_Curves/meltCurve_Q17RU2_REL.pdf")</f>
        <v>Melting_Curves/meltCurve_Q17RU2_REL.pdf</v>
      </c>
    </row>
    <row r="3478" spans="1:28" x14ac:dyDescent="0.25">
      <c r="A3478" t="s">
        <v>3481</v>
      </c>
      <c r="B3478">
        <v>0.99930955844802105</v>
      </c>
      <c r="C3478">
        <v>0.94165149463019304</v>
      </c>
      <c r="D3478">
        <v>0.97231846031583102</v>
      </c>
      <c r="E3478">
        <v>0.84586764997575203</v>
      </c>
      <c r="F3478">
        <v>0.94916656523419496</v>
      </c>
      <c r="G3478">
        <v>0.78724753848747298</v>
      </c>
      <c r="H3478">
        <v>0.72631680174792501</v>
      </c>
      <c r="I3478">
        <v>0.685757791436995</v>
      </c>
      <c r="J3478">
        <v>0.50090220752208703</v>
      </c>
      <c r="K3478">
        <v>0.24384530384116099</v>
      </c>
      <c r="L3478">
        <v>708.87267503821101</v>
      </c>
      <c r="M3478">
        <v>10.723679064639301</v>
      </c>
      <c r="N3478">
        <v>66.103489977165694</v>
      </c>
      <c r="O3478">
        <v>63.929182313874698</v>
      </c>
      <c r="P3478">
        <v>-4.1951382413082501E-2</v>
      </c>
      <c r="Q3478">
        <v>0</v>
      </c>
      <c r="R3478">
        <v>0.91110607962050505</v>
      </c>
      <c r="S3478" t="s">
        <v>10094</v>
      </c>
      <c r="T3478" t="s">
        <v>13232</v>
      </c>
      <c r="U3478" t="s">
        <v>13232</v>
      </c>
      <c r="V3478" t="s">
        <v>13232</v>
      </c>
      <c r="W3478" t="s">
        <v>16652</v>
      </c>
      <c r="X3478">
        <v>3</v>
      </c>
      <c r="Y3478" t="s">
        <v>23087</v>
      </c>
      <c r="Z3478" t="s">
        <v>29609</v>
      </c>
      <c r="AA3478">
        <v>0.80742582486233538</v>
      </c>
      <c r="AB3478" t="str">
        <f>HYPERLINK("Melting_Curves/meltCurve_Q19AV6_ZSWIM7.pdf", "Melting_Curves/meltCurve_Q19AV6_ZSWIM7.pdf")</f>
        <v>Melting_Curves/meltCurve_Q19AV6_ZSWIM7.pdf</v>
      </c>
    </row>
    <row r="3479" spans="1:28" x14ac:dyDescent="0.25">
      <c r="A3479" t="s">
        <v>3482</v>
      </c>
      <c r="B3479">
        <v>0.99930955844802105</v>
      </c>
      <c r="C3479">
        <v>1.0479597537238501</v>
      </c>
      <c r="D3479">
        <v>0.99638180380695096</v>
      </c>
      <c r="E3479">
        <v>0.966484809903008</v>
      </c>
      <c r="F3479">
        <v>0.87262260819720205</v>
      </c>
      <c r="G3479">
        <v>0.78996783754240996</v>
      </c>
      <c r="H3479">
        <v>0.72020173614299299</v>
      </c>
      <c r="I3479">
        <v>0.76861852503778305</v>
      </c>
      <c r="J3479">
        <v>0.74585147170237398</v>
      </c>
      <c r="K3479">
        <v>0.60946207990710899</v>
      </c>
      <c r="L3479">
        <v>853.86601576271698</v>
      </c>
      <c r="M3479">
        <v>15.436994641997799</v>
      </c>
      <c r="O3479">
        <v>54.409678376835998</v>
      </c>
      <c r="P3479">
        <v>-2.3026589043383498E-2</v>
      </c>
      <c r="Q3479">
        <v>0.67538857279916598</v>
      </c>
      <c r="R3479">
        <v>0.91798449857611097</v>
      </c>
      <c r="S3479" t="s">
        <v>10095</v>
      </c>
      <c r="T3479" t="s">
        <v>13232</v>
      </c>
      <c r="U3479" t="s">
        <v>13232</v>
      </c>
      <c r="V3479" t="s">
        <v>13232</v>
      </c>
      <c r="W3479" t="s">
        <v>16653</v>
      </c>
      <c r="X3479">
        <v>19</v>
      </c>
      <c r="Y3479" t="s">
        <v>23088</v>
      </c>
      <c r="Z3479" t="s">
        <v>29610</v>
      </c>
      <c r="AA3479">
        <v>0.84701796047178746</v>
      </c>
      <c r="AB3479" t="str">
        <f>HYPERLINK("Melting_Curves/meltCurve_Q1ED39_KNOP1.pdf", "Melting_Curves/meltCurve_Q1ED39_KNOP1.pdf")</f>
        <v>Melting_Curves/meltCurve_Q1ED39_KNOP1.pdf</v>
      </c>
    </row>
    <row r="3480" spans="1:28" x14ac:dyDescent="0.25">
      <c r="A3480" t="s">
        <v>3483</v>
      </c>
      <c r="B3480">
        <v>0.99930955844802105</v>
      </c>
      <c r="C3480">
        <v>0.93926680676078</v>
      </c>
      <c r="D3480">
        <v>0.942545393820582</v>
      </c>
      <c r="E3480">
        <v>0.86795401151455798</v>
      </c>
      <c r="F3480">
        <v>0.76019705840766305</v>
      </c>
      <c r="G3480">
        <v>0.63372293120011403</v>
      </c>
      <c r="H3480">
        <v>0.56453538770738598</v>
      </c>
      <c r="I3480">
        <v>0.60015304358987898</v>
      </c>
      <c r="J3480">
        <v>0.60777329850177897</v>
      </c>
      <c r="K3480">
        <v>0.48472435401276098</v>
      </c>
      <c r="L3480">
        <v>699.30996468175499</v>
      </c>
      <c r="M3480">
        <v>13.2276988937708</v>
      </c>
      <c r="O3480">
        <v>51.702625300549798</v>
      </c>
      <c r="P3480">
        <v>-3.0560590057025001E-2</v>
      </c>
      <c r="Q3480">
        <v>0.52227461629473004</v>
      </c>
      <c r="R3480">
        <v>0.96488933128634202</v>
      </c>
      <c r="S3480" t="s">
        <v>10096</v>
      </c>
      <c r="T3480" t="s">
        <v>13232</v>
      </c>
      <c r="U3480" t="s">
        <v>13232</v>
      </c>
      <c r="V3480" t="s">
        <v>13232</v>
      </c>
      <c r="W3480" t="s">
        <v>16654</v>
      </c>
      <c r="X3480">
        <v>12</v>
      </c>
      <c r="Y3480" t="s">
        <v>23089</v>
      </c>
      <c r="Z3480" t="s">
        <v>29611</v>
      </c>
      <c r="AA3480">
        <v>0.73939898331746035</v>
      </c>
      <c r="AB3480" t="str">
        <f>HYPERLINK("Melting_Curves/meltCurve_Q1MSJ5_1_CSPP1.pdf", "Melting_Curves/meltCurve_Q1MSJ5_1_CSPP1.pdf")</f>
        <v>Melting_Curves/meltCurve_Q1MSJ5_1_CSPP1.pdf</v>
      </c>
    </row>
    <row r="3481" spans="1:28" x14ac:dyDescent="0.25">
      <c r="A3481" t="s">
        <v>3484</v>
      </c>
      <c r="B3481">
        <v>0.99930955844802105</v>
      </c>
      <c r="C3481">
        <v>1.0763227303595999</v>
      </c>
      <c r="D3481">
        <v>1.04644958169242</v>
      </c>
      <c r="E3481">
        <v>0.90253387830621701</v>
      </c>
      <c r="F3481">
        <v>0.449864270165028</v>
      </c>
      <c r="G3481">
        <v>0.254710946593662</v>
      </c>
      <c r="H3481">
        <v>0.164755528622993</v>
      </c>
      <c r="I3481">
        <v>0.17333610136961</v>
      </c>
      <c r="J3481">
        <v>0.14446187482079301</v>
      </c>
      <c r="K3481">
        <v>0.11212655646856</v>
      </c>
      <c r="L3481">
        <v>2117.30974078688</v>
      </c>
      <c r="M3481">
        <v>40.497934902492403</v>
      </c>
      <c r="N3481">
        <v>52.789504305672999</v>
      </c>
      <c r="O3481">
        <v>52.154938871236801</v>
      </c>
      <c r="P3481">
        <v>-0.162817728676317</v>
      </c>
      <c r="Q3481">
        <v>0.161267894354064</v>
      </c>
      <c r="R3481">
        <v>0.98992984630587999</v>
      </c>
      <c r="S3481" t="s">
        <v>10097</v>
      </c>
      <c r="T3481" t="s">
        <v>13232</v>
      </c>
      <c r="U3481" t="s">
        <v>13232</v>
      </c>
      <c r="V3481" t="s">
        <v>13232</v>
      </c>
      <c r="W3481" t="s">
        <v>16655</v>
      </c>
      <c r="X3481">
        <v>21</v>
      </c>
      <c r="Y3481" t="s">
        <v>23090</v>
      </c>
      <c r="Z3481" t="s">
        <v>29612</v>
      </c>
      <c r="AA3481">
        <v>0.50759737697598195</v>
      </c>
      <c r="AB3481" t="str">
        <f>HYPERLINK("Melting_Curves/meltCurve_Q27J81_2_INF2.pdf", "Melting_Curves/meltCurve_Q27J81_2_INF2.pdf")</f>
        <v>Melting_Curves/meltCurve_Q27J81_2_INF2.pdf</v>
      </c>
    </row>
    <row r="3482" spans="1:28" x14ac:dyDescent="0.25">
      <c r="A3482" t="s">
        <v>3485</v>
      </c>
      <c r="B3482">
        <v>0.99930955844802105</v>
      </c>
      <c r="C3482">
        <v>0.71110700168303198</v>
      </c>
      <c r="D3482">
        <v>0.42541544539008302</v>
      </c>
      <c r="E3482">
        <v>0.28251939036816898</v>
      </c>
      <c r="F3482">
        <v>0.19919379461205999</v>
      </c>
      <c r="G3482">
        <v>0.17396992602125799</v>
      </c>
      <c r="H3482">
        <v>0.13212444416663299</v>
      </c>
      <c r="I3482">
        <v>0.17370869435821501</v>
      </c>
      <c r="J3482">
        <v>0.175079118302187</v>
      </c>
      <c r="K3482">
        <v>0.13493715728825401</v>
      </c>
      <c r="L3482">
        <v>961.23394354652601</v>
      </c>
      <c r="M3482">
        <v>21.6122896176858</v>
      </c>
      <c r="N3482">
        <v>45.3096659724687</v>
      </c>
      <c r="O3482">
        <v>44.100731642078699</v>
      </c>
      <c r="P3482">
        <v>-0.102425224313426</v>
      </c>
      <c r="Q3482">
        <v>0.16400906505580401</v>
      </c>
      <c r="R3482">
        <v>0.98673172140093501</v>
      </c>
      <c r="S3482" t="s">
        <v>10098</v>
      </c>
      <c r="T3482" t="s">
        <v>13232</v>
      </c>
      <c r="U3482" t="s">
        <v>13232</v>
      </c>
      <c r="V3482" t="s">
        <v>13232</v>
      </c>
      <c r="W3482" t="s">
        <v>16656</v>
      </c>
      <c r="X3482">
        <v>59</v>
      </c>
      <c r="Y3482" t="s">
        <v>23091</v>
      </c>
      <c r="Z3482" t="s">
        <v>29613</v>
      </c>
      <c r="AA3482">
        <v>0.30134682885363501</v>
      </c>
      <c r="AB3482" t="str">
        <f>HYPERLINK("Melting_Curves/meltCurve_Q29RF7_PDS5A.pdf", "Melting_Curves/meltCurve_Q29RF7_PDS5A.pdf")</f>
        <v>Melting_Curves/meltCurve_Q29RF7_PDS5A.pdf</v>
      </c>
    </row>
    <row r="3483" spans="1:28" x14ac:dyDescent="0.25">
      <c r="A3483" t="s">
        <v>3486</v>
      </c>
      <c r="B3483">
        <v>0.99930955844802105</v>
      </c>
      <c r="C3483">
        <v>1.1363397238801001</v>
      </c>
      <c r="D3483">
        <v>1.1045546154456301</v>
      </c>
      <c r="E3483">
        <v>1.1159476576179499</v>
      </c>
      <c r="F3483">
        <v>1.02865570308486</v>
      </c>
      <c r="G3483">
        <v>0.92756862283319996</v>
      </c>
      <c r="H3483">
        <v>0.95604959865940797</v>
      </c>
      <c r="I3483">
        <v>0.93364434140163599</v>
      </c>
      <c r="J3483">
        <v>0.93246328680205104</v>
      </c>
      <c r="K3483">
        <v>0.78172728882610698</v>
      </c>
      <c r="L3483">
        <v>1106.27915511117</v>
      </c>
      <c r="M3483">
        <v>14.424135260825199</v>
      </c>
      <c r="Q3483">
        <v>0</v>
      </c>
      <c r="R3483">
        <v>0.52287579939114204</v>
      </c>
      <c r="S3483" t="s">
        <v>10099</v>
      </c>
      <c r="T3483" t="s">
        <v>13232</v>
      </c>
      <c r="U3483" t="s">
        <v>13232</v>
      </c>
      <c r="V3483" t="s">
        <v>13232</v>
      </c>
      <c r="W3483" t="s">
        <v>16657</v>
      </c>
      <c r="X3483">
        <v>17</v>
      </c>
      <c r="Y3483" t="s">
        <v>23092</v>
      </c>
      <c r="Z3483" t="s">
        <v>29614</v>
      </c>
      <c r="AA3483">
        <v>0.9706028198111869</v>
      </c>
      <c r="AB3483" t="str">
        <f>HYPERLINK("Melting_Curves/meltCurve_Q2KHR3_QSER1.pdf", "Melting_Curves/meltCurve_Q2KHR3_QSER1.pdf")</f>
        <v>Melting_Curves/meltCurve_Q2KHR3_QSER1.pdf</v>
      </c>
    </row>
    <row r="3484" spans="1:28" x14ac:dyDescent="0.25">
      <c r="A3484" t="s">
        <v>3487</v>
      </c>
      <c r="B3484">
        <v>0.99930955844802105</v>
      </c>
      <c r="C3484">
        <v>0.82615972578033003</v>
      </c>
      <c r="D3484">
        <v>0.72195786133492001</v>
      </c>
      <c r="E3484">
        <v>0.75428345582976097</v>
      </c>
      <c r="F3484">
        <v>0.854061208690851</v>
      </c>
      <c r="G3484">
        <v>0.68266190222933898</v>
      </c>
      <c r="H3484">
        <v>0.24999368996409899</v>
      </c>
      <c r="I3484">
        <v>0.225059086832716</v>
      </c>
      <c r="J3484">
        <v>0.22659518560491501</v>
      </c>
      <c r="K3484">
        <v>0.15841249741070401</v>
      </c>
      <c r="L3484">
        <v>520.79801338203799</v>
      </c>
      <c r="M3484">
        <v>9.0243369491831498</v>
      </c>
      <c r="N3484">
        <v>57.710391008876201</v>
      </c>
      <c r="O3484">
        <v>55.087998171494299</v>
      </c>
      <c r="P3484">
        <v>-4.0983626139494703E-2</v>
      </c>
      <c r="Q3484">
        <v>0</v>
      </c>
      <c r="R3484">
        <v>0.86036208592651797</v>
      </c>
      <c r="S3484" t="s">
        <v>10100</v>
      </c>
      <c r="T3484" t="s">
        <v>13232</v>
      </c>
      <c r="U3484" t="s">
        <v>13232</v>
      </c>
      <c r="V3484" t="s">
        <v>13232</v>
      </c>
      <c r="W3484" t="s">
        <v>16658</v>
      </c>
      <c r="X3484">
        <v>13</v>
      </c>
      <c r="Y3484" t="s">
        <v>23093</v>
      </c>
      <c r="Z3484" t="s">
        <v>29615</v>
      </c>
      <c r="AA3484">
        <v>0.59983272257423403</v>
      </c>
      <c r="AB3484" t="str">
        <f>HYPERLINK("Melting_Curves/meltCurve_Q2KHT3_CLEC16A.pdf", "Melting_Curves/meltCurve_Q2KHT3_CLEC16A.pdf")</f>
        <v>Melting_Curves/meltCurve_Q2KHT3_CLEC16A.pdf</v>
      </c>
    </row>
    <row r="3485" spans="1:28" x14ac:dyDescent="0.25">
      <c r="A3485" t="s">
        <v>3488</v>
      </c>
      <c r="B3485">
        <v>0.99930955844802105</v>
      </c>
      <c r="C3485">
        <v>1.2719778066515399</v>
      </c>
      <c r="D3485">
        <v>1.0987082577796501</v>
      </c>
      <c r="E3485">
        <v>1.08718962953402</v>
      </c>
      <c r="F3485">
        <v>0.90643484409678299</v>
      </c>
      <c r="G3485">
        <v>0.540535349149453</v>
      </c>
      <c r="H3485">
        <v>0.24910347277271799</v>
      </c>
      <c r="I3485">
        <v>0.18407041208977201</v>
      </c>
      <c r="J3485">
        <v>0.20957524917231701</v>
      </c>
      <c r="K3485">
        <v>0.121862485555777</v>
      </c>
      <c r="L3485">
        <v>1868.91845201096</v>
      </c>
      <c r="M3485">
        <v>32.976396247255302</v>
      </c>
      <c r="N3485">
        <v>57.374764625836796</v>
      </c>
      <c r="O3485">
        <v>56.4672320595906</v>
      </c>
      <c r="P3485">
        <v>-0.121809154108864</v>
      </c>
      <c r="Q3485">
        <v>0.16568266113532901</v>
      </c>
      <c r="R3485">
        <v>0.946787529034256</v>
      </c>
      <c r="S3485" t="s">
        <v>10101</v>
      </c>
      <c r="T3485" t="s">
        <v>13232</v>
      </c>
      <c r="U3485" t="s">
        <v>13232</v>
      </c>
      <c r="V3485" t="s">
        <v>13232</v>
      </c>
      <c r="W3485" t="s">
        <v>16659</v>
      </c>
      <c r="X3485">
        <v>7</v>
      </c>
      <c r="Y3485" t="s">
        <v>23094</v>
      </c>
      <c r="Z3485" t="s">
        <v>29616</v>
      </c>
      <c r="AA3485">
        <v>0.63409057973032845</v>
      </c>
      <c r="AB3485" t="str">
        <f>HYPERLINK("Melting_Curves/meltCurve_Q2M296_2_MTHFSD.pdf", "Melting_Curves/meltCurve_Q2M296_2_MTHFSD.pdf")</f>
        <v>Melting_Curves/meltCurve_Q2M296_2_MTHFSD.pdf</v>
      </c>
    </row>
    <row r="3486" spans="1:28" x14ac:dyDescent="0.25">
      <c r="A3486" t="s">
        <v>3489</v>
      </c>
      <c r="B3486">
        <v>0.99930955844802105</v>
      </c>
      <c r="C3486">
        <v>1.1113653660942799</v>
      </c>
      <c r="D3486">
        <v>0.99055104991660403</v>
      </c>
      <c r="E3486">
        <v>0.86442070451598196</v>
      </c>
      <c r="F3486">
        <v>0.66546448523720902</v>
      </c>
      <c r="G3486">
        <v>0.42762963390131298</v>
      </c>
      <c r="H3486">
        <v>0.27772148028356602</v>
      </c>
      <c r="I3486">
        <v>0.274016792861009</v>
      </c>
      <c r="J3486">
        <v>0.27411623731065099</v>
      </c>
      <c r="K3486">
        <v>0.206861011404426</v>
      </c>
      <c r="L3486">
        <v>1127.6961490633901</v>
      </c>
      <c r="M3486">
        <v>20.9735767091823</v>
      </c>
      <c r="N3486">
        <v>55.440591538225</v>
      </c>
      <c r="O3486">
        <v>53.285835006523499</v>
      </c>
      <c r="P3486">
        <v>-7.5329228528793896E-2</v>
      </c>
      <c r="Q3486">
        <v>0.234489624114844</v>
      </c>
      <c r="R3486">
        <v>0.98602316863978001</v>
      </c>
      <c r="S3486" t="s">
        <v>10102</v>
      </c>
      <c r="T3486" t="s">
        <v>13232</v>
      </c>
      <c r="U3486" t="s">
        <v>13232</v>
      </c>
      <c r="V3486" t="s">
        <v>13232</v>
      </c>
      <c r="W3486" t="s">
        <v>16660</v>
      </c>
      <c r="X3486">
        <v>7</v>
      </c>
      <c r="Y3486" t="s">
        <v>23094</v>
      </c>
      <c r="Z3486" t="s">
        <v>29617</v>
      </c>
      <c r="AA3486">
        <v>0.59544265667347718</v>
      </c>
      <c r="AB3486" t="str">
        <f>HYPERLINK("Melting_Curves/meltCurve_Q2M296_4_MTHFSD.pdf", "Melting_Curves/meltCurve_Q2M296_4_MTHFSD.pdf")</f>
        <v>Melting_Curves/meltCurve_Q2M296_4_MTHFSD.pdf</v>
      </c>
    </row>
    <row r="3487" spans="1:28" x14ac:dyDescent="0.25">
      <c r="A3487" t="s">
        <v>3490</v>
      </c>
      <c r="B3487">
        <v>0.99930955844802105</v>
      </c>
      <c r="C3487">
        <v>0.99842387891442597</v>
      </c>
      <c r="D3487">
        <v>0.925555951143198</v>
      </c>
      <c r="E3487">
        <v>0.70445380187037798</v>
      </c>
      <c r="F3487">
        <v>0.37114797996058602</v>
      </c>
      <c r="G3487">
        <v>0.28475763867336001</v>
      </c>
      <c r="H3487">
        <v>0.24749024990028801</v>
      </c>
      <c r="I3487">
        <v>0.24899436123415</v>
      </c>
      <c r="J3487">
        <v>0.23421687522759399</v>
      </c>
      <c r="K3487">
        <v>0.19090993998394001</v>
      </c>
      <c r="L3487">
        <v>1426.35072295122</v>
      </c>
      <c r="M3487">
        <v>28.176093765883198</v>
      </c>
      <c r="N3487">
        <v>51.754022674771498</v>
      </c>
      <c r="O3487">
        <v>50.369775830045498</v>
      </c>
      <c r="P3487">
        <v>-0.107693648845772</v>
      </c>
      <c r="Q3487">
        <v>0.22992009227570201</v>
      </c>
      <c r="R3487">
        <v>0.99548393801842405</v>
      </c>
      <c r="S3487" t="s">
        <v>10103</v>
      </c>
      <c r="T3487" t="s">
        <v>13232</v>
      </c>
      <c r="U3487" t="s">
        <v>13232</v>
      </c>
      <c r="V3487" t="s">
        <v>13232</v>
      </c>
      <c r="W3487" t="s">
        <v>16661</v>
      </c>
      <c r="X3487">
        <v>24</v>
      </c>
      <c r="Y3487" t="s">
        <v>23095</v>
      </c>
      <c r="Z3487" t="s">
        <v>29618</v>
      </c>
      <c r="AA3487">
        <v>0.50805601173296322</v>
      </c>
      <c r="AB3487" t="str">
        <f>HYPERLINK("Melting_Curves/meltCurve_Q2M2I8_AAK1.pdf", "Melting_Curves/meltCurve_Q2M2I8_AAK1.pdf")</f>
        <v>Melting_Curves/meltCurve_Q2M2I8_AAK1.pdf</v>
      </c>
    </row>
    <row r="3488" spans="1:28" x14ac:dyDescent="0.25">
      <c r="A3488" t="s">
        <v>3491</v>
      </c>
      <c r="B3488">
        <v>0.99930955844802105</v>
      </c>
      <c r="C3488">
        <v>1.2548851657618401</v>
      </c>
      <c r="D3488">
        <v>1.19550953195446</v>
      </c>
      <c r="E3488">
        <v>1.19089453325204</v>
      </c>
      <c r="F3488">
        <v>1.1104848107081999</v>
      </c>
      <c r="G3488">
        <v>0.94379759870545299</v>
      </c>
      <c r="H3488">
        <v>1.1606359143392899</v>
      </c>
      <c r="I3488">
        <v>1.3037232599478701</v>
      </c>
      <c r="J3488">
        <v>1.3661915606550601</v>
      </c>
      <c r="K3488">
        <v>1.0513585828221399</v>
      </c>
      <c r="L3488">
        <v>10259.6610777734</v>
      </c>
      <c r="M3488">
        <v>250</v>
      </c>
      <c r="O3488">
        <v>41.036011630784103</v>
      </c>
      <c r="P3488">
        <v>0.26695406302418601</v>
      </c>
      <c r="Q3488">
        <v>1.17527570810004</v>
      </c>
      <c r="R3488">
        <v>0.172914401806642</v>
      </c>
      <c r="S3488" t="s">
        <v>10104</v>
      </c>
      <c r="T3488" t="s">
        <v>13232</v>
      </c>
      <c r="U3488" t="s">
        <v>13232</v>
      </c>
      <c r="V3488" t="s">
        <v>13232</v>
      </c>
      <c r="W3488" t="s">
        <v>16662</v>
      </c>
      <c r="X3488">
        <v>7</v>
      </c>
      <c r="Y3488" t="s">
        <v>23096</v>
      </c>
      <c r="Z3488" t="s">
        <v>29619</v>
      </c>
      <c r="AA3488">
        <v>1.169193410641473</v>
      </c>
      <c r="AB3488" t="str">
        <f>HYPERLINK("Melting_Curves/meltCurve_Q2M2Z5_5_PLK1S1.pdf", "Melting_Curves/meltCurve_Q2M2Z5_5_PLK1S1.pdf")</f>
        <v>Melting_Curves/meltCurve_Q2M2Z5_5_PLK1S1.pdf</v>
      </c>
    </row>
    <row r="3489" spans="1:28" x14ac:dyDescent="0.25">
      <c r="A3489" t="s">
        <v>3492</v>
      </c>
      <c r="B3489">
        <v>0.99930955844802105</v>
      </c>
      <c r="C3489">
        <v>0.73744797421880304</v>
      </c>
      <c r="D3489">
        <v>0.76019606952478602</v>
      </c>
      <c r="E3489">
        <v>0.47955161246724898</v>
      </c>
      <c r="F3489">
        <v>0.19634870135302901</v>
      </c>
      <c r="G3489">
        <v>0.13040583810768899</v>
      </c>
      <c r="H3489">
        <v>7.7020995387835606E-2</v>
      </c>
      <c r="I3489">
        <v>6.6966954608338999E-2</v>
      </c>
      <c r="J3489">
        <v>6.2735314854168805E-2</v>
      </c>
      <c r="K3489">
        <v>4.6774386758277199E-2</v>
      </c>
      <c r="L3489">
        <v>660.99910485763905</v>
      </c>
      <c r="M3489">
        <v>13.5747059467973</v>
      </c>
      <c r="N3489">
        <v>48.863056454885999</v>
      </c>
      <c r="O3489">
        <v>47.673165254728602</v>
      </c>
      <c r="P3489">
        <v>-6.9558434721249396E-2</v>
      </c>
      <c r="Q3489">
        <v>2.3013571782380299E-2</v>
      </c>
      <c r="R3489">
        <v>0.97311482714169395</v>
      </c>
      <c r="S3489" t="s">
        <v>10105</v>
      </c>
      <c r="T3489" t="s">
        <v>13232</v>
      </c>
      <c r="U3489" t="s">
        <v>13232</v>
      </c>
      <c r="V3489" t="s">
        <v>13232</v>
      </c>
      <c r="W3489" t="s">
        <v>16663</v>
      </c>
      <c r="X3489">
        <v>22</v>
      </c>
      <c r="Y3489" t="s">
        <v>23097</v>
      </c>
      <c r="Z3489" t="s">
        <v>29620</v>
      </c>
      <c r="AA3489">
        <v>0.33553708595698822</v>
      </c>
      <c r="AB3489" t="str">
        <f>HYPERLINK("Melting_Curves/meltCurve_Q2M389_KIAA1033.pdf", "Melting_Curves/meltCurve_Q2M389_KIAA1033.pdf")</f>
        <v>Melting_Curves/meltCurve_Q2M389_KIAA1033.pdf</v>
      </c>
    </row>
    <row r="3490" spans="1:28" x14ac:dyDescent="0.25">
      <c r="A3490" t="s">
        <v>3493</v>
      </c>
      <c r="B3490">
        <v>0.99930955844802105</v>
      </c>
      <c r="C3490">
        <v>1.2649072547723399</v>
      </c>
      <c r="D3490">
        <v>1.1893776336159001</v>
      </c>
      <c r="E3490">
        <v>1.0594794452470599</v>
      </c>
      <c r="F3490">
        <v>1.0741263918311801</v>
      </c>
      <c r="G3490">
        <v>0.83487100016374804</v>
      </c>
      <c r="H3490">
        <v>0.82781418320017397</v>
      </c>
      <c r="I3490">
        <v>0.54157030780645399</v>
      </c>
      <c r="J3490">
        <v>0.34104688407005601</v>
      </c>
      <c r="K3490">
        <v>0.18609181921625301</v>
      </c>
      <c r="L3490">
        <v>1287.67720969166</v>
      </c>
      <c r="M3490">
        <v>19.876612353938899</v>
      </c>
      <c r="N3490">
        <v>64.783520714509095</v>
      </c>
      <c r="O3490">
        <v>64.1385133920149</v>
      </c>
      <c r="P3490">
        <v>-7.7477953679341599E-2</v>
      </c>
      <c r="Q3490">
        <v>0</v>
      </c>
      <c r="R3490">
        <v>0.890241212865853</v>
      </c>
      <c r="S3490" t="s">
        <v>10106</v>
      </c>
      <c r="T3490" t="s">
        <v>13232</v>
      </c>
      <c r="U3490" t="s">
        <v>13232</v>
      </c>
      <c r="V3490" t="s">
        <v>13232</v>
      </c>
      <c r="W3490" t="s">
        <v>16664</v>
      </c>
      <c r="X3490">
        <v>1</v>
      </c>
      <c r="Y3490" t="s">
        <v>23097</v>
      </c>
      <c r="Z3490" t="s">
        <v>29621</v>
      </c>
      <c r="AA3490">
        <v>0.81517470778382994</v>
      </c>
      <c r="AB3490" t="str">
        <f>HYPERLINK("Melting_Curves/meltCurve_Q2M389_2_KIAA1033.pdf", "Melting_Curves/meltCurve_Q2M389_2_KIAA1033.pdf")</f>
        <v>Melting_Curves/meltCurve_Q2M389_2_KIAA1033.pdf</v>
      </c>
    </row>
    <row r="3491" spans="1:28" x14ac:dyDescent="0.25">
      <c r="A3491" t="s">
        <v>3494</v>
      </c>
      <c r="B3491">
        <v>0.99930955844802105</v>
      </c>
      <c r="C3491">
        <v>0.97130114689848401</v>
      </c>
      <c r="D3491">
        <v>1.0196065733230399</v>
      </c>
      <c r="E3491">
        <v>0.95053187012983997</v>
      </c>
      <c r="F3491">
        <v>0.75815145932490102</v>
      </c>
      <c r="G3491">
        <v>0.62455116099319896</v>
      </c>
      <c r="H3491">
        <v>0.57364275551030697</v>
      </c>
      <c r="I3491">
        <v>0.60657446114734903</v>
      </c>
      <c r="J3491">
        <v>0.57769932205804497</v>
      </c>
      <c r="K3491">
        <v>0.428888377343289</v>
      </c>
      <c r="L3491">
        <v>1282.6319927095501</v>
      </c>
      <c r="M3491">
        <v>24.0466426458722</v>
      </c>
      <c r="O3491">
        <v>52.974560732936403</v>
      </c>
      <c r="P3491">
        <v>-5.2552691714501699E-2</v>
      </c>
      <c r="Q3491">
        <v>0.53691464450875104</v>
      </c>
      <c r="R3491">
        <v>0.95141955181802795</v>
      </c>
      <c r="S3491" t="s">
        <v>10107</v>
      </c>
      <c r="T3491" t="s">
        <v>13232</v>
      </c>
      <c r="U3491" t="s">
        <v>13232</v>
      </c>
      <c r="V3491" t="s">
        <v>13232</v>
      </c>
      <c r="W3491" t="s">
        <v>16665</v>
      </c>
      <c r="X3491">
        <v>13</v>
      </c>
      <c r="Y3491" t="s">
        <v>23098</v>
      </c>
      <c r="Z3491" t="s">
        <v>29622</v>
      </c>
      <c r="AA3491">
        <v>0.74741415734446526</v>
      </c>
      <c r="AB3491" t="str">
        <f>HYPERLINK("Melting_Curves/meltCurve_Q2M3G4_2_SHROOM1.pdf", "Melting_Curves/meltCurve_Q2M3G4_2_SHROOM1.pdf")</f>
        <v>Melting_Curves/meltCurve_Q2M3G4_2_SHROOM1.pdf</v>
      </c>
    </row>
    <row r="3492" spans="1:28" x14ac:dyDescent="0.25">
      <c r="A3492" t="s">
        <v>3495</v>
      </c>
      <c r="B3492">
        <v>0.99930955844802105</v>
      </c>
      <c r="C3492">
        <v>0.84200346722952601</v>
      </c>
      <c r="D3492">
        <v>0.611185956262566</v>
      </c>
      <c r="E3492">
        <v>0.31778932471725402</v>
      </c>
      <c r="F3492">
        <v>0.15636898677660399</v>
      </c>
      <c r="G3492">
        <v>0.10256424598489999</v>
      </c>
      <c r="H3492">
        <v>6.1287819625551299E-2</v>
      </c>
      <c r="I3492">
        <v>5.2284221088341E-2</v>
      </c>
      <c r="J3492">
        <v>4.5685572378302702E-2</v>
      </c>
      <c r="K3492">
        <v>3.3195769081431403E-2</v>
      </c>
      <c r="L3492">
        <v>807.09354913825098</v>
      </c>
      <c r="M3492">
        <v>17.113702197484599</v>
      </c>
      <c r="N3492">
        <v>47.396261477150198</v>
      </c>
      <c r="O3492">
        <v>46.530844315623703</v>
      </c>
      <c r="P3492">
        <v>-8.8204221948597394E-2</v>
      </c>
      <c r="Q3492">
        <v>4.07755003732631E-2</v>
      </c>
      <c r="R3492">
        <v>0.99778719433625696</v>
      </c>
      <c r="S3492" t="s">
        <v>10108</v>
      </c>
      <c r="T3492" t="s">
        <v>13232</v>
      </c>
      <c r="U3492" t="s">
        <v>13232</v>
      </c>
      <c r="V3492" t="s">
        <v>13232</v>
      </c>
      <c r="W3492" t="s">
        <v>16666</v>
      </c>
      <c r="X3492">
        <v>22</v>
      </c>
      <c r="Y3492" t="s">
        <v>23099</v>
      </c>
      <c r="Z3492" t="s">
        <v>29623</v>
      </c>
      <c r="AA3492">
        <v>0.28930977553025311</v>
      </c>
      <c r="AB3492" t="str">
        <f>HYPERLINK("Melting_Curves/meltCurve_Q2NL82_TSR1.pdf", "Melting_Curves/meltCurve_Q2NL82_TSR1.pdf")</f>
        <v>Melting_Curves/meltCurve_Q2NL82_TSR1.pdf</v>
      </c>
    </row>
    <row r="3493" spans="1:28" x14ac:dyDescent="0.25">
      <c r="A3493" t="s">
        <v>3496</v>
      </c>
      <c r="B3493">
        <v>0.99930955844802105</v>
      </c>
      <c r="C3493">
        <v>1.0283968767945399</v>
      </c>
      <c r="D3493">
        <v>1.05023240195978</v>
      </c>
      <c r="E3493">
        <v>0.69192399417963002</v>
      </c>
      <c r="F3493">
        <v>0.79757006179297496</v>
      </c>
      <c r="G3493">
        <v>0.55947370152363096</v>
      </c>
      <c r="H3493">
        <v>0.46379085365563799</v>
      </c>
      <c r="I3493">
        <v>0.33181429770668902</v>
      </c>
      <c r="J3493">
        <v>0.43355547724871701</v>
      </c>
      <c r="K3493">
        <v>0.270550030505466</v>
      </c>
      <c r="L3493">
        <v>676.61506725271704</v>
      </c>
      <c r="M3493">
        <v>12.2538425666673</v>
      </c>
      <c r="N3493">
        <v>58.969433595155699</v>
      </c>
      <c r="O3493">
        <v>53.807809715839802</v>
      </c>
      <c r="P3493">
        <v>-4.1527290876541501E-2</v>
      </c>
      <c r="Q3493">
        <v>0.27076086203848199</v>
      </c>
      <c r="R3493">
        <v>0.92987256269059504</v>
      </c>
      <c r="S3493" t="s">
        <v>10109</v>
      </c>
      <c r="T3493" t="s">
        <v>13232</v>
      </c>
      <c r="U3493" t="s">
        <v>13232</v>
      </c>
      <c r="V3493" t="s">
        <v>13232</v>
      </c>
      <c r="W3493" t="s">
        <v>16667</v>
      </c>
      <c r="X3493">
        <v>3</v>
      </c>
      <c r="Y3493" t="s">
        <v>23100</v>
      </c>
      <c r="Z3493" t="s">
        <v>29624</v>
      </c>
      <c r="AA3493">
        <v>0.65706386969896224</v>
      </c>
      <c r="AB3493" t="str">
        <f>HYPERLINK("Melting_Curves/meltCurve_Q2NL98_VMAC.pdf", "Melting_Curves/meltCurve_Q2NL98_VMAC.pdf")</f>
        <v>Melting_Curves/meltCurve_Q2NL98_VMAC.pdf</v>
      </c>
    </row>
    <row r="3494" spans="1:28" x14ac:dyDescent="0.25">
      <c r="A3494" t="s">
        <v>3497</v>
      </c>
      <c r="B3494">
        <v>0.99930955844802105</v>
      </c>
      <c r="C3494">
        <v>0.69628472587526802</v>
      </c>
      <c r="D3494">
        <v>0.71552779222852103</v>
      </c>
      <c r="E3494">
        <v>0.51915471437087701</v>
      </c>
      <c r="F3494">
        <v>0.25043585722274098</v>
      </c>
      <c r="G3494">
        <v>0.216035842604478</v>
      </c>
      <c r="H3494">
        <v>0.13955170051633001</v>
      </c>
      <c r="I3494">
        <v>0.17210277290374101</v>
      </c>
      <c r="J3494">
        <v>0.13290808004925</v>
      </c>
      <c r="K3494">
        <v>0.148597583327714</v>
      </c>
      <c r="L3494">
        <v>572.35575911301498</v>
      </c>
      <c r="M3494">
        <v>11.930566072082099</v>
      </c>
      <c r="N3494">
        <v>48.942176433594703</v>
      </c>
      <c r="O3494">
        <v>46.6856555486251</v>
      </c>
      <c r="P3494">
        <v>-5.71858633828181E-2</v>
      </c>
      <c r="Q3494">
        <v>0.105121605381682</v>
      </c>
      <c r="R3494">
        <v>0.95708614881963106</v>
      </c>
      <c r="S3494" t="s">
        <v>10110</v>
      </c>
      <c r="T3494" t="s">
        <v>13232</v>
      </c>
      <c r="U3494" t="s">
        <v>13232</v>
      </c>
      <c r="V3494" t="s">
        <v>13232</v>
      </c>
      <c r="W3494" t="s">
        <v>16668</v>
      </c>
      <c r="X3494">
        <v>5</v>
      </c>
      <c r="Y3494" t="s">
        <v>23101</v>
      </c>
      <c r="Z3494" t="s">
        <v>29625</v>
      </c>
      <c r="AA3494">
        <v>0.37841764757378837</v>
      </c>
      <c r="AB3494" t="str">
        <f>HYPERLINK("Melting_Curves/meltCurve_Q2PPJ7_3_RALGAPA2.pdf", "Melting_Curves/meltCurve_Q2PPJ7_3_RALGAPA2.pdf")</f>
        <v>Melting_Curves/meltCurve_Q2PPJ7_3_RALGAPA2.pdf</v>
      </c>
    </row>
    <row r="3495" spans="1:28" x14ac:dyDescent="0.25">
      <c r="A3495" t="s">
        <v>3498</v>
      </c>
      <c r="B3495">
        <v>0.99930955844802105</v>
      </c>
      <c r="C3495">
        <v>1.0293768547859601</v>
      </c>
      <c r="D3495">
        <v>1.1246363925698699</v>
      </c>
      <c r="E3495">
        <v>0.99785904616114995</v>
      </c>
      <c r="F3495">
        <v>0.88135930543014196</v>
      </c>
      <c r="G3495">
        <v>0.75229051242280998</v>
      </c>
      <c r="H3495">
        <v>0.56822951254274801</v>
      </c>
      <c r="I3495">
        <v>0.56489967345890801</v>
      </c>
      <c r="J3495">
        <v>0.41841261148712899</v>
      </c>
      <c r="K3495">
        <v>0.45031254580131502</v>
      </c>
      <c r="L3495">
        <v>1073.7431402121099</v>
      </c>
      <c r="M3495">
        <v>18.554932504753001</v>
      </c>
      <c r="N3495">
        <v>64.328008296894396</v>
      </c>
      <c r="O3495">
        <v>57.208745514213398</v>
      </c>
      <c r="P3495">
        <v>-4.6835073509113499E-2</v>
      </c>
      <c r="Q3495">
        <v>0.42241589536935598</v>
      </c>
      <c r="R3495">
        <v>0.95921168054959005</v>
      </c>
      <c r="S3495" t="s">
        <v>10111</v>
      </c>
      <c r="T3495" t="s">
        <v>13232</v>
      </c>
      <c r="U3495" t="s">
        <v>13232</v>
      </c>
      <c r="V3495" t="s">
        <v>13232</v>
      </c>
      <c r="W3495" t="s">
        <v>16669</v>
      </c>
      <c r="X3495">
        <v>2</v>
      </c>
      <c r="Y3495" t="s">
        <v>23102</v>
      </c>
      <c r="Z3495" t="s">
        <v>29626</v>
      </c>
      <c r="AA3495">
        <v>0.77352134475464274</v>
      </c>
      <c r="AB3495" t="str">
        <f>HYPERLINK("Melting_Curves/meltCurve_Q2Q1W2_TRIM71.pdf", "Melting_Curves/meltCurve_Q2Q1W2_TRIM71.pdf")</f>
        <v>Melting_Curves/meltCurve_Q2Q1W2_TRIM71.pdf</v>
      </c>
    </row>
    <row r="3496" spans="1:28" x14ac:dyDescent="0.25">
      <c r="A3496" t="s">
        <v>3499</v>
      </c>
      <c r="B3496">
        <v>0.99930955844802105</v>
      </c>
      <c r="C3496">
        <v>1.12914411323943</v>
      </c>
      <c r="D3496">
        <v>0.96502982740075505</v>
      </c>
      <c r="E3496">
        <v>0.70718828642610598</v>
      </c>
      <c r="F3496">
        <v>0.58822847490833297</v>
      </c>
      <c r="G3496">
        <v>0.54980354584310398</v>
      </c>
      <c r="H3496">
        <v>0.56928950775651999</v>
      </c>
      <c r="I3496">
        <v>0.563479550201202</v>
      </c>
      <c r="J3496">
        <v>0.62117377670651097</v>
      </c>
      <c r="K3496">
        <v>0.51886800538657996</v>
      </c>
      <c r="L3496">
        <v>2043.51871303844</v>
      </c>
      <c r="M3496">
        <v>41.599343730292397</v>
      </c>
      <c r="O3496">
        <v>49.010708542533798</v>
      </c>
      <c r="P3496">
        <v>-9.2321208160251605E-2</v>
      </c>
      <c r="Q3496">
        <v>0.56492392376174605</v>
      </c>
      <c r="R3496">
        <v>0.94959510690120896</v>
      </c>
      <c r="S3496" t="s">
        <v>10112</v>
      </c>
      <c r="T3496" t="s">
        <v>13232</v>
      </c>
      <c r="U3496" t="s">
        <v>13232</v>
      </c>
      <c r="V3496" t="s">
        <v>13232</v>
      </c>
      <c r="W3496" t="s">
        <v>16670</v>
      </c>
      <c r="X3496">
        <v>14</v>
      </c>
      <c r="Y3496" t="s">
        <v>23103</v>
      </c>
      <c r="Z3496" t="s">
        <v>29627</v>
      </c>
      <c r="AA3496">
        <v>0.69860853844733006</v>
      </c>
      <c r="AB3496" t="str">
        <f>HYPERLINK("Melting_Curves/meltCurve_Q2TAL8_QRICH1.pdf", "Melting_Curves/meltCurve_Q2TAL8_QRICH1.pdf")</f>
        <v>Melting_Curves/meltCurve_Q2TAL8_QRICH1.pdf</v>
      </c>
    </row>
    <row r="3497" spans="1:28" x14ac:dyDescent="0.25">
      <c r="A3497" t="s">
        <v>3500</v>
      </c>
      <c r="B3497">
        <v>0.99930955844802105</v>
      </c>
      <c r="C3497">
        <v>1.10728398040399</v>
      </c>
      <c r="D3497">
        <v>1.0608132767785801</v>
      </c>
      <c r="E3497">
        <v>0.95437055196594101</v>
      </c>
      <c r="F3497">
        <v>0.52981298424579903</v>
      </c>
      <c r="G3497">
        <v>0.22868197254334799</v>
      </c>
      <c r="H3497">
        <v>0.15882756969148801</v>
      </c>
      <c r="I3497">
        <v>0.146954853563878</v>
      </c>
      <c r="J3497">
        <v>0.14283362298892799</v>
      </c>
      <c r="K3497">
        <v>0.112123483126241</v>
      </c>
      <c r="L3497">
        <v>2252.99751076751</v>
      </c>
      <c r="M3497">
        <v>42.647036521424504</v>
      </c>
      <c r="N3497">
        <v>53.268854299489</v>
      </c>
      <c r="O3497">
        <v>52.71316631509</v>
      </c>
      <c r="P3497">
        <v>-0.17223910972348599</v>
      </c>
      <c r="Q3497">
        <v>0.148428014824975</v>
      </c>
      <c r="R3497">
        <v>0.98855886491433398</v>
      </c>
      <c r="S3497" t="s">
        <v>10113</v>
      </c>
      <c r="T3497" t="s">
        <v>13232</v>
      </c>
      <c r="U3497" t="s">
        <v>13232</v>
      </c>
      <c r="V3497" t="s">
        <v>13232</v>
      </c>
      <c r="W3497" t="s">
        <v>16671</v>
      </c>
      <c r="X3497">
        <v>25</v>
      </c>
      <c r="Y3497" t="s">
        <v>23104</v>
      </c>
      <c r="Z3497" t="s">
        <v>29628</v>
      </c>
      <c r="AA3497">
        <v>0.51531835526180059</v>
      </c>
      <c r="AB3497" t="str">
        <f>HYPERLINK("Melting_Curves/meltCurve_Q2TAM5_RELA.pdf", "Melting_Curves/meltCurve_Q2TAM5_RELA.pdf")</f>
        <v>Melting_Curves/meltCurve_Q2TAM5_RELA.pdf</v>
      </c>
    </row>
    <row r="3498" spans="1:28" x14ac:dyDescent="0.25">
      <c r="A3498" t="s">
        <v>3501</v>
      </c>
      <c r="B3498">
        <v>0.99930955844802105</v>
      </c>
      <c r="C3498">
        <v>0.87641180184333001</v>
      </c>
      <c r="D3498">
        <v>0.77931042461493405</v>
      </c>
      <c r="E3498">
        <v>0.48737004697146902</v>
      </c>
      <c r="F3498">
        <v>0.217795537222151</v>
      </c>
      <c r="G3498">
        <v>0.12956247116073499</v>
      </c>
      <c r="H3498">
        <v>7.4246891607978802E-2</v>
      </c>
      <c r="I3498">
        <v>6.6819244179270598E-2</v>
      </c>
      <c r="J3498">
        <v>5.6565049649932898E-2</v>
      </c>
      <c r="K3498">
        <v>4.5916146753201201E-2</v>
      </c>
      <c r="L3498">
        <v>828.15633254925001</v>
      </c>
      <c r="M3498">
        <v>16.844754698138999</v>
      </c>
      <c r="N3498">
        <v>49.410616214599798</v>
      </c>
      <c r="O3498">
        <v>48.486840004544298</v>
      </c>
      <c r="P3498">
        <v>-8.3356436421626295E-2</v>
      </c>
      <c r="Q3498">
        <v>4.03112053535645E-2</v>
      </c>
      <c r="R3498">
        <v>0.99557652464911595</v>
      </c>
      <c r="S3498" t="s">
        <v>10114</v>
      </c>
      <c r="T3498" t="s">
        <v>13232</v>
      </c>
      <c r="U3498" t="s">
        <v>13232</v>
      </c>
      <c r="V3498" t="s">
        <v>13232</v>
      </c>
      <c r="W3498" t="s">
        <v>16672</v>
      </c>
      <c r="X3498">
        <v>13</v>
      </c>
      <c r="Y3498" t="s">
        <v>23105</v>
      </c>
      <c r="Z3498" t="s">
        <v>29629</v>
      </c>
      <c r="AA3498">
        <v>0.35234136994457571</v>
      </c>
      <c r="AB3498" t="str">
        <f>HYPERLINK("Melting_Curves/meltCurve_Q2TAY7_SMU1.pdf", "Melting_Curves/meltCurve_Q2TAY7_SMU1.pdf")</f>
        <v>Melting_Curves/meltCurve_Q2TAY7_SMU1.pdf</v>
      </c>
    </row>
    <row r="3499" spans="1:28" x14ac:dyDescent="0.25">
      <c r="A3499" t="s">
        <v>3502</v>
      </c>
      <c r="B3499">
        <v>0.99930955844802105</v>
      </c>
      <c r="C3499">
        <v>0.76101181599516099</v>
      </c>
      <c r="D3499">
        <v>0.87130735217574595</v>
      </c>
      <c r="E3499">
        <v>0.85947904739733705</v>
      </c>
      <c r="F3499">
        <v>0.78620993698627195</v>
      </c>
      <c r="G3499">
        <v>0.54921947992488396</v>
      </c>
      <c r="H3499">
        <v>0.283094743107415</v>
      </c>
      <c r="I3499">
        <v>0.221712461722608</v>
      </c>
      <c r="J3499">
        <v>0.185488657491369</v>
      </c>
      <c r="K3499">
        <v>0.15397443383842899</v>
      </c>
      <c r="L3499">
        <v>614.30413420846696</v>
      </c>
      <c r="M3499">
        <v>10.689853106837999</v>
      </c>
      <c r="N3499">
        <v>57.4660964884146</v>
      </c>
      <c r="O3499">
        <v>55.564552121303002</v>
      </c>
      <c r="P3499">
        <v>-4.81146649180033E-2</v>
      </c>
      <c r="Q3499">
        <v>0</v>
      </c>
      <c r="R3499">
        <v>0.93510242270608002</v>
      </c>
      <c r="S3499" t="s">
        <v>10115</v>
      </c>
      <c r="T3499" t="s">
        <v>13232</v>
      </c>
      <c r="U3499" t="s">
        <v>13232</v>
      </c>
      <c r="V3499" t="s">
        <v>13232</v>
      </c>
      <c r="W3499" t="s">
        <v>16673</v>
      </c>
      <c r="X3499">
        <v>12</v>
      </c>
      <c r="Y3499" t="s">
        <v>23106</v>
      </c>
      <c r="Z3499" t="s">
        <v>29630</v>
      </c>
      <c r="AA3499">
        <v>0.59624971184441966</v>
      </c>
      <c r="AB3499" t="str">
        <f>HYPERLINK("Melting_Curves/meltCurve_Q2TAZ0_ATG2A.pdf", "Melting_Curves/meltCurve_Q2TAZ0_ATG2A.pdf")</f>
        <v>Melting_Curves/meltCurve_Q2TAZ0_ATG2A.pdf</v>
      </c>
    </row>
    <row r="3500" spans="1:28" x14ac:dyDescent="0.25">
      <c r="A3500" t="s">
        <v>3503</v>
      </c>
      <c r="B3500">
        <v>0.99930955844802105</v>
      </c>
      <c r="C3500">
        <v>1.2307929915518001</v>
      </c>
      <c r="D3500">
        <v>1.0901063027586499</v>
      </c>
      <c r="E3500">
        <v>1.11027155897736</v>
      </c>
      <c r="F3500">
        <v>1.0216724933938199</v>
      </c>
      <c r="G3500">
        <v>0.74360611413017297</v>
      </c>
      <c r="H3500">
        <v>0.53403778082199105</v>
      </c>
      <c r="I3500">
        <v>0.37464958180278801</v>
      </c>
      <c r="J3500">
        <v>0.378398663932417</v>
      </c>
      <c r="K3500">
        <v>0.294175529307107</v>
      </c>
      <c r="L3500">
        <v>1579.55498227054</v>
      </c>
      <c r="M3500">
        <v>26.909334993613701</v>
      </c>
      <c r="N3500">
        <v>61.029892000727997</v>
      </c>
      <c r="O3500">
        <v>58.377842493868798</v>
      </c>
      <c r="P3500">
        <v>-7.8237930434500405E-2</v>
      </c>
      <c r="Q3500">
        <v>0.32108081098714403</v>
      </c>
      <c r="R3500">
        <v>0.92613225732451598</v>
      </c>
      <c r="S3500" t="s">
        <v>10116</v>
      </c>
      <c r="T3500" t="s">
        <v>13232</v>
      </c>
      <c r="U3500" t="s">
        <v>13232</v>
      </c>
      <c r="V3500" t="s">
        <v>13232</v>
      </c>
      <c r="W3500" t="s">
        <v>16674</v>
      </c>
      <c r="X3500">
        <v>1</v>
      </c>
      <c r="Y3500" t="s">
        <v>23107</v>
      </c>
      <c r="Z3500" t="s">
        <v>29631</v>
      </c>
      <c r="AA3500">
        <v>0.74941125598973513</v>
      </c>
      <c r="AB3500" t="str">
        <f>HYPERLINK("Melting_Curves/meltCurve_Q2TB10_ZNF800.pdf", "Melting_Curves/meltCurve_Q2TB10_ZNF800.pdf")</f>
        <v>Melting_Curves/meltCurve_Q2TB10_ZNF800.pdf</v>
      </c>
    </row>
    <row r="3501" spans="1:28" x14ac:dyDescent="0.25">
      <c r="A3501" t="s">
        <v>3504</v>
      </c>
      <c r="B3501">
        <v>0.99930955844802105</v>
      </c>
      <c r="C3501">
        <v>1.06088830196305</v>
      </c>
      <c r="D3501">
        <v>1.00235766993622</v>
      </c>
      <c r="E3501">
        <v>0.96096390338830795</v>
      </c>
      <c r="F3501">
        <v>0.88857601518152496</v>
      </c>
      <c r="G3501">
        <v>0.71746795870013302</v>
      </c>
      <c r="H3501">
        <v>0.609404040188541</v>
      </c>
      <c r="I3501">
        <v>0.66802555972682998</v>
      </c>
      <c r="J3501">
        <v>0.60326108562471603</v>
      </c>
      <c r="K3501">
        <v>0.44677208428083998</v>
      </c>
      <c r="L3501">
        <v>817.75770827193901</v>
      </c>
      <c r="M3501">
        <v>14.2752830457207</v>
      </c>
      <c r="O3501">
        <v>56.195895543452998</v>
      </c>
      <c r="P3501">
        <v>-3.2151584632072502E-2</v>
      </c>
      <c r="Q3501">
        <v>0.49379202152694601</v>
      </c>
      <c r="R3501">
        <v>0.94148321690361803</v>
      </c>
      <c r="S3501" t="s">
        <v>10117</v>
      </c>
      <c r="T3501" t="s">
        <v>13232</v>
      </c>
      <c r="U3501" t="s">
        <v>13232</v>
      </c>
      <c r="V3501" t="s">
        <v>13232</v>
      </c>
      <c r="W3501" t="s">
        <v>16675</v>
      </c>
      <c r="X3501">
        <v>25</v>
      </c>
      <c r="Y3501" t="s">
        <v>23108</v>
      </c>
      <c r="Z3501" t="s">
        <v>29632</v>
      </c>
      <c r="AA3501">
        <v>0.79329612895771673</v>
      </c>
      <c r="AB3501" t="str">
        <f>HYPERLINK("Melting_Curves/meltCurve_Q2TBE0_CWF19L2.pdf", "Melting_Curves/meltCurve_Q2TBE0_CWF19L2.pdf")</f>
        <v>Melting_Curves/meltCurve_Q2TBE0_CWF19L2.pdf</v>
      </c>
    </row>
    <row r="3502" spans="1:28" x14ac:dyDescent="0.25">
      <c r="A3502" t="s">
        <v>3505</v>
      </c>
      <c r="B3502">
        <v>0.99930955844802105</v>
      </c>
      <c r="C3502">
        <v>0.73572975866226598</v>
      </c>
      <c r="D3502">
        <v>0.82742055009354099</v>
      </c>
      <c r="E3502">
        <v>0.73957475430455</v>
      </c>
      <c r="F3502">
        <v>0.148301112979177</v>
      </c>
      <c r="G3502">
        <v>6.4966407897568898E-2</v>
      </c>
      <c r="H3502">
        <v>1.8539041673761102E-2</v>
      </c>
      <c r="I3502">
        <v>1.66345784026567E-2</v>
      </c>
      <c r="J3502">
        <v>3.0742958029556199E-3</v>
      </c>
      <c r="K3502">
        <v>0</v>
      </c>
      <c r="L3502">
        <v>2328.0624118186702</v>
      </c>
      <c r="M3502">
        <v>45.626020428000203</v>
      </c>
      <c r="N3502">
        <v>51.061688823017398</v>
      </c>
      <c r="O3502">
        <v>50.927158754334997</v>
      </c>
      <c r="P3502">
        <v>-0.22035467999765901</v>
      </c>
      <c r="Q3502">
        <v>1.6173413518085999E-2</v>
      </c>
      <c r="R3502">
        <v>0.93485790736222796</v>
      </c>
      <c r="S3502" t="s">
        <v>10118</v>
      </c>
      <c r="T3502" t="s">
        <v>13232</v>
      </c>
      <c r="U3502" t="s">
        <v>13232</v>
      </c>
      <c r="V3502" t="s">
        <v>13232</v>
      </c>
      <c r="W3502" t="s">
        <v>16676</v>
      </c>
      <c r="X3502">
        <v>1</v>
      </c>
      <c r="Y3502" t="s">
        <v>23109</v>
      </c>
      <c r="Z3502" t="s">
        <v>29633</v>
      </c>
      <c r="AA3502">
        <v>0.38038790745023238</v>
      </c>
      <c r="AB3502" t="str">
        <f>HYPERLINK("Melting_Curves/meltCurve_Q2TBF2_WSCD2.pdf", "Melting_Curves/meltCurve_Q2TBF2_WSCD2.pdf")</f>
        <v>Melting_Curves/meltCurve_Q2TBF2_WSCD2.pdf</v>
      </c>
    </row>
    <row r="3503" spans="1:28" x14ac:dyDescent="0.25">
      <c r="A3503" t="s">
        <v>3506</v>
      </c>
      <c r="B3503">
        <v>0.99930955844802105</v>
      </c>
      <c r="C3503">
        <v>0.85824097621484097</v>
      </c>
      <c r="D3503">
        <v>0.75743639685106801</v>
      </c>
      <c r="E3503">
        <v>0.57540369695067095</v>
      </c>
      <c r="F3503">
        <v>0.362779107882505</v>
      </c>
      <c r="G3503">
        <v>0.19815341348267601</v>
      </c>
      <c r="H3503">
        <v>9.4098347609378394E-2</v>
      </c>
      <c r="I3503">
        <v>8.0136543333255594E-2</v>
      </c>
      <c r="J3503">
        <v>7.2644087752303299E-2</v>
      </c>
      <c r="K3503">
        <v>5.6704663476966802E-2</v>
      </c>
      <c r="L3503">
        <v>618.56469931145796</v>
      </c>
      <c r="M3503">
        <v>12.245867840534901</v>
      </c>
      <c r="N3503">
        <v>50.618231292582102</v>
      </c>
      <c r="O3503">
        <v>49.2217423591702</v>
      </c>
      <c r="P3503">
        <v>-6.1422959093337601E-2</v>
      </c>
      <c r="Q3503">
        <v>1.2671685365709701E-2</v>
      </c>
      <c r="R3503">
        <v>0.99506437743658005</v>
      </c>
      <c r="S3503" t="s">
        <v>10119</v>
      </c>
      <c r="T3503" t="s">
        <v>13232</v>
      </c>
      <c r="U3503" t="s">
        <v>13232</v>
      </c>
      <c r="V3503" t="s">
        <v>13232</v>
      </c>
      <c r="W3503" t="s">
        <v>16677</v>
      </c>
      <c r="X3503">
        <v>17</v>
      </c>
      <c r="Y3503" t="s">
        <v>23110</v>
      </c>
      <c r="Z3503" t="s">
        <v>29634</v>
      </c>
      <c r="AA3503">
        <v>0.3907963783765856</v>
      </c>
      <c r="AB3503" t="str">
        <f>HYPERLINK("Melting_Curves/meltCurve_Q2VPK5_CTU2.pdf", "Melting_Curves/meltCurve_Q2VPK5_CTU2.pdf")</f>
        <v>Melting_Curves/meltCurve_Q2VPK5_CTU2.pdf</v>
      </c>
    </row>
    <row r="3504" spans="1:28" x14ac:dyDescent="0.25">
      <c r="A3504" t="s">
        <v>3507</v>
      </c>
      <c r="B3504">
        <v>0.99930955844802105</v>
      </c>
      <c r="C3504">
        <v>1.12519205535852</v>
      </c>
      <c r="D3504">
        <v>1.0752263348464499</v>
      </c>
      <c r="E3504">
        <v>1.0585546458442301</v>
      </c>
      <c r="F3504">
        <v>0.94659330169370104</v>
      </c>
      <c r="G3504">
        <v>0.86622881422988296</v>
      </c>
      <c r="H3504">
        <v>0.82500454146954505</v>
      </c>
      <c r="I3504">
        <v>0.89121298041682595</v>
      </c>
      <c r="J3504">
        <v>0.92587805189255001</v>
      </c>
      <c r="K3504">
        <v>0.72376534178482799</v>
      </c>
      <c r="L3504">
        <v>13283.336331971501</v>
      </c>
      <c r="M3504">
        <v>250</v>
      </c>
      <c r="O3504">
        <v>53.129945178040003</v>
      </c>
      <c r="P3504">
        <v>-0.18066795555974099</v>
      </c>
      <c r="Q3504">
        <v>0.84641794308294604</v>
      </c>
      <c r="R3504">
        <v>0.64526623901916202</v>
      </c>
      <c r="S3504" t="s">
        <v>10120</v>
      </c>
      <c r="T3504" t="s">
        <v>13232</v>
      </c>
      <c r="U3504" t="s">
        <v>13232</v>
      </c>
      <c r="V3504" t="s">
        <v>13232</v>
      </c>
      <c r="W3504" t="s">
        <v>16678</v>
      </c>
      <c r="X3504">
        <v>4</v>
      </c>
      <c r="Y3504" t="s">
        <v>23111</v>
      </c>
      <c r="Z3504" t="s">
        <v>29635</v>
      </c>
      <c r="AA3504">
        <v>0.91366713732102556</v>
      </c>
      <c r="AB3504" t="str">
        <f>HYPERLINK("Melting_Curves/meltCurve_Q2YD98_2_UVSSA.pdf", "Melting_Curves/meltCurve_Q2YD98_2_UVSSA.pdf")</f>
        <v>Melting_Curves/meltCurve_Q2YD98_2_UVSSA.pdf</v>
      </c>
    </row>
    <row r="3505" spans="1:28" x14ac:dyDescent="0.25">
      <c r="A3505" t="s">
        <v>3508</v>
      </c>
      <c r="B3505">
        <v>0.99930955844802105</v>
      </c>
      <c r="C3505">
        <v>1.01735742831081</v>
      </c>
      <c r="D3505">
        <v>0.99211416612671099</v>
      </c>
      <c r="E3505">
        <v>0.91697942687411205</v>
      </c>
      <c r="F3505">
        <v>0.829887889644226</v>
      </c>
      <c r="G3505">
        <v>0.62576156488282497</v>
      </c>
      <c r="H3505">
        <v>0.36197539552187002</v>
      </c>
      <c r="I3505">
        <v>0.153869120968295</v>
      </c>
      <c r="J3505">
        <v>8.6156802154616602E-2</v>
      </c>
      <c r="K3505">
        <v>7.4026981452399193E-2</v>
      </c>
      <c r="L3505">
        <v>977.50059354720702</v>
      </c>
      <c r="M3505">
        <v>16.715336467831602</v>
      </c>
      <c r="N3505">
        <v>58.479265857593802</v>
      </c>
      <c r="O3505">
        <v>57.6615031219633</v>
      </c>
      <c r="P3505">
        <v>-7.2476607115708094E-2</v>
      </c>
      <c r="Q3505">
        <v>0</v>
      </c>
      <c r="R3505">
        <v>0.99673949958137098</v>
      </c>
      <c r="S3505" t="s">
        <v>10121</v>
      </c>
      <c r="T3505" t="s">
        <v>13232</v>
      </c>
      <c r="U3505" t="s">
        <v>13232</v>
      </c>
      <c r="V3505" t="s">
        <v>13232</v>
      </c>
      <c r="W3505" t="s">
        <v>16679</v>
      </c>
      <c r="X3505">
        <v>11</v>
      </c>
      <c r="Y3505" t="s">
        <v>23112</v>
      </c>
      <c r="Z3505" t="s">
        <v>29636</v>
      </c>
      <c r="AA3505">
        <v>0.62791819317676134</v>
      </c>
      <c r="AB3505" t="str">
        <f>HYPERLINK("Melting_Curves/meltCurve_Q32M88_ATHL1.pdf", "Melting_Curves/meltCurve_Q32M88_ATHL1.pdf")</f>
        <v>Melting_Curves/meltCurve_Q32M88_ATHL1.pdf</v>
      </c>
    </row>
    <row r="3506" spans="1:28" x14ac:dyDescent="0.25">
      <c r="A3506" t="s">
        <v>3509</v>
      </c>
      <c r="B3506">
        <v>0.99930955844802105</v>
      </c>
      <c r="C3506">
        <v>1.06493113608137</v>
      </c>
      <c r="D3506">
        <v>1.0156174675807701</v>
      </c>
      <c r="E3506">
        <v>0.95073125254447099</v>
      </c>
      <c r="F3506">
        <v>0.86093936507056701</v>
      </c>
      <c r="G3506">
        <v>0.81396161184846505</v>
      </c>
      <c r="H3506">
        <v>0.772832626357147</v>
      </c>
      <c r="I3506">
        <v>0.87548042158589701</v>
      </c>
      <c r="J3506">
        <v>0.840425054213773</v>
      </c>
      <c r="K3506">
        <v>0.69464035428811899</v>
      </c>
      <c r="L3506">
        <v>1743.2315134374601</v>
      </c>
      <c r="M3506">
        <v>33.653975371689597</v>
      </c>
      <c r="O3506">
        <v>51.616810612290301</v>
      </c>
      <c r="P3506">
        <v>-3.3071445509079603E-2</v>
      </c>
      <c r="Q3506">
        <v>0.79710741465204604</v>
      </c>
      <c r="R3506">
        <v>0.80705966689429898</v>
      </c>
      <c r="S3506" t="s">
        <v>10122</v>
      </c>
      <c r="T3506" t="s">
        <v>13232</v>
      </c>
      <c r="U3506" t="s">
        <v>13232</v>
      </c>
      <c r="V3506" t="s">
        <v>13232</v>
      </c>
      <c r="W3506" t="s">
        <v>16680</v>
      </c>
      <c r="X3506">
        <v>7</v>
      </c>
      <c r="Y3506" t="s">
        <v>23113</v>
      </c>
      <c r="Z3506" t="s">
        <v>29637</v>
      </c>
      <c r="AA3506">
        <v>0.87793026710656974</v>
      </c>
      <c r="AB3506" t="str">
        <f>HYPERLINK("Melting_Curves/meltCurve_Q32MK0_MYLK3.pdf", "Melting_Curves/meltCurve_Q32MK0_MYLK3.pdf")</f>
        <v>Melting_Curves/meltCurve_Q32MK0_MYLK3.pdf</v>
      </c>
    </row>
    <row r="3507" spans="1:28" x14ac:dyDescent="0.25">
      <c r="A3507" t="s">
        <v>3510</v>
      </c>
      <c r="B3507">
        <v>0.99930955844802105</v>
      </c>
      <c r="C3507">
        <v>1.0293253946363801</v>
      </c>
      <c r="D3507">
        <v>1.05019418963362</v>
      </c>
      <c r="E3507">
        <v>1.09784188824567</v>
      </c>
      <c r="F3507">
        <v>1.0590030426335599</v>
      </c>
      <c r="G3507">
        <v>0.99194516452085402</v>
      </c>
      <c r="H3507">
        <v>1.0191628949876901</v>
      </c>
      <c r="I3507">
        <v>1.0718395494054</v>
      </c>
      <c r="J3507">
        <v>1.06093290242694</v>
      </c>
      <c r="K3507">
        <v>0.86706305828013297</v>
      </c>
      <c r="L3507">
        <v>15000</v>
      </c>
      <c r="M3507">
        <v>212.410429596043</v>
      </c>
      <c r="Q3507">
        <v>0</v>
      </c>
      <c r="R3507">
        <v>0.31044266032439299</v>
      </c>
      <c r="S3507" t="s">
        <v>10123</v>
      </c>
      <c r="T3507" t="s">
        <v>13232</v>
      </c>
      <c r="U3507" t="s">
        <v>13232</v>
      </c>
      <c r="V3507" t="s">
        <v>13232</v>
      </c>
      <c r="W3507" t="s">
        <v>16681</v>
      </c>
      <c r="X3507">
        <v>45</v>
      </c>
      <c r="Y3507" t="s">
        <v>23114</v>
      </c>
      <c r="Z3507" t="s">
        <v>29638</v>
      </c>
      <c r="AA3507">
        <v>0.99846165037355328</v>
      </c>
      <c r="AB3507" t="str">
        <f>HYPERLINK("Melting_Curves/meltCurve_Q32MZ4_3_LRRFIP1.pdf", "Melting_Curves/meltCurve_Q32MZ4_3_LRRFIP1.pdf")</f>
        <v>Melting_Curves/meltCurve_Q32MZ4_3_LRRFIP1.pdf</v>
      </c>
    </row>
    <row r="3508" spans="1:28" x14ac:dyDescent="0.25">
      <c r="A3508" t="s">
        <v>3511</v>
      </c>
      <c r="B3508">
        <v>0.99930955844802105</v>
      </c>
      <c r="C3508">
        <v>1.03592151904048</v>
      </c>
      <c r="D3508">
        <v>0.97152798124975603</v>
      </c>
      <c r="E3508">
        <v>0.92051046494421596</v>
      </c>
      <c r="F3508">
        <v>0.84638527378068795</v>
      </c>
      <c r="G3508">
        <v>0.84294992674356295</v>
      </c>
      <c r="H3508">
        <v>0.89033577090790295</v>
      </c>
      <c r="I3508">
        <v>1.0845515350261601</v>
      </c>
      <c r="J3508">
        <v>1.04033613294476</v>
      </c>
      <c r="K3508">
        <v>0.83101460031091601</v>
      </c>
      <c r="L3508">
        <v>11525.1891047846</v>
      </c>
      <c r="M3508">
        <v>250</v>
      </c>
      <c r="O3508">
        <v>46.097798496266002</v>
      </c>
      <c r="P3508">
        <v>-0.105349819878493</v>
      </c>
      <c r="Q3508">
        <v>0.92229767064803003</v>
      </c>
      <c r="R3508">
        <v>0.184234017815156</v>
      </c>
      <c r="S3508" t="s">
        <v>10124</v>
      </c>
      <c r="T3508" t="s">
        <v>13232</v>
      </c>
      <c r="U3508" t="s">
        <v>13232</v>
      </c>
      <c r="V3508" t="s">
        <v>13232</v>
      </c>
      <c r="W3508" t="s">
        <v>16682</v>
      </c>
      <c r="X3508">
        <v>11</v>
      </c>
      <c r="Y3508" t="s">
        <v>23115</v>
      </c>
      <c r="Z3508" t="s">
        <v>29639</v>
      </c>
      <c r="AA3508">
        <v>0.93810539006043936</v>
      </c>
      <c r="AB3508" t="str">
        <f>HYPERLINK("Melting_Curves/meltCurve_Q32N00_POLD3.pdf", "Melting_Curves/meltCurve_Q32N00_POLD3.pdf")</f>
        <v>Melting_Curves/meltCurve_Q32N00_POLD3.pdf</v>
      </c>
    </row>
    <row r="3509" spans="1:28" x14ac:dyDescent="0.25">
      <c r="A3509" t="s">
        <v>3512</v>
      </c>
      <c r="B3509">
        <v>0.99930955844802105</v>
      </c>
      <c r="C3509">
        <v>1.0157645682165899</v>
      </c>
      <c r="D3509">
        <v>0.83329305090428896</v>
      </c>
      <c r="E3509">
        <v>0.64937047570747397</v>
      </c>
      <c r="F3509">
        <v>0.42538154348181001</v>
      </c>
      <c r="G3509">
        <v>0.27529491288192498</v>
      </c>
      <c r="H3509">
        <v>0.183372938473048</v>
      </c>
      <c r="I3509">
        <v>0.15668809888504401</v>
      </c>
      <c r="J3509">
        <v>0.15011954878091699</v>
      </c>
      <c r="K3509">
        <v>0.118223036718219</v>
      </c>
      <c r="L3509">
        <v>810.418350494126</v>
      </c>
      <c r="M3509">
        <v>15.8635720711397</v>
      </c>
      <c r="N3509">
        <v>51.997095219338703</v>
      </c>
      <c r="O3509">
        <v>50.295610329865902</v>
      </c>
      <c r="P3509">
        <v>-6.9296509516289503E-2</v>
      </c>
      <c r="Q3509">
        <v>0.121250289846858</v>
      </c>
      <c r="R3509">
        <v>0.99540717591674299</v>
      </c>
      <c r="S3509" t="s">
        <v>10125</v>
      </c>
      <c r="T3509" t="s">
        <v>13232</v>
      </c>
      <c r="U3509" t="s">
        <v>13232</v>
      </c>
      <c r="V3509" t="s">
        <v>13232</v>
      </c>
      <c r="W3509" t="s">
        <v>16683</v>
      </c>
      <c r="X3509">
        <v>5</v>
      </c>
      <c r="Y3509" t="s">
        <v>23116</v>
      </c>
      <c r="Z3509" t="s">
        <v>29640</v>
      </c>
      <c r="AA3509">
        <v>0.46444176930026981</v>
      </c>
      <c r="AB3509" t="str">
        <f>HYPERLINK("Melting_Curves/meltCurve_Q32P28_LEPRE1.pdf", "Melting_Curves/meltCurve_Q32P28_LEPRE1.pdf")</f>
        <v>Melting_Curves/meltCurve_Q32P28_LEPRE1.pdf</v>
      </c>
    </row>
    <row r="3510" spans="1:28" x14ac:dyDescent="0.25">
      <c r="A3510" t="s">
        <v>3513</v>
      </c>
      <c r="B3510">
        <v>0.99930955844802105</v>
      </c>
      <c r="C3510">
        <v>1.0701417606321</v>
      </c>
      <c r="D3510">
        <v>0.95847757530386801</v>
      </c>
      <c r="E3510">
        <v>0.31452765933465698</v>
      </c>
      <c r="F3510">
        <v>0.189665380185881</v>
      </c>
      <c r="G3510">
        <v>0.14502337932040901</v>
      </c>
      <c r="H3510">
        <v>0.108681220413577</v>
      </c>
      <c r="I3510">
        <v>9.62460874768786E-2</v>
      </c>
      <c r="J3510">
        <v>8.5771156698875098E-2</v>
      </c>
      <c r="K3510">
        <v>6.3392857441888995E-2</v>
      </c>
      <c r="L3510">
        <v>2219.03821101414</v>
      </c>
      <c r="M3510">
        <v>45.506214774213902</v>
      </c>
      <c r="N3510">
        <v>49.028469454422599</v>
      </c>
      <c r="O3510">
        <v>48.669501547190897</v>
      </c>
      <c r="P3510">
        <v>-0.208260665283132</v>
      </c>
      <c r="Q3510">
        <v>0.109050558037376</v>
      </c>
      <c r="R3510">
        <v>0.99210508519785301</v>
      </c>
      <c r="S3510" t="s">
        <v>10126</v>
      </c>
      <c r="T3510" t="s">
        <v>13232</v>
      </c>
      <c r="U3510" t="s">
        <v>13232</v>
      </c>
      <c r="V3510" t="s">
        <v>13232</v>
      </c>
      <c r="W3510" t="s">
        <v>16684</v>
      </c>
      <c r="X3510">
        <v>20</v>
      </c>
      <c r="Y3510" t="s">
        <v>23117</v>
      </c>
      <c r="Z3510" t="s">
        <v>29641</v>
      </c>
      <c r="AA3510">
        <v>0.37162626990849162</v>
      </c>
      <c r="AB3510" t="str">
        <f>HYPERLINK("Melting_Curves/meltCurve_Q32P41_TRMT5.pdf", "Melting_Curves/meltCurve_Q32P41_TRMT5.pdf")</f>
        <v>Melting_Curves/meltCurve_Q32P41_TRMT5.pdf</v>
      </c>
    </row>
    <row r="3511" spans="1:28" x14ac:dyDescent="0.25">
      <c r="A3511" t="s">
        <v>3514</v>
      </c>
      <c r="B3511">
        <v>0.99930955844802105</v>
      </c>
      <c r="C3511">
        <v>0.99509399368757401</v>
      </c>
      <c r="D3511">
        <v>0.95360058492655897</v>
      </c>
      <c r="E3511">
        <v>0.82559889482983895</v>
      </c>
      <c r="F3511">
        <v>0.57532342924361102</v>
      </c>
      <c r="G3511">
        <v>0.38414709961724403</v>
      </c>
      <c r="H3511">
        <v>0.32369564736206302</v>
      </c>
      <c r="I3511">
        <v>0.31916407221689302</v>
      </c>
      <c r="J3511">
        <v>0.30831850010124601</v>
      </c>
      <c r="K3511">
        <v>0.265076363824988</v>
      </c>
      <c r="L3511">
        <v>1196.2184579761799</v>
      </c>
      <c r="M3511">
        <v>22.9134712327544</v>
      </c>
      <c r="N3511">
        <v>54.295123252331898</v>
      </c>
      <c r="O3511">
        <v>51.813133622837299</v>
      </c>
      <c r="P3511">
        <v>-7.8170607462345706E-2</v>
      </c>
      <c r="Q3511">
        <v>0.29295953607800601</v>
      </c>
      <c r="R3511">
        <v>0.99789331372703605</v>
      </c>
      <c r="S3511" t="s">
        <v>10127</v>
      </c>
      <c r="T3511" t="s">
        <v>13232</v>
      </c>
      <c r="U3511" t="s">
        <v>13232</v>
      </c>
      <c r="V3511" t="s">
        <v>13232</v>
      </c>
      <c r="W3511" t="s">
        <v>16685</v>
      </c>
      <c r="X3511">
        <v>20</v>
      </c>
      <c r="Y3511" t="s">
        <v>23118</v>
      </c>
      <c r="Z3511" t="s">
        <v>29642</v>
      </c>
      <c r="AA3511">
        <v>0.58825597260199414</v>
      </c>
      <c r="AB3511" t="str">
        <f>HYPERLINK("Melting_Curves/meltCurve_Q32P44_EML3.pdf", "Melting_Curves/meltCurve_Q32P44_EML3.pdf")</f>
        <v>Melting_Curves/meltCurve_Q32P44_EML3.pdf</v>
      </c>
    </row>
    <row r="3512" spans="1:28" x14ac:dyDescent="0.25">
      <c r="A3512" t="s">
        <v>3515</v>
      </c>
      <c r="B3512">
        <v>0.99930955844802105</v>
      </c>
      <c r="C3512">
        <v>1.2570100271389399</v>
      </c>
      <c r="D3512">
        <v>0.84773548920749597</v>
      </c>
      <c r="E3512">
        <v>0.48364763473813099</v>
      </c>
      <c r="F3512">
        <v>0.27639555022087797</v>
      </c>
      <c r="G3512">
        <v>0.23650473392440599</v>
      </c>
      <c r="H3512">
        <v>0.170826497106808</v>
      </c>
      <c r="I3512">
        <v>0.161754109747199</v>
      </c>
      <c r="J3512">
        <v>0.16113125907735801</v>
      </c>
      <c r="K3512">
        <v>0.118078024652207</v>
      </c>
      <c r="L3512">
        <v>1397.80937462475</v>
      </c>
      <c r="M3512">
        <v>28.419317770911899</v>
      </c>
      <c r="N3512">
        <v>49.896926221736301</v>
      </c>
      <c r="O3512">
        <v>48.943556702317103</v>
      </c>
      <c r="P3512">
        <v>-0.120974436034069</v>
      </c>
      <c r="Q3512">
        <v>0.166640890279214</v>
      </c>
      <c r="R3512">
        <v>0.94747074211496896</v>
      </c>
      <c r="S3512" t="s">
        <v>10128</v>
      </c>
      <c r="T3512" t="s">
        <v>13232</v>
      </c>
      <c r="U3512" t="s">
        <v>13232</v>
      </c>
      <c r="V3512" t="s">
        <v>13232</v>
      </c>
      <c r="W3512" t="s">
        <v>16686</v>
      </c>
      <c r="X3512">
        <v>3</v>
      </c>
      <c r="Y3512" t="s">
        <v>23119</v>
      </c>
      <c r="Z3512" t="s">
        <v>29643</v>
      </c>
      <c r="AA3512">
        <v>0.42747816044960779</v>
      </c>
      <c r="AB3512" t="str">
        <f>HYPERLINK("Melting_Curves/meltCurve_Q3B726_TWISTNB.pdf", "Melting_Curves/meltCurve_Q3B726_TWISTNB.pdf")</f>
        <v>Melting_Curves/meltCurve_Q3B726_TWISTNB.pdf</v>
      </c>
    </row>
    <row r="3513" spans="1:28" x14ac:dyDescent="0.25">
      <c r="A3513" t="s">
        <v>3516</v>
      </c>
      <c r="B3513">
        <v>0.99930955844802105</v>
      </c>
      <c r="C3513">
        <v>1.17637893457857</v>
      </c>
      <c r="D3513">
        <v>1.1557069248110301</v>
      </c>
      <c r="E3513">
        <v>1.1295235905788299</v>
      </c>
      <c r="F3513">
        <v>1.0928834123555899</v>
      </c>
      <c r="G3513">
        <v>0.98130351823721595</v>
      </c>
      <c r="H3513">
        <v>1.1117578269239901</v>
      </c>
      <c r="I3513">
        <v>1.2297334582046899</v>
      </c>
      <c r="J3513">
        <v>1.3007019258038699</v>
      </c>
      <c r="K3513">
        <v>1.02300330358652</v>
      </c>
      <c r="L3513">
        <v>10269.8676247768</v>
      </c>
      <c r="M3513">
        <v>250</v>
      </c>
      <c r="O3513">
        <v>41.076827126392899</v>
      </c>
      <c r="P3513">
        <v>0.20303988095874501</v>
      </c>
      <c r="Q3513">
        <v>1.1334437928415</v>
      </c>
      <c r="R3513">
        <v>0.17363189212062399</v>
      </c>
      <c r="S3513" t="s">
        <v>10129</v>
      </c>
      <c r="T3513" t="s">
        <v>13232</v>
      </c>
      <c r="U3513" t="s">
        <v>13232</v>
      </c>
      <c r="V3513" t="s">
        <v>13232</v>
      </c>
      <c r="W3513" t="s">
        <v>16687</v>
      </c>
      <c r="X3513">
        <v>19</v>
      </c>
      <c r="Y3513" t="s">
        <v>23120</v>
      </c>
      <c r="Z3513" t="s">
        <v>29644</v>
      </c>
      <c r="AA3513">
        <v>1.128631743749041</v>
      </c>
      <c r="AB3513" t="str">
        <f>HYPERLINK("Melting_Curves/meltCurve_Q3KQU3_2_MAP7D1.pdf", "Melting_Curves/meltCurve_Q3KQU3_2_MAP7D1.pdf")</f>
        <v>Melting_Curves/meltCurve_Q3KQU3_2_MAP7D1.pdf</v>
      </c>
    </row>
    <row r="3514" spans="1:28" x14ac:dyDescent="0.25">
      <c r="A3514" t="s">
        <v>3517</v>
      </c>
      <c r="B3514">
        <v>0.99930955844802105</v>
      </c>
      <c r="C3514">
        <v>0.98212220968705499</v>
      </c>
      <c r="D3514">
        <v>0.98306073066781396</v>
      </c>
      <c r="E3514">
        <v>0.87908538388958901</v>
      </c>
      <c r="F3514">
        <v>0.74595556252121498</v>
      </c>
      <c r="G3514">
        <v>0.66325601987253802</v>
      </c>
      <c r="H3514">
        <v>0.47749641563107298</v>
      </c>
      <c r="I3514">
        <v>0.45050203670109801</v>
      </c>
      <c r="J3514">
        <v>0.42682099317555899</v>
      </c>
      <c r="K3514">
        <v>0.36658013294430702</v>
      </c>
      <c r="L3514">
        <v>702.29294701703304</v>
      </c>
      <c r="M3514">
        <v>12.554851833569501</v>
      </c>
      <c r="N3514">
        <v>61.240002492856497</v>
      </c>
      <c r="O3514">
        <v>54.575702924324901</v>
      </c>
      <c r="P3514">
        <v>-3.8460783883798297E-2</v>
      </c>
      <c r="Q3514">
        <v>0.33138206623285199</v>
      </c>
      <c r="R3514">
        <v>0.99238947005340805</v>
      </c>
      <c r="S3514" t="s">
        <v>10130</v>
      </c>
      <c r="T3514" t="s">
        <v>13232</v>
      </c>
      <c r="U3514" t="s">
        <v>13232</v>
      </c>
      <c r="V3514" t="s">
        <v>13232</v>
      </c>
      <c r="W3514" t="s">
        <v>16688</v>
      </c>
      <c r="X3514">
        <v>13</v>
      </c>
      <c r="Y3514" t="s">
        <v>23120</v>
      </c>
      <c r="Z3514" t="s">
        <v>29645</v>
      </c>
      <c r="AA3514">
        <v>0.70007930564927789</v>
      </c>
      <c r="AB3514" t="str">
        <f>HYPERLINK("Melting_Curves/meltCurve_Q3KQU3_3_MAP7D1.pdf", "Melting_Curves/meltCurve_Q3KQU3_3_MAP7D1.pdf")</f>
        <v>Melting_Curves/meltCurve_Q3KQU3_3_MAP7D1.pdf</v>
      </c>
    </row>
    <row r="3515" spans="1:28" x14ac:dyDescent="0.25">
      <c r="A3515" t="s">
        <v>3518</v>
      </c>
      <c r="B3515">
        <v>0.99930955844802105</v>
      </c>
      <c r="C3515">
        <v>1.2368644299224001</v>
      </c>
      <c r="D3515">
        <v>0.92299735679227202</v>
      </c>
      <c r="E3515">
        <v>1.2102482435539601</v>
      </c>
      <c r="F3515">
        <v>0.96578624272537605</v>
      </c>
      <c r="G3515">
        <v>1.1361023768157901</v>
      </c>
      <c r="H3515">
        <v>1.2621853574744599</v>
      </c>
      <c r="I3515">
        <v>1.2699617858927601</v>
      </c>
      <c r="J3515">
        <v>1.56977721290455</v>
      </c>
      <c r="K3515">
        <v>1.0009548796871599</v>
      </c>
      <c r="L3515">
        <v>5870.7388859162902</v>
      </c>
      <c r="M3515">
        <v>102.967477803397</v>
      </c>
      <c r="O3515">
        <v>56.993970448452899</v>
      </c>
      <c r="P3515">
        <v>0.12457611509630299</v>
      </c>
      <c r="Q3515">
        <v>1.2758186268207401</v>
      </c>
      <c r="R3515">
        <v>0.21720475933563901</v>
      </c>
      <c r="S3515" t="s">
        <v>10131</v>
      </c>
      <c r="T3515" t="s">
        <v>13232</v>
      </c>
      <c r="U3515" t="s">
        <v>13232</v>
      </c>
      <c r="V3515" t="s">
        <v>13232</v>
      </c>
      <c r="W3515" t="s">
        <v>16689</v>
      </c>
      <c r="X3515">
        <v>2</v>
      </c>
      <c r="Y3515" t="s">
        <v>23121</v>
      </c>
      <c r="Z3515" t="s">
        <v>29646</v>
      </c>
      <c r="AA3515">
        <v>1.119216327521249</v>
      </c>
      <c r="AB3515" t="str">
        <f>HYPERLINK("Melting_Curves/meltCurve_Q3KQV3_ZNF792.pdf", "Melting_Curves/meltCurve_Q3KQV3_ZNF792.pdf")</f>
        <v>Melting_Curves/meltCurve_Q3KQV3_ZNF792.pdf</v>
      </c>
    </row>
    <row r="3516" spans="1:28" x14ac:dyDescent="0.25">
      <c r="A3516" t="s">
        <v>3519</v>
      </c>
      <c r="B3516">
        <v>0.99930955844802105</v>
      </c>
      <c r="C3516">
        <v>1.01549121312505</v>
      </c>
      <c r="D3516">
        <v>0.90216213668545597</v>
      </c>
      <c r="E3516">
        <v>0.704256680151222</v>
      </c>
      <c r="F3516">
        <v>0.32003085547409499</v>
      </c>
      <c r="G3516">
        <v>0.27653196911253802</v>
      </c>
      <c r="H3516">
        <v>0.23788670582202201</v>
      </c>
      <c r="I3516">
        <v>0.22258955510432499</v>
      </c>
      <c r="J3516">
        <v>0.23551266405688301</v>
      </c>
      <c r="K3516">
        <v>0.18555666606252799</v>
      </c>
      <c r="L3516">
        <v>1658.53943371625</v>
      </c>
      <c r="M3516">
        <v>32.8424313972737</v>
      </c>
      <c r="N3516">
        <v>51.422692016757303</v>
      </c>
      <c r="O3516">
        <v>50.313778867974897</v>
      </c>
      <c r="P3516">
        <v>-0.126853090125574</v>
      </c>
      <c r="Q3516">
        <v>0.22266066054239</v>
      </c>
      <c r="R3516">
        <v>0.99076868713032196</v>
      </c>
      <c r="S3516" t="s">
        <v>10132</v>
      </c>
      <c r="T3516" t="s">
        <v>13232</v>
      </c>
      <c r="U3516" t="s">
        <v>13232</v>
      </c>
      <c r="V3516" t="s">
        <v>13232</v>
      </c>
      <c r="W3516" t="s">
        <v>16690</v>
      </c>
      <c r="X3516">
        <v>7</v>
      </c>
      <c r="Y3516" t="s">
        <v>23122</v>
      </c>
      <c r="Z3516" t="s">
        <v>29647</v>
      </c>
      <c r="AA3516">
        <v>0.49876590263290882</v>
      </c>
      <c r="AB3516" t="str">
        <f>HYPERLINK("Melting_Curves/meltCurve_Q3KQV9_UAP1L1.pdf", "Melting_Curves/meltCurve_Q3KQV9_UAP1L1.pdf")</f>
        <v>Melting_Curves/meltCurve_Q3KQV9_UAP1L1.pdf</v>
      </c>
    </row>
    <row r="3517" spans="1:28" x14ac:dyDescent="0.25">
      <c r="A3517" t="s">
        <v>3520</v>
      </c>
      <c r="B3517">
        <v>0.99930955844802105</v>
      </c>
      <c r="C3517">
        <v>1.2568449735570599</v>
      </c>
      <c r="D3517">
        <v>1.0762199572751101</v>
      </c>
      <c r="E3517">
        <v>0.74392812418347998</v>
      </c>
      <c r="F3517">
        <v>0.43854946959597102</v>
      </c>
      <c r="G3517">
        <v>0.43475107464878798</v>
      </c>
      <c r="H3517">
        <v>0.227729656862239</v>
      </c>
      <c r="I3517">
        <v>0.231204991675515</v>
      </c>
      <c r="J3517">
        <v>0.225648114742136</v>
      </c>
      <c r="K3517">
        <v>0.19519670480904699</v>
      </c>
      <c r="L3517">
        <v>1413.7316224046599</v>
      </c>
      <c r="M3517">
        <v>27.472231048727501</v>
      </c>
      <c r="N3517">
        <v>52.734123469801503</v>
      </c>
      <c r="O3517">
        <v>51.190030369890898</v>
      </c>
      <c r="P3517">
        <v>-0.101633975903441</v>
      </c>
      <c r="Q3517">
        <v>0.242493480338902</v>
      </c>
      <c r="R3517">
        <v>0.92885317853609195</v>
      </c>
      <c r="S3517" t="s">
        <v>10133</v>
      </c>
      <c r="T3517" t="s">
        <v>13232</v>
      </c>
      <c r="U3517" t="s">
        <v>13232</v>
      </c>
      <c r="V3517" t="s">
        <v>13232</v>
      </c>
      <c r="W3517" t="s">
        <v>16691</v>
      </c>
      <c r="X3517">
        <v>2</v>
      </c>
      <c r="Y3517" t="s">
        <v>23123</v>
      </c>
      <c r="Z3517" t="s">
        <v>29648</v>
      </c>
      <c r="AA3517">
        <v>0.53758582819427758</v>
      </c>
      <c r="AB3517" t="str">
        <f>HYPERLINK("Melting_Curves/meltCurve_Q3KRA9_ALKBH6.pdf", "Melting_Curves/meltCurve_Q3KRA9_ALKBH6.pdf")</f>
        <v>Melting_Curves/meltCurve_Q3KRA9_ALKBH6.pdf</v>
      </c>
    </row>
    <row r="3518" spans="1:28" x14ac:dyDescent="0.25">
      <c r="A3518" t="s">
        <v>3521</v>
      </c>
      <c r="B3518">
        <v>0.99930955844802105</v>
      </c>
      <c r="C3518">
        <v>1.0280760439573</v>
      </c>
      <c r="D3518">
        <v>0.81740158915350902</v>
      </c>
      <c r="E3518">
        <v>0.48444577557787499</v>
      </c>
      <c r="F3518">
        <v>0.34065932022713602</v>
      </c>
      <c r="G3518">
        <v>0.17254999949807401</v>
      </c>
      <c r="H3518">
        <v>7.8942151523144696E-2</v>
      </c>
      <c r="I3518">
        <v>6.7071130322346004E-2</v>
      </c>
      <c r="J3518">
        <v>5.6539345195907503E-2</v>
      </c>
      <c r="K3518">
        <v>4.36633821434914E-2</v>
      </c>
      <c r="L3518">
        <v>871.32089299559402</v>
      </c>
      <c r="M3518">
        <v>17.419876097261501</v>
      </c>
      <c r="N3518">
        <v>50.3139887428839</v>
      </c>
      <c r="O3518">
        <v>49.373569254625401</v>
      </c>
      <c r="P3518">
        <v>-8.39242162986297E-2</v>
      </c>
      <c r="Q3518">
        <v>4.85796953047462E-2</v>
      </c>
      <c r="R3518">
        <v>0.99315208306477598</v>
      </c>
      <c r="S3518" t="s">
        <v>10134</v>
      </c>
      <c r="T3518" t="s">
        <v>13232</v>
      </c>
      <c r="U3518" t="s">
        <v>13232</v>
      </c>
      <c r="V3518" t="s">
        <v>13232</v>
      </c>
      <c r="W3518" t="s">
        <v>16692</v>
      </c>
      <c r="X3518">
        <v>18</v>
      </c>
      <c r="Y3518" t="s">
        <v>23124</v>
      </c>
      <c r="Z3518" t="s">
        <v>29649</v>
      </c>
      <c r="AA3518">
        <v>0.38357103471496429</v>
      </c>
      <c r="AB3518" t="str">
        <f>HYPERLINK("Melting_Curves/meltCurve_Q3LXA3_DAK.pdf", "Melting_Curves/meltCurve_Q3LXA3_DAK.pdf")</f>
        <v>Melting_Curves/meltCurve_Q3LXA3_DAK.pdf</v>
      </c>
    </row>
    <row r="3519" spans="1:28" x14ac:dyDescent="0.25">
      <c r="A3519" t="s">
        <v>3522</v>
      </c>
      <c r="B3519">
        <v>0.99930955844802105</v>
      </c>
      <c r="C3519">
        <v>1.0291690828406299</v>
      </c>
      <c r="D3519">
        <v>1.0009044362720301</v>
      </c>
      <c r="E3519">
        <v>0.98136853715331895</v>
      </c>
      <c r="F3519">
        <v>0.77862348634858003</v>
      </c>
      <c r="G3519">
        <v>0.43722394169479301</v>
      </c>
      <c r="H3519">
        <v>0.21599134619698401</v>
      </c>
      <c r="I3519">
        <v>0.16716337392674899</v>
      </c>
      <c r="J3519">
        <v>0.14503286742466001</v>
      </c>
      <c r="K3519">
        <v>0.10495864052598</v>
      </c>
      <c r="L3519">
        <v>1350.3520820198401</v>
      </c>
      <c r="M3519">
        <v>24.2771652200306</v>
      </c>
      <c r="N3519">
        <v>56.2646911117237</v>
      </c>
      <c r="O3519">
        <v>55.2490452540763</v>
      </c>
      <c r="P3519">
        <v>-9.6558371847642099E-2</v>
      </c>
      <c r="Q3519">
        <v>0.12103808135194</v>
      </c>
      <c r="R3519">
        <v>0.99784867192468996</v>
      </c>
      <c r="S3519" t="s">
        <v>10135</v>
      </c>
      <c r="T3519" t="s">
        <v>13232</v>
      </c>
      <c r="U3519" t="s">
        <v>13232</v>
      </c>
      <c r="V3519" t="s">
        <v>13232</v>
      </c>
      <c r="W3519" t="s">
        <v>16693</v>
      </c>
      <c r="X3519">
        <v>5</v>
      </c>
      <c r="Y3519" t="s">
        <v>23125</v>
      </c>
      <c r="Z3519" t="s">
        <v>29650</v>
      </c>
      <c r="AA3519">
        <v>0.58726310392311032</v>
      </c>
      <c r="AB3519" t="str">
        <f>HYPERLINK("Melting_Curves/meltCurve_Q3MHD2_LSM12.pdf", "Melting_Curves/meltCurve_Q3MHD2_LSM12.pdf")</f>
        <v>Melting_Curves/meltCurve_Q3MHD2_LSM12.pdf</v>
      </c>
    </row>
    <row r="3520" spans="1:28" x14ac:dyDescent="0.25">
      <c r="A3520" t="s">
        <v>3523</v>
      </c>
      <c r="B3520">
        <v>0.99930955844802105</v>
      </c>
      <c r="C3520">
        <v>0.90027101908246099</v>
      </c>
      <c r="D3520">
        <v>0.59074190800993198</v>
      </c>
      <c r="E3520">
        <v>0.442185252833176</v>
      </c>
      <c r="F3520">
        <v>0.16774899016599401</v>
      </c>
      <c r="G3520">
        <v>8.2798910419000005E-2</v>
      </c>
      <c r="H3520">
        <v>4.8794184382340303E-2</v>
      </c>
      <c r="I3520">
        <v>0</v>
      </c>
      <c r="J3520">
        <v>0</v>
      </c>
      <c r="K3520">
        <v>4.1117357175419901E-2</v>
      </c>
      <c r="L3520">
        <v>726.510439870347</v>
      </c>
      <c r="M3520">
        <v>15.081543047482199</v>
      </c>
      <c r="N3520">
        <v>48.172155741551499</v>
      </c>
      <c r="O3520">
        <v>47.349023474973698</v>
      </c>
      <c r="P3520">
        <v>-7.9637525493823705E-2</v>
      </c>
      <c r="Q3520">
        <v>0</v>
      </c>
      <c r="R3520">
        <v>0.98600213700513695</v>
      </c>
      <c r="S3520" t="s">
        <v>10136</v>
      </c>
      <c r="T3520" t="s">
        <v>13232</v>
      </c>
      <c r="U3520" t="s">
        <v>13232</v>
      </c>
      <c r="V3520" t="s">
        <v>13232</v>
      </c>
      <c r="W3520" t="s">
        <v>16694</v>
      </c>
      <c r="X3520">
        <v>3</v>
      </c>
      <c r="Y3520" t="s">
        <v>23126</v>
      </c>
      <c r="Z3520" t="s">
        <v>29651</v>
      </c>
      <c r="AA3520">
        <v>0.29766460964618979</v>
      </c>
      <c r="AB3520" t="str">
        <f>HYPERLINK("Melting_Curves/meltCurve_Q3MII6_TBC1D25.pdf", "Melting_Curves/meltCurve_Q3MII6_TBC1D25.pdf")</f>
        <v>Melting_Curves/meltCurve_Q3MII6_TBC1D25.pdf</v>
      </c>
    </row>
    <row r="3521" spans="1:28" x14ac:dyDescent="0.25">
      <c r="A3521" t="s">
        <v>3524</v>
      </c>
      <c r="B3521">
        <v>0.99930955844802105</v>
      </c>
      <c r="C3521">
        <v>1.0159570214639799</v>
      </c>
      <c r="D3521">
        <v>1.03934989533415</v>
      </c>
      <c r="E3521">
        <v>0.93544261741550905</v>
      </c>
      <c r="F3521">
        <v>0.73429467455637798</v>
      </c>
      <c r="G3521">
        <v>0.28685308349356198</v>
      </c>
      <c r="H3521">
        <v>0.15726923711487101</v>
      </c>
      <c r="I3521">
        <v>0.126592844564582</v>
      </c>
      <c r="J3521">
        <v>0.11714539733797499</v>
      </c>
      <c r="K3521">
        <v>7.82974140192845E-2</v>
      </c>
      <c r="L3521">
        <v>1625.3911976962399</v>
      </c>
      <c r="M3521">
        <v>29.829183580898899</v>
      </c>
      <c r="N3521">
        <v>54.926762580853598</v>
      </c>
      <c r="O3521">
        <v>54.2468270341448</v>
      </c>
      <c r="P3521">
        <v>-0.12295534423495701</v>
      </c>
      <c r="Q3521">
        <v>0.105588291781469</v>
      </c>
      <c r="R3521">
        <v>0.99788648245646305</v>
      </c>
      <c r="S3521" t="s">
        <v>10137</v>
      </c>
      <c r="T3521" t="s">
        <v>13232</v>
      </c>
      <c r="U3521" t="s">
        <v>13232</v>
      </c>
      <c r="V3521" t="s">
        <v>13232</v>
      </c>
      <c r="W3521" t="s">
        <v>16695</v>
      </c>
      <c r="X3521">
        <v>19</v>
      </c>
      <c r="Y3521" t="s">
        <v>23127</v>
      </c>
      <c r="Z3521" t="s">
        <v>29652</v>
      </c>
      <c r="AA3521">
        <v>0.54355894778902258</v>
      </c>
      <c r="AB3521" t="str">
        <f>HYPERLINK("Melting_Curves/meltCurve_Q3MIT2_PUS10.pdf", "Melting_Curves/meltCurve_Q3MIT2_PUS10.pdf")</f>
        <v>Melting_Curves/meltCurve_Q3MIT2_PUS10.pdf</v>
      </c>
    </row>
    <row r="3522" spans="1:28" x14ac:dyDescent="0.25">
      <c r="A3522" t="s">
        <v>3525</v>
      </c>
      <c r="B3522">
        <v>0.99930955844802105</v>
      </c>
      <c r="C3522">
        <v>0.74990493781940804</v>
      </c>
      <c r="D3522">
        <v>0.62565407937600703</v>
      </c>
      <c r="E3522">
        <v>0.70896628868123901</v>
      </c>
      <c r="F3522">
        <v>0.31194183345623</v>
      </c>
      <c r="G3522">
        <v>0.145048063040257</v>
      </c>
      <c r="H3522">
        <v>7.4038077601074101E-2</v>
      </c>
      <c r="I3522">
        <v>4.9409488864721698E-2</v>
      </c>
      <c r="J3522">
        <v>4.8106522771710902E-2</v>
      </c>
      <c r="K3522">
        <v>2.8878340735227701E-2</v>
      </c>
      <c r="L3522">
        <v>555.06981973202903</v>
      </c>
      <c r="M3522">
        <v>11.1162436516765</v>
      </c>
      <c r="N3522">
        <v>49.933218187125298</v>
      </c>
      <c r="O3522">
        <v>48.398996391901299</v>
      </c>
      <c r="P3522">
        <v>-5.7438410086021602E-2</v>
      </c>
      <c r="Q3522">
        <v>0</v>
      </c>
      <c r="R3522">
        <v>0.93471451370038405</v>
      </c>
      <c r="S3522" t="s">
        <v>10138</v>
      </c>
      <c r="T3522" t="s">
        <v>13232</v>
      </c>
      <c r="U3522" t="s">
        <v>13232</v>
      </c>
      <c r="V3522" t="s">
        <v>13232</v>
      </c>
      <c r="W3522" t="s">
        <v>16696</v>
      </c>
      <c r="X3522">
        <v>2</v>
      </c>
      <c r="Y3522" t="s">
        <v>23128</v>
      </c>
      <c r="Z3522" t="s">
        <v>29653</v>
      </c>
      <c r="AA3522">
        <v>0.37017233290310742</v>
      </c>
      <c r="AB3522" t="str">
        <f>HYPERLINK("Melting_Curves/meltCurve_Q3SXM5_HSDL1.pdf", "Melting_Curves/meltCurve_Q3SXM5_HSDL1.pdf")</f>
        <v>Melting_Curves/meltCurve_Q3SXM5_HSDL1.pdf</v>
      </c>
    </row>
    <row r="3523" spans="1:28" x14ac:dyDescent="0.25">
      <c r="A3523" t="s">
        <v>3526</v>
      </c>
      <c r="B3523">
        <v>0.99930955844802105</v>
      </c>
      <c r="C3523">
        <v>0.50137552479015202</v>
      </c>
      <c r="D3523">
        <v>0.36972487368971801</v>
      </c>
      <c r="E3523">
        <v>0.30467577132031198</v>
      </c>
      <c r="F3523">
        <v>0.21031377707005999</v>
      </c>
      <c r="G3523">
        <v>0.15674444114424599</v>
      </c>
      <c r="H3523">
        <v>9.6360345213378995E-2</v>
      </c>
      <c r="I3523">
        <v>0.129290922109249</v>
      </c>
      <c r="J3523">
        <v>0.10674569254565799</v>
      </c>
      <c r="K3523">
        <v>9.0476498830209098E-2</v>
      </c>
      <c r="L3523">
        <v>826.46319363202895</v>
      </c>
      <c r="M3523">
        <v>19.019707171032501</v>
      </c>
      <c r="N3523">
        <v>44.191765669889897</v>
      </c>
      <c r="O3523">
        <v>42.981188021939801</v>
      </c>
      <c r="P3523">
        <v>-9.5566033866109998E-2</v>
      </c>
      <c r="Q3523">
        <v>0.13618470036698699</v>
      </c>
      <c r="R3523">
        <v>0.92773293654470601</v>
      </c>
      <c r="S3523" t="s">
        <v>10139</v>
      </c>
      <c r="T3523" t="s">
        <v>13232</v>
      </c>
      <c r="U3523" t="s">
        <v>13232</v>
      </c>
      <c r="V3523" t="s">
        <v>13232</v>
      </c>
      <c r="W3523" t="s">
        <v>16697</v>
      </c>
      <c r="X3523">
        <v>1</v>
      </c>
      <c r="Y3523" t="s">
        <v>23129</v>
      </c>
      <c r="Z3523" t="s">
        <v>29654</v>
      </c>
      <c r="AA3523">
        <v>0.2563052617452885</v>
      </c>
      <c r="AB3523" t="str">
        <f>HYPERLINK("Melting_Curves/meltCurve_Q3SY69_ALDH1L2.pdf", "Melting_Curves/meltCurve_Q3SY69_ALDH1L2.pdf")</f>
        <v>Melting_Curves/meltCurve_Q3SY69_ALDH1L2.pdf</v>
      </c>
    </row>
    <row r="3524" spans="1:28" x14ac:dyDescent="0.25">
      <c r="A3524" t="s">
        <v>3527</v>
      </c>
      <c r="B3524">
        <v>0.99930955844802105</v>
      </c>
      <c r="C3524">
        <v>0.93974971881515301</v>
      </c>
      <c r="D3524">
        <v>0.84232892066520204</v>
      </c>
      <c r="E3524">
        <v>0.74780568526754798</v>
      </c>
      <c r="F3524">
        <v>0.64325553324336804</v>
      </c>
      <c r="G3524">
        <v>0.590936753734285</v>
      </c>
      <c r="H3524">
        <v>0.59266992581640399</v>
      </c>
      <c r="I3524">
        <v>0.62382810059659399</v>
      </c>
      <c r="J3524">
        <v>0.59163287378547003</v>
      </c>
      <c r="K3524">
        <v>0.48286627155747103</v>
      </c>
      <c r="L3524">
        <v>670.66588738997996</v>
      </c>
      <c r="M3524">
        <v>13.8294917043112</v>
      </c>
      <c r="O3524">
        <v>47.515076063698899</v>
      </c>
      <c r="P3524">
        <v>-3.2458096659729797E-2</v>
      </c>
      <c r="Q3524">
        <v>0.55398653712018697</v>
      </c>
      <c r="R3524">
        <v>0.95638026535040899</v>
      </c>
      <c r="S3524" t="s">
        <v>10140</v>
      </c>
      <c r="T3524" t="s">
        <v>13232</v>
      </c>
      <c r="U3524" t="s">
        <v>13232</v>
      </c>
      <c r="V3524" t="s">
        <v>13232</v>
      </c>
      <c r="W3524" t="s">
        <v>16698</v>
      </c>
      <c r="X3524">
        <v>14</v>
      </c>
      <c r="Y3524" t="s">
        <v>23130</v>
      </c>
      <c r="Z3524" t="s">
        <v>29655</v>
      </c>
      <c r="AA3524">
        <v>0.69338967901169724</v>
      </c>
      <c r="AB3524" t="str">
        <f>HYPERLINK("Melting_Curves/meltCurve_Q3T8J9_3_GON4L.pdf", "Melting_Curves/meltCurve_Q3T8J9_3_GON4L.pdf")</f>
        <v>Melting_Curves/meltCurve_Q3T8J9_3_GON4L.pdf</v>
      </c>
    </row>
    <row r="3525" spans="1:28" x14ac:dyDescent="0.25">
      <c r="A3525" t="s">
        <v>3528</v>
      </c>
      <c r="B3525">
        <v>0.99930955844802105</v>
      </c>
      <c r="C3525">
        <v>1.00918499019926</v>
      </c>
      <c r="D3525">
        <v>0.92111653385933501</v>
      </c>
      <c r="E3525">
        <v>0.54276116658826301</v>
      </c>
      <c r="F3525">
        <v>0.354349850565438</v>
      </c>
      <c r="G3525">
        <v>0.27242150674829102</v>
      </c>
      <c r="H3525">
        <v>0.188814770884907</v>
      </c>
      <c r="I3525">
        <v>0.18927679735852401</v>
      </c>
      <c r="J3525">
        <v>0.17823436025792899</v>
      </c>
      <c r="K3525">
        <v>0.14273623718614101</v>
      </c>
      <c r="L3525">
        <v>1150.3148814384799</v>
      </c>
      <c r="M3525">
        <v>23.091192226125401</v>
      </c>
      <c r="N3525">
        <v>50.802389037635699</v>
      </c>
      <c r="O3525">
        <v>49.447069336052401</v>
      </c>
      <c r="P3525">
        <v>-9.5660563459027306E-2</v>
      </c>
      <c r="Q3525">
        <v>0.18063176904254799</v>
      </c>
      <c r="R3525">
        <v>0.99447193967706604</v>
      </c>
      <c r="S3525" t="s">
        <v>10141</v>
      </c>
      <c r="T3525" t="s">
        <v>13232</v>
      </c>
      <c r="U3525" t="s">
        <v>13232</v>
      </c>
      <c r="V3525" t="s">
        <v>13232</v>
      </c>
      <c r="W3525" t="s">
        <v>16699</v>
      </c>
      <c r="X3525">
        <v>48</v>
      </c>
      <c r="Y3525" t="s">
        <v>23131</v>
      </c>
      <c r="Z3525" t="s">
        <v>29656</v>
      </c>
      <c r="AA3525">
        <v>0.45731162114597151</v>
      </c>
      <c r="AB3525" t="str">
        <f>HYPERLINK("Melting_Curves/meltCurve_Q3V6T2_2_CCDC88A.pdf", "Melting_Curves/meltCurve_Q3V6T2_2_CCDC88A.pdf")</f>
        <v>Melting_Curves/meltCurve_Q3V6T2_2_CCDC88A.pdf</v>
      </c>
    </row>
    <row r="3526" spans="1:28" x14ac:dyDescent="0.25">
      <c r="A3526" t="s">
        <v>3529</v>
      </c>
      <c r="B3526">
        <v>0.99930955844802105</v>
      </c>
      <c r="C3526">
        <v>1.8107846392948499</v>
      </c>
      <c r="D3526">
        <v>1.62154092996324</v>
      </c>
      <c r="E3526">
        <v>1.84175962731516</v>
      </c>
      <c r="F3526">
        <v>2.3105860001157601</v>
      </c>
      <c r="G3526">
        <v>2.13985858217029</v>
      </c>
      <c r="H3526">
        <v>2.96019128994971</v>
      </c>
      <c r="I3526">
        <v>2.54738819691153</v>
      </c>
      <c r="J3526">
        <v>3.1081721765063799</v>
      </c>
      <c r="K3526">
        <v>2.64667628612133</v>
      </c>
      <c r="S3526" t="s">
        <v>10142</v>
      </c>
      <c r="T3526" t="s">
        <v>13232</v>
      </c>
      <c r="U3526" t="s">
        <v>13233</v>
      </c>
      <c r="V3526" t="s">
        <v>13232</v>
      </c>
      <c r="W3526" t="s">
        <v>16700</v>
      </c>
      <c r="X3526">
        <v>1</v>
      </c>
      <c r="Y3526" t="s">
        <v>23131</v>
      </c>
      <c r="Z3526" t="s">
        <v>29657</v>
      </c>
      <c r="AB3526" t="str">
        <f>HYPERLINK("Melting_Curves/meltCurve_Q3V6T2_5_CCDC88A.pdf", "Melting_Curves/meltCurve_Q3V6T2_5_CCDC88A.pdf")</f>
        <v>Melting_Curves/meltCurve_Q3V6T2_5_CCDC88A.pdf</v>
      </c>
    </row>
    <row r="3527" spans="1:28" x14ac:dyDescent="0.25">
      <c r="A3527" t="s">
        <v>3530</v>
      </c>
      <c r="B3527">
        <v>0.99930955844802105</v>
      </c>
      <c r="C3527">
        <v>1.0613120806512399</v>
      </c>
      <c r="D3527">
        <v>1.04119715304494</v>
      </c>
      <c r="E3527">
        <v>0.97433577091942003</v>
      </c>
      <c r="F3527">
        <v>0.86847635296998604</v>
      </c>
      <c r="G3527">
        <v>0.66749791771679601</v>
      </c>
      <c r="H3527">
        <v>0.49408426831812202</v>
      </c>
      <c r="I3527">
        <v>0.49588269702140703</v>
      </c>
      <c r="J3527">
        <v>0.47002248194881302</v>
      </c>
      <c r="K3527">
        <v>0.38726010242015402</v>
      </c>
      <c r="L3527">
        <v>1230.62368541254</v>
      </c>
      <c r="M3527">
        <v>21.917301450337</v>
      </c>
      <c r="N3527">
        <v>61.488479073299303</v>
      </c>
      <c r="O3527">
        <v>55.687344952081602</v>
      </c>
      <c r="P3527">
        <v>-5.6531756806350399E-2</v>
      </c>
      <c r="Q3527">
        <v>0.42547085618283798</v>
      </c>
      <c r="R3527">
        <v>0.98404343400725802</v>
      </c>
      <c r="S3527" t="s">
        <v>10143</v>
      </c>
      <c r="T3527" t="s">
        <v>13232</v>
      </c>
      <c r="U3527" t="s">
        <v>13232</v>
      </c>
      <c r="V3527" t="s">
        <v>13232</v>
      </c>
      <c r="W3527" t="s">
        <v>16701</v>
      </c>
      <c r="X3527">
        <v>23</v>
      </c>
      <c r="Y3527" t="s">
        <v>23132</v>
      </c>
      <c r="Z3527" t="s">
        <v>29658</v>
      </c>
      <c r="AA3527">
        <v>0.74119628812223948</v>
      </c>
      <c r="AB3527" t="str">
        <f>HYPERLINK("Melting_Curves/meltCurve_Q3YEC7_RABL6.pdf", "Melting_Curves/meltCurve_Q3YEC7_RABL6.pdf")</f>
        <v>Melting_Curves/meltCurve_Q3YEC7_RABL6.pdf</v>
      </c>
    </row>
    <row r="3528" spans="1:28" x14ac:dyDescent="0.25">
      <c r="A3528" t="s">
        <v>3531</v>
      </c>
      <c r="B3528">
        <v>0.99930955844802105</v>
      </c>
      <c r="C3528">
        <v>0.86144501492897996</v>
      </c>
      <c r="D3528">
        <v>0.66374235583262298</v>
      </c>
      <c r="E3528">
        <v>0.79973256429109996</v>
      </c>
      <c r="F3528">
        <v>0.48428838178075001</v>
      </c>
      <c r="G3528">
        <v>0.24818875339173699</v>
      </c>
      <c r="H3528">
        <v>0.11512189964677</v>
      </c>
      <c r="I3528">
        <v>0.108165765965197</v>
      </c>
      <c r="J3528">
        <v>9.9070712688323501E-2</v>
      </c>
      <c r="K3528">
        <v>6.56214435362764E-2</v>
      </c>
      <c r="L3528">
        <v>571.33696467966104</v>
      </c>
      <c r="M3528">
        <v>10.906803695078599</v>
      </c>
      <c r="N3528">
        <v>52.383532226724299</v>
      </c>
      <c r="O3528">
        <v>50.714872325816302</v>
      </c>
      <c r="P3528">
        <v>-5.37840464891172E-2</v>
      </c>
      <c r="Q3528">
        <v>0</v>
      </c>
      <c r="R3528">
        <v>0.94521920465630604</v>
      </c>
      <c r="S3528" t="s">
        <v>10144</v>
      </c>
      <c r="T3528" t="s">
        <v>13232</v>
      </c>
      <c r="U3528" t="s">
        <v>13232</v>
      </c>
      <c r="V3528" t="s">
        <v>13232</v>
      </c>
      <c r="W3528" t="s">
        <v>16702</v>
      </c>
      <c r="X3528">
        <v>1</v>
      </c>
      <c r="Y3528" t="s">
        <v>23133</v>
      </c>
      <c r="Z3528" t="s">
        <v>29659</v>
      </c>
      <c r="AA3528">
        <v>0.4461061676705611</v>
      </c>
      <c r="AB3528" t="str">
        <f>HYPERLINK("Melting_Curves/meltCurve_Q3ZAQ7_VMA21.pdf", "Melting_Curves/meltCurve_Q3ZAQ7_VMA21.pdf")</f>
        <v>Melting_Curves/meltCurve_Q3ZAQ7_VMA21.pdf</v>
      </c>
    </row>
    <row r="3529" spans="1:28" x14ac:dyDescent="0.25">
      <c r="A3529" t="s">
        <v>3532</v>
      </c>
      <c r="B3529">
        <v>0.99930955844802105</v>
      </c>
      <c r="C3529">
        <v>0.33241650384337301</v>
      </c>
      <c r="D3529">
        <v>0.26524768390878201</v>
      </c>
      <c r="E3529">
        <v>0.278480082268447</v>
      </c>
      <c r="F3529">
        <v>0.18663748935548199</v>
      </c>
      <c r="G3529">
        <v>9.5557602475039E-2</v>
      </c>
      <c r="H3529">
        <v>4.0816935715720003E-2</v>
      </c>
      <c r="I3529">
        <v>3.2213604470121802E-2</v>
      </c>
      <c r="J3529">
        <v>2.73299481757651E-2</v>
      </c>
      <c r="K3529">
        <v>2.19315000850514E-2</v>
      </c>
      <c r="L3529">
        <v>2792.6912657538101</v>
      </c>
      <c r="M3529">
        <v>66.193322530843503</v>
      </c>
      <c r="N3529">
        <v>42.361329580947</v>
      </c>
      <c r="O3529">
        <v>42.151467079781398</v>
      </c>
      <c r="P3529">
        <v>-0.34646912120356899</v>
      </c>
      <c r="Q3529">
        <v>0.117483330784154</v>
      </c>
      <c r="R3529">
        <v>0.89443447612257898</v>
      </c>
      <c r="S3529" t="s">
        <v>10145</v>
      </c>
      <c r="T3529" t="s">
        <v>13232</v>
      </c>
      <c r="U3529" t="s">
        <v>13232</v>
      </c>
      <c r="V3529" t="s">
        <v>13232</v>
      </c>
      <c r="W3529" t="s">
        <v>16703</v>
      </c>
      <c r="X3529">
        <v>11</v>
      </c>
      <c r="Y3529" t="s">
        <v>23134</v>
      </c>
      <c r="Z3529" t="s">
        <v>29660</v>
      </c>
      <c r="AA3529">
        <v>0.1832711035481866</v>
      </c>
      <c r="AB3529" t="str">
        <f>HYPERLINK("Melting_Curves/meltCurve_Q3ZCM7_TUBB8.pdf", "Melting_Curves/meltCurve_Q3ZCM7_TUBB8.pdf")</f>
        <v>Melting_Curves/meltCurve_Q3ZCM7_TUBB8.pdf</v>
      </c>
    </row>
    <row r="3530" spans="1:28" x14ac:dyDescent="0.25">
      <c r="A3530" t="s">
        <v>3533</v>
      </c>
      <c r="B3530">
        <v>0.99930955844802105</v>
      </c>
      <c r="C3530">
        <v>0.93121240406311501</v>
      </c>
      <c r="D3530">
        <v>0.70879810136698695</v>
      </c>
      <c r="E3530">
        <v>0.33174936210511002</v>
      </c>
      <c r="F3530">
        <v>0.22031955890200799</v>
      </c>
      <c r="G3530">
        <v>0.198734106239362</v>
      </c>
      <c r="H3530">
        <v>0.18289393250694599</v>
      </c>
      <c r="I3530">
        <v>0.188757037870705</v>
      </c>
      <c r="J3530">
        <v>0.21547280211462899</v>
      </c>
      <c r="K3530">
        <v>0.149597112545967</v>
      </c>
      <c r="L3530">
        <v>1205.6286341207899</v>
      </c>
      <c r="M3530">
        <v>25.6281577220978</v>
      </c>
      <c r="N3530">
        <v>47.897694581838202</v>
      </c>
      <c r="O3530">
        <v>46.7594859385825</v>
      </c>
      <c r="P3530">
        <v>-0.111880790437349</v>
      </c>
      <c r="Q3530">
        <v>0.183487734419987</v>
      </c>
      <c r="R3530">
        <v>0.997636375503547</v>
      </c>
      <c r="S3530" t="s">
        <v>10146</v>
      </c>
      <c r="T3530" t="s">
        <v>13232</v>
      </c>
      <c r="U3530" t="s">
        <v>13232</v>
      </c>
      <c r="V3530" t="s">
        <v>13232</v>
      </c>
      <c r="W3530" t="s">
        <v>13442</v>
      </c>
      <c r="X3530">
        <v>6</v>
      </c>
      <c r="Y3530" t="s">
        <v>23135</v>
      </c>
      <c r="Z3530" t="s">
        <v>29661</v>
      </c>
      <c r="AA3530">
        <v>0.38207817541650613</v>
      </c>
      <c r="AB3530" t="str">
        <f>HYPERLINK("Melting_Curves/meltCurve_Q3ZCV1_USP38.pdf", "Melting_Curves/meltCurve_Q3ZCV1_USP38.pdf")</f>
        <v>Melting_Curves/meltCurve_Q3ZCV1_USP38.pdf</v>
      </c>
    </row>
    <row r="3531" spans="1:28" x14ac:dyDescent="0.25">
      <c r="A3531" t="s">
        <v>3534</v>
      </c>
      <c r="B3531">
        <v>0.99930955844802105</v>
      </c>
      <c r="C3531">
        <v>1.19292938423048</v>
      </c>
      <c r="D3531">
        <v>1.26266837559013</v>
      </c>
      <c r="E3531">
        <v>1.2574391349070799</v>
      </c>
      <c r="F3531">
        <v>0.99094049166790998</v>
      </c>
      <c r="G3531">
        <v>0.66890833171978104</v>
      </c>
      <c r="H3531">
        <v>0.79432492698561497</v>
      </c>
      <c r="I3531">
        <v>0.61156941669680098</v>
      </c>
      <c r="J3531">
        <v>0.88132147128706095</v>
      </c>
      <c r="K3531">
        <v>0.50552140479447605</v>
      </c>
      <c r="L3531">
        <v>13435.249976266699</v>
      </c>
      <c r="M3531">
        <v>250</v>
      </c>
      <c r="O3531">
        <v>53.737567013360298</v>
      </c>
      <c r="P3531">
        <v>-0.35783970054520398</v>
      </c>
      <c r="Q3531">
        <v>0.69232907744724603</v>
      </c>
      <c r="R3531">
        <v>0.60769840061709102</v>
      </c>
      <c r="S3531" t="s">
        <v>10147</v>
      </c>
      <c r="T3531" t="s">
        <v>13232</v>
      </c>
      <c r="U3531" t="s">
        <v>13232</v>
      </c>
      <c r="V3531" t="s">
        <v>13232</v>
      </c>
      <c r="W3531" t="s">
        <v>16704</v>
      </c>
      <c r="X3531">
        <v>4</v>
      </c>
      <c r="Y3531" t="s">
        <v>23136</v>
      </c>
      <c r="Z3531" t="s">
        <v>29662</v>
      </c>
      <c r="AA3531">
        <v>0.83328163256588461</v>
      </c>
      <c r="AB3531" t="str">
        <f>HYPERLINK("Melting_Curves/meltCurve_Q3ZCW2_LGALSL.pdf", "Melting_Curves/meltCurve_Q3ZCW2_LGALSL.pdf")</f>
        <v>Melting_Curves/meltCurve_Q3ZCW2_LGALSL.pdf</v>
      </c>
    </row>
    <row r="3532" spans="1:28" x14ac:dyDescent="0.25">
      <c r="A3532" t="s">
        <v>3535</v>
      </c>
      <c r="B3532">
        <v>0.99930955844802105</v>
      </c>
      <c r="C3532">
        <v>0.90974298574892098</v>
      </c>
      <c r="D3532">
        <v>0.22586883379980699</v>
      </c>
      <c r="E3532">
        <v>0.75824293313703905</v>
      </c>
      <c r="F3532">
        <v>0.621349252782325</v>
      </c>
      <c r="G3532">
        <v>0.35964775697274898</v>
      </c>
      <c r="H3532">
        <v>0.253829904778272</v>
      </c>
      <c r="I3532">
        <v>0.239107633638308</v>
      </c>
      <c r="J3532">
        <v>0.23161990177193001</v>
      </c>
      <c r="K3532">
        <v>0.167118741703322</v>
      </c>
      <c r="L3532">
        <v>310.27628325670503</v>
      </c>
      <c r="M3532">
        <v>5.9237002853038803</v>
      </c>
      <c r="N3532">
        <v>52.378794820802803</v>
      </c>
      <c r="O3532">
        <v>47.340902819984102</v>
      </c>
      <c r="P3532">
        <v>-3.1388175256264299E-2</v>
      </c>
      <c r="Q3532">
        <v>0</v>
      </c>
      <c r="R3532">
        <v>0.65341853026547103</v>
      </c>
      <c r="S3532" t="s">
        <v>10148</v>
      </c>
      <c r="T3532" t="s">
        <v>13232</v>
      </c>
      <c r="U3532" t="s">
        <v>13232</v>
      </c>
      <c r="V3532" t="s">
        <v>13232</v>
      </c>
      <c r="W3532" t="s">
        <v>16705</v>
      </c>
      <c r="X3532">
        <v>9</v>
      </c>
      <c r="Y3532" t="s">
        <v>23137</v>
      </c>
      <c r="Z3532" t="s">
        <v>29663</v>
      </c>
      <c r="AA3532">
        <v>0.46721141747548151</v>
      </c>
      <c r="AB3532" t="str">
        <f>HYPERLINK("Melting_Curves/meltCurve_Q499Z4_ZNF672.pdf", "Melting_Curves/meltCurve_Q499Z4_ZNF672.pdf")</f>
        <v>Melting_Curves/meltCurve_Q499Z4_ZNF672.pdf</v>
      </c>
    </row>
    <row r="3533" spans="1:28" x14ac:dyDescent="0.25">
      <c r="A3533" t="s">
        <v>3536</v>
      </c>
      <c r="B3533">
        <v>0.99930955844802105</v>
      </c>
      <c r="C3533">
        <v>1.00374683464643</v>
      </c>
      <c r="D3533">
        <v>0.99566318037713697</v>
      </c>
      <c r="E3533">
        <v>0.97775409871874597</v>
      </c>
      <c r="F3533">
        <v>0.97643988796672698</v>
      </c>
      <c r="G3533">
        <v>0.79073747900418001</v>
      </c>
      <c r="H3533">
        <v>0.49338867226899702</v>
      </c>
      <c r="I3533">
        <v>0.26154016830802002</v>
      </c>
      <c r="J3533">
        <v>9.0207919663737104E-2</v>
      </c>
      <c r="K3533">
        <v>7.4263309234376407E-2</v>
      </c>
      <c r="L3533">
        <v>1304.9718327609701</v>
      </c>
      <c r="M3533">
        <v>21.465117635458299</v>
      </c>
      <c r="N3533">
        <v>60.795013010472303</v>
      </c>
      <c r="O3533">
        <v>60.2747276927199</v>
      </c>
      <c r="P3533">
        <v>-8.9032538322151203E-2</v>
      </c>
      <c r="Q3533">
        <v>0</v>
      </c>
      <c r="R3533">
        <v>0.99847204279399504</v>
      </c>
      <c r="S3533" t="s">
        <v>10149</v>
      </c>
      <c r="T3533" t="s">
        <v>13232</v>
      </c>
      <c r="U3533" t="s">
        <v>13232</v>
      </c>
      <c r="V3533" t="s">
        <v>13232</v>
      </c>
      <c r="W3533" t="s">
        <v>16706</v>
      </c>
      <c r="X3533">
        <v>18</v>
      </c>
      <c r="Y3533" t="s">
        <v>23138</v>
      </c>
      <c r="Z3533" t="s">
        <v>29664</v>
      </c>
      <c r="AA3533">
        <v>0.69992394513653367</v>
      </c>
      <c r="AB3533" t="str">
        <f>HYPERLINK("Melting_Curves/meltCurve_Q49A26_2_GLYR1.pdf", "Melting_Curves/meltCurve_Q49A26_2_GLYR1.pdf")</f>
        <v>Melting_Curves/meltCurve_Q49A26_2_GLYR1.pdf</v>
      </c>
    </row>
    <row r="3534" spans="1:28" x14ac:dyDescent="0.25">
      <c r="A3534" t="s">
        <v>3537</v>
      </c>
      <c r="B3534">
        <v>0.99930955844802105</v>
      </c>
      <c r="C3534">
        <v>1.03535812905146</v>
      </c>
      <c r="D3534">
        <v>1.0451443436427199</v>
      </c>
      <c r="E3534">
        <v>1.0151149437346001</v>
      </c>
      <c r="F3534">
        <v>0.90587087559815505</v>
      </c>
      <c r="G3534">
        <v>0.83143486990501303</v>
      </c>
      <c r="H3534">
        <v>0.79498612572577199</v>
      </c>
      <c r="I3534">
        <v>0.88449844482441298</v>
      </c>
      <c r="J3534">
        <v>0.78043395746608302</v>
      </c>
      <c r="K3534">
        <v>0.68995451295184795</v>
      </c>
      <c r="S3534" t="s">
        <v>10150</v>
      </c>
      <c r="T3534" t="s">
        <v>13232</v>
      </c>
      <c r="U3534" t="s">
        <v>13233</v>
      </c>
      <c r="V3534" t="s">
        <v>13232</v>
      </c>
      <c r="W3534" t="s">
        <v>16707</v>
      </c>
      <c r="X3534">
        <v>1</v>
      </c>
      <c r="Y3534" t="s">
        <v>23139</v>
      </c>
      <c r="Z3534" t="s">
        <v>29665</v>
      </c>
      <c r="AB3534" t="str">
        <f>HYPERLINK("Melting_Curves/meltCurve_Q49A88_2_CCDC14.pdf", "Melting_Curves/meltCurve_Q49A88_2_CCDC14.pdf")</f>
        <v>Melting_Curves/meltCurve_Q49A88_2_CCDC14.pdf</v>
      </c>
    </row>
    <row r="3535" spans="1:28" x14ac:dyDescent="0.25">
      <c r="A3535" t="s">
        <v>3538</v>
      </c>
      <c r="B3535">
        <v>0.99930955844802105</v>
      </c>
      <c r="C3535">
        <v>0.95808172190697904</v>
      </c>
      <c r="D3535">
        <v>1.01690812864076</v>
      </c>
      <c r="E3535">
        <v>0.94314681760480901</v>
      </c>
      <c r="F3535">
        <v>0.78421261465416103</v>
      </c>
      <c r="G3535">
        <v>0.68665946991007798</v>
      </c>
      <c r="H3535">
        <v>0.69138827228921296</v>
      </c>
      <c r="I3535">
        <v>0.645550360986752</v>
      </c>
      <c r="J3535">
        <v>0.68193826986218598</v>
      </c>
      <c r="K3535">
        <v>0.56277144926295597</v>
      </c>
      <c r="L3535">
        <v>1482.8588248057799</v>
      </c>
      <c r="M3535">
        <v>28.226424966408398</v>
      </c>
      <c r="O3535">
        <v>52.272854674459701</v>
      </c>
      <c r="P3535">
        <v>-4.8189752115405701E-2</v>
      </c>
      <c r="Q3535">
        <v>0.64303024569383305</v>
      </c>
      <c r="R3535">
        <v>0.95081145928844601</v>
      </c>
      <c r="S3535" t="s">
        <v>10151</v>
      </c>
      <c r="T3535" t="s">
        <v>13232</v>
      </c>
      <c r="U3535" t="s">
        <v>13232</v>
      </c>
      <c r="V3535" t="s">
        <v>13232</v>
      </c>
      <c r="W3535" t="s">
        <v>16708</v>
      </c>
      <c r="X3535">
        <v>1</v>
      </c>
      <c r="Y3535" t="s">
        <v>23140</v>
      </c>
      <c r="Z3535" t="s">
        <v>29666</v>
      </c>
      <c r="AA3535">
        <v>0.79476864503088129</v>
      </c>
      <c r="AB3535" t="str">
        <f>HYPERLINK("Melting_Curves/meltCurve_Q49AN0_2_CRY2.pdf", "Melting_Curves/meltCurve_Q49AN0_2_CRY2.pdf")</f>
        <v>Melting_Curves/meltCurve_Q49AN0_2_CRY2.pdf</v>
      </c>
    </row>
    <row r="3536" spans="1:28" x14ac:dyDescent="0.25">
      <c r="A3536" t="s">
        <v>3539</v>
      </c>
      <c r="B3536">
        <v>0.99930955844802105</v>
      </c>
      <c r="C3536">
        <v>1.0593099307179701</v>
      </c>
      <c r="D3536">
        <v>1.0150951320161401</v>
      </c>
      <c r="E3536">
        <v>0.78740361959247795</v>
      </c>
      <c r="F3536">
        <v>0.47537078576848601</v>
      </c>
      <c r="G3536">
        <v>0.25433936885288499</v>
      </c>
      <c r="H3536">
        <v>0.12183190496777099</v>
      </c>
      <c r="I3536">
        <v>9.0975476027971E-2</v>
      </c>
      <c r="J3536">
        <v>7.5407954098270794E-2</v>
      </c>
      <c r="K3536">
        <v>6.3512399976432196E-2</v>
      </c>
      <c r="L3536">
        <v>1193.78122717684</v>
      </c>
      <c r="M3536">
        <v>22.670531778956001</v>
      </c>
      <c r="N3536">
        <v>53.044363195210501</v>
      </c>
      <c r="O3536">
        <v>52.253251548330901</v>
      </c>
      <c r="P3536">
        <v>-0.100208608940988</v>
      </c>
      <c r="Q3536">
        <v>7.6136033882315601E-2</v>
      </c>
      <c r="R3536">
        <v>0.99441599032865402</v>
      </c>
      <c r="S3536" t="s">
        <v>10152</v>
      </c>
      <c r="T3536" t="s">
        <v>13232</v>
      </c>
      <c r="U3536" t="s">
        <v>13232</v>
      </c>
      <c r="V3536" t="s">
        <v>13232</v>
      </c>
      <c r="W3536" t="s">
        <v>16709</v>
      </c>
      <c r="X3536">
        <v>7</v>
      </c>
      <c r="Y3536" t="s">
        <v>23141</v>
      </c>
      <c r="Z3536" t="s">
        <v>29667</v>
      </c>
      <c r="AA3536">
        <v>0.47612272893991031</v>
      </c>
      <c r="AB3536" t="str">
        <f>HYPERLINK("Melting_Curves/meltCurve_Q49AR2_C5orf22.pdf", "Melting_Curves/meltCurve_Q49AR2_C5orf22.pdf")</f>
        <v>Melting_Curves/meltCurve_Q49AR2_C5orf22.pdf</v>
      </c>
    </row>
    <row r="3537" spans="1:28" x14ac:dyDescent="0.25">
      <c r="A3537" t="s">
        <v>3540</v>
      </c>
      <c r="B3537">
        <v>0.99930955844802105</v>
      </c>
      <c r="C3537">
        <v>1.23397636446405</v>
      </c>
      <c r="D3537">
        <v>1.1655106851708299</v>
      </c>
      <c r="E3537">
        <v>1.09960240267328</v>
      </c>
      <c r="F3537">
        <v>0.71568786557003405</v>
      </c>
      <c r="G3537">
        <v>0.69253810892891199</v>
      </c>
      <c r="H3537">
        <v>0.69361120475703197</v>
      </c>
      <c r="I3537">
        <v>0.715174260076051</v>
      </c>
      <c r="J3537">
        <v>0.69229790935715796</v>
      </c>
      <c r="K3537">
        <v>0.59882274235525701</v>
      </c>
      <c r="L3537">
        <v>13142.2141188599</v>
      </c>
      <c r="M3537">
        <v>250</v>
      </c>
      <c r="O3537">
        <v>52.5654936235319</v>
      </c>
      <c r="P3537">
        <v>-0.38227500832156303</v>
      </c>
      <c r="Q3537">
        <v>0.67848841555420603</v>
      </c>
      <c r="R3537">
        <v>0.80080483348904197</v>
      </c>
      <c r="S3537" t="s">
        <v>10153</v>
      </c>
      <c r="T3537" t="s">
        <v>13232</v>
      </c>
      <c r="U3537" t="s">
        <v>13232</v>
      </c>
      <c r="V3537" t="s">
        <v>13232</v>
      </c>
      <c r="W3537" t="s">
        <v>16710</v>
      </c>
      <c r="X3537">
        <v>5</v>
      </c>
      <c r="Y3537" t="s">
        <v>23142</v>
      </c>
      <c r="Z3537" t="s">
        <v>29668</v>
      </c>
      <c r="AA3537">
        <v>0.81321917608691241</v>
      </c>
      <c r="AB3537" t="str">
        <f>HYPERLINK("Melting_Curves/meltCurve_Q49B96_COX19.pdf", "Melting_Curves/meltCurve_Q49B96_COX19.pdf")</f>
        <v>Melting_Curves/meltCurve_Q49B96_COX19.pdf</v>
      </c>
    </row>
    <row r="3538" spans="1:28" x14ac:dyDescent="0.25">
      <c r="A3538" t="s">
        <v>3541</v>
      </c>
      <c r="B3538">
        <v>0.99930955844802105</v>
      </c>
      <c r="C3538">
        <v>0.90395952613292097</v>
      </c>
      <c r="D3538">
        <v>0.86910576294792496</v>
      </c>
      <c r="E3538">
        <v>0.84675189119930205</v>
      </c>
      <c r="F3538">
        <v>0.50740736540467601</v>
      </c>
      <c r="G3538">
        <v>0.31283010483245499</v>
      </c>
      <c r="H3538">
        <v>0.138991104064245</v>
      </c>
      <c r="I3538">
        <v>9.9689325223742103E-2</v>
      </c>
      <c r="J3538">
        <v>8.7481989625156006E-2</v>
      </c>
      <c r="K3538">
        <v>6.3877612657532501E-2</v>
      </c>
      <c r="L3538">
        <v>848.22943937374703</v>
      </c>
      <c r="M3538">
        <v>15.8604296124219</v>
      </c>
      <c r="N3538">
        <v>53.744845308844098</v>
      </c>
      <c r="O3538">
        <v>52.652303888495901</v>
      </c>
      <c r="P3538">
        <v>-7.2491388680723398E-2</v>
      </c>
      <c r="Q3538">
        <v>3.7471178931062499E-2</v>
      </c>
      <c r="R3538">
        <v>0.98507970922526999</v>
      </c>
      <c r="S3538" t="s">
        <v>10154</v>
      </c>
      <c r="T3538" t="s">
        <v>13232</v>
      </c>
      <c r="U3538" t="s">
        <v>13232</v>
      </c>
      <c r="V3538" t="s">
        <v>13232</v>
      </c>
      <c r="W3538" t="s">
        <v>16711</v>
      </c>
      <c r="X3538">
        <v>19</v>
      </c>
      <c r="Y3538" t="s">
        <v>23143</v>
      </c>
      <c r="Z3538" t="s">
        <v>29669</v>
      </c>
      <c r="AA3538">
        <v>0.48879011816821649</v>
      </c>
      <c r="AB3538" t="str">
        <f>HYPERLINK("Melting_Curves/meltCurve_Q4G0F5_VPS26B.pdf", "Melting_Curves/meltCurve_Q4G0F5_VPS26B.pdf")</f>
        <v>Melting_Curves/meltCurve_Q4G0F5_VPS26B.pdf</v>
      </c>
    </row>
    <row r="3539" spans="1:28" x14ac:dyDescent="0.25">
      <c r="A3539" t="s">
        <v>3542</v>
      </c>
      <c r="B3539">
        <v>0.99930955844802105</v>
      </c>
      <c r="C3539">
        <v>0.84462438156783703</v>
      </c>
      <c r="D3539">
        <v>0.84973545985384002</v>
      </c>
      <c r="E3539">
        <v>0.82961426345580302</v>
      </c>
      <c r="F3539">
        <v>0.63921590677428897</v>
      </c>
      <c r="G3539">
        <v>0.40601820440623498</v>
      </c>
      <c r="H3539">
        <v>0.28947514840696198</v>
      </c>
      <c r="I3539">
        <v>0.26171859667651698</v>
      </c>
      <c r="J3539">
        <v>0.25120122398802702</v>
      </c>
      <c r="K3539">
        <v>0.189598550272429</v>
      </c>
      <c r="L3539">
        <v>574.78501362308896</v>
      </c>
      <c r="M3539">
        <v>10.5715009402716</v>
      </c>
      <c r="N3539">
        <v>55.697199846719201</v>
      </c>
      <c r="O3539">
        <v>52.533782450318299</v>
      </c>
      <c r="P3539">
        <v>-4.4728687225813697E-2</v>
      </c>
      <c r="Q3539">
        <v>0.111254371183658</v>
      </c>
      <c r="R3539">
        <v>0.97141617129233004</v>
      </c>
      <c r="S3539" t="s">
        <v>10155</v>
      </c>
      <c r="T3539" t="s">
        <v>13232</v>
      </c>
      <c r="U3539" t="s">
        <v>13232</v>
      </c>
      <c r="V3539" t="s">
        <v>13232</v>
      </c>
      <c r="W3539" t="s">
        <v>16712</v>
      </c>
      <c r="X3539">
        <v>28</v>
      </c>
      <c r="Y3539" t="s">
        <v>23144</v>
      </c>
      <c r="Z3539" t="s">
        <v>29670</v>
      </c>
      <c r="AA3539">
        <v>0.56159615046543565</v>
      </c>
      <c r="AB3539" t="str">
        <f>HYPERLINK("Melting_Curves/meltCurve_Q4G0J3_LARP7.pdf", "Melting_Curves/meltCurve_Q4G0J3_LARP7.pdf")</f>
        <v>Melting_Curves/meltCurve_Q4G0J3_LARP7.pdf</v>
      </c>
    </row>
    <row r="3540" spans="1:28" x14ac:dyDescent="0.25">
      <c r="A3540" t="s">
        <v>3543</v>
      </c>
      <c r="B3540">
        <v>0.99930955844802105</v>
      </c>
      <c r="C3540">
        <v>0.96565383805344995</v>
      </c>
      <c r="D3540">
        <v>0.89513797119381</v>
      </c>
      <c r="E3540">
        <v>0.67639999151229302</v>
      </c>
      <c r="F3540">
        <v>0.37334144486115201</v>
      </c>
      <c r="G3540">
        <v>0.27647996845807499</v>
      </c>
      <c r="H3540">
        <v>0.20147986823738601</v>
      </c>
      <c r="I3540">
        <v>0.15507690683596601</v>
      </c>
      <c r="J3540">
        <v>0.13003263036528401</v>
      </c>
      <c r="K3540">
        <v>8.0420490002928793E-2</v>
      </c>
      <c r="L3540">
        <v>890.60126550197594</v>
      </c>
      <c r="M3540">
        <v>17.403737753886801</v>
      </c>
      <c r="N3540">
        <v>51.970594893646798</v>
      </c>
      <c r="O3540">
        <v>50.511699374764099</v>
      </c>
      <c r="P3540">
        <v>-7.6046046727832897E-2</v>
      </c>
      <c r="Q3540">
        <v>0.117201449375191</v>
      </c>
      <c r="R3540">
        <v>0.99316371706163697</v>
      </c>
      <c r="S3540" t="s">
        <v>10156</v>
      </c>
      <c r="T3540" t="s">
        <v>13232</v>
      </c>
      <c r="U3540" t="s">
        <v>13232</v>
      </c>
      <c r="V3540" t="s">
        <v>13232</v>
      </c>
      <c r="W3540" t="s">
        <v>16713</v>
      </c>
      <c r="X3540">
        <v>3</v>
      </c>
      <c r="Y3540" t="s">
        <v>23145</v>
      </c>
      <c r="Z3540" t="s">
        <v>29671</v>
      </c>
      <c r="AA3540">
        <v>0.46174344628225172</v>
      </c>
      <c r="AB3540" t="str">
        <f>HYPERLINK("Melting_Curves/meltCurve_Q4G0M0_NAPB.pdf", "Melting_Curves/meltCurve_Q4G0M0_NAPB.pdf")</f>
        <v>Melting_Curves/meltCurve_Q4G0M0_NAPB.pdf</v>
      </c>
    </row>
    <row r="3541" spans="1:28" x14ac:dyDescent="0.25">
      <c r="A3541" t="s">
        <v>3544</v>
      </c>
      <c r="B3541">
        <v>0.99930955844802105</v>
      </c>
      <c r="C3541">
        <v>1.07703047673146</v>
      </c>
      <c r="D3541">
        <v>1.04742634226095</v>
      </c>
      <c r="E3541">
        <v>0.90529421364449902</v>
      </c>
      <c r="F3541">
        <v>0.35425814096844999</v>
      </c>
      <c r="G3541">
        <v>0.13872729588452501</v>
      </c>
      <c r="H3541">
        <v>7.9123015516563006E-2</v>
      </c>
      <c r="I3541">
        <v>6.7772958383886195E-2</v>
      </c>
      <c r="J3541">
        <v>6.0129078559060703E-2</v>
      </c>
      <c r="K3541">
        <v>4.7619067634908398E-2</v>
      </c>
      <c r="L3541">
        <v>2556.3014642578801</v>
      </c>
      <c r="M3541">
        <v>49.0340319662048</v>
      </c>
      <c r="N3541">
        <v>52.306014256746302</v>
      </c>
      <c r="O3541">
        <v>52.046717332708702</v>
      </c>
      <c r="P3541">
        <v>-0.21791547829555</v>
      </c>
      <c r="Q3541">
        <v>7.4783417207511901E-2</v>
      </c>
      <c r="R3541">
        <v>0.99389322146110803</v>
      </c>
      <c r="S3541" t="s">
        <v>10157</v>
      </c>
      <c r="T3541" t="s">
        <v>13232</v>
      </c>
      <c r="U3541" t="s">
        <v>13232</v>
      </c>
      <c r="V3541" t="s">
        <v>13232</v>
      </c>
      <c r="W3541" t="s">
        <v>16714</v>
      </c>
      <c r="X3541">
        <v>24</v>
      </c>
      <c r="Y3541" t="s">
        <v>23146</v>
      </c>
      <c r="Z3541" t="s">
        <v>29672</v>
      </c>
      <c r="AA3541">
        <v>0.4511908806441457</v>
      </c>
      <c r="AB3541" t="str">
        <f>HYPERLINK("Melting_Curves/meltCurve_Q4G0N4_NADKD1.pdf", "Melting_Curves/meltCurve_Q4G0N4_NADKD1.pdf")</f>
        <v>Melting_Curves/meltCurve_Q4G0N4_NADKD1.pdf</v>
      </c>
    </row>
    <row r="3542" spans="1:28" x14ac:dyDescent="0.25">
      <c r="A3542" t="s">
        <v>3545</v>
      </c>
      <c r="B3542">
        <v>0.99930955844802105</v>
      </c>
      <c r="C3542">
        <v>1.1517149772336599</v>
      </c>
      <c r="D3542">
        <v>0.77231118307319102</v>
      </c>
      <c r="E3542">
        <v>0.348611744777299</v>
      </c>
      <c r="F3542">
        <v>0.23204269123020799</v>
      </c>
      <c r="G3542">
        <v>0.17192774804784999</v>
      </c>
      <c r="H3542">
        <v>0.129683445030816</v>
      </c>
      <c r="I3542">
        <v>0.129677348394759</v>
      </c>
      <c r="J3542">
        <v>0.13624821275729099</v>
      </c>
      <c r="K3542">
        <v>9.3443684809827093E-2</v>
      </c>
      <c r="L3542">
        <v>1400.7017469790301</v>
      </c>
      <c r="M3542">
        <v>29.133458760639702</v>
      </c>
      <c r="N3542">
        <v>48.611231505482401</v>
      </c>
      <c r="O3542">
        <v>47.853987132784503</v>
      </c>
      <c r="P3542">
        <v>-0.13141077949369601</v>
      </c>
      <c r="Q3542">
        <v>0.13659647114885501</v>
      </c>
      <c r="R3542">
        <v>0.97408707100508996</v>
      </c>
      <c r="S3542" t="s">
        <v>10158</v>
      </c>
      <c r="T3542" t="s">
        <v>13232</v>
      </c>
      <c r="U3542" t="s">
        <v>13232</v>
      </c>
      <c r="V3542" t="s">
        <v>13232</v>
      </c>
      <c r="W3542" t="s">
        <v>16715</v>
      </c>
      <c r="X3542">
        <v>14</v>
      </c>
      <c r="Y3542" t="s">
        <v>23147</v>
      </c>
      <c r="Z3542" t="s">
        <v>29673</v>
      </c>
      <c r="AA3542">
        <v>0.37463373597449839</v>
      </c>
      <c r="AB3542" t="str">
        <f>HYPERLINK("Melting_Curves/meltCurve_Q4G176_ACSF3.pdf", "Melting_Curves/meltCurve_Q4G176_ACSF3.pdf")</f>
        <v>Melting_Curves/meltCurve_Q4G176_ACSF3.pdf</v>
      </c>
    </row>
    <row r="3543" spans="1:28" x14ac:dyDescent="0.25">
      <c r="A3543" t="s">
        <v>3546</v>
      </c>
      <c r="B3543">
        <v>0.99930955844802105</v>
      </c>
      <c r="C3543">
        <v>1.0477354870995901</v>
      </c>
      <c r="D3543">
        <v>1.0266233075969999</v>
      </c>
      <c r="E3543">
        <v>0.91046934054141404</v>
      </c>
      <c r="F3543">
        <v>0.55079309873451698</v>
      </c>
      <c r="G3543">
        <v>0.27767085790448398</v>
      </c>
      <c r="H3543">
        <v>0.14577013597004099</v>
      </c>
      <c r="I3543">
        <v>0.109691393257258</v>
      </c>
      <c r="J3543">
        <v>9.5333529420073004E-2</v>
      </c>
      <c r="K3543">
        <v>7.5051169390316794E-2</v>
      </c>
      <c r="L3543">
        <v>1408.01292894434</v>
      </c>
      <c r="M3543">
        <v>26.366721515716598</v>
      </c>
      <c r="N3543">
        <v>53.847430821685499</v>
      </c>
      <c r="O3543">
        <v>53.096802975759502</v>
      </c>
      <c r="P3543">
        <v>-0.111960976985889</v>
      </c>
      <c r="Q3543">
        <v>9.81503528747356E-2</v>
      </c>
      <c r="R3543">
        <v>0.99426026539265899</v>
      </c>
      <c r="S3543" t="s">
        <v>10159</v>
      </c>
      <c r="T3543" t="s">
        <v>13232</v>
      </c>
      <c r="U3543" t="s">
        <v>13232</v>
      </c>
      <c r="V3543" t="s">
        <v>13232</v>
      </c>
      <c r="W3543" t="s">
        <v>16716</v>
      </c>
      <c r="X3543">
        <v>20</v>
      </c>
      <c r="Y3543" t="s">
        <v>23148</v>
      </c>
      <c r="Z3543" t="s">
        <v>29674</v>
      </c>
      <c r="AA3543">
        <v>0.50854550664618492</v>
      </c>
      <c r="AB3543" t="str">
        <f>HYPERLINK("Melting_Curves/meltCurve_Q4J6C6_4_PREPL.pdf", "Melting_Curves/meltCurve_Q4J6C6_4_PREPL.pdf")</f>
        <v>Melting_Curves/meltCurve_Q4J6C6_4_PREPL.pdf</v>
      </c>
    </row>
    <row r="3544" spans="1:28" x14ac:dyDescent="0.25">
      <c r="A3544" t="s">
        <v>3547</v>
      </c>
      <c r="B3544">
        <v>0.99930955844802105</v>
      </c>
      <c r="C3544">
        <v>1.03131276690439</v>
      </c>
      <c r="D3544">
        <v>1.0193587926485299</v>
      </c>
      <c r="E3544">
        <v>0.92230973854267995</v>
      </c>
      <c r="F3544">
        <v>0.60404995123174998</v>
      </c>
      <c r="G3544">
        <v>0.45502089033868798</v>
      </c>
      <c r="H3544">
        <v>0.50541621814288396</v>
      </c>
      <c r="I3544">
        <v>0.60329541470276404</v>
      </c>
      <c r="J3544">
        <v>0.76044029626487097</v>
      </c>
      <c r="K3544">
        <v>0.53214400507005699</v>
      </c>
      <c r="L3544">
        <v>3632.7494057660501</v>
      </c>
      <c r="M3544">
        <v>71.136856767757394</v>
      </c>
      <c r="O3544">
        <v>51.026738227703298</v>
      </c>
      <c r="P3544">
        <v>-0.14927972573602599</v>
      </c>
      <c r="Q3544">
        <v>0.57168443427973803</v>
      </c>
      <c r="R3544">
        <v>0.88002719728242296</v>
      </c>
      <c r="S3544" t="s">
        <v>10160</v>
      </c>
      <c r="T3544" t="s">
        <v>13232</v>
      </c>
      <c r="U3544" t="s">
        <v>13232</v>
      </c>
      <c r="V3544" t="s">
        <v>13232</v>
      </c>
      <c r="W3544" t="s">
        <v>16717</v>
      </c>
      <c r="X3544">
        <v>15</v>
      </c>
      <c r="Y3544" t="s">
        <v>23149</v>
      </c>
      <c r="Z3544" t="s">
        <v>29675</v>
      </c>
      <c r="AA3544">
        <v>0.73016605307341642</v>
      </c>
      <c r="AB3544" t="str">
        <f>HYPERLINK("Melting_Curves/meltCurve_Q4KMP7_TBC1D10B.pdf", "Melting_Curves/meltCurve_Q4KMP7_TBC1D10B.pdf")</f>
        <v>Melting_Curves/meltCurve_Q4KMP7_TBC1D10B.pdf</v>
      </c>
    </row>
    <row r="3545" spans="1:28" x14ac:dyDescent="0.25">
      <c r="A3545" t="s">
        <v>3548</v>
      </c>
      <c r="B3545">
        <v>0.99930955844802105</v>
      </c>
      <c r="C3545">
        <v>0.95252411739951603</v>
      </c>
      <c r="D3545">
        <v>0.90380380518677905</v>
      </c>
      <c r="E3545">
        <v>0.75009489772451499</v>
      </c>
      <c r="F3545">
        <v>0.28287851120457003</v>
      </c>
      <c r="G3545">
        <v>0.17633202558811401</v>
      </c>
      <c r="H3545">
        <v>7.6624957823940396E-2</v>
      </c>
      <c r="I3545">
        <v>5.5112899611911299E-2</v>
      </c>
      <c r="J3545">
        <v>4.54380385121783E-2</v>
      </c>
      <c r="K3545">
        <v>3.3653928004734698E-2</v>
      </c>
      <c r="L3545">
        <v>1436.7943835129199</v>
      </c>
      <c r="M3545">
        <v>27.963102087671601</v>
      </c>
      <c r="N3545">
        <v>51.604053242448302</v>
      </c>
      <c r="O3545">
        <v>51.121176061838497</v>
      </c>
      <c r="P3545">
        <v>-0.128991189589137</v>
      </c>
      <c r="Q3545">
        <v>5.67393137182228E-2</v>
      </c>
      <c r="R3545">
        <v>0.98991444558536001</v>
      </c>
      <c r="S3545" t="s">
        <v>10161</v>
      </c>
      <c r="T3545" t="s">
        <v>13232</v>
      </c>
      <c r="U3545" t="s">
        <v>13232</v>
      </c>
      <c r="V3545" t="s">
        <v>13232</v>
      </c>
      <c r="W3545" t="s">
        <v>16718</v>
      </c>
      <c r="X3545">
        <v>2</v>
      </c>
      <c r="Y3545" t="s">
        <v>23150</v>
      </c>
      <c r="Z3545" t="s">
        <v>29676</v>
      </c>
      <c r="AA3545">
        <v>0.42146967049174761</v>
      </c>
      <c r="AB3545" t="str">
        <f>HYPERLINK("Melting_Curves/meltCurve_Q4KWH8_3_PLCH1.pdf", "Melting_Curves/meltCurve_Q4KWH8_3_PLCH1.pdf")</f>
        <v>Melting_Curves/meltCurve_Q4KWH8_3_PLCH1.pdf</v>
      </c>
    </row>
    <row r="3546" spans="1:28" x14ac:dyDescent="0.25">
      <c r="A3546" t="s">
        <v>3549</v>
      </c>
      <c r="B3546">
        <v>0.99930955844802105</v>
      </c>
      <c r="C3546">
        <v>1.0124034129441399</v>
      </c>
      <c r="D3546">
        <v>1.0853071720012599</v>
      </c>
      <c r="E3546">
        <v>0.87822818937330305</v>
      </c>
      <c r="F3546">
        <v>0.45922222848746302</v>
      </c>
      <c r="G3546">
        <v>0.30534936847100203</v>
      </c>
      <c r="H3546">
        <v>0.23214424309514001</v>
      </c>
      <c r="I3546">
        <v>0.21243198038722</v>
      </c>
      <c r="J3546">
        <v>0.17741000438774801</v>
      </c>
      <c r="K3546">
        <v>0.156375618356483</v>
      </c>
      <c r="L3546">
        <v>1989.4288327501699</v>
      </c>
      <c r="M3546">
        <v>38.1851874933514</v>
      </c>
      <c r="N3546">
        <v>52.841577720872202</v>
      </c>
      <c r="O3546">
        <v>51.957221979759296</v>
      </c>
      <c r="P3546">
        <v>-0.14560324317220499</v>
      </c>
      <c r="Q3546">
        <v>0.20753349374958999</v>
      </c>
      <c r="R3546">
        <v>0.98727097470724601</v>
      </c>
      <c r="S3546" t="s">
        <v>10162</v>
      </c>
      <c r="T3546" t="s">
        <v>13232</v>
      </c>
      <c r="U3546" t="s">
        <v>13232</v>
      </c>
      <c r="V3546" t="s">
        <v>13232</v>
      </c>
      <c r="W3546" t="s">
        <v>16719</v>
      </c>
      <c r="X3546">
        <v>3</v>
      </c>
      <c r="Y3546" t="s">
        <v>23151</v>
      </c>
      <c r="Z3546" t="s">
        <v>29677</v>
      </c>
      <c r="AA3546">
        <v>0.53027959606093833</v>
      </c>
      <c r="AB3546" t="str">
        <f>HYPERLINK("Melting_Curves/meltCurve_Q4LDG9_3_DNAL1.pdf", "Melting_Curves/meltCurve_Q4LDG9_3_DNAL1.pdf")</f>
        <v>Melting_Curves/meltCurve_Q4LDG9_3_DNAL1.pdf</v>
      </c>
    </row>
    <row r="3547" spans="1:28" x14ac:dyDescent="0.25">
      <c r="A3547" t="s">
        <v>3550</v>
      </c>
      <c r="B3547">
        <v>0.99930955844802105</v>
      </c>
      <c r="C3547">
        <v>1.23258601962137</v>
      </c>
      <c r="D3547">
        <v>1.1374296483231501</v>
      </c>
      <c r="E3547">
        <v>0.77663137480697997</v>
      </c>
      <c r="F3547">
        <v>0.52799155855624602</v>
      </c>
      <c r="G3547">
        <v>0.39396713337224298</v>
      </c>
      <c r="H3547">
        <v>0.351884473473981</v>
      </c>
      <c r="I3547">
        <v>0.36961014260647701</v>
      </c>
      <c r="J3547">
        <v>0.37673159100203801</v>
      </c>
      <c r="K3547">
        <v>0.298000217821348</v>
      </c>
      <c r="L3547">
        <v>1801.87619925127</v>
      </c>
      <c r="M3547">
        <v>35.164011211478801</v>
      </c>
      <c r="N3547">
        <v>53.1150012844111</v>
      </c>
      <c r="O3547">
        <v>51.0771602883326</v>
      </c>
      <c r="P3547">
        <v>-0.11096080271641599</v>
      </c>
      <c r="Q3547">
        <v>0.35530162538775101</v>
      </c>
      <c r="R3547">
        <v>0.92896813031539804</v>
      </c>
      <c r="S3547" t="s">
        <v>10163</v>
      </c>
      <c r="T3547" t="s">
        <v>13232</v>
      </c>
      <c r="U3547" t="s">
        <v>13232</v>
      </c>
      <c r="V3547" t="s">
        <v>13232</v>
      </c>
      <c r="W3547" t="s">
        <v>16720</v>
      </c>
      <c r="X3547">
        <v>14</v>
      </c>
      <c r="Y3547" t="s">
        <v>23152</v>
      </c>
      <c r="Z3547" t="s">
        <v>29678</v>
      </c>
      <c r="AA3547">
        <v>0.59985201517372577</v>
      </c>
      <c r="AB3547" t="str">
        <f>HYPERLINK("Melting_Curves/meltCurve_Q4LE39_2_ARID4B.pdf", "Melting_Curves/meltCurve_Q4LE39_2_ARID4B.pdf")</f>
        <v>Melting_Curves/meltCurve_Q4LE39_2_ARID4B.pdf</v>
      </c>
    </row>
    <row r="3548" spans="1:28" x14ac:dyDescent="0.25">
      <c r="A3548" t="s">
        <v>3551</v>
      </c>
      <c r="B3548">
        <v>0.99930955844802105</v>
      </c>
      <c r="C3548">
        <v>1.0778448209246001</v>
      </c>
      <c r="D3548">
        <v>1.0194451836179099</v>
      </c>
      <c r="E3548">
        <v>0.94688960619056795</v>
      </c>
      <c r="F3548">
        <v>0.88413500221451902</v>
      </c>
      <c r="G3548">
        <v>0.75030643041389</v>
      </c>
      <c r="H3548">
        <v>0.66337435538891498</v>
      </c>
      <c r="I3548">
        <v>0.66041660763649102</v>
      </c>
      <c r="J3548">
        <v>0.65748364812123306</v>
      </c>
      <c r="K3548">
        <v>0.53717421228801798</v>
      </c>
      <c r="L3548">
        <v>924.41998836510402</v>
      </c>
      <c r="M3548">
        <v>16.480122610534</v>
      </c>
      <c r="O3548">
        <v>55.286620752396701</v>
      </c>
      <c r="P3548">
        <v>-3.1099056506836701E-2</v>
      </c>
      <c r="Q3548">
        <v>0.58271142932095399</v>
      </c>
      <c r="R3548">
        <v>0.95460084894900399</v>
      </c>
      <c r="S3548" t="s">
        <v>10164</v>
      </c>
      <c r="T3548" t="s">
        <v>13232</v>
      </c>
      <c r="U3548" t="s">
        <v>13232</v>
      </c>
      <c r="V3548" t="s">
        <v>13232</v>
      </c>
      <c r="W3548" t="s">
        <v>16721</v>
      </c>
      <c r="X3548">
        <v>47</v>
      </c>
      <c r="Y3548" t="s">
        <v>23153</v>
      </c>
      <c r="Z3548" t="s">
        <v>29679</v>
      </c>
      <c r="AA3548">
        <v>0.81328878610144595</v>
      </c>
      <c r="AB3548" t="str">
        <f>HYPERLINK("Melting_Curves/meltCurve_Q4V328_GRIPAP1.pdf", "Melting_Curves/meltCurve_Q4V328_GRIPAP1.pdf")</f>
        <v>Melting_Curves/meltCurve_Q4V328_GRIPAP1.pdf</v>
      </c>
    </row>
    <row r="3549" spans="1:28" x14ac:dyDescent="0.25">
      <c r="A3549" t="s">
        <v>3552</v>
      </c>
      <c r="B3549">
        <v>0.99930955844802105</v>
      </c>
      <c r="C3549">
        <v>0.79900714402419903</v>
      </c>
      <c r="D3549">
        <v>0.71096760454382302</v>
      </c>
      <c r="E3549">
        <v>0.63059233388861902</v>
      </c>
      <c r="F3549">
        <v>0.33036037716695699</v>
      </c>
      <c r="G3549">
        <v>0.23117074671752399</v>
      </c>
      <c r="H3549">
        <v>0.233213153673934</v>
      </c>
      <c r="I3549">
        <v>0.26792977051113198</v>
      </c>
      <c r="J3549">
        <v>0.243126473483954</v>
      </c>
      <c r="K3549">
        <v>0.23220509805516601</v>
      </c>
      <c r="L3549">
        <v>633.462566752322</v>
      </c>
      <c r="M3549">
        <v>13.1208635406325</v>
      </c>
      <c r="N3549">
        <v>50.283712218917998</v>
      </c>
      <c r="O3549">
        <v>47.198875671328899</v>
      </c>
      <c r="P3549">
        <v>-5.53533918988302E-2</v>
      </c>
      <c r="Q3549">
        <v>0.20365830137514401</v>
      </c>
      <c r="R3549">
        <v>0.95754625285908801</v>
      </c>
      <c r="S3549" t="s">
        <v>10165</v>
      </c>
      <c r="T3549" t="s">
        <v>13232</v>
      </c>
      <c r="U3549" t="s">
        <v>13232</v>
      </c>
      <c r="V3549" t="s">
        <v>13232</v>
      </c>
      <c r="W3549" t="s">
        <v>16722</v>
      </c>
      <c r="X3549">
        <v>6</v>
      </c>
      <c r="Y3549" t="s">
        <v>23154</v>
      </c>
      <c r="Z3549" t="s">
        <v>29680</v>
      </c>
      <c r="AA3549">
        <v>0.44950435115084941</v>
      </c>
      <c r="AB3549" t="str">
        <f>HYPERLINK("Melting_Curves/meltCurve_Q4VC05_BCL7A.pdf", "Melting_Curves/meltCurve_Q4VC05_BCL7A.pdf")</f>
        <v>Melting_Curves/meltCurve_Q4VC05_BCL7A.pdf</v>
      </c>
    </row>
    <row r="3550" spans="1:28" x14ac:dyDescent="0.25">
      <c r="A3550" t="s">
        <v>3553</v>
      </c>
      <c r="B3550">
        <v>0.99930955844802105</v>
      </c>
      <c r="C3550">
        <v>0.69579122825015505</v>
      </c>
      <c r="D3550">
        <v>0.61496278926930903</v>
      </c>
      <c r="E3550">
        <v>0.409032122420801</v>
      </c>
      <c r="F3550">
        <v>0.39992352479125898</v>
      </c>
      <c r="G3550">
        <v>0.43104865466807701</v>
      </c>
      <c r="H3550">
        <v>0.51406859969397301</v>
      </c>
      <c r="I3550">
        <v>0.60081138559010305</v>
      </c>
      <c r="J3550">
        <v>0.69876686889662598</v>
      </c>
      <c r="K3550">
        <v>0.57562616267533095</v>
      </c>
      <c r="L3550">
        <v>1837.12730844209</v>
      </c>
      <c r="M3550">
        <v>43.2605384961334</v>
      </c>
      <c r="O3550">
        <v>42.376141852132797</v>
      </c>
      <c r="P3550">
        <v>-0.12070507642199001</v>
      </c>
      <c r="Q3550">
        <v>0.527050962746203</v>
      </c>
      <c r="R3550">
        <v>0.71420107602883198</v>
      </c>
      <c r="S3550" t="s">
        <v>10166</v>
      </c>
      <c r="T3550" t="s">
        <v>13232</v>
      </c>
      <c r="U3550" t="s">
        <v>13232</v>
      </c>
      <c r="V3550" t="s">
        <v>13232</v>
      </c>
      <c r="W3550" t="s">
        <v>16723</v>
      </c>
      <c r="X3550">
        <v>6</v>
      </c>
      <c r="Y3550" t="s">
        <v>23154</v>
      </c>
      <c r="Z3550" t="s">
        <v>29681</v>
      </c>
      <c r="AA3550">
        <v>0.56800544107141093</v>
      </c>
      <c r="AB3550" t="str">
        <f>HYPERLINK("Melting_Curves/meltCurve_Q4VC05_2_BCL7A.pdf", "Melting_Curves/meltCurve_Q4VC05_2_BCL7A.pdf")</f>
        <v>Melting_Curves/meltCurve_Q4VC05_2_BCL7A.pdf</v>
      </c>
    </row>
    <row r="3551" spans="1:28" x14ac:dyDescent="0.25">
      <c r="A3551" t="s">
        <v>3554</v>
      </c>
      <c r="B3551">
        <v>0.99930955844802105</v>
      </c>
      <c r="C3551">
        <v>0.92910526767078305</v>
      </c>
      <c r="D3551">
        <v>1.0051100451656001</v>
      </c>
      <c r="E3551">
        <v>0.82914586781824395</v>
      </c>
      <c r="F3551">
        <v>0.71277059048525504</v>
      </c>
      <c r="G3551">
        <v>0.635124188639131</v>
      </c>
      <c r="H3551">
        <v>0.58578905649982405</v>
      </c>
      <c r="I3551">
        <v>0.68470510348191804</v>
      </c>
      <c r="J3551">
        <v>0.66453297902899899</v>
      </c>
      <c r="K3551">
        <v>0.51979872123314497</v>
      </c>
      <c r="L3551">
        <v>1302.6148243402899</v>
      </c>
      <c r="M3551">
        <v>25.707815778524999</v>
      </c>
      <c r="O3551">
        <v>50.366368338937797</v>
      </c>
      <c r="P3551">
        <v>-4.94439839409552E-2</v>
      </c>
      <c r="Q3551">
        <v>0.612524965316944</v>
      </c>
      <c r="R3551">
        <v>0.91557755293157905</v>
      </c>
      <c r="S3551" t="s">
        <v>10167</v>
      </c>
      <c r="T3551" t="s">
        <v>13232</v>
      </c>
      <c r="U3551" t="s">
        <v>13232</v>
      </c>
      <c r="V3551" t="s">
        <v>13232</v>
      </c>
      <c r="W3551" t="s">
        <v>16724</v>
      </c>
      <c r="X3551">
        <v>4</v>
      </c>
      <c r="Y3551" t="s">
        <v>23155</v>
      </c>
      <c r="Z3551" t="s">
        <v>29682</v>
      </c>
      <c r="AA3551">
        <v>0.75363665259049051</v>
      </c>
      <c r="AB3551" t="str">
        <f>HYPERLINK("Melting_Curves/meltCurve_Q4VC44_FLYWCH1.pdf", "Melting_Curves/meltCurve_Q4VC44_FLYWCH1.pdf")</f>
        <v>Melting_Curves/meltCurve_Q4VC44_FLYWCH1.pdf</v>
      </c>
    </row>
    <row r="3552" spans="1:28" x14ac:dyDescent="0.25">
      <c r="A3552" t="s">
        <v>3555</v>
      </c>
      <c r="B3552">
        <v>0.99930955844802105</v>
      </c>
      <c r="C3552">
        <v>1.05076424706142</v>
      </c>
      <c r="D3552">
        <v>0.957184926381481</v>
      </c>
      <c r="E3552">
        <v>0.81623451336604802</v>
      </c>
      <c r="F3552">
        <v>0.87631464246292201</v>
      </c>
      <c r="G3552">
        <v>0.80901598154870502</v>
      </c>
      <c r="H3552">
        <v>0.72855845322039503</v>
      </c>
      <c r="I3552">
        <v>0.77901592401694597</v>
      </c>
      <c r="J3552">
        <v>0.82076720538158399</v>
      </c>
      <c r="K3552">
        <v>0.48228300796322099</v>
      </c>
      <c r="L3552">
        <v>326.30885612734897</v>
      </c>
      <c r="M3552">
        <v>4.1692568518488304</v>
      </c>
      <c r="O3552">
        <v>65.080673982002907</v>
      </c>
      <c r="P3552">
        <v>-1.61957959877326E-2</v>
      </c>
      <c r="Q3552">
        <v>0</v>
      </c>
      <c r="R3552">
        <v>0.72039492035995301</v>
      </c>
      <c r="S3552" t="s">
        <v>10168</v>
      </c>
      <c r="T3552" t="s">
        <v>13232</v>
      </c>
      <c r="U3552" t="s">
        <v>13232</v>
      </c>
      <c r="V3552" t="s">
        <v>13232</v>
      </c>
      <c r="W3552" t="s">
        <v>16725</v>
      </c>
      <c r="X3552">
        <v>1</v>
      </c>
      <c r="Y3552" t="s">
        <v>23156</v>
      </c>
      <c r="Z3552" t="s">
        <v>29683</v>
      </c>
      <c r="AA3552">
        <v>0.83515176854932227</v>
      </c>
      <c r="AB3552" t="str">
        <f>HYPERLINK("Melting_Curves/meltCurve_Q4W8S1_ZNF298.pdf", "Melting_Curves/meltCurve_Q4W8S1_ZNF298.pdf")</f>
        <v>Melting_Curves/meltCurve_Q4W8S1_ZNF298.pdf</v>
      </c>
    </row>
    <row r="3553" spans="1:28" x14ac:dyDescent="0.25">
      <c r="A3553" t="s">
        <v>3556</v>
      </c>
      <c r="B3553">
        <v>0.99930955844802105</v>
      </c>
      <c r="C3553">
        <v>1.0146814327404601</v>
      </c>
      <c r="D3553">
        <v>0.92467884737889094</v>
      </c>
      <c r="E3553">
        <v>0.48750581271117999</v>
      </c>
      <c r="F3553">
        <v>0.21828184549398999</v>
      </c>
      <c r="G3553">
        <v>0.146108690047588</v>
      </c>
      <c r="H3553">
        <v>7.0089858760426199E-2</v>
      </c>
      <c r="I3553">
        <v>6.3033719859906107E-2</v>
      </c>
      <c r="J3553">
        <v>5.9589835917813597E-2</v>
      </c>
      <c r="K3553">
        <v>4.0603127401691197E-2</v>
      </c>
      <c r="L3553">
        <v>1347.73741055357</v>
      </c>
      <c r="M3553">
        <v>27.090095197261</v>
      </c>
      <c r="N3553">
        <v>50.016286485627603</v>
      </c>
      <c r="O3553">
        <v>49.481474519628797</v>
      </c>
      <c r="P3553">
        <v>-0.127685931189295</v>
      </c>
      <c r="Q3553">
        <v>6.7109217633691196E-2</v>
      </c>
      <c r="R3553">
        <v>0.99710488215013304</v>
      </c>
      <c r="S3553" t="s">
        <v>10169</v>
      </c>
      <c r="T3553" t="s">
        <v>13232</v>
      </c>
      <c r="U3553" t="s">
        <v>13232</v>
      </c>
      <c r="V3553" t="s">
        <v>13232</v>
      </c>
      <c r="W3553" t="s">
        <v>16726</v>
      </c>
      <c r="X3553">
        <v>12</v>
      </c>
      <c r="Y3553" t="s">
        <v>23157</v>
      </c>
      <c r="Z3553" t="s">
        <v>29684</v>
      </c>
      <c r="AA3553">
        <v>0.37737360245295221</v>
      </c>
      <c r="AB3553" t="str">
        <f>HYPERLINK("Melting_Curves/meltCurve_Q504Q3_2_PAN2.pdf", "Melting_Curves/meltCurve_Q504Q3_2_PAN2.pdf")</f>
        <v>Melting_Curves/meltCurve_Q504Q3_2_PAN2.pdf</v>
      </c>
    </row>
    <row r="3554" spans="1:28" x14ac:dyDescent="0.25">
      <c r="A3554" t="s">
        <v>3557</v>
      </c>
      <c r="B3554">
        <v>0.99930955844802105</v>
      </c>
      <c r="C3554">
        <v>0.88664478662454904</v>
      </c>
      <c r="D3554">
        <v>0.86569768442498296</v>
      </c>
      <c r="E3554">
        <v>0.69283964535131404</v>
      </c>
      <c r="F3554">
        <v>0.33046197745379302</v>
      </c>
      <c r="G3554">
        <v>0.23964377524958799</v>
      </c>
      <c r="H3554">
        <v>0.15510707194807399</v>
      </c>
      <c r="I3554">
        <v>0.13778246189073801</v>
      </c>
      <c r="J3554">
        <v>0.118393790928447</v>
      </c>
      <c r="K3554">
        <v>9.6608533746597405E-2</v>
      </c>
      <c r="L3554">
        <v>877.36408534261705</v>
      </c>
      <c r="M3554">
        <v>17.2356808424794</v>
      </c>
      <c r="N3554">
        <v>51.576725596907501</v>
      </c>
      <c r="O3554">
        <v>50.233534025945801</v>
      </c>
      <c r="P3554">
        <v>-7.7146786985599194E-2</v>
      </c>
      <c r="Q3554">
        <v>0.100673114811086</v>
      </c>
      <c r="R3554">
        <v>0.98544590362834905</v>
      </c>
      <c r="S3554" t="s">
        <v>10170</v>
      </c>
      <c r="T3554" t="s">
        <v>13232</v>
      </c>
      <c r="U3554" t="s">
        <v>13232</v>
      </c>
      <c r="V3554" t="s">
        <v>13232</v>
      </c>
      <c r="W3554" t="s">
        <v>16727</v>
      </c>
      <c r="X3554">
        <v>19</v>
      </c>
      <c r="Y3554" t="s">
        <v>23158</v>
      </c>
      <c r="Z3554" t="s">
        <v>29685</v>
      </c>
      <c r="AA3554">
        <v>0.44394708026619012</v>
      </c>
      <c r="AB3554" t="str">
        <f>HYPERLINK("Melting_Curves/meltCurve_Q52LJ0_2_FAM98B.pdf", "Melting_Curves/meltCurve_Q52LJ0_2_FAM98B.pdf")</f>
        <v>Melting_Curves/meltCurve_Q52LJ0_2_FAM98B.pdf</v>
      </c>
    </row>
    <row r="3555" spans="1:28" x14ac:dyDescent="0.25">
      <c r="A3555" t="s">
        <v>3558</v>
      </c>
      <c r="B3555">
        <v>0.99930955844802105</v>
      </c>
      <c r="C3555">
        <v>1.12438539171942</v>
      </c>
      <c r="D3555">
        <v>1.20060628628382</v>
      </c>
      <c r="E3555">
        <v>1.0684799908768801</v>
      </c>
      <c r="F3555">
        <v>0.99413129232828601</v>
      </c>
      <c r="G3555">
        <v>0.89226966030091104</v>
      </c>
      <c r="H3555">
        <v>0.85341066455391701</v>
      </c>
      <c r="I3555">
        <v>0.90982345575040102</v>
      </c>
      <c r="J3555">
        <v>0.92682113010362399</v>
      </c>
      <c r="K3555">
        <v>0.75223953984669301</v>
      </c>
      <c r="L3555">
        <v>3697.5726161810198</v>
      </c>
      <c r="M3555">
        <v>66.101536995428106</v>
      </c>
      <c r="O3555">
        <v>55.886640186462799</v>
      </c>
      <c r="P3555">
        <v>-4.1257709834419599E-2</v>
      </c>
      <c r="Q3555">
        <v>0.86047198022885696</v>
      </c>
      <c r="R3555">
        <v>0.50808854292237404</v>
      </c>
      <c r="S3555" t="s">
        <v>10171</v>
      </c>
      <c r="T3555" t="s">
        <v>13232</v>
      </c>
      <c r="U3555" t="s">
        <v>13232</v>
      </c>
      <c r="V3555" t="s">
        <v>13232</v>
      </c>
      <c r="W3555" t="s">
        <v>16728</v>
      </c>
      <c r="X3555">
        <v>5</v>
      </c>
      <c r="Y3555" t="s">
        <v>23159</v>
      </c>
      <c r="Z3555" t="s">
        <v>29686</v>
      </c>
      <c r="AA3555">
        <v>0.93479399727212031</v>
      </c>
      <c r="AB3555" t="str">
        <f>HYPERLINK("Melting_Curves/meltCurve_Q52LR7_EPC2.pdf", "Melting_Curves/meltCurve_Q52LR7_EPC2.pdf")</f>
        <v>Melting_Curves/meltCurve_Q52LR7_EPC2.pdf</v>
      </c>
    </row>
    <row r="3556" spans="1:28" x14ac:dyDescent="0.25">
      <c r="A3556" t="s">
        <v>3559</v>
      </c>
      <c r="B3556">
        <v>0.99930955844802105</v>
      </c>
      <c r="C3556">
        <v>0.94110053538251304</v>
      </c>
      <c r="D3556">
        <v>0.91174694331655703</v>
      </c>
      <c r="E3556">
        <v>0.83071594913185398</v>
      </c>
      <c r="F3556">
        <v>0.328668473250534</v>
      </c>
      <c r="G3556">
        <v>0.20858780572601901</v>
      </c>
      <c r="H3556">
        <v>0.13163965400109801</v>
      </c>
      <c r="I3556">
        <v>0.11997118020573901</v>
      </c>
      <c r="J3556">
        <v>0.110918313821774</v>
      </c>
      <c r="K3556">
        <v>8.5177361432499293E-2</v>
      </c>
      <c r="L3556">
        <v>2082.83967304215</v>
      </c>
      <c r="M3556">
        <v>40.360821341993997</v>
      </c>
      <c r="N3556">
        <v>51.973827250456402</v>
      </c>
      <c r="O3556">
        <v>51.4792817285078</v>
      </c>
      <c r="P3556">
        <v>-0.17162455758929901</v>
      </c>
      <c r="Q3556">
        <v>0.12438934566833799</v>
      </c>
      <c r="R3556">
        <v>0.98811884010587503</v>
      </c>
      <c r="S3556" t="s">
        <v>10172</v>
      </c>
      <c r="T3556" t="s">
        <v>13232</v>
      </c>
      <c r="U3556" t="s">
        <v>13232</v>
      </c>
      <c r="V3556" t="s">
        <v>13232</v>
      </c>
      <c r="W3556" t="s">
        <v>16729</v>
      </c>
      <c r="X3556">
        <v>23</v>
      </c>
      <c r="Y3556" t="s">
        <v>23160</v>
      </c>
      <c r="Z3556" t="s">
        <v>29687</v>
      </c>
      <c r="AA3556">
        <v>0.46618538438598911</v>
      </c>
      <c r="AB3556" t="str">
        <f>HYPERLINK("Melting_Curves/meltCurve_Q53EL6_2_PDCD4.pdf", "Melting_Curves/meltCurve_Q53EL6_2_PDCD4.pdf")</f>
        <v>Melting_Curves/meltCurve_Q53EL6_2_PDCD4.pdf</v>
      </c>
    </row>
    <row r="3557" spans="1:28" x14ac:dyDescent="0.25">
      <c r="A3557" t="s">
        <v>3560</v>
      </c>
      <c r="B3557">
        <v>0.99930955844802105</v>
      </c>
      <c r="C3557">
        <v>1.12552352610176</v>
      </c>
      <c r="D3557">
        <v>1.09880399930343</v>
      </c>
      <c r="E3557">
        <v>0.981256726896787</v>
      </c>
      <c r="F3557">
        <v>0.81689278987962599</v>
      </c>
      <c r="G3557">
        <v>0.72364491551124399</v>
      </c>
      <c r="H3557">
        <v>0.65359458914714197</v>
      </c>
      <c r="I3557">
        <v>0.65876287899050201</v>
      </c>
      <c r="J3557">
        <v>0.67838851897348895</v>
      </c>
      <c r="K3557">
        <v>0.52988040882545695</v>
      </c>
      <c r="L3557">
        <v>1356.22525697072</v>
      </c>
      <c r="M3557">
        <v>25.130084847540601</v>
      </c>
      <c r="O3557">
        <v>53.629927357452303</v>
      </c>
      <c r="P3557">
        <v>-4.40540062952113E-2</v>
      </c>
      <c r="Q3557">
        <v>0.62394363969144795</v>
      </c>
      <c r="R3557">
        <v>0.89446925635994101</v>
      </c>
      <c r="S3557" t="s">
        <v>10173</v>
      </c>
      <c r="T3557" t="s">
        <v>13232</v>
      </c>
      <c r="U3557" t="s">
        <v>13232</v>
      </c>
      <c r="V3557" t="s">
        <v>13232</v>
      </c>
      <c r="W3557" t="s">
        <v>16730</v>
      </c>
      <c r="X3557">
        <v>5</v>
      </c>
      <c r="Y3557" t="s">
        <v>23161</v>
      </c>
      <c r="Z3557" t="s">
        <v>29688</v>
      </c>
      <c r="AA3557">
        <v>0.80248470266698058</v>
      </c>
      <c r="AB3557" t="str">
        <f>HYPERLINK("Melting_Curves/meltCurve_Q53ET0_CRTC2.pdf", "Melting_Curves/meltCurve_Q53ET0_CRTC2.pdf")</f>
        <v>Melting_Curves/meltCurve_Q53ET0_CRTC2.pdf</v>
      </c>
    </row>
    <row r="3558" spans="1:28" x14ac:dyDescent="0.25">
      <c r="A3558" t="s">
        <v>3561</v>
      </c>
      <c r="B3558">
        <v>0.99930955844802105</v>
      </c>
      <c r="C3558">
        <v>1.04776092611258</v>
      </c>
      <c r="D3558">
        <v>0.92597633092523002</v>
      </c>
      <c r="E3558">
        <v>0.72109587523232799</v>
      </c>
      <c r="F3558">
        <v>0.48694442855904302</v>
      </c>
      <c r="G3558">
        <v>0.37988193766303002</v>
      </c>
      <c r="H3558">
        <v>0.29450021101966201</v>
      </c>
      <c r="I3558">
        <v>0.300862535716659</v>
      </c>
      <c r="J3558">
        <v>0.348082310751408</v>
      </c>
      <c r="K3558">
        <v>0.24899702598019599</v>
      </c>
      <c r="L3558">
        <v>1140.5402056010901</v>
      </c>
      <c r="M3558">
        <v>22.415406799104499</v>
      </c>
      <c r="N3558">
        <v>52.9927480059714</v>
      </c>
      <c r="O3558">
        <v>50.482199749638298</v>
      </c>
      <c r="P3558">
        <v>-7.8233058295155103E-2</v>
      </c>
      <c r="Q3558">
        <v>0.29525347415018</v>
      </c>
      <c r="R3558">
        <v>0.98944842594492699</v>
      </c>
      <c r="S3558" t="s">
        <v>10174</v>
      </c>
      <c r="T3558" t="s">
        <v>13232</v>
      </c>
      <c r="U3558" t="s">
        <v>13232</v>
      </c>
      <c r="V3558" t="s">
        <v>13232</v>
      </c>
      <c r="W3558" t="s">
        <v>16731</v>
      </c>
      <c r="X3558">
        <v>5</v>
      </c>
      <c r="Y3558" t="s">
        <v>23162</v>
      </c>
      <c r="Z3558" t="s">
        <v>29689</v>
      </c>
      <c r="AA3558">
        <v>0.55875887409355784</v>
      </c>
      <c r="AB3558" t="str">
        <f>HYPERLINK("Melting_Curves/meltCurve_Q53EZ4_CEP55.pdf", "Melting_Curves/meltCurve_Q53EZ4_CEP55.pdf")</f>
        <v>Melting_Curves/meltCurve_Q53EZ4_CEP55.pdf</v>
      </c>
    </row>
    <row r="3559" spans="1:28" x14ac:dyDescent="0.25">
      <c r="A3559" t="s">
        <v>3562</v>
      </c>
      <c r="B3559">
        <v>0.99930955844802105</v>
      </c>
      <c r="C3559">
        <v>1.01288674147004</v>
      </c>
      <c r="D3559">
        <v>0.93137522538973005</v>
      </c>
      <c r="E3559">
        <v>0.87673822604153995</v>
      </c>
      <c r="F3559">
        <v>0.62119892442696401</v>
      </c>
      <c r="G3559">
        <v>0.469464183976746</v>
      </c>
      <c r="H3559">
        <v>0.40662621091170298</v>
      </c>
      <c r="I3559">
        <v>0.443200724625048</v>
      </c>
      <c r="J3559">
        <v>0.38587488978196199</v>
      </c>
      <c r="K3559">
        <v>0.34105881594158299</v>
      </c>
      <c r="L3559">
        <v>1229.60220083436</v>
      </c>
      <c r="M3559">
        <v>23.510632579758798</v>
      </c>
      <c r="N3559">
        <v>55.791662870535902</v>
      </c>
      <c r="O3559">
        <v>51.925847003526698</v>
      </c>
      <c r="P3559">
        <v>-6.9591872981409605E-2</v>
      </c>
      <c r="Q3559">
        <v>0.38520474633447399</v>
      </c>
      <c r="R3559">
        <v>0.98751703179390504</v>
      </c>
      <c r="S3559" t="s">
        <v>10175</v>
      </c>
      <c r="T3559" t="s">
        <v>13232</v>
      </c>
      <c r="U3559" t="s">
        <v>13232</v>
      </c>
      <c r="V3559" t="s">
        <v>13232</v>
      </c>
      <c r="W3559" t="s">
        <v>16732</v>
      </c>
      <c r="X3559">
        <v>6</v>
      </c>
      <c r="Y3559" t="s">
        <v>23163</v>
      </c>
      <c r="Z3559" t="s">
        <v>29690</v>
      </c>
      <c r="AA3559">
        <v>0.64359079182577217</v>
      </c>
      <c r="AB3559" t="str">
        <f>HYPERLINK("Melting_Curves/meltCurve_Q53F19_C17orf85.pdf", "Melting_Curves/meltCurve_Q53F19_C17orf85.pdf")</f>
        <v>Melting_Curves/meltCurve_Q53F19_C17orf85.pdf</v>
      </c>
    </row>
    <row r="3560" spans="1:28" x14ac:dyDescent="0.25">
      <c r="A3560" t="s">
        <v>3563</v>
      </c>
      <c r="B3560">
        <v>0.99930955844802105</v>
      </c>
      <c r="C3560">
        <v>1.00064327037092</v>
      </c>
      <c r="D3560">
        <v>0.94917718358481296</v>
      </c>
      <c r="E3560">
        <v>0.94020203519833201</v>
      </c>
      <c r="F3560">
        <v>0.85272593684984899</v>
      </c>
      <c r="G3560">
        <v>0.76694239077928095</v>
      </c>
      <c r="H3560">
        <v>0.82562884808066905</v>
      </c>
      <c r="I3560">
        <v>0.84090629130955996</v>
      </c>
      <c r="J3560">
        <v>0.69736686120026403</v>
      </c>
      <c r="K3560">
        <v>0.36739169883928602</v>
      </c>
      <c r="L3560">
        <v>551.20273166177105</v>
      </c>
      <c r="M3560">
        <v>7.7683454542836099</v>
      </c>
      <c r="O3560">
        <v>66.713180095826502</v>
      </c>
      <c r="P3560">
        <v>-2.9147719750304099E-2</v>
      </c>
      <c r="Q3560">
        <v>0</v>
      </c>
      <c r="R3560">
        <v>0.77028064505148097</v>
      </c>
      <c r="S3560" t="s">
        <v>10176</v>
      </c>
      <c r="T3560" t="s">
        <v>13232</v>
      </c>
      <c r="U3560" t="s">
        <v>13232</v>
      </c>
      <c r="V3560" t="s">
        <v>13232</v>
      </c>
      <c r="W3560" t="s">
        <v>16733</v>
      </c>
      <c r="X3560">
        <v>7</v>
      </c>
      <c r="Y3560" t="s">
        <v>23164</v>
      </c>
      <c r="Z3560" t="s">
        <v>29691</v>
      </c>
      <c r="AA3560">
        <v>0.85097923109431961</v>
      </c>
      <c r="AB3560" t="str">
        <f>HYPERLINK("Melting_Curves/meltCurve_Q53FA7_TP53I3.pdf", "Melting_Curves/meltCurve_Q53FA7_TP53I3.pdf")</f>
        <v>Melting_Curves/meltCurve_Q53FA7_TP53I3.pdf</v>
      </c>
    </row>
    <row r="3561" spans="1:28" x14ac:dyDescent="0.25">
      <c r="A3561" t="s">
        <v>3564</v>
      </c>
      <c r="B3561">
        <v>0.99930955844802105</v>
      </c>
      <c r="C3561">
        <v>1.0642063750939801</v>
      </c>
      <c r="D3561">
        <v>1.03712114333148</v>
      </c>
      <c r="E3561">
        <v>0.90611937077910099</v>
      </c>
      <c r="F3561">
        <v>0.808834752662977</v>
      </c>
      <c r="G3561">
        <v>0.51115026823966503</v>
      </c>
      <c r="H3561">
        <v>0.143615158415144</v>
      </c>
      <c r="I3561">
        <v>8.6003988158205799E-2</v>
      </c>
      <c r="J3561">
        <v>6.7701355114908005E-2</v>
      </c>
      <c r="K3561">
        <v>6.1121496848640003E-2</v>
      </c>
      <c r="L3561">
        <v>1264.33809304191</v>
      </c>
      <c r="M3561">
        <v>22.3605846219786</v>
      </c>
      <c r="N3561">
        <v>56.694678682612803</v>
      </c>
      <c r="O3561">
        <v>56.096729083123002</v>
      </c>
      <c r="P3561">
        <v>-9.6763523456358802E-2</v>
      </c>
      <c r="Q3561">
        <v>2.9004710394948299E-2</v>
      </c>
      <c r="R3561">
        <v>0.99295366021156295</v>
      </c>
      <c r="S3561" t="s">
        <v>10177</v>
      </c>
      <c r="T3561" t="s">
        <v>13232</v>
      </c>
      <c r="U3561" t="s">
        <v>13232</v>
      </c>
      <c r="V3561" t="s">
        <v>13232</v>
      </c>
      <c r="W3561" t="s">
        <v>16734</v>
      </c>
      <c r="X3561">
        <v>4</v>
      </c>
      <c r="Y3561" t="s">
        <v>23165</v>
      </c>
      <c r="Z3561" t="s">
        <v>29692</v>
      </c>
      <c r="AA3561">
        <v>0.57492869987068285</v>
      </c>
      <c r="AB3561" t="str">
        <f>HYPERLINK("Melting_Curves/meltCurve_Q53FT3_C11orf73.pdf", "Melting_Curves/meltCurve_Q53FT3_C11orf73.pdf")</f>
        <v>Melting_Curves/meltCurve_Q53FT3_C11orf73.pdf</v>
      </c>
    </row>
    <row r="3562" spans="1:28" x14ac:dyDescent="0.25">
      <c r="A3562" t="s">
        <v>3565</v>
      </c>
      <c r="B3562">
        <v>0.99930955844802105</v>
      </c>
      <c r="C3562">
        <v>0.90031347805378303</v>
      </c>
      <c r="D3562">
        <v>0.552591527714134</v>
      </c>
      <c r="E3562">
        <v>0.32902907913358798</v>
      </c>
      <c r="F3562">
        <v>0.17191042155469499</v>
      </c>
      <c r="G3562">
        <v>0.100686276779185</v>
      </c>
      <c r="H3562">
        <v>5.5710387034189103E-2</v>
      </c>
      <c r="I3562">
        <v>4.9463777236405597E-2</v>
      </c>
      <c r="J3562">
        <v>3.9691373388016399E-2</v>
      </c>
      <c r="K3562">
        <v>3.08583603568858E-2</v>
      </c>
      <c r="L3562">
        <v>820.89916934188204</v>
      </c>
      <c r="M3562">
        <v>17.433794301830101</v>
      </c>
      <c r="N3562">
        <v>47.326567799961801</v>
      </c>
      <c r="O3562">
        <v>46.480226922542002</v>
      </c>
      <c r="P3562">
        <v>-8.9809368746304602E-2</v>
      </c>
      <c r="Q3562">
        <v>4.2290747902491301E-2</v>
      </c>
      <c r="R3562">
        <v>0.99188778169253999</v>
      </c>
      <c r="S3562" t="s">
        <v>10178</v>
      </c>
      <c r="T3562" t="s">
        <v>13232</v>
      </c>
      <c r="U3562" t="s">
        <v>13232</v>
      </c>
      <c r="V3562" t="s">
        <v>13232</v>
      </c>
      <c r="W3562" t="s">
        <v>16735</v>
      </c>
      <c r="X3562">
        <v>24</v>
      </c>
      <c r="Y3562" t="s">
        <v>23166</v>
      </c>
      <c r="Z3562" t="s">
        <v>29693</v>
      </c>
      <c r="AA3562">
        <v>0.28737713982645968</v>
      </c>
      <c r="AB3562" t="str">
        <f>HYPERLINK("Melting_Curves/meltCurve_Q53FZ2_ACSM3.pdf", "Melting_Curves/meltCurve_Q53FZ2_ACSM3.pdf")</f>
        <v>Melting_Curves/meltCurve_Q53FZ2_ACSM3.pdf</v>
      </c>
    </row>
    <row r="3563" spans="1:28" x14ac:dyDescent="0.25">
      <c r="A3563" t="s">
        <v>3566</v>
      </c>
      <c r="B3563">
        <v>0.99930955844802105</v>
      </c>
      <c r="C3563">
        <v>1.03152800146541</v>
      </c>
      <c r="D3563">
        <v>0.90848200578177696</v>
      </c>
      <c r="E3563">
        <v>0.76166621674244595</v>
      </c>
      <c r="F3563">
        <v>0.65340353027758202</v>
      </c>
      <c r="G3563">
        <v>0.39349467374160702</v>
      </c>
      <c r="H3563">
        <v>0.237654404198783</v>
      </c>
      <c r="I3563">
        <v>0.22366993653165301</v>
      </c>
      <c r="J3563">
        <v>0.20696466896457599</v>
      </c>
      <c r="K3563">
        <v>0.159668273691489</v>
      </c>
      <c r="L3563">
        <v>798.49873940560997</v>
      </c>
      <c r="M3563">
        <v>14.853928929818199</v>
      </c>
      <c r="N3563">
        <v>54.992116433896399</v>
      </c>
      <c r="O3563">
        <v>52.810634644645702</v>
      </c>
      <c r="P3563">
        <v>-6.0348006632151098E-2</v>
      </c>
      <c r="Q3563">
        <v>0.14186157765433</v>
      </c>
      <c r="R3563">
        <v>0.99373934204833003</v>
      </c>
      <c r="S3563" t="s">
        <v>10179</v>
      </c>
      <c r="T3563" t="s">
        <v>13232</v>
      </c>
      <c r="U3563" t="s">
        <v>13232</v>
      </c>
      <c r="V3563" t="s">
        <v>13232</v>
      </c>
      <c r="W3563" t="s">
        <v>16736</v>
      </c>
      <c r="X3563">
        <v>5</v>
      </c>
      <c r="Y3563" t="s">
        <v>23167</v>
      </c>
      <c r="Z3563" t="s">
        <v>29694</v>
      </c>
      <c r="AA3563">
        <v>0.5534230976698199</v>
      </c>
      <c r="AB3563" t="str">
        <f>HYPERLINK("Melting_Curves/meltCurve_Q53H47_SETMAR.pdf", "Melting_Curves/meltCurve_Q53H47_SETMAR.pdf")</f>
        <v>Melting_Curves/meltCurve_Q53H47_SETMAR.pdf</v>
      </c>
    </row>
    <row r="3564" spans="1:28" x14ac:dyDescent="0.25">
      <c r="A3564" t="s">
        <v>3567</v>
      </c>
      <c r="B3564">
        <v>0.99930955844802105</v>
      </c>
      <c r="C3564">
        <v>1.13408440788314</v>
      </c>
      <c r="D3564">
        <v>0.80679885251102201</v>
      </c>
      <c r="E3564">
        <v>0.53156581094616095</v>
      </c>
      <c r="F3564">
        <v>0.418250876433156</v>
      </c>
      <c r="G3564">
        <v>0.32332257184520202</v>
      </c>
      <c r="H3564">
        <v>0.31664322690788599</v>
      </c>
      <c r="I3564">
        <v>0.33077974143750899</v>
      </c>
      <c r="J3564">
        <v>0.307485740987683</v>
      </c>
      <c r="K3564">
        <v>0.194869569084758</v>
      </c>
      <c r="L3564">
        <v>1148.9639891424599</v>
      </c>
      <c r="M3564">
        <v>23.587714148869399</v>
      </c>
      <c r="N3564">
        <v>50.591567906876101</v>
      </c>
      <c r="O3564">
        <v>48.3641947308139</v>
      </c>
      <c r="P3564">
        <v>-8.6324582399546199E-2</v>
      </c>
      <c r="Q3564">
        <v>0.29201275615163502</v>
      </c>
      <c r="R3564">
        <v>0.956675279415238</v>
      </c>
      <c r="S3564" t="s">
        <v>10180</v>
      </c>
      <c r="T3564" t="s">
        <v>13232</v>
      </c>
      <c r="U3564" t="s">
        <v>13232</v>
      </c>
      <c r="V3564" t="s">
        <v>13232</v>
      </c>
      <c r="W3564" t="s">
        <v>16737</v>
      </c>
      <c r="X3564">
        <v>3</v>
      </c>
      <c r="Y3564" t="s">
        <v>23168</v>
      </c>
      <c r="Z3564" t="s">
        <v>29695</v>
      </c>
      <c r="AA3564">
        <v>0.50463976647027275</v>
      </c>
      <c r="AB3564" t="str">
        <f>HYPERLINK("Melting_Curves/meltCurve_Q53H54_TRMT12.pdf", "Melting_Curves/meltCurve_Q53H54_TRMT12.pdf")</f>
        <v>Melting_Curves/meltCurve_Q53H54_TRMT12.pdf</v>
      </c>
    </row>
    <row r="3565" spans="1:28" x14ac:dyDescent="0.25">
      <c r="A3565" t="s">
        <v>3568</v>
      </c>
      <c r="B3565">
        <v>0.99930955844802105</v>
      </c>
      <c r="C3565">
        <v>1.06642216070407</v>
      </c>
      <c r="D3565">
        <v>1.09762293076591</v>
      </c>
      <c r="E3565">
        <v>1.01619947662969</v>
      </c>
      <c r="F3565">
        <v>0.87896347005267605</v>
      </c>
      <c r="G3565">
        <v>0.79474560091574098</v>
      </c>
      <c r="H3565">
        <v>0.74070263772642397</v>
      </c>
      <c r="I3565">
        <v>0.65370008479424002</v>
      </c>
      <c r="J3565">
        <v>0.56166616265318203</v>
      </c>
      <c r="K3565">
        <v>0.33469695458265802</v>
      </c>
      <c r="L3565">
        <v>676.14721353590403</v>
      </c>
      <c r="M3565">
        <v>10.0731442447505</v>
      </c>
      <c r="N3565">
        <v>67.123748657402004</v>
      </c>
      <c r="O3565">
        <v>64.639338743088004</v>
      </c>
      <c r="P3565">
        <v>-3.8977466415301899E-2</v>
      </c>
      <c r="Q3565">
        <v>0</v>
      </c>
      <c r="R3565">
        <v>0.93777515865833905</v>
      </c>
      <c r="S3565" t="s">
        <v>10181</v>
      </c>
      <c r="T3565" t="s">
        <v>13232</v>
      </c>
      <c r="U3565" t="s">
        <v>13232</v>
      </c>
      <c r="V3565" t="s">
        <v>13232</v>
      </c>
      <c r="W3565" t="s">
        <v>16738</v>
      </c>
      <c r="X3565">
        <v>18</v>
      </c>
      <c r="Y3565" t="s">
        <v>23169</v>
      </c>
      <c r="Z3565" t="s">
        <v>29696</v>
      </c>
      <c r="AA3565">
        <v>0.82095030580392503</v>
      </c>
      <c r="AB3565" t="str">
        <f>HYPERLINK("Melting_Curves/meltCurve_Q53H82_LACTB2.pdf", "Melting_Curves/meltCurve_Q53H82_LACTB2.pdf")</f>
        <v>Melting_Curves/meltCurve_Q53H82_LACTB2.pdf</v>
      </c>
    </row>
    <row r="3566" spans="1:28" x14ac:dyDescent="0.25">
      <c r="A3566" t="s">
        <v>3569</v>
      </c>
      <c r="B3566">
        <v>0.99930955844802105</v>
      </c>
      <c r="C3566">
        <v>0.84551532930585904</v>
      </c>
      <c r="D3566">
        <v>0.75440339340648099</v>
      </c>
      <c r="E3566">
        <v>0.78889127368459699</v>
      </c>
      <c r="F3566">
        <v>0.67951591384578502</v>
      </c>
      <c r="G3566">
        <v>0.50715583592783198</v>
      </c>
      <c r="H3566">
        <v>0.22614702125928299</v>
      </c>
      <c r="I3566">
        <v>0.162080255801058</v>
      </c>
      <c r="J3566">
        <v>0.11329881804555</v>
      </c>
      <c r="K3566">
        <v>8.0030027792307903E-2</v>
      </c>
      <c r="L3566">
        <v>566.99917826780097</v>
      </c>
      <c r="M3566">
        <v>10.2341167047241</v>
      </c>
      <c r="N3566">
        <v>55.402844679759497</v>
      </c>
      <c r="O3566">
        <v>53.412472171555798</v>
      </c>
      <c r="P3566">
        <v>-4.7922658079239698E-2</v>
      </c>
      <c r="Q3566">
        <v>0</v>
      </c>
      <c r="R3566">
        <v>0.95461467598946803</v>
      </c>
      <c r="S3566" t="s">
        <v>10182</v>
      </c>
      <c r="T3566" t="s">
        <v>13232</v>
      </c>
      <c r="U3566" t="s">
        <v>13232</v>
      </c>
      <c r="V3566" t="s">
        <v>13232</v>
      </c>
      <c r="W3566" t="s">
        <v>16739</v>
      </c>
      <c r="X3566">
        <v>11</v>
      </c>
      <c r="Y3566" t="s">
        <v>20479</v>
      </c>
      <c r="Z3566" t="s">
        <v>29697</v>
      </c>
      <c r="AA3566">
        <v>0.53728642619832778</v>
      </c>
      <c r="AB3566" t="str">
        <f>HYPERLINK("Melting_Curves/meltCurve_Q53H96_PYCRL.pdf", "Melting_Curves/meltCurve_Q53H96_PYCRL.pdf")</f>
        <v>Melting_Curves/meltCurve_Q53H96_PYCRL.pdf</v>
      </c>
    </row>
    <row r="3567" spans="1:28" x14ac:dyDescent="0.25">
      <c r="A3567" t="s">
        <v>3570</v>
      </c>
      <c r="B3567">
        <v>0.99930955844802105</v>
      </c>
      <c r="C3567">
        <v>0.82969034046730505</v>
      </c>
      <c r="D3567">
        <v>0.67217172269279102</v>
      </c>
      <c r="E3567">
        <v>0.467085029839854</v>
      </c>
      <c r="F3567">
        <v>0.32450080453711799</v>
      </c>
      <c r="G3567">
        <v>0.25633608092505</v>
      </c>
      <c r="H3567">
        <v>0.21603832287965799</v>
      </c>
      <c r="I3567">
        <v>0.24030169146282801</v>
      </c>
      <c r="J3567">
        <v>0.22151583671154701</v>
      </c>
      <c r="K3567">
        <v>0.15656765437977299</v>
      </c>
      <c r="L3567">
        <v>686.07578693004098</v>
      </c>
      <c r="M3567">
        <v>14.4811084326913</v>
      </c>
      <c r="N3567">
        <v>49.010404990218802</v>
      </c>
      <c r="O3567">
        <v>46.501319474201203</v>
      </c>
      <c r="P3567">
        <v>-6.2960089381565498E-2</v>
      </c>
      <c r="Q3567">
        <v>0.191391406652548</v>
      </c>
      <c r="R3567">
        <v>0.99123814953015099</v>
      </c>
      <c r="S3567" t="s">
        <v>10183</v>
      </c>
      <c r="T3567" t="s">
        <v>13232</v>
      </c>
      <c r="U3567" t="s">
        <v>13232</v>
      </c>
      <c r="V3567" t="s">
        <v>13232</v>
      </c>
      <c r="W3567" t="s">
        <v>16740</v>
      </c>
      <c r="X3567">
        <v>3</v>
      </c>
      <c r="Y3567" t="s">
        <v>23170</v>
      </c>
      <c r="Z3567" t="s">
        <v>29698</v>
      </c>
      <c r="AA3567">
        <v>0.41330184640290918</v>
      </c>
      <c r="AB3567" t="str">
        <f>HYPERLINK("Melting_Curves/meltCurve_Q53HC5_KLHL26.pdf", "Melting_Curves/meltCurve_Q53HC5_KLHL26.pdf")</f>
        <v>Melting_Curves/meltCurve_Q53HC5_KLHL26.pdf</v>
      </c>
    </row>
    <row r="3568" spans="1:28" x14ac:dyDescent="0.25">
      <c r="A3568" t="s">
        <v>3571</v>
      </c>
      <c r="B3568">
        <v>0.99930955844802105</v>
      </c>
      <c r="C3568">
        <v>0.83457371826769</v>
      </c>
      <c r="D3568">
        <v>0.85098623008376795</v>
      </c>
      <c r="E3568">
        <v>0.70981310277245502</v>
      </c>
      <c r="F3568">
        <v>0.60932865735222796</v>
      </c>
      <c r="G3568">
        <v>0.238535877204271</v>
      </c>
      <c r="H3568">
        <v>0.13545658105842401</v>
      </c>
      <c r="I3568">
        <v>0.106424168547012</v>
      </c>
      <c r="J3568">
        <v>0.106139925154069</v>
      </c>
      <c r="K3568">
        <v>7.2714196200249506E-2</v>
      </c>
      <c r="L3568">
        <v>650.42751430384396</v>
      </c>
      <c r="M3568">
        <v>12.2037354724457</v>
      </c>
      <c r="N3568">
        <v>53.297410300763097</v>
      </c>
      <c r="O3568">
        <v>51.926892703291401</v>
      </c>
      <c r="P3568">
        <v>-5.8767677736000397E-2</v>
      </c>
      <c r="Q3568">
        <v>0</v>
      </c>
      <c r="R3568">
        <v>0.97420186596976899</v>
      </c>
      <c r="S3568" t="s">
        <v>10184</v>
      </c>
      <c r="T3568" t="s">
        <v>13232</v>
      </c>
      <c r="U3568" t="s">
        <v>13232</v>
      </c>
      <c r="V3568" t="s">
        <v>13232</v>
      </c>
      <c r="W3568" t="s">
        <v>16741</v>
      </c>
      <c r="X3568">
        <v>13</v>
      </c>
      <c r="Y3568" t="s">
        <v>23171</v>
      </c>
      <c r="Z3568" t="s">
        <v>29699</v>
      </c>
      <c r="AA3568">
        <v>0.47054767562950128</v>
      </c>
      <c r="AB3568" t="str">
        <f>HYPERLINK("Melting_Curves/meltCurve_Q53HC9_TSSC1.pdf", "Melting_Curves/meltCurve_Q53HC9_TSSC1.pdf")</f>
        <v>Melting_Curves/meltCurve_Q53HC9_TSSC1.pdf</v>
      </c>
    </row>
    <row r="3569" spans="1:28" x14ac:dyDescent="0.25">
      <c r="A3569" t="s">
        <v>3572</v>
      </c>
      <c r="B3569">
        <v>0.99930955844802105</v>
      </c>
      <c r="C3569">
        <v>0.95797594011161702</v>
      </c>
      <c r="D3569">
        <v>0.791961063106838</v>
      </c>
      <c r="E3569">
        <v>0.66306720291500398</v>
      </c>
      <c r="F3569">
        <v>0.56185004559849505</v>
      </c>
      <c r="G3569">
        <v>0.43172599537136103</v>
      </c>
      <c r="H3569">
        <v>0.39571881511492002</v>
      </c>
      <c r="I3569">
        <v>0.43224792179624399</v>
      </c>
      <c r="J3569">
        <v>0.37505611789297</v>
      </c>
      <c r="K3569">
        <v>0.31217220554911501</v>
      </c>
      <c r="L3569">
        <v>643.17603962645296</v>
      </c>
      <c r="M3569">
        <v>12.936337581554699</v>
      </c>
      <c r="N3569">
        <v>54.649536626608104</v>
      </c>
      <c r="O3569">
        <v>48.575459022885397</v>
      </c>
      <c r="P3569">
        <v>-4.3657666731967797E-2</v>
      </c>
      <c r="Q3569">
        <v>0.34438667419909103</v>
      </c>
      <c r="R3569">
        <v>0.98422879031404598</v>
      </c>
      <c r="S3569" t="s">
        <v>10185</v>
      </c>
      <c r="T3569" t="s">
        <v>13232</v>
      </c>
      <c r="U3569" t="s">
        <v>13232</v>
      </c>
      <c r="V3569" t="s">
        <v>13232</v>
      </c>
      <c r="W3569" t="s">
        <v>16742</v>
      </c>
      <c r="X3569">
        <v>2</v>
      </c>
      <c r="Y3569" t="s">
        <v>23172</v>
      </c>
      <c r="Z3569" t="s">
        <v>29700</v>
      </c>
      <c r="AA3569">
        <v>0.5771838619912838</v>
      </c>
      <c r="AB3569" t="str">
        <f>HYPERLINK("Melting_Curves/meltCurve_Q53HL2_CDCA8.pdf", "Melting_Curves/meltCurve_Q53HL2_CDCA8.pdf")</f>
        <v>Melting_Curves/meltCurve_Q53HL2_CDCA8.pdf</v>
      </c>
    </row>
    <row r="3570" spans="1:28" x14ac:dyDescent="0.25">
      <c r="A3570" t="s">
        <v>3573</v>
      </c>
      <c r="B3570">
        <v>0.99930955844802105</v>
      </c>
      <c r="C3570">
        <v>1.0389751506765701</v>
      </c>
      <c r="D3570">
        <v>1.04893034501089</v>
      </c>
      <c r="E3570">
        <v>0.85216153586612098</v>
      </c>
      <c r="F3570">
        <v>0.31970617507069299</v>
      </c>
      <c r="G3570">
        <v>0.195376169209592</v>
      </c>
      <c r="H3570">
        <v>0.12884477549019299</v>
      </c>
      <c r="I3570">
        <v>0.129185447157767</v>
      </c>
      <c r="J3570">
        <v>0.11782302650356501</v>
      </c>
      <c r="K3570">
        <v>0.107649057129827</v>
      </c>
      <c r="L3570">
        <v>2492.6086765036898</v>
      </c>
      <c r="M3570">
        <v>48.285620200449699</v>
      </c>
      <c r="N3570">
        <v>51.954828322295903</v>
      </c>
      <c r="O3570">
        <v>51.533862280818298</v>
      </c>
      <c r="P3570">
        <v>-0.20309547558216101</v>
      </c>
      <c r="Q3570">
        <v>0.13296887682064901</v>
      </c>
      <c r="R3570">
        <v>0.99522787186932504</v>
      </c>
      <c r="S3570" t="s">
        <v>10186</v>
      </c>
      <c r="T3570" t="s">
        <v>13232</v>
      </c>
      <c r="U3570" t="s">
        <v>13232</v>
      </c>
      <c r="V3570" t="s">
        <v>13232</v>
      </c>
      <c r="W3570" t="s">
        <v>16743</v>
      </c>
      <c r="X3570">
        <v>6</v>
      </c>
      <c r="Y3570" t="s">
        <v>23173</v>
      </c>
      <c r="Z3570" t="s">
        <v>29701</v>
      </c>
      <c r="AA3570">
        <v>0.47097942602575787</v>
      </c>
      <c r="AB3570" t="str">
        <f>HYPERLINK("Melting_Curves/meltCurve_Q53HV7_SMUG1.pdf", "Melting_Curves/meltCurve_Q53HV7_SMUG1.pdf")</f>
        <v>Melting_Curves/meltCurve_Q53HV7_SMUG1.pdf</v>
      </c>
    </row>
    <row r="3571" spans="1:28" x14ac:dyDescent="0.25">
      <c r="A3571" t="s">
        <v>3574</v>
      </c>
      <c r="B3571">
        <v>0.99930955844802105</v>
      </c>
      <c r="C3571">
        <v>1.08710968820247</v>
      </c>
      <c r="D3571">
        <v>1.0233519272335201</v>
      </c>
      <c r="E3571">
        <v>0.93600352183455904</v>
      </c>
      <c r="F3571">
        <v>0.845679544827589</v>
      </c>
      <c r="G3571">
        <v>0.75517212129956801</v>
      </c>
      <c r="H3571">
        <v>0.77632330561825702</v>
      </c>
      <c r="I3571">
        <v>0.81576346727155502</v>
      </c>
      <c r="J3571">
        <v>0.77975080283379605</v>
      </c>
      <c r="K3571">
        <v>0.625316845333726</v>
      </c>
      <c r="L3571">
        <v>1522.7372060132</v>
      </c>
      <c r="M3571">
        <v>29.2058056775065</v>
      </c>
      <c r="O3571">
        <v>51.895562864911497</v>
      </c>
      <c r="P3571">
        <v>-3.5783863268147503E-2</v>
      </c>
      <c r="Q3571">
        <v>0.74566560024271999</v>
      </c>
      <c r="R3571">
        <v>0.83896005736792401</v>
      </c>
      <c r="S3571" t="s">
        <v>10187</v>
      </c>
      <c r="T3571" t="s">
        <v>13232</v>
      </c>
      <c r="U3571" t="s">
        <v>13232</v>
      </c>
      <c r="V3571" t="s">
        <v>13232</v>
      </c>
      <c r="W3571" t="s">
        <v>16744</v>
      </c>
      <c r="X3571">
        <v>9</v>
      </c>
      <c r="Y3571" t="s">
        <v>23174</v>
      </c>
      <c r="Z3571" t="s">
        <v>29702</v>
      </c>
      <c r="AA3571">
        <v>0.85028792732762404</v>
      </c>
      <c r="AB3571" t="str">
        <f>HYPERLINK("Melting_Curves/meltCurve_Q53LP3_SOWAHC.pdf", "Melting_Curves/meltCurve_Q53LP3_SOWAHC.pdf")</f>
        <v>Melting_Curves/meltCurve_Q53LP3_SOWAHC.pdf</v>
      </c>
    </row>
    <row r="3572" spans="1:28" x14ac:dyDescent="0.25">
      <c r="A3572" t="s">
        <v>3575</v>
      </c>
      <c r="B3572">
        <v>0.99930955844802105</v>
      </c>
      <c r="C3572">
        <v>0.90255427147647105</v>
      </c>
      <c r="D3572">
        <v>0.83115051504204895</v>
      </c>
      <c r="E3572">
        <v>0.80934626852605795</v>
      </c>
      <c r="F3572">
        <v>0.66080011999741295</v>
      </c>
      <c r="G3572">
        <v>0.65500037878482498</v>
      </c>
      <c r="H3572">
        <v>0.55168131711908597</v>
      </c>
      <c r="I3572">
        <v>0.61436613751828595</v>
      </c>
      <c r="J3572">
        <v>0.62757748735506302</v>
      </c>
      <c r="K3572">
        <v>0.46363504943314798</v>
      </c>
      <c r="L3572">
        <v>454.33745042820101</v>
      </c>
      <c r="M3572">
        <v>8.9725894907048094</v>
      </c>
      <c r="O3572">
        <v>48.310597450598998</v>
      </c>
      <c r="P3572">
        <v>-2.30465622515496E-2</v>
      </c>
      <c r="Q3572">
        <v>0.504011269519821</v>
      </c>
      <c r="R3572">
        <v>0.913541989547341</v>
      </c>
      <c r="S3572" t="s">
        <v>10188</v>
      </c>
      <c r="T3572" t="s">
        <v>13232</v>
      </c>
      <c r="U3572" t="s">
        <v>13232</v>
      </c>
      <c r="V3572" t="s">
        <v>13232</v>
      </c>
      <c r="W3572" t="s">
        <v>16745</v>
      </c>
      <c r="X3572">
        <v>5</v>
      </c>
      <c r="Y3572" t="s">
        <v>23175</v>
      </c>
      <c r="Z3572" t="s">
        <v>29703</v>
      </c>
      <c r="AA3572">
        <v>0.7041641879255468</v>
      </c>
      <c r="AB3572" t="str">
        <f>HYPERLINK("Melting_Curves/meltCurve_Q53QZ3_ARHGAP15.pdf", "Melting_Curves/meltCurve_Q53QZ3_ARHGAP15.pdf")</f>
        <v>Melting_Curves/meltCurve_Q53QZ3_ARHGAP15.pdf</v>
      </c>
    </row>
    <row r="3573" spans="1:28" x14ac:dyDescent="0.25">
      <c r="A3573" t="s">
        <v>3576</v>
      </c>
      <c r="B3573">
        <v>0.99930955844802105</v>
      </c>
      <c r="C3573">
        <v>1.22416584956337</v>
      </c>
      <c r="D3573">
        <v>1.22581907820228</v>
      </c>
      <c r="E3573">
        <v>1.2316052450100601</v>
      </c>
      <c r="F3573">
        <v>1.0567032608018501</v>
      </c>
      <c r="G3573">
        <v>0.91847469041328</v>
      </c>
      <c r="H3573">
        <v>0.91272423008586301</v>
      </c>
      <c r="I3573">
        <v>0.93537427851408295</v>
      </c>
      <c r="J3573">
        <v>0.89100326077702097</v>
      </c>
      <c r="K3573">
        <v>0.74194691443355898</v>
      </c>
      <c r="L3573">
        <v>1006.06224480967</v>
      </c>
      <c r="M3573">
        <v>13.2299955585923</v>
      </c>
      <c r="Q3573">
        <v>0</v>
      </c>
      <c r="R3573">
        <v>0.336204679692994</v>
      </c>
      <c r="S3573" t="s">
        <v>10189</v>
      </c>
      <c r="T3573" t="s">
        <v>13232</v>
      </c>
      <c r="U3573" t="s">
        <v>13232</v>
      </c>
      <c r="V3573" t="s">
        <v>13232</v>
      </c>
      <c r="W3573" t="s">
        <v>16746</v>
      </c>
      <c r="X3573">
        <v>7</v>
      </c>
      <c r="Y3573" t="s">
        <v>23176</v>
      </c>
      <c r="Z3573" t="s">
        <v>29704</v>
      </c>
      <c r="AA3573">
        <v>0.960601686605838</v>
      </c>
      <c r="AB3573" t="str">
        <f>HYPERLINK("Melting_Curves/meltCurve_Q53S33_BOLA3.pdf", "Melting_Curves/meltCurve_Q53S33_BOLA3.pdf")</f>
        <v>Melting_Curves/meltCurve_Q53S33_BOLA3.pdf</v>
      </c>
    </row>
    <row r="3574" spans="1:28" x14ac:dyDescent="0.25">
      <c r="A3574" t="s">
        <v>3577</v>
      </c>
      <c r="B3574">
        <v>0.99930955844802105</v>
      </c>
      <c r="C3574">
        <v>1.0865987096218299</v>
      </c>
      <c r="D3574">
        <v>1.0177488912785599</v>
      </c>
      <c r="E3574">
        <v>0.76539606922790904</v>
      </c>
      <c r="F3574">
        <v>0.35549366486471901</v>
      </c>
      <c r="G3574">
        <v>0.20221589939512399</v>
      </c>
      <c r="H3574">
        <v>0.12795256950814399</v>
      </c>
      <c r="I3574">
        <v>0.118612786644195</v>
      </c>
      <c r="J3574">
        <v>0.110411366127947</v>
      </c>
      <c r="K3574">
        <v>8.8441840049975295E-2</v>
      </c>
      <c r="L3574">
        <v>1708.9323737750201</v>
      </c>
      <c r="M3574">
        <v>33.170198955896502</v>
      </c>
      <c r="N3574">
        <v>51.945922290617403</v>
      </c>
      <c r="O3574">
        <v>51.333920325059502</v>
      </c>
      <c r="P3574">
        <v>-0.142312592626336</v>
      </c>
      <c r="Q3574">
        <v>0.119036468022341</v>
      </c>
      <c r="R3574">
        <v>0.99245861884090503</v>
      </c>
      <c r="S3574" t="s">
        <v>10190</v>
      </c>
      <c r="T3574" t="s">
        <v>13232</v>
      </c>
      <c r="U3574" t="s">
        <v>13232</v>
      </c>
      <c r="V3574" t="s">
        <v>13232</v>
      </c>
      <c r="W3574" t="s">
        <v>16747</v>
      </c>
      <c r="X3574">
        <v>10</v>
      </c>
      <c r="Y3574" t="s">
        <v>23177</v>
      </c>
      <c r="Z3574" t="s">
        <v>29705</v>
      </c>
      <c r="AA3574">
        <v>0.46189936421584032</v>
      </c>
      <c r="AB3574" t="str">
        <f>HYPERLINK("Melting_Curves/meltCurve_Q53T59_HS1BP3.pdf", "Melting_Curves/meltCurve_Q53T59_HS1BP3.pdf")</f>
        <v>Melting_Curves/meltCurve_Q53T59_HS1BP3.pdf</v>
      </c>
    </row>
    <row r="3575" spans="1:28" x14ac:dyDescent="0.25">
      <c r="A3575" t="s">
        <v>3578</v>
      </c>
      <c r="B3575">
        <v>0.99930955844802105</v>
      </c>
      <c r="C3575">
        <v>0.96070535154201098</v>
      </c>
      <c r="D3575">
        <v>0.97676197509264895</v>
      </c>
      <c r="E3575">
        <v>0.72710836722876904</v>
      </c>
      <c r="F3575">
        <v>0.65008673686885599</v>
      </c>
      <c r="G3575">
        <v>0.48678212578167301</v>
      </c>
      <c r="H3575">
        <v>0.46420803179446402</v>
      </c>
      <c r="I3575">
        <v>0.477027712510872</v>
      </c>
      <c r="J3575">
        <v>0.48514474335868302</v>
      </c>
      <c r="K3575">
        <v>0.35917483387510502</v>
      </c>
      <c r="L3575">
        <v>925.81179110881703</v>
      </c>
      <c r="M3575">
        <v>18.149278177768799</v>
      </c>
      <c r="N3575">
        <v>57.248095781991502</v>
      </c>
      <c r="O3575">
        <v>50.403749157537</v>
      </c>
      <c r="P3575">
        <v>-5.1243110115017802E-2</v>
      </c>
      <c r="Q3575">
        <v>0.430782562379314</v>
      </c>
      <c r="R3575">
        <v>0.97320493526345397</v>
      </c>
      <c r="S3575" t="s">
        <v>10191</v>
      </c>
      <c r="T3575" t="s">
        <v>13232</v>
      </c>
      <c r="U3575" t="s">
        <v>13232</v>
      </c>
      <c r="V3575" t="s">
        <v>13232</v>
      </c>
      <c r="W3575" t="s">
        <v>16748</v>
      </c>
      <c r="X3575">
        <v>2</v>
      </c>
      <c r="Y3575" t="s">
        <v>23178</v>
      </c>
      <c r="Z3575" t="s">
        <v>29706</v>
      </c>
      <c r="AA3575">
        <v>0.649151039020195</v>
      </c>
      <c r="AB3575" t="str">
        <f>HYPERLINK("Melting_Curves/meltCurve_Q53TQ3_INO80D.pdf", "Melting_Curves/meltCurve_Q53TQ3_INO80D.pdf")</f>
        <v>Melting_Curves/meltCurve_Q53TQ3_INO80D.pdf</v>
      </c>
    </row>
    <row r="3576" spans="1:28" x14ac:dyDescent="0.25">
      <c r="A3576" t="s">
        <v>3579</v>
      </c>
      <c r="B3576">
        <v>0.99930955844802105</v>
      </c>
      <c r="C3576">
        <v>0.67472157803465604</v>
      </c>
      <c r="D3576">
        <v>0.66314178611515695</v>
      </c>
      <c r="E3576">
        <v>0.346212929828559</v>
      </c>
      <c r="F3576">
        <v>0.25993495446650999</v>
      </c>
      <c r="G3576">
        <v>0.176255117164688</v>
      </c>
      <c r="H3576">
        <v>0.12662930249760501</v>
      </c>
      <c r="I3576">
        <v>0.10965894901255301</v>
      </c>
      <c r="J3576">
        <v>0.106069863047414</v>
      </c>
      <c r="K3576">
        <v>8.7652969779024495E-2</v>
      </c>
      <c r="L3576">
        <v>596.70058122486398</v>
      </c>
      <c r="M3576">
        <v>12.714326162777899</v>
      </c>
      <c r="N3576">
        <v>47.595214653661003</v>
      </c>
      <c r="O3576">
        <v>45.815824821731297</v>
      </c>
      <c r="P3576">
        <v>-6.3752613103343805E-2</v>
      </c>
      <c r="Q3576">
        <v>8.1252209713470497E-2</v>
      </c>
      <c r="R3576">
        <v>0.97164734135339503</v>
      </c>
      <c r="S3576" t="s">
        <v>10192</v>
      </c>
      <c r="T3576" t="s">
        <v>13232</v>
      </c>
      <c r="U3576" t="s">
        <v>13232</v>
      </c>
      <c r="V3576" t="s">
        <v>13232</v>
      </c>
      <c r="W3576" t="s">
        <v>16749</v>
      </c>
      <c r="X3576">
        <v>6</v>
      </c>
      <c r="Y3576" t="s">
        <v>23179</v>
      </c>
      <c r="Z3576" t="s">
        <v>29707</v>
      </c>
      <c r="AA3576">
        <v>0.32832811531178019</v>
      </c>
      <c r="AB3576" t="str">
        <f>HYPERLINK("Melting_Curves/meltCurve_Q562E7_WDR81.pdf", "Melting_Curves/meltCurve_Q562E7_WDR81.pdf")</f>
        <v>Melting_Curves/meltCurve_Q562E7_WDR81.pdf</v>
      </c>
    </row>
    <row r="3577" spans="1:28" x14ac:dyDescent="0.25">
      <c r="A3577" t="s">
        <v>3580</v>
      </c>
      <c r="B3577">
        <v>0.99930955844802105</v>
      </c>
      <c r="C3577">
        <v>1.0135772562230101</v>
      </c>
      <c r="D3577">
        <v>0.99097423458781098</v>
      </c>
      <c r="E3577">
        <v>1.03565025775244</v>
      </c>
      <c r="F3577">
        <v>0.89516485883105201</v>
      </c>
      <c r="G3577">
        <v>0.89329523021359503</v>
      </c>
      <c r="H3577">
        <v>0.86707069600018905</v>
      </c>
      <c r="I3577">
        <v>0.91710148497907695</v>
      </c>
      <c r="J3577">
        <v>0.915816143471744</v>
      </c>
      <c r="K3577">
        <v>0.69010543473194197</v>
      </c>
      <c r="L3577">
        <v>461.33077988464902</v>
      </c>
      <c r="M3577">
        <v>5.3759951502659797</v>
      </c>
      <c r="Q3577">
        <v>0</v>
      </c>
      <c r="R3577">
        <v>0.66335750761530199</v>
      </c>
      <c r="S3577" t="s">
        <v>10193</v>
      </c>
      <c r="T3577" t="s">
        <v>13232</v>
      </c>
      <c r="U3577" t="s">
        <v>13232</v>
      </c>
      <c r="V3577" t="s">
        <v>13232</v>
      </c>
      <c r="W3577" t="s">
        <v>16750</v>
      </c>
      <c r="X3577">
        <v>7</v>
      </c>
      <c r="Y3577" t="s">
        <v>23180</v>
      </c>
      <c r="Z3577" t="s">
        <v>29708</v>
      </c>
      <c r="AA3577">
        <v>0.92902130907959424</v>
      </c>
      <c r="AB3577" t="str">
        <f>HYPERLINK("Melting_Curves/meltCurve_Q562F6_2_SGOL2.pdf", "Melting_Curves/meltCurve_Q562F6_2_SGOL2.pdf")</f>
        <v>Melting_Curves/meltCurve_Q562F6_2_SGOL2.pdf</v>
      </c>
    </row>
    <row r="3578" spans="1:28" x14ac:dyDescent="0.25">
      <c r="A3578" t="s">
        <v>3581</v>
      </c>
      <c r="B3578">
        <v>0.99930955844802105</v>
      </c>
      <c r="C3578">
        <v>2.0247964818573498</v>
      </c>
      <c r="D3578">
        <v>1.9741885863100299</v>
      </c>
      <c r="E3578">
        <v>1.8579568552780901</v>
      </c>
      <c r="F3578">
        <v>0.81319040376489105</v>
      </c>
      <c r="G3578">
        <v>0.371913451755228</v>
      </c>
      <c r="H3578">
        <v>0.25292640656982301</v>
      </c>
      <c r="I3578">
        <v>0.23608358809499899</v>
      </c>
      <c r="J3578">
        <v>0.244974260078101</v>
      </c>
      <c r="K3578">
        <v>0.196782119649628</v>
      </c>
      <c r="L3578">
        <v>2896.3202588261502</v>
      </c>
      <c r="M3578">
        <v>52.8244905686145</v>
      </c>
      <c r="N3578">
        <v>55.5145838331539</v>
      </c>
      <c r="O3578">
        <v>54.750694802381503</v>
      </c>
      <c r="P3578">
        <v>-0.18342094800443001</v>
      </c>
      <c r="Q3578">
        <v>0.23956330560688699</v>
      </c>
      <c r="R3578">
        <v>0.49156601698490898</v>
      </c>
      <c r="S3578" t="s">
        <v>10194</v>
      </c>
      <c r="T3578" t="s">
        <v>13232</v>
      </c>
      <c r="U3578" t="s">
        <v>13232</v>
      </c>
      <c r="V3578" t="s">
        <v>13232</v>
      </c>
      <c r="W3578" t="s">
        <v>15963</v>
      </c>
      <c r="X3578">
        <v>12</v>
      </c>
      <c r="Y3578" t="s">
        <v>22437</v>
      </c>
      <c r="Z3578" t="s">
        <v>29709</v>
      </c>
      <c r="AA3578">
        <v>0.61709644991731594</v>
      </c>
      <c r="AB3578" t="str">
        <f>HYPERLINK("Melting_Curves/meltCurve_Q567Q0_PPIA.pdf", "Melting_Curves/meltCurve_Q567Q0_PPIA.pdf")</f>
        <v>Melting_Curves/meltCurve_Q567Q0_PPIA.pdf</v>
      </c>
    </row>
    <row r="3579" spans="1:28" x14ac:dyDescent="0.25">
      <c r="A3579" t="s">
        <v>3582</v>
      </c>
      <c r="B3579">
        <v>0.99930955844802105</v>
      </c>
      <c r="C3579">
        <v>1.0236795017056299</v>
      </c>
      <c r="D3579">
        <v>0.84118375241604904</v>
      </c>
      <c r="E3579">
        <v>0.82551559919786599</v>
      </c>
      <c r="F3579">
        <v>0.40418373718345502</v>
      </c>
      <c r="G3579">
        <v>0.29875635159256703</v>
      </c>
      <c r="H3579">
        <v>0.19265738120457901</v>
      </c>
      <c r="I3579">
        <v>0.143723132764141</v>
      </c>
      <c r="J3579">
        <v>0.147960651426572</v>
      </c>
      <c r="K3579">
        <v>8.9148525894897399E-2</v>
      </c>
      <c r="L3579">
        <v>980.39707232369506</v>
      </c>
      <c r="M3579">
        <v>18.810452225812899</v>
      </c>
      <c r="N3579">
        <v>52.881117198680599</v>
      </c>
      <c r="O3579">
        <v>51.541484376806402</v>
      </c>
      <c r="P3579">
        <v>-8.0420266577431204E-2</v>
      </c>
      <c r="Q3579">
        <v>0.11861627072270001</v>
      </c>
      <c r="R3579">
        <v>0.97669094100268605</v>
      </c>
      <c r="S3579" t="s">
        <v>10195</v>
      </c>
      <c r="T3579" t="s">
        <v>13232</v>
      </c>
      <c r="U3579" t="s">
        <v>13232</v>
      </c>
      <c r="V3579" t="s">
        <v>13232</v>
      </c>
      <c r="W3579" t="s">
        <v>16751</v>
      </c>
      <c r="X3579">
        <v>2</v>
      </c>
      <c r="Y3579" t="s">
        <v>23181</v>
      </c>
      <c r="Z3579" t="s">
        <v>29710</v>
      </c>
      <c r="AA3579">
        <v>0.48826777756449008</v>
      </c>
      <c r="AB3579" t="str">
        <f>HYPERLINK("Melting_Curves/meltCurve_Q56A73_SPIN4.pdf", "Melting_Curves/meltCurve_Q56A73_SPIN4.pdf")</f>
        <v>Melting_Curves/meltCurve_Q56A73_SPIN4.pdf</v>
      </c>
    </row>
    <row r="3580" spans="1:28" x14ac:dyDescent="0.25">
      <c r="A3580" t="s">
        <v>3583</v>
      </c>
      <c r="B3580">
        <v>0.99930955844802105</v>
      </c>
      <c r="C3580">
        <v>0.85871377511246905</v>
      </c>
      <c r="D3580">
        <v>0.64013352025752701</v>
      </c>
      <c r="E3580">
        <v>0.311184677325406</v>
      </c>
      <c r="F3580">
        <v>0.15334764744649501</v>
      </c>
      <c r="G3580">
        <v>0.111901532789242</v>
      </c>
      <c r="H3580">
        <v>7.3746291782762402E-2</v>
      </c>
      <c r="I3580">
        <v>6.1993178596305203E-2</v>
      </c>
      <c r="J3580">
        <v>4.8609661562330798E-2</v>
      </c>
      <c r="K3580">
        <v>5.3874545982171097E-2</v>
      </c>
      <c r="L3580">
        <v>868.83636633037497</v>
      </c>
      <c r="M3580">
        <v>18.3994778742295</v>
      </c>
      <c r="N3580">
        <v>47.520663528494701</v>
      </c>
      <c r="O3580">
        <v>46.673519060752902</v>
      </c>
      <c r="P3580">
        <v>-9.3155233376868402E-2</v>
      </c>
      <c r="Q3580">
        <v>5.48240856571078E-2</v>
      </c>
      <c r="R3580">
        <v>0.99839757895741699</v>
      </c>
      <c r="S3580" t="s">
        <v>10196</v>
      </c>
      <c r="T3580" t="s">
        <v>13232</v>
      </c>
      <c r="U3580" t="s">
        <v>13232</v>
      </c>
      <c r="V3580" t="s">
        <v>13232</v>
      </c>
      <c r="W3580" t="s">
        <v>16752</v>
      </c>
      <c r="X3580">
        <v>4</v>
      </c>
      <c r="Y3580" t="s">
        <v>23182</v>
      </c>
      <c r="Z3580" t="s">
        <v>29711</v>
      </c>
      <c r="AA3580">
        <v>0.29877782002408038</v>
      </c>
      <c r="AB3580" t="str">
        <f>HYPERLINK("Melting_Curves/meltCurve_Q56NI9_ESCO2.pdf", "Melting_Curves/meltCurve_Q56NI9_ESCO2.pdf")</f>
        <v>Melting_Curves/meltCurve_Q56NI9_ESCO2.pdf</v>
      </c>
    </row>
    <row r="3581" spans="1:28" x14ac:dyDescent="0.25">
      <c r="A3581" t="s">
        <v>3584</v>
      </c>
      <c r="B3581">
        <v>0.99930955844802105</v>
      </c>
      <c r="C3581">
        <v>1.4001979735262899</v>
      </c>
      <c r="D3581">
        <v>1.4006038522145401</v>
      </c>
      <c r="E3581">
        <v>1.27385505050883</v>
      </c>
      <c r="F3581">
        <v>1.26190577768829</v>
      </c>
      <c r="G3581">
        <v>1.6244834739198999</v>
      </c>
      <c r="H3581">
        <v>2.5484454711853299</v>
      </c>
      <c r="I3581">
        <v>2.4405820090656301</v>
      </c>
      <c r="J3581">
        <v>3.43904790943049</v>
      </c>
      <c r="K3581">
        <v>2.3776498223887401</v>
      </c>
      <c r="L3581">
        <v>3206.2430260239298</v>
      </c>
      <c r="M3581">
        <v>76.101890866334301</v>
      </c>
      <c r="O3581">
        <v>42.101860439705497</v>
      </c>
      <c r="P3581">
        <v>0.225945788663722</v>
      </c>
      <c r="Q3581">
        <v>1.5</v>
      </c>
      <c r="R3581">
        <v>-0.210871888274166</v>
      </c>
      <c r="S3581" t="s">
        <v>10197</v>
      </c>
      <c r="T3581" t="s">
        <v>13232</v>
      </c>
      <c r="U3581" t="s">
        <v>13232</v>
      </c>
      <c r="V3581" t="s">
        <v>13232</v>
      </c>
      <c r="W3581" t="s">
        <v>16753</v>
      </c>
      <c r="X3581">
        <v>2</v>
      </c>
      <c r="Y3581" t="s">
        <v>23183</v>
      </c>
      <c r="Z3581" t="s">
        <v>29712</v>
      </c>
      <c r="AA3581">
        <v>1.4639451533428349</v>
      </c>
      <c r="AB3581" t="str">
        <f>HYPERLINK("Melting_Curves/meltCurve_Q56UN5_2_MAP3K19.pdf", "Melting_Curves/meltCurve_Q56UN5_2_MAP3K19.pdf")</f>
        <v>Melting_Curves/meltCurve_Q56UN5_2_MAP3K19.pdf</v>
      </c>
    </row>
    <row r="3582" spans="1:28" x14ac:dyDescent="0.25">
      <c r="A3582" t="s">
        <v>3585</v>
      </c>
      <c r="B3582">
        <v>0.99930955844802105</v>
      </c>
      <c r="C3582">
        <v>0.93262732710439</v>
      </c>
      <c r="D3582">
        <v>0.80479186092815602</v>
      </c>
      <c r="E3582">
        <v>0.67829501057554797</v>
      </c>
      <c r="F3582">
        <v>0.425319975554176</v>
      </c>
      <c r="G3582">
        <v>0.42354025247377602</v>
      </c>
      <c r="H3582">
        <v>0.28182895059915097</v>
      </c>
      <c r="I3582">
        <v>8.8544875519860705E-2</v>
      </c>
      <c r="J3582">
        <v>9.5976590925303307E-2</v>
      </c>
      <c r="K3582">
        <v>3.3378605893726702E-2</v>
      </c>
      <c r="L3582">
        <v>540.49887763852496</v>
      </c>
      <c r="M3582">
        <v>10.1607564876154</v>
      </c>
      <c r="N3582">
        <v>53.1947464639657</v>
      </c>
      <c r="O3582">
        <v>51.2576677819564</v>
      </c>
      <c r="P3582">
        <v>-4.95799287653301E-2</v>
      </c>
      <c r="Q3582">
        <v>0</v>
      </c>
      <c r="R3582">
        <v>0.97592242460866296</v>
      </c>
      <c r="S3582" t="s">
        <v>10198</v>
      </c>
      <c r="T3582" t="s">
        <v>13232</v>
      </c>
      <c r="U3582" t="s">
        <v>13232</v>
      </c>
      <c r="V3582" t="s">
        <v>13232</v>
      </c>
      <c r="W3582" t="s">
        <v>16754</v>
      </c>
      <c r="X3582">
        <v>1</v>
      </c>
      <c r="Y3582" t="s">
        <v>23184</v>
      </c>
      <c r="Z3582" t="s">
        <v>29713</v>
      </c>
      <c r="AA3582">
        <v>0.47281698290640278</v>
      </c>
      <c r="AB3582" t="str">
        <f>HYPERLINK("Melting_Curves/meltCurve_Q587J8_KHDC3L.pdf", "Melting_Curves/meltCurve_Q587J8_KHDC3L.pdf")</f>
        <v>Melting_Curves/meltCurve_Q587J8_KHDC3L.pdf</v>
      </c>
    </row>
    <row r="3583" spans="1:28" x14ac:dyDescent="0.25">
      <c r="A3583" t="s">
        <v>3586</v>
      </c>
      <c r="B3583">
        <v>0.99930955844802105</v>
      </c>
      <c r="C3583">
        <v>0.91753898948483503</v>
      </c>
      <c r="D3583">
        <v>0.82221988589643202</v>
      </c>
      <c r="E3583">
        <v>0.72387903047577895</v>
      </c>
      <c r="F3583">
        <v>0.61622864423366697</v>
      </c>
      <c r="G3583">
        <v>0.59656637114173305</v>
      </c>
      <c r="H3583">
        <v>0.51194145220201703</v>
      </c>
      <c r="I3583">
        <v>0.60748406179995995</v>
      </c>
      <c r="J3583">
        <v>0.54610896882184601</v>
      </c>
      <c r="K3583">
        <v>0.42934492077868303</v>
      </c>
      <c r="L3583">
        <v>578.07495365724401</v>
      </c>
      <c r="M3583">
        <v>11.838295404754501</v>
      </c>
      <c r="O3583">
        <v>47.500071152561702</v>
      </c>
      <c r="P3583">
        <v>-3.1280986327633799E-2</v>
      </c>
      <c r="Q3583">
        <v>0.49807920489152302</v>
      </c>
      <c r="R3583">
        <v>0.94307904718620295</v>
      </c>
      <c r="S3583" t="s">
        <v>10199</v>
      </c>
      <c r="T3583" t="s">
        <v>13232</v>
      </c>
      <c r="U3583" t="s">
        <v>13232</v>
      </c>
      <c r="V3583" t="s">
        <v>13232</v>
      </c>
      <c r="W3583" t="s">
        <v>16755</v>
      </c>
      <c r="X3583">
        <v>2</v>
      </c>
      <c r="Y3583" t="s">
        <v>23185</v>
      </c>
      <c r="Z3583" t="s">
        <v>29714</v>
      </c>
      <c r="AA3583">
        <v>0.66488808799176602</v>
      </c>
      <c r="AB3583" t="str">
        <f>HYPERLINK("Melting_Curves/meltCurve_Q58A45_3_PAN3.pdf", "Melting_Curves/meltCurve_Q58A45_3_PAN3.pdf")</f>
        <v>Melting_Curves/meltCurve_Q58A45_3_PAN3.pdf</v>
      </c>
    </row>
    <row r="3584" spans="1:28" x14ac:dyDescent="0.25">
      <c r="A3584" t="s">
        <v>3587</v>
      </c>
      <c r="B3584">
        <v>0.99930955844802105</v>
      </c>
      <c r="C3584">
        <v>0.92411326708653696</v>
      </c>
      <c r="D3584">
        <v>0.91423685312502601</v>
      </c>
      <c r="E3584">
        <v>0.81570210889060701</v>
      </c>
      <c r="F3584">
        <v>0.65295607906365505</v>
      </c>
      <c r="G3584">
        <v>0.50452307280067299</v>
      </c>
      <c r="H3584">
        <v>0.47608091764369298</v>
      </c>
      <c r="I3584">
        <v>0.475067108284567</v>
      </c>
      <c r="J3584">
        <v>0.532863591403267</v>
      </c>
      <c r="K3584">
        <v>0.41214736597881801</v>
      </c>
      <c r="L3584">
        <v>842.705485062722</v>
      </c>
      <c r="M3584">
        <v>16.431149137957501</v>
      </c>
      <c r="N3584">
        <v>59.647674974882499</v>
      </c>
      <c r="O3584">
        <v>50.545457352641797</v>
      </c>
      <c r="P3584">
        <v>-4.4699122867278403E-2</v>
      </c>
      <c r="Q3584">
        <v>0.450025565788088</v>
      </c>
      <c r="R3584">
        <v>0.97124955887077402</v>
      </c>
      <c r="S3584" t="s">
        <v>10200</v>
      </c>
      <c r="T3584" t="s">
        <v>13232</v>
      </c>
      <c r="U3584" t="s">
        <v>13232</v>
      </c>
      <c r="V3584" t="s">
        <v>13232</v>
      </c>
      <c r="W3584" t="s">
        <v>16756</v>
      </c>
      <c r="X3584">
        <v>4</v>
      </c>
      <c r="Y3584" t="s">
        <v>23186</v>
      </c>
      <c r="Z3584" t="s">
        <v>29715</v>
      </c>
      <c r="AA3584">
        <v>0.66776865434402566</v>
      </c>
      <c r="AB3584" t="str">
        <f>HYPERLINK("Melting_Curves/meltCurve_Q58EX7_2_PLEKHG4.pdf", "Melting_Curves/meltCurve_Q58EX7_2_PLEKHG4.pdf")</f>
        <v>Melting_Curves/meltCurve_Q58EX7_2_PLEKHG4.pdf</v>
      </c>
    </row>
    <row r="3585" spans="1:28" x14ac:dyDescent="0.25">
      <c r="A3585" t="s">
        <v>3588</v>
      </c>
      <c r="B3585">
        <v>0.99930955844802105</v>
      </c>
      <c r="C3585">
        <v>0.77931969138308799</v>
      </c>
      <c r="D3585">
        <v>0.78611397694604102</v>
      </c>
      <c r="E3585">
        <v>0.49776615368447502</v>
      </c>
      <c r="F3585">
        <v>0.16125015101653001</v>
      </c>
      <c r="G3585">
        <v>0.10465250070846401</v>
      </c>
      <c r="H3585">
        <v>4.7981435388649199E-2</v>
      </c>
      <c r="I3585">
        <v>3.4091717807175702E-2</v>
      </c>
      <c r="J3585">
        <v>2.7231229896095801E-2</v>
      </c>
      <c r="K3585">
        <v>2.2560956794500601E-2</v>
      </c>
      <c r="L3585">
        <v>755.23316186028796</v>
      </c>
      <c r="M3585">
        <v>15.3802431354832</v>
      </c>
      <c r="N3585">
        <v>49.110473098641897</v>
      </c>
      <c r="O3585">
        <v>48.2964454821619</v>
      </c>
      <c r="P3585">
        <v>-7.9541781045802007E-2</v>
      </c>
      <c r="Q3585">
        <v>9.9536830275562911E-4</v>
      </c>
      <c r="R3585">
        <v>0.97734872266906103</v>
      </c>
      <c r="S3585" t="s">
        <v>10201</v>
      </c>
      <c r="T3585" t="s">
        <v>13232</v>
      </c>
      <c r="U3585" t="s">
        <v>13232</v>
      </c>
      <c r="V3585" t="s">
        <v>13232</v>
      </c>
      <c r="W3585" t="s">
        <v>16757</v>
      </c>
      <c r="X3585">
        <v>16</v>
      </c>
      <c r="Y3585" t="s">
        <v>23187</v>
      </c>
      <c r="Z3585" t="s">
        <v>29716</v>
      </c>
      <c r="AA3585">
        <v>0.3275961935333967</v>
      </c>
      <c r="AB3585" t="str">
        <f>HYPERLINK("Melting_Curves/meltCurve_Q58FF8_HSP90AB2P.pdf", "Melting_Curves/meltCurve_Q58FF8_HSP90AB2P.pdf")</f>
        <v>Melting_Curves/meltCurve_Q58FF8_HSP90AB2P.pdf</v>
      </c>
    </row>
    <row r="3586" spans="1:28" x14ac:dyDescent="0.25">
      <c r="A3586" t="s">
        <v>3589</v>
      </c>
      <c r="B3586">
        <v>0.99930955844802105</v>
      </c>
      <c r="C3586">
        <v>1.06839119884679</v>
      </c>
      <c r="D3586">
        <v>0.91720317855923095</v>
      </c>
      <c r="E3586">
        <v>0.86636943429038205</v>
      </c>
      <c r="F3586">
        <v>0.51664668525629498</v>
      </c>
      <c r="G3586">
        <v>0.355581740548092</v>
      </c>
      <c r="H3586">
        <v>0.20563463983142399</v>
      </c>
      <c r="I3586">
        <v>0.17162105838684499</v>
      </c>
      <c r="J3586">
        <v>0.17128982732116299</v>
      </c>
      <c r="K3586">
        <v>0.114344123397945</v>
      </c>
      <c r="L3586">
        <v>1061.57854415611</v>
      </c>
      <c r="M3586">
        <v>19.990703774400199</v>
      </c>
      <c r="N3586">
        <v>54.004779657671698</v>
      </c>
      <c r="O3586">
        <v>52.580782361709403</v>
      </c>
      <c r="P3586">
        <v>-8.1570403489147403E-2</v>
      </c>
      <c r="Q3586">
        <v>0.141821988323974</v>
      </c>
      <c r="R3586">
        <v>0.986410615555809</v>
      </c>
      <c r="S3586" t="s">
        <v>10202</v>
      </c>
      <c r="T3586" t="s">
        <v>13232</v>
      </c>
      <c r="U3586" t="s">
        <v>13232</v>
      </c>
      <c r="V3586" t="s">
        <v>13232</v>
      </c>
      <c r="W3586" t="s">
        <v>16758</v>
      </c>
      <c r="X3586">
        <v>4</v>
      </c>
      <c r="Y3586" t="s">
        <v>23188</v>
      </c>
      <c r="Z3586" t="s">
        <v>29717</v>
      </c>
      <c r="AA3586">
        <v>0.52846470411277868</v>
      </c>
      <c r="AB3586" t="str">
        <f>HYPERLINK("Melting_Curves/meltCurve_Q58FG1_HSP90AA4P.pdf", "Melting_Curves/meltCurve_Q58FG1_HSP90AA4P.pdf")</f>
        <v>Melting_Curves/meltCurve_Q58FG1_HSP90AA4P.pdf</v>
      </c>
    </row>
    <row r="3587" spans="1:28" x14ac:dyDescent="0.25">
      <c r="A3587" t="s">
        <v>3590</v>
      </c>
      <c r="B3587">
        <v>0.99930955844802105</v>
      </c>
      <c r="C3587">
        <v>1.00206655573519</v>
      </c>
      <c r="D3587">
        <v>1.04672791277498</v>
      </c>
      <c r="E3587">
        <v>0.97387804711111503</v>
      </c>
      <c r="F3587">
        <v>0.97343699875835699</v>
      </c>
      <c r="G3587">
        <v>0.71546442882024397</v>
      </c>
      <c r="H3587">
        <v>0.27279032498551598</v>
      </c>
      <c r="I3587">
        <v>0.179272955449156</v>
      </c>
      <c r="J3587">
        <v>0.14220905355580701</v>
      </c>
      <c r="K3587">
        <v>0.10903492189665399</v>
      </c>
      <c r="L3587">
        <v>1946.92949534439</v>
      </c>
      <c r="M3587">
        <v>33.432305537196797</v>
      </c>
      <c r="N3587">
        <v>58.730331508254203</v>
      </c>
      <c r="O3587">
        <v>58.027804470270503</v>
      </c>
      <c r="P3587">
        <v>-0.12634055582560999</v>
      </c>
      <c r="Q3587">
        <v>0.12285631343892001</v>
      </c>
      <c r="R3587">
        <v>0.99778446861182202</v>
      </c>
      <c r="S3587" t="s">
        <v>10203</v>
      </c>
      <c r="T3587" t="s">
        <v>13232</v>
      </c>
      <c r="U3587" t="s">
        <v>13232</v>
      </c>
      <c r="V3587" t="s">
        <v>13232</v>
      </c>
      <c r="W3587" t="s">
        <v>16759</v>
      </c>
      <c r="X3587">
        <v>17</v>
      </c>
      <c r="Y3587" t="s">
        <v>23189</v>
      </c>
      <c r="Z3587" t="s">
        <v>29718</v>
      </c>
      <c r="AA3587">
        <v>0.66080007121944295</v>
      </c>
      <c r="AB3587" t="str">
        <f>HYPERLINK("Melting_Curves/meltCurve_Q58WW2_DCAF6.pdf", "Melting_Curves/meltCurve_Q58WW2_DCAF6.pdf")</f>
        <v>Melting_Curves/meltCurve_Q58WW2_DCAF6.pdf</v>
      </c>
    </row>
    <row r="3588" spans="1:28" x14ac:dyDescent="0.25">
      <c r="A3588" t="s">
        <v>3591</v>
      </c>
      <c r="B3588">
        <v>0.99930955844802105</v>
      </c>
      <c r="C3588">
        <v>1.0958560053206301</v>
      </c>
      <c r="D3588">
        <v>1.1402345174050901</v>
      </c>
      <c r="E3588">
        <v>1.0096894615930501</v>
      </c>
      <c r="F3588">
        <v>0.89374286762164201</v>
      </c>
      <c r="G3588">
        <v>0.67854396186615196</v>
      </c>
      <c r="H3588">
        <v>0.55880787832185397</v>
      </c>
      <c r="I3588">
        <v>0.48962908593315801</v>
      </c>
      <c r="J3588">
        <v>0.49340167966616499</v>
      </c>
      <c r="K3588">
        <v>0.413575831281357</v>
      </c>
      <c r="L3588">
        <v>1343.02076064989</v>
      </c>
      <c r="M3588">
        <v>23.787971518662498</v>
      </c>
      <c r="N3588">
        <v>62.705140298325603</v>
      </c>
      <c r="O3588">
        <v>56.063526560934598</v>
      </c>
      <c r="P3588">
        <v>-5.7997309639703801E-2</v>
      </c>
      <c r="Q3588">
        <v>0.45325637130626101</v>
      </c>
      <c r="R3588">
        <v>0.95071085224884899</v>
      </c>
      <c r="S3588" t="s">
        <v>10204</v>
      </c>
      <c r="T3588" t="s">
        <v>13232</v>
      </c>
      <c r="U3588" t="s">
        <v>13232</v>
      </c>
      <c r="V3588" t="s">
        <v>13232</v>
      </c>
      <c r="W3588" t="s">
        <v>16760</v>
      </c>
      <c r="X3588">
        <v>2</v>
      </c>
      <c r="Y3588" t="s">
        <v>23190</v>
      </c>
      <c r="Z3588" t="s">
        <v>29719</v>
      </c>
      <c r="AA3588">
        <v>0.75859071649933607</v>
      </c>
      <c r="AB3588" t="str">
        <f>HYPERLINK("Melting_Curves/meltCurve_Q59GN2_RPL39P5.pdf", "Melting_Curves/meltCurve_Q59GN2_RPL39P5.pdf")</f>
        <v>Melting_Curves/meltCurve_Q59GN2_RPL39P5.pdf</v>
      </c>
    </row>
    <row r="3589" spans="1:28" x14ac:dyDescent="0.25">
      <c r="A3589" t="s">
        <v>3592</v>
      </c>
      <c r="B3589">
        <v>0.99930955844802105</v>
      </c>
      <c r="C3589">
        <v>1.1646897348366401</v>
      </c>
      <c r="D3589">
        <v>1.0287236581705199</v>
      </c>
      <c r="E3589">
        <v>0.86876022375619499</v>
      </c>
      <c r="F3589">
        <v>0.67754812910331597</v>
      </c>
      <c r="G3589">
        <v>0.44314625329648799</v>
      </c>
      <c r="H3589">
        <v>0.33060719899757701</v>
      </c>
      <c r="I3589">
        <v>0.25369476564907401</v>
      </c>
      <c r="J3589">
        <v>0.244509057607186</v>
      </c>
      <c r="K3589">
        <v>0.219888875845731</v>
      </c>
      <c r="L3589">
        <v>1090.52172022743</v>
      </c>
      <c r="M3589">
        <v>20.143019008237601</v>
      </c>
      <c r="N3589">
        <v>55.838371006175898</v>
      </c>
      <c r="O3589">
        <v>53.613819305064098</v>
      </c>
      <c r="P3589">
        <v>-7.2405331296218997E-2</v>
      </c>
      <c r="Q3589">
        <v>0.22915159910402</v>
      </c>
      <c r="R3589">
        <v>0.97330370992141102</v>
      </c>
      <c r="S3589" t="s">
        <v>10205</v>
      </c>
      <c r="T3589" t="s">
        <v>13232</v>
      </c>
      <c r="U3589" t="s">
        <v>13232</v>
      </c>
      <c r="V3589" t="s">
        <v>13232</v>
      </c>
      <c r="W3589" t="s">
        <v>16761</v>
      </c>
      <c r="X3589">
        <v>2</v>
      </c>
      <c r="Y3589" t="s">
        <v>23191</v>
      </c>
      <c r="Z3589" t="s">
        <v>29720</v>
      </c>
      <c r="AA3589">
        <v>0.60278565789269456</v>
      </c>
      <c r="AB3589" t="str">
        <f>HYPERLINK("Melting_Curves/meltCurve_Q5BJF6_9_ODF2.pdf", "Melting_Curves/meltCurve_Q5BJF6_9_ODF2.pdf")</f>
        <v>Melting_Curves/meltCurve_Q5BJF6_9_ODF2.pdf</v>
      </c>
    </row>
    <row r="3590" spans="1:28" x14ac:dyDescent="0.25">
      <c r="A3590" t="s">
        <v>3593</v>
      </c>
      <c r="B3590">
        <v>0.99930955844802105</v>
      </c>
      <c r="C3590">
        <v>1.0652881772490199</v>
      </c>
      <c r="D3590">
        <v>1.0585613158250899</v>
      </c>
      <c r="E3590">
        <v>1.0182634221212601</v>
      </c>
      <c r="F3590">
        <v>0.81150175777376998</v>
      </c>
      <c r="G3590">
        <v>0.72249626844547299</v>
      </c>
      <c r="H3590">
        <v>0.60788210215635197</v>
      </c>
      <c r="I3590">
        <v>0.644600610336165</v>
      </c>
      <c r="J3590">
        <v>0.58568562828746795</v>
      </c>
      <c r="K3590">
        <v>0.42231128526162198</v>
      </c>
      <c r="L3590">
        <v>871.98553529908202</v>
      </c>
      <c r="M3590">
        <v>15.3237399942912</v>
      </c>
      <c r="O3590">
        <v>55.961537007315798</v>
      </c>
      <c r="P3590">
        <v>-3.5084027505470697E-2</v>
      </c>
      <c r="Q3590">
        <v>0.48754711164333198</v>
      </c>
      <c r="R3590">
        <v>0.92259249002212396</v>
      </c>
      <c r="S3590" t="s">
        <v>10206</v>
      </c>
      <c r="T3590" t="s">
        <v>13232</v>
      </c>
      <c r="U3590" t="s">
        <v>13232</v>
      </c>
      <c r="V3590" t="s">
        <v>13232</v>
      </c>
      <c r="W3590" t="s">
        <v>16762</v>
      </c>
      <c r="X3590">
        <v>2</v>
      </c>
      <c r="Y3590" t="s">
        <v>23192</v>
      </c>
      <c r="Z3590" t="s">
        <v>29721</v>
      </c>
      <c r="AA3590">
        <v>0.78440295402825067</v>
      </c>
      <c r="AB3590" t="str">
        <f>HYPERLINK("Melting_Curves/meltCurve_Q5BKU9_OXLD1.pdf", "Melting_Curves/meltCurve_Q5BKU9_OXLD1.pdf")</f>
        <v>Melting_Curves/meltCurve_Q5BKU9_OXLD1.pdf</v>
      </c>
    </row>
    <row r="3591" spans="1:28" x14ac:dyDescent="0.25">
      <c r="A3591" t="s">
        <v>3594</v>
      </c>
      <c r="B3591">
        <v>0.99930955844802105</v>
      </c>
      <c r="C3591">
        <v>1.03100378490921</v>
      </c>
      <c r="D3591">
        <v>0.98232255530746704</v>
      </c>
      <c r="E3591">
        <v>0.65007128199114295</v>
      </c>
      <c r="F3591">
        <v>0.26492360908094797</v>
      </c>
      <c r="G3591">
        <v>0.16001876912695301</v>
      </c>
      <c r="H3591">
        <v>0.104591031012942</v>
      </c>
      <c r="I3591">
        <v>9.1957825011100003E-2</v>
      </c>
      <c r="J3591">
        <v>8.4343416200550497E-2</v>
      </c>
      <c r="K3591">
        <v>6.7325404484466306E-2</v>
      </c>
      <c r="L3591">
        <v>1644.19086068203</v>
      </c>
      <c r="M3591">
        <v>32.416456593549697</v>
      </c>
      <c r="N3591">
        <v>51.048692134348499</v>
      </c>
      <c r="O3591">
        <v>50.529014976781099</v>
      </c>
      <c r="P3591">
        <v>-0.14531530476763099</v>
      </c>
      <c r="Q3591">
        <v>9.3965862243643394E-2</v>
      </c>
      <c r="R3591">
        <v>0.99753380507486</v>
      </c>
      <c r="S3591" t="s">
        <v>10207</v>
      </c>
      <c r="T3591" t="s">
        <v>13232</v>
      </c>
      <c r="U3591" t="s">
        <v>13232</v>
      </c>
      <c r="V3591" t="s">
        <v>13232</v>
      </c>
      <c r="W3591" t="s">
        <v>16763</v>
      </c>
      <c r="X3591">
        <v>7</v>
      </c>
      <c r="Y3591" t="s">
        <v>23193</v>
      </c>
      <c r="Z3591" t="s">
        <v>29722</v>
      </c>
      <c r="AA3591">
        <v>0.42260073871304521</v>
      </c>
      <c r="AB3591" t="str">
        <f>HYPERLINK("Melting_Curves/meltCurve_Q5BKX5_C19orf54.pdf", "Melting_Curves/meltCurve_Q5BKX5_C19orf54.pdf")</f>
        <v>Melting_Curves/meltCurve_Q5BKX5_C19orf54.pdf</v>
      </c>
    </row>
    <row r="3592" spans="1:28" x14ac:dyDescent="0.25">
      <c r="A3592" t="s">
        <v>3595</v>
      </c>
      <c r="B3592">
        <v>0.99930955844802105</v>
      </c>
      <c r="C3592">
        <v>0.94531698640730599</v>
      </c>
      <c r="D3592">
        <v>0.95640994482530095</v>
      </c>
      <c r="E3592">
        <v>0.93473170401656602</v>
      </c>
      <c r="F3592">
        <v>0.66471255243167604</v>
      </c>
      <c r="G3592">
        <v>0.56474779112835805</v>
      </c>
      <c r="H3592">
        <v>0.440390193894313</v>
      </c>
      <c r="I3592">
        <v>0.41646356471481699</v>
      </c>
      <c r="J3592">
        <v>0.40814954632830902</v>
      </c>
      <c r="K3592">
        <v>0.339449544021035</v>
      </c>
      <c r="L3592">
        <v>931.68073608039197</v>
      </c>
      <c r="M3592">
        <v>17.296533657340799</v>
      </c>
      <c r="N3592">
        <v>58.282286012844501</v>
      </c>
      <c r="O3592">
        <v>53.160618307965798</v>
      </c>
      <c r="P3592">
        <v>-5.1637561016913899E-2</v>
      </c>
      <c r="Q3592">
        <v>0.36520772719356798</v>
      </c>
      <c r="R3592">
        <v>0.97930623539245498</v>
      </c>
      <c r="S3592" t="s">
        <v>10208</v>
      </c>
      <c r="T3592" t="s">
        <v>13232</v>
      </c>
      <c r="U3592" t="s">
        <v>13232</v>
      </c>
      <c r="V3592" t="s">
        <v>13232</v>
      </c>
      <c r="W3592" t="s">
        <v>16764</v>
      </c>
      <c r="X3592">
        <v>7</v>
      </c>
      <c r="Y3592" t="s">
        <v>23194</v>
      </c>
      <c r="Z3592" t="s">
        <v>29723</v>
      </c>
      <c r="AA3592">
        <v>0.66940269234408212</v>
      </c>
      <c r="AB3592" t="str">
        <f>HYPERLINK("Melting_Curves/meltCurve_Q5BKZ1_ZNF326.pdf", "Melting_Curves/meltCurve_Q5BKZ1_ZNF326.pdf")</f>
        <v>Melting_Curves/meltCurve_Q5BKZ1_ZNF326.pdf</v>
      </c>
    </row>
    <row r="3593" spans="1:28" x14ac:dyDescent="0.25">
      <c r="A3593" t="s">
        <v>3596</v>
      </c>
      <c r="B3593">
        <v>0.99930955844802105</v>
      </c>
      <c r="C3593">
        <v>0.99204134818326795</v>
      </c>
      <c r="D3593">
        <v>0.73623144551087505</v>
      </c>
      <c r="E3593">
        <v>0.42657931253616699</v>
      </c>
      <c r="F3593">
        <v>0.313811089455728</v>
      </c>
      <c r="G3593">
        <v>0.26517170189539502</v>
      </c>
      <c r="H3593">
        <v>0.225142089192993</v>
      </c>
      <c r="I3593">
        <v>0.233176174665573</v>
      </c>
      <c r="J3593">
        <v>0.23698068502803599</v>
      </c>
      <c r="K3593">
        <v>0.18770845645109599</v>
      </c>
      <c r="L3593">
        <v>1076.9803732027201</v>
      </c>
      <c r="M3593">
        <v>22.597571604309</v>
      </c>
      <c r="N3593">
        <v>48.963032962840998</v>
      </c>
      <c r="O3593">
        <v>47.290588601247002</v>
      </c>
      <c r="P3593">
        <v>-9.2454892948333506E-2</v>
      </c>
      <c r="Q3593">
        <v>0.22608327855190999</v>
      </c>
      <c r="R3593">
        <v>0.99398392041193595</v>
      </c>
      <c r="S3593" t="s">
        <v>10209</v>
      </c>
      <c r="T3593" t="s">
        <v>13232</v>
      </c>
      <c r="U3593" t="s">
        <v>13232</v>
      </c>
      <c r="V3593" t="s">
        <v>13232</v>
      </c>
      <c r="W3593" t="s">
        <v>16765</v>
      </c>
      <c r="X3593">
        <v>13</v>
      </c>
      <c r="Y3593" t="s">
        <v>23195</v>
      </c>
      <c r="Z3593" t="s">
        <v>29724</v>
      </c>
      <c r="AA3593">
        <v>0.43218562207367961</v>
      </c>
      <c r="AB3593" t="str">
        <f>HYPERLINK("Melting_Curves/meltCurve_Q5C9Z4_NOM1.pdf", "Melting_Curves/meltCurve_Q5C9Z4_NOM1.pdf")</f>
        <v>Melting_Curves/meltCurve_Q5C9Z4_NOM1.pdf</v>
      </c>
    </row>
    <row r="3594" spans="1:28" x14ac:dyDescent="0.25">
      <c r="A3594" t="s">
        <v>3597</v>
      </c>
      <c r="B3594">
        <v>0.99930955844802105</v>
      </c>
      <c r="C3594">
        <v>1.1194526170980901</v>
      </c>
      <c r="D3594">
        <v>0.52971949363955995</v>
      </c>
      <c r="E3594">
        <v>0.26679895527180802</v>
      </c>
      <c r="F3594">
        <v>0.16038742586455401</v>
      </c>
      <c r="G3594">
        <v>0.14443386384535201</v>
      </c>
      <c r="H3594">
        <v>9.6624592747924606E-2</v>
      </c>
      <c r="I3594">
        <v>0.11632633261508001</v>
      </c>
      <c r="J3594">
        <v>0.119940899918628</v>
      </c>
      <c r="K3594">
        <v>6.6957365139916097E-2</v>
      </c>
      <c r="L3594">
        <v>11491.500122888699</v>
      </c>
      <c r="M3594">
        <v>250</v>
      </c>
      <c r="N3594">
        <v>46.025855801078798</v>
      </c>
      <c r="O3594">
        <v>45.963059090476797</v>
      </c>
      <c r="P3594">
        <v>-1.1710744910887101</v>
      </c>
      <c r="Q3594">
        <v>0.138781346689479</v>
      </c>
      <c r="R3594">
        <v>0.97180465718034403</v>
      </c>
      <c r="S3594" t="s">
        <v>10210</v>
      </c>
      <c r="T3594" t="s">
        <v>13232</v>
      </c>
      <c r="U3594" t="s">
        <v>13232</v>
      </c>
      <c r="V3594" t="s">
        <v>13232</v>
      </c>
      <c r="W3594" t="s">
        <v>16766</v>
      </c>
      <c r="X3594">
        <v>4</v>
      </c>
      <c r="Y3594" t="s">
        <v>23196</v>
      </c>
      <c r="Z3594" t="s">
        <v>29725</v>
      </c>
      <c r="AA3594">
        <v>0.31011851783330452</v>
      </c>
      <c r="AB3594" t="str">
        <f>HYPERLINK("Melting_Curves/meltCurve_Q5D0E6_2_DALRD3.pdf", "Melting_Curves/meltCurve_Q5D0E6_2_DALRD3.pdf")</f>
        <v>Melting_Curves/meltCurve_Q5D0E6_2_DALRD3.pdf</v>
      </c>
    </row>
    <row r="3595" spans="1:28" x14ac:dyDescent="0.25">
      <c r="A3595" t="s">
        <v>3598</v>
      </c>
      <c r="B3595">
        <v>0.99930955844802105</v>
      </c>
      <c r="C3595">
        <v>1.1666528117984101</v>
      </c>
      <c r="D3595">
        <v>0.90193105296944698</v>
      </c>
      <c r="E3595">
        <v>0.76136496607640403</v>
      </c>
      <c r="F3595">
        <v>1.7291851864369401</v>
      </c>
      <c r="G3595">
        <v>0.532210336718691</v>
      </c>
      <c r="H3595">
        <v>0.83195845559341197</v>
      </c>
      <c r="I3595">
        <v>0.91807007096715698</v>
      </c>
      <c r="J3595">
        <v>1.26072081581676</v>
      </c>
      <c r="K3595">
        <v>0.42621665339867498</v>
      </c>
      <c r="L3595">
        <v>15000</v>
      </c>
      <c r="M3595">
        <v>214.582618997254</v>
      </c>
      <c r="N3595">
        <v>69.903145329356406</v>
      </c>
      <c r="O3595">
        <v>69.897073607893702</v>
      </c>
      <c r="P3595">
        <v>-0.767495004331745</v>
      </c>
      <c r="Q3595">
        <v>0</v>
      </c>
      <c r="R3595">
        <v>0.24456970578981399</v>
      </c>
      <c r="S3595" t="s">
        <v>10211</v>
      </c>
      <c r="T3595" t="s">
        <v>13232</v>
      </c>
      <c r="U3595" t="s">
        <v>13232</v>
      </c>
      <c r="V3595" t="s">
        <v>13232</v>
      </c>
      <c r="W3595" t="s">
        <v>16767</v>
      </c>
      <c r="X3595">
        <v>3</v>
      </c>
      <c r="Y3595" t="s">
        <v>23197</v>
      </c>
      <c r="Z3595" t="s">
        <v>29726</v>
      </c>
      <c r="AA3595">
        <v>0.99082157731590625</v>
      </c>
      <c r="AB3595" t="str">
        <f>HYPERLINK("Melting_Curves/meltCurve_Q5D862_FLG2.pdf", "Melting_Curves/meltCurve_Q5D862_FLG2.pdf")</f>
        <v>Melting_Curves/meltCurve_Q5D862_FLG2.pdf</v>
      </c>
    </row>
    <row r="3596" spans="1:28" x14ac:dyDescent="0.25">
      <c r="A3596" t="s">
        <v>3599</v>
      </c>
      <c r="B3596">
        <v>0.99930955844802105</v>
      </c>
      <c r="C3596">
        <v>1.2216922701264299</v>
      </c>
      <c r="D3596">
        <v>0.98812783194576503</v>
      </c>
      <c r="E3596">
        <v>0.76238714467642199</v>
      </c>
      <c r="F3596">
        <v>0.56759860579302901</v>
      </c>
      <c r="G3596">
        <v>0.38591890768571302</v>
      </c>
      <c r="H3596">
        <v>0.26846721752923902</v>
      </c>
      <c r="I3596">
        <v>0.25014102422551998</v>
      </c>
      <c r="J3596">
        <v>0.231551547283669</v>
      </c>
      <c r="K3596">
        <v>0.18330026383172501</v>
      </c>
      <c r="L3596">
        <v>1062.41026648499</v>
      </c>
      <c r="M3596">
        <v>20.201094767260599</v>
      </c>
      <c r="N3596">
        <v>54.1174168657462</v>
      </c>
      <c r="O3596">
        <v>52.0844852475539</v>
      </c>
      <c r="P3596">
        <v>-7.5914717648949304E-2</v>
      </c>
      <c r="Q3596">
        <v>0.21710079744128899</v>
      </c>
      <c r="R3596">
        <v>0.95590618949183004</v>
      </c>
      <c r="S3596" t="s">
        <v>10212</v>
      </c>
      <c r="T3596" t="s">
        <v>13232</v>
      </c>
      <c r="U3596" t="s">
        <v>13232</v>
      </c>
      <c r="V3596" t="s">
        <v>13232</v>
      </c>
      <c r="W3596" t="s">
        <v>16768</v>
      </c>
      <c r="X3596">
        <v>15</v>
      </c>
      <c r="Y3596" t="s">
        <v>23198</v>
      </c>
      <c r="Z3596" t="s">
        <v>29727</v>
      </c>
      <c r="AA3596">
        <v>0.55631597711253289</v>
      </c>
      <c r="AB3596" t="str">
        <f>HYPERLINK("Melting_Curves/meltCurve_Q5EBL4_RILPL1.pdf", "Melting_Curves/meltCurve_Q5EBL4_RILPL1.pdf")</f>
        <v>Melting_Curves/meltCurve_Q5EBL4_RILPL1.pdf</v>
      </c>
    </row>
    <row r="3597" spans="1:28" x14ac:dyDescent="0.25">
      <c r="A3597" t="s">
        <v>3600</v>
      </c>
      <c r="B3597">
        <v>0.99930955844802105</v>
      </c>
      <c r="C3597">
        <v>0.99881773227730997</v>
      </c>
      <c r="D3597">
        <v>1.0307522271167799</v>
      </c>
      <c r="E3597">
        <v>0.79179897863481197</v>
      </c>
      <c r="F3597">
        <v>0.45041546130398202</v>
      </c>
      <c r="G3597">
        <v>0.24877992292814599</v>
      </c>
      <c r="H3597">
        <v>0.14029389196410999</v>
      </c>
      <c r="I3597">
        <v>0.13394502910595499</v>
      </c>
      <c r="J3597">
        <v>0.120066967527206</v>
      </c>
      <c r="K3597">
        <v>8.5915682246308495E-2</v>
      </c>
      <c r="L3597">
        <v>1363.18676260449</v>
      </c>
      <c r="M3597">
        <v>26.1081019978723</v>
      </c>
      <c r="N3597">
        <v>52.760154649058997</v>
      </c>
      <c r="O3597">
        <v>51.909732867185703</v>
      </c>
      <c r="P3597">
        <v>-0.11083087527912799</v>
      </c>
      <c r="Q3597">
        <v>0.118566951055742</v>
      </c>
      <c r="R3597">
        <v>0.99556516160011799</v>
      </c>
      <c r="S3597" t="s">
        <v>10213</v>
      </c>
      <c r="T3597" t="s">
        <v>13232</v>
      </c>
      <c r="U3597" t="s">
        <v>13232</v>
      </c>
      <c r="V3597" t="s">
        <v>13232</v>
      </c>
      <c r="W3597" t="s">
        <v>16769</v>
      </c>
      <c r="X3597">
        <v>5</v>
      </c>
      <c r="Y3597" t="s">
        <v>23199</v>
      </c>
      <c r="Z3597" t="s">
        <v>29728</v>
      </c>
      <c r="AA3597">
        <v>0.48482053208141468</v>
      </c>
      <c r="AB3597" t="str">
        <f>HYPERLINK("Melting_Curves/meltCurve_Q5EBL8_PDZD11.pdf", "Melting_Curves/meltCurve_Q5EBL8_PDZD11.pdf")</f>
        <v>Melting_Curves/meltCurve_Q5EBL8_PDZD11.pdf</v>
      </c>
    </row>
    <row r="3598" spans="1:28" x14ac:dyDescent="0.25">
      <c r="A3598" t="s">
        <v>3601</v>
      </c>
      <c r="B3598">
        <v>0.99930955844802105</v>
      </c>
      <c r="C3598">
        <v>1.0440931141116701</v>
      </c>
      <c r="D3598">
        <v>0.99308962778668597</v>
      </c>
      <c r="E3598">
        <v>0.78010642926095197</v>
      </c>
      <c r="F3598">
        <v>0.33406129518883798</v>
      </c>
      <c r="G3598">
        <v>0.16085032610835101</v>
      </c>
      <c r="H3598">
        <v>0.103749663992212</v>
      </c>
      <c r="I3598">
        <v>9.8518965950578505E-2</v>
      </c>
      <c r="J3598">
        <v>9.3097482514962096E-2</v>
      </c>
      <c r="K3598">
        <v>6.7730735709717105E-2</v>
      </c>
      <c r="L3598">
        <v>1828.6919644253001</v>
      </c>
      <c r="M3598">
        <v>35.471097390237901</v>
      </c>
      <c r="N3598">
        <v>51.8673986849724</v>
      </c>
      <c r="O3598">
        <v>51.391387517362801</v>
      </c>
      <c r="P3598">
        <v>-0.15593018597049199</v>
      </c>
      <c r="Q3598">
        <v>9.6341263003122499E-2</v>
      </c>
      <c r="R3598">
        <v>0.99744559765116503</v>
      </c>
      <c r="S3598" t="s">
        <v>10214</v>
      </c>
      <c r="T3598" t="s">
        <v>13232</v>
      </c>
      <c r="U3598" t="s">
        <v>13232</v>
      </c>
      <c r="V3598" t="s">
        <v>13232</v>
      </c>
      <c r="W3598" t="s">
        <v>16770</v>
      </c>
      <c r="X3598">
        <v>18</v>
      </c>
      <c r="Y3598" t="s">
        <v>23200</v>
      </c>
      <c r="Z3598" t="s">
        <v>29729</v>
      </c>
      <c r="AA3598">
        <v>0.44848259591196682</v>
      </c>
      <c r="AB3598" t="str">
        <f>HYPERLINK("Melting_Curves/meltCurve_Q5EBM0_CMPK2.pdf", "Melting_Curves/meltCurve_Q5EBM0_CMPK2.pdf")</f>
        <v>Melting_Curves/meltCurve_Q5EBM0_CMPK2.pdf</v>
      </c>
    </row>
    <row r="3599" spans="1:28" x14ac:dyDescent="0.25">
      <c r="A3599" t="s">
        <v>3602</v>
      </c>
      <c r="B3599">
        <v>0.99930955844802105</v>
      </c>
      <c r="C3599">
        <v>1.1278596215658301</v>
      </c>
      <c r="D3599">
        <v>1.10775779454509</v>
      </c>
      <c r="E3599">
        <v>0.877568075817588</v>
      </c>
      <c r="F3599">
        <v>0.542508684669195</v>
      </c>
      <c r="G3599">
        <v>0.42963097128359301</v>
      </c>
      <c r="H3599">
        <v>0.37886138506325701</v>
      </c>
      <c r="I3599">
        <v>0.39256183073999001</v>
      </c>
      <c r="J3599">
        <v>0.37436000386516899</v>
      </c>
      <c r="K3599">
        <v>0.32072766831801203</v>
      </c>
      <c r="L3599">
        <v>2142.1180184355599</v>
      </c>
      <c r="M3599">
        <v>41.388343300025902</v>
      </c>
      <c r="N3599">
        <v>53.5542033475529</v>
      </c>
      <c r="O3599">
        <v>51.636165779955903</v>
      </c>
      <c r="P3599">
        <v>-0.125166059779242</v>
      </c>
      <c r="Q3599">
        <v>0.37537159315769802</v>
      </c>
      <c r="R3599">
        <v>0.96612427950245605</v>
      </c>
      <c r="S3599" t="s">
        <v>10215</v>
      </c>
      <c r="T3599" t="s">
        <v>13232</v>
      </c>
      <c r="U3599" t="s">
        <v>13232</v>
      </c>
      <c r="V3599" t="s">
        <v>13232</v>
      </c>
      <c r="W3599" t="s">
        <v>16771</v>
      </c>
      <c r="X3599">
        <v>18</v>
      </c>
      <c r="Y3599" t="s">
        <v>23201</v>
      </c>
      <c r="Z3599" t="s">
        <v>29730</v>
      </c>
      <c r="AA3599">
        <v>0.62223981581580501</v>
      </c>
      <c r="AB3599" t="str">
        <f>HYPERLINK("Melting_Curves/meltCurve_Q5F1R6_DNAJC21.pdf", "Melting_Curves/meltCurve_Q5F1R6_DNAJC21.pdf")</f>
        <v>Melting_Curves/meltCurve_Q5F1R6_DNAJC21.pdf</v>
      </c>
    </row>
    <row r="3600" spans="1:28" x14ac:dyDescent="0.25">
      <c r="A3600" t="s">
        <v>3603</v>
      </c>
      <c r="B3600">
        <v>0.99930955844802105</v>
      </c>
      <c r="C3600">
        <v>0.90761931853022604</v>
      </c>
      <c r="D3600">
        <v>0.93104814548750203</v>
      </c>
      <c r="E3600">
        <v>0.85813480464522296</v>
      </c>
      <c r="F3600">
        <v>0.71570349395461397</v>
      </c>
      <c r="G3600">
        <v>0.50157529254689304</v>
      </c>
      <c r="H3600">
        <v>0.38595759232298499</v>
      </c>
      <c r="I3600">
        <v>0.37849927887661799</v>
      </c>
      <c r="J3600">
        <v>0.40265271211263498</v>
      </c>
      <c r="K3600">
        <v>0.31461840349486597</v>
      </c>
      <c r="L3600">
        <v>836.50508805452898</v>
      </c>
      <c r="M3600">
        <v>15.569629760334401</v>
      </c>
      <c r="N3600">
        <v>57.559016005517599</v>
      </c>
      <c r="O3600">
        <v>52.863819276618102</v>
      </c>
      <c r="P3600">
        <v>-4.9876265820870097E-2</v>
      </c>
      <c r="Q3600">
        <v>0.32267630688705201</v>
      </c>
      <c r="R3600">
        <v>0.98182235353139002</v>
      </c>
      <c r="S3600" t="s">
        <v>10216</v>
      </c>
      <c r="T3600" t="s">
        <v>13232</v>
      </c>
      <c r="U3600" t="s">
        <v>13232</v>
      </c>
      <c r="V3600" t="s">
        <v>13232</v>
      </c>
      <c r="W3600" t="s">
        <v>16772</v>
      </c>
      <c r="X3600">
        <v>5</v>
      </c>
      <c r="Y3600" t="s">
        <v>23202</v>
      </c>
      <c r="Z3600" t="s">
        <v>29731</v>
      </c>
      <c r="AA3600">
        <v>0.64601590435756284</v>
      </c>
      <c r="AB3600" t="str">
        <f>HYPERLINK("Melting_Curves/meltCurve_Q5FBB7_5_SGOL1.pdf", "Melting_Curves/meltCurve_Q5FBB7_5_SGOL1.pdf")</f>
        <v>Melting_Curves/meltCurve_Q5FBB7_5_SGOL1.pdf</v>
      </c>
    </row>
    <row r="3601" spans="1:28" x14ac:dyDescent="0.25">
      <c r="A3601" t="s">
        <v>3604</v>
      </c>
      <c r="B3601">
        <v>0.99930955844802105</v>
      </c>
      <c r="C3601">
        <v>1.1195061278235101</v>
      </c>
      <c r="D3601">
        <v>1.0478533417336</v>
      </c>
      <c r="E3601">
        <v>0.92435217329577701</v>
      </c>
      <c r="F3601">
        <v>0.69559581373560897</v>
      </c>
      <c r="G3601">
        <v>0.62610140785856205</v>
      </c>
      <c r="H3601">
        <v>0.67042758692987403</v>
      </c>
      <c r="I3601">
        <v>0.68413999533235903</v>
      </c>
      <c r="J3601">
        <v>0.72016345979316299</v>
      </c>
      <c r="K3601">
        <v>0.59341048698861298</v>
      </c>
      <c r="L3601">
        <v>3077.88841520188</v>
      </c>
      <c r="M3601">
        <v>60.279526414522202</v>
      </c>
      <c r="O3601">
        <v>51.004157513973603</v>
      </c>
      <c r="P3601">
        <v>-0.100707255548023</v>
      </c>
      <c r="Q3601">
        <v>0.65915548198668095</v>
      </c>
      <c r="R3601">
        <v>0.92154017760284601</v>
      </c>
      <c r="S3601" t="s">
        <v>10217</v>
      </c>
      <c r="T3601" t="s">
        <v>13232</v>
      </c>
      <c r="U3601" t="s">
        <v>13232</v>
      </c>
      <c r="V3601" t="s">
        <v>13232</v>
      </c>
      <c r="W3601" t="s">
        <v>16773</v>
      </c>
      <c r="X3601">
        <v>12</v>
      </c>
      <c r="Y3601" t="s">
        <v>23203</v>
      </c>
      <c r="Z3601" t="s">
        <v>29732</v>
      </c>
      <c r="AA3601">
        <v>0.78534372407414799</v>
      </c>
      <c r="AB3601" t="str">
        <f>HYPERLINK("Melting_Curves/meltCurve_Q5FWF5_ESCO1.pdf", "Melting_Curves/meltCurve_Q5FWF5_ESCO1.pdf")</f>
        <v>Melting_Curves/meltCurve_Q5FWF5_ESCO1.pdf</v>
      </c>
    </row>
    <row r="3602" spans="1:28" x14ac:dyDescent="0.25">
      <c r="A3602" t="s">
        <v>3605</v>
      </c>
      <c r="B3602">
        <v>0.99930955844802105</v>
      </c>
      <c r="C3602">
        <v>0.98283201216777305</v>
      </c>
      <c r="D3602">
        <v>0.93908607934625399</v>
      </c>
      <c r="E3602">
        <v>0.76207909165219401</v>
      </c>
      <c r="F3602">
        <v>0.31581808228344199</v>
      </c>
      <c r="G3602">
        <v>0.15637147358123701</v>
      </c>
      <c r="H3602">
        <v>9.95906308156842E-2</v>
      </c>
      <c r="I3602">
        <v>8.9866918034134394E-2</v>
      </c>
      <c r="J3602">
        <v>8.0844789910659007E-2</v>
      </c>
      <c r="K3602">
        <v>6.0992253587302502E-2</v>
      </c>
      <c r="L3602">
        <v>1687.70451255423</v>
      </c>
      <c r="M3602">
        <v>32.815071492137797</v>
      </c>
      <c r="N3602">
        <v>51.730022599611601</v>
      </c>
      <c r="O3602">
        <v>51.2409026457224</v>
      </c>
      <c r="P3602">
        <v>-0.14626180717460099</v>
      </c>
      <c r="Q3602">
        <v>8.6449911769279006E-2</v>
      </c>
      <c r="R3602">
        <v>0.99693750286805705</v>
      </c>
      <c r="S3602" t="s">
        <v>10218</v>
      </c>
      <c r="T3602" t="s">
        <v>13232</v>
      </c>
      <c r="U3602" t="s">
        <v>13232</v>
      </c>
      <c r="V3602" t="s">
        <v>13232</v>
      </c>
      <c r="W3602" t="s">
        <v>16774</v>
      </c>
      <c r="X3602">
        <v>32</v>
      </c>
      <c r="Y3602" t="s">
        <v>23204</v>
      </c>
      <c r="Z3602" t="s">
        <v>29733</v>
      </c>
      <c r="AA3602">
        <v>0.43937043783665169</v>
      </c>
      <c r="AB3602" t="str">
        <f>HYPERLINK("Melting_Curves/meltCurve_Q5GLZ8_2_HERC4.pdf", "Melting_Curves/meltCurve_Q5GLZ8_2_HERC4.pdf")</f>
        <v>Melting_Curves/meltCurve_Q5GLZ8_2_HERC4.pdf</v>
      </c>
    </row>
    <row r="3603" spans="1:28" x14ac:dyDescent="0.25">
      <c r="A3603" t="s">
        <v>3606</v>
      </c>
      <c r="B3603">
        <v>0.99930955844802105</v>
      </c>
      <c r="C3603">
        <v>1.0767426395883799</v>
      </c>
      <c r="D3603">
        <v>1.05548486346559</v>
      </c>
      <c r="E3603">
        <v>1.0776589856368299</v>
      </c>
      <c r="F3603">
        <v>0.93255366304651199</v>
      </c>
      <c r="G3603">
        <v>0.88592248034481702</v>
      </c>
      <c r="H3603">
        <v>0.77509831203552504</v>
      </c>
      <c r="I3603">
        <v>0.82093835629303902</v>
      </c>
      <c r="J3603">
        <v>0.773397212500749</v>
      </c>
      <c r="K3603">
        <v>0.65843275947487401</v>
      </c>
      <c r="L3603">
        <v>937.55492582406305</v>
      </c>
      <c r="M3603">
        <v>15.6788829940415</v>
      </c>
      <c r="O3603">
        <v>58.849894786143203</v>
      </c>
      <c r="P3603">
        <v>-2.11598581406298E-2</v>
      </c>
      <c r="Q3603">
        <v>0.68233714031612502</v>
      </c>
      <c r="R3603">
        <v>0.85465740096342002</v>
      </c>
      <c r="S3603" t="s">
        <v>10219</v>
      </c>
      <c r="T3603" t="s">
        <v>13232</v>
      </c>
      <c r="U3603" t="s">
        <v>13232</v>
      </c>
      <c r="V3603" t="s">
        <v>13232</v>
      </c>
      <c r="W3603" t="s">
        <v>16775</v>
      </c>
      <c r="X3603">
        <v>1</v>
      </c>
      <c r="Y3603" t="s">
        <v>23205</v>
      </c>
      <c r="Z3603" t="s">
        <v>29734</v>
      </c>
      <c r="AA3603">
        <v>0.8945386754396919</v>
      </c>
      <c r="AB3603" t="str">
        <f>HYPERLINK("Melting_Curves/meltCurve_Q5H937_PKIG.pdf", "Melting_Curves/meltCurve_Q5H937_PKIG.pdf")</f>
        <v>Melting_Curves/meltCurve_Q5H937_PKIG.pdf</v>
      </c>
    </row>
    <row r="3604" spans="1:28" x14ac:dyDescent="0.25">
      <c r="A3604" t="s">
        <v>3607</v>
      </c>
      <c r="B3604">
        <v>0.99930955844802105</v>
      </c>
      <c r="C3604">
        <v>0.85542423604982498</v>
      </c>
      <c r="D3604">
        <v>0.78095801018914002</v>
      </c>
      <c r="E3604">
        <v>0.67858947814681703</v>
      </c>
      <c r="F3604">
        <v>0.49319533006736099</v>
      </c>
      <c r="G3604">
        <v>0.354619537711101</v>
      </c>
      <c r="H3604">
        <v>0.27768019561333301</v>
      </c>
      <c r="I3604">
        <v>0.231901099782825</v>
      </c>
      <c r="J3604">
        <v>0.14007037543700701</v>
      </c>
      <c r="K3604">
        <v>0.11145652486306</v>
      </c>
      <c r="L3604">
        <v>452.64294953511001</v>
      </c>
      <c r="M3604">
        <v>8.4786065946004197</v>
      </c>
      <c r="N3604">
        <v>53.452017156190699</v>
      </c>
      <c r="O3604">
        <v>50.664953799143603</v>
      </c>
      <c r="P3604">
        <v>-4.16581666290455E-2</v>
      </c>
      <c r="Q3604">
        <v>5.1710088099854402E-3</v>
      </c>
      <c r="R3604">
        <v>0.99097877490618902</v>
      </c>
      <c r="S3604" t="s">
        <v>10220</v>
      </c>
      <c r="T3604" t="s">
        <v>13232</v>
      </c>
      <c r="U3604" t="s">
        <v>13232</v>
      </c>
      <c r="V3604" t="s">
        <v>13232</v>
      </c>
      <c r="W3604" t="s">
        <v>16776</v>
      </c>
      <c r="X3604">
        <v>3</v>
      </c>
      <c r="Y3604" t="s">
        <v>23206</v>
      </c>
      <c r="Z3604" t="s">
        <v>29735</v>
      </c>
      <c r="AA3604">
        <v>0.48575558802781083</v>
      </c>
      <c r="AB3604" t="str">
        <f>HYPERLINK("Melting_Curves/meltCurve_Q5H9A7_TIMP1.pdf", "Melting_Curves/meltCurve_Q5H9A7_TIMP1.pdf")</f>
        <v>Melting_Curves/meltCurve_Q5H9A7_TIMP1.pdf</v>
      </c>
    </row>
    <row r="3605" spans="1:28" x14ac:dyDescent="0.25">
      <c r="A3605" t="s">
        <v>3608</v>
      </c>
      <c r="B3605">
        <v>0.99930955844802105</v>
      </c>
      <c r="C3605">
        <v>0.97577346936147502</v>
      </c>
      <c r="D3605">
        <v>0.88666641867180096</v>
      </c>
      <c r="E3605">
        <v>0.850860905591868</v>
      </c>
      <c r="F3605">
        <v>0.41938460209261302</v>
      </c>
      <c r="G3605">
        <v>0.186125988890156</v>
      </c>
      <c r="H3605">
        <v>0.112190160702398</v>
      </c>
      <c r="I3605">
        <v>8.7196077828978202E-2</v>
      </c>
      <c r="J3605">
        <v>8.1944162276477495E-2</v>
      </c>
      <c r="K3605">
        <v>6.1917591608491702E-2</v>
      </c>
      <c r="L3605">
        <v>1515.0240330341201</v>
      </c>
      <c r="M3605">
        <v>28.983251360639699</v>
      </c>
      <c r="N3605">
        <v>52.604678100431897</v>
      </c>
      <c r="O3605">
        <v>52.025446497366303</v>
      </c>
      <c r="P3605">
        <v>-0.12762570739589599</v>
      </c>
      <c r="Q3605">
        <v>8.3645266362358195E-2</v>
      </c>
      <c r="R3605">
        <v>0.99072292541007601</v>
      </c>
      <c r="S3605" t="s">
        <v>10221</v>
      </c>
      <c r="T3605" t="s">
        <v>13232</v>
      </c>
      <c r="U3605" t="s">
        <v>13232</v>
      </c>
      <c r="V3605" t="s">
        <v>13232</v>
      </c>
      <c r="W3605" t="s">
        <v>16777</v>
      </c>
      <c r="X3605">
        <v>1</v>
      </c>
      <c r="Y3605" t="s">
        <v>23207</v>
      </c>
      <c r="Z3605" t="s">
        <v>29736</v>
      </c>
      <c r="AA3605">
        <v>0.46480087745045062</v>
      </c>
      <c r="AB3605" t="str">
        <f>HYPERLINK("Melting_Curves/meltCurve_Q5HYC2_2_KIAA2026.pdf", "Melting_Curves/meltCurve_Q5HYC2_2_KIAA2026.pdf")</f>
        <v>Melting_Curves/meltCurve_Q5HYC2_2_KIAA2026.pdf</v>
      </c>
    </row>
    <row r="3606" spans="1:28" x14ac:dyDescent="0.25">
      <c r="A3606" t="s">
        <v>3609</v>
      </c>
      <c r="B3606">
        <v>0.99930955844802105</v>
      </c>
      <c r="C3606">
        <v>0.40295961217159498</v>
      </c>
      <c r="D3606">
        <v>0.33202415316105</v>
      </c>
      <c r="E3606">
        <v>0.34043014562565699</v>
      </c>
      <c r="F3606">
        <v>0.23354262964286401</v>
      </c>
      <c r="G3606">
        <v>0.139005314258177</v>
      </c>
      <c r="H3606">
        <v>5.16722260175803E-2</v>
      </c>
      <c r="I3606">
        <v>4.8647491819986899E-2</v>
      </c>
      <c r="J3606">
        <v>4.50459684729606E-2</v>
      </c>
      <c r="K3606">
        <v>3.6271985512605097E-2</v>
      </c>
      <c r="L3606">
        <v>598.21319804528696</v>
      </c>
      <c r="M3606">
        <v>13.6975821659532</v>
      </c>
      <c r="N3606">
        <v>44.172478834073701</v>
      </c>
      <c r="O3606">
        <v>42.773618539236701</v>
      </c>
      <c r="P3606">
        <v>-7.4324738622831399E-2</v>
      </c>
      <c r="Q3606">
        <v>7.1754500229670601E-2</v>
      </c>
      <c r="R3606">
        <v>0.85744106310680401</v>
      </c>
      <c r="S3606" t="s">
        <v>10222</v>
      </c>
      <c r="T3606" t="s">
        <v>13232</v>
      </c>
      <c r="U3606" t="s">
        <v>13232</v>
      </c>
      <c r="V3606" t="s">
        <v>13232</v>
      </c>
      <c r="W3606" t="s">
        <v>16778</v>
      </c>
      <c r="X3606">
        <v>24</v>
      </c>
      <c r="Y3606" t="s">
        <v>23208</v>
      </c>
      <c r="Z3606" t="s">
        <v>29737</v>
      </c>
      <c r="AA3606">
        <v>0.22746926331868361</v>
      </c>
      <c r="AB3606" t="str">
        <f>HYPERLINK("Melting_Curves/meltCurve_Q5JP53_TUBB.pdf", "Melting_Curves/meltCurve_Q5JP53_TUBB.pdf")</f>
        <v>Melting_Curves/meltCurve_Q5JP53_TUBB.pdf</v>
      </c>
    </row>
    <row r="3607" spans="1:28" x14ac:dyDescent="0.25">
      <c r="A3607" t="s">
        <v>3610</v>
      </c>
      <c r="B3607">
        <v>0.99930955844802105</v>
      </c>
      <c r="C3607">
        <v>0.80204439302351105</v>
      </c>
      <c r="D3607">
        <v>0.67136299839747204</v>
      </c>
      <c r="E3607">
        <v>0.77368417631588704</v>
      </c>
      <c r="F3607">
        <v>0.45292630152008101</v>
      </c>
      <c r="G3607">
        <v>0.210056111499172</v>
      </c>
      <c r="H3607">
        <v>0.15165721724158501</v>
      </c>
      <c r="I3607">
        <v>0.12527871537250701</v>
      </c>
      <c r="J3607">
        <v>0.12248430719655</v>
      </c>
      <c r="K3607">
        <v>8.6938842697870902E-2</v>
      </c>
      <c r="L3607">
        <v>510.632611959173</v>
      </c>
      <c r="M3607">
        <v>9.8410860572901093</v>
      </c>
      <c r="N3607">
        <v>51.887823320043502</v>
      </c>
      <c r="O3607">
        <v>49.8814827508969</v>
      </c>
      <c r="P3607">
        <v>-4.9347844817721601E-2</v>
      </c>
      <c r="Q3607">
        <v>0</v>
      </c>
      <c r="R3607">
        <v>0.94073681582838198</v>
      </c>
      <c r="S3607" t="s">
        <v>10223</v>
      </c>
      <c r="T3607" t="s">
        <v>13232</v>
      </c>
      <c r="U3607" t="s">
        <v>13232</v>
      </c>
      <c r="V3607" t="s">
        <v>13232</v>
      </c>
      <c r="W3607" t="s">
        <v>16779</v>
      </c>
      <c r="X3607">
        <v>4</v>
      </c>
      <c r="Y3607" t="s">
        <v>23209</v>
      </c>
      <c r="Z3607" t="s">
        <v>29738</v>
      </c>
      <c r="AA3607">
        <v>0.43531629096454028</v>
      </c>
      <c r="AB3607" t="str">
        <f>HYPERLINK("Melting_Curves/meltCurve_Q5JPE7_2_NOMO2.pdf", "Melting_Curves/meltCurve_Q5JPE7_2_NOMO2.pdf")</f>
        <v>Melting_Curves/meltCurve_Q5JPE7_2_NOMO2.pdf</v>
      </c>
    </row>
    <row r="3608" spans="1:28" x14ac:dyDescent="0.25">
      <c r="A3608" t="s">
        <v>3611</v>
      </c>
      <c r="B3608">
        <v>0.99930955844802105</v>
      </c>
      <c r="C3608">
        <v>1.2480799057757901</v>
      </c>
      <c r="D3608">
        <v>1.20009648238857</v>
      </c>
      <c r="E3608">
        <v>1.2884988734704299</v>
      </c>
      <c r="F3608">
        <v>1.2895804940890601</v>
      </c>
      <c r="G3608">
        <v>1.1332328524253801</v>
      </c>
      <c r="H3608">
        <v>1.1708179164958501</v>
      </c>
      <c r="I3608">
        <v>1.19779865799578</v>
      </c>
      <c r="J3608">
        <v>1.05000706976965</v>
      </c>
      <c r="K3608">
        <v>0.90895054948849696</v>
      </c>
      <c r="L3608">
        <v>10258.646069115801</v>
      </c>
      <c r="M3608">
        <v>250</v>
      </c>
      <c r="O3608">
        <v>41.031956289727901</v>
      </c>
      <c r="P3608">
        <v>0.25167762169514901</v>
      </c>
      <c r="Q3608">
        <v>1.16522921080974</v>
      </c>
      <c r="R3608">
        <v>0.171351537773763</v>
      </c>
      <c r="S3608" t="s">
        <v>10224</v>
      </c>
      <c r="T3608" t="s">
        <v>13232</v>
      </c>
      <c r="U3608" t="s">
        <v>13232</v>
      </c>
      <c r="V3608" t="s">
        <v>13232</v>
      </c>
      <c r="W3608" t="s">
        <v>16780</v>
      </c>
      <c r="X3608">
        <v>3</v>
      </c>
      <c r="Y3608" t="s">
        <v>23210</v>
      </c>
      <c r="Z3608" t="s">
        <v>29739</v>
      </c>
      <c r="AA3608">
        <v>1.1595178691099719</v>
      </c>
      <c r="AB3608" t="str">
        <f>HYPERLINK("Melting_Curves/meltCurve_Q5JPF3_ANKRD36C.pdf", "Melting_Curves/meltCurve_Q5JPF3_ANKRD36C.pdf")</f>
        <v>Melting_Curves/meltCurve_Q5JPF3_ANKRD36C.pdf</v>
      </c>
    </row>
    <row r="3609" spans="1:28" x14ac:dyDescent="0.25">
      <c r="A3609" t="s">
        <v>3612</v>
      </c>
      <c r="B3609">
        <v>0.99930955844802105</v>
      </c>
      <c r="C3609">
        <v>0.95036678808331598</v>
      </c>
      <c r="D3609">
        <v>0.86977670341175795</v>
      </c>
      <c r="E3609">
        <v>0.77265310421038003</v>
      </c>
      <c r="F3609">
        <v>0.49342730678045399</v>
      </c>
      <c r="G3609">
        <v>0.227043842255302</v>
      </c>
      <c r="H3609">
        <v>0.163263572435219</v>
      </c>
      <c r="I3609">
        <v>8.9696520990653894E-2</v>
      </c>
      <c r="J3609">
        <v>8.3128388304275699E-2</v>
      </c>
      <c r="K3609">
        <v>5.3004111749953203E-2</v>
      </c>
      <c r="L3609">
        <v>868.90415969400601</v>
      </c>
      <c r="M3609">
        <v>16.481595862218601</v>
      </c>
      <c r="N3609">
        <v>53.024716125188803</v>
      </c>
      <c r="O3609">
        <v>51.961862242864903</v>
      </c>
      <c r="P3609">
        <v>-7.5714872077714407E-2</v>
      </c>
      <c r="Q3609">
        <v>4.5235001229988803E-2</v>
      </c>
      <c r="R3609">
        <v>0.994288075668469</v>
      </c>
      <c r="S3609" t="s">
        <v>10225</v>
      </c>
      <c r="T3609" t="s">
        <v>13232</v>
      </c>
      <c r="U3609" t="s">
        <v>13232</v>
      </c>
      <c r="V3609" t="s">
        <v>13232</v>
      </c>
      <c r="W3609" t="s">
        <v>16781</v>
      </c>
      <c r="X3609">
        <v>3</v>
      </c>
      <c r="Y3609" t="s">
        <v>23211</v>
      </c>
      <c r="Z3609" t="s">
        <v>29740</v>
      </c>
      <c r="AA3609">
        <v>0.46811373445703253</v>
      </c>
      <c r="AB3609" t="str">
        <f>HYPERLINK("Melting_Curves/meltCurve_Q5JPI3_2_C3orf38.pdf", "Melting_Curves/meltCurve_Q5JPI3_2_C3orf38.pdf")</f>
        <v>Melting_Curves/meltCurve_Q5JPI3_2_C3orf38.pdf</v>
      </c>
    </row>
    <row r="3610" spans="1:28" x14ac:dyDescent="0.25">
      <c r="A3610" t="s">
        <v>3613</v>
      </c>
      <c r="B3610">
        <v>0.99930955844802105</v>
      </c>
      <c r="C3610">
        <v>1.0599873670187701</v>
      </c>
      <c r="D3610">
        <v>0.83603835139146199</v>
      </c>
      <c r="E3610">
        <v>0.56853341560993897</v>
      </c>
      <c r="F3610">
        <v>0.36503965394507398</v>
      </c>
      <c r="G3610">
        <v>0.29887962856956701</v>
      </c>
      <c r="H3610">
        <v>0.21828750820802001</v>
      </c>
      <c r="I3610">
        <v>0.157205113094876</v>
      </c>
      <c r="J3610">
        <v>0.16028108276060199</v>
      </c>
      <c r="K3610">
        <v>0.12736209719678199</v>
      </c>
      <c r="L3610">
        <v>911.06438690033997</v>
      </c>
      <c r="M3610">
        <v>18.208858339772299</v>
      </c>
      <c r="N3610">
        <v>51.110532554254</v>
      </c>
      <c r="O3610">
        <v>49.442377166228901</v>
      </c>
      <c r="P3610">
        <v>-7.7411854992495893E-2</v>
      </c>
      <c r="Q3610">
        <v>0.15925632407307699</v>
      </c>
      <c r="R3610">
        <v>0.98597459103191698</v>
      </c>
      <c r="S3610" t="s">
        <v>10226</v>
      </c>
      <c r="T3610" t="s">
        <v>13232</v>
      </c>
      <c r="U3610" t="s">
        <v>13232</v>
      </c>
      <c r="V3610" t="s">
        <v>13232</v>
      </c>
      <c r="W3610" t="s">
        <v>16782</v>
      </c>
      <c r="X3610">
        <v>4</v>
      </c>
      <c r="Y3610" t="s">
        <v>23212</v>
      </c>
      <c r="Z3610" t="s">
        <v>29741</v>
      </c>
      <c r="AA3610">
        <v>0.45448146993415389</v>
      </c>
      <c r="AB3610" t="str">
        <f>HYPERLINK("Melting_Curves/meltCurve_Q5JPI9_METTL10.pdf", "Melting_Curves/meltCurve_Q5JPI9_METTL10.pdf")</f>
        <v>Melting_Curves/meltCurve_Q5JPI9_METTL10.pdf</v>
      </c>
    </row>
    <row r="3611" spans="1:28" x14ac:dyDescent="0.25">
      <c r="A3611" t="s">
        <v>3614</v>
      </c>
      <c r="B3611">
        <v>0.99930955844802105</v>
      </c>
      <c r="C3611">
        <v>0.71314764170808498</v>
      </c>
      <c r="D3611">
        <v>0.64176793405314803</v>
      </c>
      <c r="E3611">
        <v>0.58769599544903595</v>
      </c>
      <c r="F3611">
        <v>0.21449023663277</v>
      </c>
      <c r="G3611">
        <v>0.10810806891828401</v>
      </c>
      <c r="H3611">
        <v>5.9647858069199797E-2</v>
      </c>
      <c r="I3611">
        <v>5.4100935652862801E-2</v>
      </c>
      <c r="J3611">
        <v>4.6517456759391597E-2</v>
      </c>
      <c r="K3611">
        <v>3.7934984271179001E-2</v>
      </c>
      <c r="L3611">
        <v>564.75077305635602</v>
      </c>
      <c r="M3611">
        <v>11.5875883051408</v>
      </c>
      <c r="N3611">
        <v>48.737574492768204</v>
      </c>
      <c r="O3611">
        <v>47.3538576108717</v>
      </c>
      <c r="P3611">
        <v>-6.1192409208455499E-2</v>
      </c>
      <c r="Q3611">
        <v>0</v>
      </c>
      <c r="R3611">
        <v>0.95322749167036902</v>
      </c>
      <c r="S3611" t="s">
        <v>10227</v>
      </c>
      <c r="T3611" t="s">
        <v>13232</v>
      </c>
      <c r="U3611" t="s">
        <v>13232</v>
      </c>
      <c r="V3611" t="s">
        <v>13232</v>
      </c>
      <c r="W3611" t="s">
        <v>16783</v>
      </c>
      <c r="X3611">
        <v>11</v>
      </c>
      <c r="Y3611" t="s">
        <v>23213</v>
      </c>
      <c r="Z3611" t="s">
        <v>29742</v>
      </c>
      <c r="AA3611">
        <v>0.33084622728291879</v>
      </c>
      <c r="AB3611" t="str">
        <f>HYPERLINK("Melting_Curves/meltCurve_Q5JR08_RHOC.pdf", "Melting_Curves/meltCurve_Q5JR08_RHOC.pdf")</f>
        <v>Melting_Curves/meltCurve_Q5JR08_RHOC.pdf</v>
      </c>
    </row>
    <row r="3612" spans="1:28" x14ac:dyDescent="0.25">
      <c r="A3612" t="s">
        <v>3615</v>
      </c>
      <c r="B3612">
        <v>0.99930955844802105</v>
      </c>
      <c r="C3612">
        <v>0.97974548936875006</v>
      </c>
      <c r="D3612">
        <v>0.92827576951892798</v>
      </c>
      <c r="E3612">
        <v>0.95347618967551395</v>
      </c>
      <c r="F3612">
        <v>0.73127884073058502</v>
      </c>
      <c r="G3612">
        <v>0.61710055660914098</v>
      </c>
      <c r="H3612">
        <v>0.56235809012416105</v>
      </c>
      <c r="I3612">
        <v>0.62806630384284301</v>
      </c>
      <c r="J3612">
        <v>0.56567138760436597</v>
      </c>
      <c r="K3612">
        <v>0.477626731778106</v>
      </c>
      <c r="L3612">
        <v>1489.92126218928</v>
      </c>
      <c r="M3612">
        <v>28.3168413999874</v>
      </c>
      <c r="O3612">
        <v>52.355785761761503</v>
      </c>
      <c r="P3612">
        <v>-5.99612729089158E-2</v>
      </c>
      <c r="Q3612">
        <v>0.55654760428338601</v>
      </c>
      <c r="R3612">
        <v>0.95140002240458099</v>
      </c>
      <c r="S3612" t="s">
        <v>10228</v>
      </c>
      <c r="T3612" t="s">
        <v>13232</v>
      </c>
      <c r="U3612" t="s">
        <v>13232</v>
      </c>
      <c r="V3612" t="s">
        <v>13232</v>
      </c>
      <c r="W3612" t="s">
        <v>16784</v>
      </c>
      <c r="X3612">
        <v>19</v>
      </c>
      <c r="Y3612" t="s">
        <v>23214</v>
      </c>
      <c r="Z3612" t="s">
        <v>29743</v>
      </c>
      <c r="AA3612">
        <v>0.74623803134608835</v>
      </c>
      <c r="AB3612" t="str">
        <f>HYPERLINK("Melting_Curves/meltCurve_Q5JRA6_2_MIA3.pdf", "Melting_Curves/meltCurve_Q5JRA6_2_MIA3.pdf")</f>
        <v>Melting_Curves/meltCurve_Q5JRA6_2_MIA3.pdf</v>
      </c>
    </row>
    <row r="3613" spans="1:28" x14ac:dyDescent="0.25">
      <c r="A3613" t="s">
        <v>3616</v>
      </c>
      <c r="B3613">
        <v>0.99930955844802105</v>
      </c>
      <c r="C3613">
        <v>1.1892183934885801</v>
      </c>
      <c r="D3613">
        <v>1.07271484892563</v>
      </c>
      <c r="E3613">
        <v>0.92024017083751497</v>
      </c>
      <c r="F3613">
        <v>0.74864747614885696</v>
      </c>
      <c r="G3613">
        <v>0.49143692603662398</v>
      </c>
      <c r="H3613">
        <v>0.33855884753590498</v>
      </c>
      <c r="I3613">
        <v>0.27278876172070499</v>
      </c>
      <c r="J3613">
        <v>0.22179902484948699</v>
      </c>
      <c r="K3613">
        <v>0.15292955347311701</v>
      </c>
      <c r="L3613">
        <v>1048.7898129215901</v>
      </c>
      <c r="M3613">
        <v>18.829317976179599</v>
      </c>
      <c r="N3613">
        <v>57.052544631881098</v>
      </c>
      <c r="O3613">
        <v>55.082984063631997</v>
      </c>
      <c r="P3613">
        <v>-7.0074912698017702E-2</v>
      </c>
      <c r="Q3613">
        <v>0.18004977972083</v>
      </c>
      <c r="R3613">
        <v>0.96432241434407096</v>
      </c>
      <c r="S3613" t="s">
        <v>10229</v>
      </c>
      <c r="T3613" t="s">
        <v>13232</v>
      </c>
      <c r="U3613" t="s">
        <v>13232</v>
      </c>
      <c r="V3613" t="s">
        <v>13232</v>
      </c>
      <c r="W3613" t="s">
        <v>16785</v>
      </c>
      <c r="X3613">
        <v>11</v>
      </c>
      <c r="Y3613" t="s">
        <v>23215</v>
      </c>
      <c r="Z3613" t="s">
        <v>29744</v>
      </c>
      <c r="AA3613">
        <v>0.62074875571570465</v>
      </c>
      <c r="AB3613" t="str">
        <f>HYPERLINK("Melting_Curves/meltCurve_Q5JRG1_NUPL1.pdf", "Melting_Curves/meltCurve_Q5JRG1_NUPL1.pdf")</f>
        <v>Melting_Curves/meltCurve_Q5JRG1_NUPL1.pdf</v>
      </c>
    </row>
    <row r="3614" spans="1:28" x14ac:dyDescent="0.25">
      <c r="A3614" t="s">
        <v>3617</v>
      </c>
      <c r="B3614">
        <v>0.99930955844802105</v>
      </c>
      <c r="C3614">
        <v>0.95961091714138202</v>
      </c>
      <c r="D3614">
        <v>0.91262264249236003</v>
      </c>
      <c r="E3614">
        <v>0.78913143341534497</v>
      </c>
      <c r="F3614">
        <v>0.59425061593552897</v>
      </c>
      <c r="G3614">
        <v>0.32467845728501998</v>
      </c>
      <c r="H3614">
        <v>0.150219541828845</v>
      </c>
      <c r="I3614">
        <v>0.119322792948318</v>
      </c>
      <c r="J3614">
        <v>9.82564860259625E-2</v>
      </c>
      <c r="K3614">
        <v>7.21134182287472E-2</v>
      </c>
      <c r="L3614">
        <v>848.25782961632501</v>
      </c>
      <c r="M3614">
        <v>15.752548497724</v>
      </c>
      <c r="N3614">
        <v>54.168406731336397</v>
      </c>
      <c r="O3614">
        <v>53.003517102718099</v>
      </c>
      <c r="P3614">
        <v>-7.1009545187755499E-2</v>
      </c>
      <c r="Q3614">
        <v>4.4359872572917902E-2</v>
      </c>
      <c r="R3614">
        <v>0.99835443766966603</v>
      </c>
      <c r="S3614" t="s">
        <v>10230</v>
      </c>
      <c r="T3614" t="s">
        <v>13232</v>
      </c>
      <c r="U3614" t="s">
        <v>13232</v>
      </c>
      <c r="V3614" t="s">
        <v>13232</v>
      </c>
      <c r="W3614" t="s">
        <v>16786</v>
      </c>
      <c r="X3614">
        <v>22</v>
      </c>
      <c r="Y3614" t="s">
        <v>23216</v>
      </c>
      <c r="Z3614" t="s">
        <v>29745</v>
      </c>
      <c r="AA3614">
        <v>0.50406138360355823</v>
      </c>
      <c r="AB3614" t="str">
        <f>HYPERLINK("Melting_Curves/meltCurve_Q5JRX3_PITRM1.pdf", "Melting_Curves/meltCurve_Q5JRX3_PITRM1.pdf")</f>
        <v>Melting_Curves/meltCurve_Q5JRX3_PITRM1.pdf</v>
      </c>
    </row>
    <row r="3615" spans="1:28" x14ac:dyDescent="0.25">
      <c r="A3615" t="s">
        <v>3618</v>
      </c>
      <c r="B3615">
        <v>0.99930955844802105</v>
      </c>
      <c r="C3615">
        <v>0.92114446308880105</v>
      </c>
      <c r="D3615">
        <v>0.98529225506252904</v>
      </c>
      <c r="E3615">
        <v>0.91094455055041901</v>
      </c>
      <c r="F3615">
        <v>0.78469882407769498</v>
      </c>
      <c r="G3615">
        <v>0.65161431801109504</v>
      </c>
      <c r="H3615">
        <v>0.51043627053707397</v>
      </c>
      <c r="I3615">
        <v>0.450836182367992</v>
      </c>
      <c r="J3615">
        <v>0.36994501214722603</v>
      </c>
      <c r="K3615">
        <v>0.26525260363738801</v>
      </c>
      <c r="L3615">
        <v>547.86130034601194</v>
      </c>
      <c r="M3615">
        <v>9.0408379079936196</v>
      </c>
      <c r="N3615">
        <v>61.712250933957399</v>
      </c>
      <c r="O3615">
        <v>57.8541824264545</v>
      </c>
      <c r="P3615">
        <v>-3.61523931065207E-2</v>
      </c>
      <c r="Q3615">
        <v>7.5273730295156105E-2</v>
      </c>
      <c r="R3615">
        <v>0.98879367438488797</v>
      </c>
      <c r="S3615" t="s">
        <v>10231</v>
      </c>
      <c r="T3615" t="s">
        <v>13232</v>
      </c>
      <c r="U3615" t="s">
        <v>13232</v>
      </c>
      <c r="V3615" t="s">
        <v>13232</v>
      </c>
      <c r="W3615" t="s">
        <v>16787</v>
      </c>
      <c r="X3615">
        <v>3</v>
      </c>
      <c r="Y3615" t="s">
        <v>23217</v>
      </c>
      <c r="Z3615" t="s">
        <v>29746</v>
      </c>
      <c r="AA3615">
        <v>0.69728530703768243</v>
      </c>
      <c r="AB3615" t="str">
        <f>HYPERLINK("Melting_Curves/meltCurve_Q5JS37_2_NHLRC3.pdf", "Melting_Curves/meltCurve_Q5JS37_2_NHLRC3.pdf")</f>
        <v>Melting_Curves/meltCurve_Q5JS37_2_NHLRC3.pdf</v>
      </c>
    </row>
    <row r="3616" spans="1:28" x14ac:dyDescent="0.25">
      <c r="A3616" t="s">
        <v>3619</v>
      </c>
      <c r="B3616">
        <v>0.99930955844802105</v>
      </c>
      <c r="C3616">
        <v>0.99900495002084899</v>
      </c>
      <c r="D3616">
        <v>1.0820347903796601</v>
      </c>
      <c r="E3616">
        <v>1.0798422655882201</v>
      </c>
      <c r="F3616">
        <v>1.03178312365344</v>
      </c>
      <c r="G3616">
        <v>0.93256467789342701</v>
      </c>
      <c r="H3616">
        <v>0.87054659500986997</v>
      </c>
      <c r="I3616">
        <v>0.767858723889283</v>
      </c>
      <c r="J3616">
        <v>0.59776731786852999</v>
      </c>
      <c r="K3616">
        <v>0.37282935408889001</v>
      </c>
      <c r="L3616">
        <v>1194.63841649509</v>
      </c>
      <c r="M3616">
        <v>17.516031319703501</v>
      </c>
      <c r="N3616">
        <v>68.202574003508104</v>
      </c>
      <c r="O3616">
        <v>67.332243981747894</v>
      </c>
      <c r="P3616">
        <v>-6.5039394456624905E-2</v>
      </c>
      <c r="Q3616">
        <v>0</v>
      </c>
      <c r="R3616">
        <v>0.96437474171123105</v>
      </c>
      <c r="S3616" t="s">
        <v>10232</v>
      </c>
      <c r="T3616" t="s">
        <v>13232</v>
      </c>
      <c r="U3616" t="s">
        <v>13232</v>
      </c>
      <c r="V3616" t="s">
        <v>13232</v>
      </c>
      <c r="W3616" t="s">
        <v>16788</v>
      </c>
      <c r="X3616">
        <v>5</v>
      </c>
      <c r="Y3616" t="s">
        <v>23218</v>
      </c>
      <c r="Z3616" t="s">
        <v>29747</v>
      </c>
      <c r="AA3616">
        <v>0.88703851690617552</v>
      </c>
      <c r="AB3616" t="str">
        <f>HYPERLINK("Melting_Curves/meltCurve_Q5JS54_PSMG4.pdf", "Melting_Curves/meltCurve_Q5JS54_PSMG4.pdf")</f>
        <v>Melting_Curves/meltCurve_Q5JS54_PSMG4.pdf</v>
      </c>
    </row>
    <row r="3617" spans="1:28" x14ac:dyDescent="0.25">
      <c r="A3617" t="s">
        <v>3620</v>
      </c>
      <c r="B3617">
        <v>0.99930955844802105</v>
      </c>
      <c r="C3617">
        <v>0.89889099752656099</v>
      </c>
      <c r="D3617">
        <v>0.93915938480321604</v>
      </c>
      <c r="E3617">
        <v>0.86246746582313305</v>
      </c>
      <c r="F3617">
        <v>0.68858588104958596</v>
      </c>
      <c r="G3617">
        <v>0.47969436049095998</v>
      </c>
      <c r="H3617">
        <v>0.442113333075278</v>
      </c>
      <c r="I3617">
        <v>0.45108102570549202</v>
      </c>
      <c r="J3617">
        <v>0.433193087318478</v>
      </c>
      <c r="K3617">
        <v>0.36138406223064201</v>
      </c>
      <c r="L3617">
        <v>952.18139402620795</v>
      </c>
      <c r="M3617">
        <v>18.064978534649399</v>
      </c>
      <c r="N3617">
        <v>57.638323417109802</v>
      </c>
      <c r="O3617">
        <v>52.075535258699396</v>
      </c>
      <c r="P3617">
        <v>-5.2614327908401003E-2</v>
      </c>
      <c r="Q3617">
        <v>0.39334862597786002</v>
      </c>
      <c r="R3617">
        <v>0.97405230537413601</v>
      </c>
      <c r="S3617" t="s">
        <v>10233</v>
      </c>
      <c r="T3617" t="s">
        <v>13232</v>
      </c>
      <c r="U3617" t="s">
        <v>13232</v>
      </c>
      <c r="V3617" t="s">
        <v>13232</v>
      </c>
      <c r="W3617" t="s">
        <v>16789</v>
      </c>
      <c r="X3617">
        <v>4</v>
      </c>
      <c r="Y3617" t="s">
        <v>23219</v>
      </c>
      <c r="Z3617" t="s">
        <v>29748</v>
      </c>
      <c r="AA3617">
        <v>0.66026736963473498</v>
      </c>
      <c r="AB3617" t="str">
        <f>HYPERLINK("Melting_Curves/meltCurve_Q5JSB5_TFDP1.pdf", "Melting_Curves/meltCurve_Q5JSB5_TFDP1.pdf")</f>
        <v>Melting_Curves/meltCurve_Q5JSB5_TFDP1.pdf</v>
      </c>
    </row>
    <row r="3618" spans="1:28" x14ac:dyDescent="0.25">
      <c r="A3618" t="s">
        <v>3621</v>
      </c>
      <c r="B3618">
        <v>0.99930955844802105</v>
      </c>
      <c r="C3618">
        <v>1.0098342220434899</v>
      </c>
      <c r="D3618">
        <v>0.97214723158328897</v>
      </c>
      <c r="E3618">
        <v>0.87178806961979505</v>
      </c>
      <c r="F3618">
        <v>0.62640334151202903</v>
      </c>
      <c r="G3618">
        <v>0.48881489761580299</v>
      </c>
      <c r="H3618">
        <v>0.49841866053291001</v>
      </c>
      <c r="I3618">
        <v>0.50921932163928796</v>
      </c>
      <c r="J3618">
        <v>0.49503000194660701</v>
      </c>
      <c r="K3618">
        <v>0.41783534340783601</v>
      </c>
      <c r="L3618">
        <v>1759.8343661762101</v>
      </c>
      <c r="M3618">
        <v>34.110542504869699</v>
      </c>
      <c r="N3618">
        <v>56.724246694502497</v>
      </c>
      <c r="O3618">
        <v>51.415741125504802</v>
      </c>
      <c r="P3618">
        <v>-8.6716487981828697E-2</v>
      </c>
      <c r="Q3618">
        <v>0.47716163633983599</v>
      </c>
      <c r="R3618">
        <v>0.98929428568227595</v>
      </c>
      <c r="S3618" t="s">
        <v>10234</v>
      </c>
      <c r="T3618" t="s">
        <v>13232</v>
      </c>
      <c r="U3618" t="s">
        <v>13232</v>
      </c>
      <c r="V3618" t="s">
        <v>13232</v>
      </c>
      <c r="W3618" t="s">
        <v>16790</v>
      </c>
      <c r="X3618">
        <v>42</v>
      </c>
      <c r="Y3618" t="s">
        <v>23220</v>
      </c>
      <c r="Z3618" t="s">
        <v>29749</v>
      </c>
      <c r="AA3618">
        <v>0.68175545169498852</v>
      </c>
      <c r="AB3618" t="str">
        <f>HYPERLINK("Melting_Curves/meltCurve_Q5JSH3_2_WDR44.pdf", "Melting_Curves/meltCurve_Q5JSH3_2_WDR44.pdf")</f>
        <v>Melting_Curves/meltCurve_Q5JSH3_2_WDR44.pdf</v>
      </c>
    </row>
    <row r="3619" spans="1:28" x14ac:dyDescent="0.25">
      <c r="A3619" t="s">
        <v>3622</v>
      </c>
      <c r="B3619">
        <v>0.99930955844802105</v>
      </c>
      <c r="C3619">
        <v>0.74879136357740705</v>
      </c>
      <c r="D3619">
        <v>0.69857914197471405</v>
      </c>
      <c r="E3619">
        <v>0.45012766673978299</v>
      </c>
      <c r="F3619">
        <v>0.219119098380366</v>
      </c>
      <c r="G3619">
        <v>0.17796490857775399</v>
      </c>
      <c r="H3619">
        <v>8.7282602493299499E-2</v>
      </c>
      <c r="I3619">
        <v>0.106505388704313</v>
      </c>
      <c r="J3619">
        <v>0.104443783406325</v>
      </c>
      <c r="K3619">
        <v>7.8734124319791196E-2</v>
      </c>
      <c r="L3619">
        <v>635.53535527887004</v>
      </c>
      <c r="M3619">
        <v>13.242206624769301</v>
      </c>
      <c r="N3619">
        <v>48.4884398243939</v>
      </c>
      <c r="O3619">
        <v>46.938301904086202</v>
      </c>
      <c r="P3619">
        <v>-6.6079189965639898E-2</v>
      </c>
      <c r="Q3619">
        <v>6.3257720800532699E-2</v>
      </c>
      <c r="R3619">
        <v>0.98131198299820399</v>
      </c>
      <c r="S3619" t="s">
        <v>10235</v>
      </c>
      <c r="T3619" t="s">
        <v>13232</v>
      </c>
      <c r="U3619" t="s">
        <v>13232</v>
      </c>
      <c r="V3619" t="s">
        <v>13232</v>
      </c>
      <c r="W3619" t="s">
        <v>16791</v>
      </c>
      <c r="X3619">
        <v>1</v>
      </c>
      <c r="Y3619" t="s">
        <v>23221</v>
      </c>
      <c r="Z3619" t="s">
        <v>29750</v>
      </c>
      <c r="AA3619">
        <v>0.34350053224546101</v>
      </c>
      <c r="AB3619" t="str">
        <f>HYPERLINK("Melting_Curves/meltCurve_Q5JSJ4_DDX26B.pdf", "Melting_Curves/meltCurve_Q5JSJ4_DDX26B.pdf")</f>
        <v>Melting_Curves/meltCurve_Q5JSJ4_DDX26B.pdf</v>
      </c>
    </row>
    <row r="3620" spans="1:28" x14ac:dyDescent="0.25">
      <c r="A3620" t="s">
        <v>3623</v>
      </c>
      <c r="B3620">
        <v>0.99930955844802105</v>
      </c>
      <c r="C3620">
        <v>0.72401523407272905</v>
      </c>
      <c r="D3620">
        <v>0.78691384937578401</v>
      </c>
      <c r="E3620">
        <v>0.73841728760840197</v>
      </c>
      <c r="F3620">
        <v>0.24503187097589499</v>
      </c>
      <c r="G3620">
        <v>0.17344725462803201</v>
      </c>
      <c r="H3620">
        <v>0.11143853375907101</v>
      </c>
      <c r="I3620">
        <v>0.106667199290851</v>
      </c>
      <c r="J3620">
        <v>0.100203276198966</v>
      </c>
      <c r="K3620">
        <v>7.76959980081465E-2</v>
      </c>
      <c r="L3620">
        <v>628.10840463034197</v>
      </c>
      <c r="M3620">
        <v>12.445132593329401</v>
      </c>
      <c r="N3620">
        <v>50.712843768548197</v>
      </c>
      <c r="O3620">
        <v>49.220236993331397</v>
      </c>
      <c r="P3620">
        <v>-6.1397332006310201E-2</v>
      </c>
      <c r="Q3620">
        <v>2.89030961897466E-2</v>
      </c>
      <c r="R3620">
        <v>0.921228866085121</v>
      </c>
      <c r="S3620" t="s">
        <v>10236</v>
      </c>
      <c r="T3620" t="s">
        <v>13232</v>
      </c>
      <c r="U3620" t="s">
        <v>13232</v>
      </c>
      <c r="V3620" t="s">
        <v>13232</v>
      </c>
      <c r="W3620" t="s">
        <v>16792</v>
      </c>
      <c r="X3620">
        <v>42</v>
      </c>
      <c r="Y3620" t="s">
        <v>23222</v>
      </c>
      <c r="Z3620" t="s">
        <v>29751</v>
      </c>
      <c r="AA3620">
        <v>0.39875610558264007</v>
      </c>
      <c r="AB3620" t="str">
        <f>HYPERLINK("Melting_Curves/meltCurve_Q5JSL3_DOCK11.pdf", "Melting_Curves/meltCurve_Q5JSL3_DOCK11.pdf")</f>
        <v>Melting_Curves/meltCurve_Q5JSL3_DOCK11.pdf</v>
      </c>
    </row>
    <row r="3621" spans="1:28" x14ac:dyDescent="0.25">
      <c r="A3621" t="s">
        <v>3624</v>
      </c>
      <c r="B3621">
        <v>0.99930955844802105</v>
      </c>
      <c r="C3621">
        <v>1.16626584446005</v>
      </c>
      <c r="D3621">
        <v>1.10944371125667</v>
      </c>
      <c r="E3621">
        <v>1.1027868904453</v>
      </c>
      <c r="F3621">
        <v>1.02800106739332</v>
      </c>
      <c r="G3621">
        <v>0.94237353191573803</v>
      </c>
      <c r="H3621">
        <v>1.05045328624867</v>
      </c>
      <c r="I3621">
        <v>1.1435196619063099</v>
      </c>
      <c r="J3621">
        <v>1.14905412648974</v>
      </c>
      <c r="K3621">
        <v>0.928338161352813</v>
      </c>
      <c r="L3621">
        <v>10252.219169849999</v>
      </c>
      <c r="M3621">
        <v>250</v>
      </c>
      <c r="O3621">
        <v>41.006252573290297</v>
      </c>
      <c r="P3621">
        <v>0.105037222317167</v>
      </c>
      <c r="Q3621">
        <v>1.0689149254868999</v>
      </c>
      <c r="R3621">
        <v>6.5651029139176198E-2</v>
      </c>
      <c r="S3621" t="s">
        <v>10237</v>
      </c>
      <c r="T3621" t="s">
        <v>13232</v>
      </c>
      <c r="U3621" t="s">
        <v>13232</v>
      </c>
      <c r="V3621" t="s">
        <v>13232</v>
      </c>
      <c r="W3621" t="s">
        <v>16793</v>
      </c>
      <c r="X3621">
        <v>30</v>
      </c>
      <c r="Y3621" t="s">
        <v>23223</v>
      </c>
      <c r="Z3621" t="s">
        <v>29752</v>
      </c>
      <c r="AA3621">
        <v>1.0665917612302609</v>
      </c>
      <c r="AB3621" t="str">
        <f>HYPERLINK("Melting_Curves/meltCurve_Q5JSZ5_PRRC2B.pdf", "Melting_Curves/meltCurve_Q5JSZ5_PRRC2B.pdf")</f>
        <v>Melting_Curves/meltCurve_Q5JSZ5_PRRC2B.pdf</v>
      </c>
    </row>
    <row r="3622" spans="1:28" x14ac:dyDescent="0.25">
      <c r="A3622" t="s">
        <v>3625</v>
      </c>
      <c r="B3622">
        <v>0.99930955844802105</v>
      </c>
      <c r="C3622">
        <v>1.0608645245772299</v>
      </c>
      <c r="D3622">
        <v>1.05246808298853</v>
      </c>
      <c r="E3622">
        <v>0.94565525337697398</v>
      </c>
      <c r="F3622">
        <v>0.80880834391225498</v>
      </c>
      <c r="G3622">
        <v>0.65670426755658995</v>
      </c>
      <c r="H3622">
        <v>0.62793121460974199</v>
      </c>
      <c r="I3622">
        <v>0.68399466327883196</v>
      </c>
      <c r="J3622">
        <v>0.67283939064304898</v>
      </c>
      <c r="K3622">
        <v>0.57123051241584599</v>
      </c>
      <c r="L3622">
        <v>1878.3637366120399</v>
      </c>
      <c r="M3622">
        <v>35.596628901374103</v>
      </c>
      <c r="O3622">
        <v>52.602342240648802</v>
      </c>
      <c r="P3622">
        <v>-6.1364252237169098E-2</v>
      </c>
      <c r="Q3622">
        <v>0.63728124062981195</v>
      </c>
      <c r="R3622">
        <v>0.95465497327706195</v>
      </c>
      <c r="S3622" t="s">
        <v>10238</v>
      </c>
      <c r="T3622" t="s">
        <v>13232</v>
      </c>
      <c r="U3622" t="s">
        <v>13232</v>
      </c>
      <c r="V3622" t="s">
        <v>13232</v>
      </c>
      <c r="W3622" t="s">
        <v>16794</v>
      </c>
      <c r="X3622">
        <v>17</v>
      </c>
      <c r="Y3622" t="s">
        <v>23224</v>
      </c>
      <c r="Z3622" t="s">
        <v>29753</v>
      </c>
      <c r="AA3622">
        <v>0.79332437603910255</v>
      </c>
      <c r="AB3622" t="str">
        <f>HYPERLINK("Melting_Curves/meltCurve_Q5JTD0_2_TJAP1.pdf", "Melting_Curves/meltCurve_Q5JTD0_2_TJAP1.pdf")</f>
        <v>Melting_Curves/meltCurve_Q5JTD0_2_TJAP1.pdf</v>
      </c>
    </row>
    <row r="3623" spans="1:28" x14ac:dyDescent="0.25">
      <c r="A3623" t="s">
        <v>3626</v>
      </c>
      <c r="B3623">
        <v>0.99930955844802105</v>
      </c>
      <c r="C3623">
        <v>0.79852779338187996</v>
      </c>
      <c r="D3623">
        <v>0.47422348429789601</v>
      </c>
      <c r="E3623">
        <v>0.36608692858167202</v>
      </c>
      <c r="F3623">
        <v>0.28957573756010502</v>
      </c>
      <c r="G3623">
        <v>0.212787162636347</v>
      </c>
      <c r="H3623">
        <v>0.182958963602108</v>
      </c>
      <c r="I3623">
        <v>0.21029535391603801</v>
      </c>
      <c r="J3623">
        <v>0.21889785940043699</v>
      </c>
      <c r="K3623">
        <v>0.16013881152684201</v>
      </c>
      <c r="L3623">
        <v>879.11578690248098</v>
      </c>
      <c r="M3623">
        <v>19.467071612229599</v>
      </c>
      <c r="N3623">
        <v>46.415057918092401</v>
      </c>
      <c r="O3623">
        <v>44.690684287951797</v>
      </c>
      <c r="P3623">
        <v>-8.6605972571883197E-2</v>
      </c>
      <c r="Q3623">
        <v>0.204741241363502</v>
      </c>
      <c r="R3623">
        <v>0.97995529453587205</v>
      </c>
      <c r="S3623" t="s">
        <v>10239</v>
      </c>
      <c r="T3623" t="s">
        <v>13232</v>
      </c>
      <c r="U3623" t="s">
        <v>13232</v>
      </c>
      <c r="V3623" t="s">
        <v>13232</v>
      </c>
      <c r="W3623" t="s">
        <v>16795</v>
      </c>
      <c r="X3623">
        <v>29</v>
      </c>
      <c r="Y3623" t="s">
        <v>23225</v>
      </c>
      <c r="Z3623" t="s">
        <v>29754</v>
      </c>
      <c r="AA3623">
        <v>0.3555893209687529</v>
      </c>
      <c r="AB3623" t="str">
        <f>HYPERLINK("Melting_Curves/meltCurve_Q5JTH9_RRP12.pdf", "Melting_Curves/meltCurve_Q5JTH9_RRP12.pdf")</f>
        <v>Melting_Curves/meltCurve_Q5JTH9_RRP12.pdf</v>
      </c>
    </row>
    <row r="3624" spans="1:28" x14ac:dyDescent="0.25">
      <c r="A3624" t="s">
        <v>3627</v>
      </c>
      <c r="B3624">
        <v>0.99930955844802105</v>
      </c>
      <c r="C3624">
        <v>0.97611845589947499</v>
      </c>
      <c r="D3624">
        <v>1.0012507125727099</v>
      </c>
      <c r="E3624">
        <v>0.95769352210590097</v>
      </c>
      <c r="F3624">
        <v>0.83858670649367795</v>
      </c>
      <c r="G3624">
        <v>0.77800160039119903</v>
      </c>
      <c r="H3624">
        <v>0.71931227014268495</v>
      </c>
      <c r="I3624">
        <v>0.79739569414565303</v>
      </c>
      <c r="J3624">
        <v>0.76127217852344098</v>
      </c>
      <c r="K3624">
        <v>0.61969467995838401</v>
      </c>
      <c r="L3624">
        <v>1019.30222023563</v>
      </c>
      <c r="M3624">
        <v>19.139642553682901</v>
      </c>
      <c r="O3624">
        <v>52.684925202484401</v>
      </c>
      <c r="P3624">
        <v>-2.6139378233006799E-2</v>
      </c>
      <c r="Q3624">
        <v>0.71219988604749995</v>
      </c>
      <c r="R3624">
        <v>0.88341474726069902</v>
      </c>
      <c r="S3624" t="s">
        <v>10240</v>
      </c>
      <c r="T3624" t="s">
        <v>13232</v>
      </c>
      <c r="U3624" t="s">
        <v>13232</v>
      </c>
      <c r="V3624" t="s">
        <v>13232</v>
      </c>
      <c r="W3624" t="s">
        <v>16796</v>
      </c>
      <c r="X3624">
        <v>11</v>
      </c>
      <c r="Y3624" t="s">
        <v>23226</v>
      </c>
      <c r="Z3624" t="s">
        <v>29755</v>
      </c>
      <c r="AA3624">
        <v>0.8436180283470518</v>
      </c>
      <c r="AB3624" t="str">
        <f>HYPERLINK("Melting_Curves/meltCurve_Q5JTJ3_3_COA6.pdf", "Melting_Curves/meltCurve_Q5JTJ3_3_COA6.pdf")</f>
        <v>Melting_Curves/meltCurve_Q5JTJ3_3_COA6.pdf</v>
      </c>
    </row>
    <row r="3625" spans="1:28" x14ac:dyDescent="0.25">
      <c r="A3625" t="s">
        <v>3628</v>
      </c>
      <c r="B3625">
        <v>0.99930955844802105</v>
      </c>
      <c r="C3625">
        <v>1.13534279621498</v>
      </c>
      <c r="D3625">
        <v>1.11179069351657</v>
      </c>
      <c r="E3625">
        <v>0.98550627324596096</v>
      </c>
      <c r="F3625">
        <v>0.78101948765036</v>
      </c>
      <c r="G3625">
        <v>0.575620826518916</v>
      </c>
      <c r="H3625">
        <v>0.35946793379129599</v>
      </c>
      <c r="I3625">
        <v>0.251197191216391</v>
      </c>
      <c r="J3625">
        <v>0.20693798393307</v>
      </c>
      <c r="K3625">
        <v>0.172572274154423</v>
      </c>
      <c r="L3625">
        <v>1087.6579295855499</v>
      </c>
      <c r="M3625">
        <v>19.132568870874199</v>
      </c>
      <c r="N3625">
        <v>58.0402189693976</v>
      </c>
      <c r="O3625">
        <v>56.238383693733397</v>
      </c>
      <c r="P3625">
        <v>-7.1238784554123594E-2</v>
      </c>
      <c r="Q3625">
        <v>0.16243368989502299</v>
      </c>
      <c r="R3625">
        <v>0.97206261585729403</v>
      </c>
      <c r="S3625" t="s">
        <v>10241</v>
      </c>
      <c r="T3625" t="s">
        <v>13232</v>
      </c>
      <c r="U3625" t="s">
        <v>13232</v>
      </c>
      <c r="V3625" t="s">
        <v>13232</v>
      </c>
      <c r="W3625" t="s">
        <v>16797</v>
      </c>
      <c r="X3625">
        <v>9</v>
      </c>
      <c r="Y3625" t="s">
        <v>23227</v>
      </c>
      <c r="Z3625" t="s">
        <v>29756</v>
      </c>
      <c r="AA3625">
        <v>0.64372491249854868</v>
      </c>
      <c r="AB3625" t="str">
        <f>HYPERLINK("Melting_Curves/meltCurve_Q5JTV1_GMEB2.pdf", "Melting_Curves/meltCurve_Q5JTV1_GMEB2.pdf")</f>
        <v>Melting_Curves/meltCurve_Q5JTV1_GMEB2.pdf</v>
      </c>
    </row>
    <row r="3626" spans="1:28" x14ac:dyDescent="0.25">
      <c r="A3626" t="s">
        <v>3629</v>
      </c>
      <c r="B3626">
        <v>0.99930955844802105</v>
      </c>
      <c r="C3626">
        <v>0.96393360467455602</v>
      </c>
      <c r="D3626">
        <v>1.0554069133075601</v>
      </c>
      <c r="E3626">
        <v>0.90758103199200302</v>
      </c>
      <c r="F3626">
        <v>0.744650483232419</v>
      </c>
      <c r="G3626">
        <v>0.60669793463681698</v>
      </c>
      <c r="H3626">
        <v>0.59616192987636296</v>
      </c>
      <c r="I3626">
        <v>0.57763667090790105</v>
      </c>
      <c r="J3626">
        <v>0.50130246230410602</v>
      </c>
      <c r="K3626">
        <v>0.50262479648905001</v>
      </c>
      <c r="L3626">
        <v>1278.5815837738701</v>
      </c>
      <c r="M3626">
        <v>24.192193798860998</v>
      </c>
      <c r="O3626">
        <v>52.493846809010599</v>
      </c>
      <c r="P3626">
        <v>-5.3469140745733799E-2</v>
      </c>
      <c r="Q3626">
        <v>0.53592337949497004</v>
      </c>
      <c r="R3626">
        <v>0.97246437433571598</v>
      </c>
      <c r="S3626" t="s">
        <v>10242</v>
      </c>
      <c r="T3626" t="s">
        <v>13232</v>
      </c>
      <c r="U3626" t="s">
        <v>13232</v>
      </c>
      <c r="V3626" t="s">
        <v>13232</v>
      </c>
      <c r="W3626" t="s">
        <v>14096</v>
      </c>
      <c r="X3626">
        <v>7</v>
      </c>
      <c r="Y3626" t="s">
        <v>20626</v>
      </c>
      <c r="Z3626" t="s">
        <v>29757</v>
      </c>
      <c r="AA3626">
        <v>0.73925768393406277</v>
      </c>
      <c r="AB3626" t="str">
        <f>HYPERLINK("Melting_Curves/meltCurve_Q5JTV8_TOR1AIP1.pdf", "Melting_Curves/meltCurve_Q5JTV8_TOR1AIP1.pdf")</f>
        <v>Melting_Curves/meltCurve_Q5JTV8_TOR1AIP1.pdf</v>
      </c>
    </row>
    <row r="3627" spans="1:28" x14ac:dyDescent="0.25">
      <c r="A3627" t="s">
        <v>3630</v>
      </c>
      <c r="B3627">
        <v>0.99930955844802105</v>
      </c>
      <c r="C3627">
        <v>0.685838944864397</v>
      </c>
      <c r="D3627">
        <v>0.48858842966221</v>
      </c>
      <c r="E3627">
        <v>0.36336453322406198</v>
      </c>
      <c r="F3627">
        <v>0.24586578095380701</v>
      </c>
      <c r="G3627">
        <v>0.187796517964014</v>
      </c>
      <c r="H3627">
        <v>0.13594861370692299</v>
      </c>
      <c r="I3627">
        <v>0.12892551346314299</v>
      </c>
      <c r="J3627">
        <v>0.117526758476246</v>
      </c>
      <c r="K3627">
        <v>9.1057601978328406E-2</v>
      </c>
      <c r="L3627">
        <v>630.28519993139105</v>
      </c>
      <c r="M3627">
        <v>13.808218728374801</v>
      </c>
      <c r="N3627">
        <v>46.517910859889703</v>
      </c>
      <c r="O3627">
        <v>44.720245744450096</v>
      </c>
      <c r="P3627">
        <v>-6.8397486126041407E-2</v>
      </c>
      <c r="Q3627">
        <v>0.11405654623026799</v>
      </c>
      <c r="R3627">
        <v>0.97416504901785494</v>
      </c>
      <c r="S3627" t="s">
        <v>10243</v>
      </c>
      <c r="T3627" t="s">
        <v>13232</v>
      </c>
      <c r="U3627" t="s">
        <v>13232</v>
      </c>
      <c r="V3627" t="s">
        <v>13232</v>
      </c>
      <c r="W3627" t="s">
        <v>16798</v>
      </c>
      <c r="X3627">
        <v>11</v>
      </c>
      <c r="Y3627" t="s">
        <v>23228</v>
      </c>
      <c r="Z3627" t="s">
        <v>29758</v>
      </c>
      <c r="AA3627">
        <v>0.31244716753110252</v>
      </c>
      <c r="AB3627" t="str">
        <f>HYPERLINK("Melting_Curves/meltCurve_Q5JTZ9_AARS2.pdf", "Melting_Curves/meltCurve_Q5JTZ9_AARS2.pdf")</f>
        <v>Melting_Curves/meltCurve_Q5JTZ9_AARS2.pdf</v>
      </c>
    </row>
    <row r="3628" spans="1:28" x14ac:dyDescent="0.25">
      <c r="A3628" t="s">
        <v>3631</v>
      </c>
      <c r="B3628">
        <v>0.99930955844802105</v>
      </c>
      <c r="C3628">
        <v>0.320768550084161</v>
      </c>
      <c r="D3628">
        <v>0.144238504889972</v>
      </c>
      <c r="E3628">
        <v>0.13327536801350701</v>
      </c>
      <c r="F3628">
        <v>0.101564168705243</v>
      </c>
      <c r="G3628">
        <v>8.7654385721123607E-2</v>
      </c>
      <c r="H3628">
        <v>2.4194104783652502E-2</v>
      </c>
      <c r="I3628">
        <v>2.13566817975939E-2</v>
      </c>
      <c r="J3628">
        <v>0</v>
      </c>
      <c r="K3628">
        <v>0</v>
      </c>
      <c r="L3628">
        <v>2947.4790472027598</v>
      </c>
      <c r="M3628">
        <v>69.661102950267605</v>
      </c>
      <c r="N3628">
        <v>42.394148973096897</v>
      </c>
      <c r="O3628">
        <v>42.276870414350498</v>
      </c>
      <c r="P3628">
        <v>-0.385841831533067</v>
      </c>
      <c r="Q3628">
        <v>6.3340813000920496E-2</v>
      </c>
      <c r="R3628">
        <v>0.97023811676748595</v>
      </c>
      <c r="S3628" t="s">
        <v>10244</v>
      </c>
      <c r="T3628" t="s">
        <v>13232</v>
      </c>
      <c r="U3628" t="s">
        <v>13232</v>
      </c>
      <c r="V3628" t="s">
        <v>13232</v>
      </c>
      <c r="W3628" t="s">
        <v>16799</v>
      </c>
      <c r="X3628">
        <v>1</v>
      </c>
      <c r="Y3628" t="s">
        <v>23229</v>
      </c>
      <c r="Z3628" t="s">
        <v>29759</v>
      </c>
      <c r="AA3628">
        <v>0.13670650344700161</v>
      </c>
      <c r="AB3628" t="str">
        <f>HYPERLINK("Melting_Curves/meltCurve_Q5JU21_FPGS.pdf", "Melting_Curves/meltCurve_Q5JU21_FPGS.pdf")</f>
        <v>Melting_Curves/meltCurve_Q5JU21_FPGS.pdf</v>
      </c>
    </row>
    <row r="3629" spans="1:28" x14ac:dyDescent="0.25">
      <c r="A3629" t="s">
        <v>3632</v>
      </c>
      <c r="B3629">
        <v>0.99930955844802105</v>
      </c>
      <c r="C3629">
        <v>0.94251573144989598</v>
      </c>
      <c r="D3629">
        <v>0.88479037784263603</v>
      </c>
      <c r="E3629">
        <v>0.68081092985682001</v>
      </c>
      <c r="F3629">
        <v>0.530775025067314</v>
      </c>
      <c r="G3629">
        <v>0.47706781545855798</v>
      </c>
      <c r="H3629">
        <v>0.54446244016149503</v>
      </c>
      <c r="I3629">
        <v>0.65494790716745899</v>
      </c>
      <c r="J3629">
        <v>0.71457788057266702</v>
      </c>
      <c r="K3629">
        <v>0.552201921255427</v>
      </c>
      <c r="L3629">
        <v>1448.9711388696001</v>
      </c>
      <c r="M3629">
        <v>30.555438535302802</v>
      </c>
      <c r="O3629">
        <v>47.219331441121703</v>
      </c>
      <c r="P3629">
        <v>-6.7925782910756599E-2</v>
      </c>
      <c r="Q3629">
        <v>0.58012184247395404</v>
      </c>
      <c r="R3629">
        <v>0.85881776349569094</v>
      </c>
      <c r="S3629" t="s">
        <v>10245</v>
      </c>
      <c r="T3629" t="s">
        <v>13232</v>
      </c>
      <c r="U3629" t="s">
        <v>13232</v>
      </c>
      <c r="V3629" t="s">
        <v>13232</v>
      </c>
      <c r="W3629" t="s">
        <v>16800</v>
      </c>
      <c r="X3629">
        <v>7</v>
      </c>
      <c r="Y3629" t="s">
        <v>23230</v>
      </c>
      <c r="Z3629" t="s">
        <v>29760</v>
      </c>
      <c r="AA3629">
        <v>0.68640879194234528</v>
      </c>
      <c r="AB3629" t="str">
        <f>HYPERLINK("Melting_Curves/meltCurve_Q5JU85_3_IQSEC2.pdf", "Melting_Curves/meltCurve_Q5JU85_3_IQSEC2.pdf")</f>
        <v>Melting_Curves/meltCurve_Q5JU85_3_IQSEC2.pdf</v>
      </c>
    </row>
    <row r="3630" spans="1:28" x14ac:dyDescent="0.25">
      <c r="A3630" t="s">
        <v>3633</v>
      </c>
      <c r="B3630">
        <v>0.99930955844802105</v>
      </c>
      <c r="C3630">
        <v>1.01292106884481</v>
      </c>
      <c r="D3630">
        <v>0.96812926226352702</v>
      </c>
      <c r="E3630">
        <v>0.90187004254723302</v>
      </c>
      <c r="F3630">
        <v>0.80299080614298801</v>
      </c>
      <c r="G3630">
        <v>0.67946246424221202</v>
      </c>
      <c r="H3630">
        <v>0.61248045337607504</v>
      </c>
      <c r="I3630">
        <v>0.560350352685273</v>
      </c>
      <c r="J3630">
        <v>0.608854323627256</v>
      </c>
      <c r="K3630">
        <v>0.44016001850743702</v>
      </c>
      <c r="L3630">
        <v>672.30327494559594</v>
      </c>
      <c r="M3630">
        <v>12.066038530574801</v>
      </c>
      <c r="O3630">
        <v>54.254393812640899</v>
      </c>
      <c r="P3630">
        <v>-2.9602892285657E-2</v>
      </c>
      <c r="Q3630">
        <v>0.467693373294708</v>
      </c>
      <c r="R3630">
        <v>0.96711333482910899</v>
      </c>
      <c r="S3630" t="s">
        <v>10246</v>
      </c>
      <c r="T3630" t="s">
        <v>13232</v>
      </c>
      <c r="U3630" t="s">
        <v>13232</v>
      </c>
      <c r="V3630" t="s">
        <v>13232</v>
      </c>
      <c r="W3630" t="s">
        <v>16801</v>
      </c>
      <c r="X3630">
        <v>1</v>
      </c>
      <c r="Y3630" t="s">
        <v>23231</v>
      </c>
      <c r="Z3630" t="s">
        <v>29761</v>
      </c>
      <c r="AA3630">
        <v>0.75790193476038137</v>
      </c>
      <c r="AB3630" t="str">
        <f>HYPERLINK("Melting_Curves/meltCurve_Q5JUL1_PAGE5.pdf", "Melting_Curves/meltCurve_Q5JUL1_PAGE5.pdf")</f>
        <v>Melting_Curves/meltCurve_Q5JUL1_PAGE5.pdf</v>
      </c>
    </row>
    <row r="3631" spans="1:28" x14ac:dyDescent="0.25">
      <c r="A3631" t="s">
        <v>3634</v>
      </c>
      <c r="B3631">
        <v>0.99930955844802105</v>
      </c>
      <c r="C3631">
        <v>0.96322013025653397</v>
      </c>
      <c r="D3631">
        <v>0.795648324034538</v>
      </c>
      <c r="E3631">
        <v>0.46654730663800698</v>
      </c>
      <c r="F3631">
        <v>0.310324385473006</v>
      </c>
      <c r="G3631">
        <v>0.15975542795816799</v>
      </c>
      <c r="H3631">
        <v>4.1680994672263702E-2</v>
      </c>
      <c r="I3631">
        <v>2.9419910716797899E-2</v>
      </c>
      <c r="J3631">
        <v>3.2712914514827003E-2</v>
      </c>
      <c r="K3631">
        <v>1.94910815126015E-2</v>
      </c>
      <c r="L3631">
        <v>797.43116621208605</v>
      </c>
      <c r="M3631">
        <v>15.978413691878</v>
      </c>
      <c r="N3631">
        <v>49.977361576465398</v>
      </c>
      <c r="O3631">
        <v>49.144700102422703</v>
      </c>
      <c r="P3631">
        <v>-8.0382054575855802E-2</v>
      </c>
      <c r="Q3631">
        <v>1.1155790820260201E-2</v>
      </c>
      <c r="R3631">
        <v>0.99715223116622798</v>
      </c>
      <c r="S3631" t="s">
        <v>10247</v>
      </c>
      <c r="T3631" t="s">
        <v>13232</v>
      </c>
      <c r="U3631" t="s">
        <v>13232</v>
      </c>
      <c r="V3631" t="s">
        <v>13232</v>
      </c>
      <c r="W3631" t="s">
        <v>16802</v>
      </c>
      <c r="X3631">
        <v>2</v>
      </c>
      <c r="Y3631" t="s">
        <v>23232</v>
      </c>
      <c r="Z3631" t="s">
        <v>29762</v>
      </c>
      <c r="AA3631">
        <v>0.35879767664390261</v>
      </c>
      <c r="AB3631" t="str">
        <f>HYPERLINK("Melting_Curves/meltCurve_Q5JUR7_TEX30.pdf", "Melting_Curves/meltCurve_Q5JUR7_TEX30.pdf")</f>
        <v>Melting_Curves/meltCurve_Q5JUR7_TEX30.pdf</v>
      </c>
    </row>
    <row r="3632" spans="1:28" x14ac:dyDescent="0.25">
      <c r="A3632" t="s">
        <v>3635</v>
      </c>
      <c r="B3632">
        <v>0.99930955844802105</v>
      </c>
      <c r="C3632">
        <v>1.0963817869339301</v>
      </c>
      <c r="D3632">
        <v>0.87814091381293502</v>
      </c>
      <c r="E3632">
        <v>0.75445480587944702</v>
      </c>
      <c r="F3632">
        <v>0.24928647160134301</v>
      </c>
      <c r="G3632">
        <v>0.15518146237906599</v>
      </c>
      <c r="H3632">
        <v>9.0140185024684294E-2</v>
      </c>
      <c r="I3632">
        <v>8.2094383441967497E-2</v>
      </c>
      <c r="J3632">
        <v>7.1398866735189498E-2</v>
      </c>
      <c r="K3632">
        <v>5.1429552708795401E-2</v>
      </c>
      <c r="L3632">
        <v>1944.4994573475001</v>
      </c>
      <c r="M3632">
        <v>38.008484430286401</v>
      </c>
      <c r="N3632">
        <v>51.403516767642103</v>
      </c>
      <c r="O3632">
        <v>51.018615829740803</v>
      </c>
      <c r="P3632">
        <v>-0.17088143905206499</v>
      </c>
      <c r="Q3632">
        <v>8.2508868534364593E-2</v>
      </c>
      <c r="R3632">
        <v>0.98422651482986601</v>
      </c>
      <c r="S3632" t="s">
        <v>10248</v>
      </c>
      <c r="T3632" t="s">
        <v>13232</v>
      </c>
      <c r="U3632" t="s">
        <v>13232</v>
      </c>
      <c r="V3632" t="s">
        <v>13232</v>
      </c>
      <c r="W3632" t="s">
        <v>16803</v>
      </c>
      <c r="X3632">
        <v>21</v>
      </c>
      <c r="Y3632" t="s">
        <v>23233</v>
      </c>
      <c r="Z3632" t="s">
        <v>29763</v>
      </c>
      <c r="AA3632">
        <v>0.42739933568433108</v>
      </c>
      <c r="AB3632" t="str">
        <f>HYPERLINK("Melting_Curves/meltCurve_Q5JVF3_3_PCID2.pdf", "Melting_Curves/meltCurve_Q5JVF3_3_PCID2.pdf")</f>
        <v>Melting_Curves/meltCurve_Q5JVF3_3_PCID2.pdf</v>
      </c>
    </row>
    <row r="3633" spans="1:28" x14ac:dyDescent="0.25">
      <c r="A3633" t="s">
        <v>3636</v>
      </c>
      <c r="B3633">
        <v>0.99930955844802105</v>
      </c>
      <c r="C3633">
        <v>0.82443661201233198</v>
      </c>
      <c r="D3633">
        <v>0.88247432398137204</v>
      </c>
      <c r="E3633">
        <v>0.51788141144618205</v>
      </c>
      <c r="F3633">
        <v>0.37813275117001</v>
      </c>
      <c r="G3633">
        <v>0.25936479387752598</v>
      </c>
      <c r="H3633">
        <v>0.17583053974742299</v>
      </c>
      <c r="I3633">
        <v>0.19248376932730399</v>
      </c>
      <c r="J3633">
        <v>0.1669658402851</v>
      </c>
      <c r="K3633">
        <v>0.13321829786561201</v>
      </c>
      <c r="L3633">
        <v>744.82498586519102</v>
      </c>
      <c r="M3633">
        <v>14.9987111047291</v>
      </c>
      <c r="N3633">
        <v>50.778788312232201</v>
      </c>
      <c r="O3633">
        <v>48.801588673979701</v>
      </c>
      <c r="P3633">
        <v>-6.60248833177981E-2</v>
      </c>
      <c r="Q3633">
        <v>0.140781223397695</v>
      </c>
      <c r="R3633">
        <v>0.98014565478473104</v>
      </c>
      <c r="S3633" t="s">
        <v>10249</v>
      </c>
      <c r="T3633" t="s">
        <v>13232</v>
      </c>
      <c r="U3633" t="s">
        <v>13232</v>
      </c>
      <c r="V3633" t="s">
        <v>13232</v>
      </c>
      <c r="W3633" t="s">
        <v>16804</v>
      </c>
      <c r="X3633">
        <v>5</v>
      </c>
      <c r="Y3633" t="s">
        <v>23234</v>
      </c>
      <c r="Z3633" t="s">
        <v>29764</v>
      </c>
      <c r="AA3633">
        <v>0.43815144939572692</v>
      </c>
      <c r="AB3633" t="str">
        <f>HYPERLINK("Melting_Curves/meltCurve_Q5JVZ5_ELMO2.pdf", "Melting_Curves/meltCurve_Q5JVZ5_ELMO2.pdf")</f>
        <v>Melting_Curves/meltCurve_Q5JVZ5_ELMO2.pdf</v>
      </c>
    </row>
    <row r="3634" spans="1:28" x14ac:dyDescent="0.25">
      <c r="A3634" t="s">
        <v>3637</v>
      </c>
      <c r="B3634">
        <v>0.99930955844802105</v>
      </c>
      <c r="C3634">
        <v>0.99855004252833901</v>
      </c>
      <c r="D3634">
        <v>1.0169661711564399</v>
      </c>
      <c r="E3634">
        <v>0.94329810354482801</v>
      </c>
      <c r="F3634">
        <v>0.81253356443258995</v>
      </c>
      <c r="G3634">
        <v>0.68257373530029097</v>
      </c>
      <c r="H3634">
        <v>0.60510564191883398</v>
      </c>
      <c r="I3634">
        <v>0.60357728087796303</v>
      </c>
      <c r="J3634">
        <v>0.56836151825927905</v>
      </c>
      <c r="K3634">
        <v>0.47238795973850101</v>
      </c>
      <c r="L3634">
        <v>892.86867454634796</v>
      </c>
      <c r="M3634">
        <v>16.1877732912765</v>
      </c>
      <c r="O3634">
        <v>54.335840786121601</v>
      </c>
      <c r="P3634">
        <v>-3.6111910298938003E-2</v>
      </c>
      <c r="Q3634">
        <v>0.51518371916017103</v>
      </c>
      <c r="R3634">
        <v>0.97898820083627902</v>
      </c>
      <c r="S3634" t="s">
        <v>10250</v>
      </c>
      <c r="T3634" t="s">
        <v>13232</v>
      </c>
      <c r="U3634" t="s">
        <v>13232</v>
      </c>
      <c r="V3634" t="s">
        <v>13232</v>
      </c>
      <c r="W3634" t="s">
        <v>16805</v>
      </c>
      <c r="X3634">
        <v>6</v>
      </c>
      <c r="Y3634" t="s">
        <v>23235</v>
      </c>
      <c r="Z3634" t="s">
        <v>29765</v>
      </c>
      <c r="AA3634">
        <v>0.76863042347362609</v>
      </c>
      <c r="AB3634" t="str">
        <f>HYPERLINK("Melting_Curves/meltCurve_Q5JW30_STAU1.pdf", "Melting_Curves/meltCurve_Q5JW30_STAU1.pdf")</f>
        <v>Melting_Curves/meltCurve_Q5JW30_STAU1.pdf</v>
      </c>
    </row>
    <row r="3635" spans="1:28" x14ac:dyDescent="0.25">
      <c r="A3635" t="s">
        <v>3638</v>
      </c>
      <c r="B3635">
        <v>0.99930955844802105</v>
      </c>
      <c r="C3635">
        <v>1.0054208554186099</v>
      </c>
      <c r="D3635">
        <v>0.87567473290517805</v>
      </c>
      <c r="E3635">
        <v>0.86735451468623304</v>
      </c>
      <c r="F3635">
        <v>0.75398425530333701</v>
      </c>
      <c r="G3635">
        <v>0.58834711059498401</v>
      </c>
      <c r="H3635">
        <v>0.545297684051403</v>
      </c>
      <c r="I3635">
        <v>0.641390628815244</v>
      </c>
      <c r="J3635">
        <v>0.69568502296204004</v>
      </c>
      <c r="K3635">
        <v>0.47368298256399199</v>
      </c>
      <c r="L3635">
        <v>815.25137062856595</v>
      </c>
      <c r="M3635">
        <v>15.871047931895401</v>
      </c>
      <c r="O3635">
        <v>50.5724484744159</v>
      </c>
      <c r="P3635">
        <v>-3.4011951830222001E-2</v>
      </c>
      <c r="Q3635">
        <v>0.56652429466041598</v>
      </c>
      <c r="R3635">
        <v>0.87444678282417898</v>
      </c>
      <c r="S3635" t="s">
        <v>10251</v>
      </c>
      <c r="T3635" t="s">
        <v>13232</v>
      </c>
      <c r="U3635" t="s">
        <v>13232</v>
      </c>
      <c r="V3635" t="s">
        <v>13232</v>
      </c>
      <c r="W3635" t="s">
        <v>16806</v>
      </c>
      <c r="X3635">
        <v>3</v>
      </c>
      <c r="Y3635" t="s">
        <v>23236</v>
      </c>
      <c r="Z3635" t="s">
        <v>29766</v>
      </c>
      <c r="AA3635">
        <v>0.73979704168232863</v>
      </c>
      <c r="AB3635" t="str">
        <f>HYPERLINK("Melting_Curves/meltCurve_Q5JXC2_MIIP.pdf", "Melting_Curves/meltCurve_Q5JXC2_MIIP.pdf")</f>
        <v>Melting_Curves/meltCurve_Q5JXC2_MIIP.pdf</v>
      </c>
    </row>
    <row r="3636" spans="1:28" x14ac:dyDescent="0.25">
      <c r="A3636" t="s">
        <v>3639</v>
      </c>
      <c r="B3636">
        <v>0.99930955844802105</v>
      </c>
      <c r="C3636">
        <v>1.08784073050356</v>
      </c>
      <c r="D3636">
        <v>1.19626063374273</v>
      </c>
      <c r="E3636">
        <v>1.32851211188483</v>
      </c>
      <c r="F3636">
        <v>1.3469771163808699</v>
      </c>
      <c r="G3636">
        <v>0.73735057965928297</v>
      </c>
      <c r="H3636">
        <v>0.30379750804528899</v>
      </c>
      <c r="I3636">
        <v>0.21835600050590001</v>
      </c>
      <c r="J3636">
        <v>0.175689566650507</v>
      </c>
      <c r="K3636">
        <v>6.6574590919374593E-2</v>
      </c>
      <c r="L3636">
        <v>2484.3471693080801</v>
      </c>
      <c r="M3636">
        <v>42.488073263654897</v>
      </c>
      <c r="N3636">
        <v>58.967467111354097</v>
      </c>
      <c r="O3636">
        <v>58.342558010758196</v>
      </c>
      <c r="P3636">
        <v>-0.15471642160979299</v>
      </c>
      <c r="Q3636">
        <v>0.15020516609591</v>
      </c>
      <c r="R3636">
        <v>0.87400886976905401</v>
      </c>
      <c r="S3636" t="s">
        <v>10252</v>
      </c>
      <c r="T3636" t="s">
        <v>13232</v>
      </c>
      <c r="U3636" t="s">
        <v>13232</v>
      </c>
      <c r="V3636" t="s">
        <v>13232</v>
      </c>
      <c r="W3636" t="s">
        <v>16807</v>
      </c>
      <c r="X3636">
        <v>2</v>
      </c>
      <c r="Y3636" t="s">
        <v>23237</v>
      </c>
      <c r="Z3636" t="s">
        <v>29767</v>
      </c>
      <c r="AA3636">
        <v>0.67642961778845356</v>
      </c>
      <c r="AB3636" t="str">
        <f>HYPERLINK("Melting_Curves/meltCurve_Q5K4L6_2_SLC27A3.pdf", "Melting_Curves/meltCurve_Q5K4L6_2_SLC27A3.pdf")</f>
        <v>Melting_Curves/meltCurve_Q5K4L6_2_SLC27A3.pdf</v>
      </c>
    </row>
    <row r="3637" spans="1:28" x14ac:dyDescent="0.25">
      <c r="A3637" t="s">
        <v>3640</v>
      </c>
      <c r="B3637">
        <v>0.99930955844802105</v>
      </c>
      <c r="C3637">
        <v>0.76556064893877895</v>
      </c>
      <c r="D3637">
        <v>0.66155441888470601</v>
      </c>
      <c r="E3637">
        <v>0.66649207322831305</v>
      </c>
      <c r="F3637">
        <v>0.56771866918302605</v>
      </c>
      <c r="G3637">
        <v>0.341187049017385</v>
      </c>
      <c r="H3637">
        <v>0.189692273988747</v>
      </c>
      <c r="I3637">
        <v>0.14870920307521401</v>
      </c>
      <c r="J3637">
        <v>0.14360296701925601</v>
      </c>
      <c r="K3637">
        <v>0.102605330814523</v>
      </c>
      <c r="L3637">
        <v>425.04247636021898</v>
      </c>
      <c r="M3637">
        <v>8.1146677663017606</v>
      </c>
      <c r="N3637">
        <v>52.379527564180897</v>
      </c>
      <c r="O3637">
        <v>49.486394800816797</v>
      </c>
      <c r="P3637">
        <v>-4.1038399392484597E-2</v>
      </c>
      <c r="Q3637">
        <v>0</v>
      </c>
      <c r="R3637">
        <v>0.95475146835584002</v>
      </c>
      <c r="S3637" t="s">
        <v>10253</v>
      </c>
      <c r="T3637" t="s">
        <v>13232</v>
      </c>
      <c r="U3637" t="s">
        <v>13232</v>
      </c>
      <c r="V3637" t="s">
        <v>13232</v>
      </c>
      <c r="W3637" t="s">
        <v>16808</v>
      </c>
      <c r="X3637">
        <v>3</v>
      </c>
      <c r="Y3637" t="s">
        <v>23238</v>
      </c>
      <c r="Z3637" t="s">
        <v>29768</v>
      </c>
      <c r="AA3637">
        <v>0.45685363804342022</v>
      </c>
      <c r="AB3637" t="str">
        <f>HYPERLINK("Melting_Curves/meltCurve_Q5K651_SAMD9.pdf", "Melting_Curves/meltCurve_Q5K651_SAMD9.pdf")</f>
        <v>Melting_Curves/meltCurve_Q5K651_SAMD9.pdf</v>
      </c>
    </row>
    <row r="3638" spans="1:28" x14ac:dyDescent="0.25">
      <c r="A3638" t="s">
        <v>3641</v>
      </c>
      <c r="B3638">
        <v>0.99930955844802105</v>
      </c>
      <c r="C3638">
        <v>1.02161200299862</v>
      </c>
      <c r="D3638">
        <v>0.78529040018229501</v>
      </c>
      <c r="E3638">
        <v>0.48286984575180902</v>
      </c>
      <c r="F3638">
        <v>0.18687134379716799</v>
      </c>
      <c r="G3638">
        <v>0.12173423941188601</v>
      </c>
      <c r="H3638">
        <v>6.50708577558093E-2</v>
      </c>
      <c r="I3638">
        <v>5.1724702714373398E-2</v>
      </c>
      <c r="J3638">
        <v>4.4821410209815102E-2</v>
      </c>
      <c r="K3638">
        <v>3.4136971329568298E-2</v>
      </c>
      <c r="L3638">
        <v>1040.43170682754</v>
      </c>
      <c r="M3638">
        <v>21.1055976164375</v>
      </c>
      <c r="N3638">
        <v>49.511646737379003</v>
      </c>
      <c r="O3638">
        <v>48.860316607836303</v>
      </c>
      <c r="P3638">
        <v>-0.103260123950095</v>
      </c>
      <c r="Q3638">
        <v>4.3819469038505601E-2</v>
      </c>
      <c r="R3638">
        <v>0.994334472762609</v>
      </c>
      <c r="S3638" t="s">
        <v>10254</v>
      </c>
      <c r="T3638" t="s">
        <v>13232</v>
      </c>
      <c r="U3638" t="s">
        <v>13232</v>
      </c>
      <c r="V3638" t="s">
        <v>13232</v>
      </c>
      <c r="W3638" t="s">
        <v>16809</v>
      </c>
      <c r="X3638">
        <v>21</v>
      </c>
      <c r="Y3638" t="s">
        <v>23239</v>
      </c>
      <c r="Z3638" t="s">
        <v>29769</v>
      </c>
      <c r="AA3638">
        <v>0.35211122903310438</v>
      </c>
      <c r="AB3638" t="str">
        <f>HYPERLINK("Melting_Curves/meltCurve_Q5LJA5_UCHL5.pdf", "Melting_Curves/meltCurve_Q5LJA5_UCHL5.pdf")</f>
        <v>Melting_Curves/meltCurve_Q5LJA5_UCHL5.pdf</v>
      </c>
    </row>
    <row r="3639" spans="1:28" x14ac:dyDescent="0.25">
      <c r="A3639" t="s">
        <v>3642</v>
      </c>
      <c r="B3639">
        <v>0.99930955844802105</v>
      </c>
      <c r="C3639">
        <v>1.0940410319126299</v>
      </c>
      <c r="D3639">
        <v>0.998630670436358</v>
      </c>
      <c r="E3639">
        <v>0.95787098622142097</v>
      </c>
      <c r="F3639">
        <v>0.88319412679990195</v>
      </c>
      <c r="G3639">
        <v>0.77979189290488704</v>
      </c>
      <c r="H3639">
        <v>0.81100710136671905</v>
      </c>
      <c r="I3639">
        <v>0.88753314561631502</v>
      </c>
      <c r="J3639">
        <v>0.92067721895253396</v>
      </c>
      <c r="K3639">
        <v>0.72272388246791996</v>
      </c>
      <c r="L3639">
        <v>2136.3503693493099</v>
      </c>
      <c r="M3639">
        <v>41.317150865144399</v>
      </c>
      <c r="O3639">
        <v>51.585456111032201</v>
      </c>
      <c r="P3639">
        <v>-3.5022186997441501E-2</v>
      </c>
      <c r="Q3639">
        <v>0.825096150518004</v>
      </c>
      <c r="R3639">
        <v>0.694192773929725</v>
      </c>
      <c r="S3639" t="s">
        <v>10255</v>
      </c>
      <c r="T3639" t="s">
        <v>13232</v>
      </c>
      <c r="U3639" t="s">
        <v>13232</v>
      </c>
      <c r="V3639" t="s">
        <v>13232</v>
      </c>
      <c r="W3639" t="s">
        <v>16810</v>
      </c>
      <c r="X3639">
        <v>23</v>
      </c>
      <c r="Y3639" t="s">
        <v>23240</v>
      </c>
      <c r="Z3639" t="s">
        <v>29770</v>
      </c>
      <c r="AA3639">
        <v>0.89392991682300038</v>
      </c>
      <c r="AB3639" t="str">
        <f>HYPERLINK("Melting_Curves/meltCurve_Q5M775_4_SPECC1.pdf", "Melting_Curves/meltCurve_Q5M775_4_SPECC1.pdf")</f>
        <v>Melting_Curves/meltCurve_Q5M775_4_SPECC1.pdf</v>
      </c>
    </row>
    <row r="3640" spans="1:28" x14ac:dyDescent="0.25">
      <c r="A3640" t="s">
        <v>3643</v>
      </c>
      <c r="B3640">
        <v>0.99930955844802105</v>
      </c>
      <c r="C3640">
        <v>1.15666193582932</v>
      </c>
      <c r="D3640">
        <v>1.1468430842613999</v>
      </c>
      <c r="E3640">
        <v>1.1942046048958299</v>
      </c>
      <c r="F3640">
        <v>1.2432756050620699</v>
      </c>
      <c r="G3640">
        <v>1.03630310652371</v>
      </c>
      <c r="H3640">
        <v>0.92933472920643501</v>
      </c>
      <c r="I3640">
        <v>0.81599353441253697</v>
      </c>
      <c r="J3640">
        <v>0.79217601484214495</v>
      </c>
      <c r="K3640">
        <v>0.66009120595155601</v>
      </c>
      <c r="L3640">
        <v>1722.71814836621</v>
      </c>
      <c r="M3640">
        <v>26.6153503382587</v>
      </c>
      <c r="O3640">
        <v>64.364399183147995</v>
      </c>
      <c r="P3640">
        <v>-3.7121803139712597E-2</v>
      </c>
      <c r="Q3640">
        <v>0.64091436609220698</v>
      </c>
      <c r="R3640">
        <v>0.56240468738069704</v>
      </c>
      <c r="S3640" t="s">
        <v>10256</v>
      </c>
      <c r="T3640" t="s">
        <v>13232</v>
      </c>
      <c r="U3640" t="s">
        <v>13232</v>
      </c>
      <c r="V3640" t="s">
        <v>13232</v>
      </c>
      <c r="W3640" t="s">
        <v>16811</v>
      </c>
      <c r="X3640">
        <v>2</v>
      </c>
      <c r="Y3640" t="s">
        <v>23241</v>
      </c>
      <c r="Z3640" t="s">
        <v>29771</v>
      </c>
      <c r="AA3640">
        <v>0.93583483114956634</v>
      </c>
      <c r="AB3640" t="str">
        <f>HYPERLINK("Melting_Curves/meltCurve_Q5M9N0_CCDC158.pdf", "Melting_Curves/meltCurve_Q5M9N0_CCDC158.pdf")</f>
        <v>Melting_Curves/meltCurve_Q5M9N0_CCDC158.pdf</v>
      </c>
    </row>
    <row r="3641" spans="1:28" x14ac:dyDescent="0.25">
      <c r="A3641" t="s">
        <v>3644</v>
      </c>
      <c r="B3641">
        <v>0.99930955844802105</v>
      </c>
      <c r="C3641">
        <v>1.1597350940563</v>
      </c>
      <c r="D3641">
        <v>1.11484254619145</v>
      </c>
      <c r="E3641">
        <v>1.17362339497071</v>
      </c>
      <c r="F3641">
        <v>1.1292540960631801</v>
      </c>
      <c r="G3641">
        <v>0.80055604611234599</v>
      </c>
      <c r="H3641">
        <v>0.431245912949419</v>
      </c>
      <c r="I3641">
        <v>0.33837550552673501</v>
      </c>
      <c r="J3641">
        <v>0.34012967438476899</v>
      </c>
      <c r="K3641">
        <v>0.243145153222556</v>
      </c>
      <c r="L3641">
        <v>2323.5013202534101</v>
      </c>
      <c r="M3641">
        <v>39.662097908804398</v>
      </c>
      <c r="N3641">
        <v>59.960919564726801</v>
      </c>
      <c r="O3641">
        <v>58.4340794941143</v>
      </c>
      <c r="P3641">
        <v>-0.118932605573652</v>
      </c>
      <c r="Q3641">
        <v>0.29910897089275601</v>
      </c>
      <c r="R3641">
        <v>0.93169934131049204</v>
      </c>
      <c r="S3641" t="s">
        <v>10257</v>
      </c>
      <c r="T3641" t="s">
        <v>13232</v>
      </c>
      <c r="U3641" t="s">
        <v>13232</v>
      </c>
      <c r="V3641" t="s">
        <v>13232</v>
      </c>
      <c r="W3641" t="s">
        <v>16812</v>
      </c>
      <c r="X3641">
        <v>14</v>
      </c>
      <c r="Y3641" t="s">
        <v>23242</v>
      </c>
      <c r="Z3641" t="s">
        <v>29772</v>
      </c>
      <c r="AA3641">
        <v>0.73605708528222746</v>
      </c>
      <c r="AB3641" t="str">
        <f>HYPERLINK("Melting_Curves/meltCurve_Q5MIZ7_2_SMEK2.pdf", "Melting_Curves/meltCurve_Q5MIZ7_2_SMEK2.pdf")</f>
        <v>Melting_Curves/meltCurve_Q5MIZ7_2_SMEK2.pdf</v>
      </c>
    </row>
    <row r="3642" spans="1:28" x14ac:dyDescent="0.25">
      <c r="A3642" t="s">
        <v>3645</v>
      </c>
      <c r="B3642">
        <v>0.99930955844802105</v>
      </c>
      <c r="C3642">
        <v>1.0517630692377999</v>
      </c>
      <c r="D3642">
        <v>1.0839768952855</v>
      </c>
      <c r="E3642">
        <v>0.97632534395244197</v>
      </c>
      <c r="F3642">
        <v>0.90139373358998298</v>
      </c>
      <c r="G3642">
        <v>0.71211635710721899</v>
      </c>
      <c r="H3642">
        <v>0.56587307347278604</v>
      </c>
      <c r="I3642">
        <v>0.41037045729857102</v>
      </c>
      <c r="J3642">
        <v>0.19102499967440101</v>
      </c>
      <c r="K3642">
        <v>5.0446700042879898E-2</v>
      </c>
      <c r="L3642">
        <v>963.07830770011901</v>
      </c>
      <c r="M3642">
        <v>15.6783965403802</v>
      </c>
      <c r="N3642">
        <v>61.427092090308598</v>
      </c>
      <c r="O3642">
        <v>60.453800486664299</v>
      </c>
      <c r="P3642">
        <v>-6.4841776844717605E-2</v>
      </c>
      <c r="Q3642">
        <v>0</v>
      </c>
      <c r="R3642">
        <v>0.97878859764550097</v>
      </c>
      <c r="S3642" t="s">
        <v>10258</v>
      </c>
      <c r="T3642" t="s">
        <v>13232</v>
      </c>
      <c r="U3642" t="s">
        <v>13232</v>
      </c>
      <c r="V3642" t="s">
        <v>13232</v>
      </c>
      <c r="W3642" t="s">
        <v>16813</v>
      </c>
      <c r="X3642">
        <v>6</v>
      </c>
      <c r="Y3642" t="s">
        <v>23243</v>
      </c>
      <c r="Z3642" t="s">
        <v>29773</v>
      </c>
      <c r="AA3642">
        <v>0.71560552178411463</v>
      </c>
      <c r="AB3642" t="str">
        <f>HYPERLINK("Melting_Curves/meltCurve_Q5MNZ6_WDR45B.pdf", "Melting_Curves/meltCurve_Q5MNZ6_WDR45B.pdf")</f>
        <v>Melting_Curves/meltCurve_Q5MNZ6_WDR45B.pdf</v>
      </c>
    </row>
    <row r="3643" spans="1:28" x14ac:dyDescent="0.25">
      <c r="A3643" t="s">
        <v>3646</v>
      </c>
      <c r="B3643">
        <v>0.99930955844802105</v>
      </c>
      <c r="C3643">
        <v>1.09549908825218</v>
      </c>
      <c r="D3643">
        <v>1.0806005566499399</v>
      </c>
      <c r="E3643">
        <v>1.0418749303183801</v>
      </c>
      <c r="F3643">
        <v>0.93216746908204196</v>
      </c>
      <c r="G3643">
        <v>0.80055417808242701</v>
      </c>
      <c r="H3643">
        <v>0.72123651591687099</v>
      </c>
      <c r="I3643">
        <v>0.70142831239256798</v>
      </c>
      <c r="J3643">
        <v>0.72369472438995197</v>
      </c>
      <c r="K3643">
        <v>0.54160044673387298</v>
      </c>
      <c r="L3643">
        <v>1062.04457872168</v>
      </c>
      <c r="M3643">
        <v>18.347191922363201</v>
      </c>
      <c r="O3643">
        <v>57.211416067023002</v>
      </c>
      <c r="P3643">
        <v>-3.0870099930958399E-2</v>
      </c>
      <c r="Q3643">
        <v>0.61497294594468099</v>
      </c>
      <c r="R3643">
        <v>0.889414928805351</v>
      </c>
      <c r="S3643" t="s">
        <v>10259</v>
      </c>
      <c r="T3643" t="s">
        <v>13232</v>
      </c>
      <c r="U3643" t="s">
        <v>13232</v>
      </c>
      <c r="V3643" t="s">
        <v>13232</v>
      </c>
      <c r="W3643" t="s">
        <v>16814</v>
      </c>
      <c r="X3643">
        <v>2</v>
      </c>
      <c r="Y3643" t="s">
        <v>23244</v>
      </c>
      <c r="Z3643" t="s">
        <v>29774</v>
      </c>
      <c r="AA3643">
        <v>0.84928515101176771</v>
      </c>
      <c r="AB3643" t="str">
        <f>HYPERLINK("Melting_Curves/meltCurve_Q5Q9G8_POLK.pdf", "Melting_Curves/meltCurve_Q5Q9G8_POLK.pdf")</f>
        <v>Melting_Curves/meltCurve_Q5Q9G8_POLK.pdf</v>
      </c>
    </row>
    <row r="3644" spans="1:28" x14ac:dyDescent="0.25">
      <c r="A3644" t="s">
        <v>3647</v>
      </c>
      <c r="B3644">
        <v>0.99930955844802105</v>
      </c>
      <c r="C3644">
        <v>1.42969378776997</v>
      </c>
      <c r="D3644">
        <v>1.2056182290822099</v>
      </c>
      <c r="E3644">
        <v>0.50088542842359596</v>
      </c>
      <c r="F3644">
        <v>0.301119185710921</v>
      </c>
      <c r="G3644">
        <v>0.25840136891211801</v>
      </c>
      <c r="H3644">
        <v>0.20473630465420101</v>
      </c>
      <c r="I3644">
        <v>0.18849458238918401</v>
      </c>
      <c r="J3644">
        <v>0.159651819010664</v>
      </c>
      <c r="K3644">
        <v>0.137975137331173</v>
      </c>
      <c r="L3644">
        <v>3796.8811738833701</v>
      </c>
      <c r="M3644">
        <v>76.439374474008304</v>
      </c>
      <c r="N3644">
        <v>50.020960578926598</v>
      </c>
      <c r="O3644">
        <v>49.637832394957698</v>
      </c>
      <c r="P3644">
        <v>-0.30539107960998202</v>
      </c>
      <c r="Q3644">
        <v>0.206746577350475</v>
      </c>
      <c r="R3644">
        <v>0.88457761765252396</v>
      </c>
      <c r="S3644" t="s">
        <v>10260</v>
      </c>
      <c r="T3644" t="s">
        <v>13232</v>
      </c>
      <c r="U3644" t="s">
        <v>13232</v>
      </c>
      <c r="V3644" t="s">
        <v>13232</v>
      </c>
      <c r="W3644" t="s">
        <v>16815</v>
      </c>
      <c r="X3644">
        <v>2</v>
      </c>
      <c r="Y3644" t="s">
        <v>23245</v>
      </c>
      <c r="Z3644" t="s">
        <v>29775</v>
      </c>
      <c r="AA3644">
        <v>0.463227411204711</v>
      </c>
      <c r="AB3644" t="str">
        <f>HYPERLINK("Melting_Curves/meltCurve_Q5QJ74_TBCEL.pdf", "Melting_Curves/meltCurve_Q5QJ74_TBCEL.pdf")</f>
        <v>Melting_Curves/meltCurve_Q5QJ74_TBCEL.pdf</v>
      </c>
    </row>
    <row r="3645" spans="1:28" x14ac:dyDescent="0.25">
      <c r="A3645" t="s">
        <v>3648</v>
      </c>
      <c r="B3645">
        <v>0.99930955844802105</v>
      </c>
      <c r="C3645">
        <v>1.1391998650795301</v>
      </c>
      <c r="D3645">
        <v>1.10762071255739</v>
      </c>
      <c r="E3645">
        <v>1.07042392632079</v>
      </c>
      <c r="F3645">
        <v>0.99434512375208495</v>
      </c>
      <c r="G3645">
        <v>0.85676315532221303</v>
      </c>
      <c r="H3645">
        <v>0.89898313280501996</v>
      </c>
      <c r="I3645">
        <v>0.95301354548337502</v>
      </c>
      <c r="J3645">
        <v>0.89532428960406896</v>
      </c>
      <c r="K3645">
        <v>0.75513264330551999</v>
      </c>
      <c r="L3645">
        <v>657.17933763179997</v>
      </c>
      <c r="M3645">
        <v>8.0676421353387706</v>
      </c>
      <c r="Q3645">
        <v>0</v>
      </c>
      <c r="R3645">
        <v>0.55288178017786305</v>
      </c>
      <c r="S3645" t="s">
        <v>10261</v>
      </c>
      <c r="T3645" t="s">
        <v>13232</v>
      </c>
      <c r="U3645" t="s">
        <v>13232</v>
      </c>
      <c r="V3645" t="s">
        <v>13232</v>
      </c>
      <c r="W3645" t="s">
        <v>16816</v>
      </c>
      <c r="X3645">
        <v>13</v>
      </c>
      <c r="Y3645" t="s">
        <v>23246</v>
      </c>
      <c r="Z3645" t="s">
        <v>29776</v>
      </c>
      <c r="AA3645">
        <v>0.95137905021254421</v>
      </c>
      <c r="AB3645" t="str">
        <f>HYPERLINK("Melting_Curves/meltCurve_Q5QNY5_PEX19.pdf", "Melting_Curves/meltCurve_Q5QNY5_PEX19.pdf")</f>
        <v>Melting_Curves/meltCurve_Q5QNY5_PEX19.pdf</v>
      </c>
    </row>
    <row r="3646" spans="1:28" x14ac:dyDescent="0.25">
      <c r="A3646" t="s">
        <v>3649</v>
      </c>
      <c r="B3646">
        <v>0.99930955844802105</v>
      </c>
      <c r="C3646">
        <v>0.56036829186140902</v>
      </c>
      <c r="D3646">
        <v>0.411239490668872</v>
      </c>
      <c r="E3646">
        <v>0.47285015253997797</v>
      </c>
      <c r="F3646">
        <v>0.32209446807430198</v>
      </c>
      <c r="G3646">
        <v>0.16732343146082801</v>
      </c>
      <c r="H3646">
        <v>9.3280259836344803E-2</v>
      </c>
      <c r="I3646">
        <v>9.1398441876410205E-2</v>
      </c>
      <c r="J3646">
        <v>9.0383082502433598E-2</v>
      </c>
      <c r="K3646">
        <v>4.6024450263481197E-2</v>
      </c>
      <c r="L3646">
        <v>416.13053828158502</v>
      </c>
      <c r="M3646">
        <v>8.9376417762963207</v>
      </c>
      <c r="N3646">
        <v>46.753076571462898</v>
      </c>
      <c r="O3646">
        <v>44.405491790482699</v>
      </c>
      <c r="P3646">
        <v>-4.9440331388067998E-2</v>
      </c>
      <c r="Q3646">
        <v>1.81807388189319E-2</v>
      </c>
      <c r="R3646">
        <v>0.89788326432825105</v>
      </c>
      <c r="S3646" t="s">
        <v>10262</v>
      </c>
      <c r="T3646" t="s">
        <v>13232</v>
      </c>
      <c r="U3646" t="s">
        <v>13232</v>
      </c>
      <c r="V3646" t="s">
        <v>13232</v>
      </c>
      <c r="W3646" t="s">
        <v>16817</v>
      </c>
      <c r="X3646">
        <v>2</v>
      </c>
      <c r="Y3646" t="s">
        <v>23247</v>
      </c>
      <c r="Z3646" t="s">
        <v>29777</v>
      </c>
      <c r="AA3646">
        <v>0.30250010830551882</v>
      </c>
      <c r="AB3646" t="str">
        <f>HYPERLINK("Melting_Curves/meltCurve_Q5QNZ2_ATP5F1.pdf", "Melting_Curves/meltCurve_Q5QNZ2_ATP5F1.pdf")</f>
        <v>Melting_Curves/meltCurve_Q5QNZ2_ATP5F1.pdf</v>
      </c>
    </row>
    <row r="3647" spans="1:28" x14ac:dyDescent="0.25">
      <c r="A3647" t="s">
        <v>3650</v>
      </c>
      <c r="B3647">
        <v>0.99930955844802105</v>
      </c>
      <c r="C3647">
        <v>0.98053660188049896</v>
      </c>
      <c r="D3647">
        <v>0.94504692667630996</v>
      </c>
      <c r="E3647">
        <v>0.85686638416179395</v>
      </c>
      <c r="F3647">
        <v>0.66744816685020203</v>
      </c>
      <c r="G3647">
        <v>0.54973861944638702</v>
      </c>
      <c r="H3647">
        <v>0.48988372674185299</v>
      </c>
      <c r="I3647">
        <v>0.44496225789539401</v>
      </c>
      <c r="J3647">
        <v>0.413329394884835</v>
      </c>
      <c r="K3647">
        <v>0.27020961611639199</v>
      </c>
      <c r="L3647">
        <v>604.25992247996999</v>
      </c>
      <c r="M3647">
        <v>10.957458027224799</v>
      </c>
      <c r="N3647">
        <v>59.543334381948199</v>
      </c>
      <c r="O3647">
        <v>53.404721823926799</v>
      </c>
      <c r="P3647">
        <v>-3.7078217971567899E-2</v>
      </c>
      <c r="Q3647">
        <v>0.27739684982196</v>
      </c>
      <c r="R3647">
        <v>0.97799052647639795</v>
      </c>
      <c r="S3647" t="s">
        <v>10263</v>
      </c>
      <c r="T3647" t="s">
        <v>13232</v>
      </c>
      <c r="U3647" t="s">
        <v>13232</v>
      </c>
      <c r="V3647" t="s">
        <v>13232</v>
      </c>
      <c r="W3647" t="s">
        <v>16818</v>
      </c>
      <c r="X3647">
        <v>3</v>
      </c>
      <c r="Y3647" t="s">
        <v>23248</v>
      </c>
      <c r="Z3647" t="s">
        <v>29778</v>
      </c>
      <c r="AA3647">
        <v>0.65974602230250079</v>
      </c>
      <c r="AB3647" t="str">
        <f>HYPERLINK("Melting_Curves/meltCurve_Q5QP56_BCL2L1.pdf", "Melting_Curves/meltCurve_Q5QP56_BCL2L1.pdf")</f>
        <v>Melting_Curves/meltCurve_Q5QP56_BCL2L1.pdf</v>
      </c>
    </row>
    <row r="3648" spans="1:28" x14ac:dyDescent="0.25">
      <c r="A3648" t="s">
        <v>3651</v>
      </c>
      <c r="B3648">
        <v>0.99930955844802105</v>
      </c>
      <c r="C3648">
        <v>0.89986748153082896</v>
      </c>
      <c r="D3648">
        <v>0.87269942093431996</v>
      </c>
      <c r="E3648">
        <v>0.800473606737649</v>
      </c>
      <c r="F3648">
        <v>0.73276397139378202</v>
      </c>
      <c r="G3648">
        <v>0.47800750091352501</v>
      </c>
      <c r="H3648">
        <v>0.26713939665486502</v>
      </c>
      <c r="I3648">
        <v>0.290861349994326</v>
      </c>
      <c r="J3648">
        <v>0.29666000723428698</v>
      </c>
      <c r="K3648">
        <v>0.211236039995639</v>
      </c>
      <c r="L3648">
        <v>637.96479923480604</v>
      </c>
      <c r="M3648">
        <v>11.6242730811</v>
      </c>
      <c r="N3648">
        <v>56.637032934532201</v>
      </c>
      <c r="O3648">
        <v>53.333336971556498</v>
      </c>
      <c r="P3648">
        <v>-4.6261305365465903E-2</v>
      </c>
      <c r="Q3648">
        <v>0.15122528875247401</v>
      </c>
      <c r="R3648">
        <v>0.973686630693539</v>
      </c>
      <c r="S3648" t="s">
        <v>10264</v>
      </c>
      <c r="T3648" t="s">
        <v>13232</v>
      </c>
      <c r="U3648" t="s">
        <v>13232</v>
      </c>
      <c r="V3648" t="s">
        <v>13232</v>
      </c>
      <c r="W3648" t="s">
        <v>16819</v>
      </c>
      <c r="X3648">
        <v>8</v>
      </c>
      <c r="Y3648" t="s">
        <v>23249</v>
      </c>
      <c r="Z3648" t="s">
        <v>29779</v>
      </c>
      <c r="AA3648">
        <v>0.59291628390315643</v>
      </c>
      <c r="AB3648" t="str">
        <f>HYPERLINK("Melting_Curves/meltCurve_Q5QP82_DCAF10.pdf", "Melting_Curves/meltCurve_Q5QP82_DCAF10.pdf")</f>
        <v>Melting_Curves/meltCurve_Q5QP82_DCAF10.pdf</v>
      </c>
    </row>
    <row r="3649" spans="1:28" x14ac:dyDescent="0.25">
      <c r="A3649" t="s">
        <v>3652</v>
      </c>
      <c r="B3649">
        <v>0.99930955844802105</v>
      </c>
      <c r="C3649">
        <v>0.91192632505903903</v>
      </c>
      <c r="D3649">
        <v>0.86819606519111303</v>
      </c>
      <c r="E3649">
        <v>0.751886371625059</v>
      </c>
      <c r="F3649">
        <v>0.55863549383190303</v>
      </c>
      <c r="G3649">
        <v>0.37858325860369302</v>
      </c>
      <c r="H3649">
        <v>0.323760036030729</v>
      </c>
      <c r="I3649">
        <v>0.31522875662651201</v>
      </c>
      <c r="J3649">
        <v>0.337787622973372</v>
      </c>
      <c r="K3649">
        <v>0.277763135955861</v>
      </c>
      <c r="L3649">
        <v>750.108734190777</v>
      </c>
      <c r="M3649">
        <v>14.599054646150901</v>
      </c>
      <c r="N3649">
        <v>54.337803995012401</v>
      </c>
      <c r="O3649">
        <v>50.4454585342462</v>
      </c>
      <c r="P3649">
        <v>-5.2525382597402102E-2</v>
      </c>
      <c r="Q3649">
        <v>0.27409837366768203</v>
      </c>
      <c r="R3649">
        <v>0.98890821900569403</v>
      </c>
      <c r="S3649" t="s">
        <v>10265</v>
      </c>
      <c r="T3649" t="s">
        <v>13232</v>
      </c>
      <c r="U3649" t="s">
        <v>13232</v>
      </c>
      <c r="V3649" t="s">
        <v>13232</v>
      </c>
      <c r="W3649" t="s">
        <v>16820</v>
      </c>
      <c r="X3649">
        <v>10</v>
      </c>
      <c r="Y3649" t="s">
        <v>23250</v>
      </c>
      <c r="Z3649" t="s">
        <v>29780</v>
      </c>
      <c r="AA3649">
        <v>0.56677273652923887</v>
      </c>
      <c r="AB3649" t="str">
        <f>HYPERLINK("Melting_Curves/meltCurve_Q5QPL9_RALY.pdf", "Melting_Curves/meltCurve_Q5QPL9_RALY.pdf")</f>
        <v>Melting_Curves/meltCurve_Q5QPL9_RALY.pdf</v>
      </c>
    </row>
    <row r="3650" spans="1:28" x14ac:dyDescent="0.25">
      <c r="A3650" t="s">
        <v>3653</v>
      </c>
      <c r="B3650">
        <v>0.99930955844802105</v>
      </c>
      <c r="C3650">
        <v>1.0858594873592999</v>
      </c>
      <c r="D3650">
        <v>1.0511330259835401</v>
      </c>
      <c r="E3650">
        <v>1.0426338557778401</v>
      </c>
      <c r="F3650">
        <v>0.90966226804333905</v>
      </c>
      <c r="G3650">
        <v>0.64653095866778398</v>
      </c>
      <c r="H3650">
        <v>0.35976996817763501</v>
      </c>
      <c r="I3650">
        <v>0.197401109482681</v>
      </c>
      <c r="J3650">
        <v>0.13470681375879201</v>
      </c>
      <c r="K3650">
        <v>0.10437142731240399</v>
      </c>
      <c r="L3650">
        <v>1310.25848190033</v>
      </c>
      <c r="M3650">
        <v>22.438282284690001</v>
      </c>
      <c r="N3650">
        <v>58.899367509987101</v>
      </c>
      <c r="O3650">
        <v>57.936005463345602</v>
      </c>
      <c r="P3650">
        <v>-8.8345335515311499E-2</v>
      </c>
      <c r="Q3650">
        <v>8.7582451345184303E-2</v>
      </c>
      <c r="R3650">
        <v>0.99025409538341702</v>
      </c>
      <c r="S3650" t="s">
        <v>10266</v>
      </c>
      <c r="T3650" t="s">
        <v>13232</v>
      </c>
      <c r="U3650" t="s">
        <v>13232</v>
      </c>
      <c r="V3650" t="s">
        <v>13232</v>
      </c>
      <c r="W3650" t="s">
        <v>16821</v>
      </c>
      <c r="X3650">
        <v>13</v>
      </c>
      <c r="Y3650" t="s">
        <v>23251</v>
      </c>
      <c r="Z3650" t="s">
        <v>29781</v>
      </c>
      <c r="AA3650">
        <v>0.65588296852803818</v>
      </c>
      <c r="AB3650" t="str">
        <f>HYPERLINK("Melting_Curves/meltCurve_Q5QPM7_PSMF1.pdf", "Melting_Curves/meltCurve_Q5QPM7_PSMF1.pdf")</f>
        <v>Melting_Curves/meltCurve_Q5QPM7_PSMF1.pdf</v>
      </c>
    </row>
    <row r="3651" spans="1:28" x14ac:dyDescent="0.25">
      <c r="A3651" t="s">
        <v>3654</v>
      </c>
      <c r="B3651">
        <v>0.99930955844802105</v>
      </c>
      <c r="C3651">
        <v>1.1384695187323699</v>
      </c>
      <c r="D3651">
        <v>1.06561372856619</v>
      </c>
      <c r="E3651">
        <v>0.89480034582571299</v>
      </c>
      <c r="F3651">
        <v>0.45475941297952999</v>
      </c>
      <c r="G3651">
        <v>0.28968915338718698</v>
      </c>
      <c r="H3651">
        <v>0.16980191222789401</v>
      </c>
      <c r="I3651">
        <v>0.13772315168940699</v>
      </c>
      <c r="J3651">
        <v>0.115863891489855</v>
      </c>
      <c r="K3651">
        <v>8.9232777521702306E-2</v>
      </c>
      <c r="L3651">
        <v>1723.1505238603399</v>
      </c>
      <c r="M3651">
        <v>32.832206899107902</v>
      </c>
      <c r="N3651">
        <v>53.017428442150099</v>
      </c>
      <c r="O3651">
        <v>52.289994590915498</v>
      </c>
      <c r="P3651">
        <v>-0.134876838894712</v>
      </c>
      <c r="Q3651">
        <v>0.14076127251843401</v>
      </c>
      <c r="R3651">
        <v>0.97671751899635795</v>
      </c>
      <c r="S3651" t="s">
        <v>10267</v>
      </c>
      <c r="T3651" t="s">
        <v>13232</v>
      </c>
      <c r="U3651" t="s">
        <v>13232</v>
      </c>
      <c r="V3651" t="s">
        <v>13232</v>
      </c>
      <c r="W3651" t="s">
        <v>16822</v>
      </c>
      <c r="X3651">
        <v>24</v>
      </c>
      <c r="Y3651" t="s">
        <v>23252</v>
      </c>
      <c r="Z3651" t="s">
        <v>29782</v>
      </c>
      <c r="AA3651">
        <v>0.50293117446745295</v>
      </c>
      <c r="AB3651" t="str">
        <f>HYPERLINK("Melting_Curves/meltCurve_Q5R372_4_RABGAP1L.pdf", "Melting_Curves/meltCurve_Q5R372_4_RABGAP1L.pdf")</f>
        <v>Melting_Curves/meltCurve_Q5R372_4_RABGAP1L.pdf</v>
      </c>
    </row>
    <row r="3652" spans="1:28" x14ac:dyDescent="0.25">
      <c r="A3652" t="s">
        <v>3655</v>
      </c>
      <c r="B3652">
        <v>0.99930955844802105</v>
      </c>
      <c r="C3652">
        <v>1.0934675773043401</v>
      </c>
      <c r="D3652">
        <v>1.05433936478849</v>
      </c>
      <c r="E3652">
        <v>0.91551157242149805</v>
      </c>
      <c r="F3652">
        <v>0.71343343428217498</v>
      </c>
      <c r="G3652">
        <v>0.54027306535494302</v>
      </c>
      <c r="H3652">
        <v>0.486896832941486</v>
      </c>
      <c r="I3652">
        <v>0.47984840631329101</v>
      </c>
      <c r="J3652">
        <v>0.45355520964114698</v>
      </c>
      <c r="K3652">
        <v>0.38661018900738697</v>
      </c>
      <c r="L3652">
        <v>1387.96969376264</v>
      </c>
      <c r="M3652">
        <v>26.119280983329698</v>
      </c>
      <c r="N3652">
        <v>58.070757698850599</v>
      </c>
      <c r="O3652">
        <v>52.831099656105302</v>
      </c>
      <c r="P3652">
        <v>-6.8525653530222497E-2</v>
      </c>
      <c r="Q3652">
        <v>0.445582789982644</v>
      </c>
      <c r="R3652">
        <v>0.97330196205168495</v>
      </c>
      <c r="S3652" t="s">
        <v>10268</v>
      </c>
      <c r="T3652" t="s">
        <v>13232</v>
      </c>
      <c r="U3652" t="s">
        <v>13232</v>
      </c>
      <c r="V3652" t="s">
        <v>13232</v>
      </c>
      <c r="W3652" t="s">
        <v>16823</v>
      </c>
      <c r="X3652">
        <v>15</v>
      </c>
      <c r="Y3652" t="s">
        <v>23252</v>
      </c>
      <c r="Z3652" t="s">
        <v>29783</v>
      </c>
      <c r="AA3652">
        <v>0.69311621712333193</v>
      </c>
      <c r="AB3652" t="str">
        <f>HYPERLINK("Melting_Curves/meltCurve_Q5R372_7_RABGAP1L.pdf", "Melting_Curves/meltCurve_Q5R372_7_RABGAP1L.pdf")</f>
        <v>Melting_Curves/meltCurve_Q5R372_7_RABGAP1L.pdf</v>
      </c>
    </row>
    <row r="3653" spans="1:28" x14ac:dyDescent="0.25">
      <c r="A3653" t="s">
        <v>3656</v>
      </c>
      <c r="B3653">
        <v>0.99930955844802105</v>
      </c>
      <c r="C3653">
        <v>1.0711620366072401</v>
      </c>
      <c r="D3653">
        <v>1.05560232221109</v>
      </c>
      <c r="E3653">
        <v>0.88706145723929697</v>
      </c>
      <c r="F3653">
        <v>0.61122536396629201</v>
      </c>
      <c r="G3653">
        <v>0.20032368582017901</v>
      </c>
      <c r="H3653">
        <v>0.17836466403043399</v>
      </c>
      <c r="I3653">
        <v>0.14635361701188801</v>
      </c>
      <c r="J3653">
        <v>0.12492151164486</v>
      </c>
      <c r="K3653">
        <v>8.6615863152287906E-2</v>
      </c>
      <c r="L3653">
        <v>1717.07164405565</v>
      </c>
      <c r="M3653">
        <v>32.224460894898002</v>
      </c>
      <c r="N3653">
        <v>53.765482416280797</v>
      </c>
      <c r="O3653">
        <v>53.0807824599013</v>
      </c>
      <c r="P3653">
        <v>-0.13277406653357299</v>
      </c>
      <c r="Q3653">
        <v>0.1251717967256</v>
      </c>
      <c r="R3653">
        <v>0.99217514456610301</v>
      </c>
      <c r="S3653" t="s">
        <v>10269</v>
      </c>
      <c r="T3653" t="s">
        <v>13232</v>
      </c>
      <c r="U3653" t="s">
        <v>13232</v>
      </c>
      <c r="V3653" t="s">
        <v>13232</v>
      </c>
      <c r="W3653" t="s">
        <v>16824</v>
      </c>
      <c r="X3653">
        <v>11</v>
      </c>
      <c r="Y3653" t="s">
        <v>23253</v>
      </c>
      <c r="Z3653" t="s">
        <v>29784</v>
      </c>
      <c r="AA3653">
        <v>0.51751651913347774</v>
      </c>
      <c r="AB3653" t="str">
        <f>HYPERLINK("Melting_Curves/meltCurve_Q5R3I4_TTC38.pdf", "Melting_Curves/meltCurve_Q5R3I4_TTC38.pdf")</f>
        <v>Melting_Curves/meltCurve_Q5R3I4_TTC38.pdf</v>
      </c>
    </row>
    <row r="3654" spans="1:28" x14ac:dyDescent="0.25">
      <c r="A3654" t="s">
        <v>3657</v>
      </c>
      <c r="B3654">
        <v>0.99930955844802105</v>
      </c>
      <c r="C3654">
        <v>1.0492621936370199</v>
      </c>
      <c r="D3654">
        <v>1.0937610929580901</v>
      </c>
      <c r="E3654">
        <v>1.0132527987470299</v>
      </c>
      <c r="F3654">
        <v>0.92929683359033799</v>
      </c>
      <c r="G3654">
        <v>0.750175834161809</v>
      </c>
      <c r="H3654">
        <v>0.657380007235841</v>
      </c>
      <c r="I3654">
        <v>0.64225835526706099</v>
      </c>
      <c r="J3654">
        <v>0.60492191459882505</v>
      </c>
      <c r="K3654">
        <v>0.44944346974646698</v>
      </c>
      <c r="L3654">
        <v>941.27400028807403</v>
      </c>
      <c r="M3654">
        <v>16.0601219553402</v>
      </c>
      <c r="O3654">
        <v>57.723293061211599</v>
      </c>
      <c r="P3654">
        <v>-3.5611833614643103E-2</v>
      </c>
      <c r="Q3654">
        <v>0.48805544734150402</v>
      </c>
      <c r="R3654">
        <v>0.93808063009314302</v>
      </c>
      <c r="S3654" t="s">
        <v>10270</v>
      </c>
      <c r="T3654" t="s">
        <v>13232</v>
      </c>
      <c r="U3654" t="s">
        <v>13232</v>
      </c>
      <c r="V3654" t="s">
        <v>13232</v>
      </c>
      <c r="W3654" t="s">
        <v>16825</v>
      </c>
      <c r="X3654">
        <v>2</v>
      </c>
      <c r="Y3654" t="s">
        <v>23254</v>
      </c>
      <c r="Z3654" t="s">
        <v>29785</v>
      </c>
      <c r="AA3654">
        <v>0.81162793157558399</v>
      </c>
      <c r="AB3654" t="str">
        <f>HYPERLINK("Melting_Curves/meltCurve_Q5RHP9_3_C1orf173.pdf", "Melting_Curves/meltCurve_Q5RHP9_3_C1orf173.pdf")</f>
        <v>Melting_Curves/meltCurve_Q5RHP9_3_C1orf173.pdf</v>
      </c>
    </row>
    <row r="3655" spans="1:28" x14ac:dyDescent="0.25">
      <c r="A3655" t="s">
        <v>3658</v>
      </c>
      <c r="B3655">
        <v>0.99930955844802105</v>
      </c>
      <c r="C3655">
        <v>0.98090354022674298</v>
      </c>
      <c r="D3655">
        <v>1.0332897078129</v>
      </c>
      <c r="E3655">
        <v>1.1028728415339899</v>
      </c>
      <c r="F3655">
        <v>1.2353851209371001</v>
      </c>
      <c r="G3655">
        <v>0.95085797146622097</v>
      </c>
      <c r="H3655">
        <v>0.40649617151206002</v>
      </c>
      <c r="I3655">
        <v>0.18276854323122599</v>
      </c>
      <c r="J3655">
        <v>0.11529283538754</v>
      </c>
      <c r="K3655">
        <v>8.4831193420862802E-2</v>
      </c>
      <c r="L3655">
        <v>2950.49134684823</v>
      </c>
      <c r="M3655">
        <v>49.011689782002598</v>
      </c>
      <c r="N3655">
        <v>60.499240269318101</v>
      </c>
      <c r="O3655">
        <v>60.0997815110047</v>
      </c>
      <c r="P3655">
        <v>-0.18191544254012201</v>
      </c>
      <c r="Q3655">
        <v>0.107717499428785</v>
      </c>
      <c r="R3655">
        <v>0.96271899002150096</v>
      </c>
      <c r="S3655" t="s">
        <v>10271</v>
      </c>
      <c r="T3655" t="s">
        <v>13232</v>
      </c>
      <c r="U3655" t="s">
        <v>13232</v>
      </c>
      <c r="V3655" t="s">
        <v>13232</v>
      </c>
      <c r="W3655" t="s">
        <v>16826</v>
      </c>
      <c r="X3655">
        <v>12</v>
      </c>
      <c r="Y3655" t="s">
        <v>23255</v>
      </c>
      <c r="Z3655" t="s">
        <v>29786</v>
      </c>
      <c r="AA3655">
        <v>0.7109256889352864</v>
      </c>
      <c r="AB3655" t="str">
        <f>HYPERLINK("Melting_Curves/meltCurve_Q5RKV6_EXOSC6.pdf", "Melting_Curves/meltCurve_Q5RKV6_EXOSC6.pdf")</f>
        <v>Melting_Curves/meltCurve_Q5RKV6_EXOSC6.pdf</v>
      </c>
    </row>
    <row r="3656" spans="1:28" x14ac:dyDescent="0.25">
      <c r="A3656" t="s">
        <v>3659</v>
      </c>
      <c r="B3656">
        <v>0.99930955844802105</v>
      </c>
      <c r="C3656">
        <v>0.90063122017167396</v>
      </c>
      <c r="D3656">
        <v>0.92351246405128395</v>
      </c>
      <c r="E3656">
        <v>0.85844048765560399</v>
      </c>
      <c r="F3656">
        <v>0.72191566551009201</v>
      </c>
      <c r="G3656">
        <v>0.612107619374189</v>
      </c>
      <c r="H3656">
        <v>0.56731452684307404</v>
      </c>
      <c r="I3656">
        <v>0.62885565444445402</v>
      </c>
      <c r="J3656">
        <v>0.64387246844366797</v>
      </c>
      <c r="K3656">
        <v>0.50841379170307199</v>
      </c>
      <c r="L3656">
        <v>666.15301719270599</v>
      </c>
      <c r="M3656">
        <v>12.9929936483194</v>
      </c>
      <c r="O3656">
        <v>50.101237363420402</v>
      </c>
      <c r="P3656">
        <v>-2.8942701584904001E-2</v>
      </c>
      <c r="Q3656">
        <v>0.55366433281399396</v>
      </c>
      <c r="R3656">
        <v>0.92525614227205599</v>
      </c>
      <c r="S3656" t="s">
        <v>10272</v>
      </c>
      <c r="T3656" t="s">
        <v>13232</v>
      </c>
      <c r="U3656" t="s">
        <v>13232</v>
      </c>
      <c r="V3656" t="s">
        <v>13232</v>
      </c>
      <c r="W3656" t="s">
        <v>16827</v>
      </c>
      <c r="X3656">
        <v>27</v>
      </c>
      <c r="Y3656" t="s">
        <v>23256</v>
      </c>
      <c r="Z3656" t="s">
        <v>29787</v>
      </c>
      <c r="AA3656">
        <v>0.73411381061447356</v>
      </c>
      <c r="AB3656" t="str">
        <f>HYPERLINK("Melting_Curves/meltCurve_Q5SNT6_FAM21B.pdf", "Melting_Curves/meltCurve_Q5SNT6_FAM21B.pdf")</f>
        <v>Melting_Curves/meltCurve_Q5SNT6_FAM21B.pdf</v>
      </c>
    </row>
    <row r="3657" spans="1:28" x14ac:dyDescent="0.25">
      <c r="A3657" t="s">
        <v>3660</v>
      </c>
      <c r="B3657">
        <v>0.99930955844802105</v>
      </c>
      <c r="C3657">
        <v>0.969361637577835</v>
      </c>
      <c r="D3657">
        <v>0.90822939703577898</v>
      </c>
      <c r="E3657">
        <v>0.70516805983041797</v>
      </c>
      <c r="F3657">
        <v>0.293622418584221</v>
      </c>
      <c r="G3657">
        <v>0.162252909484223</v>
      </c>
      <c r="H3657">
        <v>9.4248891976451296E-2</v>
      </c>
      <c r="I3657">
        <v>8.5748214481858001E-2</v>
      </c>
      <c r="J3657">
        <v>7.3607295886590901E-2</v>
      </c>
      <c r="K3657">
        <v>5.8475303595027901E-2</v>
      </c>
      <c r="L3657">
        <v>1361.42804450635</v>
      </c>
      <c r="M3657">
        <v>26.645120337325601</v>
      </c>
      <c r="N3657">
        <v>51.414077392731897</v>
      </c>
      <c r="O3657">
        <v>50.809636476211701</v>
      </c>
      <c r="P3657">
        <v>-0.121108419827391</v>
      </c>
      <c r="Q3657">
        <v>7.6242033644431897E-2</v>
      </c>
      <c r="R3657">
        <v>0.995406924698373</v>
      </c>
      <c r="S3657" t="s">
        <v>10273</v>
      </c>
      <c r="T3657" t="s">
        <v>13232</v>
      </c>
      <c r="U3657" t="s">
        <v>13232</v>
      </c>
      <c r="V3657" t="s">
        <v>13232</v>
      </c>
      <c r="W3657" t="s">
        <v>16828</v>
      </c>
      <c r="X3657">
        <v>22</v>
      </c>
      <c r="Y3657" t="s">
        <v>23257</v>
      </c>
      <c r="Z3657" t="s">
        <v>29788</v>
      </c>
      <c r="AA3657">
        <v>0.42524051487266062</v>
      </c>
      <c r="AB3657" t="str">
        <f>HYPERLINK("Melting_Curves/meltCurve_Q5SNW6_MTHFR.pdf", "Melting_Curves/meltCurve_Q5SNW6_MTHFR.pdf")</f>
        <v>Melting_Curves/meltCurve_Q5SNW6_MTHFR.pdf</v>
      </c>
    </row>
    <row r="3658" spans="1:28" x14ac:dyDescent="0.25">
      <c r="A3658" t="s">
        <v>3661</v>
      </c>
      <c r="B3658">
        <v>0.99930955844802105</v>
      </c>
      <c r="C3658">
        <v>0.89809010706922998</v>
      </c>
      <c r="D3658">
        <v>0.87627661874156204</v>
      </c>
      <c r="E3658">
        <v>0.834619431070731</v>
      </c>
      <c r="F3658">
        <v>0.87788566735677998</v>
      </c>
      <c r="G3658">
        <v>0.61742950176947897</v>
      </c>
      <c r="H3658">
        <v>0.47957361290626499</v>
      </c>
      <c r="I3658">
        <v>0.423669351595309</v>
      </c>
      <c r="J3658">
        <v>0.21096548863102799</v>
      </c>
      <c r="K3658">
        <v>0.120611631431321</v>
      </c>
      <c r="L3658">
        <v>623.88251276643302</v>
      </c>
      <c r="M3658">
        <v>10.377286160107801</v>
      </c>
      <c r="N3658">
        <v>60.120023403104497</v>
      </c>
      <c r="O3658">
        <v>58.015973705737501</v>
      </c>
      <c r="P3658">
        <v>-4.4736240867367397E-2</v>
      </c>
      <c r="Q3658">
        <v>0</v>
      </c>
      <c r="R3658">
        <v>0.95796224074062597</v>
      </c>
      <c r="S3658" t="s">
        <v>10274</v>
      </c>
      <c r="T3658" t="s">
        <v>13232</v>
      </c>
      <c r="U3658" t="s">
        <v>13232</v>
      </c>
      <c r="V3658" t="s">
        <v>13232</v>
      </c>
      <c r="W3658" t="s">
        <v>16829</v>
      </c>
      <c r="X3658">
        <v>2</v>
      </c>
      <c r="Y3658" t="s">
        <v>23258</v>
      </c>
      <c r="Z3658" t="s">
        <v>29789</v>
      </c>
      <c r="AA3658">
        <v>0.66728132733007228</v>
      </c>
      <c r="AB3658" t="str">
        <f>HYPERLINK("Melting_Curves/meltCurve_Q5SQM6_NUDT13.pdf", "Melting_Curves/meltCurve_Q5SQM6_NUDT13.pdf")</f>
        <v>Melting_Curves/meltCurve_Q5SQM6_NUDT13.pdf</v>
      </c>
    </row>
    <row r="3659" spans="1:28" x14ac:dyDescent="0.25">
      <c r="A3659" t="s">
        <v>3662</v>
      </c>
      <c r="B3659">
        <v>0.99930955844802105</v>
      </c>
      <c r="C3659">
        <v>0.77871736648547596</v>
      </c>
      <c r="D3659">
        <v>0.64377207552857096</v>
      </c>
      <c r="E3659">
        <v>0.34399428210085597</v>
      </c>
      <c r="F3659">
        <v>0.16610461427128501</v>
      </c>
      <c r="G3659">
        <v>0.129323913112949</v>
      </c>
      <c r="H3659">
        <v>9.7298073345203295E-2</v>
      </c>
      <c r="I3659">
        <v>8.7061068262318395E-2</v>
      </c>
      <c r="J3659">
        <v>8.8811640202142203E-2</v>
      </c>
      <c r="K3659">
        <v>6.7292616002633296E-2</v>
      </c>
      <c r="L3659">
        <v>755.90858957708099</v>
      </c>
      <c r="M3659">
        <v>16.074290746871402</v>
      </c>
      <c r="N3659">
        <v>47.475442825855801</v>
      </c>
      <c r="O3659">
        <v>46.316192067083101</v>
      </c>
      <c r="P3659">
        <v>-8.0645575349791096E-2</v>
      </c>
      <c r="Q3659">
        <v>7.0588670531351594E-2</v>
      </c>
      <c r="R3659">
        <v>0.99204335989255199</v>
      </c>
      <c r="S3659" t="s">
        <v>10275</v>
      </c>
      <c r="T3659" t="s">
        <v>13232</v>
      </c>
      <c r="U3659" t="s">
        <v>13232</v>
      </c>
      <c r="V3659" t="s">
        <v>13232</v>
      </c>
      <c r="W3659" t="s">
        <v>16830</v>
      </c>
      <c r="X3659">
        <v>14</v>
      </c>
      <c r="Y3659" t="s">
        <v>23259</v>
      </c>
      <c r="Z3659" t="s">
        <v>29790</v>
      </c>
      <c r="AA3659">
        <v>0.31008231364770861</v>
      </c>
      <c r="AB3659" t="str">
        <f>HYPERLINK("Melting_Curves/meltCurve_Q5SRE5_NUP188.pdf", "Melting_Curves/meltCurve_Q5SRE5_NUP188.pdf")</f>
        <v>Melting_Curves/meltCurve_Q5SRE5_NUP188.pdf</v>
      </c>
    </row>
    <row r="3660" spans="1:28" x14ac:dyDescent="0.25">
      <c r="A3660" t="s">
        <v>3663</v>
      </c>
      <c r="B3660">
        <v>0.99930955844802105</v>
      </c>
      <c r="C3660">
        <v>0.95653081060216105</v>
      </c>
      <c r="D3660">
        <v>1.01474897603632</v>
      </c>
      <c r="E3660">
        <v>0.95495769547521703</v>
      </c>
      <c r="F3660">
        <v>0.57014847318225403</v>
      </c>
      <c r="G3660">
        <v>0.39057594014593899</v>
      </c>
      <c r="H3660">
        <v>0.39657025028891901</v>
      </c>
      <c r="I3660">
        <v>0.38132453573418501</v>
      </c>
      <c r="J3660">
        <v>0.43014007628816697</v>
      </c>
      <c r="K3660">
        <v>0.33443868251966702</v>
      </c>
      <c r="L3660">
        <v>2990.69730100985</v>
      </c>
      <c r="M3660">
        <v>57.273648492600103</v>
      </c>
      <c r="N3660">
        <v>53.597724050996398</v>
      </c>
      <c r="O3660">
        <v>52.154136884018797</v>
      </c>
      <c r="P3660">
        <v>-0.168684527633256</v>
      </c>
      <c r="Q3660">
        <v>0.38557489339043999</v>
      </c>
      <c r="R3660">
        <v>0.99143018442173003</v>
      </c>
      <c r="S3660" t="s">
        <v>10276</v>
      </c>
      <c r="T3660" t="s">
        <v>13232</v>
      </c>
      <c r="U3660" t="s">
        <v>13232</v>
      </c>
      <c r="V3660" t="s">
        <v>13232</v>
      </c>
      <c r="W3660" t="s">
        <v>16831</v>
      </c>
      <c r="X3660">
        <v>4</v>
      </c>
      <c r="Y3660" t="s">
        <v>23260</v>
      </c>
      <c r="Z3660" t="s">
        <v>29791</v>
      </c>
      <c r="AA3660">
        <v>0.63688043062832023</v>
      </c>
      <c r="AB3660" t="str">
        <f>HYPERLINK("Melting_Curves/meltCurve_Q5SRN1_CDC40.pdf", "Melting_Curves/meltCurve_Q5SRN1_CDC40.pdf")</f>
        <v>Melting_Curves/meltCurve_Q5SRN1_CDC40.pdf</v>
      </c>
    </row>
    <row r="3661" spans="1:28" x14ac:dyDescent="0.25">
      <c r="A3661" t="s">
        <v>3664</v>
      </c>
      <c r="B3661">
        <v>0.99930955844802105</v>
      </c>
      <c r="C3661">
        <v>0.86169571699417502</v>
      </c>
      <c r="D3661">
        <v>0.70972277580744902</v>
      </c>
      <c r="E3661">
        <v>0.59292745538323199</v>
      </c>
      <c r="F3661">
        <v>0.49971976201651203</v>
      </c>
      <c r="G3661">
        <v>0.401711126366529</v>
      </c>
      <c r="H3661">
        <v>0.35380331463888198</v>
      </c>
      <c r="I3661">
        <v>0.35159438201813897</v>
      </c>
      <c r="J3661">
        <v>0.37394439393825102</v>
      </c>
      <c r="K3661">
        <v>0.31511357038086302</v>
      </c>
      <c r="L3661">
        <v>591.92795446011201</v>
      </c>
      <c r="M3661">
        <v>12.3597166105948</v>
      </c>
      <c r="N3661">
        <v>52.323319912674897</v>
      </c>
      <c r="O3661">
        <v>46.689807640546697</v>
      </c>
      <c r="P3661">
        <v>-4.4715851262315198E-2</v>
      </c>
      <c r="Q3661">
        <v>0.32447455990225399</v>
      </c>
      <c r="R3661">
        <v>0.98726390957621502</v>
      </c>
      <c r="S3661" t="s">
        <v>10277</v>
      </c>
      <c r="T3661" t="s">
        <v>13232</v>
      </c>
      <c r="U3661" t="s">
        <v>13232</v>
      </c>
      <c r="V3661" t="s">
        <v>13232</v>
      </c>
      <c r="W3661" t="s">
        <v>16832</v>
      </c>
      <c r="X3661">
        <v>15</v>
      </c>
      <c r="Y3661" t="s">
        <v>23261</v>
      </c>
      <c r="Z3661" t="s">
        <v>29792</v>
      </c>
      <c r="AA3661">
        <v>0.52743102445457102</v>
      </c>
      <c r="AB3661" t="str">
        <f>HYPERLINK("Melting_Curves/meltCurve_Q5SSJ5_HP1BP3.pdf", "Melting_Curves/meltCurve_Q5SSJ5_HP1BP3.pdf")</f>
        <v>Melting_Curves/meltCurve_Q5SSJ5_HP1BP3.pdf</v>
      </c>
    </row>
    <row r="3662" spans="1:28" x14ac:dyDescent="0.25">
      <c r="A3662" t="s">
        <v>3665</v>
      </c>
      <c r="B3662">
        <v>0.99930955844802105</v>
      </c>
      <c r="C3662">
        <v>0.94616371818643796</v>
      </c>
      <c r="D3662">
        <v>0.91077732625979801</v>
      </c>
      <c r="E3662">
        <v>0.739406084328038</v>
      </c>
      <c r="F3662">
        <v>0.272845638228083</v>
      </c>
      <c r="G3662">
        <v>0.18005254231252399</v>
      </c>
      <c r="H3662">
        <v>0.103133640274484</v>
      </c>
      <c r="I3662">
        <v>9.1428833733301906E-2</v>
      </c>
      <c r="J3662">
        <v>7.4776957733359198E-2</v>
      </c>
      <c r="K3662">
        <v>6.4053062441506797E-2</v>
      </c>
      <c r="L3662">
        <v>1668.28227142284</v>
      </c>
      <c r="M3662">
        <v>32.616319276687499</v>
      </c>
      <c r="N3662">
        <v>51.464375291427501</v>
      </c>
      <c r="O3662">
        <v>50.957576011314799</v>
      </c>
      <c r="P3662">
        <v>-0.14551033493391399</v>
      </c>
      <c r="Q3662">
        <v>9.0661448687901894E-2</v>
      </c>
      <c r="R3662">
        <v>0.99056903774669802</v>
      </c>
      <c r="S3662" t="s">
        <v>10278</v>
      </c>
      <c r="T3662" t="s">
        <v>13232</v>
      </c>
      <c r="U3662" t="s">
        <v>13232</v>
      </c>
      <c r="V3662" t="s">
        <v>13232</v>
      </c>
      <c r="W3662" t="s">
        <v>16833</v>
      </c>
      <c r="X3662">
        <v>9</v>
      </c>
      <c r="Y3662" t="s">
        <v>23262</v>
      </c>
      <c r="Z3662" t="s">
        <v>29793</v>
      </c>
      <c r="AA3662">
        <v>0.43343974328193891</v>
      </c>
      <c r="AB3662" t="str">
        <f>HYPERLINK("Melting_Curves/meltCurve_Q5ST30_VARS2.pdf", "Melting_Curves/meltCurve_Q5ST30_VARS2.pdf")</f>
        <v>Melting_Curves/meltCurve_Q5ST30_VARS2.pdf</v>
      </c>
    </row>
    <row r="3663" spans="1:28" x14ac:dyDescent="0.25">
      <c r="A3663" t="s">
        <v>3666</v>
      </c>
      <c r="B3663">
        <v>0.99930955844802105</v>
      </c>
      <c r="C3663">
        <v>1.0971892594539301</v>
      </c>
      <c r="D3663">
        <v>1.09602509811434</v>
      </c>
      <c r="E3663">
        <v>1.06936325949726</v>
      </c>
      <c r="F3663">
        <v>0.91805455615399201</v>
      </c>
      <c r="G3663">
        <v>0.78980251244948196</v>
      </c>
      <c r="H3663">
        <v>0.77317539522260303</v>
      </c>
      <c r="I3663">
        <v>0.83163089170735205</v>
      </c>
      <c r="J3663">
        <v>0.809361800576058</v>
      </c>
      <c r="K3663">
        <v>0.65803881205343595</v>
      </c>
      <c r="L3663">
        <v>13280.4841279845</v>
      </c>
      <c r="M3663">
        <v>250</v>
      </c>
      <c r="O3663">
        <v>53.118537962242002</v>
      </c>
      <c r="P3663">
        <v>-0.26779507472143599</v>
      </c>
      <c r="Q3663">
        <v>0.77240187864705201</v>
      </c>
      <c r="R3663">
        <v>0.80648674399264098</v>
      </c>
      <c r="S3663" t="s">
        <v>10279</v>
      </c>
      <c r="T3663" t="s">
        <v>13232</v>
      </c>
      <c r="U3663" t="s">
        <v>13232</v>
      </c>
      <c r="V3663" t="s">
        <v>13232</v>
      </c>
      <c r="W3663" t="s">
        <v>16834</v>
      </c>
      <c r="X3663">
        <v>69</v>
      </c>
      <c r="Y3663" t="s">
        <v>23263</v>
      </c>
      <c r="Z3663" t="s">
        <v>29794</v>
      </c>
      <c r="AA3663">
        <v>0.87197403382480643</v>
      </c>
      <c r="AB3663" t="str">
        <f>HYPERLINK("Melting_Curves/meltCurve_Q5SW79_CEP170.pdf", "Melting_Curves/meltCurve_Q5SW79_CEP170.pdf")</f>
        <v>Melting_Curves/meltCurve_Q5SW79_CEP170.pdf</v>
      </c>
    </row>
    <row r="3664" spans="1:28" x14ac:dyDescent="0.25">
      <c r="A3664" t="s">
        <v>3667</v>
      </c>
      <c r="B3664">
        <v>0.99930955844802105</v>
      </c>
      <c r="C3664">
        <v>1.30436735231764</v>
      </c>
      <c r="D3664">
        <v>1.24768977167883</v>
      </c>
      <c r="E3664">
        <v>1.29629409674947</v>
      </c>
      <c r="F3664">
        <v>1.16683376990087</v>
      </c>
      <c r="G3664">
        <v>1.09740987834321</v>
      </c>
      <c r="H3664">
        <v>1.05649153524437</v>
      </c>
      <c r="I3664">
        <v>1.12739407224388</v>
      </c>
      <c r="J3664">
        <v>1.2181902919518699</v>
      </c>
      <c r="K3664">
        <v>0.94201021819341302</v>
      </c>
      <c r="L3664">
        <v>10248.7291054998</v>
      </c>
      <c r="M3664">
        <v>250</v>
      </c>
      <c r="O3664">
        <v>40.992299185249102</v>
      </c>
      <c r="P3664">
        <v>0.24677390549136399</v>
      </c>
      <c r="Q3664">
        <v>1.16185325176192</v>
      </c>
      <c r="R3664">
        <v>0.17291914294659599</v>
      </c>
      <c r="S3664" t="s">
        <v>10280</v>
      </c>
      <c r="T3664" t="s">
        <v>13232</v>
      </c>
      <c r="U3664" t="s">
        <v>13232</v>
      </c>
      <c r="V3664" t="s">
        <v>13232</v>
      </c>
      <c r="W3664" t="s">
        <v>16835</v>
      </c>
      <c r="X3664">
        <v>66</v>
      </c>
      <c r="Y3664" t="s">
        <v>23263</v>
      </c>
      <c r="Z3664" t="s">
        <v>29795</v>
      </c>
      <c r="AA3664">
        <v>1.156472261385904</v>
      </c>
      <c r="AB3664" t="str">
        <f>HYPERLINK("Melting_Curves/meltCurve_Q5SW79_2_CEP170.pdf", "Melting_Curves/meltCurve_Q5SW79_2_CEP170.pdf")</f>
        <v>Melting_Curves/meltCurve_Q5SW79_2_CEP170.pdf</v>
      </c>
    </row>
    <row r="3665" spans="1:28" x14ac:dyDescent="0.25">
      <c r="A3665" t="s">
        <v>3668</v>
      </c>
      <c r="B3665">
        <v>0.99930955844802105</v>
      </c>
      <c r="C3665">
        <v>0.87720319225625398</v>
      </c>
      <c r="D3665">
        <v>0.66591725519296796</v>
      </c>
      <c r="E3665">
        <v>0.36117819502423298</v>
      </c>
      <c r="F3665">
        <v>0.202414112843216</v>
      </c>
      <c r="G3665">
        <v>0.15838714404651699</v>
      </c>
      <c r="H3665">
        <v>9.0522221529642705E-2</v>
      </c>
      <c r="I3665">
        <v>7.3724303158036103E-2</v>
      </c>
      <c r="J3665">
        <v>8.6768776619896903E-2</v>
      </c>
      <c r="K3665">
        <v>5.2377197098084E-2</v>
      </c>
      <c r="L3665">
        <v>812.45402335308802</v>
      </c>
      <c r="M3665">
        <v>17.045930417443099</v>
      </c>
      <c r="N3665">
        <v>48.0922346816985</v>
      </c>
      <c r="O3665">
        <v>47.021167582651103</v>
      </c>
      <c r="P3665">
        <v>-8.4233897798831406E-2</v>
      </c>
      <c r="Q3665">
        <v>7.0620654352727297E-2</v>
      </c>
      <c r="R3665">
        <v>0.99731222415517196</v>
      </c>
      <c r="S3665" t="s">
        <v>10281</v>
      </c>
      <c r="T3665" t="s">
        <v>13232</v>
      </c>
      <c r="U3665" t="s">
        <v>13232</v>
      </c>
      <c r="V3665" t="s">
        <v>13232</v>
      </c>
      <c r="W3665" t="s">
        <v>16836</v>
      </c>
      <c r="X3665">
        <v>5</v>
      </c>
      <c r="Y3665" t="s">
        <v>23264</v>
      </c>
      <c r="Z3665" t="s">
        <v>29796</v>
      </c>
      <c r="AA3665">
        <v>0.32670545602515699</v>
      </c>
      <c r="AB3665" t="str">
        <f>HYPERLINK("Melting_Curves/meltCurve_Q5SW96_LDLRAP1.pdf", "Melting_Curves/meltCurve_Q5SW96_LDLRAP1.pdf")</f>
        <v>Melting_Curves/meltCurve_Q5SW96_LDLRAP1.pdf</v>
      </c>
    </row>
    <row r="3666" spans="1:28" x14ac:dyDescent="0.25">
      <c r="A3666" t="s">
        <v>3669</v>
      </c>
      <c r="B3666">
        <v>0.99930955844802105</v>
      </c>
      <c r="C3666">
        <v>0.96950780397053304</v>
      </c>
      <c r="D3666">
        <v>0.75810307710300395</v>
      </c>
      <c r="E3666">
        <v>0.632429434528059</v>
      </c>
      <c r="F3666">
        <v>0.52681845453543596</v>
      </c>
      <c r="G3666">
        <v>0.47328797690430602</v>
      </c>
      <c r="H3666">
        <v>0.43936548387337299</v>
      </c>
      <c r="I3666">
        <v>0.60248260948753496</v>
      </c>
      <c r="J3666">
        <v>0.46393924251190499</v>
      </c>
      <c r="K3666">
        <v>0.356994763811188</v>
      </c>
      <c r="L3666">
        <v>869.03669729825003</v>
      </c>
      <c r="M3666">
        <v>18.3604027859623</v>
      </c>
      <c r="N3666">
        <v>54.9487389315806</v>
      </c>
      <c r="O3666">
        <v>46.781341721033499</v>
      </c>
      <c r="P3666">
        <v>-5.29113484697551E-2</v>
      </c>
      <c r="Q3666">
        <v>0.460763240916928</v>
      </c>
      <c r="R3666">
        <v>0.92036869353887296</v>
      </c>
      <c r="S3666" t="s">
        <v>10282</v>
      </c>
      <c r="T3666" t="s">
        <v>13232</v>
      </c>
      <c r="U3666" t="s">
        <v>13232</v>
      </c>
      <c r="V3666" t="s">
        <v>13232</v>
      </c>
      <c r="W3666" t="s">
        <v>16837</v>
      </c>
      <c r="X3666">
        <v>4</v>
      </c>
      <c r="Y3666" t="s">
        <v>23265</v>
      </c>
      <c r="Z3666" t="s">
        <v>29797</v>
      </c>
      <c r="AA3666">
        <v>0.60194483825320866</v>
      </c>
      <c r="AB3666" t="str">
        <f>HYPERLINK("Melting_Curves/meltCurve_Q5SXM2_SNAPC4.pdf", "Melting_Curves/meltCurve_Q5SXM2_SNAPC4.pdf")</f>
        <v>Melting_Curves/meltCurve_Q5SXM2_SNAPC4.pdf</v>
      </c>
    </row>
    <row r="3667" spans="1:28" x14ac:dyDescent="0.25">
      <c r="A3667" t="s">
        <v>3670</v>
      </c>
      <c r="B3667">
        <v>0.99930955844802105</v>
      </c>
      <c r="C3667">
        <v>0.93593800695363805</v>
      </c>
      <c r="D3667">
        <v>0.91644785854773403</v>
      </c>
      <c r="E3667">
        <v>0.89541644867768699</v>
      </c>
      <c r="F3667">
        <v>0.79941362771228297</v>
      </c>
      <c r="G3667">
        <v>0.56389155915754696</v>
      </c>
      <c r="H3667">
        <v>0.34471562525821597</v>
      </c>
      <c r="I3667">
        <v>0.25645216458161002</v>
      </c>
      <c r="J3667">
        <v>0.29609311806851102</v>
      </c>
      <c r="K3667">
        <v>0.247261320292081</v>
      </c>
      <c r="L3667">
        <v>940.25619502484403</v>
      </c>
      <c r="M3667">
        <v>16.803712124371199</v>
      </c>
      <c r="N3667">
        <v>57.859839875294902</v>
      </c>
      <c r="O3667">
        <v>55.180820586443801</v>
      </c>
      <c r="P3667">
        <v>-5.9962058330736798E-2</v>
      </c>
      <c r="Q3667">
        <v>0.212426032239976</v>
      </c>
      <c r="R3667">
        <v>0.98638965596297201</v>
      </c>
      <c r="S3667" t="s">
        <v>10283</v>
      </c>
      <c r="T3667" t="s">
        <v>13232</v>
      </c>
      <c r="U3667" t="s">
        <v>13232</v>
      </c>
      <c r="V3667" t="s">
        <v>13232</v>
      </c>
      <c r="W3667" t="s">
        <v>16838</v>
      </c>
      <c r="X3667">
        <v>2</v>
      </c>
      <c r="Y3667" t="s">
        <v>23266</v>
      </c>
      <c r="Z3667" t="s">
        <v>29798</v>
      </c>
      <c r="AA3667">
        <v>0.64386596847737265</v>
      </c>
      <c r="AB3667" t="str">
        <f>HYPERLINK("Melting_Curves/meltCurve_Q5SY16_NOL9.pdf", "Melting_Curves/meltCurve_Q5SY16_NOL9.pdf")</f>
        <v>Melting_Curves/meltCurve_Q5SY16_NOL9.pdf</v>
      </c>
    </row>
    <row r="3668" spans="1:28" x14ac:dyDescent="0.25">
      <c r="A3668" t="s">
        <v>3671</v>
      </c>
      <c r="B3668">
        <v>0.99930955844802105</v>
      </c>
      <c r="C3668">
        <v>1.15165698174749</v>
      </c>
      <c r="D3668">
        <v>1.15511074496612</v>
      </c>
      <c r="E3668">
        <v>1.08531989976945</v>
      </c>
      <c r="F3668">
        <v>1.0122418370510999</v>
      </c>
      <c r="G3668">
        <v>0.86176566625981299</v>
      </c>
      <c r="H3668">
        <v>0.65407611954811895</v>
      </c>
      <c r="I3668">
        <v>0.47639118372755102</v>
      </c>
      <c r="J3668">
        <v>0.44982738108165099</v>
      </c>
      <c r="K3668">
        <v>0.299673101369893</v>
      </c>
      <c r="L3668">
        <v>1342.64507754748</v>
      </c>
      <c r="M3668">
        <v>21.970583703855901</v>
      </c>
      <c r="N3668">
        <v>63.787943551811502</v>
      </c>
      <c r="O3668">
        <v>60.611517683726298</v>
      </c>
      <c r="P3668">
        <v>-6.3332395069371203E-2</v>
      </c>
      <c r="Q3668">
        <v>0.301140777990346</v>
      </c>
      <c r="R3668">
        <v>0.93162923494771399</v>
      </c>
      <c r="S3668" t="s">
        <v>10284</v>
      </c>
      <c r="T3668" t="s">
        <v>13232</v>
      </c>
      <c r="U3668" t="s">
        <v>13232</v>
      </c>
      <c r="V3668" t="s">
        <v>13232</v>
      </c>
      <c r="W3668" t="s">
        <v>16839</v>
      </c>
      <c r="X3668">
        <v>4</v>
      </c>
      <c r="Y3668" t="s">
        <v>23267</v>
      </c>
      <c r="Z3668" t="s">
        <v>29799</v>
      </c>
      <c r="AA3668">
        <v>0.79721622161089511</v>
      </c>
      <c r="AB3668" t="str">
        <f>HYPERLINK("Melting_Curves/meltCurve_Q5SY21_ZBTB48.pdf", "Melting_Curves/meltCurve_Q5SY21_ZBTB48.pdf")</f>
        <v>Melting_Curves/meltCurve_Q5SY21_ZBTB48.pdf</v>
      </c>
    </row>
    <row r="3669" spans="1:28" x14ac:dyDescent="0.25">
      <c r="A3669" t="s">
        <v>3672</v>
      </c>
      <c r="B3669">
        <v>0.99930955844802105</v>
      </c>
      <c r="C3669">
        <v>0.69042275698414401</v>
      </c>
      <c r="D3669">
        <v>0.56484385907059298</v>
      </c>
      <c r="E3669">
        <v>0.59864976320632102</v>
      </c>
      <c r="F3669">
        <v>0.49012993481079797</v>
      </c>
      <c r="G3669">
        <v>0.34345727250497599</v>
      </c>
      <c r="H3669">
        <v>0.19046846211813601</v>
      </c>
      <c r="I3669">
        <v>0.18846620874377901</v>
      </c>
      <c r="J3669">
        <v>0.18215899221593901</v>
      </c>
      <c r="K3669">
        <v>0.13576555983129199</v>
      </c>
      <c r="L3669">
        <v>343.86135757499198</v>
      </c>
      <c r="M3669">
        <v>6.7507330438933399</v>
      </c>
      <c r="N3669">
        <v>50.936889700102697</v>
      </c>
      <c r="O3669">
        <v>47.026583222203399</v>
      </c>
      <c r="P3669">
        <v>-3.5963819444168502E-2</v>
      </c>
      <c r="Q3669">
        <v>0</v>
      </c>
      <c r="R3669">
        <v>0.93024469718216496</v>
      </c>
      <c r="S3669" t="s">
        <v>10285</v>
      </c>
      <c r="T3669" t="s">
        <v>13232</v>
      </c>
      <c r="U3669" t="s">
        <v>13232</v>
      </c>
      <c r="V3669" t="s">
        <v>13232</v>
      </c>
      <c r="W3669" t="s">
        <v>16840</v>
      </c>
      <c r="X3669">
        <v>4</v>
      </c>
      <c r="Y3669" t="s">
        <v>23268</v>
      </c>
      <c r="Z3669" t="s">
        <v>29800</v>
      </c>
      <c r="AA3669">
        <v>0.42753761701678078</v>
      </c>
      <c r="AB3669" t="str">
        <f>HYPERLINK("Melting_Curves/meltCurve_Q5T011_5_SZT2.pdf", "Melting_Curves/meltCurve_Q5T011_5_SZT2.pdf")</f>
        <v>Melting_Curves/meltCurve_Q5T011_5_SZT2.pdf</v>
      </c>
    </row>
    <row r="3670" spans="1:28" x14ac:dyDescent="0.25">
      <c r="A3670" t="s">
        <v>3673</v>
      </c>
      <c r="B3670">
        <v>0.99930955844802105</v>
      </c>
      <c r="C3670">
        <v>1.02622449948948</v>
      </c>
      <c r="D3670">
        <v>0.98995715538791995</v>
      </c>
      <c r="E3670">
        <v>0.87692900393644102</v>
      </c>
      <c r="F3670">
        <v>0.63111303411691899</v>
      </c>
      <c r="G3670">
        <v>0.50615386519024197</v>
      </c>
      <c r="H3670">
        <v>0.48094691126176498</v>
      </c>
      <c r="I3670">
        <v>0.48443896726854502</v>
      </c>
      <c r="J3670">
        <v>0.46690831081290102</v>
      </c>
      <c r="K3670">
        <v>0.39004953306266199</v>
      </c>
      <c r="L3670">
        <v>1576.72388272746</v>
      </c>
      <c r="M3670">
        <v>30.3901224211947</v>
      </c>
      <c r="N3670">
        <v>56.387629030833402</v>
      </c>
      <c r="O3670">
        <v>51.659682647771298</v>
      </c>
      <c r="P3670">
        <v>-8.0022282672753103E-2</v>
      </c>
      <c r="Q3670">
        <v>0.45588905006887498</v>
      </c>
      <c r="R3670">
        <v>0.98857018512258299</v>
      </c>
      <c r="S3670" t="s">
        <v>10286</v>
      </c>
      <c r="T3670" t="s">
        <v>13232</v>
      </c>
      <c r="U3670" t="s">
        <v>13232</v>
      </c>
      <c r="V3670" t="s">
        <v>13232</v>
      </c>
      <c r="W3670" t="s">
        <v>16841</v>
      </c>
      <c r="X3670">
        <v>10</v>
      </c>
      <c r="Y3670" t="s">
        <v>23269</v>
      </c>
      <c r="Z3670" t="s">
        <v>29801</v>
      </c>
      <c r="AA3670">
        <v>0.67478951083673033</v>
      </c>
      <c r="AB3670" t="str">
        <f>HYPERLINK("Melting_Curves/meltCurve_Q5T0N5_3_FNBP1L.pdf", "Melting_Curves/meltCurve_Q5T0N5_3_FNBP1L.pdf")</f>
        <v>Melting_Curves/meltCurve_Q5T0N5_3_FNBP1L.pdf</v>
      </c>
    </row>
    <row r="3671" spans="1:28" x14ac:dyDescent="0.25">
      <c r="A3671" t="s">
        <v>3674</v>
      </c>
      <c r="B3671">
        <v>0.99930955844802105</v>
      </c>
      <c r="C3671">
        <v>1.0540215715938499</v>
      </c>
      <c r="D3671">
        <v>1.0631280541419199</v>
      </c>
      <c r="E3671">
        <v>1.04757949510458</v>
      </c>
      <c r="F3671">
        <v>0.91713646586816999</v>
      </c>
      <c r="G3671">
        <v>0.83579626419270403</v>
      </c>
      <c r="H3671">
        <v>0.80034899060127496</v>
      </c>
      <c r="I3671">
        <v>0.77452270952725799</v>
      </c>
      <c r="J3671">
        <v>0.76522471954097104</v>
      </c>
      <c r="K3671">
        <v>0.60324278145676402</v>
      </c>
      <c r="L3671">
        <v>655.25825882269896</v>
      </c>
      <c r="M3671">
        <v>10.2486098714181</v>
      </c>
      <c r="O3671">
        <v>61.645482804523901</v>
      </c>
      <c r="P3671">
        <v>-2.0337257488177801E-2</v>
      </c>
      <c r="Q3671">
        <v>0.51090134290329103</v>
      </c>
      <c r="R3671">
        <v>0.88260809427990405</v>
      </c>
      <c r="S3671" t="s">
        <v>10287</v>
      </c>
      <c r="T3671" t="s">
        <v>13232</v>
      </c>
      <c r="U3671" t="s">
        <v>13232</v>
      </c>
      <c r="V3671" t="s">
        <v>13232</v>
      </c>
      <c r="W3671" t="s">
        <v>16842</v>
      </c>
      <c r="X3671">
        <v>7</v>
      </c>
      <c r="Y3671" t="s">
        <v>23270</v>
      </c>
      <c r="Z3671" t="s">
        <v>29802</v>
      </c>
      <c r="AA3671">
        <v>0.88175367081992051</v>
      </c>
      <c r="AB3671" t="str">
        <f>HYPERLINK("Melting_Curves/meltCurve_Q5T123_SH3BGRL3.pdf", "Melting_Curves/meltCurve_Q5T123_SH3BGRL3.pdf")</f>
        <v>Melting_Curves/meltCurve_Q5T123_SH3BGRL3.pdf</v>
      </c>
    </row>
    <row r="3672" spans="1:28" x14ac:dyDescent="0.25">
      <c r="A3672" t="s">
        <v>3675</v>
      </c>
      <c r="B3672">
        <v>0.99930955844802105</v>
      </c>
      <c r="C3672">
        <v>1.0293748569915799</v>
      </c>
      <c r="D3672">
        <v>0.94651701386712295</v>
      </c>
      <c r="E3672">
        <v>0.73973735943214902</v>
      </c>
      <c r="F3672">
        <v>0.28120843009969299</v>
      </c>
      <c r="G3672">
        <v>0.179884149172337</v>
      </c>
      <c r="H3672">
        <v>0.12126814411432001</v>
      </c>
      <c r="I3672">
        <v>0.105581749133001</v>
      </c>
      <c r="J3672">
        <v>0.10374857510795001</v>
      </c>
      <c r="K3672">
        <v>8.4212094776350999E-2</v>
      </c>
      <c r="L3672">
        <v>1875.98266843739</v>
      </c>
      <c r="M3672">
        <v>36.708032655983303</v>
      </c>
      <c r="N3672">
        <v>51.460584720304901</v>
      </c>
      <c r="O3672">
        <v>50.9545508107636</v>
      </c>
      <c r="P3672">
        <v>-0.15995276435060199</v>
      </c>
      <c r="Q3672">
        <v>0.11187863812971401</v>
      </c>
      <c r="R3672">
        <v>0.99598571781035805</v>
      </c>
      <c r="S3672" t="s">
        <v>10288</v>
      </c>
      <c r="T3672" t="s">
        <v>13232</v>
      </c>
      <c r="U3672" t="s">
        <v>13232</v>
      </c>
      <c r="V3672" t="s">
        <v>13232</v>
      </c>
      <c r="W3672" t="s">
        <v>16843</v>
      </c>
      <c r="X3672">
        <v>12</v>
      </c>
      <c r="Y3672" t="s">
        <v>23271</v>
      </c>
      <c r="Z3672" t="s">
        <v>29803</v>
      </c>
      <c r="AA3672">
        <v>0.44437595510343247</v>
      </c>
      <c r="AB3672" t="str">
        <f>HYPERLINK("Melting_Curves/meltCurve_Q5T160_RARS2.pdf", "Melting_Curves/meltCurve_Q5T160_RARS2.pdf")</f>
        <v>Melting_Curves/meltCurve_Q5T160_RARS2.pdf</v>
      </c>
    </row>
    <row r="3673" spans="1:28" x14ac:dyDescent="0.25">
      <c r="A3673" t="s">
        <v>3676</v>
      </c>
      <c r="B3673">
        <v>0.99930955844802105</v>
      </c>
      <c r="C3673">
        <v>1.02412047751515</v>
      </c>
      <c r="D3673">
        <v>0.97090672427213598</v>
      </c>
      <c r="E3673">
        <v>0.90373628281438401</v>
      </c>
      <c r="F3673">
        <v>0.75994778920385797</v>
      </c>
      <c r="G3673">
        <v>0.66885597146320297</v>
      </c>
      <c r="H3673">
        <v>0.64448716613148804</v>
      </c>
      <c r="I3673">
        <v>0.78961519221238097</v>
      </c>
      <c r="J3673">
        <v>0.751485686153473</v>
      </c>
      <c r="K3673">
        <v>0.61492471493210998</v>
      </c>
      <c r="L3673">
        <v>1910.7043329969499</v>
      </c>
      <c r="M3673">
        <v>37.442600008019198</v>
      </c>
      <c r="O3673">
        <v>50.885318369156302</v>
      </c>
      <c r="P3673">
        <v>-5.6387739817644299E-2</v>
      </c>
      <c r="Q3673">
        <v>0.69347211505619299</v>
      </c>
      <c r="R3673">
        <v>0.88774059445255205</v>
      </c>
      <c r="S3673" t="s">
        <v>10289</v>
      </c>
      <c r="T3673" t="s">
        <v>13232</v>
      </c>
      <c r="U3673" t="s">
        <v>13232</v>
      </c>
      <c r="V3673" t="s">
        <v>13232</v>
      </c>
      <c r="W3673" t="s">
        <v>16844</v>
      </c>
      <c r="X3673">
        <v>5</v>
      </c>
      <c r="Y3673" t="s">
        <v>23272</v>
      </c>
      <c r="Z3673" t="s">
        <v>29804</v>
      </c>
      <c r="AA3673">
        <v>0.80740955747675136</v>
      </c>
      <c r="AB3673" t="str">
        <f>HYPERLINK("Melting_Curves/meltCurve_Q5T171_PYGO2.pdf", "Melting_Curves/meltCurve_Q5T171_PYGO2.pdf")</f>
        <v>Melting_Curves/meltCurve_Q5T171_PYGO2.pdf</v>
      </c>
    </row>
    <row r="3674" spans="1:28" x14ac:dyDescent="0.25">
      <c r="A3674" t="s">
        <v>3677</v>
      </c>
      <c r="B3674">
        <v>0.99930955844802105</v>
      </c>
      <c r="C3674">
        <v>1.03976114477349</v>
      </c>
      <c r="D3674">
        <v>1.0445484335703199</v>
      </c>
      <c r="E3674">
        <v>0.96453857784101305</v>
      </c>
      <c r="F3674">
        <v>0.769578456607801</v>
      </c>
      <c r="G3674">
        <v>0.495756443731734</v>
      </c>
      <c r="H3674">
        <v>0.23996701128037301</v>
      </c>
      <c r="I3674">
        <v>0.146830103236328</v>
      </c>
      <c r="J3674">
        <v>0.10889738135440501</v>
      </c>
      <c r="K3674">
        <v>8.6520361517097202E-2</v>
      </c>
      <c r="L3674">
        <v>1146.3546148774899</v>
      </c>
      <c r="M3674">
        <v>20.3310692705934</v>
      </c>
      <c r="N3674">
        <v>56.823061851088198</v>
      </c>
      <c r="O3674">
        <v>55.847383833846401</v>
      </c>
      <c r="P3674">
        <v>-8.4404017978021897E-2</v>
      </c>
      <c r="Q3674">
        <v>7.2631207268496104E-2</v>
      </c>
      <c r="R3674">
        <v>0.99579373068422194</v>
      </c>
      <c r="S3674" t="s">
        <v>10290</v>
      </c>
      <c r="T3674" t="s">
        <v>13232</v>
      </c>
      <c r="U3674" t="s">
        <v>13232</v>
      </c>
      <c r="V3674" t="s">
        <v>13232</v>
      </c>
      <c r="W3674" t="s">
        <v>16845</v>
      </c>
      <c r="X3674">
        <v>7</v>
      </c>
      <c r="Y3674" t="s">
        <v>23273</v>
      </c>
      <c r="Z3674" t="s">
        <v>29805</v>
      </c>
      <c r="AA3674">
        <v>0.59060303047084539</v>
      </c>
      <c r="AB3674" t="str">
        <f>HYPERLINK("Melting_Curves/meltCurve_Q5T1C6_THEM4.pdf", "Melting_Curves/meltCurve_Q5T1C6_THEM4.pdf")</f>
        <v>Melting_Curves/meltCurve_Q5T1C6_THEM4.pdf</v>
      </c>
    </row>
    <row r="3675" spans="1:28" x14ac:dyDescent="0.25">
      <c r="A3675" t="s">
        <v>3678</v>
      </c>
      <c r="B3675">
        <v>0.99930955844802105</v>
      </c>
      <c r="C3675">
        <v>1.06147582573627</v>
      </c>
      <c r="D3675">
        <v>1.0279778988499699</v>
      </c>
      <c r="E3675">
        <v>0.85269169283165402</v>
      </c>
      <c r="F3675">
        <v>0.52713798992098404</v>
      </c>
      <c r="G3675">
        <v>0.32769027669949502</v>
      </c>
      <c r="H3675">
        <v>0.223476002832038</v>
      </c>
      <c r="I3675">
        <v>0.19528435818064599</v>
      </c>
      <c r="J3675">
        <v>0.181690233643821</v>
      </c>
      <c r="K3675">
        <v>0.145643163564221</v>
      </c>
      <c r="L3675">
        <v>1341.7249410673201</v>
      </c>
      <c r="M3675">
        <v>25.451162954644399</v>
      </c>
      <c r="N3675">
        <v>53.670515504785797</v>
      </c>
      <c r="O3675">
        <v>52.395407653700197</v>
      </c>
      <c r="P3675">
        <v>-9.9364013925749103E-2</v>
      </c>
      <c r="Q3675">
        <v>0.18178163319045901</v>
      </c>
      <c r="R3675">
        <v>0.99173384393142205</v>
      </c>
      <c r="S3675" t="s">
        <v>10291</v>
      </c>
      <c r="T3675" t="s">
        <v>13232</v>
      </c>
      <c r="U3675" t="s">
        <v>13232</v>
      </c>
      <c r="V3675" t="s">
        <v>13232</v>
      </c>
      <c r="W3675" t="s">
        <v>16846</v>
      </c>
      <c r="X3675">
        <v>31</v>
      </c>
      <c r="Y3675" t="s">
        <v>23274</v>
      </c>
      <c r="Z3675" t="s">
        <v>29806</v>
      </c>
      <c r="AA3675">
        <v>0.53590835124178782</v>
      </c>
      <c r="AB3675" t="str">
        <f>HYPERLINK("Melting_Curves/meltCurve_Q5T1M5_FKBP15.pdf", "Melting_Curves/meltCurve_Q5T1M5_FKBP15.pdf")</f>
        <v>Melting_Curves/meltCurve_Q5T1M5_FKBP15.pdf</v>
      </c>
    </row>
    <row r="3676" spans="1:28" x14ac:dyDescent="0.25">
      <c r="A3676" t="s">
        <v>3679</v>
      </c>
      <c r="B3676">
        <v>0.99930955844802105</v>
      </c>
      <c r="C3676">
        <v>1.0715796324104101</v>
      </c>
      <c r="D3676">
        <v>1.02167418539503</v>
      </c>
      <c r="E3676">
        <v>0.67033544192277605</v>
      </c>
      <c r="F3676">
        <v>0.23904589525909201</v>
      </c>
      <c r="G3676">
        <v>0.175955940242006</v>
      </c>
      <c r="H3676">
        <v>0.11405261630827999</v>
      </c>
      <c r="I3676">
        <v>0.111368452627048</v>
      </c>
      <c r="J3676">
        <v>0.104465859264012</v>
      </c>
      <c r="K3676">
        <v>8.4288049610922997E-2</v>
      </c>
      <c r="L3676">
        <v>2071.06225712178</v>
      </c>
      <c r="M3676">
        <v>40.8807562119582</v>
      </c>
      <c r="N3676">
        <v>50.988404175185501</v>
      </c>
      <c r="O3676">
        <v>50.540281001303697</v>
      </c>
      <c r="P3676">
        <v>-0.17887865243453099</v>
      </c>
      <c r="Q3676">
        <v>0.115421400095456</v>
      </c>
      <c r="R3676">
        <v>0.99385294680952396</v>
      </c>
      <c r="S3676" t="s">
        <v>10292</v>
      </c>
      <c r="T3676" t="s">
        <v>13232</v>
      </c>
      <c r="U3676" t="s">
        <v>13232</v>
      </c>
      <c r="V3676" t="s">
        <v>13232</v>
      </c>
      <c r="W3676" t="s">
        <v>16847</v>
      </c>
      <c r="X3676">
        <v>18</v>
      </c>
      <c r="Y3676" t="s">
        <v>23275</v>
      </c>
      <c r="Z3676" t="s">
        <v>29807</v>
      </c>
      <c r="AA3676">
        <v>0.43273759888305108</v>
      </c>
      <c r="AB3676" t="str">
        <f>HYPERLINK("Melting_Curves/meltCurve_Q5T1V6_DDX59.pdf", "Melting_Curves/meltCurve_Q5T1V6_DDX59.pdf")</f>
        <v>Melting_Curves/meltCurve_Q5T1V6_DDX59.pdf</v>
      </c>
    </row>
    <row r="3677" spans="1:28" x14ac:dyDescent="0.25">
      <c r="A3677" t="s">
        <v>3680</v>
      </c>
      <c r="B3677">
        <v>0.99930955844802105</v>
      </c>
      <c r="C3677">
        <v>0.97567541606213304</v>
      </c>
      <c r="D3677">
        <v>0.96993380908993998</v>
      </c>
      <c r="E3677">
        <v>0.848274161661</v>
      </c>
      <c r="F3677">
        <v>0.561994363467333</v>
      </c>
      <c r="G3677">
        <v>0.48921148200300202</v>
      </c>
      <c r="H3677">
        <v>0.51910191459543997</v>
      </c>
      <c r="I3677">
        <v>0.59611373864388595</v>
      </c>
      <c r="J3677">
        <v>0.66270568988135903</v>
      </c>
      <c r="K3677">
        <v>0.48871594181633998</v>
      </c>
      <c r="L3677">
        <v>3827.5802992581998</v>
      </c>
      <c r="M3677">
        <v>75.881043467435902</v>
      </c>
      <c r="O3677">
        <v>50.4068683556984</v>
      </c>
      <c r="P3677">
        <v>-0.168940847895927</v>
      </c>
      <c r="Q3677">
        <v>0.55109870779530101</v>
      </c>
      <c r="R3677">
        <v>0.94004363153252901</v>
      </c>
      <c r="S3677" t="s">
        <v>10293</v>
      </c>
      <c r="T3677" t="s">
        <v>13232</v>
      </c>
      <c r="U3677" t="s">
        <v>13232</v>
      </c>
      <c r="V3677" t="s">
        <v>13232</v>
      </c>
      <c r="W3677" t="s">
        <v>16848</v>
      </c>
      <c r="X3677">
        <v>41</v>
      </c>
      <c r="Y3677" t="s">
        <v>23276</v>
      </c>
      <c r="Z3677" t="s">
        <v>29808</v>
      </c>
      <c r="AA3677">
        <v>0.70777635079748824</v>
      </c>
      <c r="AB3677" t="str">
        <f>HYPERLINK("Melting_Curves/meltCurve_Q5T200_ZC3H13.pdf", "Melting_Curves/meltCurve_Q5T200_ZC3H13.pdf")</f>
        <v>Melting_Curves/meltCurve_Q5T200_ZC3H13.pdf</v>
      </c>
    </row>
    <row r="3678" spans="1:28" x14ac:dyDescent="0.25">
      <c r="A3678" t="s">
        <v>3681</v>
      </c>
      <c r="B3678">
        <v>0.99930955844802105</v>
      </c>
      <c r="C3678">
        <v>1.03131597152113</v>
      </c>
      <c r="D3678">
        <v>0.88291034675429003</v>
      </c>
      <c r="E3678">
        <v>0.736435724316436</v>
      </c>
      <c r="F3678">
        <v>0.657337884035324</v>
      </c>
      <c r="G3678">
        <v>0.59833350028229304</v>
      </c>
      <c r="H3678">
        <v>0.52040806926740102</v>
      </c>
      <c r="I3678">
        <v>0.56652999202811805</v>
      </c>
      <c r="J3678">
        <v>0.496306057959299</v>
      </c>
      <c r="K3678">
        <v>0.36382599983826702</v>
      </c>
      <c r="L3678">
        <v>607.54538966392795</v>
      </c>
      <c r="M3678">
        <v>11.7571078898442</v>
      </c>
      <c r="N3678">
        <v>62.605717836843297</v>
      </c>
      <c r="O3678">
        <v>50.247736166478497</v>
      </c>
      <c r="P3678">
        <v>-3.3011174703033899E-2</v>
      </c>
      <c r="Q3678">
        <v>0.435812238633767</v>
      </c>
      <c r="R3678">
        <v>0.94505281487181603</v>
      </c>
      <c r="S3678" t="s">
        <v>10294</v>
      </c>
      <c r="T3678" t="s">
        <v>13232</v>
      </c>
      <c r="U3678" t="s">
        <v>13232</v>
      </c>
      <c r="V3678" t="s">
        <v>13232</v>
      </c>
      <c r="W3678" t="s">
        <v>16849</v>
      </c>
      <c r="X3678">
        <v>4</v>
      </c>
      <c r="Y3678" t="s">
        <v>23277</v>
      </c>
      <c r="Z3678" t="s">
        <v>29809</v>
      </c>
      <c r="AA3678">
        <v>0.67349348821437649</v>
      </c>
      <c r="AB3678" t="str">
        <f>HYPERLINK("Melting_Curves/meltCurve_Q5T2D3_OTUD3.pdf", "Melting_Curves/meltCurve_Q5T2D3_OTUD3.pdf")</f>
        <v>Melting_Curves/meltCurve_Q5T2D3_OTUD3.pdf</v>
      </c>
    </row>
    <row r="3679" spans="1:28" x14ac:dyDescent="0.25">
      <c r="A3679" t="s">
        <v>3682</v>
      </c>
      <c r="B3679">
        <v>0.99930955844802105</v>
      </c>
      <c r="C3679">
        <v>0.72570581472708995</v>
      </c>
      <c r="D3679">
        <v>0.70376779913280296</v>
      </c>
      <c r="E3679">
        <v>0.487778867054179</v>
      </c>
      <c r="F3679">
        <v>0.313485995159274</v>
      </c>
      <c r="G3679">
        <v>0.16935011872640601</v>
      </c>
      <c r="H3679">
        <v>9.4143727086595394E-2</v>
      </c>
      <c r="I3679">
        <v>7.436933951935E-2</v>
      </c>
      <c r="J3679">
        <v>8.40571512194737E-2</v>
      </c>
      <c r="K3679">
        <v>5.2582963436870002E-2</v>
      </c>
      <c r="L3679">
        <v>530.16195307417797</v>
      </c>
      <c r="M3679">
        <v>10.796218651504301</v>
      </c>
      <c r="N3679">
        <v>49.1745300773132</v>
      </c>
      <c r="O3679">
        <v>47.511508160184498</v>
      </c>
      <c r="P3679">
        <v>-5.6406478811632799E-2</v>
      </c>
      <c r="Q3679">
        <v>7.4355998385932697E-3</v>
      </c>
      <c r="R3679">
        <v>0.98098214783163395</v>
      </c>
      <c r="S3679" t="s">
        <v>10295</v>
      </c>
      <c r="T3679" t="s">
        <v>13232</v>
      </c>
      <c r="U3679" t="s">
        <v>13232</v>
      </c>
      <c r="V3679" t="s">
        <v>13232</v>
      </c>
      <c r="W3679" t="s">
        <v>16850</v>
      </c>
      <c r="X3679">
        <v>1</v>
      </c>
      <c r="Y3679" t="s">
        <v>23278</v>
      </c>
      <c r="Z3679" t="s">
        <v>29810</v>
      </c>
      <c r="AA3679">
        <v>0.35165497822244718</v>
      </c>
      <c r="AB3679" t="str">
        <f>HYPERLINK("Melting_Curves/meltCurve_Q5T2J3_BCKDHB.pdf", "Melting_Curves/meltCurve_Q5T2J3_BCKDHB.pdf")</f>
        <v>Melting_Curves/meltCurve_Q5T2J3_BCKDHB.pdf</v>
      </c>
    </row>
    <row r="3680" spans="1:28" x14ac:dyDescent="0.25">
      <c r="A3680" t="s">
        <v>3683</v>
      </c>
      <c r="B3680">
        <v>0.99930955844802105</v>
      </c>
      <c r="C3680">
        <v>0.88879406617005097</v>
      </c>
      <c r="D3680">
        <v>0.89887656364017199</v>
      </c>
      <c r="E3680">
        <v>0.76774309630773296</v>
      </c>
      <c r="F3680">
        <v>0.67821136938924598</v>
      </c>
      <c r="G3680">
        <v>0.57580581077911197</v>
      </c>
      <c r="H3680">
        <v>0.43878219693450699</v>
      </c>
      <c r="I3680">
        <v>0.28694461476691002</v>
      </c>
      <c r="J3680">
        <v>0.17513631454100301</v>
      </c>
      <c r="K3680">
        <v>0.187877186126337</v>
      </c>
      <c r="L3680">
        <v>490.46663552045499</v>
      </c>
      <c r="M3680">
        <v>8.4824346054050999</v>
      </c>
      <c r="N3680">
        <v>57.821447190145598</v>
      </c>
      <c r="O3680">
        <v>54.876267212275401</v>
      </c>
      <c r="P3680">
        <v>-3.8678542733260601E-2</v>
      </c>
      <c r="Q3680">
        <v>0</v>
      </c>
      <c r="R3680">
        <v>0.98398785246023102</v>
      </c>
      <c r="S3680" t="s">
        <v>10296</v>
      </c>
      <c r="T3680" t="s">
        <v>13232</v>
      </c>
      <c r="U3680" t="s">
        <v>13232</v>
      </c>
      <c r="V3680" t="s">
        <v>13232</v>
      </c>
      <c r="W3680" t="s">
        <v>16851</v>
      </c>
      <c r="X3680">
        <v>8</v>
      </c>
      <c r="Y3680" t="s">
        <v>23279</v>
      </c>
      <c r="Z3680" t="s">
        <v>29811</v>
      </c>
      <c r="AA3680">
        <v>0.60101802100784285</v>
      </c>
      <c r="AB3680" t="str">
        <f>HYPERLINK("Melting_Curves/meltCurve_Q5T321_NBEA.pdf", "Melting_Curves/meltCurve_Q5T321_NBEA.pdf")</f>
        <v>Melting_Curves/meltCurve_Q5T321_NBEA.pdf</v>
      </c>
    </row>
    <row r="3681" spans="1:28" x14ac:dyDescent="0.25">
      <c r="A3681" t="s">
        <v>3684</v>
      </c>
      <c r="B3681">
        <v>0.99930955844802105</v>
      </c>
      <c r="C3681">
        <v>1.0264645404064101</v>
      </c>
      <c r="D3681">
        <v>1.05769430718524</v>
      </c>
      <c r="E3681">
        <v>1.03000824319861</v>
      </c>
      <c r="F3681">
        <v>0.92450461867832301</v>
      </c>
      <c r="G3681">
        <v>0.85275824915764897</v>
      </c>
      <c r="H3681">
        <v>0.76564423164071205</v>
      </c>
      <c r="I3681">
        <v>0.75613383161869396</v>
      </c>
      <c r="J3681">
        <v>0.72764929975985404</v>
      </c>
      <c r="K3681">
        <v>0.58087590569339997</v>
      </c>
      <c r="L3681">
        <v>692.46337324583601</v>
      </c>
      <c r="M3681">
        <v>10.959182509007899</v>
      </c>
      <c r="O3681">
        <v>61.191117201262301</v>
      </c>
      <c r="P3681">
        <v>-2.25831965172518E-2</v>
      </c>
      <c r="Q3681">
        <v>0.49579510769729201</v>
      </c>
      <c r="R3681">
        <v>0.92955567551339302</v>
      </c>
      <c r="S3681" t="s">
        <v>10297</v>
      </c>
      <c r="T3681" t="s">
        <v>13232</v>
      </c>
      <c r="U3681" t="s">
        <v>13232</v>
      </c>
      <c r="V3681" t="s">
        <v>13232</v>
      </c>
      <c r="W3681" t="s">
        <v>16852</v>
      </c>
      <c r="X3681">
        <v>10</v>
      </c>
      <c r="Y3681" t="s">
        <v>23280</v>
      </c>
      <c r="Z3681" t="s">
        <v>29812</v>
      </c>
      <c r="AA3681">
        <v>0.87189193409566568</v>
      </c>
      <c r="AB3681" t="str">
        <f>HYPERLINK("Melting_Curves/meltCurve_Q5T3I0_GPATCH4.pdf", "Melting_Curves/meltCurve_Q5T3I0_GPATCH4.pdf")</f>
        <v>Melting_Curves/meltCurve_Q5T3I0_GPATCH4.pdf</v>
      </c>
    </row>
    <row r="3682" spans="1:28" x14ac:dyDescent="0.25">
      <c r="A3682" t="s">
        <v>3685</v>
      </c>
      <c r="B3682">
        <v>0.99930955844802105</v>
      </c>
      <c r="C3682">
        <v>0.97028264407711795</v>
      </c>
      <c r="D3682">
        <v>0.97811170663647995</v>
      </c>
      <c r="E3682">
        <v>0.96900129291061698</v>
      </c>
      <c r="F3682">
        <v>0.83773209026936402</v>
      </c>
      <c r="G3682">
        <v>0.75128803684656897</v>
      </c>
      <c r="H3682">
        <v>0.72693215163444003</v>
      </c>
      <c r="I3682">
        <v>0.75597405567120501</v>
      </c>
      <c r="J3682">
        <v>0.71665013607291395</v>
      </c>
      <c r="K3682">
        <v>0.58786655449274505</v>
      </c>
      <c r="L3682">
        <v>604.21889340622499</v>
      </c>
      <c r="M3682">
        <v>10.7538818445546</v>
      </c>
      <c r="O3682">
        <v>54.347818938612498</v>
      </c>
      <c r="P3682">
        <v>-1.9070550635809799E-2</v>
      </c>
      <c r="Q3682">
        <v>0.61462791123985006</v>
      </c>
      <c r="R3682">
        <v>0.914964057566098</v>
      </c>
      <c r="S3682" t="s">
        <v>10298</v>
      </c>
      <c r="T3682" t="s">
        <v>13232</v>
      </c>
      <c r="U3682" t="s">
        <v>13232</v>
      </c>
      <c r="V3682" t="s">
        <v>13232</v>
      </c>
      <c r="W3682" t="s">
        <v>16853</v>
      </c>
      <c r="X3682">
        <v>13</v>
      </c>
      <c r="Y3682" t="s">
        <v>23281</v>
      </c>
      <c r="Z3682" t="s">
        <v>29813</v>
      </c>
      <c r="AA3682">
        <v>0.83033100822962502</v>
      </c>
      <c r="AB3682" t="str">
        <f>HYPERLINK("Melting_Curves/meltCurve_Q5T3J3_LRIF1.pdf", "Melting_Curves/meltCurve_Q5T3J3_LRIF1.pdf")</f>
        <v>Melting_Curves/meltCurve_Q5T3J3_LRIF1.pdf</v>
      </c>
    </row>
    <row r="3683" spans="1:28" x14ac:dyDescent="0.25">
      <c r="A3683" t="s">
        <v>3686</v>
      </c>
      <c r="B3683">
        <v>0.99930955844802105</v>
      </c>
      <c r="C3683">
        <v>1.9263486605761899</v>
      </c>
      <c r="D3683">
        <v>1.64467617105224</v>
      </c>
      <c r="E3683">
        <v>1.44480013318997</v>
      </c>
      <c r="F3683">
        <v>1.5649424065567601</v>
      </c>
      <c r="G3683">
        <v>1.4342048949247199</v>
      </c>
      <c r="H3683">
        <v>1.84369672120137</v>
      </c>
      <c r="I3683">
        <v>2.0128452097756702</v>
      </c>
      <c r="J3683">
        <v>2.30519610901939</v>
      </c>
      <c r="K3683">
        <v>1.81584956402644</v>
      </c>
      <c r="L3683">
        <v>10239.545822379299</v>
      </c>
      <c r="M3683">
        <v>250</v>
      </c>
      <c r="O3683">
        <v>40.955564363634501</v>
      </c>
      <c r="P3683">
        <v>0.76302212271286896</v>
      </c>
      <c r="Q3683">
        <v>1.5</v>
      </c>
      <c r="R3683">
        <v>-0.121983813426944</v>
      </c>
      <c r="S3683" t="s">
        <v>10299</v>
      </c>
      <c r="T3683" t="s">
        <v>13232</v>
      </c>
      <c r="U3683" t="s">
        <v>13232</v>
      </c>
      <c r="V3683" t="s">
        <v>13232</v>
      </c>
      <c r="W3683" t="s">
        <v>16854</v>
      </c>
      <c r="X3683">
        <v>1</v>
      </c>
      <c r="Y3683" t="s">
        <v>23282</v>
      </c>
      <c r="Z3683" t="s">
        <v>29814</v>
      </c>
      <c r="AA3683">
        <v>1.4839878674970901</v>
      </c>
      <c r="AB3683" t="str">
        <f>HYPERLINK("Melting_Curves/meltCurve_Q5T427_ZNF438.pdf", "Melting_Curves/meltCurve_Q5T427_ZNF438.pdf")</f>
        <v>Melting_Curves/meltCurve_Q5T427_ZNF438.pdf</v>
      </c>
    </row>
    <row r="3684" spans="1:28" x14ac:dyDescent="0.25">
      <c r="A3684" t="s">
        <v>3687</v>
      </c>
      <c r="B3684">
        <v>0.99930955844802105</v>
      </c>
      <c r="C3684">
        <v>1.0054307669773599</v>
      </c>
      <c r="D3684">
        <v>0.97064711736598497</v>
      </c>
      <c r="E3684">
        <v>0.80925686455471701</v>
      </c>
      <c r="F3684">
        <v>0.42620177792348202</v>
      </c>
      <c r="G3684">
        <v>0.164473675700406</v>
      </c>
      <c r="H3684">
        <v>0.101154839045694</v>
      </c>
      <c r="I3684">
        <v>8.8921068045108104E-2</v>
      </c>
      <c r="J3684">
        <v>7.9703256374579201E-2</v>
      </c>
      <c r="K3684">
        <v>6.65430442571599E-2</v>
      </c>
      <c r="L3684">
        <v>1528.98905857708</v>
      </c>
      <c r="M3684">
        <v>29.307393754809699</v>
      </c>
      <c r="N3684">
        <v>52.487586563104102</v>
      </c>
      <c r="O3684">
        <v>51.929679060248098</v>
      </c>
      <c r="P3684">
        <v>-0.12965467175440601</v>
      </c>
      <c r="Q3684">
        <v>8.1067870184491603E-2</v>
      </c>
      <c r="R3684">
        <v>0.99946588419126403</v>
      </c>
      <c r="S3684" t="s">
        <v>10300</v>
      </c>
      <c r="T3684" t="s">
        <v>13232</v>
      </c>
      <c r="U3684" t="s">
        <v>13232</v>
      </c>
      <c r="V3684" t="s">
        <v>13232</v>
      </c>
      <c r="W3684" t="s">
        <v>16855</v>
      </c>
      <c r="X3684">
        <v>9</v>
      </c>
      <c r="Y3684" t="s">
        <v>23283</v>
      </c>
      <c r="Z3684" t="s">
        <v>29815</v>
      </c>
      <c r="AA3684">
        <v>0.46003635510324958</v>
      </c>
      <c r="AB3684" t="str">
        <f>HYPERLINK("Melting_Curves/meltCurve_Q5T440_IBA57.pdf", "Melting_Curves/meltCurve_Q5T440_IBA57.pdf")</f>
        <v>Melting_Curves/meltCurve_Q5T440_IBA57.pdf</v>
      </c>
    </row>
    <row r="3685" spans="1:28" x14ac:dyDescent="0.25">
      <c r="A3685" t="s">
        <v>3688</v>
      </c>
      <c r="B3685">
        <v>0.99930955844802105</v>
      </c>
      <c r="C3685">
        <v>1.94400357142572</v>
      </c>
      <c r="D3685">
        <v>1.66130213029025</v>
      </c>
      <c r="E3685">
        <v>1.5880462707185501</v>
      </c>
      <c r="F3685">
        <v>1.4222519223026999</v>
      </c>
      <c r="G3685">
        <v>1.0415522862934199</v>
      </c>
      <c r="H3685">
        <v>0.73984005126688301</v>
      </c>
      <c r="I3685">
        <v>0.66705557535701998</v>
      </c>
      <c r="J3685">
        <v>0.68482557410331502</v>
      </c>
      <c r="K3685">
        <v>0.53340072977545805</v>
      </c>
      <c r="L3685">
        <v>5567.8364104585899</v>
      </c>
      <c r="M3685">
        <v>92.089520384302901</v>
      </c>
      <c r="O3685">
        <v>60.432634623888603</v>
      </c>
      <c r="P3685">
        <v>-0.14202342446689101</v>
      </c>
      <c r="Q3685">
        <v>0.62719540883869496</v>
      </c>
      <c r="R3685">
        <v>0.145354866680593</v>
      </c>
      <c r="S3685" t="s">
        <v>10301</v>
      </c>
      <c r="T3685" t="s">
        <v>13232</v>
      </c>
      <c r="U3685" t="s">
        <v>13232</v>
      </c>
      <c r="V3685" t="s">
        <v>13232</v>
      </c>
      <c r="W3685" t="s">
        <v>16856</v>
      </c>
      <c r="X3685">
        <v>1</v>
      </c>
      <c r="Y3685" t="s">
        <v>23284</v>
      </c>
      <c r="Z3685" t="s">
        <v>29816</v>
      </c>
      <c r="AA3685">
        <v>0.88175408229419061</v>
      </c>
      <c r="AB3685" t="str">
        <f>HYPERLINK("Melting_Curves/meltCurve_Q5T4F4_6_ZFYVE27.pdf", "Melting_Curves/meltCurve_Q5T4F4_6_ZFYVE27.pdf")</f>
        <v>Melting_Curves/meltCurve_Q5T4F4_6_ZFYVE27.pdf</v>
      </c>
    </row>
    <row r="3686" spans="1:28" x14ac:dyDescent="0.25">
      <c r="A3686" t="s">
        <v>3689</v>
      </c>
      <c r="B3686">
        <v>0.99930955844802105</v>
      </c>
      <c r="C3686">
        <v>0.86110797510895098</v>
      </c>
      <c r="D3686">
        <v>0.88735450938207905</v>
      </c>
      <c r="E3686">
        <v>0.53640074937078297</v>
      </c>
      <c r="F3686">
        <v>0.30092152512861797</v>
      </c>
      <c r="G3686">
        <v>0.16349168147003501</v>
      </c>
      <c r="H3686">
        <v>5.1198733621363103E-2</v>
      </c>
      <c r="I3686">
        <v>4.4644709085515301E-2</v>
      </c>
      <c r="J3686">
        <v>2.7988189880488099E-2</v>
      </c>
      <c r="K3686">
        <v>1.2356611776139901E-2</v>
      </c>
      <c r="L3686">
        <v>824.19937275258599</v>
      </c>
      <c r="M3686">
        <v>16.3268481483247</v>
      </c>
      <c r="N3686">
        <v>50.529319898243102</v>
      </c>
      <c r="O3686">
        <v>49.742150844078999</v>
      </c>
      <c r="P3686">
        <v>-8.1430436175787296E-2</v>
      </c>
      <c r="Q3686">
        <v>7.7127553794053396E-3</v>
      </c>
      <c r="R3686">
        <v>0.99168145178882405</v>
      </c>
      <c r="S3686" t="s">
        <v>10302</v>
      </c>
      <c r="T3686" t="s">
        <v>13232</v>
      </c>
      <c r="U3686" t="s">
        <v>13232</v>
      </c>
      <c r="V3686" t="s">
        <v>13232</v>
      </c>
      <c r="W3686" t="s">
        <v>16857</v>
      </c>
      <c r="X3686">
        <v>1</v>
      </c>
      <c r="Y3686" t="s">
        <v>23285</v>
      </c>
      <c r="Z3686" t="s">
        <v>29817</v>
      </c>
      <c r="AA3686">
        <v>0.37448196295387998</v>
      </c>
      <c r="AB3686" t="str">
        <f>HYPERLINK("Melting_Curves/meltCurve_Q5T4P9_PLEKHO1.pdf", "Melting_Curves/meltCurve_Q5T4P9_PLEKHO1.pdf")</f>
        <v>Melting_Curves/meltCurve_Q5T4P9_PLEKHO1.pdf</v>
      </c>
    </row>
    <row r="3687" spans="1:28" x14ac:dyDescent="0.25">
      <c r="A3687" t="s">
        <v>3690</v>
      </c>
      <c r="B3687">
        <v>0.99930955844802105</v>
      </c>
      <c r="C3687">
        <v>0.49677825554113902</v>
      </c>
      <c r="D3687">
        <v>0.55185954103599999</v>
      </c>
      <c r="E3687">
        <v>0.492928843517839</v>
      </c>
      <c r="F3687">
        <v>0.22525184914614499</v>
      </c>
      <c r="G3687">
        <v>0.13144041591769401</v>
      </c>
      <c r="H3687">
        <v>6.9476789891723997E-2</v>
      </c>
      <c r="I3687">
        <v>5.4388979001353102E-2</v>
      </c>
      <c r="J3687">
        <v>4.9773650283347397E-2</v>
      </c>
      <c r="K3687">
        <v>3.8481729325480898E-2</v>
      </c>
      <c r="L3687">
        <v>445.86214396042197</v>
      </c>
      <c r="M3687">
        <v>9.5131332360134202</v>
      </c>
      <c r="N3687">
        <v>46.868066242681302</v>
      </c>
      <c r="O3687">
        <v>44.937244168011397</v>
      </c>
      <c r="P3687">
        <v>-5.2955664100480901E-2</v>
      </c>
      <c r="Q3687">
        <v>0</v>
      </c>
      <c r="R3687">
        <v>0.89841044106989698</v>
      </c>
      <c r="S3687" t="s">
        <v>10303</v>
      </c>
      <c r="T3687" t="s">
        <v>13232</v>
      </c>
      <c r="U3687" t="s">
        <v>13232</v>
      </c>
      <c r="V3687" t="s">
        <v>13232</v>
      </c>
      <c r="W3687" t="s">
        <v>16858</v>
      </c>
      <c r="X3687">
        <v>94</v>
      </c>
      <c r="Y3687" t="s">
        <v>23286</v>
      </c>
      <c r="Z3687" t="s">
        <v>29818</v>
      </c>
      <c r="AA3687">
        <v>0.29178074939017679</v>
      </c>
      <c r="AB3687" t="str">
        <f>HYPERLINK("Melting_Curves/meltCurve_Q5T4S7_3_UBR4.pdf", "Melting_Curves/meltCurve_Q5T4S7_3_UBR4.pdf")</f>
        <v>Melting_Curves/meltCurve_Q5T4S7_3_UBR4.pdf</v>
      </c>
    </row>
    <row r="3688" spans="1:28" x14ac:dyDescent="0.25">
      <c r="A3688" t="s">
        <v>3691</v>
      </c>
      <c r="B3688">
        <v>0.99930955844802105</v>
      </c>
      <c r="C3688">
        <v>1.31409590035576</v>
      </c>
      <c r="D3688">
        <v>1.4410468182314</v>
      </c>
      <c r="E3688">
        <v>0.98813963901454904</v>
      </c>
      <c r="F3688">
        <v>0.68340222050985899</v>
      </c>
      <c r="G3688">
        <v>0.607629708243412</v>
      </c>
      <c r="H3688">
        <v>0.517186176623049</v>
      </c>
      <c r="I3688">
        <v>0.441200018020458</v>
      </c>
      <c r="J3688">
        <v>0.42266158462622</v>
      </c>
      <c r="K3688">
        <v>0.26646173838210102</v>
      </c>
      <c r="L3688">
        <v>1194.3927392625101</v>
      </c>
      <c r="M3688">
        <v>21.744469348351601</v>
      </c>
      <c r="N3688">
        <v>58.832522385072203</v>
      </c>
      <c r="O3688">
        <v>54.470336453432999</v>
      </c>
      <c r="P3688">
        <v>-6.16896904630585E-2</v>
      </c>
      <c r="Q3688">
        <v>0.38187875453506598</v>
      </c>
      <c r="R3688">
        <v>0.75963195929111904</v>
      </c>
      <c r="S3688" t="s">
        <v>10304</v>
      </c>
      <c r="T3688" t="s">
        <v>13232</v>
      </c>
      <c r="U3688" t="s">
        <v>13232</v>
      </c>
      <c r="V3688" t="s">
        <v>13232</v>
      </c>
      <c r="W3688" t="s">
        <v>16859</v>
      </c>
      <c r="X3688">
        <v>3</v>
      </c>
      <c r="Y3688" t="s">
        <v>23287</v>
      </c>
      <c r="Z3688" t="s">
        <v>29819</v>
      </c>
      <c r="AA3688">
        <v>0.69670511953492342</v>
      </c>
      <c r="AB3688" t="str">
        <f>HYPERLINK("Melting_Curves/meltCurve_Q5T4T6_SYCP2L.pdf", "Melting_Curves/meltCurve_Q5T4T6_SYCP2L.pdf")</f>
        <v>Melting_Curves/meltCurve_Q5T4T6_SYCP2L.pdf</v>
      </c>
    </row>
    <row r="3689" spans="1:28" x14ac:dyDescent="0.25">
      <c r="A3689" t="s">
        <v>3692</v>
      </c>
      <c r="B3689">
        <v>0.99930955844802105</v>
      </c>
      <c r="C3689">
        <v>0.959918044091018</v>
      </c>
      <c r="D3689">
        <v>1.0180619593846501</v>
      </c>
      <c r="E3689">
        <v>1.0423119871225599</v>
      </c>
      <c r="F3689">
        <v>0.90994214862366096</v>
      </c>
      <c r="G3689">
        <v>0.90643163322318199</v>
      </c>
      <c r="H3689">
        <v>0.97221542472949196</v>
      </c>
      <c r="I3689">
        <v>0.98080102761184396</v>
      </c>
      <c r="J3689">
        <v>0.98140244919436004</v>
      </c>
      <c r="K3689">
        <v>0.69782057952259602</v>
      </c>
      <c r="L3689">
        <v>4765.69537724981</v>
      </c>
      <c r="M3689">
        <v>67.244061803239404</v>
      </c>
      <c r="Q3689">
        <v>0</v>
      </c>
      <c r="R3689">
        <v>0.74499166537202899</v>
      </c>
      <c r="S3689" t="s">
        <v>10305</v>
      </c>
      <c r="T3689" t="s">
        <v>13232</v>
      </c>
      <c r="U3689" t="s">
        <v>13232</v>
      </c>
      <c r="V3689" t="s">
        <v>13232</v>
      </c>
      <c r="W3689" t="s">
        <v>16860</v>
      </c>
      <c r="X3689">
        <v>1</v>
      </c>
      <c r="Y3689" t="s">
        <v>23288</v>
      </c>
      <c r="Z3689" t="s">
        <v>29820</v>
      </c>
      <c r="AA3689">
        <v>0.98805137732938053</v>
      </c>
      <c r="AB3689" t="str">
        <f>HYPERLINK("Melting_Curves/meltCurve_Q5T534_BLZF1.pdf", "Melting_Curves/meltCurve_Q5T534_BLZF1.pdf")</f>
        <v>Melting_Curves/meltCurve_Q5T534_BLZF1.pdf</v>
      </c>
    </row>
    <row r="3690" spans="1:28" x14ac:dyDescent="0.25">
      <c r="A3690" t="s">
        <v>3693</v>
      </c>
      <c r="B3690">
        <v>0.99930955844802105</v>
      </c>
      <c r="C3690">
        <v>1.01145703240926</v>
      </c>
      <c r="D3690">
        <v>0.98217220688627105</v>
      </c>
      <c r="E3690">
        <v>0.91853176383651403</v>
      </c>
      <c r="F3690">
        <v>0.68038776401579104</v>
      </c>
      <c r="G3690">
        <v>0.37013436728669702</v>
      </c>
      <c r="H3690">
        <v>0.237796694513524</v>
      </c>
      <c r="I3690">
        <v>0.208499618397221</v>
      </c>
      <c r="J3690">
        <v>0.19409479618424999</v>
      </c>
      <c r="K3690">
        <v>0.157603615545925</v>
      </c>
      <c r="L3690">
        <v>1292.61100895913</v>
      </c>
      <c r="M3690">
        <v>23.8737292983804</v>
      </c>
      <c r="N3690">
        <v>55.158927296440403</v>
      </c>
      <c r="O3690">
        <v>53.768064117728102</v>
      </c>
      <c r="P3690">
        <v>-9.1268873334388906E-2</v>
      </c>
      <c r="Q3690">
        <v>0.17779569473548901</v>
      </c>
      <c r="R3690">
        <v>0.99883105248164905</v>
      </c>
      <c r="S3690" t="s">
        <v>10306</v>
      </c>
      <c r="T3690" t="s">
        <v>13232</v>
      </c>
      <c r="U3690" t="s">
        <v>13232</v>
      </c>
      <c r="V3690" t="s">
        <v>13232</v>
      </c>
      <c r="W3690" t="s">
        <v>16861</v>
      </c>
      <c r="X3690">
        <v>24</v>
      </c>
      <c r="Y3690" t="s">
        <v>23289</v>
      </c>
      <c r="Z3690" t="s">
        <v>29821</v>
      </c>
      <c r="AA3690">
        <v>0.57369523329938821</v>
      </c>
      <c r="AB3690" t="str">
        <f>HYPERLINK("Melting_Curves/meltCurve_Q5T5C0_3_STXBP5.pdf", "Melting_Curves/meltCurve_Q5T5C0_3_STXBP5.pdf")</f>
        <v>Melting_Curves/meltCurve_Q5T5C0_3_STXBP5.pdf</v>
      </c>
    </row>
    <row r="3691" spans="1:28" x14ac:dyDescent="0.25">
      <c r="A3691" t="s">
        <v>3694</v>
      </c>
      <c r="B3691">
        <v>0.99930955844802105</v>
      </c>
      <c r="C3691">
        <v>1.1207617248070001</v>
      </c>
      <c r="D3691">
        <v>1.20730654721668</v>
      </c>
      <c r="E3691">
        <v>1.0890594438493599</v>
      </c>
      <c r="F3691">
        <v>0.865706253357024</v>
      </c>
      <c r="G3691">
        <v>0.76540693475224097</v>
      </c>
      <c r="H3691">
        <v>0.62427091891944397</v>
      </c>
      <c r="I3691">
        <v>0.55527263334419596</v>
      </c>
      <c r="J3691">
        <v>0.45670190019768497</v>
      </c>
      <c r="K3691">
        <v>0.30295295989696802</v>
      </c>
      <c r="L3691">
        <v>855.21269926650996</v>
      </c>
      <c r="M3691">
        <v>13.8781059641606</v>
      </c>
      <c r="N3691">
        <v>64.395557481686396</v>
      </c>
      <c r="O3691">
        <v>60.385956103405498</v>
      </c>
      <c r="P3691">
        <v>-4.4539873220276402E-2</v>
      </c>
      <c r="Q3691">
        <v>0.224904422295364</v>
      </c>
      <c r="R3691">
        <v>0.89886782397847598</v>
      </c>
      <c r="S3691" t="s">
        <v>10307</v>
      </c>
      <c r="T3691" t="s">
        <v>13232</v>
      </c>
      <c r="U3691" t="s">
        <v>13232</v>
      </c>
      <c r="V3691" t="s">
        <v>13232</v>
      </c>
      <c r="W3691" t="s">
        <v>16862</v>
      </c>
      <c r="X3691">
        <v>15</v>
      </c>
      <c r="Y3691" t="s">
        <v>23290</v>
      </c>
      <c r="Z3691" t="s">
        <v>29822</v>
      </c>
      <c r="AA3691">
        <v>0.78125706503578285</v>
      </c>
      <c r="AB3691" t="str">
        <f>HYPERLINK("Melting_Curves/meltCurve_Q5T5U3_ARHGAP21.pdf", "Melting_Curves/meltCurve_Q5T5U3_ARHGAP21.pdf")</f>
        <v>Melting_Curves/meltCurve_Q5T5U3_ARHGAP21.pdf</v>
      </c>
    </row>
    <row r="3692" spans="1:28" x14ac:dyDescent="0.25">
      <c r="A3692" t="s">
        <v>3695</v>
      </c>
      <c r="B3692">
        <v>0.99930955844802105</v>
      </c>
      <c r="C3692">
        <v>0.97801593109031204</v>
      </c>
      <c r="D3692">
        <v>0.920930076674495</v>
      </c>
      <c r="E3692">
        <v>0.86176165134007798</v>
      </c>
      <c r="F3692">
        <v>0.612719975547656</v>
      </c>
      <c r="G3692">
        <v>0.468297728187613</v>
      </c>
      <c r="H3692">
        <v>0.43024763644439701</v>
      </c>
      <c r="I3692">
        <v>0.404311930644144</v>
      </c>
      <c r="J3692">
        <v>0.39325954930564599</v>
      </c>
      <c r="K3692">
        <v>0.32884272433654599</v>
      </c>
      <c r="L3692">
        <v>1013.39145552043</v>
      </c>
      <c r="M3692">
        <v>19.375731820120102</v>
      </c>
      <c r="N3692">
        <v>56.171080949442398</v>
      </c>
      <c r="O3692">
        <v>51.754553509545701</v>
      </c>
      <c r="P3692">
        <v>-5.9119667035778797E-2</v>
      </c>
      <c r="Q3692">
        <v>0.36836496747957598</v>
      </c>
      <c r="R3692">
        <v>0.98815982806624802</v>
      </c>
      <c r="S3692" t="s">
        <v>10308</v>
      </c>
      <c r="T3692" t="s">
        <v>13232</v>
      </c>
      <c r="U3692" t="s">
        <v>13232</v>
      </c>
      <c r="V3692" t="s">
        <v>13232</v>
      </c>
      <c r="W3692" t="s">
        <v>16863</v>
      </c>
      <c r="X3692">
        <v>6</v>
      </c>
      <c r="Y3692" t="s">
        <v>23291</v>
      </c>
      <c r="Z3692" t="s">
        <v>29823</v>
      </c>
      <c r="AA3692">
        <v>0.63660749894298807</v>
      </c>
      <c r="AB3692" t="str">
        <f>HYPERLINK("Melting_Curves/meltCurve_Q5T5X7_BEND3.pdf", "Melting_Curves/meltCurve_Q5T5X7_BEND3.pdf")</f>
        <v>Melting_Curves/meltCurve_Q5T5X7_BEND3.pdf</v>
      </c>
    </row>
    <row r="3693" spans="1:28" x14ac:dyDescent="0.25">
      <c r="A3693" t="s">
        <v>3696</v>
      </c>
      <c r="B3693">
        <v>0.99930955844802105</v>
      </c>
      <c r="C3693">
        <v>1.03583956079694</v>
      </c>
      <c r="D3693">
        <v>1.0137701774744901</v>
      </c>
      <c r="E3693">
        <v>0.90992337446427995</v>
      </c>
      <c r="F3693">
        <v>0.83222138425554804</v>
      </c>
      <c r="G3693">
        <v>0.71947503542893199</v>
      </c>
      <c r="H3693">
        <v>0.74595240713337496</v>
      </c>
      <c r="I3693">
        <v>0.824894092421111</v>
      </c>
      <c r="J3693">
        <v>0.828958660650843</v>
      </c>
      <c r="K3693">
        <v>0.65186912412130904</v>
      </c>
      <c r="L3693">
        <v>1708.3218306419701</v>
      </c>
      <c r="M3693">
        <v>33.397147052089601</v>
      </c>
      <c r="O3693">
        <v>50.969376569026501</v>
      </c>
      <c r="P3693">
        <v>-4.0156604327624502E-2</v>
      </c>
      <c r="Q3693">
        <v>0.75485949966023902</v>
      </c>
      <c r="R3693">
        <v>0.83829948968220103</v>
      </c>
      <c r="S3693" t="s">
        <v>10309</v>
      </c>
      <c r="T3693" t="s">
        <v>13232</v>
      </c>
      <c r="U3693" t="s">
        <v>13232</v>
      </c>
      <c r="V3693" t="s">
        <v>13232</v>
      </c>
      <c r="W3693" t="s">
        <v>16864</v>
      </c>
      <c r="X3693">
        <v>41</v>
      </c>
      <c r="Y3693" t="s">
        <v>23292</v>
      </c>
      <c r="Z3693" t="s">
        <v>29824</v>
      </c>
      <c r="AA3693">
        <v>0.84723024231046173</v>
      </c>
      <c r="AB3693" t="str">
        <f>HYPERLINK("Melting_Curves/meltCurve_Q5T5Y3_CAMSAP1.pdf", "Melting_Curves/meltCurve_Q5T5Y3_CAMSAP1.pdf")</f>
        <v>Melting_Curves/meltCurve_Q5T5Y3_CAMSAP1.pdf</v>
      </c>
    </row>
    <row r="3694" spans="1:28" x14ac:dyDescent="0.25">
      <c r="A3694" t="s">
        <v>3697</v>
      </c>
      <c r="B3694">
        <v>0.99930955844802105</v>
      </c>
      <c r="C3694">
        <v>1.12320841533659</v>
      </c>
      <c r="D3694">
        <v>1.0761147535062501</v>
      </c>
      <c r="E3694">
        <v>1.0749888088872399</v>
      </c>
      <c r="F3694">
        <v>0.94729107975278504</v>
      </c>
      <c r="G3694">
        <v>0.88165773754099697</v>
      </c>
      <c r="H3694">
        <v>0.94913392314817802</v>
      </c>
      <c r="I3694">
        <v>1.0667099715275199</v>
      </c>
      <c r="J3694">
        <v>1.14897248849045</v>
      </c>
      <c r="K3694">
        <v>0.911038712216094</v>
      </c>
      <c r="L3694">
        <v>1.0000000000000001E-5</v>
      </c>
      <c r="M3694">
        <v>15.8354126929895</v>
      </c>
      <c r="Q3694">
        <v>1.0178425427612701</v>
      </c>
      <c r="R3694">
        <v>-3.5527136788005001E-15</v>
      </c>
      <c r="S3694" t="s">
        <v>10310</v>
      </c>
      <c r="T3694" t="s">
        <v>13232</v>
      </c>
      <c r="U3694" t="s">
        <v>13232</v>
      </c>
      <c r="V3694" t="s">
        <v>13232</v>
      </c>
      <c r="W3694" t="s">
        <v>16865</v>
      </c>
      <c r="X3694">
        <v>15</v>
      </c>
      <c r="Y3694" t="s">
        <v>23293</v>
      </c>
      <c r="Z3694" t="s">
        <v>29825</v>
      </c>
      <c r="AA3694">
        <v>1.017842540394128</v>
      </c>
      <c r="AB3694" t="str">
        <f>HYPERLINK("Melting_Curves/meltCurve_Q5T6F2_UBAP2.pdf", "Melting_Curves/meltCurve_Q5T6F2_UBAP2.pdf")</f>
        <v>Melting_Curves/meltCurve_Q5T6F2_UBAP2.pdf</v>
      </c>
    </row>
    <row r="3695" spans="1:28" x14ac:dyDescent="0.25">
      <c r="A3695" t="s">
        <v>3698</v>
      </c>
      <c r="B3695">
        <v>0.99930955844802105</v>
      </c>
      <c r="C3695">
        <v>1.1976537732063099</v>
      </c>
      <c r="D3695">
        <v>1.2111789468977501</v>
      </c>
      <c r="E3695">
        <v>1.0623225581390501</v>
      </c>
      <c r="F3695">
        <v>0.29149130604727103</v>
      </c>
      <c r="G3695">
        <v>0.17294537656638301</v>
      </c>
      <c r="H3695">
        <v>9.1342684250050502E-2</v>
      </c>
      <c r="I3695">
        <v>7.5417517375437795E-2</v>
      </c>
      <c r="J3695">
        <v>6.2745019450589898E-2</v>
      </c>
      <c r="K3695">
        <v>4.6873593973797298E-2</v>
      </c>
      <c r="L3695">
        <v>13183.392653995799</v>
      </c>
      <c r="M3695">
        <v>250</v>
      </c>
      <c r="N3695">
        <v>52.7753946532562</v>
      </c>
      <c r="O3695">
        <v>52.730196029061801</v>
      </c>
      <c r="P3695">
        <v>-1.07876426748411</v>
      </c>
      <c r="Q3695">
        <v>8.9864780573538E-2</v>
      </c>
      <c r="R3695">
        <v>0.96027198596563601</v>
      </c>
      <c r="S3695" t="s">
        <v>10311</v>
      </c>
      <c r="T3695" t="s">
        <v>13232</v>
      </c>
      <c r="U3695" t="s">
        <v>13232</v>
      </c>
      <c r="V3695" t="s">
        <v>13232</v>
      </c>
      <c r="W3695" t="s">
        <v>16866</v>
      </c>
      <c r="X3695">
        <v>22</v>
      </c>
      <c r="Y3695" t="s">
        <v>23294</v>
      </c>
      <c r="Z3695" t="s">
        <v>29826</v>
      </c>
      <c r="AA3695">
        <v>0.47625804671174371</v>
      </c>
      <c r="AB3695" t="str">
        <f>HYPERLINK("Melting_Curves/meltCurve_Q5T6V5_C9orf64.pdf", "Melting_Curves/meltCurve_Q5T6V5_C9orf64.pdf")</f>
        <v>Melting_Curves/meltCurve_Q5T6V5_C9orf64.pdf</v>
      </c>
    </row>
    <row r="3696" spans="1:28" x14ac:dyDescent="0.25">
      <c r="A3696" t="s">
        <v>3699</v>
      </c>
      <c r="B3696">
        <v>0.99930955844802105</v>
      </c>
      <c r="C3696">
        <v>1.16224921835745</v>
      </c>
      <c r="D3696">
        <v>0.83281658431782402</v>
      </c>
      <c r="E3696">
        <v>0.76738369977245702</v>
      </c>
      <c r="F3696">
        <v>1.68950348866136</v>
      </c>
      <c r="G3696">
        <v>0.48866064421573602</v>
      </c>
      <c r="H3696">
        <v>1.02709963535327</v>
      </c>
      <c r="I3696">
        <v>1.2402218491761601</v>
      </c>
      <c r="J3696">
        <v>1.64309029751409</v>
      </c>
      <c r="K3696">
        <v>0.62415987054326605</v>
      </c>
      <c r="L3696">
        <v>15000</v>
      </c>
      <c r="M3696">
        <v>244.246121055234</v>
      </c>
      <c r="O3696">
        <v>61.409345154671399</v>
      </c>
      <c r="P3696">
        <v>0.16819948431784201</v>
      </c>
      <c r="Q3696">
        <v>1.1691575714856901</v>
      </c>
      <c r="R3696">
        <v>4.4610377429862097E-2</v>
      </c>
      <c r="S3696" t="s">
        <v>10312</v>
      </c>
      <c r="T3696" t="s">
        <v>13232</v>
      </c>
      <c r="U3696" t="s">
        <v>13232</v>
      </c>
      <c r="V3696" t="s">
        <v>13232</v>
      </c>
      <c r="W3696" t="s">
        <v>16867</v>
      </c>
      <c r="X3696">
        <v>4</v>
      </c>
      <c r="Y3696" t="s">
        <v>23295</v>
      </c>
      <c r="Z3696" t="s">
        <v>29827</v>
      </c>
      <c r="AA3696">
        <v>1.0483968265479811</v>
      </c>
      <c r="AB3696" t="str">
        <f>HYPERLINK("Melting_Curves/meltCurve_Q5T749_KPRP.pdf", "Melting_Curves/meltCurve_Q5T749_KPRP.pdf")</f>
        <v>Melting_Curves/meltCurve_Q5T749_KPRP.pdf</v>
      </c>
    </row>
    <row r="3697" spans="1:28" x14ac:dyDescent="0.25">
      <c r="A3697" t="s">
        <v>3700</v>
      </c>
      <c r="B3697">
        <v>0.99930955844802105</v>
      </c>
      <c r="C3697">
        <v>0.97931565441274504</v>
      </c>
      <c r="D3697">
        <v>0.95344036671960197</v>
      </c>
      <c r="E3697">
        <v>0.702219981712768</v>
      </c>
      <c r="F3697">
        <v>0.23653477515386501</v>
      </c>
      <c r="G3697">
        <v>0.142234750777299</v>
      </c>
      <c r="H3697">
        <v>8.8652538648935603E-2</v>
      </c>
      <c r="I3697">
        <v>7.8018483430269195E-2</v>
      </c>
      <c r="J3697">
        <v>6.2734334506785505E-2</v>
      </c>
      <c r="K3697">
        <v>5.1289758424252603E-2</v>
      </c>
      <c r="L3697">
        <v>1874.35256811882</v>
      </c>
      <c r="M3697">
        <v>36.802258229726</v>
      </c>
      <c r="N3697">
        <v>51.1658959245703</v>
      </c>
      <c r="O3697">
        <v>50.780696297958798</v>
      </c>
      <c r="P3697">
        <v>-0.167065376890737</v>
      </c>
      <c r="Q3697">
        <v>7.7918459850349606E-2</v>
      </c>
      <c r="R3697">
        <v>0.99698048849653098</v>
      </c>
      <c r="S3697" t="s">
        <v>10313</v>
      </c>
      <c r="T3697" t="s">
        <v>13232</v>
      </c>
      <c r="U3697" t="s">
        <v>13232</v>
      </c>
      <c r="V3697" t="s">
        <v>13232</v>
      </c>
      <c r="W3697" t="s">
        <v>16868</v>
      </c>
      <c r="X3697">
        <v>10</v>
      </c>
      <c r="Y3697" t="s">
        <v>23296</v>
      </c>
      <c r="Z3697" t="s">
        <v>29828</v>
      </c>
      <c r="AA3697">
        <v>0.41771414368436999</v>
      </c>
      <c r="AB3697" t="str">
        <f>HYPERLINK("Melting_Curves/meltCurve_Q5T7A2_ADCK3.pdf", "Melting_Curves/meltCurve_Q5T7A2_ADCK3.pdf")</f>
        <v>Melting_Curves/meltCurve_Q5T7A2_ADCK3.pdf</v>
      </c>
    </row>
    <row r="3698" spans="1:28" x14ac:dyDescent="0.25">
      <c r="A3698" t="s">
        <v>3701</v>
      </c>
      <c r="B3698">
        <v>0.99930955844802105</v>
      </c>
      <c r="C3698">
        <v>1.4269125924379999</v>
      </c>
      <c r="D3698">
        <v>1.2780434651716399</v>
      </c>
      <c r="E3698">
        <v>1.0126882447002901</v>
      </c>
      <c r="F3698">
        <v>0.80620065594564305</v>
      </c>
      <c r="G3698">
        <v>0.59623620927822796</v>
      </c>
      <c r="H3698">
        <v>0.42980242772879701</v>
      </c>
      <c r="I3698">
        <v>0.41491543871333297</v>
      </c>
      <c r="J3698">
        <v>0.34319084135000499</v>
      </c>
      <c r="K3698">
        <v>0.28469820751834102</v>
      </c>
      <c r="L3698">
        <v>1313.5501056241701</v>
      </c>
      <c r="M3698">
        <v>23.477780422714901</v>
      </c>
      <c r="N3698">
        <v>58.672571693102</v>
      </c>
      <c r="O3698">
        <v>55.547484786295399</v>
      </c>
      <c r="P3698">
        <v>-7.05976101194212E-2</v>
      </c>
      <c r="Q3698">
        <v>0.33188710900871798</v>
      </c>
      <c r="R3698">
        <v>0.81681183122474299</v>
      </c>
      <c r="S3698" t="s">
        <v>10314</v>
      </c>
      <c r="T3698" t="s">
        <v>13232</v>
      </c>
      <c r="U3698" t="s">
        <v>13232</v>
      </c>
      <c r="V3698" t="s">
        <v>13232</v>
      </c>
      <c r="W3698" t="s">
        <v>16869</v>
      </c>
      <c r="X3698">
        <v>6</v>
      </c>
      <c r="Y3698" t="s">
        <v>23297</v>
      </c>
      <c r="Z3698" t="s">
        <v>29829</v>
      </c>
      <c r="AA3698">
        <v>0.69386910213813502</v>
      </c>
      <c r="AB3698" t="str">
        <f>HYPERLINK("Melting_Curves/meltCurve_Q5T7V8_GORAB.pdf", "Melting_Curves/meltCurve_Q5T7V8_GORAB.pdf")</f>
        <v>Melting_Curves/meltCurve_Q5T7V8_GORAB.pdf</v>
      </c>
    </row>
    <row r="3699" spans="1:28" x14ac:dyDescent="0.25">
      <c r="A3699" t="s">
        <v>3702</v>
      </c>
      <c r="B3699">
        <v>0.99930955844802105</v>
      </c>
      <c r="C3699">
        <v>1.33395216860059</v>
      </c>
      <c r="D3699">
        <v>1.19133080222884</v>
      </c>
      <c r="E3699">
        <v>1.2120343638461499</v>
      </c>
      <c r="F3699">
        <v>1.19645765885553</v>
      </c>
      <c r="G3699">
        <v>1.2745126681591299</v>
      </c>
      <c r="H3699">
        <v>1.5957517559315699</v>
      </c>
      <c r="I3699">
        <v>1.8713777272404</v>
      </c>
      <c r="J3699">
        <v>1.99057387980541</v>
      </c>
      <c r="K3699">
        <v>1.54335246259184</v>
      </c>
      <c r="L3699">
        <v>600.821689523435</v>
      </c>
      <c r="M3699">
        <v>12.4308978765376</v>
      </c>
      <c r="O3699">
        <v>47.133238967744703</v>
      </c>
      <c r="P3699">
        <v>3.2974371368772397E-2</v>
      </c>
      <c r="Q3699">
        <v>1.5</v>
      </c>
      <c r="R3699">
        <v>0.39602036661810802</v>
      </c>
      <c r="S3699" t="s">
        <v>10315</v>
      </c>
      <c r="T3699" t="s">
        <v>13232</v>
      </c>
      <c r="U3699" t="s">
        <v>13232</v>
      </c>
      <c r="V3699" t="s">
        <v>13232</v>
      </c>
      <c r="W3699" t="s">
        <v>16870</v>
      </c>
      <c r="X3699">
        <v>3</v>
      </c>
      <c r="Y3699" t="s">
        <v>23298</v>
      </c>
      <c r="Z3699" t="s">
        <v>29830</v>
      </c>
      <c r="AA3699">
        <v>1.343121287894345</v>
      </c>
      <c r="AB3699" t="str">
        <f>HYPERLINK("Melting_Curves/meltCurve_Q5T8A7_PPP1R26.pdf", "Melting_Curves/meltCurve_Q5T8A7_PPP1R26.pdf")</f>
        <v>Melting_Curves/meltCurve_Q5T8A7_PPP1R26.pdf</v>
      </c>
    </row>
    <row r="3700" spans="1:28" x14ac:dyDescent="0.25">
      <c r="A3700" t="s">
        <v>3703</v>
      </c>
      <c r="B3700">
        <v>0.99930955844802105</v>
      </c>
      <c r="C3700">
        <v>1.02496090239292</v>
      </c>
      <c r="D3700">
        <v>1.0487711031706299</v>
      </c>
      <c r="E3700">
        <v>0.92108514861977897</v>
      </c>
      <c r="F3700">
        <v>0.73810923767608305</v>
      </c>
      <c r="G3700">
        <v>0.75049285017049705</v>
      </c>
      <c r="H3700">
        <v>0.73103079536549098</v>
      </c>
      <c r="I3700">
        <v>0.77405005254882697</v>
      </c>
      <c r="J3700">
        <v>0.73359107494888098</v>
      </c>
      <c r="K3700">
        <v>0.61128066188146002</v>
      </c>
      <c r="L3700">
        <v>3245.5360513002001</v>
      </c>
      <c r="M3700">
        <v>63.963876791606403</v>
      </c>
      <c r="O3700">
        <v>50.690618707988101</v>
      </c>
      <c r="P3700">
        <v>-8.8280950635137301E-2</v>
      </c>
      <c r="Q3700">
        <v>0.72015366433910599</v>
      </c>
      <c r="R3700">
        <v>0.90844020043121798</v>
      </c>
      <c r="S3700" t="s">
        <v>10316</v>
      </c>
      <c r="T3700" t="s">
        <v>13232</v>
      </c>
      <c r="U3700" t="s">
        <v>13232</v>
      </c>
      <c r="V3700" t="s">
        <v>13232</v>
      </c>
      <c r="W3700" t="s">
        <v>16871</v>
      </c>
      <c r="X3700">
        <v>6</v>
      </c>
      <c r="Y3700" t="s">
        <v>23299</v>
      </c>
      <c r="Z3700" t="s">
        <v>29831</v>
      </c>
      <c r="AA3700">
        <v>0.82072184319777131</v>
      </c>
      <c r="AB3700" t="str">
        <f>HYPERLINK("Melting_Curves/meltCurve_Q5T8I3_FAM102B.pdf", "Melting_Curves/meltCurve_Q5T8I3_FAM102B.pdf")</f>
        <v>Melting_Curves/meltCurve_Q5T8I3_FAM102B.pdf</v>
      </c>
    </row>
    <row r="3701" spans="1:28" x14ac:dyDescent="0.25">
      <c r="A3701" t="s">
        <v>3704</v>
      </c>
      <c r="B3701">
        <v>0.99930955844802105</v>
      </c>
      <c r="C3701">
        <v>1.06887153271055</v>
      </c>
      <c r="D3701">
        <v>1.0739038889038699</v>
      </c>
      <c r="E3701">
        <v>1.0056545287830201</v>
      </c>
      <c r="F3701">
        <v>0.83906978327117399</v>
      </c>
      <c r="G3701">
        <v>0.71264383328800995</v>
      </c>
      <c r="H3701">
        <v>0.60082038277193195</v>
      </c>
      <c r="I3701">
        <v>0.58715259668267195</v>
      </c>
      <c r="J3701">
        <v>0.63518609679570703</v>
      </c>
      <c r="K3701">
        <v>0.44448105626612799</v>
      </c>
      <c r="L3701">
        <v>1167.27045661794</v>
      </c>
      <c r="M3701">
        <v>21.001998619604802</v>
      </c>
      <c r="O3701">
        <v>55.082483102310597</v>
      </c>
      <c r="P3701">
        <v>-4.3990718218209698E-2</v>
      </c>
      <c r="Q3701">
        <v>0.53851001598885095</v>
      </c>
      <c r="R3701">
        <v>0.93207299543425004</v>
      </c>
      <c r="S3701" t="s">
        <v>10317</v>
      </c>
      <c r="T3701" t="s">
        <v>13232</v>
      </c>
      <c r="U3701" t="s">
        <v>13232</v>
      </c>
      <c r="V3701" t="s">
        <v>13232</v>
      </c>
      <c r="W3701" t="s">
        <v>16872</v>
      </c>
      <c r="X3701">
        <v>40</v>
      </c>
      <c r="Y3701" t="s">
        <v>23300</v>
      </c>
      <c r="Z3701" t="s">
        <v>29832</v>
      </c>
      <c r="AA3701">
        <v>0.78378623471386888</v>
      </c>
      <c r="AB3701" t="str">
        <f>HYPERLINK("Melting_Curves/meltCurve_Q5T8P6_3_RBM26.pdf", "Melting_Curves/meltCurve_Q5T8P6_3_RBM26.pdf")</f>
        <v>Melting_Curves/meltCurve_Q5T8P6_3_RBM26.pdf</v>
      </c>
    </row>
    <row r="3702" spans="1:28" x14ac:dyDescent="0.25">
      <c r="A3702" t="s">
        <v>3705</v>
      </c>
      <c r="B3702">
        <v>0.99930955844802105</v>
      </c>
      <c r="C3702">
        <v>1.06666598543249</v>
      </c>
      <c r="D3702">
        <v>0.90318581159676903</v>
      </c>
      <c r="E3702">
        <v>0.74144381118811198</v>
      </c>
      <c r="F3702">
        <v>0.70935926857974196</v>
      </c>
      <c r="G3702">
        <v>0.53214420738141599</v>
      </c>
      <c r="H3702">
        <v>0.36038545209790201</v>
      </c>
      <c r="I3702">
        <v>0.27928758993615899</v>
      </c>
      <c r="J3702">
        <v>0.21746577341930001</v>
      </c>
      <c r="K3702">
        <v>0.169073002096332</v>
      </c>
      <c r="L3702">
        <v>573.04913715320401</v>
      </c>
      <c r="M3702">
        <v>10.098151882677101</v>
      </c>
      <c r="N3702">
        <v>57.347693502448003</v>
      </c>
      <c r="O3702">
        <v>54.657300601774701</v>
      </c>
      <c r="P3702">
        <v>-4.3894319050333003E-2</v>
      </c>
      <c r="Q3702">
        <v>5.0114742042723599E-2</v>
      </c>
      <c r="R3702">
        <v>0.98418765309552203</v>
      </c>
      <c r="S3702" t="s">
        <v>10318</v>
      </c>
      <c r="T3702" t="s">
        <v>13232</v>
      </c>
      <c r="U3702" t="s">
        <v>13232</v>
      </c>
      <c r="V3702" t="s">
        <v>13232</v>
      </c>
      <c r="X3702">
        <v>6</v>
      </c>
      <c r="Z3702" t="s">
        <v>29833</v>
      </c>
      <c r="AA3702">
        <v>0.59680732061622421</v>
      </c>
      <c r="AB3702" t="str">
        <f>HYPERLINK("Melting_Curves/meltCurve_Q5T985_.pdf", "Melting_Curves/meltCurve_Q5T985_.pdf")</f>
        <v>Melting_Curves/meltCurve_Q5T985_.pdf</v>
      </c>
    </row>
    <row r="3703" spans="1:28" x14ac:dyDescent="0.25">
      <c r="A3703" t="s">
        <v>3706</v>
      </c>
      <c r="B3703">
        <v>0.99930955844802105</v>
      </c>
      <c r="C3703">
        <v>0.97381912734838905</v>
      </c>
      <c r="D3703">
        <v>0.90271958352923498</v>
      </c>
      <c r="E3703">
        <v>0.76864073306702996</v>
      </c>
      <c r="F3703">
        <v>0.50651979932192004</v>
      </c>
      <c r="G3703">
        <v>0.36485878804828697</v>
      </c>
      <c r="H3703">
        <v>0.280618801820047</v>
      </c>
      <c r="I3703">
        <v>0.26818325431370499</v>
      </c>
      <c r="J3703">
        <v>0.24532301457688499</v>
      </c>
      <c r="K3703">
        <v>0.188252175289328</v>
      </c>
      <c r="L3703">
        <v>877.55400188229703</v>
      </c>
      <c r="M3703">
        <v>16.8930060648131</v>
      </c>
      <c r="N3703">
        <v>53.731992678218603</v>
      </c>
      <c r="O3703">
        <v>51.236198929526097</v>
      </c>
      <c r="P3703">
        <v>-6.4736890724413396E-2</v>
      </c>
      <c r="Q3703">
        <v>0.214666220226849</v>
      </c>
      <c r="R3703">
        <v>0.99477635659380004</v>
      </c>
      <c r="S3703" t="s">
        <v>10319</v>
      </c>
      <c r="T3703" t="s">
        <v>13232</v>
      </c>
      <c r="U3703" t="s">
        <v>13232</v>
      </c>
      <c r="V3703" t="s">
        <v>13232</v>
      </c>
      <c r="W3703" t="s">
        <v>16873</v>
      </c>
      <c r="X3703">
        <v>5</v>
      </c>
      <c r="Y3703" t="s">
        <v>23301</v>
      </c>
      <c r="Z3703" t="s">
        <v>29834</v>
      </c>
      <c r="AA3703">
        <v>0.54198436009411011</v>
      </c>
      <c r="AB3703" t="str">
        <f>HYPERLINK("Melting_Curves/meltCurve_Q5TA31_RNF187.pdf", "Melting_Curves/meltCurve_Q5TA31_RNF187.pdf")</f>
        <v>Melting_Curves/meltCurve_Q5TA31_RNF187.pdf</v>
      </c>
    </row>
    <row r="3704" spans="1:28" x14ac:dyDescent="0.25">
      <c r="A3704" t="s">
        <v>3707</v>
      </c>
      <c r="B3704">
        <v>0.99930955844802105</v>
      </c>
      <c r="C3704">
        <v>0.834532000369273</v>
      </c>
      <c r="D3704">
        <v>0.74352327341838798</v>
      </c>
      <c r="E3704">
        <v>0.76018195745859496</v>
      </c>
      <c r="F3704">
        <v>0.66250289363963299</v>
      </c>
      <c r="G3704">
        <v>0.360416196545571</v>
      </c>
      <c r="H3704">
        <v>0.214910700813046</v>
      </c>
      <c r="I3704">
        <v>0.210550868195679</v>
      </c>
      <c r="J3704">
        <v>0.173336563718301</v>
      </c>
      <c r="K3704">
        <v>0.14282605910014901</v>
      </c>
      <c r="L3704">
        <v>477.758900296923</v>
      </c>
      <c r="M3704">
        <v>8.7613223951855108</v>
      </c>
      <c r="N3704">
        <v>54.530455354926502</v>
      </c>
      <c r="O3704">
        <v>51.913347645807299</v>
      </c>
      <c r="P3704">
        <v>-4.22259642831464E-2</v>
      </c>
      <c r="Q3704">
        <v>0</v>
      </c>
      <c r="R3704">
        <v>0.95858630574723502</v>
      </c>
      <c r="S3704" t="s">
        <v>10320</v>
      </c>
      <c r="T3704" t="s">
        <v>13232</v>
      </c>
      <c r="U3704" t="s">
        <v>13232</v>
      </c>
      <c r="V3704" t="s">
        <v>13232</v>
      </c>
      <c r="W3704" t="s">
        <v>16874</v>
      </c>
      <c r="X3704">
        <v>8</v>
      </c>
      <c r="Y3704" t="s">
        <v>23302</v>
      </c>
      <c r="Z3704" t="s">
        <v>29835</v>
      </c>
      <c r="AA3704">
        <v>0.51399756139845088</v>
      </c>
      <c r="AB3704" t="str">
        <f>HYPERLINK("Melting_Curves/meltCurve_Q5TA45_3_CPSF3L.pdf", "Melting_Curves/meltCurve_Q5TA45_3_CPSF3L.pdf")</f>
        <v>Melting_Curves/meltCurve_Q5TA45_3_CPSF3L.pdf</v>
      </c>
    </row>
    <row r="3705" spans="1:28" x14ac:dyDescent="0.25">
      <c r="A3705" t="s">
        <v>3708</v>
      </c>
      <c r="B3705">
        <v>0.99930955844802105</v>
      </c>
      <c r="C3705">
        <v>0.93829541283258699</v>
      </c>
      <c r="D3705">
        <v>0.85473350794920999</v>
      </c>
      <c r="E3705">
        <v>0.288664167511964</v>
      </c>
      <c r="F3705">
        <v>0.10071908978032799</v>
      </c>
      <c r="G3705">
        <v>7.5941499524477998E-2</v>
      </c>
      <c r="H3705">
        <v>3.3450331363055502E-2</v>
      </c>
      <c r="I3705">
        <v>3.1202140109122999E-2</v>
      </c>
      <c r="J3705">
        <v>2.6743720196923899E-2</v>
      </c>
      <c r="K3705">
        <v>2.2782397662263199E-2</v>
      </c>
      <c r="L3705">
        <v>1495.8707804088399</v>
      </c>
      <c r="M3705">
        <v>30.903750775819798</v>
      </c>
      <c r="N3705">
        <v>48.519387143087599</v>
      </c>
      <c r="O3705">
        <v>48.202864920781799</v>
      </c>
      <c r="P3705">
        <v>-0.154610611066549</v>
      </c>
      <c r="Q3705">
        <v>3.5375381858806502E-2</v>
      </c>
      <c r="R3705">
        <v>0.99778679563885497</v>
      </c>
      <c r="S3705" t="s">
        <v>10321</v>
      </c>
      <c r="T3705" t="s">
        <v>13232</v>
      </c>
      <c r="U3705" t="s">
        <v>13232</v>
      </c>
      <c r="V3705" t="s">
        <v>13232</v>
      </c>
      <c r="W3705" t="s">
        <v>16875</v>
      </c>
      <c r="X3705">
        <v>1</v>
      </c>
      <c r="Y3705" t="s">
        <v>23303</v>
      </c>
      <c r="Z3705" t="s">
        <v>29836</v>
      </c>
      <c r="AA3705">
        <v>0.31108738264232172</v>
      </c>
      <c r="AB3705" t="str">
        <f>HYPERLINK("Melting_Curves/meltCurve_Q5TA50_GLTPD1.pdf", "Melting_Curves/meltCurve_Q5TA50_GLTPD1.pdf")</f>
        <v>Melting_Curves/meltCurve_Q5TA50_GLTPD1.pdf</v>
      </c>
    </row>
    <row r="3706" spans="1:28" x14ac:dyDescent="0.25">
      <c r="A3706" t="s">
        <v>3709</v>
      </c>
      <c r="B3706">
        <v>0.99930955844802105</v>
      </c>
      <c r="C3706">
        <v>0.90673171458507995</v>
      </c>
      <c r="D3706">
        <v>0.904046438614732</v>
      </c>
      <c r="E3706">
        <v>0.91374967224966996</v>
      </c>
      <c r="F3706">
        <v>0.84183769519989204</v>
      </c>
      <c r="G3706">
        <v>0.60880091432891703</v>
      </c>
      <c r="H3706">
        <v>0.33224703977233699</v>
      </c>
      <c r="I3706">
        <v>0.31683390426228503</v>
      </c>
      <c r="J3706">
        <v>0.30104547960625899</v>
      </c>
      <c r="K3706">
        <v>0.19461416382416799</v>
      </c>
      <c r="L3706">
        <v>918.81156388291004</v>
      </c>
      <c r="M3706">
        <v>16.130098206416001</v>
      </c>
      <c r="N3706">
        <v>58.631533543750201</v>
      </c>
      <c r="O3706">
        <v>56.108609284413397</v>
      </c>
      <c r="P3706">
        <v>-5.86438442888019E-2</v>
      </c>
      <c r="Q3706">
        <v>0.18409063152195801</v>
      </c>
      <c r="R3706">
        <v>0.974778688481865</v>
      </c>
      <c r="S3706" t="s">
        <v>10322</v>
      </c>
      <c r="T3706" t="s">
        <v>13232</v>
      </c>
      <c r="U3706" t="s">
        <v>13232</v>
      </c>
      <c r="V3706" t="s">
        <v>13232</v>
      </c>
      <c r="W3706" t="s">
        <v>16876</v>
      </c>
      <c r="X3706">
        <v>21</v>
      </c>
      <c r="Y3706" t="s">
        <v>23304</v>
      </c>
      <c r="Z3706" t="s">
        <v>29837</v>
      </c>
      <c r="AA3706">
        <v>0.65777924073586225</v>
      </c>
      <c r="AB3706" t="str">
        <f>HYPERLINK("Melting_Curves/meltCurve_Q5TA58_AGO1.pdf", "Melting_Curves/meltCurve_Q5TA58_AGO1.pdf")</f>
        <v>Melting_Curves/meltCurve_Q5TA58_AGO1.pdf</v>
      </c>
    </row>
    <row r="3707" spans="1:28" x14ac:dyDescent="0.25">
      <c r="A3707" t="s">
        <v>3710</v>
      </c>
      <c r="B3707">
        <v>0.99930955844802105</v>
      </c>
      <c r="C3707">
        <v>0.88227619908115495</v>
      </c>
      <c r="D3707">
        <v>0.78532770526044704</v>
      </c>
      <c r="E3707">
        <v>0.84842202783178799</v>
      </c>
      <c r="F3707">
        <v>0.76701912544536199</v>
      </c>
      <c r="G3707">
        <v>0.57040237164297602</v>
      </c>
      <c r="H3707">
        <v>0.51237086703600898</v>
      </c>
      <c r="I3707">
        <v>0.60389443697792899</v>
      </c>
      <c r="J3707">
        <v>0.56054849643472404</v>
      </c>
      <c r="K3707">
        <v>0.470805670921352</v>
      </c>
      <c r="L3707">
        <v>386.032062404199</v>
      </c>
      <c r="M3707">
        <v>7.2317037952811303</v>
      </c>
      <c r="N3707">
        <v>69.888426488906404</v>
      </c>
      <c r="O3707">
        <v>49.752032064749201</v>
      </c>
      <c r="P3707">
        <v>-2.1496949973336298E-2</v>
      </c>
      <c r="Q3707">
        <v>0.40940022401527998</v>
      </c>
      <c r="R3707">
        <v>0.88983801519591699</v>
      </c>
      <c r="S3707" t="s">
        <v>10323</v>
      </c>
      <c r="T3707" t="s">
        <v>13232</v>
      </c>
      <c r="U3707" t="s">
        <v>13232</v>
      </c>
      <c r="V3707" t="s">
        <v>13232</v>
      </c>
      <c r="W3707" t="s">
        <v>16877</v>
      </c>
      <c r="X3707">
        <v>12</v>
      </c>
      <c r="Y3707" t="s">
        <v>23305</v>
      </c>
      <c r="Z3707" t="s">
        <v>29838</v>
      </c>
      <c r="AA3707">
        <v>0.69665496182998266</v>
      </c>
      <c r="AB3707" t="str">
        <f>HYPERLINK("Melting_Curves/meltCurve_Q5TAP6_UTP14C.pdf", "Melting_Curves/meltCurve_Q5TAP6_UTP14C.pdf")</f>
        <v>Melting_Curves/meltCurve_Q5TAP6_UTP14C.pdf</v>
      </c>
    </row>
    <row r="3708" spans="1:28" x14ac:dyDescent="0.25">
      <c r="A3708" t="s">
        <v>3711</v>
      </c>
      <c r="B3708">
        <v>0.99930955844802105</v>
      </c>
      <c r="C3708">
        <v>0.91534142720423395</v>
      </c>
      <c r="D3708">
        <v>0.88918200781699996</v>
      </c>
      <c r="E3708">
        <v>0.81250706452021504</v>
      </c>
      <c r="F3708">
        <v>0.726351571133101</v>
      </c>
      <c r="G3708">
        <v>0.40133491656734699</v>
      </c>
      <c r="H3708">
        <v>0.21161057096913999</v>
      </c>
      <c r="I3708">
        <v>0.17611756577822399</v>
      </c>
      <c r="J3708">
        <v>0.134570635332737</v>
      </c>
      <c r="K3708">
        <v>0.11959449783621499</v>
      </c>
      <c r="L3708">
        <v>780.55592696424401</v>
      </c>
      <c r="M3708">
        <v>14.1531678637123</v>
      </c>
      <c r="N3708">
        <v>55.624609370104501</v>
      </c>
      <c r="O3708">
        <v>54.084625234422496</v>
      </c>
      <c r="P3708">
        <v>-6.1712820782977601E-2</v>
      </c>
      <c r="Q3708">
        <v>5.6807191705617599E-2</v>
      </c>
      <c r="R3708">
        <v>0.98755252638083402</v>
      </c>
      <c r="S3708" t="s">
        <v>10324</v>
      </c>
      <c r="T3708" t="s">
        <v>13232</v>
      </c>
      <c r="U3708" t="s">
        <v>13232</v>
      </c>
      <c r="V3708" t="s">
        <v>13232</v>
      </c>
      <c r="W3708" t="s">
        <v>16878</v>
      </c>
      <c r="X3708">
        <v>2</v>
      </c>
      <c r="Y3708" t="s">
        <v>23306</v>
      </c>
      <c r="Z3708" t="s">
        <v>29839</v>
      </c>
      <c r="AA3708">
        <v>0.5521864096428537</v>
      </c>
      <c r="AB3708" t="str">
        <f>HYPERLINK("Melting_Curves/meltCurve_Q5TAQ0_MNF1.pdf", "Melting_Curves/meltCurve_Q5TAQ0_MNF1.pdf")</f>
        <v>Melting_Curves/meltCurve_Q5TAQ0_MNF1.pdf</v>
      </c>
    </row>
    <row r="3709" spans="1:28" x14ac:dyDescent="0.25">
      <c r="A3709" t="s">
        <v>3712</v>
      </c>
      <c r="B3709">
        <v>0.99930955844802105</v>
      </c>
      <c r="C3709">
        <v>0.72590612354550599</v>
      </c>
      <c r="D3709">
        <v>0.58418305229440204</v>
      </c>
      <c r="E3709">
        <v>0.48660083612968802</v>
      </c>
      <c r="F3709">
        <v>0.41077570935080998</v>
      </c>
      <c r="G3709">
        <v>0.34740822471245802</v>
      </c>
      <c r="H3709">
        <v>0.320894635224307</v>
      </c>
      <c r="I3709">
        <v>0.32306967832856298</v>
      </c>
      <c r="J3709">
        <v>0.33142475520938403</v>
      </c>
      <c r="K3709">
        <v>0.26664056906967998</v>
      </c>
      <c r="L3709">
        <v>643.32029020540801</v>
      </c>
      <c r="M3709">
        <v>14.2263789341461</v>
      </c>
      <c r="N3709">
        <v>48.5061857902366</v>
      </c>
      <c r="O3709">
        <v>44.354895933785002</v>
      </c>
      <c r="P3709">
        <v>-5.53932733586757E-2</v>
      </c>
      <c r="Q3709">
        <v>0.30926717405845</v>
      </c>
      <c r="R3709">
        <v>0.96474540473083203</v>
      </c>
      <c r="S3709" t="s">
        <v>10325</v>
      </c>
      <c r="T3709" t="s">
        <v>13232</v>
      </c>
      <c r="U3709" t="s">
        <v>13232</v>
      </c>
      <c r="V3709" t="s">
        <v>13232</v>
      </c>
      <c r="W3709" t="s">
        <v>16879</v>
      </c>
      <c r="X3709">
        <v>24</v>
      </c>
      <c r="Y3709" t="s">
        <v>23307</v>
      </c>
      <c r="Z3709" t="s">
        <v>29840</v>
      </c>
      <c r="AA3709">
        <v>0.45366295865267398</v>
      </c>
      <c r="AB3709" t="str">
        <f>HYPERLINK("Melting_Curves/meltCurve_Q5TAX3_ZCCHC11.pdf", "Melting_Curves/meltCurve_Q5TAX3_ZCCHC11.pdf")</f>
        <v>Melting_Curves/meltCurve_Q5TAX3_ZCCHC11.pdf</v>
      </c>
    </row>
    <row r="3710" spans="1:28" x14ac:dyDescent="0.25">
      <c r="A3710" t="s">
        <v>3713</v>
      </c>
      <c r="B3710">
        <v>0.99930955844802105</v>
      </c>
      <c r="C3710">
        <v>0.89803553696318505</v>
      </c>
      <c r="D3710">
        <v>0.91740417002036201</v>
      </c>
      <c r="E3710">
        <v>0.80555803202104304</v>
      </c>
      <c r="F3710">
        <v>0.64269654073454796</v>
      </c>
      <c r="G3710">
        <v>0.44452420129928399</v>
      </c>
      <c r="H3710">
        <v>0.39871386696268402</v>
      </c>
      <c r="I3710">
        <v>0.43842095713363699</v>
      </c>
      <c r="J3710">
        <v>0.30890733856854502</v>
      </c>
      <c r="K3710">
        <v>0.30885916533573898</v>
      </c>
      <c r="L3710">
        <v>680.25549043161902</v>
      </c>
      <c r="M3710">
        <v>12.870587398732701</v>
      </c>
      <c r="N3710">
        <v>56.774320568215899</v>
      </c>
      <c r="O3710">
        <v>51.626333682231198</v>
      </c>
      <c r="P3710">
        <v>-4.3982960556187702E-2</v>
      </c>
      <c r="Q3710">
        <v>0.29443408445161201</v>
      </c>
      <c r="R3710">
        <v>0.97660173807690298</v>
      </c>
      <c r="S3710" t="s">
        <v>10326</v>
      </c>
      <c r="T3710" t="s">
        <v>13232</v>
      </c>
      <c r="U3710" t="s">
        <v>13232</v>
      </c>
      <c r="V3710" t="s">
        <v>13232</v>
      </c>
      <c r="W3710" t="s">
        <v>16880</v>
      </c>
      <c r="X3710">
        <v>5</v>
      </c>
      <c r="Y3710" t="s">
        <v>23308</v>
      </c>
      <c r="Z3710" t="s">
        <v>29841</v>
      </c>
      <c r="AA3710">
        <v>0.6154320738230008</v>
      </c>
      <c r="AB3710" t="str">
        <f>HYPERLINK("Melting_Curves/meltCurve_Q5TB80_2_KIAA1009.pdf", "Melting_Curves/meltCurve_Q5TB80_2_KIAA1009.pdf")</f>
        <v>Melting_Curves/meltCurve_Q5TB80_2_KIAA1009.pdf</v>
      </c>
    </row>
    <row r="3711" spans="1:28" x14ac:dyDescent="0.25">
      <c r="A3711" t="s">
        <v>3714</v>
      </c>
      <c r="B3711">
        <v>0.99930955844802105</v>
      </c>
      <c r="C3711">
        <v>0.88098448029308596</v>
      </c>
      <c r="D3711">
        <v>0.57437848770723998</v>
      </c>
      <c r="E3711">
        <v>0.46086133742994601</v>
      </c>
      <c r="F3711">
        <v>0.37364371515450601</v>
      </c>
      <c r="G3711">
        <v>0.28046437733531598</v>
      </c>
      <c r="H3711">
        <v>0.154372787062693</v>
      </c>
      <c r="I3711">
        <v>0.10261013086582101</v>
      </c>
      <c r="J3711">
        <v>8.6515086462210095E-2</v>
      </c>
      <c r="K3711">
        <v>7.6508770604628698E-2</v>
      </c>
      <c r="L3711">
        <v>519.38222910350896</v>
      </c>
      <c r="M3711">
        <v>10.605783212751501</v>
      </c>
      <c r="N3711">
        <v>49.456599800388702</v>
      </c>
      <c r="O3711">
        <v>47.326769637002798</v>
      </c>
      <c r="P3711">
        <v>-5.3277901181905597E-2</v>
      </c>
      <c r="Q3711">
        <v>4.9389424327857701E-2</v>
      </c>
      <c r="R3711">
        <v>0.97395041400106597</v>
      </c>
      <c r="S3711" t="s">
        <v>10327</v>
      </c>
      <c r="T3711" t="s">
        <v>13232</v>
      </c>
      <c r="U3711" t="s">
        <v>13232</v>
      </c>
      <c r="V3711" t="s">
        <v>13232</v>
      </c>
      <c r="W3711" t="s">
        <v>16881</v>
      </c>
      <c r="X3711">
        <v>12</v>
      </c>
      <c r="Y3711" t="s">
        <v>23309</v>
      </c>
      <c r="Z3711" t="s">
        <v>29842</v>
      </c>
      <c r="AA3711">
        <v>0.37635097071974699</v>
      </c>
      <c r="AB3711" t="str">
        <f>HYPERLINK("Melting_Curves/meltCurve_Q5TBB1_RNASEH2B.pdf", "Melting_Curves/meltCurve_Q5TBB1_RNASEH2B.pdf")</f>
        <v>Melting_Curves/meltCurve_Q5TBB1_RNASEH2B.pdf</v>
      </c>
    </row>
    <row r="3712" spans="1:28" x14ac:dyDescent="0.25">
      <c r="A3712" t="s">
        <v>3715</v>
      </c>
      <c r="B3712">
        <v>0.99930955844802105</v>
      </c>
      <c r="C3712">
        <v>1.1974327415863499</v>
      </c>
      <c r="D3712">
        <v>1.2779015825837201</v>
      </c>
      <c r="E3712">
        <v>1.0589833802522299</v>
      </c>
      <c r="F3712">
        <v>0.86298256104647297</v>
      </c>
      <c r="G3712">
        <v>0.83303168109191095</v>
      </c>
      <c r="H3712">
        <v>0.79118039351836</v>
      </c>
      <c r="I3712">
        <v>0.87797370344210302</v>
      </c>
      <c r="J3712">
        <v>0.848420954696956</v>
      </c>
      <c r="K3712">
        <v>0.68511310449681395</v>
      </c>
      <c r="L3712">
        <v>13202.4252717776</v>
      </c>
      <c r="M3712">
        <v>250</v>
      </c>
      <c r="O3712">
        <v>52.806318658933698</v>
      </c>
      <c r="P3712">
        <v>-0.22825872491851601</v>
      </c>
      <c r="Q3712">
        <v>0.80714394197935302</v>
      </c>
      <c r="R3712">
        <v>0.54811937710607095</v>
      </c>
      <c r="S3712" t="s">
        <v>10328</v>
      </c>
      <c r="T3712" t="s">
        <v>13232</v>
      </c>
      <c r="U3712" t="s">
        <v>13232</v>
      </c>
      <c r="V3712" t="s">
        <v>13232</v>
      </c>
      <c r="W3712" t="s">
        <v>16882</v>
      </c>
      <c r="X3712">
        <v>5</v>
      </c>
      <c r="Y3712" t="s">
        <v>23310</v>
      </c>
      <c r="Z3712" t="s">
        <v>29843</v>
      </c>
      <c r="AA3712">
        <v>0.88950943112082048</v>
      </c>
      <c r="AB3712" t="str">
        <f>HYPERLINK("Melting_Curves/meltCurve_Q5TBP9_LSM14B.pdf", "Melting_Curves/meltCurve_Q5TBP9_LSM14B.pdf")</f>
        <v>Melting_Curves/meltCurve_Q5TBP9_LSM14B.pdf</v>
      </c>
    </row>
    <row r="3713" spans="1:28" x14ac:dyDescent="0.25">
      <c r="A3713" t="s">
        <v>3716</v>
      </c>
      <c r="B3713">
        <v>0.99930955844802105</v>
      </c>
      <c r="C3713">
        <v>1.15589470304418</v>
      </c>
      <c r="D3713">
        <v>1.0748240305818799</v>
      </c>
      <c r="E3713">
        <v>1.0110194480402901</v>
      </c>
      <c r="F3713">
        <v>0.85134567166414399</v>
      </c>
      <c r="G3713">
        <v>0.52867084968579503</v>
      </c>
      <c r="H3713">
        <v>0.20948566689113901</v>
      </c>
      <c r="I3713">
        <v>9.6283278196476405E-2</v>
      </c>
      <c r="J3713">
        <v>6.3620439514755198E-2</v>
      </c>
      <c r="K3713">
        <v>5.5857094972381699E-2</v>
      </c>
      <c r="L3713">
        <v>1416.20348588611</v>
      </c>
      <c r="M3713">
        <v>24.827893845159299</v>
      </c>
      <c r="N3713">
        <v>57.248057318217697</v>
      </c>
      <c r="O3713">
        <v>56.674636428724099</v>
      </c>
      <c r="P3713">
        <v>-0.104813946727912</v>
      </c>
      <c r="Q3713">
        <v>4.29779893954109E-2</v>
      </c>
      <c r="R3713">
        <v>0.98304491236946701</v>
      </c>
      <c r="S3713" t="s">
        <v>10329</v>
      </c>
      <c r="T3713" t="s">
        <v>13232</v>
      </c>
      <c r="U3713" t="s">
        <v>13232</v>
      </c>
      <c r="V3713" t="s">
        <v>13232</v>
      </c>
      <c r="W3713" t="s">
        <v>16883</v>
      </c>
      <c r="X3713">
        <v>5</v>
      </c>
      <c r="Y3713" t="s">
        <v>23311</v>
      </c>
      <c r="Z3713" t="s">
        <v>29844</v>
      </c>
      <c r="AA3713">
        <v>0.59529661741089224</v>
      </c>
      <c r="AB3713" t="str">
        <f>HYPERLINK("Melting_Curves/meltCurve_Q5TC12_ATPAF1.pdf", "Melting_Curves/meltCurve_Q5TC12_ATPAF1.pdf")</f>
        <v>Melting_Curves/meltCurve_Q5TC12_ATPAF1.pdf</v>
      </c>
    </row>
    <row r="3714" spans="1:28" x14ac:dyDescent="0.25">
      <c r="A3714" t="s">
        <v>3717</v>
      </c>
      <c r="B3714">
        <v>0.99930955844802105</v>
      </c>
      <c r="C3714">
        <v>1.5546444046949699</v>
      </c>
      <c r="D3714">
        <v>0.99686853334584402</v>
      </c>
      <c r="E3714">
        <v>0.88593832168806996</v>
      </c>
      <c r="F3714">
        <v>1.03154684939996</v>
      </c>
      <c r="G3714">
        <v>1.03224379989148</v>
      </c>
      <c r="H3714">
        <v>0.74826524686089702</v>
      </c>
      <c r="I3714">
        <v>0.91933834462732</v>
      </c>
      <c r="J3714">
        <v>0.85245360064371201</v>
      </c>
      <c r="K3714">
        <v>0.71748774691409201</v>
      </c>
      <c r="L3714">
        <v>767.12443676161195</v>
      </c>
      <c r="M3714">
        <v>11.390031220106099</v>
      </c>
      <c r="O3714">
        <v>65.374689962284407</v>
      </c>
      <c r="P3714">
        <v>-1.7828124985950201E-2</v>
      </c>
      <c r="Q3714">
        <v>0.59081254831228802</v>
      </c>
      <c r="R3714">
        <v>0.26022211894236003</v>
      </c>
      <c r="S3714" t="s">
        <v>10330</v>
      </c>
      <c r="T3714" t="s">
        <v>13232</v>
      </c>
      <c r="U3714" t="s">
        <v>13232</v>
      </c>
      <c r="V3714" t="s">
        <v>13232</v>
      </c>
      <c r="W3714" t="s">
        <v>16884</v>
      </c>
      <c r="X3714">
        <v>4</v>
      </c>
      <c r="Y3714" t="s">
        <v>23312</v>
      </c>
      <c r="Z3714" t="s">
        <v>29845</v>
      </c>
      <c r="AA3714">
        <v>0.93323499570777091</v>
      </c>
      <c r="AB3714" t="str">
        <f>HYPERLINK("Melting_Curves/meltCurve_Q5TC79_ZBTB37.pdf", "Melting_Curves/meltCurve_Q5TC79_ZBTB37.pdf")</f>
        <v>Melting_Curves/meltCurve_Q5TC79_ZBTB37.pdf</v>
      </c>
    </row>
    <row r="3715" spans="1:28" x14ac:dyDescent="0.25">
      <c r="A3715" t="s">
        <v>3718</v>
      </c>
      <c r="B3715">
        <v>0.99930955844802105</v>
      </c>
      <c r="C3715">
        <v>1.0890964868065101</v>
      </c>
      <c r="D3715">
        <v>1.0387216520186899</v>
      </c>
      <c r="E3715">
        <v>1.06961727926202</v>
      </c>
      <c r="F3715">
        <v>1.0035950490777401</v>
      </c>
      <c r="G3715">
        <v>0.89454670671023995</v>
      </c>
      <c r="H3715">
        <v>0.98187581511756195</v>
      </c>
      <c r="I3715">
        <v>1.0971584345752099</v>
      </c>
      <c r="J3715">
        <v>1.09103044070521</v>
      </c>
      <c r="K3715">
        <v>0.87522591027706098</v>
      </c>
      <c r="L3715">
        <v>15000</v>
      </c>
      <c r="M3715">
        <v>212.33766298094201</v>
      </c>
      <c r="Q3715">
        <v>0</v>
      </c>
      <c r="R3715">
        <v>0.238309704649287</v>
      </c>
      <c r="S3715" t="s">
        <v>10331</v>
      </c>
      <c r="T3715" t="s">
        <v>13232</v>
      </c>
      <c r="U3715" t="s">
        <v>13232</v>
      </c>
      <c r="V3715" t="s">
        <v>13232</v>
      </c>
      <c r="W3715" t="s">
        <v>16885</v>
      </c>
      <c r="X3715">
        <v>9</v>
      </c>
      <c r="Y3715" t="s">
        <v>23313</v>
      </c>
      <c r="Z3715" t="s">
        <v>29846</v>
      </c>
      <c r="AA3715">
        <v>0.99856270890658239</v>
      </c>
      <c r="AB3715" t="str">
        <f>HYPERLINK("Melting_Curves/meltCurve_Q5TC82_RC3H1.pdf", "Melting_Curves/meltCurve_Q5TC82_RC3H1.pdf")</f>
        <v>Melting_Curves/meltCurve_Q5TC82_RC3H1.pdf</v>
      </c>
    </row>
    <row r="3716" spans="1:28" x14ac:dyDescent="0.25">
      <c r="A3716" t="s">
        <v>3719</v>
      </c>
      <c r="B3716">
        <v>0.99930955844802105</v>
      </c>
      <c r="C3716">
        <v>1.0709402821182701</v>
      </c>
      <c r="D3716">
        <v>1.0501223794519401</v>
      </c>
      <c r="E3716">
        <v>0.77812292663346705</v>
      </c>
      <c r="F3716">
        <v>0.49804009886978101</v>
      </c>
      <c r="G3716">
        <v>0.37461380516188397</v>
      </c>
      <c r="H3716">
        <v>0.21634345504412</v>
      </c>
      <c r="I3716">
        <v>0.18949526360905999</v>
      </c>
      <c r="J3716">
        <v>0.19357826631480801</v>
      </c>
      <c r="K3716">
        <v>0.13636004677649499</v>
      </c>
      <c r="L3716">
        <v>1126.70460955569</v>
      </c>
      <c r="M3716">
        <v>21.4679282393306</v>
      </c>
      <c r="N3716">
        <v>53.566687116382397</v>
      </c>
      <c r="O3716">
        <v>52.034131293239199</v>
      </c>
      <c r="P3716">
        <v>-8.4979553572937794E-2</v>
      </c>
      <c r="Q3716">
        <v>0.176123960866859</v>
      </c>
      <c r="R3716">
        <v>0.98275244499806502</v>
      </c>
      <c r="S3716" t="s">
        <v>10332</v>
      </c>
      <c r="T3716" t="s">
        <v>13232</v>
      </c>
      <c r="U3716" t="s">
        <v>13232</v>
      </c>
      <c r="V3716" t="s">
        <v>13232</v>
      </c>
      <c r="W3716" t="s">
        <v>16886</v>
      </c>
      <c r="X3716">
        <v>11</v>
      </c>
      <c r="Y3716" t="s">
        <v>23314</v>
      </c>
      <c r="Z3716" t="s">
        <v>29847</v>
      </c>
      <c r="AA3716">
        <v>0.52896930649287899</v>
      </c>
      <c r="AB3716" t="str">
        <f>HYPERLINK("Melting_Curves/meltCurve_Q5TCQ9_3_MAGI3.pdf", "Melting_Curves/meltCurve_Q5TCQ9_3_MAGI3.pdf")</f>
        <v>Melting_Curves/meltCurve_Q5TCQ9_3_MAGI3.pdf</v>
      </c>
    </row>
    <row r="3717" spans="1:28" x14ac:dyDescent="0.25">
      <c r="A3717" t="s">
        <v>3720</v>
      </c>
      <c r="B3717">
        <v>0.99930955844802105</v>
      </c>
      <c r="C3717">
        <v>0.96316885066234204</v>
      </c>
      <c r="D3717">
        <v>0.93603925484041095</v>
      </c>
      <c r="E3717">
        <v>0.99930733605923705</v>
      </c>
      <c r="F3717">
        <v>0.88346185867411497</v>
      </c>
      <c r="G3717">
        <v>0.76971061788552797</v>
      </c>
      <c r="H3717">
        <v>0.78731776918778995</v>
      </c>
      <c r="I3717">
        <v>0.80654136574433799</v>
      </c>
      <c r="J3717">
        <v>0.75252562573792003</v>
      </c>
      <c r="K3717">
        <v>0.62017199653462196</v>
      </c>
      <c r="L3717">
        <v>320.79286136678701</v>
      </c>
      <c r="M3717">
        <v>3.8952172298071002</v>
      </c>
      <c r="O3717">
        <v>67.033425862117596</v>
      </c>
      <c r="P3717">
        <v>-1.4730397141875601E-2</v>
      </c>
      <c r="Q3717">
        <v>0</v>
      </c>
      <c r="R3717">
        <v>0.86091151137268795</v>
      </c>
      <c r="S3717" t="s">
        <v>10333</v>
      </c>
      <c r="T3717" t="s">
        <v>13232</v>
      </c>
      <c r="U3717" t="s">
        <v>13232</v>
      </c>
      <c r="V3717" t="s">
        <v>13232</v>
      </c>
      <c r="W3717" t="s">
        <v>16887</v>
      </c>
      <c r="X3717">
        <v>17</v>
      </c>
      <c r="Y3717" t="s">
        <v>23315</v>
      </c>
      <c r="Z3717" t="s">
        <v>29848</v>
      </c>
      <c r="AA3717">
        <v>0.85671834697586824</v>
      </c>
      <c r="AB3717" t="str">
        <f>HYPERLINK("Melting_Curves/meltCurve_Q5TCU3_TPM2.pdf", "Melting_Curves/meltCurve_Q5TCU3_TPM2.pdf")</f>
        <v>Melting_Curves/meltCurve_Q5TCU3_TPM2.pdf</v>
      </c>
    </row>
    <row r="3718" spans="1:28" x14ac:dyDescent="0.25">
      <c r="A3718" t="s">
        <v>3721</v>
      </c>
      <c r="B3718">
        <v>0.99930955844802105</v>
      </c>
      <c r="C3718">
        <v>1.0132673422668601</v>
      </c>
      <c r="D3718">
        <v>1.0036050131319101</v>
      </c>
      <c r="E3718">
        <v>0.92134773164256001</v>
      </c>
      <c r="F3718">
        <v>0.82110026300615602</v>
      </c>
      <c r="G3718">
        <v>0.52324507859061098</v>
      </c>
      <c r="H3718">
        <v>0.200297501119895</v>
      </c>
      <c r="I3718">
        <v>0.118031250225847</v>
      </c>
      <c r="J3718">
        <v>7.7124972234750303E-2</v>
      </c>
      <c r="K3718">
        <v>5.7062181533129301E-2</v>
      </c>
      <c r="L3718">
        <v>1175.17697647196</v>
      </c>
      <c r="M3718">
        <v>20.6681544543436</v>
      </c>
      <c r="N3718">
        <v>57.038770500306597</v>
      </c>
      <c r="O3718">
        <v>56.335040646781202</v>
      </c>
      <c r="P3718">
        <v>-8.8835020212145996E-2</v>
      </c>
      <c r="Q3718">
        <v>3.1479663294442198E-2</v>
      </c>
      <c r="R3718">
        <v>0.99880723574047303</v>
      </c>
      <c r="S3718" t="s">
        <v>10334</v>
      </c>
      <c r="T3718" t="s">
        <v>13232</v>
      </c>
      <c r="U3718" t="s">
        <v>13232</v>
      </c>
      <c r="V3718" t="s">
        <v>13232</v>
      </c>
      <c r="W3718" t="s">
        <v>16888</v>
      </c>
      <c r="X3718">
        <v>21</v>
      </c>
      <c r="Y3718" t="s">
        <v>23316</v>
      </c>
      <c r="Z3718" t="s">
        <v>29849</v>
      </c>
      <c r="AA3718">
        <v>0.58724496733864429</v>
      </c>
      <c r="AB3718" t="str">
        <f>HYPERLINK("Melting_Curves/meltCurve_Q5TDH0_DDI2.pdf", "Melting_Curves/meltCurve_Q5TDH0_DDI2.pdf")</f>
        <v>Melting_Curves/meltCurve_Q5TDH0_DDI2.pdf</v>
      </c>
    </row>
    <row r="3719" spans="1:28" x14ac:dyDescent="0.25">
      <c r="A3719" t="s">
        <v>3722</v>
      </c>
      <c r="B3719">
        <v>0.99930955844802105</v>
      </c>
      <c r="C3719">
        <v>1.11119496351502</v>
      </c>
      <c r="D3719">
        <v>1.0399864701814301</v>
      </c>
      <c r="E3719">
        <v>0.97091737609436601</v>
      </c>
      <c r="F3719">
        <v>1.03572315483122</v>
      </c>
      <c r="G3719">
        <v>1.1108396119492501</v>
      </c>
      <c r="H3719">
        <v>1.0874801085043999</v>
      </c>
      <c r="I3719">
        <v>1.20284415696466</v>
      </c>
      <c r="J3719">
        <v>1.4724333340444899</v>
      </c>
      <c r="K3719">
        <v>0.82851272536402998</v>
      </c>
      <c r="L3719">
        <v>1850.9776939348701</v>
      </c>
      <c r="M3719">
        <v>33.381310080003402</v>
      </c>
      <c r="O3719">
        <v>55.251660239036099</v>
      </c>
      <c r="P3719">
        <v>2.2838997651127301E-2</v>
      </c>
      <c r="Q3719">
        <v>1.15120882383498</v>
      </c>
      <c r="R3719">
        <v>0.10630678700745</v>
      </c>
      <c r="S3719" t="s">
        <v>10335</v>
      </c>
      <c r="T3719" t="s">
        <v>13232</v>
      </c>
      <c r="U3719" t="s">
        <v>13232</v>
      </c>
      <c r="V3719" t="s">
        <v>13232</v>
      </c>
      <c r="W3719" t="s">
        <v>16889</v>
      </c>
      <c r="X3719">
        <v>1</v>
      </c>
      <c r="Y3719" t="s">
        <v>23317</v>
      </c>
      <c r="Z3719" t="s">
        <v>29850</v>
      </c>
      <c r="AA3719">
        <v>1.072517046576462</v>
      </c>
      <c r="AB3719" t="str">
        <f>HYPERLINK("Melting_Curves/meltCurve_Q5TEC3_ZNF697.pdf", "Melting_Curves/meltCurve_Q5TEC3_ZNF697.pdf")</f>
        <v>Melting_Curves/meltCurve_Q5TEC3_ZNF697.pdf</v>
      </c>
    </row>
    <row r="3720" spans="1:28" x14ac:dyDescent="0.25">
      <c r="A3720" t="s">
        <v>3723</v>
      </c>
      <c r="B3720">
        <v>0.99930955844802105</v>
      </c>
      <c r="C3720">
        <v>0.66148495733676005</v>
      </c>
      <c r="D3720">
        <v>0.64312434276753805</v>
      </c>
      <c r="E3720">
        <v>0.42860355926317001</v>
      </c>
      <c r="F3720">
        <v>0.224846559970973</v>
      </c>
      <c r="G3720">
        <v>0.106737240277597</v>
      </c>
      <c r="H3720">
        <v>4.5741181220117298E-2</v>
      </c>
      <c r="I3720">
        <v>4.6038250568529802E-2</v>
      </c>
      <c r="J3720">
        <v>4.4948503223068099E-2</v>
      </c>
      <c r="K3720">
        <v>3.4395987398520997E-2</v>
      </c>
      <c r="L3720">
        <v>554.02098300145599</v>
      </c>
      <c r="M3720">
        <v>11.5970899238974</v>
      </c>
      <c r="N3720">
        <v>47.772414961922998</v>
      </c>
      <c r="O3720">
        <v>46.418232522136897</v>
      </c>
      <c r="P3720">
        <v>-6.2476963215093301E-2</v>
      </c>
      <c r="Q3720">
        <v>0</v>
      </c>
      <c r="R3720">
        <v>0.97042373366951895</v>
      </c>
      <c r="S3720" t="s">
        <v>10336</v>
      </c>
      <c r="T3720" t="s">
        <v>13232</v>
      </c>
      <c r="U3720" t="s">
        <v>13232</v>
      </c>
      <c r="V3720" t="s">
        <v>13232</v>
      </c>
      <c r="W3720" t="s">
        <v>16890</v>
      </c>
      <c r="X3720">
        <v>8</v>
      </c>
      <c r="Y3720" t="s">
        <v>23318</v>
      </c>
      <c r="Z3720" t="s">
        <v>29851</v>
      </c>
      <c r="AA3720">
        <v>0.30128116148590789</v>
      </c>
      <c r="AB3720" t="str">
        <f>HYPERLINK("Melting_Curves/meltCurve_Q5TEJ8_THEMIS2.pdf", "Melting_Curves/meltCurve_Q5TEJ8_THEMIS2.pdf")</f>
        <v>Melting_Curves/meltCurve_Q5TEJ8_THEMIS2.pdf</v>
      </c>
    </row>
    <row r="3721" spans="1:28" x14ac:dyDescent="0.25">
      <c r="A3721" t="s">
        <v>3724</v>
      </c>
      <c r="B3721">
        <v>0.99930955844802105</v>
      </c>
      <c r="C3721">
        <v>0.98322898902245304</v>
      </c>
      <c r="D3721">
        <v>0.97527983286304898</v>
      </c>
      <c r="E3721">
        <v>0.81713016037680697</v>
      </c>
      <c r="F3721">
        <v>0.44040035666987698</v>
      </c>
      <c r="G3721">
        <v>0.242969585130729</v>
      </c>
      <c r="H3721">
        <v>0.181076394236797</v>
      </c>
      <c r="I3721">
        <v>0.151920290166243</v>
      </c>
      <c r="J3721">
        <v>0.122756398488594</v>
      </c>
      <c r="K3721">
        <v>8.7496010886910794E-2</v>
      </c>
      <c r="L3721">
        <v>1408.4840463159201</v>
      </c>
      <c r="M3721">
        <v>27.015598963284301</v>
      </c>
      <c r="N3721">
        <v>52.739578242841397</v>
      </c>
      <c r="O3721">
        <v>51.852799759490303</v>
      </c>
      <c r="P3721">
        <v>-0.11293113355694</v>
      </c>
      <c r="Q3721">
        <v>0.13298423236539</v>
      </c>
      <c r="R3721">
        <v>0.995542601618991</v>
      </c>
      <c r="S3721" t="s">
        <v>10337</v>
      </c>
      <c r="T3721" t="s">
        <v>13232</v>
      </c>
      <c r="U3721" t="s">
        <v>13232</v>
      </c>
      <c r="V3721" t="s">
        <v>13232</v>
      </c>
      <c r="W3721" t="s">
        <v>16891</v>
      </c>
      <c r="X3721">
        <v>3</v>
      </c>
      <c r="Y3721" t="s">
        <v>23319</v>
      </c>
      <c r="Z3721" t="s">
        <v>29852</v>
      </c>
      <c r="AA3721">
        <v>0.49054088328768641</v>
      </c>
      <c r="AB3721" t="str">
        <f>HYPERLINK("Melting_Curves/meltCurve_Q5TEU4_2_NDUFAF5.pdf", "Melting_Curves/meltCurve_Q5TEU4_2_NDUFAF5.pdf")</f>
        <v>Melting_Curves/meltCurve_Q5TEU4_2_NDUFAF5.pdf</v>
      </c>
    </row>
    <row r="3722" spans="1:28" x14ac:dyDescent="0.25">
      <c r="A3722" t="s">
        <v>3725</v>
      </c>
      <c r="B3722">
        <v>0.99930955844802105</v>
      </c>
      <c r="C3722">
        <v>1.08058957211118</v>
      </c>
      <c r="D3722">
        <v>1.0487408425934499</v>
      </c>
      <c r="E3722">
        <v>0.95592141078591097</v>
      </c>
      <c r="F3722">
        <v>0.82451621607507097</v>
      </c>
      <c r="G3722">
        <v>0.41482037197412502</v>
      </c>
      <c r="H3722">
        <v>0.16216714513087399</v>
      </c>
      <c r="I3722">
        <v>0.12442332541557</v>
      </c>
      <c r="J3722">
        <v>0.10998179448569299</v>
      </c>
      <c r="K3722">
        <v>8.8521127347331696E-2</v>
      </c>
      <c r="L3722">
        <v>1546.9422398614699</v>
      </c>
      <c r="M3722">
        <v>27.753861632338701</v>
      </c>
      <c r="N3722">
        <v>56.158240525370502</v>
      </c>
      <c r="O3722">
        <v>55.450947166582402</v>
      </c>
      <c r="P3722">
        <v>-0.113393600086614</v>
      </c>
      <c r="Q3722">
        <v>9.3787128342669904E-2</v>
      </c>
      <c r="R3722">
        <v>0.99449791920280906</v>
      </c>
      <c r="S3722" t="s">
        <v>10338</v>
      </c>
      <c r="T3722" t="s">
        <v>13232</v>
      </c>
      <c r="U3722" t="s">
        <v>13232</v>
      </c>
      <c r="V3722" t="s">
        <v>13232</v>
      </c>
      <c r="W3722" t="s">
        <v>16892</v>
      </c>
      <c r="X3722">
        <v>19</v>
      </c>
      <c r="Y3722" t="s">
        <v>23320</v>
      </c>
      <c r="Z3722" t="s">
        <v>29853</v>
      </c>
      <c r="AA3722">
        <v>0.57614012243526935</v>
      </c>
      <c r="AB3722" t="str">
        <f>HYPERLINK("Melting_Curves/meltCurve_Q5TFE4_NT5DC1.pdf", "Melting_Curves/meltCurve_Q5TFE4_NT5DC1.pdf")</f>
        <v>Melting_Curves/meltCurve_Q5TFE4_NT5DC1.pdf</v>
      </c>
    </row>
    <row r="3723" spans="1:28" x14ac:dyDescent="0.25">
      <c r="A3723" t="s">
        <v>3726</v>
      </c>
      <c r="B3723">
        <v>0.99930955844802105</v>
      </c>
      <c r="C3723">
        <v>0.90578946169299401</v>
      </c>
      <c r="D3723">
        <v>0.92138504560133205</v>
      </c>
      <c r="E3723">
        <v>0.75252289331536204</v>
      </c>
      <c r="F3723">
        <v>0.61651701930945901</v>
      </c>
      <c r="G3723">
        <v>0.37163360043518801</v>
      </c>
      <c r="H3723">
        <v>0.20483035355606799</v>
      </c>
      <c r="I3723">
        <v>0.15281510570072401</v>
      </c>
      <c r="J3723">
        <v>8.7812220160625801E-2</v>
      </c>
      <c r="K3723">
        <v>5.7351347296623001E-2</v>
      </c>
      <c r="L3723">
        <v>672.22435567843297</v>
      </c>
      <c r="M3723">
        <v>12.297728350890001</v>
      </c>
      <c r="N3723">
        <v>54.662482054579499</v>
      </c>
      <c r="O3723">
        <v>53.277373018144999</v>
      </c>
      <c r="P3723">
        <v>-5.7718800436138903E-2</v>
      </c>
      <c r="Q3723">
        <v>0</v>
      </c>
      <c r="R3723">
        <v>0.99616753205130304</v>
      </c>
      <c r="S3723" t="s">
        <v>10339</v>
      </c>
      <c r="T3723" t="s">
        <v>13232</v>
      </c>
      <c r="U3723" t="s">
        <v>13232</v>
      </c>
      <c r="V3723" t="s">
        <v>13232</v>
      </c>
      <c r="W3723" t="s">
        <v>16893</v>
      </c>
      <c r="X3723">
        <v>2</v>
      </c>
      <c r="Y3723" t="s">
        <v>23321</v>
      </c>
      <c r="Z3723" t="s">
        <v>29854</v>
      </c>
      <c r="AA3723">
        <v>0.51267118148476842</v>
      </c>
      <c r="AB3723" t="str">
        <f>HYPERLINK("Melting_Curves/meltCurve_Q5TGY1_TMCO4.pdf", "Melting_Curves/meltCurve_Q5TGY1_TMCO4.pdf")</f>
        <v>Melting_Curves/meltCurve_Q5TGY1_TMCO4.pdf</v>
      </c>
    </row>
    <row r="3724" spans="1:28" x14ac:dyDescent="0.25">
      <c r="A3724" t="s">
        <v>3727</v>
      </c>
      <c r="B3724">
        <v>0.99930955844802105</v>
      </c>
      <c r="C3724">
        <v>1.07107548559919</v>
      </c>
      <c r="D3724">
        <v>1.07766974412953</v>
      </c>
      <c r="E3724">
        <v>1.0678848816296</v>
      </c>
      <c r="F3724">
        <v>0.94083048509920797</v>
      </c>
      <c r="G3724">
        <v>0.78670145581536</v>
      </c>
      <c r="H3724">
        <v>0.83231750045319897</v>
      </c>
      <c r="I3724">
        <v>0.91872104511153296</v>
      </c>
      <c r="J3724">
        <v>1.0074303115821901</v>
      </c>
      <c r="K3724">
        <v>0.77696773528943497</v>
      </c>
      <c r="L3724">
        <v>13263.547631257599</v>
      </c>
      <c r="M3724">
        <v>250</v>
      </c>
      <c r="O3724">
        <v>53.0507952620382</v>
      </c>
      <c r="P3724">
        <v>-0.15972002858845999</v>
      </c>
      <c r="Q3724">
        <v>0.86442760720970502</v>
      </c>
      <c r="R3724">
        <v>0.55912866272764195</v>
      </c>
      <c r="S3724" t="s">
        <v>10340</v>
      </c>
      <c r="T3724" t="s">
        <v>13232</v>
      </c>
      <c r="U3724" t="s">
        <v>13232</v>
      </c>
      <c r="V3724" t="s">
        <v>13232</v>
      </c>
      <c r="W3724" t="s">
        <v>16894</v>
      </c>
      <c r="X3724">
        <v>12</v>
      </c>
      <c r="Y3724" t="s">
        <v>23322</v>
      </c>
      <c r="Z3724" t="s">
        <v>29855</v>
      </c>
      <c r="AA3724">
        <v>0.9234331584380302</v>
      </c>
      <c r="AB3724" t="str">
        <f>HYPERLINK("Melting_Curves/meltCurve_Q5TGY3_AHDC1.pdf", "Melting_Curves/meltCurve_Q5TGY3_AHDC1.pdf")</f>
        <v>Melting_Curves/meltCurve_Q5TGY3_AHDC1.pdf</v>
      </c>
    </row>
    <row r="3725" spans="1:28" x14ac:dyDescent="0.25">
      <c r="A3725" t="s">
        <v>3728</v>
      </c>
      <c r="B3725">
        <v>0.99930955844802105</v>
      </c>
      <c r="C3725">
        <v>1.1315279855631899</v>
      </c>
      <c r="D3725">
        <v>1.10424684338825</v>
      </c>
      <c r="E3725">
        <v>0.97678111715917404</v>
      </c>
      <c r="F3725">
        <v>0.84340122549785401</v>
      </c>
      <c r="G3725">
        <v>0.672761196692237</v>
      </c>
      <c r="H3725">
        <v>0.59443444416608804</v>
      </c>
      <c r="I3725">
        <v>0.57842938392134802</v>
      </c>
      <c r="J3725">
        <v>0.605864099543859</v>
      </c>
      <c r="K3725">
        <v>0.49161973937646902</v>
      </c>
      <c r="L3725">
        <v>1425.2211657185801</v>
      </c>
      <c r="M3725">
        <v>26.103795240886399</v>
      </c>
      <c r="O3725">
        <v>54.280849592594898</v>
      </c>
      <c r="P3725">
        <v>-5.3250247807296203E-2</v>
      </c>
      <c r="Q3725">
        <v>0.55708584131261596</v>
      </c>
      <c r="R3725">
        <v>0.92963905231737498</v>
      </c>
      <c r="S3725" t="s">
        <v>10341</v>
      </c>
      <c r="T3725" t="s">
        <v>13232</v>
      </c>
      <c r="U3725" t="s">
        <v>13232</v>
      </c>
      <c r="V3725" t="s">
        <v>13232</v>
      </c>
      <c r="W3725" t="s">
        <v>16895</v>
      </c>
      <c r="X3725">
        <v>18</v>
      </c>
      <c r="Y3725" t="s">
        <v>23323</v>
      </c>
      <c r="Z3725" t="s">
        <v>29856</v>
      </c>
      <c r="AA3725">
        <v>0.77640586633158171</v>
      </c>
      <c r="AB3725" t="str">
        <f>HYPERLINK("Melting_Curves/meltCurve_Q5THJ1_PRDM2.pdf", "Melting_Curves/meltCurve_Q5THJ1_PRDM2.pdf")</f>
        <v>Melting_Curves/meltCurve_Q5THJ1_PRDM2.pdf</v>
      </c>
    </row>
    <row r="3726" spans="1:28" x14ac:dyDescent="0.25">
      <c r="A3726" t="s">
        <v>3729</v>
      </c>
      <c r="B3726">
        <v>0.99930955844802105</v>
      </c>
      <c r="C3726">
        <v>0.888593457679278</v>
      </c>
      <c r="D3726">
        <v>0.85930831795181595</v>
      </c>
      <c r="E3726">
        <v>0.70339657553320301</v>
      </c>
      <c r="F3726">
        <v>0.23647729208109</v>
      </c>
      <c r="G3726">
        <v>0.10634601842003</v>
      </c>
      <c r="H3726">
        <v>3.9743255999675403E-2</v>
      </c>
      <c r="I3726">
        <v>2.8871239506535501E-2</v>
      </c>
      <c r="J3726">
        <v>2.0802225301504201E-2</v>
      </c>
      <c r="K3726">
        <v>2.12333065936605E-2</v>
      </c>
      <c r="L3726">
        <v>1254.5724605631599</v>
      </c>
      <c r="M3726">
        <v>24.588235949994999</v>
      </c>
      <c r="N3726">
        <v>51.104008440076903</v>
      </c>
      <c r="O3726">
        <v>50.689379188759901</v>
      </c>
      <c r="P3726">
        <v>-0.118960965301475</v>
      </c>
      <c r="Q3726">
        <v>1.9047836276188501E-2</v>
      </c>
      <c r="R3726">
        <v>0.98332571368196697</v>
      </c>
      <c r="S3726" t="s">
        <v>10342</v>
      </c>
      <c r="T3726" t="s">
        <v>13232</v>
      </c>
      <c r="U3726" t="s">
        <v>13232</v>
      </c>
      <c r="V3726" t="s">
        <v>13232</v>
      </c>
      <c r="W3726" t="s">
        <v>16896</v>
      </c>
      <c r="X3726">
        <v>5</v>
      </c>
      <c r="Y3726" t="s">
        <v>23324</v>
      </c>
      <c r="Z3726" t="s">
        <v>29857</v>
      </c>
      <c r="AA3726">
        <v>0.38864956600302658</v>
      </c>
      <c r="AB3726" t="str">
        <f>HYPERLINK("Melting_Curves/meltCurve_Q5THJ4_2_VPS13D.pdf", "Melting_Curves/meltCurve_Q5THJ4_2_VPS13D.pdf")</f>
        <v>Melting_Curves/meltCurve_Q5THJ4_2_VPS13D.pdf</v>
      </c>
    </row>
    <row r="3727" spans="1:28" x14ac:dyDescent="0.25">
      <c r="A3727" t="s">
        <v>3730</v>
      </c>
      <c r="B3727">
        <v>0.99930955844802105</v>
      </c>
      <c r="C3727">
        <v>1.0139098239406299</v>
      </c>
      <c r="D3727">
        <v>1.05018769641646</v>
      </c>
      <c r="E3727">
        <v>1.0002236549776999</v>
      </c>
      <c r="F3727">
        <v>0.89561182109397697</v>
      </c>
      <c r="G3727">
        <v>0.76692222574621105</v>
      </c>
      <c r="H3727">
        <v>0.77123224147695801</v>
      </c>
      <c r="I3727">
        <v>0.81167291843543898</v>
      </c>
      <c r="J3727">
        <v>0.81734283575833</v>
      </c>
      <c r="K3727">
        <v>0.634290892016662</v>
      </c>
      <c r="L3727">
        <v>3337.5880732076498</v>
      </c>
      <c r="M3727">
        <v>62.698351014133401</v>
      </c>
      <c r="O3727">
        <v>53.178400210153399</v>
      </c>
      <c r="P3727">
        <v>-7.0895070011062197E-2</v>
      </c>
      <c r="Q3727">
        <v>0.75947789830330004</v>
      </c>
      <c r="R3727">
        <v>0.85450206421734798</v>
      </c>
      <c r="S3727" t="s">
        <v>10343</v>
      </c>
      <c r="T3727" t="s">
        <v>13232</v>
      </c>
      <c r="U3727" t="s">
        <v>13232</v>
      </c>
      <c r="V3727" t="s">
        <v>13232</v>
      </c>
      <c r="W3727" t="s">
        <v>16897</v>
      </c>
      <c r="X3727">
        <v>20</v>
      </c>
      <c r="Y3727" t="s">
        <v>23325</v>
      </c>
      <c r="Z3727" t="s">
        <v>29858</v>
      </c>
      <c r="AA3727">
        <v>0.86592637926406335</v>
      </c>
      <c r="AB3727" t="str">
        <f>HYPERLINK("Melting_Curves/meltCurve_Q5THK1_PRR14L.pdf", "Melting_Curves/meltCurve_Q5THK1_PRR14L.pdf")</f>
        <v>Melting_Curves/meltCurve_Q5THK1_PRR14L.pdf</v>
      </c>
    </row>
    <row r="3728" spans="1:28" x14ac:dyDescent="0.25">
      <c r="A3728" t="s">
        <v>3731</v>
      </c>
      <c r="B3728">
        <v>0.99930955844802105</v>
      </c>
      <c r="C3728">
        <v>1.0357913266632</v>
      </c>
      <c r="D3728">
        <v>1.0132055279204499</v>
      </c>
      <c r="E3728">
        <v>0.93840701415056404</v>
      </c>
      <c r="F3728">
        <v>0.74447556275030602</v>
      </c>
      <c r="G3728">
        <v>0.52170411873132605</v>
      </c>
      <c r="H3728">
        <v>0.44935609012279598</v>
      </c>
      <c r="I3728">
        <v>0.45493205401947101</v>
      </c>
      <c r="J3728">
        <v>0.43003140939712697</v>
      </c>
      <c r="K3728">
        <v>0.35737446246278998</v>
      </c>
      <c r="L3728">
        <v>1385.02997762729</v>
      </c>
      <c r="M3728">
        <v>25.7845534801864</v>
      </c>
      <c r="N3728">
        <v>57.600313056362701</v>
      </c>
      <c r="O3728">
        <v>53.395536340149299</v>
      </c>
      <c r="P3728">
        <v>-7.0968206127846198E-2</v>
      </c>
      <c r="Q3728">
        <v>0.41215361867691702</v>
      </c>
      <c r="R3728">
        <v>0.99041054478965196</v>
      </c>
      <c r="S3728" t="s">
        <v>10344</v>
      </c>
      <c r="T3728" t="s">
        <v>13232</v>
      </c>
      <c r="U3728" t="s">
        <v>13232</v>
      </c>
      <c r="V3728" t="s">
        <v>13232</v>
      </c>
      <c r="W3728" t="s">
        <v>16898</v>
      </c>
      <c r="X3728">
        <v>15</v>
      </c>
      <c r="Y3728" t="s">
        <v>19849</v>
      </c>
      <c r="Z3728" t="s">
        <v>29859</v>
      </c>
      <c r="AA3728">
        <v>0.68603967947991629</v>
      </c>
      <c r="AB3728" t="str">
        <f>HYPERLINK("Melting_Curves/meltCurve_Q5TZA2_CROCC.pdf", "Melting_Curves/meltCurve_Q5TZA2_CROCC.pdf")</f>
        <v>Melting_Curves/meltCurve_Q5TZA2_CROCC.pdf</v>
      </c>
    </row>
    <row r="3729" spans="1:28" x14ac:dyDescent="0.25">
      <c r="A3729" t="s">
        <v>3732</v>
      </c>
      <c r="B3729">
        <v>0.99930955844802105</v>
      </c>
      <c r="C3729">
        <v>1.0322401600350799</v>
      </c>
      <c r="D3729">
        <v>0.90842636578325697</v>
      </c>
      <c r="E3729">
        <v>0.91257242020246998</v>
      </c>
      <c r="F3729">
        <v>0.81652586416397099</v>
      </c>
      <c r="G3729">
        <v>0.71049955129723197</v>
      </c>
      <c r="H3729">
        <v>0.63090286804155205</v>
      </c>
      <c r="I3729">
        <v>0.33349888731743199</v>
      </c>
      <c r="J3729">
        <v>0.72932067304410697</v>
      </c>
      <c r="K3729">
        <v>0.457494816179706</v>
      </c>
      <c r="L3729">
        <v>786.61559844562805</v>
      </c>
      <c r="M3729">
        <v>14.2490523418872</v>
      </c>
      <c r="O3729">
        <v>54.151590348436201</v>
      </c>
      <c r="P3729">
        <v>-3.3918342092706902E-2</v>
      </c>
      <c r="Q3729">
        <v>0.48445545323232603</v>
      </c>
      <c r="R3729">
        <v>0.790200972955582</v>
      </c>
      <c r="S3729" t="s">
        <v>10345</v>
      </c>
      <c r="T3729" t="s">
        <v>13232</v>
      </c>
      <c r="U3729" t="s">
        <v>13232</v>
      </c>
      <c r="V3729" t="s">
        <v>13232</v>
      </c>
      <c r="W3729" t="s">
        <v>16899</v>
      </c>
      <c r="X3729">
        <v>4</v>
      </c>
      <c r="Y3729" t="s">
        <v>23326</v>
      </c>
      <c r="Z3729" t="s">
        <v>29860</v>
      </c>
      <c r="AA3729">
        <v>0.75604397006248714</v>
      </c>
      <c r="AB3729" t="str">
        <f>HYPERLINK("Melting_Curves/meltCurve_Q5U5Q3_MEX3C.pdf", "Melting_Curves/meltCurve_Q5U5Q3_MEX3C.pdf")</f>
        <v>Melting_Curves/meltCurve_Q5U5Q3_MEX3C.pdf</v>
      </c>
    </row>
    <row r="3730" spans="1:28" x14ac:dyDescent="0.25">
      <c r="A3730" t="s">
        <v>3733</v>
      </c>
      <c r="B3730">
        <v>0.99930955844802105</v>
      </c>
      <c r="C3730">
        <v>0.94305031530474004</v>
      </c>
      <c r="D3730">
        <v>0.93605165359666798</v>
      </c>
      <c r="E3730">
        <v>0.62831761355520899</v>
      </c>
      <c r="F3730">
        <v>0.342462856998204</v>
      </c>
      <c r="G3730">
        <v>0.240517462733259</v>
      </c>
      <c r="H3730">
        <v>0.15584423958634899</v>
      </c>
      <c r="I3730">
        <v>0.164603856619015</v>
      </c>
      <c r="J3730">
        <v>0.14767063188594901</v>
      </c>
      <c r="K3730">
        <v>0.10581665590592799</v>
      </c>
      <c r="L3730">
        <v>1127.4886563679099</v>
      </c>
      <c r="M3730">
        <v>22.299066434784699</v>
      </c>
      <c r="N3730">
        <v>51.3194554294206</v>
      </c>
      <c r="O3730">
        <v>50.160781236359298</v>
      </c>
      <c r="P3730">
        <v>-9.5558032425489298E-2</v>
      </c>
      <c r="Q3730">
        <v>0.14020362884774901</v>
      </c>
      <c r="R3730">
        <v>0.99543069101621695</v>
      </c>
      <c r="S3730" t="s">
        <v>10346</v>
      </c>
      <c r="T3730" t="s">
        <v>13232</v>
      </c>
      <c r="U3730" t="s">
        <v>13232</v>
      </c>
      <c r="V3730" t="s">
        <v>13232</v>
      </c>
      <c r="W3730" t="s">
        <v>16900</v>
      </c>
      <c r="X3730">
        <v>4</v>
      </c>
      <c r="Y3730" t="s">
        <v>23327</v>
      </c>
      <c r="Z3730" t="s">
        <v>29861</v>
      </c>
      <c r="AA3730">
        <v>0.45259755514907563</v>
      </c>
      <c r="AB3730" t="str">
        <f>HYPERLINK("Melting_Curves/meltCurve_Q5U5X0_LYRM7.pdf", "Melting_Curves/meltCurve_Q5U5X0_LYRM7.pdf")</f>
        <v>Melting_Curves/meltCurve_Q5U5X0_LYRM7.pdf</v>
      </c>
    </row>
    <row r="3731" spans="1:28" x14ac:dyDescent="0.25">
      <c r="A3731" t="s">
        <v>3734</v>
      </c>
      <c r="B3731">
        <v>0.99930955844802105</v>
      </c>
      <c r="C3731">
        <v>1.14481545137359</v>
      </c>
      <c r="D3731">
        <v>1.04578068040613</v>
      </c>
      <c r="E3731">
        <v>0.95001834220347103</v>
      </c>
      <c r="F3731">
        <v>0.793493336107845</v>
      </c>
      <c r="G3731">
        <v>0.72147207699797999</v>
      </c>
      <c r="H3731">
        <v>0.68929055516692594</v>
      </c>
      <c r="I3731">
        <v>0.73338709891918497</v>
      </c>
      <c r="J3731">
        <v>0.63579174613046496</v>
      </c>
      <c r="K3731">
        <v>0.52574150908047901</v>
      </c>
      <c r="L3731">
        <v>1063.93509406569</v>
      </c>
      <c r="M3731">
        <v>19.798884976375501</v>
      </c>
      <c r="O3731">
        <v>53.1979254576855</v>
      </c>
      <c r="P3731">
        <v>-3.4656029082966298E-2</v>
      </c>
      <c r="Q3731">
        <v>0.62754137441283897</v>
      </c>
      <c r="R3731">
        <v>0.86734541819444799</v>
      </c>
      <c r="S3731" t="s">
        <v>10347</v>
      </c>
      <c r="T3731" t="s">
        <v>13232</v>
      </c>
      <c r="U3731" t="s">
        <v>13232</v>
      </c>
      <c r="V3731" t="s">
        <v>13232</v>
      </c>
      <c r="W3731" t="s">
        <v>16901</v>
      </c>
      <c r="X3731">
        <v>4</v>
      </c>
      <c r="Y3731" t="s">
        <v>23328</v>
      </c>
      <c r="Z3731" t="s">
        <v>29862</v>
      </c>
      <c r="AA3731">
        <v>0.80325785497762126</v>
      </c>
      <c r="AB3731" t="str">
        <f>HYPERLINK("Melting_Curves/meltCurve_Q5U623_ATF7IP2.pdf", "Melting_Curves/meltCurve_Q5U623_ATF7IP2.pdf")</f>
        <v>Melting_Curves/meltCurve_Q5U623_ATF7IP2.pdf</v>
      </c>
    </row>
    <row r="3732" spans="1:28" x14ac:dyDescent="0.25">
      <c r="A3732" t="s">
        <v>3735</v>
      </c>
      <c r="B3732">
        <v>0.99930955844802105</v>
      </c>
      <c r="C3732">
        <v>1.05590894409949</v>
      </c>
      <c r="D3732">
        <v>0.89289415122999405</v>
      </c>
      <c r="E3732">
        <v>0.79972500664449497</v>
      </c>
      <c r="F3732">
        <v>0.71347089084334803</v>
      </c>
      <c r="G3732">
        <v>0.66666087765083804</v>
      </c>
      <c r="H3732">
        <v>0.69802959397787101</v>
      </c>
      <c r="I3732">
        <v>0.74703264266553104</v>
      </c>
      <c r="J3732">
        <v>0.72130894613058805</v>
      </c>
      <c r="K3732">
        <v>0.569833526161452</v>
      </c>
      <c r="L3732">
        <v>1138.82187336738</v>
      </c>
      <c r="M3732">
        <v>23.506281954637501</v>
      </c>
      <c r="O3732">
        <v>48.101005285476198</v>
      </c>
      <c r="P3732">
        <v>-3.9252854694759601E-2</v>
      </c>
      <c r="Q3732">
        <v>0.67871237907405402</v>
      </c>
      <c r="R3732">
        <v>0.87851493018707205</v>
      </c>
      <c r="S3732" t="s">
        <v>10348</v>
      </c>
      <c r="T3732" t="s">
        <v>13232</v>
      </c>
      <c r="U3732" t="s">
        <v>13232</v>
      </c>
      <c r="V3732" t="s">
        <v>13232</v>
      </c>
      <c r="W3732" t="s">
        <v>16902</v>
      </c>
      <c r="X3732">
        <v>71</v>
      </c>
      <c r="Y3732" t="s">
        <v>23329</v>
      </c>
      <c r="Z3732" t="s">
        <v>29863</v>
      </c>
      <c r="AA3732">
        <v>0.77241341906641403</v>
      </c>
      <c r="AB3732" t="str">
        <f>HYPERLINK("Melting_Curves/meltCurve_Q5UIP0_2_RIF1.pdf", "Melting_Curves/meltCurve_Q5UIP0_2_RIF1.pdf")</f>
        <v>Melting_Curves/meltCurve_Q5UIP0_2_RIF1.pdf</v>
      </c>
    </row>
    <row r="3733" spans="1:28" x14ac:dyDescent="0.25">
      <c r="A3733" t="s">
        <v>3736</v>
      </c>
      <c r="B3733">
        <v>0.99930955844802105</v>
      </c>
      <c r="C3733">
        <v>0.841201689000733</v>
      </c>
      <c r="D3733">
        <v>0.80999452969000296</v>
      </c>
      <c r="E3733">
        <v>0.56087568261445597</v>
      </c>
      <c r="F3733">
        <v>0.19648395627125201</v>
      </c>
      <c r="G3733">
        <v>0.12678280108809301</v>
      </c>
      <c r="H3733">
        <v>6.3286108210358197E-2</v>
      </c>
      <c r="I3733">
        <v>5.2671151860505902E-2</v>
      </c>
      <c r="J3733">
        <v>4.2667219924904597E-2</v>
      </c>
      <c r="K3733">
        <v>3.4232119893779403E-2</v>
      </c>
      <c r="L3733">
        <v>838.02696245575601</v>
      </c>
      <c r="M3733">
        <v>16.8606314054351</v>
      </c>
      <c r="N3733">
        <v>49.837351570699298</v>
      </c>
      <c r="O3733">
        <v>49.019794698483302</v>
      </c>
      <c r="P3733">
        <v>-8.4086257578106005E-2</v>
      </c>
      <c r="Q3733">
        <v>2.21889355426102E-2</v>
      </c>
      <c r="R3733">
        <v>0.98411138988156699</v>
      </c>
      <c r="S3733" t="s">
        <v>10349</v>
      </c>
      <c r="T3733" t="s">
        <v>13232</v>
      </c>
      <c r="U3733" t="s">
        <v>13232</v>
      </c>
      <c r="V3733" t="s">
        <v>13232</v>
      </c>
      <c r="W3733" t="s">
        <v>16903</v>
      </c>
      <c r="X3733">
        <v>16</v>
      </c>
      <c r="Y3733" t="s">
        <v>23330</v>
      </c>
      <c r="Z3733" t="s">
        <v>29864</v>
      </c>
      <c r="AA3733">
        <v>0.3574196709519159</v>
      </c>
      <c r="AB3733" t="str">
        <f>HYPERLINK("Melting_Curves/meltCurve_Q5VIR6_4_VPS53.pdf", "Melting_Curves/meltCurve_Q5VIR6_4_VPS53.pdf")</f>
        <v>Melting_Curves/meltCurve_Q5VIR6_4_VPS53.pdf</v>
      </c>
    </row>
    <row r="3734" spans="1:28" x14ac:dyDescent="0.25">
      <c r="A3734" t="s">
        <v>3737</v>
      </c>
      <c r="B3734">
        <v>0.99930955844802105</v>
      </c>
      <c r="C3734">
        <v>0.97144536985694996</v>
      </c>
      <c r="D3734">
        <v>0.80584647157717504</v>
      </c>
      <c r="E3734">
        <v>0.60280574335397996</v>
      </c>
      <c r="F3734">
        <v>0.45639870508281999</v>
      </c>
      <c r="G3734">
        <v>0.25062404907937502</v>
      </c>
      <c r="H3734">
        <v>0.116303743908202</v>
      </c>
      <c r="I3734">
        <v>0.102831396179714</v>
      </c>
      <c r="J3734">
        <v>7.8722253079500704E-2</v>
      </c>
      <c r="K3734">
        <v>6.3308474265756406E-2</v>
      </c>
      <c r="L3734">
        <v>676.12700999587003</v>
      </c>
      <c r="M3734">
        <v>13.1005246403715</v>
      </c>
      <c r="N3734">
        <v>51.840296249866803</v>
      </c>
      <c r="O3734">
        <v>50.452531810324601</v>
      </c>
      <c r="P3734">
        <v>-6.3096145411862203E-2</v>
      </c>
      <c r="Q3734">
        <v>2.8187131234499101E-2</v>
      </c>
      <c r="R3734">
        <v>0.99679481213985999</v>
      </c>
      <c r="S3734" t="s">
        <v>10350</v>
      </c>
      <c r="T3734" t="s">
        <v>13232</v>
      </c>
      <c r="U3734" t="s">
        <v>13232</v>
      </c>
      <c r="V3734" t="s">
        <v>13232</v>
      </c>
      <c r="W3734" t="s">
        <v>16904</v>
      </c>
      <c r="X3734">
        <v>13</v>
      </c>
      <c r="Y3734" t="s">
        <v>23331</v>
      </c>
      <c r="Z3734" t="s">
        <v>29865</v>
      </c>
      <c r="AA3734">
        <v>0.43130625769246139</v>
      </c>
      <c r="AB3734" t="str">
        <f>HYPERLINK("Melting_Curves/meltCurve_Q5VSL9_STRIP1.pdf", "Melting_Curves/meltCurve_Q5VSL9_STRIP1.pdf")</f>
        <v>Melting_Curves/meltCurve_Q5VSL9_STRIP1.pdf</v>
      </c>
    </row>
    <row r="3735" spans="1:28" x14ac:dyDescent="0.25">
      <c r="A3735" t="s">
        <v>3738</v>
      </c>
      <c r="B3735">
        <v>0.99930955844802105</v>
      </c>
      <c r="C3735">
        <v>1.28520548043681</v>
      </c>
      <c r="D3735">
        <v>1.3931963881176701</v>
      </c>
      <c r="E3735">
        <v>1.0727269194991</v>
      </c>
      <c r="F3735">
        <v>1.27285118326221</v>
      </c>
      <c r="G3735">
        <v>1.3652212824933401</v>
      </c>
      <c r="H3735">
        <v>1.36086135670035</v>
      </c>
      <c r="I3735">
        <v>1.47254207608793</v>
      </c>
      <c r="J3735">
        <v>1.3766991749175299</v>
      </c>
      <c r="K3735">
        <v>1.3321508284978201</v>
      </c>
      <c r="L3735">
        <v>304.03802679737998</v>
      </c>
      <c r="M3735">
        <v>6.7598486632716597</v>
      </c>
      <c r="O3735">
        <v>41.532449224278899</v>
      </c>
      <c r="P3735">
        <v>1.7096587745354001E-2</v>
      </c>
      <c r="Q3735">
        <v>1.4192817469029</v>
      </c>
      <c r="R3735">
        <v>0.41850281898319602</v>
      </c>
      <c r="S3735" t="s">
        <v>10351</v>
      </c>
      <c r="T3735" t="s">
        <v>13232</v>
      </c>
      <c r="U3735" t="s">
        <v>13232</v>
      </c>
      <c r="V3735" t="s">
        <v>13232</v>
      </c>
      <c r="W3735" t="s">
        <v>16905</v>
      </c>
      <c r="X3735">
        <v>2</v>
      </c>
      <c r="Y3735" t="s">
        <v>23332</v>
      </c>
      <c r="Z3735" t="s">
        <v>29866</v>
      </c>
      <c r="AA3735">
        <v>1.3002630843839791</v>
      </c>
      <c r="AB3735" t="str">
        <f>HYPERLINK("Melting_Curves/meltCurve_Q5VSY0_2_GKAP1.pdf", "Melting_Curves/meltCurve_Q5VSY0_2_GKAP1.pdf")</f>
        <v>Melting_Curves/meltCurve_Q5VSY0_2_GKAP1.pdf</v>
      </c>
    </row>
    <row r="3736" spans="1:28" x14ac:dyDescent="0.25">
      <c r="A3736" t="s">
        <v>3739</v>
      </c>
      <c r="B3736">
        <v>0.99930955844802105</v>
      </c>
      <c r="C3736">
        <v>1.05123149458816</v>
      </c>
      <c r="D3736">
        <v>1.0233199304120999</v>
      </c>
      <c r="E3736">
        <v>0.94987953581600904</v>
      </c>
      <c r="F3736">
        <v>0.84729496938879301</v>
      </c>
      <c r="G3736">
        <v>0.74022917441792502</v>
      </c>
      <c r="H3736">
        <v>0.73565890769625097</v>
      </c>
      <c r="I3736">
        <v>0.81547438216291801</v>
      </c>
      <c r="J3736">
        <v>0.82398591477304395</v>
      </c>
      <c r="K3736">
        <v>0.65086814324234199</v>
      </c>
      <c r="L3736">
        <v>1984.87367993624</v>
      </c>
      <c r="M3736">
        <v>38.068157581226899</v>
      </c>
      <c r="O3736">
        <v>51.996729914183902</v>
      </c>
      <c r="P3736">
        <v>-4.5373516939228697E-2</v>
      </c>
      <c r="Q3736">
        <v>0.752100523142049</v>
      </c>
      <c r="R3736">
        <v>0.85939928902832796</v>
      </c>
      <c r="S3736" t="s">
        <v>10352</v>
      </c>
      <c r="T3736" t="s">
        <v>13232</v>
      </c>
      <c r="U3736" t="s">
        <v>13232</v>
      </c>
      <c r="V3736" t="s">
        <v>13232</v>
      </c>
      <c r="W3736" t="s">
        <v>16906</v>
      </c>
      <c r="X3736">
        <v>38</v>
      </c>
      <c r="Y3736" t="s">
        <v>23333</v>
      </c>
      <c r="Z3736" t="s">
        <v>29867</v>
      </c>
      <c r="AA3736">
        <v>0.85340352339205339</v>
      </c>
      <c r="AB3736" t="str">
        <f>HYPERLINK("Melting_Curves/meltCurve_Q5VT06_CEP350.pdf", "Melting_Curves/meltCurve_Q5VT06_CEP350.pdf")</f>
        <v>Melting_Curves/meltCurve_Q5VT06_CEP350.pdf</v>
      </c>
    </row>
    <row r="3737" spans="1:28" x14ac:dyDescent="0.25">
      <c r="A3737" t="s">
        <v>3740</v>
      </c>
      <c r="B3737">
        <v>0.99930955844802105</v>
      </c>
      <c r="C3737">
        <v>0.73043414457135403</v>
      </c>
      <c r="D3737">
        <v>0.59077252437005401</v>
      </c>
      <c r="E3737">
        <v>0.46828998312342401</v>
      </c>
      <c r="F3737">
        <v>0.375749089297226</v>
      </c>
      <c r="G3737">
        <v>0.23016851853104101</v>
      </c>
      <c r="H3737">
        <v>0.14333198497278399</v>
      </c>
      <c r="I3737">
        <v>0.13102912251031101</v>
      </c>
      <c r="J3737">
        <v>0.124472564714547</v>
      </c>
      <c r="K3737">
        <v>9.5039229706683007E-2</v>
      </c>
      <c r="L3737">
        <v>475.37883699573399</v>
      </c>
      <c r="M3737">
        <v>9.8496223668673899</v>
      </c>
      <c r="N3737">
        <v>48.885461089517896</v>
      </c>
      <c r="O3737">
        <v>46.400477964958597</v>
      </c>
      <c r="P3737">
        <v>-4.99698342933656E-2</v>
      </c>
      <c r="Q3737">
        <v>5.88756493747353E-2</v>
      </c>
      <c r="R3737">
        <v>0.97615233220014797</v>
      </c>
      <c r="S3737" t="s">
        <v>10353</v>
      </c>
      <c r="T3737" t="s">
        <v>13232</v>
      </c>
      <c r="U3737" t="s">
        <v>13232</v>
      </c>
      <c r="V3737" t="s">
        <v>13232</v>
      </c>
      <c r="W3737" t="s">
        <v>16907</v>
      </c>
      <c r="X3737">
        <v>31</v>
      </c>
      <c r="Y3737" t="s">
        <v>23334</v>
      </c>
      <c r="Z3737" t="s">
        <v>29868</v>
      </c>
      <c r="AA3737">
        <v>0.36807104931908341</v>
      </c>
      <c r="AB3737" t="str">
        <f>HYPERLINK("Melting_Curves/meltCurve_Q5VT25_4_CDC42BPA.pdf", "Melting_Curves/meltCurve_Q5VT25_4_CDC42BPA.pdf")</f>
        <v>Melting_Curves/meltCurve_Q5VT25_4_CDC42BPA.pdf</v>
      </c>
    </row>
    <row r="3738" spans="1:28" x14ac:dyDescent="0.25">
      <c r="A3738" t="s">
        <v>3741</v>
      </c>
      <c r="B3738">
        <v>0.99930955844802105</v>
      </c>
      <c r="C3738">
        <v>1.0590218092347801</v>
      </c>
      <c r="D3738">
        <v>1.0119087250679299</v>
      </c>
      <c r="E3738">
        <v>0.90722409139587601</v>
      </c>
      <c r="F3738">
        <v>0.76026432689384504</v>
      </c>
      <c r="G3738">
        <v>0.68280807497593399</v>
      </c>
      <c r="H3738">
        <v>0.67575011111577199</v>
      </c>
      <c r="I3738">
        <v>0.73506836712109802</v>
      </c>
      <c r="J3738">
        <v>0.68896313994951697</v>
      </c>
      <c r="K3738">
        <v>0.588745540632859</v>
      </c>
      <c r="L3738">
        <v>1776.18210010455</v>
      </c>
      <c r="M3738">
        <v>34.5349331850962</v>
      </c>
      <c r="O3738">
        <v>51.259926933285001</v>
      </c>
      <c r="P3738">
        <v>-5.52812143660339E-2</v>
      </c>
      <c r="Q3738">
        <v>0.67178735222852604</v>
      </c>
      <c r="R3738">
        <v>0.94093336216200896</v>
      </c>
      <c r="S3738" t="s">
        <v>10354</v>
      </c>
      <c r="T3738" t="s">
        <v>13232</v>
      </c>
      <c r="U3738" t="s">
        <v>13232</v>
      </c>
      <c r="V3738" t="s">
        <v>13232</v>
      </c>
      <c r="W3738" t="s">
        <v>16908</v>
      </c>
      <c r="X3738">
        <v>35</v>
      </c>
      <c r="Y3738" t="s">
        <v>23335</v>
      </c>
      <c r="Z3738" t="s">
        <v>29869</v>
      </c>
      <c r="AA3738">
        <v>0.79841998945073578</v>
      </c>
      <c r="AB3738" t="str">
        <f>HYPERLINK("Melting_Curves/meltCurve_Q5VT52_RPRD2.pdf", "Melting_Curves/meltCurve_Q5VT52_RPRD2.pdf")</f>
        <v>Melting_Curves/meltCurve_Q5VT52_RPRD2.pdf</v>
      </c>
    </row>
    <row r="3739" spans="1:28" x14ac:dyDescent="0.25">
      <c r="A3739" t="s">
        <v>3742</v>
      </c>
      <c r="B3739">
        <v>0.99930955844802105</v>
      </c>
      <c r="C3739">
        <v>1.18751053375951</v>
      </c>
      <c r="D3739">
        <v>1.14446648316505</v>
      </c>
      <c r="E3739">
        <v>1.10694849527076</v>
      </c>
      <c r="F3739">
        <v>0.94259554799377299</v>
      </c>
      <c r="G3739">
        <v>0.70931014220747002</v>
      </c>
      <c r="H3739">
        <v>0.63246903646984998</v>
      </c>
      <c r="I3739">
        <v>0.662973811299574</v>
      </c>
      <c r="J3739">
        <v>0.59738278903261199</v>
      </c>
      <c r="K3739">
        <v>0.48947993629639802</v>
      </c>
      <c r="L3739">
        <v>2113.5225765458099</v>
      </c>
      <c r="M3739">
        <v>37.8540025411383</v>
      </c>
      <c r="O3739">
        <v>55.6783946160363</v>
      </c>
      <c r="P3739">
        <v>-6.9919068906035206E-2</v>
      </c>
      <c r="Q3739">
        <v>0.58863306051488795</v>
      </c>
      <c r="R3739">
        <v>0.85755987074707196</v>
      </c>
      <c r="S3739" t="s">
        <v>10355</v>
      </c>
      <c r="T3739" t="s">
        <v>13232</v>
      </c>
      <c r="U3739" t="s">
        <v>13232</v>
      </c>
      <c r="V3739" t="s">
        <v>13232</v>
      </c>
      <c r="W3739" t="s">
        <v>16909</v>
      </c>
      <c r="X3739">
        <v>2</v>
      </c>
      <c r="Y3739" t="s">
        <v>23336</v>
      </c>
      <c r="Z3739" t="s">
        <v>29870</v>
      </c>
      <c r="AA3739">
        <v>0.80750510142329524</v>
      </c>
      <c r="AB3739" t="str">
        <f>HYPERLINK("Melting_Curves/meltCurve_Q5VTD9_2_GFI1B.pdf", "Melting_Curves/meltCurve_Q5VTD9_2_GFI1B.pdf")</f>
        <v>Melting_Curves/meltCurve_Q5VTD9_2_GFI1B.pdf</v>
      </c>
    </row>
    <row r="3740" spans="1:28" x14ac:dyDescent="0.25">
      <c r="A3740" t="s">
        <v>3743</v>
      </c>
      <c r="B3740">
        <v>0.99930955844802105</v>
      </c>
      <c r="C3740">
        <v>0.91638437095694902</v>
      </c>
      <c r="D3740">
        <v>0.95183652097711102</v>
      </c>
      <c r="E3740">
        <v>0.95872474293558296</v>
      </c>
      <c r="F3740">
        <v>0.59620011086831204</v>
      </c>
      <c r="G3740">
        <v>0.33612160916874601</v>
      </c>
      <c r="H3740">
        <v>0.44706373558271001</v>
      </c>
      <c r="I3740">
        <v>0.375415328463654</v>
      </c>
      <c r="J3740">
        <v>0.51565929345836803</v>
      </c>
      <c r="K3740">
        <v>0.31940391757041098</v>
      </c>
      <c r="L3740">
        <v>3208.75606155783</v>
      </c>
      <c r="M3740">
        <v>61.2885112115057</v>
      </c>
      <c r="N3740">
        <v>53.753080914909297</v>
      </c>
      <c r="O3740">
        <v>52.299278955516797</v>
      </c>
      <c r="P3740">
        <v>-0.17623361329444401</v>
      </c>
      <c r="Q3740">
        <v>0.39845900138808998</v>
      </c>
      <c r="R3740">
        <v>0.94933332190092001</v>
      </c>
      <c r="S3740" t="s">
        <v>10356</v>
      </c>
      <c r="T3740" t="s">
        <v>13232</v>
      </c>
      <c r="U3740" t="s">
        <v>13232</v>
      </c>
      <c r="V3740" t="s">
        <v>13232</v>
      </c>
      <c r="W3740" t="s">
        <v>16910</v>
      </c>
      <c r="X3740">
        <v>11</v>
      </c>
      <c r="Y3740" t="s">
        <v>23337</v>
      </c>
      <c r="Z3740" t="s">
        <v>29871</v>
      </c>
      <c r="AA3740">
        <v>0.6471151874436496</v>
      </c>
      <c r="AB3740" t="str">
        <f>HYPERLINK("Melting_Curves/meltCurve_Q5VTL8_PRPF38B.pdf", "Melting_Curves/meltCurve_Q5VTL8_PRPF38B.pdf")</f>
        <v>Melting_Curves/meltCurve_Q5VTL8_PRPF38B.pdf</v>
      </c>
    </row>
    <row r="3741" spans="1:28" x14ac:dyDescent="0.25">
      <c r="A3741" t="s">
        <v>3744</v>
      </c>
      <c r="B3741">
        <v>0.99930955844802105</v>
      </c>
      <c r="C3741">
        <v>0.98487793654104405</v>
      </c>
      <c r="D3741">
        <v>0.85148007078278398</v>
      </c>
      <c r="E3741">
        <v>0.49461617809268399</v>
      </c>
      <c r="F3741">
        <v>0.25843838190985202</v>
      </c>
      <c r="G3741">
        <v>0.17699043277253401</v>
      </c>
      <c r="H3741">
        <v>0.101002361807981</v>
      </c>
      <c r="I3741">
        <v>8.2530083709725893E-2</v>
      </c>
      <c r="J3741">
        <v>7.2224004210373699E-2</v>
      </c>
      <c r="K3741">
        <v>5.4894000580764699E-2</v>
      </c>
      <c r="L3741">
        <v>1022.40638964138</v>
      </c>
      <c r="M3741">
        <v>20.6050442618718</v>
      </c>
      <c r="N3741">
        <v>50.016673380108301</v>
      </c>
      <c r="O3741">
        <v>49.158945383207303</v>
      </c>
      <c r="P3741">
        <v>-9.6877540100329604E-2</v>
      </c>
      <c r="Q3741">
        <v>7.5515466998884201E-2</v>
      </c>
      <c r="R3741">
        <v>0.99784592079021195</v>
      </c>
      <c r="S3741" t="s">
        <v>10357</v>
      </c>
      <c r="T3741" t="s">
        <v>13232</v>
      </c>
      <c r="U3741" t="s">
        <v>13232</v>
      </c>
      <c r="V3741" t="s">
        <v>13232</v>
      </c>
      <c r="W3741" t="s">
        <v>16911</v>
      </c>
      <c r="X3741">
        <v>37</v>
      </c>
      <c r="Y3741" t="s">
        <v>23338</v>
      </c>
      <c r="Z3741" t="s">
        <v>29872</v>
      </c>
      <c r="AA3741">
        <v>0.38409427209725477</v>
      </c>
      <c r="AB3741" t="str">
        <f>HYPERLINK("Melting_Curves/meltCurve_Q5VTR2_RNF20.pdf", "Melting_Curves/meltCurve_Q5VTR2_RNF20.pdf")</f>
        <v>Melting_Curves/meltCurve_Q5VTR2_RNF20.pdf</v>
      </c>
    </row>
    <row r="3742" spans="1:28" x14ac:dyDescent="0.25">
      <c r="A3742" t="s">
        <v>3745</v>
      </c>
      <c r="B3742">
        <v>0.99930955844802105</v>
      </c>
      <c r="C3742">
        <v>0.67494004420628495</v>
      </c>
      <c r="D3742">
        <v>0.68388010509209096</v>
      </c>
      <c r="E3742">
        <v>0.47399147368528799</v>
      </c>
      <c r="F3742">
        <v>0.29021836459322797</v>
      </c>
      <c r="G3742">
        <v>0.18046215804032301</v>
      </c>
      <c r="H3742">
        <v>8.9137234566141907E-2</v>
      </c>
      <c r="I3742">
        <v>7.0349082447758393E-2</v>
      </c>
      <c r="J3742">
        <v>4.82881037512407E-2</v>
      </c>
      <c r="K3742">
        <v>3.5556671145465603E-2</v>
      </c>
      <c r="L3742">
        <v>507.76903765874903</v>
      </c>
      <c r="M3742">
        <v>10.422145300199199</v>
      </c>
      <c r="N3742">
        <v>48.7202033511577</v>
      </c>
      <c r="O3742">
        <v>47.028951854983198</v>
      </c>
      <c r="P3742">
        <v>-5.5425823697282599E-2</v>
      </c>
      <c r="Q3742">
        <v>0</v>
      </c>
      <c r="R3742">
        <v>0.97181590667762496</v>
      </c>
      <c r="S3742" t="s">
        <v>10358</v>
      </c>
      <c r="T3742" t="s">
        <v>13232</v>
      </c>
      <c r="U3742" t="s">
        <v>13232</v>
      </c>
      <c r="V3742" t="s">
        <v>13232</v>
      </c>
      <c r="W3742" t="s">
        <v>16912</v>
      </c>
      <c r="X3742">
        <v>2</v>
      </c>
      <c r="Y3742" t="s">
        <v>23339</v>
      </c>
      <c r="Z3742" t="s">
        <v>29873</v>
      </c>
      <c r="AA3742">
        <v>0.33766224315897209</v>
      </c>
      <c r="AB3742" t="str">
        <f>HYPERLINK("Melting_Curves/meltCurve_Q5VTU3_DYNLT1.pdf", "Melting_Curves/meltCurve_Q5VTU3_DYNLT1.pdf")</f>
        <v>Melting_Curves/meltCurve_Q5VTU3_DYNLT1.pdf</v>
      </c>
    </row>
    <row r="3743" spans="1:28" x14ac:dyDescent="0.25">
      <c r="A3743" t="s">
        <v>3746</v>
      </c>
      <c r="B3743">
        <v>0.99930955844802105</v>
      </c>
      <c r="C3743">
        <v>0.96473819874310196</v>
      </c>
      <c r="D3743">
        <v>0.96832470671256099</v>
      </c>
      <c r="E3743">
        <v>0.89951616412560598</v>
      </c>
      <c r="F3743">
        <v>0.64626524930172602</v>
      </c>
      <c r="G3743">
        <v>0.55362933254859403</v>
      </c>
      <c r="H3743">
        <v>0.49780007098145201</v>
      </c>
      <c r="I3743">
        <v>0.49651763673427601</v>
      </c>
      <c r="J3743">
        <v>0.46921747510207801</v>
      </c>
      <c r="K3743">
        <v>0.39019784807997798</v>
      </c>
      <c r="L3743">
        <v>1177.6224331159201</v>
      </c>
      <c r="M3743">
        <v>22.490758237695999</v>
      </c>
      <c r="N3743">
        <v>58.645037668021502</v>
      </c>
      <c r="O3743">
        <v>51.951597783154902</v>
      </c>
      <c r="P3743">
        <v>-5.8975030565300103E-2</v>
      </c>
      <c r="Q3743">
        <v>0.45510331801822401</v>
      </c>
      <c r="R3743">
        <v>0.97869397214654497</v>
      </c>
      <c r="S3743" t="s">
        <v>10359</v>
      </c>
      <c r="T3743" t="s">
        <v>13232</v>
      </c>
      <c r="U3743" t="s">
        <v>13232</v>
      </c>
      <c r="V3743" t="s">
        <v>13232</v>
      </c>
      <c r="W3743" t="s">
        <v>16913</v>
      </c>
      <c r="X3743">
        <v>14</v>
      </c>
      <c r="Y3743" t="s">
        <v>23340</v>
      </c>
      <c r="Z3743" t="s">
        <v>29874</v>
      </c>
      <c r="AA3743">
        <v>0.68569498022613007</v>
      </c>
      <c r="AB3743" t="str">
        <f>HYPERLINK("Melting_Curves/meltCurve_Q5VU43_3_PDE4DIP.pdf", "Melting_Curves/meltCurve_Q5VU43_3_PDE4DIP.pdf")</f>
        <v>Melting_Curves/meltCurve_Q5VU43_3_PDE4DIP.pdf</v>
      </c>
    </row>
    <row r="3744" spans="1:28" x14ac:dyDescent="0.25">
      <c r="A3744" t="s">
        <v>3747</v>
      </c>
      <c r="B3744">
        <v>0.99930955844802105</v>
      </c>
      <c r="C3744">
        <v>0.82384944203838195</v>
      </c>
      <c r="D3744">
        <v>0.82577064367441599</v>
      </c>
      <c r="E3744">
        <v>0.67262543687356702</v>
      </c>
      <c r="F3744">
        <v>0.79563098550713296</v>
      </c>
      <c r="G3744">
        <v>0.73130367473093305</v>
      </c>
      <c r="H3744">
        <v>0.86561865769452095</v>
      </c>
      <c r="I3744">
        <v>0.93765456634593702</v>
      </c>
      <c r="J3744">
        <v>0.97542974190229104</v>
      </c>
      <c r="K3744">
        <v>0.81007755907712498</v>
      </c>
      <c r="L3744">
        <v>10220.643221631</v>
      </c>
      <c r="M3744">
        <v>250</v>
      </c>
      <c r="O3744">
        <v>40.879956685990301</v>
      </c>
      <c r="P3744">
        <v>-0.265350190000399</v>
      </c>
      <c r="Q3744">
        <v>0.82643993187710096</v>
      </c>
      <c r="R3744">
        <v>0.27747024441791901</v>
      </c>
      <c r="S3744" t="s">
        <v>10360</v>
      </c>
      <c r="T3744" t="s">
        <v>13232</v>
      </c>
      <c r="U3744" t="s">
        <v>13232</v>
      </c>
      <c r="V3744" t="s">
        <v>13232</v>
      </c>
      <c r="W3744" t="s">
        <v>16914</v>
      </c>
      <c r="X3744">
        <v>38</v>
      </c>
      <c r="Y3744" t="s">
        <v>21415</v>
      </c>
      <c r="Z3744" t="s">
        <v>29875</v>
      </c>
      <c r="AA3744">
        <v>0.83156197162867362</v>
      </c>
      <c r="AB3744" t="str">
        <f>HYPERLINK("Melting_Curves/meltCurve_Q5VU58_TPM3.pdf", "Melting_Curves/meltCurve_Q5VU58_TPM3.pdf")</f>
        <v>Melting_Curves/meltCurve_Q5VU58_TPM3.pdf</v>
      </c>
    </row>
    <row r="3745" spans="1:28" x14ac:dyDescent="0.25">
      <c r="A3745" t="s">
        <v>3748</v>
      </c>
      <c r="B3745">
        <v>0.99930955844802105</v>
      </c>
      <c r="C3745">
        <v>1.08216736610327</v>
      </c>
      <c r="D3745">
        <v>1.07556845787946</v>
      </c>
      <c r="E3745">
        <v>0.98806030499665898</v>
      </c>
      <c r="F3745">
        <v>0.82577311569128597</v>
      </c>
      <c r="G3745">
        <v>0.736361092045137</v>
      </c>
      <c r="H3745">
        <v>0.73003040734861502</v>
      </c>
      <c r="I3745">
        <v>0.78020036903435197</v>
      </c>
      <c r="J3745">
        <v>0.77100207761180195</v>
      </c>
      <c r="K3745">
        <v>0.63574011001281805</v>
      </c>
      <c r="L3745">
        <v>3231.6633922056199</v>
      </c>
      <c r="M3745">
        <v>61.571889125636901</v>
      </c>
      <c r="O3745">
        <v>52.430738864364002</v>
      </c>
      <c r="P3745">
        <v>-7.9204848022871199E-2</v>
      </c>
      <c r="Q3745">
        <v>0.73021668028628794</v>
      </c>
      <c r="R3745">
        <v>0.88857150191379397</v>
      </c>
      <c r="S3745" t="s">
        <v>10361</v>
      </c>
      <c r="T3745" t="s">
        <v>13232</v>
      </c>
      <c r="U3745" t="s">
        <v>13232</v>
      </c>
      <c r="V3745" t="s">
        <v>13232</v>
      </c>
      <c r="W3745" t="s">
        <v>16915</v>
      </c>
      <c r="X3745">
        <v>48</v>
      </c>
      <c r="Y3745" t="s">
        <v>23341</v>
      </c>
      <c r="Z3745" t="s">
        <v>29876</v>
      </c>
      <c r="AA3745">
        <v>0.8429117700777522</v>
      </c>
      <c r="AB3745" t="str">
        <f>HYPERLINK("Melting_Curves/meltCurve_Q5VUA4_ZNF318.pdf", "Melting_Curves/meltCurve_Q5VUA4_ZNF318.pdf")</f>
        <v>Melting_Curves/meltCurve_Q5VUA4_ZNF318.pdf</v>
      </c>
    </row>
    <row r="3746" spans="1:28" x14ac:dyDescent="0.25">
      <c r="A3746" t="s">
        <v>3749</v>
      </c>
      <c r="B3746">
        <v>0.99930955844802105</v>
      </c>
      <c r="C3746">
        <v>1.08543244737517</v>
      </c>
      <c r="D3746">
        <v>1.0165695312680401</v>
      </c>
      <c r="E3746">
        <v>0.65550222182142504</v>
      </c>
      <c r="F3746">
        <v>0.23472667992580801</v>
      </c>
      <c r="G3746">
        <v>0.18063384457092499</v>
      </c>
      <c r="H3746">
        <v>0.10962459405196</v>
      </c>
      <c r="I3746">
        <v>0.10781489087117201</v>
      </c>
      <c r="J3746">
        <v>0.100817241892955</v>
      </c>
      <c r="K3746">
        <v>7.41405411019459E-2</v>
      </c>
      <c r="L3746">
        <v>2014.42769221258</v>
      </c>
      <c r="M3746">
        <v>39.8115466500903</v>
      </c>
      <c r="N3746">
        <v>50.9220925871021</v>
      </c>
      <c r="O3746">
        <v>50.471918344985603</v>
      </c>
      <c r="P3746">
        <v>-0.17519269167159801</v>
      </c>
      <c r="Q3746">
        <v>0.111585132388555</v>
      </c>
      <c r="R3746">
        <v>0.991950951456817</v>
      </c>
      <c r="S3746" t="s">
        <v>10362</v>
      </c>
      <c r="T3746" t="s">
        <v>13232</v>
      </c>
      <c r="U3746" t="s">
        <v>13232</v>
      </c>
      <c r="V3746" t="s">
        <v>13232</v>
      </c>
      <c r="W3746" t="s">
        <v>16916</v>
      </c>
      <c r="X3746">
        <v>11</v>
      </c>
      <c r="Y3746" t="s">
        <v>23342</v>
      </c>
      <c r="Z3746" t="s">
        <v>29877</v>
      </c>
      <c r="AA3746">
        <v>0.42860179318578301</v>
      </c>
      <c r="AB3746" t="str">
        <f>HYPERLINK("Melting_Curves/meltCurve_Q5VV41_ARHGEF16.pdf", "Melting_Curves/meltCurve_Q5VV41_ARHGEF16.pdf")</f>
        <v>Melting_Curves/meltCurve_Q5VV41_ARHGEF16.pdf</v>
      </c>
    </row>
    <row r="3747" spans="1:28" x14ac:dyDescent="0.25">
      <c r="A3747" t="s">
        <v>3750</v>
      </c>
      <c r="B3747">
        <v>0.99930955844802105</v>
      </c>
      <c r="C3747">
        <v>0.99227259638131904</v>
      </c>
      <c r="D3747">
        <v>0.95926726243579397</v>
      </c>
      <c r="E3747">
        <v>0.82534170550983399</v>
      </c>
      <c r="F3747">
        <v>0.57675204886118803</v>
      </c>
      <c r="G3747">
        <v>0.38024533915423298</v>
      </c>
      <c r="H3747">
        <v>0.28042489659335601</v>
      </c>
      <c r="I3747">
        <v>0.27566756976538997</v>
      </c>
      <c r="J3747">
        <v>0.25207582921744498</v>
      </c>
      <c r="K3747">
        <v>0.18863912774791999</v>
      </c>
      <c r="L3747">
        <v>1036.50765305134</v>
      </c>
      <c r="M3747">
        <v>19.6286915514894</v>
      </c>
      <c r="N3747">
        <v>54.466721192491299</v>
      </c>
      <c r="O3747">
        <v>52.266820110842197</v>
      </c>
      <c r="P3747">
        <v>-7.2745703940365503E-2</v>
      </c>
      <c r="Q3747">
        <v>0.22520493517507401</v>
      </c>
      <c r="R3747">
        <v>0.99648226817790597</v>
      </c>
      <c r="S3747" t="s">
        <v>10363</v>
      </c>
      <c r="T3747" t="s">
        <v>13232</v>
      </c>
      <c r="U3747" t="s">
        <v>13232</v>
      </c>
      <c r="V3747" t="s">
        <v>13232</v>
      </c>
      <c r="W3747" t="s">
        <v>16917</v>
      </c>
      <c r="X3747">
        <v>8</v>
      </c>
      <c r="Y3747" t="s">
        <v>23343</v>
      </c>
      <c r="Z3747" t="s">
        <v>29878</v>
      </c>
      <c r="AA3747">
        <v>0.56695421912053789</v>
      </c>
      <c r="AB3747" t="str">
        <f>HYPERLINK("Melting_Curves/meltCurve_Q5VV42_CDKAL1.pdf", "Melting_Curves/meltCurve_Q5VV42_CDKAL1.pdf")</f>
        <v>Melting_Curves/meltCurve_Q5VV42_CDKAL1.pdf</v>
      </c>
    </row>
    <row r="3748" spans="1:28" x14ac:dyDescent="0.25">
      <c r="A3748" t="s">
        <v>3751</v>
      </c>
      <c r="B3748">
        <v>0.99930955844802105</v>
      </c>
      <c r="C3748">
        <v>1.1153464054814901</v>
      </c>
      <c r="D3748">
        <v>1.06350482287514</v>
      </c>
      <c r="E3748">
        <v>1.0282804931206</v>
      </c>
      <c r="F3748">
        <v>0.93163279808224397</v>
      </c>
      <c r="G3748">
        <v>0.75307031418412296</v>
      </c>
      <c r="H3748">
        <v>0.56667197742322895</v>
      </c>
      <c r="I3748">
        <v>0.53288206582943798</v>
      </c>
      <c r="J3748">
        <v>0.58565630480567199</v>
      </c>
      <c r="K3748">
        <v>0.38214382678340197</v>
      </c>
      <c r="L3748">
        <v>1331.5088047409899</v>
      </c>
      <c r="M3748">
        <v>23.159659279064702</v>
      </c>
      <c r="N3748">
        <v>65.448613000670605</v>
      </c>
      <c r="O3748">
        <v>57.069077989725201</v>
      </c>
      <c r="P3748">
        <v>-5.3766049944371397E-2</v>
      </c>
      <c r="Q3748">
        <v>0.47005719252467898</v>
      </c>
      <c r="R3748">
        <v>0.93823661755245602</v>
      </c>
      <c r="S3748" t="s">
        <v>10364</v>
      </c>
      <c r="T3748" t="s">
        <v>13232</v>
      </c>
      <c r="U3748" t="s">
        <v>13232</v>
      </c>
      <c r="V3748" t="s">
        <v>13232</v>
      </c>
      <c r="W3748" t="s">
        <v>16918</v>
      </c>
      <c r="X3748">
        <v>7</v>
      </c>
      <c r="Y3748" t="s">
        <v>23344</v>
      </c>
      <c r="Z3748" t="s">
        <v>29879</v>
      </c>
      <c r="AA3748">
        <v>0.78430094233864844</v>
      </c>
      <c r="AB3748" t="str">
        <f>HYPERLINK("Melting_Curves/meltCurve_Q5VV52_2_ZNF691.pdf", "Melting_Curves/meltCurve_Q5VV52_2_ZNF691.pdf")</f>
        <v>Melting_Curves/meltCurve_Q5VV52_2_ZNF691.pdf</v>
      </c>
    </row>
    <row r="3749" spans="1:28" x14ac:dyDescent="0.25">
      <c r="A3749" t="s">
        <v>3752</v>
      </c>
      <c r="B3749">
        <v>0.99930955844802105</v>
      </c>
      <c r="C3749">
        <v>1.3167335773967199</v>
      </c>
      <c r="D3749">
        <v>1.2261713089494399</v>
      </c>
      <c r="E3749">
        <v>1.6969360734219201</v>
      </c>
      <c r="F3749">
        <v>1.09587810571744</v>
      </c>
      <c r="G3749">
        <v>1.5285064637325101</v>
      </c>
      <c r="H3749">
        <v>1.9518034222276599</v>
      </c>
      <c r="I3749">
        <v>2.0845658381184098</v>
      </c>
      <c r="J3749">
        <v>1.9253110276315599</v>
      </c>
      <c r="K3749">
        <v>1.52366584677462</v>
      </c>
      <c r="L3749">
        <v>868.88798829333905</v>
      </c>
      <c r="M3749">
        <v>19.887493938008699</v>
      </c>
      <c r="O3749">
        <v>43.255617160038298</v>
      </c>
      <c r="P3749">
        <v>5.7472754989387698E-2</v>
      </c>
      <c r="Q3749">
        <v>1.5</v>
      </c>
      <c r="R3749">
        <v>0.23676896913550699</v>
      </c>
      <c r="S3749" t="s">
        <v>10365</v>
      </c>
      <c r="T3749" t="s">
        <v>13232</v>
      </c>
      <c r="U3749" t="s">
        <v>13232</v>
      </c>
      <c r="V3749" t="s">
        <v>13232</v>
      </c>
      <c r="W3749" t="s">
        <v>16919</v>
      </c>
      <c r="X3749">
        <v>3</v>
      </c>
      <c r="Y3749" t="s">
        <v>23345</v>
      </c>
      <c r="Z3749" t="s">
        <v>29880</v>
      </c>
      <c r="AA3749">
        <v>1.4281102852553571</v>
      </c>
      <c r="AB3749" t="str">
        <f>HYPERLINK("Melting_Curves/meltCurve_Q5VV67_2_PPRC1.pdf", "Melting_Curves/meltCurve_Q5VV67_2_PPRC1.pdf")</f>
        <v>Melting_Curves/meltCurve_Q5VV67_2_PPRC1.pdf</v>
      </c>
    </row>
    <row r="3750" spans="1:28" x14ac:dyDescent="0.25">
      <c r="A3750" t="s">
        <v>3753</v>
      </c>
      <c r="B3750">
        <v>0.99930955844802105</v>
      </c>
      <c r="C3750">
        <v>1.15680564814781</v>
      </c>
      <c r="D3750">
        <v>1.1170977205355299</v>
      </c>
      <c r="E3750">
        <v>0.99955987312133798</v>
      </c>
      <c r="F3750">
        <v>0.68432480789809103</v>
      </c>
      <c r="G3750">
        <v>0.53793858508846903</v>
      </c>
      <c r="H3750">
        <v>0.39101455003125202</v>
      </c>
      <c r="I3750">
        <v>0.347425901865621</v>
      </c>
      <c r="J3750">
        <v>0.347740756044912</v>
      </c>
      <c r="K3750">
        <v>0.25350022206038297</v>
      </c>
      <c r="L3750">
        <v>1255.5224918695001</v>
      </c>
      <c r="M3750">
        <v>23.017488415555299</v>
      </c>
      <c r="N3750">
        <v>56.996378892384399</v>
      </c>
      <c r="O3750">
        <v>54.139754291070297</v>
      </c>
      <c r="P3750">
        <v>-7.2904338812631905E-2</v>
      </c>
      <c r="Q3750">
        <v>0.31409569573594898</v>
      </c>
      <c r="R3750">
        <v>0.94644315126655099</v>
      </c>
      <c r="S3750" t="s">
        <v>10366</v>
      </c>
      <c r="T3750" t="s">
        <v>13232</v>
      </c>
      <c r="U3750" t="s">
        <v>13232</v>
      </c>
      <c r="V3750" t="s">
        <v>13232</v>
      </c>
      <c r="W3750" t="s">
        <v>16920</v>
      </c>
      <c r="X3750">
        <v>7</v>
      </c>
      <c r="Y3750" t="s">
        <v>23346</v>
      </c>
      <c r="Z3750" t="s">
        <v>29881</v>
      </c>
      <c r="AA3750">
        <v>0.65401638915537463</v>
      </c>
      <c r="AB3750" t="str">
        <f>HYPERLINK("Melting_Curves/meltCurve_Q5VVD7_PLEKHM2.pdf", "Melting_Curves/meltCurve_Q5VVD7_PLEKHM2.pdf")</f>
        <v>Melting_Curves/meltCurve_Q5VVD7_PLEKHM2.pdf</v>
      </c>
    </row>
    <row r="3751" spans="1:28" x14ac:dyDescent="0.25">
      <c r="A3751" t="s">
        <v>3754</v>
      </c>
      <c r="B3751">
        <v>0.99930955844802105</v>
      </c>
      <c r="C3751">
        <v>1.21137917895016</v>
      </c>
      <c r="D3751">
        <v>1.1828778152767501</v>
      </c>
      <c r="E3751">
        <v>0.98257643492026003</v>
      </c>
      <c r="F3751">
        <v>0.72002153763936605</v>
      </c>
      <c r="G3751">
        <v>0.59487421571455601</v>
      </c>
      <c r="H3751">
        <v>0.56434086713292697</v>
      </c>
      <c r="I3751">
        <v>0.58292035577527501</v>
      </c>
      <c r="J3751">
        <v>0.598980420830308</v>
      </c>
      <c r="K3751">
        <v>0.48781552128247802</v>
      </c>
      <c r="L3751">
        <v>3135.4535618886098</v>
      </c>
      <c r="M3751">
        <v>59.730095899560702</v>
      </c>
      <c r="O3751">
        <v>52.434965427566198</v>
      </c>
      <c r="P3751">
        <v>-0.12395137476101201</v>
      </c>
      <c r="Q3751">
        <v>0.56474995749109502</v>
      </c>
      <c r="R3751">
        <v>0.87260284918044295</v>
      </c>
      <c r="S3751" t="s">
        <v>10367</v>
      </c>
      <c r="T3751" t="s">
        <v>13232</v>
      </c>
      <c r="U3751" t="s">
        <v>13232</v>
      </c>
      <c r="V3751" t="s">
        <v>13232</v>
      </c>
      <c r="W3751" t="s">
        <v>16921</v>
      </c>
      <c r="X3751">
        <v>9</v>
      </c>
      <c r="Y3751" t="s">
        <v>23347</v>
      </c>
      <c r="Z3751" t="s">
        <v>29882</v>
      </c>
      <c r="AA3751">
        <v>0.74671772422978921</v>
      </c>
      <c r="AB3751" t="str">
        <f>HYPERLINK("Melting_Curves/meltCurve_Q5VVJ2_MYSM1.pdf", "Melting_Curves/meltCurve_Q5VVJ2_MYSM1.pdf")</f>
        <v>Melting_Curves/meltCurve_Q5VVJ2_MYSM1.pdf</v>
      </c>
    </row>
    <row r="3752" spans="1:28" x14ac:dyDescent="0.25">
      <c r="A3752" t="s">
        <v>3755</v>
      </c>
      <c r="B3752">
        <v>0.99930955844802105</v>
      </c>
      <c r="C3752">
        <v>1.03950950299046</v>
      </c>
      <c r="D3752">
        <v>1.0630325880507401</v>
      </c>
      <c r="E3752">
        <v>1.0446179861342599</v>
      </c>
      <c r="F3752">
        <v>0.90132763315875797</v>
      </c>
      <c r="G3752">
        <v>0.74205872920334404</v>
      </c>
      <c r="H3752">
        <v>0.64508348611605604</v>
      </c>
      <c r="I3752">
        <v>0.61873075024889901</v>
      </c>
      <c r="J3752">
        <v>0.527960810458588</v>
      </c>
      <c r="K3752">
        <v>0.392553175667401</v>
      </c>
      <c r="L3752">
        <v>796.25412252455897</v>
      </c>
      <c r="M3752">
        <v>13.1370147990025</v>
      </c>
      <c r="N3752">
        <v>66.6146806694356</v>
      </c>
      <c r="O3752">
        <v>59.258634986153098</v>
      </c>
      <c r="P3752">
        <v>-3.6199394702594097E-2</v>
      </c>
      <c r="Q3752">
        <v>0.34695576074483397</v>
      </c>
      <c r="R3752">
        <v>0.95404831334849505</v>
      </c>
      <c r="S3752" t="s">
        <v>10368</v>
      </c>
      <c r="T3752" t="s">
        <v>13232</v>
      </c>
      <c r="U3752" t="s">
        <v>13232</v>
      </c>
      <c r="V3752" t="s">
        <v>13232</v>
      </c>
      <c r="W3752" t="s">
        <v>16922</v>
      </c>
      <c r="X3752">
        <v>4</v>
      </c>
      <c r="Y3752" t="s">
        <v>23348</v>
      </c>
      <c r="Z3752" t="s">
        <v>29883</v>
      </c>
      <c r="AA3752">
        <v>0.79649367427832174</v>
      </c>
      <c r="AB3752" t="str">
        <f>HYPERLINK("Melting_Curves/meltCurve_Q5VVL7_DBT.pdf", "Melting_Curves/meltCurve_Q5VVL7_DBT.pdf")</f>
        <v>Melting_Curves/meltCurve_Q5VVL7_DBT.pdf</v>
      </c>
    </row>
    <row r="3753" spans="1:28" x14ac:dyDescent="0.25">
      <c r="A3753" t="s">
        <v>3756</v>
      </c>
      <c r="B3753">
        <v>0.99930955844802105</v>
      </c>
      <c r="C3753">
        <v>1.07766837675637</v>
      </c>
      <c r="D3753">
        <v>1.0560982692029901</v>
      </c>
      <c r="E3753">
        <v>0.85079764252547396</v>
      </c>
      <c r="F3753">
        <v>0.31002893485330602</v>
      </c>
      <c r="G3753">
        <v>0.204838193690423</v>
      </c>
      <c r="H3753">
        <v>0.14887041370624499</v>
      </c>
      <c r="I3753">
        <v>0.14054935051079601</v>
      </c>
      <c r="J3753">
        <v>0.137741977824546</v>
      </c>
      <c r="K3753">
        <v>0.103261059084582</v>
      </c>
      <c r="L3753">
        <v>2600.9962506209799</v>
      </c>
      <c r="M3753">
        <v>50.473336072124397</v>
      </c>
      <c r="N3753">
        <v>51.8839105548006</v>
      </c>
      <c r="O3753">
        <v>51.4513848812975</v>
      </c>
      <c r="P3753">
        <v>-0.209706994813953</v>
      </c>
      <c r="Q3753">
        <v>0.144918316040127</v>
      </c>
      <c r="R3753">
        <v>0.99161569438382802</v>
      </c>
      <c r="S3753" t="s">
        <v>10369</v>
      </c>
      <c r="T3753" t="s">
        <v>13232</v>
      </c>
      <c r="U3753" t="s">
        <v>13232</v>
      </c>
      <c r="V3753" t="s">
        <v>13232</v>
      </c>
      <c r="W3753" t="s">
        <v>16923</v>
      </c>
      <c r="X3753">
        <v>18</v>
      </c>
      <c r="Y3753" t="s">
        <v>23349</v>
      </c>
      <c r="Z3753" t="s">
        <v>29884</v>
      </c>
      <c r="AA3753">
        <v>0.47552125956440539</v>
      </c>
      <c r="AB3753" t="str">
        <f>HYPERLINK("Melting_Curves/meltCurve_Q5VVQ6_YOD1.pdf", "Melting_Curves/meltCurve_Q5VVQ6_YOD1.pdf")</f>
        <v>Melting_Curves/meltCurve_Q5VVQ6_YOD1.pdf</v>
      </c>
    </row>
    <row r="3754" spans="1:28" x14ac:dyDescent="0.25">
      <c r="A3754" t="s">
        <v>3757</v>
      </c>
      <c r="B3754">
        <v>0.99930955844802105</v>
      </c>
      <c r="C3754">
        <v>1.28592257094822</v>
      </c>
      <c r="D3754">
        <v>1.3682095485791299</v>
      </c>
      <c r="E3754">
        <v>1.79387320691311</v>
      </c>
      <c r="F3754">
        <v>1.6422250618507599</v>
      </c>
      <c r="G3754">
        <v>1.83619557616998</v>
      </c>
      <c r="H3754">
        <v>2.1375959541971601</v>
      </c>
      <c r="I3754">
        <v>1.62201151982834</v>
      </c>
      <c r="J3754">
        <v>1.92491629122779</v>
      </c>
      <c r="K3754">
        <v>1.71653931692537</v>
      </c>
      <c r="L3754">
        <v>1554.00099938054</v>
      </c>
      <c r="M3754">
        <v>36.281372425701903</v>
      </c>
      <c r="O3754">
        <v>42.7024357206082</v>
      </c>
      <c r="P3754">
        <v>0.106204399856676</v>
      </c>
      <c r="Q3754">
        <v>1.5</v>
      </c>
      <c r="R3754">
        <v>0.12431164850556201</v>
      </c>
      <c r="S3754" t="s">
        <v>10370</v>
      </c>
      <c r="T3754" t="s">
        <v>13232</v>
      </c>
      <c r="U3754" t="s">
        <v>13232</v>
      </c>
      <c r="V3754" t="s">
        <v>13232</v>
      </c>
      <c r="W3754" t="s">
        <v>16924</v>
      </c>
      <c r="X3754">
        <v>1</v>
      </c>
      <c r="Y3754" t="s">
        <v>23350</v>
      </c>
      <c r="Z3754" t="s">
        <v>29885</v>
      </c>
      <c r="AA3754">
        <v>1.449792561241918</v>
      </c>
      <c r="AB3754" t="str">
        <f>HYPERLINK("Melting_Curves/meltCurve_Q5VW00_DCAF12L2.pdf", "Melting_Curves/meltCurve_Q5VW00_DCAF12L2.pdf")</f>
        <v>Melting_Curves/meltCurve_Q5VW00_DCAF12L2.pdf</v>
      </c>
    </row>
    <row r="3755" spans="1:28" x14ac:dyDescent="0.25">
      <c r="A3755" t="s">
        <v>3758</v>
      </c>
      <c r="B3755">
        <v>0.99930955844802105</v>
      </c>
      <c r="C3755">
        <v>1.4023145868776801</v>
      </c>
      <c r="D3755">
        <v>0.48849612569954498</v>
      </c>
      <c r="E3755">
        <v>0.68364519098513898</v>
      </c>
      <c r="F3755">
        <v>9.8042069934132406E-2</v>
      </c>
      <c r="G3755">
        <v>8.1038537998246105E-2</v>
      </c>
      <c r="H3755">
        <v>4.8777299359528202E-2</v>
      </c>
      <c r="I3755">
        <v>4.55485540672887E-2</v>
      </c>
      <c r="J3755">
        <v>4.0699281987010498E-2</v>
      </c>
      <c r="K3755">
        <v>3.0796338862929401E-2</v>
      </c>
      <c r="L3755">
        <v>993.76442915366101</v>
      </c>
      <c r="M3755">
        <v>20.053327523653401</v>
      </c>
      <c r="N3755">
        <v>49.669706289526196</v>
      </c>
      <c r="O3755">
        <v>49.071166051211698</v>
      </c>
      <c r="P3755">
        <v>-9.9877387900151798E-2</v>
      </c>
      <c r="Q3755">
        <v>2.2417987565904299E-2</v>
      </c>
      <c r="R3755">
        <v>0.82498044145204397</v>
      </c>
      <c r="S3755" t="s">
        <v>10371</v>
      </c>
      <c r="T3755" t="s">
        <v>13232</v>
      </c>
      <c r="U3755" t="s">
        <v>13232</v>
      </c>
      <c r="V3755" t="s">
        <v>13232</v>
      </c>
      <c r="W3755" t="s">
        <v>16925</v>
      </c>
      <c r="X3755">
        <v>17</v>
      </c>
      <c r="Y3755" t="s">
        <v>23351</v>
      </c>
      <c r="Z3755" t="s">
        <v>29886</v>
      </c>
      <c r="AA3755">
        <v>0.34737889839621788</v>
      </c>
      <c r="AB3755" t="str">
        <f>HYPERLINK("Melting_Curves/meltCurve_Q5VW32_BROX.pdf", "Melting_Curves/meltCurve_Q5VW32_BROX.pdf")</f>
        <v>Melting_Curves/meltCurve_Q5VW32_BROX.pdf</v>
      </c>
    </row>
    <row r="3756" spans="1:28" x14ac:dyDescent="0.25">
      <c r="A3756" t="s">
        <v>3759</v>
      </c>
      <c r="B3756">
        <v>0.99930955844802105</v>
      </c>
      <c r="C3756">
        <v>1.10215063200153</v>
      </c>
      <c r="D3756">
        <v>1.0784421816852501</v>
      </c>
      <c r="E3756">
        <v>1.01279005575035</v>
      </c>
      <c r="F3756">
        <v>0.92429811061002398</v>
      </c>
      <c r="G3756">
        <v>0.83896917262412296</v>
      </c>
      <c r="H3756">
        <v>0.87402537686038995</v>
      </c>
      <c r="I3756">
        <v>0.943390697848837</v>
      </c>
      <c r="J3756">
        <v>0.89222404362693797</v>
      </c>
      <c r="K3756">
        <v>0.70472471100258005</v>
      </c>
      <c r="L3756">
        <v>493.71769628976398</v>
      </c>
      <c r="M3756">
        <v>5.8476756940962398</v>
      </c>
      <c r="Q3756">
        <v>0</v>
      </c>
      <c r="R3756">
        <v>0.61591240231107702</v>
      </c>
      <c r="S3756" t="s">
        <v>10372</v>
      </c>
      <c r="T3756" t="s">
        <v>13232</v>
      </c>
      <c r="U3756" t="s">
        <v>13232</v>
      </c>
      <c r="V3756" t="s">
        <v>13232</v>
      </c>
      <c r="W3756" t="s">
        <v>16926</v>
      </c>
      <c r="X3756">
        <v>7</v>
      </c>
      <c r="Y3756" t="s">
        <v>23352</v>
      </c>
      <c r="Z3756" t="s">
        <v>29887</v>
      </c>
      <c r="AA3756">
        <v>0.93215947869381333</v>
      </c>
      <c r="AB3756" t="str">
        <f>HYPERLINK("Melting_Curves/meltCurve_Q5VWG9_TAF3.pdf", "Melting_Curves/meltCurve_Q5VWG9_TAF3.pdf")</f>
        <v>Melting_Curves/meltCurve_Q5VWG9_TAF3.pdf</v>
      </c>
    </row>
    <row r="3757" spans="1:28" x14ac:dyDescent="0.25">
      <c r="A3757" t="s">
        <v>3760</v>
      </c>
      <c r="B3757">
        <v>0.99930955844802105</v>
      </c>
      <c r="C3757">
        <v>0.92143929879708397</v>
      </c>
      <c r="D3757">
        <v>0.83133408621388005</v>
      </c>
      <c r="E3757">
        <v>0.58932037345321098</v>
      </c>
      <c r="F3757">
        <v>0.32450053689554398</v>
      </c>
      <c r="G3757">
        <v>0.256194584652506</v>
      </c>
      <c r="H3757">
        <v>0.160787013000735</v>
      </c>
      <c r="I3757">
        <v>0.14219035445973</v>
      </c>
      <c r="J3757">
        <v>0.137441590254399</v>
      </c>
      <c r="K3757">
        <v>0.10702013585860801</v>
      </c>
      <c r="L3757">
        <v>809.34706856346395</v>
      </c>
      <c r="M3757">
        <v>16.1678546537924</v>
      </c>
      <c r="N3757">
        <v>50.883131618527898</v>
      </c>
      <c r="O3757">
        <v>49.311990931287497</v>
      </c>
      <c r="P3757">
        <v>-7.2530944204107703E-2</v>
      </c>
      <c r="Q3757">
        <v>0.115188477291053</v>
      </c>
      <c r="R3757">
        <v>0.99551051189237805</v>
      </c>
      <c r="S3757" t="s">
        <v>10373</v>
      </c>
      <c r="T3757" t="s">
        <v>13232</v>
      </c>
      <c r="U3757" t="s">
        <v>13232</v>
      </c>
      <c r="V3757" t="s">
        <v>13232</v>
      </c>
      <c r="W3757" t="s">
        <v>16927</v>
      </c>
      <c r="X3757">
        <v>11</v>
      </c>
      <c r="Y3757" t="s">
        <v>23353</v>
      </c>
      <c r="Z3757" t="s">
        <v>29888</v>
      </c>
      <c r="AA3757">
        <v>0.43027517660062031</v>
      </c>
      <c r="AB3757" t="str">
        <f>HYPERLINK("Melting_Curves/meltCurve_Q5VWJ9_SNX30.pdf", "Melting_Curves/meltCurve_Q5VWJ9_SNX30.pdf")</f>
        <v>Melting_Curves/meltCurve_Q5VWJ9_SNX30.pdf</v>
      </c>
    </row>
    <row r="3758" spans="1:28" x14ac:dyDescent="0.25">
      <c r="A3758" t="s">
        <v>3761</v>
      </c>
      <c r="B3758">
        <v>0.99930955844802105</v>
      </c>
      <c r="C3758">
        <v>1.0149808350284399</v>
      </c>
      <c r="D3758">
        <v>0.96777599647706303</v>
      </c>
      <c r="E3758">
        <v>0.76920354053002404</v>
      </c>
      <c r="F3758">
        <v>0.52868171938199804</v>
      </c>
      <c r="G3758">
        <v>0.42563169635144998</v>
      </c>
      <c r="H3758">
        <v>0.37675186676692202</v>
      </c>
      <c r="I3758">
        <v>0.37966573433028</v>
      </c>
      <c r="J3758">
        <v>0.35625464745945401</v>
      </c>
      <c r="K3758">
        <v>0.28846689070715398</v>
      </c>
      <c r="L3758">
        <v>1222.76675982094</v>
      </c>
      <c r="M3758">
        <v>23.8834639914874</v>
      </c>
      <c r="N3758">
        <v>53.877094372458899</v>
      </c>
      <c r="O3758">
        <v>50.842337598496201</v>
      </c>
      <c r="P3758">
        <v>-7.6620492122782102E-2</v>
      </c>
      <c r="Q3758">
        <v>0.347581718650675</v>
      </c>
      <c r="R3758">
        <v>0.99211787510801397</v>
      </c>
      <c r="S3758" t="s">
        <v>10374</v>
      </c>
      <c r="T3758" t="s">
        <v>13232</v>
      </c>
      <c r="U3758" t="s">
        <v>13232</v>
      </c>
      <c r="V3758" t="s">
        <v>13232</v>
      </c>
      <c r="W3758" t="s">
        <v>16928</v>
      </c>
      <c r="X3758">
        <v>29</v>
      </c>
      <c r="Y3758" t="s">
        <v>23354</v>
      </c>
      <c r="Z3758" t="s">
        <v>29889</v>
      </c>
      <c r="AA3758">
        <v>0.59754798650052399</v>
      </c>
      <c r="AB3758" t="str">
        <f>HYPERLINK("Melting_Curves/meltCurve_Q5VWN6_FAM208B.pdf", "Melting_Curves/meltCurve_Q5VWN6_FAM208B.pdf")</f>
        <v>Melting_Curves/meltCurve_Q5VWN6_FAM208B.pdf</v>
      </c>
    </row>
    <row r="3759" spans="1:28" x14ac:dyDescent="0.25">
      <c r="A3759" t="s">
        <v>3762</v>
      </c>
      <c r="B3759">
        <v>0.99930955844802105</v>
      </c>
      <c r="C3759">
        <v>1.07878077316064</v>
      </c>
      <c r="D3759">
        <v>0.95248347060243899</v>
      </c>
      <c r="E3759">
        <v>0.80782095715824098</v>
      </c>
      <c r="F3759">
        <v>0.51257801453034801</v>
      </c>
      <c r="G3759">
        <v>0.48277354406345802</v>
      </c>
      <c r="H3759">
        <v>0.53229781646171703</v>
      </c>
      <c r="I3759">
        <v>0.39296427326287497</v>
      </c>
      <c r="J3759">
        <v>0.36050904781795201</v>
      </c>
      <c r="K3759">
        <v>0.25664528238791101</v>
      </c>
      <c r="L3759">
        <v>1130.97066871163</v>
      </c>
      <c r="M3759">
        <v>22.044855482575901</v>
      </c>
      <c r="N3759">
        <v>54.807131701242398</v>
      </c>
      <c r="O3759">
        <v>50.8865960132391</v>
      </c>
      <c r="P3759">
        <v>-6.7382315000192997E-2</v>
      </c>
      <c r="Q3759">
        <v>0.37785388616264498</v>
      </c>
      <c r="R3759">
        <v>0.93684602780789406</v>
      </c>
      <c r="S3759" t="s">
        <v>10375</v>
      </c>
      <c r="T3759" t="s">
        <v>13232</v>
      </c>
      <c r="U3759" t="s">
        <v>13232</v>
      </c>
      <c r="V3759" t="s">
        <v>13232</v>
      </c>
      <c r="W3759" t="s">
        <v>16929</v>
      </c>
      <c r="X3759">
        <v>4</v>
      </c>
      <c r="Y3759" t="s">
        <v>23355</v>
      </c>
      <c r="Z3759" t="s">
        <v>29890</v>
      </c>
      <c r="AA3759">
        <v>0.61944997563930704</v>
      </c>
      <c r="AB3759" t="str">
        <f>HYPERLINK("Melting_Curves/meltCurve_Q5VWP2_FAM46C.pdf", "Melting_Curves/meltCurve_Q5VWP2_FAM46C.pdf")</f>
        <v>Melting_Curves/meltCurve_Q5VWP2_FAM46C.pdf</v>
      </c>
    </row>
    <row r="3760" spans="1:28" x14ac:dyDescent="0.25">
      <c r="A3760" t="s">
        <v>3763</v>
      </c>
      <c r="B3760">
        <v>0.99930955844802105</v>
      </c>
      <c r="C3760">
        <v>0.90424812964843404</v>
      </c>
      <c r="D3760">
        <v>0.87983666455536003</v>
      </c>
      <c r="E3760">
        <v>0.78021549073136698</v>
      </c>
      <c r="F3760">
        <v>0.57905321523007802</v>
      </c>
      <c r="G3760">
        <v>0.44652497759015197</v>
      </c>
      <c r="H3760">
        <v>0.30392508605526197</v>
      </c>
      <c r="I3760">
        <v>0.32086488583275002</v>
      </c>
      <c r="J3760">
        <v>0.30774585625644402</v>
      </c>
      <c r="K3760">
        <v>0.23879920560220599</v>
      </c>
      <c r="L3760">
        <v>646.32066889677003</v>
      </c>
      <c r="M3760">
        <v>12.2600865357022</v>
      </c>
      <c r="N3760">
        <v>55.355494486539897</v>
      </c>
      <c r="O3760">
        <v>51.373770468568097</v>
      </c>
      <c r="P3760">
        <v>-4.6471874126434803E-2</v>
      </c>
      <c r="Q3760">
        <v>0.22124339813963101</v>
      </c>
      <c r="R3760">
        <v>0.98846157150907898</v>
      </c>
      <c r="S3760" t="s">
        <v>10376</v>
      </c>
      <c r="T3760" t="s">
        <v>13232</v>
      </c>
      <c r="U3760" t="s">
        <v>13232</v>
      </c>
      <c r="V3760" t="s">
        <v>13232</v>
      </c>
      <c r="W3760" t="s">
        <v>16930</v>
      </c>
      <c r="X3760">
        <v>16</v>
      </c>
      <c r="Y3760" t="s">
        <v>23356</v>
      </c>
      <c r="Z3760" t="s">
        <v>29891</v>
      </c>
      <c r="AA3760">
        <v>0.57346016494553209</v>
      </c>
      <c r="AB3760" t="str">
        <f>HYPERLINK("Melting_Curves/meltCurve_Q5VWQ0_RSBN1.pdf", "Melting_Curves/meltCurve_Q5VWQ0_RSBN1.pdf")</f>
        <v>Melting_Curves/meltCurve_Q5VWQ0_RSBN1.pdf</v>
      </c>
    </row>
    <row r="3761" spans="1:28" x14ac:dyDescent="0.25">
      <c r="A3761" t="s">
        <v>3764</v>
      </c>
      <c r="B3761">
        <v>0.99930955844802105</v>
      </c>
      <c r="C3761">
        <v>1.0567126315638</v>
      </c>
      <c r="D3761">
        <v>1.08165484508341</v>
      </c>
      <c r="E3761">
        <v>0.94759244613378801</v>
      </c>
      <c r="F3761">
        <v>0.71692561116097797</v>
      </c>
      <c r="G3761">
        <v>0.24089792817112399</v>
      </c>
      <c r="H3761">
        <v>0.120847382873581</v>
      </c>
      <c r="I3761">
        <v>9.5581747077618795E-2</v>
      </c>
      <c r="J3761">
        <v>8.4570266977207695E-2</v>
      </c>
      <c r="K3761">
        <v>6.0000977544211999E-2</v>
      </c>
      <c r="L3761">
        <v>1778.58566133968</v>
      </c>
      <c r="M3761">
        <v>32.743133406060799</v>
      </c>
      <c r="N3761">
        <v>54.614771032078004</v>
      </c>
      <c r="O3761">
        <v>54.117937155291102</v>
      </c>
      <c r="P3761">
        <v>-0.13898294232881001</v>
      </c>
      <c r="Q3761">
        <v>8.1158743152648496E-2</v>
      </c>
      <c r="R3761">
        <v>0.99407289514188801</v>
      </c>
      <c r="S3761" t="s">
        <v>10377</v>
      </c>
      <c r="T3761" t="s">
        <v>13232</v>
      </c>
      <c r="U3761" t="s">
        <v>13232</v>
      </c>
      <c r="V3761" t="s">
        <v>13232</v>
      </c>
      <c r="W3761" t="s">
        <v>16931</v>
      </c>
      <c r="X3761">
        <v>12</v>
      </c>
      <c r="Y3761" t="s">
        <v>23357</v>
      </c>
      <c r="Z3761" t="s">
        <v>29892</v>
      </c>
      <c r="AA3761">
        <v>0.52484557983761582</v>
      </c>
      <c r="AB3761" t="str">
        <f>HYPERLINK("Melting_Curves/meltCurve_Q5VWZ2_LYPLAL1.pdf", "Melting_Curves/meltCurve_Q5VWZ2_LYPLAL1.pdf")</f>
        <v>Melting_Curves/meltCurve_Q5VWZ2_LYPLAL1.pdf</v>
      </c>
    </row>
    <row r="3762" spans="1:28" x14ac:dyDescent="0.25">
      <c r="A3762" t="s">
        <v>3765</v>
      </c>
      <c r="B3762">
        <v>0.99930955844802105</v>
      </c>
      <c r="C3762">
        <v>0.99504254717973595</v>
      </c>
      <c r="D3762">
        <v>0.75171479585597201</v>
      </c>
      <c r="E3762">
        <v>0.41791740127682098</v>
      </c>
      <c r="F3762">
        <v>0.26857115810168602</v>
      </c>
      <c r="G3762">
        <v>0.140908003403763</v>
      </c>
      <c r="H3762">
        <v>0.100419154564</v>
      </c>
      <c r="I3762">
        <v>9.1873371328747705E-2</v>
      </c>
      <c r="J3762">
        <v>9.1031952426389798E-2</v>
      </c>
      <c r="K3762">
        <v>6.8602181932025996E-2</v>
      </c>
      <c r="L3762">
        <v>940.479070093838</v>
      </c>
      <c r="M3762">
        <v>19.304897198231199</v>
      </c>
      <c r="N3762">
        <v>49.182046849123303</v>
      </c>
      <c r="O3762">
        <v>48.203403869824598</v>
      </c>
      <c r="P3762">
        <v>-9.1774924305338304E-2</v>
      </c>
      <c r="Q3762">
        <v>8.3403954948196302E-2</v>
      </c>
      <c r="R3762">
        <v>0.99594471901550596</v>
      </c>
      <c r="S3762" t="s">
        <v>10378</v>
      </c>
      <c r="T3762" t="s">
        <v>13232</v>
      </c>
      <c r="U3762" t="s">
        <v>13232</v>
      </c>
      <c r="V3762" t="s">
        <v>13232</v>
      </c>
      <c r="W3762" t="s">
        <v>16932</v>
      </c>
      <c r="X3762">
        <v>9</v>
      </c>
      <c r="Y3762" t="s">
        <v>23358</v>
      </c>
      <c r="Z3762" t="s">
        <v>29893</v>
      </c>
      <c r="AA3762">
        <v>0.3635874969517674</v>
      </c>
      <c r="AB3762" t="str">
        <f>HYPERLINK("Melting_Curves/meltCurve_Q5VXM9_RPF2.pdf", "Melting_Curves/meltCurve_Q5VXM9_RPF2.pdf")</f>
        <v>Melting_Curves/meltCurve_Q5VXM9_RPF2.pdf</v>
      </c>
    </row>
    <row r="3763" spans="1:28" x14ac:dyDescent="0.25">
      <c r="A3763" t="s">
        <v>3766</v>
      </c>
      <c r="B3763">
        <v>0.99930955844802105</v>
      </c>
      <c r="C3763">
        <v>0.80678020794078398</v>
      </c>
      <c r="D3763">
        <v>0.76061267905011198</v>
      </c>
      <c r="E3763">
        <v>0.36882638949095597</v>
      </c>
      <c r="F3763">
        <v>0.15033481126298401</v>
      </c>
      <c r="G3763">
        <v>0.10440715151614099</v>
      </c>
      <c r="H3763">
        <v>6.3420931978551698E-2</v>
      </c>
      <c r="I3763">
        <v>5.4099031292174499E-2</v>
      </c>
      <c r="J3763">
        <v>4.7464408649180202E-2</v>
      </c>
      <c r="K3763">
        <v>3.65362207505893E-2</v>
      </c>
      <c r="L3763">
        <v>849.28218001002494</v>
      </c>
      <c r="M3763">
        <v>17.6474087684973</v>
      </c>
      <c r="N3763">
        <v>48.325871100407099</v>
      </c>
      <c r="O3763">
        <v>47.519834840595003</v>
      </c>
      <c r="P3763">
        <v>-8.9564083385096596E-2</v>
      </c>
      <c r="Q3763">
        <v>3.5361283830769502E-2</v>
      </c>
      <c r="R3763">
        <v>0.98839900831519301</v>
      </c>
      <c r="S3763" t="s">
        <v>10379</v>
      </c>
      <c r="T3763" t="s">
        <v>13232</v>
      </c>
      <c r="U3763" t="s">
        <v>13232</v>
      </c>
      <c r="V3763" t="s">
        <v>13232</v>
      </c>
      <c r="W3763" t="s">
        <v>16933</v>
      </c>
      <c r="X3763">
        <v>53</v>
      </c>
      <c r="Y3763" t="s">
        <v>23359</v>
      </c>
      <c r="Z3763" t="s">
        <v>29894</v>
      </c>
      <c r="AA3763">
        <v>0.31438473046950938</v>
      </c>
      <c r="AB3763" t="str">
        <f>HYPERLINK("Melting_Curves/meltCurve_Q5VYK3_ECM29.pdf", "Melting_Curves/meltCurve_Q5VYK3_ECM29.pdf")</f>
        <v>Melting_Curves/meltCurve_Q5VYK3_ECM29.pdf</v>
      </c>
    </row>
    <row r="3764" spans="1:28" x14ac:dyDescent="0.25">
      <c r="A3764" t="s">
        <v>3767</v>
      </c>
      <c r="B3764">
        <v>0.99930955844802105</v>
      </c>
      <c r="C3764">
        <v>1.14186240681757</v>
      </c>
      <c r="D3764">
        <v>1.1153292331823801</v>
      </c>
      <c r="E3764">
        <v>1.1268524510109801</v>
      </c>
      <c r="F3764">
        <v>0.83529187446648301</v>
      </c>
      <c r="G3764">
        <v>0.67360355205315403</v>
      </c>
      <c r="H3764">
        <v>0.64812834196024505</v>
      </c>
      <c r="I3764">
        <v>0.66348645745393298</v>
      </c>
      <c r="J3764">
        <v>0.63271455476195504</v>
      </c>
      <c r="K3764">
        <v>0.53945843012825501</v>
      </c>
      <c r="L3764">
        <v>13261.2907205216</v>
      </c>
      <c r="M3764">
        <v>250</v>
      </c>
      <c r="O3764">
        <v>53.041768940256198</v>
      </c>
      <c r="P3764">
        <v>-0.43423531200592702</v>
      </c>
      <c r="Q3764">
        <v>0.63147825921546097</v>
      </c>
      <c r="R3764">
        <v>0.87872423729692495</v>
      </c>
      <c r="S3764" t="s">
        <v>10380</v>
      </c>
      <c r="T3764" t="s">
        <v>13232</v>
      </c>
      <c r="U3764" t="s">
        <v>13232</v>
      </c>
      <c r="V3764" t="s">
        <v>13232</v>
      </c>
      <c r="W3764" t="s">
        <v>16934</v>
      </c>
      <c r="X3764">
        <v>11</v>
      </c>
      <c r="Y3764" t="s">
        <v>23360</v>
      </c>
      <c r="Z3764" t="s">
        <v>29895</v>
      </c>
      <c r="AA3764">
        <v>0.79176010397443497</v>
      </c>
      <c r="AB3764" t="str">
        <f>HYPERLINK("Melting_Curves/meltCurve_Q5VYS8_6_ZCCHC6.pdf", "Melting_Curves/meltCurve_Q5VYS8_6_ZCCHC6.pdf")</f>
        <v>Melting_Curves/meltCurve_Q5VYS8_6_ZCCHC6.pdf</v>
      </c>
    </row>
    <row r="3765" spans="1:28" x14ac:dyDescent="0.25">
      <c r="A3765" t="s">
        <v>3768</v>
      </c>
      <c r="B3765">
        <v>0.99930955844802105</v>
      </c>
      <c r="C3765">
        <v>1.5236853286015</v>
      </c>
      <c r="D3765">
        <v>1.37222497664705</v>
      </c>
      <c r="E3765">
        <v>1.5755140176998801</v>
      </c>
      <c r="F3765">
        <v>1.5087375350422001</v>
      </c>
      <c r="G3765">
        <v>1.4798613525325299</v>
      </c>
      <c r="H3765">
        <v>2.0433782036494699</v>
      </c>
      <c r="I3765">
        <v>2.04776673349116</v>
      </c>
      <c r="J3765">
        <v>2.1375047964449099</v>
      </c>
      <c r="K3765">
        <v>1.7051693743329499</v>
      </c>
      <c r="L3765">
        <v>10287.119772960499</v>
      </c>
      <c r="M3765">
        <v>250</v>
      </c>
      <c r="O3765">
        <v>41.145845834976697</v>
      </c>
      <c r="P3765">
        <v>0.75949344051290102</v>
      </c>
      <c r="Q3765">
        <v>1.5</v>
      </c>
      <c r="R3765">
        <v>5.0380201771667903E-2</v>
      </c>
      <c r="S3765" t="s">
        <v>10381</v>
      </c>
      <c r="T3765" t="s">
        <v>13232</v>
      </c>
      <c r="U3765" t="s">
        <v>13232</v>
      </c>
      <c r="V3765" t="s">
        <v>13232</v>
      </c>
      <c r="W3765" t="s">
        <v>16935</v>
      </c>
      <c r="X3765">
        <v>3</v>
      </c>
      <c r="Y3765" t="s">
        <v>23361</v>
      </c>
      <c r="Z3765" t="s">
        <v>29896</v>
      </c>
      <c r="AA3765">
        <v>1.4808206119040761</v>
      </c>
      <c r="AB3765" t="str">
        <f>HYPERLINK("Melting_Curves/meltCurve_Q5VYV7_SLX4IP.pdf", "Melting_Curves/meltCurve_Q5VYV7_SLX4IP.pdf")</f>
        <v>Melting_Curves/meltCurve_Q5VYV7_SLX4IP.pdf</v>
      </c>
    </row>
    <row r="3766" spans="1:28" x14ac:dyDescent="0.25">
      <c r="A3766" t="s">
        <v>3769</v>
      </c>
      <c r="B3766">
        <v>0.99930955844802105</v>
      </c>
      <c r="C3766">
        <v>0.970580577269471</v>
      </c>
      <c r="D3766">
        <v>0.87417470702371003</v>
      </c>
      <c r="E3766">
        <v>0.53344233556839904</v>
      </c>
      <c r="F3766">
        <v>0.22074115564034399</v>
      </c>
      <c r="G3766">
        <v>0.16273464890917799</v>
      </c>
      <c r="H3766">
        <v>0.11118439021374001</v>
      </c>
      <c r="I3766">
        <v>0.10585035884642099</v>
      </c>
      <c r="J3766">
        <v>8.9175002711511103E-2</v>
      </c>
      <c r="K3766">
        <v>7.1830506608083905E-2</v>
      </c>
      <c r="L3766">
        <v>1195.4293590101099</v>
      </c>
      <c r="M3766">
        <v>24.061435944568501</v>
      </c>
      <c r="N3766">
        <v>50.108857943634902</v>
      </c>
      <c r="O3766">
        <v>49.343022953132099</v>
      </c>
      <c r="P3766">
        <v>-0.110623310625017</v>
      </c>
      <c r="Q3766">
        <v>9.2588980168946899E-2</v>
      </c>
      <c r="R3766">
        <v>0.99740864467395796</v>
      </c>
      <c r="S3766" t="s">
        <v>10382</v>
      </c>
      <c r="T3766" t="s">
        <v>13232</v>
      </c>
      <c r="U3766" t="s">
        <v>13232</v>
      </c>
      <c r="V3766" t="s">
        <v>13232</v>
      </c>
      <c r="W3766" t="s">
        <v>16936</v>
      </c>
      <c r="X3766">
        <v>11</v>
      </c>
      <c r="Y3766" t="s">
        <v>23362</v>
      </c>
      <c r="Z3766" t="s">
        <v>29897</v>
      </c>
      <c r="AA3766">
        <v>0.39418824005002628</v>
      </c>
      <c r="AB3766" t="str">
        <f>HYPERLINK("Melting_Curves/meltCurve_Q5VZE5_NAA35.pdf", "Melting_Curves/meltCurve_Q5VZE5_NAA35.pdf")</f>
        <v>Melting_Curves/meltCurve_Q5VZE5_NAA35.pdf</v>
      </c>
    </row>
    <row r="3767" spans="1:28" x14ac:dyDescent="0.25">
      <c r="A3767" t="s">
        <v>3770</v>
      </c>
      <c r="B3767">
        <v>0.99930955844802105</v>
      </c>
      <c r="C3767">
        <v>0.92724448455799802</v>
      </c>
      <c r="D3767">
        <v>0.94147086220565901</v>
      </c>
      <c r="E3767">
        <v>0.97404308588202404</v>
      </c>
      <c r="F3767">
        <v>0.91495052281117795</v>
      </c>
      <c r="G3767">
        <v>0.57948066976814505</v>
      </c>
      <c r="H3767">
        <v>0.328404477323404</v>
      </c>
      <c r="I3767">
        <v>0.33167596617832901</v>
      </c>
      <c r="J3767">
        <v>0.30856136936953399</v>
      </c>
      <c r="K3767">
        <v>0.248157089091574</v>
      </c>
      <c r="L3767">
        <v>1727.7727085633201</v>
      </c>
      <c r="M3767">
        <v>30.665426195421901</v>
      </c>
      <c r="N3767">
        <v>57.915682751020697</v>
      </c>
      <c r="O3767">
        <v>56.1047165731474</v>
      </c>
      <c r="P3767">
        <v>-9.8028677160619193E-2</v>
      </c>
      <c r="Q3767">
        <v>0.28260076645270099</v>
      </c>
      <c r="R3767">
        <v>0.98753380617964603</v>
      </c>
      <c r="S3767" t="s">
        <v>10383</v>
      </c>
      <c r="T3767" t="s">
        <v>13232</v>
      </c>
      <c r="U3767" t="s">
        <v>13232</v>
      </c>
      <c r="V3767" t="s">
        <v>13232</v>
      </c>
      <c r="W3767" t="s">
        <v>16937</v>
      </c>
      <c r="X3767">
        <v>37</v>
      </c>
      <c r="Y3767" t="s">
        <v>23363</v>
      </c>
      <c r="Z3767" t="s">
        <v>29898</v>
      </c>
      <c r="AA3767">
        <v>0.67800741364262163</v>
      </c>
      <c r="AB3767" t="str">
        <f>HYPERLINK("Melting_Curves/meltCurve_Q5VZK9_LRRC16A.pdf", "Melting_Curves/meltCurve_Q5VZK9_LRRC16A.pdf")</f>
        <v>Melting_Curves/meltCurve_Q5VZK9_LRRC16A.pdf</v>
      </c>
    </row>
    <row r="3768" spans="1:28" x14ac:dyDescent="0.25">
      <c r="A3768" t="s">
        <v>3771</v>
      </c>
      <c r="B3768">
        <v>0.99930955844802105</v>
      </c>
      <c r="C3768">
        <v>0.95804921759674699</v>
      </c>
      <c r="D3768">
        <v>0.87373420237063903</v>
      </c>
      <c r="E3768">
        <v>0.76121982386377496</v>
      </c>
      <c r="F3768">
        <v>0.55217127758689599</v>
      </c>
      <c r="G3768">
        <v>0.39903387945736302</v>
      </c>
      <c r="H3768">
        <v>0.33715839921378699</v>
      </c>
      <c r="I3768">
        <v>0.34214140879454702</v>
      </c>
      <c r="J3768">
        <v>0.32675498304120698</v>
      </c>
      <c r="K3768">
        <v>0.27653719928645398</v>
      </c>
      <c r="L3768">
        <v>799.51811978933699</v>
      </c>
      <c r="M3768">
        <v>15.5338301991051</v>
      </c>
      <c r="N3768">
        <v>54.466777345763603</v>
      </c>
      <c r="O3768">
        <v>50.639120564994201</v>
      </c>
      <c r="P3768">
        <v>-5.4659303830336903E-2</v>
      </c>
      <c r="Q3768">
        <v>0.28732186458367998</v>
      </c>
      <c r="R3768">
        <v>0.994077201647388</v>
      </c>
      <c r="S3768" t="s">
        <v>10384</v>
      </c>
      <c r="T3768" t="s">
        <v>13232</v>
      </c>
      <c r="U3768" t="s">
        <v>13232</v>
      </c>
      <c r="V3768" t="s">
        <v>13232</v>
      </c>
      <c r="W3768" t="s">
        <v>16938</v>
      </c>
      <c r="X3768">
        <v>30</v>
      </c>
      <c r="Y3768" t="s">
        <v>23364</v>
      </c>
      <c r="Z3768" t="s">
        <v>29899</v>
      </c>
      <c r="AA3768">
        <v>0.57512096505654342</v>
      </c>
      <c r="AB3768" t="str">
        <f>HYPERLINK("Melting_Curves/meltCurve_Q5VZL5_4_ZMYM4.pdf", "Melting_Curves/meltCurve_Q5VZL5_4_ZMYM4.pdf")</f>
        <v>Melting_Curves/meltCurve_Q5VZL5_4_ZMYM4.pdf</v>
      </c>
    </row>
    <row r="3769" spans="1:28" x14ac:dyDescent="0.25">
      <c r="A3769" t="s">
        <v>3772</v>
      </c>
      <c r="B3769">
        <v>0.99930955844802105</v>
      </c>
      <c r="C3769">
        <v>1.1662389835738001</v>
      </c>
      <c r="D3769">
        <v>1.1504315783638599</v>
      </c>
      <c r="E3769">
        <v>0.97415723016074496</v>
      </c>
      <c r="F3769">
        <v>1.0276268816148</v>
      </c>
      <c r="G3769">
        <v>0.87396659998759296</v>
      </c>
      <c r="H3769">
        <v>0.63748766032820603</v>
      </c>
      <c r="I3769">
        <v>0.52856935518021098</v>
      </c>
      <c r="J3769">
        <v>0.39173674769086397</v>
      </c>
      <c r="K3769">
        <v>0.34058102356856601</v>
      </c>
      <c r="L3769">
        <v>1334.4954395080899</v>
      </c>
      <c r="M3769">
        <v>21.8354282180157</v>
      </c>
      <c r="N3769">
        <v>63.919866501037397</v>
      </c>
      <c r="O3769">
        <v>60.610389904790303</v>
      </c>
      <c r="P3769">
        <v>-6.2314408244961199E-2</v>
      </c>
      <c r="Q3769">
        <v>0.30813108460865102</v>
      </c>
      <c r="R3769">
        <v>0.93586234512803701</v>
      </c>
      <c r="S3769" t="s">
        <v>10385</v>
      </c>
      <c r="T3769" t="s">
        <v>13232</v>
      </c>
      <c r="U3769" t="s">
        <v>13232</v>
      </c>
      <c r="V3769" t="s">
        <v>13232</v>
      </c>
      <c r="W3769" t="s">
        <v>16939</v>
      </c>
      <c r="X3769">
        <v>10</v>
      </c>
      <c r="Y3769" t="s">
        <v>23365</v>
      </c>
      <c r="Z3769" t="s">
        <v>29900</v>
      </c>
      <c r="AA3769">
        <v>0.79934433302766505</v>
      </c>
      <c r="AB3769" t="str">
        <f>HYPERLINK("Melting_Curves/meltCurve_Q5VZM2_2_RRAGB.pdf", "Melting_Curves/meltCurve_Q5VZM2_2_RRAGB.pdf")</f>
        <v>Melting_Curves/meltCurve_Q5VZM2_2_RRAGB.pdf</v>
      </c>
    </row>
    <row r="3770" spans="1:28" x14ac:dyDescent="0.25">
      <c r="A3770" t="s">
        <v>3773</v>
      </c>
      <c r="B3770">
        <v>0.99930955844802105</v>
      </c>
      <c r="C3770">
        <v>1.04388269687401</v>
      </c>
      <c r="D3770">
        <v>0.95644531464125504</v>
      </c>
      <c r="E3770">
        <v>0.99495963989479896</v>
      </c>
      <c r="F3770">
        <v>0.83651704357843204</v>
      </c>
      <c r="G3770">
        <v>0.557370965199256</v>
      </c>
      <c r="H3770">
        <v>0.35268861413371599</v>
      </c>
      <c r="I3770">
        <v>0.28431717855788402</v>
      </c>
      <c r="J3770">
        <v>0.243386274751207</v>
      </c>
      <c r="K3770">
        <v>0.191349218115172</v>
      </c>
      <c r="L3770">
        <v>1192.63844508853</v>
      </c>
      <c r="M3770">
        <v>21.086061325841801</v>
      </c>
      <c r="N3770">
        <v>58.003638615856801</v>
      </c>
      <c r="O3770">
        <v>56.059182590345699</v>
      </c>
      <c r="P3770">
        <v>-7.4843199383953105E-2</v>
      </c>
      <c r="Q3770">
        <v>0.20411177550096299</v>
      </c>
      <c r="R3770">
        <v>0.994212342485298</v>
      </c>
      <c r="S3770" t="s">
        <v>10386</v>
      </c>
      <c r="T3770" t="s">
        <v>13232</v>
      </c>
      <c r="U3770" t="s">
        <v>13232</v>
      </c>
      <c r="V3770" t="s">
        <v>13232</v>
      </c>
      <c r="W3770" t="s">
        <v>16940</v>
      </c>
      <c r="X3770">
        <v>3</v>
      </c>
      <c r="Y3770" t="s">
        <v>23366</v>
      </c>
      <c r="Z3770" t="s">
        <v>29901</v>
      </c>
      <c r="AA3770">
        <v>0.65277621637185657</v>
      </c>
      <c r="AB3770" t="str">
        <f>HYPERLINK("Melting_Curves/meltCurve_Q5W0B1_RNF219.pdf", "Melting_Curves/meltCurve_Q5W0B1_RNF219.pdf")</f>
        <v>Melting_Curves/meltCurve_Q5W0B1_RNF219.pdf</v>
      </c>
    </row>
    <row r="3771" spans="1:28" x14ac:dyDescent="0.25">
      <c r="A3771" t="s">
        <v>3774</v>
      </c>
      <c r="B3771">
        <v>0.99930955844802105</v>
      </c>
      <c r="C3771">
        <v>0.93984363649591796</v>
      </c>
      <c r="D3771">
        <v>0.94508512645579901</v>
      </c>
      <c r="E3771">
        <v>0.83257553657220196</v>
      </c>
      <c r="F3771">
        <v>0.71874052938240796</v>
      </c>
      <c r="G3771">
        <v>0.48233480937996198</v>
      </c>
      <c r="H3771">
        <v>0.164826592521883</v>
      </c>
      <c r="I3771">
        <v>9.8041990168090995E-2</v>
      </c>
      <c r="J3771">
        <v>7.1946603835342002E-2</v>
      </c>
      <c r="K3771">
        <v>5.6665096684357603E-2</v>
      </c>
      <c r="L3771">
        <v>881.01076420468598</v>
      </c>
      <c r="M3771">
        <v>15.7404478533124</v>
      </c>
      <c r="N3771">
        <v>55.971151335749902</v>
      </c>
      <c r="O3771">
        <v>55.091093564374901</v>
      </c>
      <c r="P3771">
        <v>-7.1435160029193701E-2</v>
      </c>
      <c r="Q3771">
        <v>0</v>
      </c>
      <c r="R3771">
        <v>0.99260348446658997</v>
      </c>
      <c r="S3771" t="s">
        <v>10387</v>
      </c>
      <c r="T3771" t="s">
        <v>13232</v>
      </c>
      <c r="U3771" t="s">
        <v>13232</v>
      </c>
      <c r="V3771" t="s">
        <v>13232</v>
      </c>
      <c r="W3771" t="s">
        <v>16941</v>
      </c>
      <c r="X3771">
        <v>14</v>
      </c>
      <c r="Y3771" t="s">
        <v>23367</v>
      </c>
      <c r="Z3771" t="s">
        <v>29902</v>
      </c>
      <c r="AA3771">
        <v>0.54940662226331127</v>
      </c>
      <c r="AB3771" t="str">
        <f>HYPERLINK("Melting_Curves/meltCurve_Q5W0V3_FAM160B1.pdf", "Melting_Curves/meltCurve_Q5W0V3_FAM160B1.pdf")</f>
        <v>Melting_Curves/meltCurve_Q5W0V3_FAM160B1.pdf</v>
      </c>
    </row>
    <row r="3772" spans="1:28" x14ac:dyDescent="0.25">
      <c r="A3772" t="s">
        <v>3775</v>
      </c>
      <c r="B3772">
        <v>0.99930955844802105</v>
      </c>
      <c r="C3772">
        <v>0.92918988070459896</v>
      </c>
      <c r="D3772">
        <v>0.79924804279455997</v>
      </c>
      <c r="E3772">
        <v>0.60403800921874296</v>
      </c>
      <c r="F3772">
        <v>0.298632125930542</v>
      </c>
      <c r="G3772">
        <v>0.18428007231848201</v>
      </c>
      <c r="H3772">
        <v>0.118182659000114</v>
      </c>
      <c r="I3772">
        <v>0.10018596554103799</v>
      </c>
      <c r="J3772">
        <v>9.75416597761289E-2</v>
      </c>
      <c r="K3772">
        <v>7.7094692027140296E-2</v>
      </c>
      <c r="L3772">
        <v>823.89909515631405</v>
      </c>
      <c r="M3772">
        <v>16.427701999739099</v>
      </c>
      <c r="N3772">
        <v>50.628045795086798</v>
      </c>
      <c r="O3772">
        <v>49.427523013113898</v>
      </c>
      <c r="P3772">
        <v>-7.71610197202761E-2</v>
      </c>
      <c r="Q3772">
        <v>7.1420115814538707E-2</v>
      </c>
      <c r="R3772">
        <v>0.99472302939325796</v>
      </c>
      <c r="S3772" t="s">
        <v>10388</v>
      </c>
      <c r="T3772" t="s">
        <v>13232</v>
      </c>
      <c r="U3772" t="s">
        <v>13232</v>
      </c>
      <c r="V3772" t="s">
        <v>13232</v>
      </c>
      <c r="W3772" t="s">
        <v>16942</v>
      </c>
      <c r="X3772">
        <v>14</v>
      </c>
      <c r="Y3772" t="s">
        <v>23368</v>
      </c>
      <c r="Z3772" t="s">
        <v>29903</v>
      </c>
      <c r="AA3772">
        <v>0.40440894353485779</v>
      </c>
      <c r="AB3772" t="str">
        <f>HYPERLINK("Melting_Curves/meltCurve_Q5XLC2_PFKFB4.pdf", "Melting_Curves/meltCurve_Q5XLC2_PFKFB4.pdf")</f>
        <v>Melting_Curves/meltCurve_Q5XLC2_PFKFB4.pdf</v>
      </c>
    </row>
    <row r="3773" spans="1:28" x14ac:dyDescent="0.25">
      <c r="A3773" t="s">
        <v>3776</v>
      </c>
      <c r="B3773">
        <v>0.99930955844802105</v>
      </c>
      <c r="C3773">
        <v>0.88703129504172196</v>
      </c>
      <c r="D3773">
        <v>0.90814649109128998</v>
      </c>
      <c r="E3773">
        <v>0.78349417025365897</v>
      </c>
      <c r="F3773">
        <v>0.23471335940816801</v>
      </c>
      <c r="G3773">
        <v>0.18942751873385999</v>
      </c>
      <c r="H3773">
        <v>0.12205656879985299</v>
      </c>
      <c r="I3773">
        <v>0.108541287672747</v>
      </c>
      <c r="J3773">
        <v>0.101446752930909</v>
      </c>
      <c r="K3773">
        <v>7.9274048586206305E-2</v>
      </c>
      <c r="L3773">
        <v>2505.8986380988499</v>
      </c>
      <c r="M3773">
        <v>49.041194703319903</v>
      </c>
      <c r="N3773">
        <v>51.377579274570401</v>
      </c>
      <c r="O3773">
        <v>51.013080368906898</v>
      </c>
      <c r="P3773">
        <v>-0.21217717989146501</v>
      </c>
      <c r="Q3773">
        <v>0.117166565423484</v>
      </c>
      <c r="R3773">
        <v>0.98089934687186398</v>
      </c>
      <c r="S3773" t="s">
        <v>10389</v>
      </c>
      <c r="T3773" t="s">
        <v>13232</v>
      </c>
      <c r="U3773" t="s">
        <v>13232</v>
      </c>
      <c r="V3773" t="s">
        <v>13232</v>
      </c>
      <c r="W3773" t="s">
        <v>16943</v>
      </c>
      <c r="X3773">
        <v>21</v>
      </c>
      <c r="Y3773" t="s">
        <v>23369</v>
      </c>
      <c r="Z3773" t="s">
        <v>29904</v>
      </c>
      <c r="AA3773">
        <v>0.44581988673898187</v>
      </c>
      <c r="AB3773" t="str">
        <f>HYPERLINK("Melting_Curves/meltCurve_Q5XPI4_RNF123.pdf", "Melting_Curves/meltCurve_Q5XPI4_RNF123.pdf")</f>
        <v>Melting_Curves/meltCurve_Q5XPI4_RNF123.pdf</v>
      </c>
    </row>
    <row r="3774" spans="1:28" x14ac:dyDescent="0.25">
      <c r="A3774" t="s">
        <v>3777</v>
      </c>
      <c r="B3774">
        <v>0.99930955844802105</v>
      </c>
      <c r="C3774">
        <v>0.94466942919123198</v>
      </c>
      <c r="D3774">
        <v>0.94678573278089395</v>
      </c>
      <c r="E3774">
        <v>0.86611113029758202</v>
      </c>
      <c r="F3774">
        <v>0.638218846556458</v>
      </c>
      <c r="G3774">
        <v>0.26658178587478099</v>
      </c>
      <c r="H3774">
        <v>0.13793936465029299</v>
      </c>
      <c r="I3774">
        <v>0.122521158249688</v>
      </c>
      <c r="J3774">
        <v>0.108578318466432</v>
      </c>
      <c r="K3774">
        <v>8.66954731734077E-2</v>
      </c>
      <c r="L3774">
        <v>1268.0642959029601</v>
      </c>
      <c r="M3774">
        <v>23.578148841626899</v>
      </c>
      <c r="N3774">
        <v>54.2429879710607</v>
      </c>
      <c r="O3774">
        <v>53.398944909866401</v>
      </c>
      <c r="P3774">
        <v>-0.10035333707239</v>
      </c>
      <c r="Q3774">
        <v>9.0908868217674493E-2</v>
      </c>
      <c r="R3774">
        <v>0.99663392613274004</v>
      </c>
      <c r="S3774" t="s">
        <v>10390</v>
      </c>
      <c r="T3774" t="s">
        <v>13232</v>
      </c>
      <c r="U3774" t="s">
        <v>13232</v>
      </c>
      <c r="V3774" t="s">
        <v>13232</v>
      </c>
      <c r="W3774" t="s">
        <v>16944</v>
      </c>
      <c r="X3774">
        <v>12</v>
      </c>
      <c r="Y3774" t="s">
        <v>23370</v>
      </c>
      <c r="Z3774" t="s">
        <v>29905</v>
      </c>
      <c r="AA3774">
        <v>0.51787282902097653</v>
      </c>
      <c r="AB3774" t="str">
        <f>HYPERLINK("Melting_Curves/meltCurve_Q5XUX1_3_FBXW9.pdf", "Melting_Curves/meltCurve_Q5XUX1_3_FBXW9.pdf")</f>
        <v>Melting_Curves/meltCurve_Q5XUX1_3_FBXW9.pdf</v>
      </c>
    </row>
    <row r="3775" spans="1:28" x14ac:dyDescent="0.25">
      <c r="A3775" t="s">
        <v>3778</v>
      </c>
      <c r="B3775">
        <v>0.99930955844802105</v>
      </c>
      <c r="C3775">
        <v>1.19075289696571</v>
      </c>
      <c r="D3775">
        <v>1.2401437326951801</v>
      </c>
      <c r="E3775">
        <v>0.927487362104499</v>
      </c>
      <c r="F3775">
        <v>0.58649084137330698</v>
      </c>
      <c r="G3775">
        <v>0.58437192497078205</v>
      </c>
      <c r="H3775">
        <v>0.59069934234043797</v>
      </c>
      <c r="I3775">
        <v>0.57777929205275902</v>
      </c>
      <c r="J3775">
        <v>0.68058761340631502</v>
      </c>
      <c r="K3775">
        <v>0.44042439498955399</v>
      </c>
      <c r="L3775">
        <v>4637.6640173388096</v>
      </c>
      <c r="M3775">
        <v>91.1673065007746</v>
      </c>
      <c r="O3775">
        <v>50.845352923434497</v>
      </c>
      <c r="P3775">
        <v>-0.19053533284420901</v>
      </c>
      <c r="Q3775">
        <v>0.57494255927884597</v>
      </c>
      <c r="R3775">
        <v>0.83010010739585005</v>
      </c>
      <c r="S3775" t="s">
        <v>10391</v>
      </c>
      <c r="T3775" t="s">
        <v>13232</v>
      </c>
      <c r="U3775" t="s">
        <v>13232</v>
      </c>
      <c r="V3775" t="s">
        <v>13232</v>
      </c>
      <c r="W3775" t="s">
        <v>16945</v>
      </c>
      <c r="X3775">
        <v>1</v>
      </c>
      <c r="Y3775" t="s">
        <v>23371</v>
      </c>
      <c r="Z3775" t="s">
        <v>29906</v>
      </c>
      <c r="AA3775">
        <v>0.72923818391405326</v>
      </c>
      <c r="AB3775" t="str">
        <f>HYPERLINK("Melting_Curves/meltCurve_Q63HM1_AFMID.pdf", "Melting_Curves/meltCurve_Q63HM1_AFMID.pdf")</f>
        <v>Melting_Curves/meltCurve_Q63HM1_AFMID.pdf</v>
      </c>
    </row>
    <row r="3776" spans="1:28" x14ac:dyDescent="0.25">
      <c r="A3776" t="s">
        <v>3779</v>
      </c>
      <c r="B3776">
        <v>0.99930955844802105</v>
      </c>
      <c r="C3776">
        <v>0.65968919895183298</v>
      </c>
      <c r="D3776">
        <v>0.62096177895319304</v>
      </c>
      <c r="E3776">
        <v>0.42630996215716999</v>
      </c>
      <c r="F3776">
        <v>0.32529732696722902</v>
      </c>
      <c r="G3776">
        <v>0.26441421467406001</v>
      </c>
      <c r="H3776">
        <v>0.217534408039434</v>
      </c>
      <c r="I3776">
        <v>0.20793607826674201</v>
      </c>
      <c r="J3776">
        <v>0.19836584386723999</v>
      </c>
      <c r="K3776">
        <v>0.16082322490555301</v>
      </c>
      <c r="L3776">
        <v>548.55085356188101</v>
      </c>
      <c r="M3776">
        <v>11.8542719639235</v>
      </c>
      <c r="N3776">
        <v>47.987635143439903</v>
      </c>
      <c r="O3776">
        <v>45.016612683361302</v>
      </c>
      <c r="P3776">
        <v>-5.4489077155895703E-2</v>
      </c>
      <c r="Q3776">
        <v>0.17252019510178901</v>
      </c>
      <c r="R3776">
        <v>0.96242843186861404</v>
      </c>
      <c r="S3776" t="s">
        <v>10392</v>
      </c>
      <c r="T3776" t="s">
        <v>13232</v>
      </c>
      <c r="U3776" t="s">
        <v>13232</v>
      </c>
      <c r="V3776" t="s">
        <v>13232</v>
      </c>
      <c r="W3776" t="s">
        <v>16946</v>
      </c>
      <c r="X3776">
        <v>61</v>
      </c>
      <c r="Y3776" t="s">
        <v>23372</v>
      </c>
      <c r="Z3776" t="s">
        <v>29907</v>
      </c>
      <c r="AA3776">
        <v>0.38321499929435721</v>
      </c>
      <c r="AB3776" t="str">
        <f>HYPERLINK("Melting_Curves/meltCurve_Q63HN8_RNF213.pdf", "Melting_Curves/meltCurve_Q63HN8_RNF213.pdf")</f>
        <v>Melting_Curves/meltCurve_Q63HN8_RNF213.pdf</v>
      </c>
    </row>
    <row r="3777" spans="1:28" x14ac:dyDescent="0.25">
      <c r="A3777" t="s">
        <v>3780</v>
      </c>
      <c r="B3777">
        <v>0.99930955844802105</v>
      </c>
      <c r="C3777">
        <v>1.3036207751926301</v>
      </c>
      <c r="D3777">
        <v>1.2678159362297801</v>
      </c>
      <c r="E3777">
        <v>1.1626893408580501</v>
      </c>
      <c r="F3777">
        <v>1.16305267835152</v>
      </c>
      <c r="G3777">
        <v>1.0459148239124401</v>
      </c>
      <c r="H3777">
        <v>1.1231852920839001</v>
      </c>
      <c r="I3777">
        <v>1.1846662057916899</v>
      </c>
      <c r="J3777">
        <v>1.2458455210014401</v>
      </c>
      <c r="K3777">
        <v>1.0258939946982399</v>
      </c>
      <c r="L3777">
        <v>10250.0485999259</v>
      </c>
      <c r="M3777">
        <v>250</v>
      </c>
      <c r="O3777">
        <v>40.997595480534002</v>
      </c>
      <c r="P3777">
        <v>0.25792231947468403</v>
      </c>
      <c r="Q3777">
        <v>1.1691870170462</v>
      </c>
      <c r="R3777">
        <v>0.26551308132278501</v>
      </c>
      <c r="S3777" t="s">
        <v>10393</v>
      </c>
      <c r="T3777" t="s">
        <v>13232</v>
      </c>
      <c r="U3777" t="s">
        <v>13232</v>
      </c>
      <c r="V3777" t="s">
        <v>13232</v>
      </c>
      <c r="W3777" t="s">
        <v>16947</v>
      </c>
      <c r="X3777">
        <v>4</v>
      </c>
      <c r="Y3777" t="s">
        <v>23373</v>
      </c>
      <c r="Z3777" t="s">
        <v>29908</v>
      </c>
      <c r="AA3777">
        <v>1.163532497051297</v>
      </c>
      <c r="AB3777" t="str">
        <f>HYPERLINK("Melting_Curves/meltCurve_Q63HQ0_AP1AR.pdf", "Melting_Curves/meltCurve_Q63HQ0_AP1AR.pdf")</f>
        <v>Melting_Curves/meltCurve_Q63HQ0_AP1AR.pdf</v>
      </c>
    </row>
    <row r="3778" spans="1:28" x14ac:dyDescent="0.25">
      <c r="A3778" t="s">
        <v>3781</v>
      </c>
      <c r="B3778">
        <v>0.99930955844802105</v>
      </c>
      <c r="C3778">
        <v>0.77570737961639502</v>
      </c>
      <c r="D3778">
        <v>0.86005372275693703</v>
      </c>
      <c r="E3778">
        <v>0.92383234652976798</v>
      </c>
      <c r="F3778">
        <v>0.70438922742912002</v>
      </c>
      <c r="G3778">
        <v>0.336142142685045</v>
      </c>
      <c r="H3778">
        <v>0.107656875565358</v>
      </c>
      <c r="I3778">
        <v>9.0437267287285697E-2</v>
      </c>
      <c r="J3778">
        <v>7.2207641118108998E-2</v>
      </c>
      <c r="K3778">
        <v>5.9610657410998101E-2</v>
      </c>
      <c r="L3778">
        <v>1200.6617813579401</v>
      </c>
      <c r="M3778">
        <v>21.890739377463301</v>
      </c>
      <c r="N3778">
        <v>55.079231957491103</v>
      </c>
      <c r="O3778">
        <v>54.396375860594198</v>
      </c>
      <c r="P3778">
        <v>-9.6191575707472707E-2</v>
      </c>
      <c r="Q3778">
        <v>4.3914619340179498E-2</v>
      </c>
      <c r="R3778">
        <v>0.95209205784858897</v>
      </c>
      <c r="S3778" t="s">
        <v>10394</v>
      </c>
      <c r="T3778" t="s">
        <v>13232</v>
      </c>
      <c r="U3778" t="s">
        <v>13232</v>
      </c>
      <c r="V3778" t="s">
        <v>13232</v>
      </c>
      <c r="W3778" t="s">
        <v>16948</v>
      </c>
      <c r="X3778">
        <v>10</v>
      </c>
      <c r="Y3778" t="s">
        <v>23374</v>
      </c>
      <c r="Z3778" t="s">
        <v>29909</v>
      </c>
      <c r="AA3778">
        <v>0.52819801216395768</v>
      </c>
      <c r="AB3778" t="str">
        <f>HYPERLINK("Melting_Curves/meltCurve_Q658Y4_FAM91A1.pdf", "Melting_Curves/meltCurve_Q658Y4_FAM91A1.pdf")</f>
        <v>Melting_Curves/meltCurve_Q658Y4_FAM91A1.pdf</v>
      </c>
    </row>
    <row r="3779" spans="1:28" x14ac:dyDescent="0.25">
      <c r="A3779" t="s">
        <v>3782</v>
      </c>
      <c r="B3779">
        <v>0.99930955844802105</v>
      </c>
      <c r="C3779">
        <v>0.95151806061406896</v>
      </c>
      <c r="D3779">
        <v>0.90078465438773803</v>
      </c>
      <c r="E3779">
        <v>0.84140285422229599</v>
      </c>
      <c r="F3779">
        <v>0.66056188337683197</v>
      </c>
      <c r="G3779">
        <v>0.58693641740479996</v>
      </c>
      <c r="H3779">
        <v>0.56097384007785001</v>
      </c>
      <c r="I3779">
        <v>0.59600193506576604</v>
      </c>
      <c r="J3779">
        <v>0.58623429730558596</v>
      </c>
      <c r="K3779">
        <v>0.45918310322802702</v>
      </c>
      <c r="L3779">
        <v>741.44191536174503</v>
      </c>
      <c r="M3779">
        <v>14.5632716546494</v>
      </c>
      <c r="O3779">
        <v>49.980701652624703</v>
      </c>
      <c r="P3779">
        <v>-3.4720559771138901E-2</v>
      </c>
      <c r="Q3779">
        <v>0.52341446939513103</v>
      </c>
      <c r="R3779">
        <v>0.95477905538472696</v>
      </c>
      <c r="S3779" t="s">
        <v>10395</v>
      </c>
      <c r="T3779" t="s">
        <v>13232</v>
      </c>
      <c r="U3779" t="s">
        <v>13232</v>
      </c>
      <c r="V3779" t="s">
        <v>13232</v>
      </c>
      <c r="W3779" t="s">
        <v>16949</v>
      </c>
      <c r="X3779">
        <v>6</v>
      </c>
      <c r="Y3779" t="s">
        <v>23375</v>
      </c>
      <c r="Z3779" t="s">
        <v>29910</v>
      </c>
      <c r="AA3779">
        <v>0.70835488663204838</v>
      </c>
      <c r="AB3779" t="str">
        <f>HYPERLINK("Melting_Curves/meltCurve_Q659A1_NARG2.pdf", "Melting_Curves/meltCurve_Q659A1_NARG2.pdf")</f>
        <v>Melting_Curves/meltCurve_Q659A1_NARG2.pdf</v>
      </c>
    </row>
    <row r="3780" spans="1:28" x14ac:dyDescent="0.25">
      <c r="A3780" t="s">
        <v>3783</v>
      </c>
      <c r="B3780">
        <v>0.99930955844802105</v>
      </c>
      <c r="C3780">
        <v>1.0070826024680299</v>
      </c>
      <c r="D3780">
        <v>0.97929584409297599</v>
      </c>
      <c r="E3780">
        <v>0.92467357638546399</v>
      </c>
      <c r="F3780">
        <v>0.95109611419143203</v>
      </c>
      <c r="G3780">
        <v>0.867106453027641</v>
      </c>
      <c r="H3780">
        <v>0.843159193124142</v>
      </c>
      <c r="I3780">
        <v>0.99768310699617702</v>
      </c>
      <c r="J3780">
        <v>0.99509187143251299</v>
      </c>
      <c r="K3780">
        <v>0.81492368268553494</v>
      </c>
      <c r="L3780">
        <v>1234.9678915130901</v>
      </c>
      <c r="M3780">
        <v>25.5583198191487</v>
      </c>
      <c r="O3780">
        <v>48.026706488960897</v>
      </c>
      <c r="P3780">
        <v>-1.2236069050257301E-2</v>
      </c>
      <c r="Q3780">
        <v>0.90802981385117498</v>
      </c>
      <c r="R3780">
        <v>0.318277621648482</v>
      </c>
      <c r="S3780" t="s">
        <v>10396</v>
      </c>
      <c r="T3780" t="s">
        <v>13232</v>
      </c>
      <c r="U3780" t="s">
        <v>13232</v>
      </c>
      <c r="V3780" t="s">
        <v>13232</v>
      </c>
      <c r="W3780" t="s">
        <v>16950</v>
      </c>
      <c r="X3780">
        <v>8</v>
      </c>
      <c r="Y3780" t="s">
        <v>23376</v>
      </c>
      <c r="Z3780" t="s">
        <v>29911</v>
      </c>
      <c r="AA3780">
        <v>0.93431090928867433</v>
      </c>
      <c r="AB3780" t="str">
        <f>HYPERLINK("Melting_Curves/meltCurve_Q659C4_LARP1B.pdf", "Melting_Curves/meltCurve_Q659C4_LARP1B.pdf")</f>
        <v>Melting_Curves/meltCurve_Q659C4_LARP1B.pdf</v>
      </c>
    </row>
    <row r="3781" spans="1:28" x14ac:dyDescent="0.25">
      <c r="A3781" t="s">
        <v>3784</v>
      </c>
      <c r="B3781">
        <v>0.99930955844802105</v>
      </c>
      <c r="C3781">
        <v>0.88974906337885096</v>
      </c>
      <c r="D3781">
        <v>0.81641190953992104</v>
      </c>
      <c r="E3781">
        <v>0.58017950844602295</v>
      </c>
      <c r="F3781">
        <v>0.378691239537368</v>
      </c>
      <c r="G3781">
        <v>0.25417446812185202</v>
      </c>
      <c r="H3781">
        <v>0.16472677375415901</v>
      </c>
      <c r="I3781">
        <v>0.143228559449536</v>
      </c>
      <c r="J3781">
        <v>0.12877803846432201</v>
      </c>
      <c r="K3781">
        <v>9.3990891611581195E-2</v>
      </c>
      <c r="L3781">
        <v>682.56202123939499</v>
      </c>
      <c r="M3781">
        <v>13.5408111875806</v>
      </c>
      <c r="N3781">
        <v>51.1381085513949</v>
      </c>
      <c r="O3781">
        <v>49.346463421501099</v>
      </c>
      <c r="P3781">
        <v>-6.2578877539859398E-2</v>
      </c>
      <c r="Q3781">
        <v>8.7918524395684206E-2</v>
      </c>
      <c r="R3781">
        <v>0.99747524554326195</v>
      </c>
      <c r="S3781" t="s">
        <v>10397</v>
      </c>
      <c r="T3781" t="s">
        <v>13232</v>
      </c>
      <c r="U3781" t="s">
        <v>13232</v>
      </c>
      <c r="V3781" t="s">
        <v>13232</v>
      </c>
      <c r="W3781" t="s">
        <v>16951</v>
      </c>
      <c r="X3781">
        <v>7</v>
      </c>
      <c r="Y3781" t="s">
        <v>23377</v>
      </c>
      <c r="Z3781" t="s">
        <v>29912</v>
      </c>
      <c r="AA3781">
        <v>0.42983593780837959</v>
      </c>
      <c r="AB3781" t="str">
        <f>HYPERLINK("Melting_Curves/meltCurve_Q66GS9_CEP135.pdf", "Melting_Curves/meltCurve_Q66GS9_CEP135.pdf")</f>
        <v>Melting_Curves/meltCurve_Q66GS9_CEP135.pdf</v>
      </c>
    </row>
    <row r="3782" spans="1:28" x14ac:dyDescent="0.25">
      <c r="A3782" t="s">
        <v>3785</v>
      </c>
      <c r="B3782">
        <v>0.99930955844802105</v>
      </c>
      <c r="C3782">
        <v>1.0855966623487401</v>
      </c>
      <c r="D3782">
        <v>0.89384507894397103</v>
      </c>
      <c r="E3782">
        <v>0.60855450442399905</v>
      </c>
      <c r="F3782">
        <v>0.38300810394434898</v>
      </c>
      <c r="G3782">
        <v>0.25626140975888401</v>
      </c>
      <c r="H3782">
        <v>0.150447551140689</v>
      </c>
      <c r="I3782">
        <v>0.12627762775086801</v>
      </c>
      <c r="J3782">
        <v>0.11480361213941299</v>
      </c>
      <c r="K3782">
        <v>8.7438077348511098E-2</v>
      </c>
      <c r="L3782">
        <v>983.18827777796298</v>
      </c>
      <c r="M3782">
        <v>19.326048729302101</v>
      </c>
      <c r="N3782">
        <v>51.5431896822505</v>
      </c>
      <c r="O3782">
        <v>50.3384348194936</v>
      </c>
      <c r="P3782">
        <v>-8.5330621382881194E-2</v>
      </c>
      <c r="Q3782">
        <v>0.11099280802603601</v>
      </c>
      <c r="R3782">
        <v>0.98895371309346003</v>
      </c>
      <c r="S3782" t="s">
        <v>10398</v>
      </c>
      <c r="T3782" t="s">
        <v>13232</v>
      </c>
      <c r="U3782" t="s">
        <v>13232</v>
      </c>
      <c r="V3782" t="s">
        <v>13232</v>
      </c>
      <c r="W3782" t="s">
        <v>16952</v>
      </c>
      <c r="X3782">
        <v>21</v>
      </c>
      <c r="Y3782" t="s">
        <v>23378</v>
      </c>
      <c r="Z3782" t="s">
        <v>29913</v>
      </c>
      <c r="AA3782">
        <v>0.4463831298577291</v>
      </c>
      <c r="AB3782" t="str">
        <f>HYPERLINK("Melting_Curves/meltCurve_Q66K14_2_TBC1D9B.pdf", "Melting_Curves/meltCurve_Q66K14_2_TBC1D9B.pdf")</f>
        <v>Melting_Curves/meltCurve_Q66K14_2_TBC1D9B.pdf</v>
      </c>
    </row>
    <row r="3783" spans="1:28" x14ac:dyDescent="0.25">
      <c r="A3783" t="s">
        <v>3786</v>
      </c>
      <c r="B3783">
        <v>0.99930955844802105</v>
      </c>
      <c r="C3783">
        <v>0.91405286643272199</v>
      </c>
      <c r="D3783">
        <v>0.85812608632312604</v>
      </c>
      <c r="E3783">
        <v>0.84399938870563695</v>
      </c>
      <c r="F3783">
        <v>0.60684819972716297</v>
      </c>
      <c r="G3783">
        <v>0.34569177207080998</v>
      </c>
      <c r="H3783">
        <v>0.290880437156116</v>
      </c>
      <c r="I3783">
        <v>0.28246936391546201</v>
      </c>
      <c r="J3783">
        <v>0.33417519172662602</v>
      </c>
      <c r="K3783">
        <v>0.24495233640073</v>
      </c>
      <c r="L3783">
        <v>996.92394304481604</v>
      </c>
      <c r="M3783">
        <v>19.006488834603701</v>
      </c>
      <c r="N3783">
        <v>54.557226236034197</v>
      </c>
      <c r="O3783">
        <v>51.881477114568803</v>
      </c>
      <c r="P3783">
        <v>-6.7786872858271605E-2</v>
      </c>
      <c r="Q3783">
        <v>0.25988579462175099</v>
      </c>
      <c r="R3783">
        <v>0.97079517259950798</v>
      </c>
      <c r="S3783" t="s">
        <v>10399</v>
      </c>
      <c r="T3783" t="s">
        <v>13232</v>
      </c>
      <c r="U3783" t="s">
        <v>13232</v>
      </c>
      <c r="V3783" t="s">
        <v>13232</v>
      </c>
      <c r="W3783" t="s">
        <v>16953</v>
      </c>
      <c r="X3783">
        <v>4</v>
      </c>
      <c r="Y3783" t="s">
        <v>23379</v>
      </c>
      <c r="Z3783" t="s">
        <v>29914</v>
      </c>
      <c r="AA3783">
        <v>0.57823934586908465</v>
      </c>
      <c r="AB3783" t="str">
        <f>HYPERLINK("Melting_Curves/meltCurve_Q66K64_DCAF15.pdf", "Melting_Curves/meltCurve_Q66K64_DCAF15.pdf")</f>
        <v>Melting_Curves/meltCurve_Q66K64_DCAF15.pdf</v>
      </c>
    </row>
    <row r="3784" spans="1:28" x14ac:dyDescent="0.25">
      <c r="A3784" t="s">
        <v>3787</v>
      </c>
      <c r="B3784">
        <v>0.99930955844802105</v>
      </c>
      <c r="C3784">
        <v>0.949212514460265</v>
      </c>
      <c r="D3784">
        <v>0.94864628134790796</v>
      </c>
      <c r="E3784">
        <v>0.881045743177576</v>
      </c>
      <c r="F3784">
        <v>0.43510009172586001</v>
      </c>
      <c r="G3784">
        <v>0.219690472828626</v>
      </c>
      <c r="H3784">
        <v>0.15187007813855399</v>
      </c>
      <c r="I3784">
        <v>0.152793868644515</v>
      </c>
      <c r="J3784">
        <v>0.13186880719636601</v>
      </c>
      <c r="K3784">
        <v>0.103705938018684</v>
      </c>
      <c r="L3784">
        <v>1939.5022445841</v>
      </c>
      <c r="M3784">
        <v>37.154851642731401</v>
      </c>
      <c r="N3784">
        <v>52.672708617239003</v>
      </c>
      <c r="O3784">
        <v>52.0499851674724</v>
      </c>
      <c r="P3784">
        <v>-0.15317999146405001</v>
      </c>
      <c r="Q3784">
        <v>0.141647060140527</v>
      </c>
      <c r="R3784">
        <v>0.99372397458489303</v>
      </c>
      <c r="S3784" t="s">
        <v>10400</v>
      </c>
      <c r="T3784" t="s">
        <v>13232</v>
      </c>
      <c r="U3784" t="s">
        <v>13232</v>
      </c>
      <c r="V3784" t="s">
        <v>13232</v>
      </c>
      <c r="W3784" t="s">
        <v>16954</v>
      </c>
      <c r="X3784">
        <v>12</v>
      </c>
      <c r="Y3784" t="s">
        <v>23380</v>
      </c>
      <c r="Z3784" t="s">
        <v>29915</v>
      </c>
      <c r="AA3784">
        <v>0.49431510335723078</v>
      </c>
      <c r="AB3784" t="str">
        <f>HYPERLINK("Melting_Curves/meltCurve_Q66LE6_PPP2R2D.pdf", "Melting_Curves/meltCurve_Q66LE6_PPP2R2D.pdf")</f>
        <v>Melting_Curves/meltCurve_Q66LE6_PPP2R2D.pdf</v>
      </c>
    </row>
    <row r="3785" spans="1:28" x14ac:dyDescent="0.25">
      <c r="A3785" t="s">
        <v>3788</v>
      </c>
      <c r="B3785">
        <v>0.99930955844802105</v>
      </c>
      <c r="C3785">
        <v>1.08211779304793</v>
      </c>
      <c r="D3785">
        <v>1.0848037417896701</v>
      </c>
      <c r="E3785">
        <v>1.06075928649301</v>
      </c>
      <c r="F3785">
        <v>0.93135536715923595</v>
      </c>
      <c r="G3785">
        <v>0.81214988916851705</v>
      </c>
      <c r="H3785">
        <v>0.87823109865597004</v>
      </c>
      <c r="I3785">
        <v>0.930046974978331</v>
      </c>
      <c r="J3785">
        <v>0.941047900771392</v>
      </c>
      <c r="K3785">
        <v>0.76047433232064199</v>
      </c>
      <c r="L3785">
        <v>13248.6874211617</v>
      </c>
      <c r="M3785">
        <v>250</v>
      </c>
      <c r="O3785">
        <v>52.991358719056898</v>
      </c>
      <c r="P3785">
        <v>-0.15994349063452401</v>
      </c>
      <c r="Q3785">
        <v>0.86439003485470101</v>
      </c>
      <c r="R3785">
        <v>0.62645234967694596</v>
      </c>
      <c r="S3785" t="s">
        <v>10401</v>
      </c>
      <c r="T3785" t="s">
        <v>13232</v>
      </c>
      <c r="U3785" t="s">
        <v>13232</v>
      </c>
      <c r="V3785" t="s">
        <v>13232</v>
      </c>
      <c r="W3785" t="s">
        <v>16955</v>
      </c>
      <c r="X3785">
        <v>9</v>
      </c>
      <c r="Y3785" t="s">
        <v>23381</v>
      </c>
      <c r="Z3785" t="s">
        <v>29916</v>
      </c>
      <c r="AA3785">
        <v>0.92314323231443707</v>
      </c>
      <c r="AB3785" t="str">
        <f>HYPERLINK("Melting_Curves/meltCurve_Q66PJ3_ARL6IP4.pdf", "Melting_Curves/meltCurve_Q66PJ3_ARL6IP4.pdf")</f>
        <v>Melting_Curves/meltCurve_Q66PJ3_ARL6IP4.pdf</v>
      </c>
    </row>
    <row r="3786" spans="1:28" x14ac:dyDescent="0.25">
      <c r="A3786" t="s">
        <v>3789</v>
      </c>
      <c r="B3786">
        <v>0.99930955844802105</v>
      </c>
      <c r="C3786">
        <v>1.0180107387726101</v>
      </c>
      <c r="D3786">
        <v>0.98791392893059804</v>
      </c>
      <c r="E3786">
        <v>0.92692349907386695</v>
      </c>
      <c r="F3786">
        <v>0.85717450799432504</v>
      </c>
      <c r="G3786">
        <v>0.53574698108212904</v>
      </c>
      <c r="H3786">
        <v>0.42329735377849897</v>
      </c>
      <c r="I3786">
        <v>0.33235791773444601</v>
      </c>
      <c r="J3786">
        <v>0.23081968566385899</v>
      </c>
      <c r="K3786">
        <v>0.152326374540424</v>
      </c>
      <c r="L3786">
        <v>850.40062611976805</v>
      </c>
      <c r="M3786">
        <v>14.7171291720112</v>
      </c>
      <c r="N3786">
        <v>58.916448077667098</v>
      </c>
      <c r="O3786">
        <v>56.747665460379402</v>
      </c>
      <c r="P3786">
        <v>-5.68487031354293E-2</v>
      </c>
      <c r="Q3786">
        <v>0.12328572454103599</v>
      </c>
      <c r="R3786">
        <v>0.99026366650521302</v>
      </c>
      <c r="S3786" t="s">
        <v>10402</v>
      </c>
      <c r="T3786" t="s">
        <v>13232</v>
      </c>
      <c r="U3786" t="s">
        <v>13232</v>
      </c>
      <c r="V3786" t="s">
        <v>13232</v>
      </c>
      <c r="W3786" t="s">
        <v>16956</v>
      </c>
      <c r="X3786">
        <v>21</v>
      </c>
      <c r="Y3786" t="s">
        <v>23382</v>
      </c>
      <c r="Z3786" t="s">
        <v>29917</v>
      </c>
      <c r="AA3786">
        <v>0.65530043193027299</v>
      </c>
      <c r="AB3786" t="str">
        <f>HYPERLINK("Melting_Curves/meltCurve_Q676U5_2_ATG16L1.pdf", "Melting_Curves/meltCurve_Q676U5_2_ATG16L1.pdf")</f>
        <v>Melting_Curves/meltCurve_Q676U5_2_ATG16L1.pdf</v>
      </c>
    </row>
    <row r="3787" spans="1:28" x14ac:dyDescent="0.25">
      <c r="A3787" t="s">
        <v>3790</v>
      </c>
      <c r="B3787">
        <v>0.99930955844802105</v>
      </c>
      <c r="C3787">
        <v>0.85577592317889195</v>
      </c>
      <c r="D3787">
        <v>0.78671933768489699</v>
      </c>
      <c r="E3787">
        <v>0.67030399551127795</v>
      </c>
      <c r="F3787">
        <v>0.49384783893697998</v>
      </c>
      <c r="G3787">
        <v>0.49832079383032601</v>
      </c>
      <c r="H3787">
        <v>0.46215520678426503</v>
      </c>
      <c r="I3787">
        <v>0.502952303285639</v>
      </c>
      <c r="J3787">
        <v>0.50045209486728104</v>
      </c>
      <c r="K3787">
        <v>0.35264966634864198</v>
      </c>
      <c r="L3787">
        <v>633.38142377709596</v>
      </c>
      <c r="M3787">
        <v>13.299498310258301</v>
      </c>
      <c r="N3787">
        <v>56.160900394028097</v>
      </c>
      <c r="O3787">
        <v>46.5863599066181</v>
      </c>
      <c r="P3787">
        <v>-4.0418228546493601E-2</v>
      </c>
      <c r="Q3787">
        <v>0.433773000490421</v>
      </c>
      <c r="R3787">
        <v>0.94398610949369</v>
      </c>
      <c r="S3787" t="s">
        <v>10403</v>
      </c>
      <c r="T3787" t="s">
        <v>13232</v>
      </c>
      <c r="U3787" t="s">
        <v>13232</v>
      </c>
      <c r="V3787" t="s">
        <v>13232</v>
      </c>
      <c r="W3787" t="s">
        <v>16957</v>
      </c>
      <c r="X3787">
        <v>32</v>
      </c>
      <c r="Y3787" t="s">
        <v>23383</v>
      </c>
      <c r="Z3787" t="s">
        <v>29918</v>
      </c>
      <c r="AA3787">
        <v>0.59647063394884769</v>
      </c>
      <c r="AB3787" t="str">
        <f>HYPERLINK("Melting_Curves/meltCurve_Q68CP9_ARID2.pdf", "Melting_Curves/meltCurve_Q68CP9_ARID2.pdf")</f>
        <v>Melting_Curves/meltCurve_Q68CP9_ARID2.pdf</v>
      </c>
    </row>
    <row r="3788" spans="1:28" x14ac:dyDescent="0.25">
      <c r="A3788" t="s">
        <v>3791</v>
      </c>
      <c r="B3788">
        <v>0.99930955844802105</v>
      </c>
      <c r="C3788">
        <v>1.10767224223345</v>
      </c>
      <c r="D3788">
        <v>0.67573680494370902</v>
      </c>
      <c r="E3788">
        <v>0.35810324341296201</v>
      </c>
      <c r="F3788">
        <v>0.2337795300137</v>
      </c>
      <c r="G3788">
        <v>0.156599203660611</v>
      </c>
      <c r="H3788">
        <v>0.112567996471133</v>
      </c>
      <c r="I3788">
        <v>0.116012258873971</v>
      </c>
      <c r="J3788">
        <v>0.100566115287993</v>
      </c>
      <c r="K3788">
        <v>8.1653714970131297E-2</v>
      </c>
      <c r="L3788">
        <v>1138.06142041112</v>
      </c>
      <c r="M3788">
        <v>23.798686191231798</v>
      </c>
      <c r="N3788">
        <v>48.349814811403199</v>
      </c>
      <c r="O3788">
        <v>47.486541099453099</v>
      </c>
      <c r="P3788">
        <v>-0.11092122390616201</v>
      </c>
      <c r="Q3788">
        <v>0.114710940560208</v>
      </c>
      <c r="R3788">
        <v>0.97407984862049002</v>
      </c>
      <c r="S3788" t="s">
        <v>10404</v>
      </c>
      <c r="T3788" t="s">
        <v>13232</v>
      </c>
      <c r="U3788" t="s">
        <v>13232</v>
      </c>
      <c r="V3788" t="s">
        <v>13232</v>
      </c>
      <c r="W3788" t="s">
        <v>16958</v>
      </c>
      <c r="X3788">
        <v>17</v>
      </c>
      <c r="Y3788" t="s">
        <v>23384</v>
      </c>
      <c r="Z3788" t="s">
        <v>29919</v>
      </c>
      <c r="AA3788">
        <v>0.3541864027970737</v>
      </c>
      <c r="AB3788" t="str">
        <f>HYPERLINK("Melting_Curves/meltCurve_Q68CQ4_DIEXF.pdf", "Melting_Curves/meltCurve_Q68CQ4_DIEXF.pdf")</f>
        <v>Melting_Curves/meltCurve_Q68CQ4_DIEXF.pdf</v>
      </c>
    </row>
    <row r="3789" spans="1:28" x14ac:dyDescent="0.25">
      <c r="A3789" t="s">
        <v>3792</v>
      </c>
      <c r="B3789">
        <v>0.99930955844802105</v>
      </c>
      <c r="C3789">
        <v>0.80522371235164003</v>
      </c>
      <c r="D3789">
        <v>0.52105544795074898</v>
      </c>
      <c r="E3789">
        <v>0.271698348425642</v>
      </c>
      <c r="F3789">
        <v>0.152279495860424</v>
      </c>
      <c r="G3789">
        <v>9.8931565539983293E-2</v>
      </c>
      <c r="H3789">
        <v>5.4431848663272997E-2</v>
      </c>
      <c r="I3789">
        <v>4.0302112121649997E-2</v>
      </c>
      <c r="J3789">
        <v>3.4566406404254499E-2</v>
      </c>
      <c r="K3789">
        <v>2.6493986504960099E-2</v>
      </c>
      <c r="L3789">
        <v>792.15106183868897</v>
      </c>
      <c r="M3789">
        <v>17.083621526775701</v>
      </c>
      <c r="N3789">
        <v>46.591593845125502</v>
      </c>
      <c r="O3789">
        <v>45.747663014515403</v>
      </c>
      <c r="P3789">
        <v>-8.9705388175693901E-2</v>
      </c>
      <c r="Q3789">
        <v>3.9181917699470201E-2</v>
      </c>
      <c r="R3789">
        <v>0.99493437061683199</v>
      </c>
      <c r="S3789" t="s">
        <v>10405</v>
      </c>
      <c r="T3789" t="s">
        <v>13232</v>
      </c>
      <c r="U3789" t="s">
        <v>13232</v>
      </c>
      <c r="V3789" t="s">
        <v>13232</v>
      </c>
      <c r="W3789" t="s">
        <v>16959</v>
      </c>
      <c r="X3789">
        <v>10</v>
      </c>
      <c r="Y3789" t="s">
        <v>23385</v>
      </c>
      <c r="Z3789" t="s">
        <v>29920</v>
      </c>
      <c r="AA3789">
        <v>0.26378690138489141</v>
      </c>
      <c r="AB3789" t="str">
        <f>HYPERLINK("Melting_Curves/meltCurve_Q68CZ6_HAUS3.pdf", "Melting_Curves/meltCurve_Q68CZ6_HAUS3.pdf")</f>
        <v>Melting_Curves/meltCurve_Q68CZ6_HAUS3.pdf</v>
      </c>
    </row>
    <row r="3790" spans="1:28" x14ac:dyDescent="0.25">
      <c r="A3790" t="s">
        <v>3793</v>
      </c>
      <c r="B3790">
        <v>0.99930955844802105</v>
      </c>
      <c r="C3790">
        <v>1.1829733936014599</v>
      </c>
      <c r="D3790">
        <v>1.16103748391321</v>
      </c>
      <c r="E3790">
        <v>1.1471048449675101</v>
      </c>
      <c r="F3790">
        <v>1.0394967297147899</v>
      </c>
      <c r="G3790">
        <v>0.940170717315153</v>
      </c>
      <c r="H3790">
        <v>1.03880970433975</v>
      </c>
      <c r="I3790">
        <v>1.137065858843</v>
      </c>
      <c r="J3790">
        <v>1.1040185363677699</v>
      </c>
      <c r="K3790">
        <v>0.909055434906479</v>
      </c>
      <c r="L3790">
        <v>10249.8945968849</v>
      </c>
      <c r="M3790">
        <v>250</v>
      </c>
      <c r="O3790">
        <v>40.996940991993597</v>
      </c>
      <c r="P3790">
        <v>0.111751277021006</v>
      </c>
      <c r="Q3790">
        <v>1.073303392685</v>
      </c>
      <c r="R3790">
        <v>5.9977088247244598E-2</v>
      </c>
      <c r="S3790" t="s">
        <v>10406</v>
      </c>
      <c r="T3790" t="s">
        <v>13232</v>
      </c>
      <c r="U3790" t="s">
        <v>13232</v>
      </c>
      <c r="V3790" t="s">
        <v>13232</v>
      </c>
      <c r="W3790" t="s">
        <v>16960</v>
      </c>
      <c r="X3790">
        <v>16</v>
      </c>
      <c r="Y3790" t="s">
        <v>23386</v>
      </c>
      <c r="Z3790" t="s">
        <v>29921</v>
      </c>
      <c r="AA3790">
        <v>1.070854970154907</v>
      </c>
      <c r="AB3790" t="str">
        <f>HYPERLINK("Melting_Curves/meltCurve_Q68D10_SPTY2D1.pdf", "Melting_Curves/meltCurve_Q68D10_SPTY2D1.pdf")</f>
        <v>Melting_Curves/meltCurve_Q68D10_SPTY2D1.pdf</v>
      </c>
    </row>
    <row r="3791" spans="1:28" x14ac:dyDescent="0.25">
      <c r="A3791" t="s">
        <v>3794</v>
      </c>
      <c r="B3791">
        <v>0.99930955844802105</v>
      </c>
      <c r="C3791">
        <v>1.3697024757757701</v>
      </c>
      <c r="D3791">
        <v>1.05494465711288</v>
      </c>
      <c r="E3791">
        <v>1.2916724572885701</v>
      </c>
      <c r="F3791">
        <v>1.2405455121487601</v>
      </c>
      <c r="G3791">
        <v>1.01257233061365</v>
      </c>
      <c r="H3791">
        <v>1.16746368373121</v>
      </c>
      <c r="I3791">
        <v>1.2836665520588</v>
      </c>
      <c r="J3791">
        <v>1.0583467136328799</v>
      </c>
      <c r="K3791">
        <v>1.08090103541988</v>
      </c>
      <c r="L3791">
        <v>10243.4447569968</v>
      </c>
      <c r="M3791">
        <v>250</v>
      </c>
      <c r="O3791">
        <v>40.971157899885803</v>
      </c>
      <c r="P3791">
        <v>0.26438189937119</v>
      </c>
      <c r="Q3791">
        <v>1.1733125166182501</v>
      </c>
      <c r="R3791">
        <v>0.172271197153747</v>
      </c>
      <c r="S3791" t="s">
        <v>10407</v>
      </c>
      <c r="T3791" t="s">
        <v>13232</v>
      </c>
      <c r="U3791" t="s">
        <v>13232</v>
      </c>
      <c r="V3791" t="s">
        <v>13232</v>
      </c>
      <c r="W3791" t="s">
        <v>16961</v>
      </c>
      <c r="X3791">
        <v>3</v>
      </c>
      <c r="Y3791" t="s">
        <v>23387</v>
      </c>
      <c r="Z3791" t="s">
        <v>29922</v>
      </c>
      <c r="AA3791">
        <v>1.1676724168563311</v>
      </c>
      <c r="AB3791" t="str">
        <f>HYPERLINK("Melting_Curves/meltCurve_Q68D20_PMS2CL.pdf", "Melting_Curves/meltCurve_Q68D20_PMS2CL.pdf")</f>
        <v>Melting_Curves/meltCurve_Q68D20_PMS2CL.pdf</v>
      </c>
    </row>
    <row r="3792" spans="1:28" x14ac:dyDescent="0.25">
      <c r="A3792" t="s">
        <v>3795</v>
      </c>
      <c r="B3792">
        <v>0.99930955844802105</v>
      </c>
      <c r="C3792">
        <v>1.11927231355889</v>
      </c>
      <c r="D3792">
        <v>1.0272036272487199</v>
      </c>
      <c r="E3792">
        <v>0.96995094227964296</v>
      </c>
      <c r="F3792">
        <v>0.73162996891700005</v>
      </c>
      <c r="G3792">
        <v>0.60287336781837098</v>
      </c>
      <c r="H3792">
        <v>0.58667676285485804</v>
      </c>
      <c r="I3792">
        <v>0.63091661267277199</v>
      </c>
      <c r="J3792">
        <v>0.58552205688699899</v>
      </c>
      <c r="K3792">
        <v>0.457204461304137</v>
      </c>
      <c r="L3792">
        <v>2479.5192135519601</v>
      </c>
      <c r="M3792">
        <v>47.240842214979999</v>
      </c>
      <c r="O3792">
        <v>52.3929937848512</v>
      </c>
      <c r="P3792">
        <v>-9.6947442440560597E-2</v>
      </c>
      <c r="Q3792">
        <v>0.56991795572357395</v>
      </c>
      <c r="R3792">
        <v>0.93427928443913399</v>
      </c>
      <c r="S3792" t="s">
        <v>10408</v>
      </c>
      <c r="T3792" t="s">
        <v>13232</v>
      </c>
      <c r="U3792" t="s">
        <v>13232</v>
      </c>
      <c r="V3792" t="s">
        <v>13232</v>
      </c>
      <c r="W3792" t="s">
        <v>16962</v>
      </c>
      <c r="X3792">
        <v>4</v>
      </c>
      <c r="Y3792" t="s">
        <v>23388</v>
      </c>
      <c r="Z3792" t="s">
        <v>29923</v>
      </c>
      <c r="AA3792">
        <v>0.75004512170826387</v>
      </c>
      <c r="AB3792" t="str">
        <f>HYPERLINK("Melting_Curves/meltCurve_Q68DC2_ANKS6.pdf", "Melting_Curves/meltCurve_Q68DC2_ANKS6.pdf")</f>
        <v>Melting_Curves/meltCurve_Q68DC2_ANKS6.pdf</v>
      </c>
    </row>
    <row r="3793" spans="1:28" x14ac:dyDescent="0.25">
      <c r="A3793" t="s">
        <v>3796</v>
      </c>
      <c r="B3793">
        <v>0.99930955844802105</v>
      </c>
      <c r="C3793">
        <v>0.56272321911204704</v>
      </c>
      <c r="D3793">
        <v>0.45891489150843401</v>
      </c>
      <c r="E3793">
        <v>0.34010758518663903</v>
      </c>
      <c r="F3793">
        <v>0.290401669160746</v>
      </c>
      <c r="G3793">
        <v>0.172144381939205</v>
      </c>
      <c r="H3793">
        <v>0.117323861730041</v>
      </c>
      <c r="I3793">
        <v>8.1103287445704497E-2</v>
      </c>
      <c r="J3793">
        <v>5.4701142928634601E-2</v>
      </c>
      <c r="K3793">
        <v>7.03276156604484E-2</v>
      </c>
      <c r="L3793">
        <v>513.59235023380802</v>
      </c>
      <c r="M3793">
        <v>11.2885079216279</v>
      </c>
      <c r="N3793">
        <v>46.059683184785101</v>
      </c>
      <c r="O3793">
        <v>44.139262837350202</v>
      </c>
      <c r="P3793">
        <v>-5.9836474408001702E-2</v>
      </c>
      <c r="Q3793">
        <v>6.4417669736680602E-2</v>
      </c>
      <c r="R3793">
        <v>0.93542139806592395</v>
      </c>
      <c r="S3793" t="s">
        <v>10409</v>
      </c>
      <c r="T3793" t="s">
        <v>13232</v>
      </c>
      <c r="U3793" t="s">
        <v>13232</v>
      </c>
      <c r="V3793" t="s">
        <v>13232</v>
      </c>
      <c r="W3793" t="s">
        <v>16963</v>
      </c>
      <c r="X3793">
        <v>5</v>
      </c>
      <c r="Y3793" t="s">
        <v>23389</v>
      </c>
      <c r="Z3793" t="s">
        <v>29924</v>
      </c>
      <c r="AA3793">
        <v>0.28563497209771072</v>
      </c>
      <c r="AB3793" t="str">
        <f>HYPERLINK("Melting_Curves/meltCurve_Q68DK2_2_ZFYVE26.pdf", "Melting_Curves/meltCurve_Q68DK2_2_ZFYVE26.pdf")</f>
        <v>Melting_Curves/meltCurve_Q68DK2_2_ZFYVE26.pdf</v>
      </c>
    </row>
    <row r="3794" spans="1:28" x14ac:dyDescent="0.25">
      <c r="A3794" t="s">
        <v>3797</v>
      </c>
      <c r="B3794">
        <v>0.99930955844802105</v>
      </c>
      <c r="C3794">
        <v>0.97180748890302604</v>
      </c>
      <c r="D3794">
        <v>1.01675048154988</v>
      </c>
      <c r="E3794">
        <v>0.91003183559279199</v>
      </c>
      <c r="F3794">
        <v>0.74491672514432195</v>
      </c>
      <c r="G3794">
        <v>0.66160861830591799</v>
      </c>
      <c r="H3794">
        <v>0.74720731071870095</v>
      </c>
      <c r="I3794">
        <v>0.78051083546009503</v>
      </c>
      <c r="J3794">
        <v>0.67127481743899797</v>
      </c>
      <c r="K3794">
        <v>0.63091978735426302</v>
      </c>
      <c r="L3794">
        <v>2422.0537268016601</v>
      </c>
      <c r="M3794">
        <v>47.548448331408601</v>
      </c>
      <c r="O3794">
        <v>50.848791241513702</v>
      </c>
      <c r="P3794">
        <v>-7.0430398290909302E-2</v>
      </c>
      <c r="Q3794">
        <v>0.69872439414248999</v>
      </c>
      <c r="R3794">
        <v>0.91336560179312898</v>
      </c>
      <c r="S3794" t="s">
        <v>10410</v>
      </c>
      <c r="T3794" t="s">
        <v>13232</v>
      </c>
      <c r="U3794" t="s">
        <v>13232</v>
      </c>
      <c r="V3794" t="s">
        <v>13232</v>
      </c>
      <c r="W3794" t="s">
        <v>16964</v>
      </c>
      <c r="X3794">
        <v>2</v>
      </c>
      <c r="Y3794" t="s">
        <v>19896</v>
      </c>
      <c r="Z3794" t="s">
        <v>29925</v>
      </c>
      <c r="AA3794">
        <v>0.80932495802392845</v>
      </c>
      <c r="AB3794" t="str">
        <f>HYPERLINK("Melting_Curves/meltCurve_Q68DQ2_CRYBG3.pdf", "Melting_Curves/meltCurve_Q68DQ2_CRYBG3.pdf")</f>
        <v>Melting_Curves/meltCurve_Q68DQ2_CRYBG3.pdf</v>
      </c>
    </row>
    <row r="3795" spans="1:28" x14ac:dyDescent="0.25">
      <c r="A3795" t="s">
        <v>3798</v>
      </c>
      <c r="B3795">
        <v>0.99930955844802105</v>
      </c>
      <c r="C3795">
        <v>0.77690713219216201</v>
      </c>
      <c r="D3795">
        <v>0.67029914866625095</v>
      </c>
      <c r="E3795">
        <v>0.57596476864808599</v>
      </c>
      <c r="F3795">
        <v>0.40615758933566698</v>
      </c>
      <c r="G3795">
        <v>0.23124651231893201</v>
      </c>
      <c r="H3795">
        <v>9.7586591704697301E-2</v>
      </c>
      <c r="I3795">
        <v>6.5186903130473095E-2</v>
      </c>
      <c r="J3795">
        <v>5.6253212371348497E-2</v>
      </c>
      <c r="K3795">
        <v>4.13741918909332E-2</v>
      </c>
      <c r="L3795">
        <v>516.48556853344996</v>
      </c>
      <c r="M3795">
        <v>10.2808244928368</v>
      </c>
      <c r="N3795">
        <v>50.237757573267203</v>
      </c>
      <c r="O3795">
        <v>48.448361598616103</v>
      </c>
      <c r="P3795">
        <v>-5.3073632674875498E-2</v>
      </c>
      <c r="Q3795">
        <v>0</v>
      </c>
      <c r="R3795">
        <v>0.98020349869735901</v>
      </c>
      <c r="S3795" t="s">
        <v>10411</v>
      </c>
      <c r="T3795" t="s">
        <v>13232</v>
      </c>
      <c r="U3795" t="s">
        <v>13232</v>
      </c>
      <c r="V3795" t="s">
        <v>13232</v>
      </c>
      <c r="W3795" t="s">
        <v>16965</v>
      </c>
      <c r="X3795">
        <v>26</v>
      </c>
      <c r="Y3795" t="s">
        <v>23390</v>
      </c>
      <c r="Z3795" t="s">
        <v>29926</v>
      </c>
      <c r="AA3795">
        <v>0.38397039189817728</v>
      </c>
      <c r="AB3795" t="str">
        <f>HYPERLINK("Melting_Curves/meltCurve_Q68E01_2_INTS3.pdf", "Melting_Curves/meltCurve_Q68E01_2_INTS3.pdf")</f>
        <v>Melting_Curves/meltCurve_Q68E01_2_INTS3.pdf</v>
      </c>
    </row>
    <row r="3796" spans="1:28" x14ac:dyDescent="0.25">
      <c r="A3796" t="s">
        <v>3799</v>
      </c>
      <c r="B3796">
        <v>0.99930955844802105</v>
      </c>
      <c r="C3796">
        <v>0.949474029894807</v>
      </c>
      <c r="D3796">
        <v>0.86716148904416801</v>
      </c>
      <c r="E3796">
        <v>0.45141198941248001</v>
      </c>
      <c r="F3796">
        <v>0.25552539144926201</v>
      </c>
      <c r="G3796">
        <v>0.186524142557705</v>
      </c>
      <c r="H3796">
        <v>0.14631211561806601</v>
      </c>
      <c r="I3796">
        <v>0.13524428888932699</v>
      </c>
      <c r="J3796">
        <v>0.13352875427751901</v>
      </c>
      <c r="K3796">
        <v>0.10151095805334399</v>
      </c>
      <c r="L3796">
        <v>1168.4715411995001</v>
      </c>
      <c r="M3796">
        <v>23.844789387601601</v>
      </c>
      <c r="N3796">
        <v>49.635553872510798</v>
      </c>
      <c r="O3796">
        <v>48.662490509657601</v>
      </c>
      <c r="P3796">
        <v>-0.10645700642809799</v>
      </c>
      <c r="Q3796">
        <v>0.13098389114056699</v>
      </c>
      <c r="R3796">
        <v>0.99785934594993597</v>
      </c>
      <c r="S3796" t="s">
        <v>10412</v>
      </c>
      <c r="T3796" t="s">
        <v>13232</v>
      </c>
      <c r="U3796" t="s">
        <v>13232</v>
      </c>
      <c r="V3796" t="s">
        <v>13232</v>
      </c>
      <c r="W3796" t="s">
        <v>16966</v>
      </c>
      <c r="X3796">
        <v>13</v>
      </c>
      <c r="Y3796" t="s">
        <v>23391</v>
      </c>
      <c r="Z3796" t="s">
        <v>29927</v>
      </c>
      <c r="AA3796">
        <v>0.40027133597494158</v>
      </c>
      <c r="AB3796" t="str">
        <f>HYPERLINK("Melting_Curves/meltCurve_Q68EM7_ARHGAP17.pdf", "Melting_Curves/meltCurve_Q68EM7_ARHGAP17.pdf")</f>
        <v>Melting_Curves/meltCurve_Q68EM7_ARHGAP17.pdf</v>
      </c>
    </row>
    <row r="3797" spans="1:28" x14ac:dyDescent="0.25">
      <c r="A3797" t="s">
        <v>3800</v>
      </c>
      <c r="B3797">
        <v>0.99930955844802105</v>
      </c>
      <c r="C3797">
        <v>1.02715886367777</v>
      </c>
      <c r="D3797">
        <v>1.0099172751123699</v>
      </c>
      <c r="E3797">
        <v>0.78150640571929897</v>
      </c>
      <c r="F3797">
        <v>0.39003144186866801</v>
      </c>
      <c r="G3797">
        <v>0.20616284960654799</v>
      </c>
      <c r="H3797">
        <v>0.12340053165411</v>
      </c>
      <c r="I3797">
        <v>0.106580617141898</v>
      </c>
      <c r="J3797">
        <v>9.4690752727065494E-2</v>
      </c>
      <c r="K3797">
        <v>7.4388171456123198E-2</v>
      </c>
      <c r="L3797">
        <v>1534.0388754129499</v>
      </c>
      <c r="M3797">
        <v>29.591240842872601</v>
      </c>
      <c r="N3797">
        <v>52.250821531293099</v>
      </c>
      <c r="O3797">
        <v>51.605952254497801</v>
      </c>
      <c r="P3797">
        <v>-0.128505914212734</v>
      </c>
      <c r="Q3797">
        <v>0.10356927033751701</v>
      </c>
      <c r="R3797">
        <v>0.996650825376588</v>
      </c>
      <c r="S3797" t="s">
        <v>10413</v>
      </c>
      <c r="T3797" t="s">
        <v>13232</v>
      </c>
      <c r="U3797" t="s">
        <v>13232</v>
      </c>
      <c r="V3797" t="s">
        <v>13232</v>
      </c>
      <c r="W3797" t="s">
        <v>16967</v>
      </c>
      <c r="X3797">
        <v>15</v>
      </c>
      <c r="Y3797" t="s">
        <v>23392</v>
      </c>
      <c r="Z3797" t="s">
        <v>29928</v>
      </c>
      <c r="AA3797">
        <v>0.46326083962422121</v>
      </c>
      <c r="AB3797" t="str">
        <f>HYPERLINK("Melting_Curves/meltCurve_Q69YN2_CWF19L1.pdf", "Melting_Curves/meltCurve_Q69YN2_CWF19L1.pdf")</f>
        <v>Melting_Curves/meltCurve_Q69YN2_CWF19L1.pdf</v>
      </c>
    </row>
    <row r="3798" spans="1:28" x14ac:dyDescent="0.25">
      <c r="A3798" t="s">
        <v>3801</v>
      </c>
      <c r="B3798">
        <v>0.99930955844802105</v>
      </c>
      <c r="C3798">
        <v>0.84603830174116601</v>
      </c>
      <c r="D3798">
        <v>0.83907644587942398</v>
      </c>
      <c r="E3798">
        <v>0.67260225380059901</v>
      </c>
      <c r="F3798">
        <v>0.26112792707832599</v>
      </c>
      <c r="G3798">
        <v>0.166677417672217</v>
      </c>
      <c r="H3798">
        <v>9.7291943379490001E-2</v>
      </c>
      <c r="I3798">
        <v>8.5820582912727705E-2</v>
      </c>
      <c r="J3798">
        <v>7.8106786192045502E-2</v>
      </c>
      <c r="K3798">
        <v>6.2735729084202593E-2</v>
      </c>
      <c r="L3798">
        <v>885.73574167098502</v>
      </c>
      <c r="M3798">
        <v>17.5192612182292</v>
      </c>
      <c r="N3798">
        <v>50.885470138225003</v>
      </c>
      <c r="O3798">
        <v>49.912877286213003</v>
      </c>
      <c r="P3798">
        <v>-8.3073436738431899E-2</v>
      </c>
      <c r="Q3798">
        <v>5.3337279428314198E-2</v>
      </c>
      <c r="R3798">
        <v>0.97642472280240999</v>
      </c>
      <c r="S3798" t="s">
        <v>10414</v>
      </c>
      <c r="T3798" t="s">
        <v>13232</v>
      </c>
      <c r="U3798" t="s">
        <v>13232</v>
      </c>
      <c r="V3798" t="s">
        <v>13232</v>
      </c>
      <c r="W3798" t="s">
        <v>16968</v>
      </c>
      <c r="X3798">
        <v>37</v>
      </c>
      <c r="Y3798" t="s">
        <v>23393</v>
      </c>
      <c r="Z3798" t="s">
        <v>29929</v>
      </c>
      <c r="AA3798">
        <v>0.40334460425654872</v>
      </c>
      <c r="AB3798" t="str">
        <f>HYPERLINK("Melting_Curves/meltCurve_Q69YN4_3_KIAA1429.pdf", "Melting_Curves/meltCurve_Q69YN4_3_KIAA1429.pdf")</f>
        <v>Melting_Curves/meltCurve_Q69YN4_3_KIAA1429.pdf</v>
      </c>
    </row>
    <row r="3799" spans="1:28" x14ac:dyDescent="0.25">
      <c r="A3799" t="s">
        <v>3802</v>
      </c>
      <c r="B3799">
        <v>0.99930955844802105</v>
      </c>
      <c r="C3799">
        <v>1.0630031134059299</v>
      </c>
      <c r="D3799">
        <v>1.0657096283923899</v>
      </c>
      <c r="E3799">
        <v>0.98574566921939999</v>
      </c>
      <c r="F3799">
        <v>0.86242324428550399</v>
      </c>
      <c r="G3799">
        <v>0.73090766274933106</v>
      </c>
      <c r="H3799">
        <v>0.69854630978758703</v>
      </c>
      <c r="I3799">
        <v>0.695489197388512</v>
      </c>
      <c r="J3799">
        <v>0.69790598945109705</v>
      </c>
      <c r="K3799">
        <v>0.60209648149301798</v>
      </c>
      <c r="L3799">
        <v>1566.7931580812899</v>
      </c>
      <c r="M3799">
        <v>29.0471002895822</v>
      </c>
      <c r="O3799">
        <v>53.686008575011599</v>
      </c>
      <c r="P3799">
        <v>-4.4727751475271298E-2</v>
      </c>
      <c r="Q3799">
        <v>0.66933188159260804</v>
      </c>
      <c r="R3799">
        <v>0.94501545783132002</v>
      </c>
      <c r="S3799" t="s">
        <v>10415</v>
      </c>
      <c r="T3799" t="s">
        <v>13232</v>
      </c>
      <c r="U3799" t="s">
        <v>13232</v>
      </c>
      <c r="V3799" t="s">
        <v>13232</v>
      </c>
      <c r="W3799" t="s">
        <v>16969</v>
      </c>
      <c r="X3799">
        <v>18</v>
      </c>
      <c r="Y3799" t="s">
        <v>23394</v>
      </c>
      <c r="Z3799" t="s">
        <v>29930</v>
      </c>
      <c r="AA3799">
        <v>0.82528910924315491</v>
      </c>
      <c r="AB3799" t="str">
        <f>HYPERLINK("Melting_Curves/meltCurve_Q69YQ0_2_SPECC1L.pdf", "Melting_Curves/meltCurve_Q69YQ0_2_SPECC1L.pdf")</f>
        <v>Melting_Curves/meltCurve_Q69YQ0_2_SPECC1L.pdf</v>
      </c>
    </row>
    <row r="3800" spans="1:28" x14ac:dyDescent="0.25">
      <c r="A3800" t="s">
        <v>3803</v>
      </c>
      <c r="B3800">
        <v>0.99930955844802105</v>
      </c>
      <c r="C3800">
        <v>1.0997677620491999</v>
      </c>
      <c r="D3800">
        <v>1.04814847742534</v>
      </c>
      <c r="E3800">
        <v>0.85603947725701202</v>
      </c>
      <c r="F3800">
        <v>0.767671224797982</v>
      </c>
      <c r="G3800">
        <v>0.67803002284604297</v>
      </c>
      <c r="H3800">
        <v>0.65543127753674102</v>
      </c>
      <c r="I3800">
        <v>0.70490152555098595</v>
      </c>
      <c r="J3800">
        <v>0.69000251914269495</v>
      </c>
      <c r="K3800">
        <v>0.53182341985247805</v>
      </c>
      <c r="L3800">
        <v>1386.8867713352299</v>
      </c>
      <c r="M3800">
        <v>26.989060821291901</v>
      </c>
      <c r="O3800">
        <v>51.107364962027901</v>
      </c>
      <c r="P3800">
        <v>-4.6707475174713402E-2</v>
      </c>
      <c r="Q3800">
        <v>0.64621632411610996</v>
      </c>
      <c r="R3800">
        <v>0.89616852937320601</v>
      </c>
      <c r="S3800" t="s">
        <v>10416</v>
      </c>
      <c r="T3800" t="s">
        <v>13232</v>
      </c>
      <c r="U3800" t="s">
        <v>13232</v>
      </c>
      <c r="V3800" t="s">
        <v>13232</v>
      </c>
      <c r="W3800" t="s">
        <v>16970</v>
      </c>
      <c r="X3800">
        <v>4</v>
      </c>
      <c r="Y3800" t="s">
        <v>23395</v>
      </c>
      <c r="Z3800" t="s">
        <v>29931</v>
      </c>
      <c r="AA3800">
        <v>0.7832623598871995</v>
      </c>
      <c r="AB3800" t="str">
        <f>HYPERLINK("Melting_Curves/meltCurve_Q6AHZ1_ZNF518A.pdf", "Melting_Curves/meltCurve_Q6AHZ1_ZNF518A.pdf")</f>
        <v>Melting_Curves/meltCurve_Q6AHZ1_ZNF518A.pdf</v>
      </c>
    </row>
    <row r="3801" spans="1:28" x14ac:dyDescent="0.25">
      <c r="A3801" t="s">
        <v>3804</v>
      </c>
      <c r="B3801">
        <v>0.99930955844802105</v>
      </c>
      <c r="C3801">
        <v>0.833294354066204</v>
      </c>
      <c r="D3801">
        <v>0.48492711315191001</v>
      </c>
      <c r="E3801">
        <v>0.26941550959786098</v>
      </c>
      <c r="F3801">
        <v>0.18866357799296199</v>
      </c>
      <c r="G3801">
        <v>0.154253477373546</v>
      </c>
      <c r="H3801">
        <v>0.132781432827249</v>
      </c>
      <c r="I3801">
        <v>0.12749138686296899</v>
      </c>
      <c r="J3801">
        <v>0.12151234673471301</v>
      </c>
      <c r="K3801">
        <v>0.100503325339949</v>
      </c>
      <c r="L3801">
        <v>999.14230064968604</v>
      </c>
      <c r="M3801">
        <v>21.9405491467917</v>
      </c>
      <c r="N3801">
        <v>46.175574994997703</v>
      </c>
      <c r="O3801">
        <v>45.165382568381901</v>
      </c>
      <c r="P3801">
        <v>-0.10559057184557601</v>
      </c>
      <c r="Q3801">
        <v>0.13057218414987501</v>
      </c>
      <c r="R3801">
        <v>0.99438414373750295</v>
      </c>
      <c r="S3801" t="s">
        <v>10417</v>
      </c>
      <c r="T3801" t="s">
        <v>13232</v>
      </c>
      <c r="U3801" t="s">
        <v>13232</v>
      </c>
      <c r="V3801" t="s">
        <v>13232</v>
      </c>
      <c r="W3801" t="s">
        <v>16971</v>
      </c>
      <c r="X3801">
        <v>7</v>
      </c>
      <c r="Y3801" t="s">
        <v>23396</v>
      </c>
      <c r="Z3801" t="s">
        <v>29932</v>
      </c>
      <c r="AA3801">
        <v>0.30232048004268169</v>
      </c>
      <c r="AB3801" t="str">
        <f>HYPERLINK("Melting_Curves/meltCurve_Q6AI08_HEATR6.pdf", "Melting_Curves/meltCurve_Q6AI08_HEATR6.pdf")</f>
        <v>Melting_Curves/meltCurve_Q6AI08_HEATR6.pdf</v>
      </c>
    </row>
    <row r="3802" spans="1:28" x14ac:dyDescent="0.25">
      <c r="A3802" t="s">
        <v>3805</v>
      </c>
      <c r="B3802">
        <v>0.99930955844802105</v>
      </c>
      <c r="C3802">
        <v>0.99359630321310499</v>
      </c>
      <c r="D3802">
        <v>0.96165130951419098</v>
      </c>
      <c r="E3802">
        <v>1.0175226589734301</v>
      </c>
      <c r="F3802">
        <v>0.99376287347719205</v>
      </c>
      <c r="G3802">
        <v>0.92728540225845402</v>
      </c>
      <c r="H3802">
        <v>0.78711782759094995</v>
      </c>
      <c r="I3802">
        <v>0.82063604353129704</v>
      </c>
      <c r="J3802">
        <v>0.80600876788817699</v>
      </c>
      <c r="K3802">
        <v>0.68773664256268197</v>
      </c>
      <c r="L3802">
        <v>1055.5816014413299</v>
      </c>
      <c r="M3802">
        <v>17.5676732322848</v>
      </c>
      <c r="O3802">
        <v>59.324246338082702</v>
      </c>
      <c r="P3802">
        <v>-2.1160459708660401E-2</v>
      </c>
      <c r="Q3802">
        <v>0.71418868494793097</v>
      </c>
      <c r="R3802">
        <v>0.90531467747040295</v>
      </c>
      <c r="S3802" t="s">
        <v>10418</v>
      </c>
      <c r="T3802" t="s">
        <v>13232</v>
      </c>
      <c r="U3802" t="s">
        <v>13232</v>
      </c>
      <c r="V3802" t="s">
        <v>13232</v>
      </c>
      <c r="W3802" t="s">
        <v>16972</v>
      </c>
      <c r="X3802">
        <v>8</v>
      </c>
      <c r="Y3802" t="s">
        <v>23397</v>
      </c>
      <c r="Z3802" t="s">
        <v>29933</v>
      </c>
      <c r="AA3802">
        <v>0.907822861664075</v>
      </c>
      <c r="AB3802" t="str">
        <f>HYPERLINK("Melting_Curves/meltCurve_Q6AI12_ANKRD40.pdf", "Melting_Curves/meltCurve_Q6AI12_ANKRD40.pdf")</f>
        <v>Melting_Curves/meltCurve_Q6AI12_ANKRD40.pdf</v>
      </c>
    </row>
    <row r="3803" spans="1:28" x14ac:dyDescent="0.25">
      <c r="A3803" t="s">
        <v>3806</v>
      </c>
      <c r="B3803">
        <v>0.99930955844802105</v>
      </c>
      <c r="C3803">
        <v>1.1791722588390801</v>
      </c>
      <c r="D3803">
        <v>1.2361311079706601</v>
      </c>
      <c r="E3803">
        <v>1.126535556403</v>
      </c>
      <c r="F3803">
        <v>1.0654807646986699</v>
      </c>
      <c r="G3803">
        <v>1.0014007711172299</v>
      </c>
      <c r="H3803">
        <v>1.06994996695323</v>
      </c>
      <c r="I3803">
        <v>1.1634313227686199</v>
      </c>
      <c r="J3803">
        <v>1.1651209909298501</v>
      </c>
      <c r="K3803">
        <v>0.95019308208868702</v>
      </c>
      <c r="L3803">
        <v>10259.1734396228</v>
      </c>
      <c r="M3803">
        <v>250</v>
      </c>
      <c r="O3803">
        <v>41.034063522796998</v>
      </c>
      <c r="P3803">
        <v>0.16202918150134599</v>
      </c>
      <c r="Q3803">
        <v>1.10637946229615</v>
      </c>
      <c r="R3803">
        <v>0.13230061949026001</v>
      </c>
      <c r="S3803" t="s">
        <v>10419</v>
      </c>
      <c r="T3803" t="s">
        <v>13232</v>
      </c>
      <c r="U3803" t="s">
        <v>13232</v>
      </c>
      <c r="V3803" t="s">
        <v>13232</v>
      </c>
      <c r="W3803" t="s">
        <v>16973</v>
      </c>
      <c r="X3803">
        <v>2</v>
      </c>
      <c r="Y3803" t="s">
        <v>23398</v>
      </c>
      <c r="Z3803" t="s">
        <v>29934</v>
      </c>
      <c r="AA3803">
        <v>1.102694861885765</v>
      </c>
      <c r="AB3803" t="str">
        <f>HYPERLINK("Melting_Curves/meltCurve_Q6AI39_GLTSCR1L.pdf", "Melting_Curves/meltCurve_Q6AI39_GLTSCR1L.pdf")</f>
        <v>Melting_Curves/meltCurve_Q6AI39_GLTSCR1L.pdf</v>
      </c>
    </row>
    <row r="3804" spans="1:28" x14ac:dyDescent="0.25">
      <c r="A3804" t="s">
        <v>3807</v>
      </c>
      <c r="B3804">
        <v>0.99930955844802105</v>
      </c>
      <c r="C3804">
        <v>1.0528170086868001</v>
      </c>
      <c r="D3804">
        <v>1.0594166475779401</v>
      </c>
      <c r="E3804">
        <v>0.95515487268916799</v>
      </c>
      <c r="F3804">
        <v>0.822033673690166</v>
      </c>
      <c r="G3804">
        <v>0.71538217246757196</v>
      </c>
      <c r="H3804">
        <v>0.518221797883896</v>
      </c>
      <c r="I3804">
        <v>0.346549959682597</v>
      </c>
      <c r="J3804">
        <v>0.246463631631822</v>
      </c>
      <c r="K3804">
        <v>0.17445595587973001</v>
      </c>
      <c r="L3804">
        <v>784.43582715637297</v>
      </c>
      <c r="M3804">
        <v>12.9069136139035</v>
      </c>
      <c r="N3804">
        <v>60.988267845263103</v>
      </c>
      <c r="O3804">
        <v>59.372921823058697</v>
      </c>
      <c r="P3804">
        <v>-5.3165019172526799E-2</v>
      </c>
      <c r="Q3804">
        <v>2.1922904127235798E-2</v>
      </c>
      <c r="R3804">
        <v>0.98866555873860495</v>
      </c>
      <c r="S3804" t="s">
        <v>10420</v>
      </c>
      <c r="T3804" t="s">
        <v>13232</v>
      </c>
      <c r="U3804" t="s">
        <v>13232</v>
      </c>
      <c r="V3804" t="s">
        <v>13232</v>
      </c>
      <c r="W3804" t="s">
        <v>16974</v>
      </c>
      <c r="X3804">
        <v>6</v>
      </c>
      <c r="Y3804" t="s">
        <v>23399</v>
      </c>
      <c r="Z3804" t="s">
        <v>29935</v>
      </c>
      <c r="AA3804">
        <v>0.69915396736912716</v>
      </c>
      <c r="AB3804" t="str">
        <f>HYPERLINK("Melting_Curves/meltCurve_Q6AWC2_3_WWC2.pdf", "Melting_Curves/meltCurve_Q6AWC2_3_WWC2.pdf")</f>
        <v>Melting_Curves/meltCurve_Q6AWC2_3_WWC2.pdf</v>
      </c>
    </row>
    <row r="3805" spans="1:28" x14ac:dyDescent="0.25">
      <c r="A3805" t="s">
        <v>3808</v>
      </c>
      <c r="B3805">
        <v>0.99930955844802105</v>
      </c>
      <c r="C3805">
        <v>1.0988637282432301</v>
      </c>
      <c r="D3805">
        <v>0.88679913009908296</v>
      </c>
      <c r="E3805">
        <v>0.41395654340445798</v>
      </c>
      <c r="F3805">
        <v>0.21230000812715699</v>
      </c>
      <c r="G3805">
        <v>0.15876126027575399</v>
      </c>
      <c r="H3805">
        <v>8.1203957585276806E-2</v>
      </c>
      <c r="I3805">
        <v>5.2685857039138202E-2</v>
      </c>
      <c r="J3805">
        <v>0.107319779551885</v>
      </c>
      <c r="K3805">
        <v>3.1209394977690701E-2</v>
      </c>
      <c r="L3805">
        <v>1405.81852734629</v>
      </c>
      <c r="M3805">
        <v>28.588669409545101</v>
      </c>
      <c r="N3805">
        <v>49.490562557813597</v>
      </c>
      <c r="O3805">
        <v>48.9352366031166</v>
      </c>
      <c r="P3805">
        <v>-0.13384982908266599</v>
      </c>
      <c r="Q3805">
        <v>8.3563607125599404E-2</v>
      </c>
      <c r="R3805">
        <v>0.98675669002436905</v>
      </c>
      <c r="S3805" t="s">
        <v>10421</v>
      </c>
      <c r="T3805" t="s">
        <v>13232</v>
      </c>
      <c r="U3805" t="s">
        <v>13232</v>
      </c>
      <c r="V3805" t="s">
        <v>13232</v>
      </c>
      <c r="W3805" t="s">
        <v>16975</v>
      </c>
      <c r="X3805">
        <v>3</v>
      </c>
      <c r="Y3805" t="s">
        <v>23400</v>
      </c>
      <c r="Z3805" t="s">
        <v>29936</v>
      </c>
      <c r="AA3805">
        <v>0.36998474138872611</v>
      </c>
      <c r="AB3805" t="str">
        <f>HYPERLINK("Melting_Curves/meltCurve_Q6AZZ1_TRIM68.pdf", "Melting_Curves/meltCurve_Q6AZZ1_TRIM68.pdf")</f>
        <v>Melting_Curves/meltCurve_Q6AZZ1_TRIM68.pdf</v>
      </c>
    </row>
    <row r="3806" spans="1:28" x14ac:dyDescent="0.25">
      <c r="A3806" t="s">
        <v>3809</v>
      </c>
      <c r="B3806">
        <v>0.99930955844802105</v>
      </c>
      <c r="C3806">
        <v>1.0443627212042501</v>
      </c>
      <c r="D3806">
        <v>1.02089975489153</v>
      </c>
      <c r="E3806">
        <v>0.95942762791730896</v>
      </c>
      <c r="F3806">
        <v>0.88406787244687601</v>
      </c>
      <c r="G3806">
        <v>0.73796186084211302</v>
      </c>
      <c r="H3806">
        <v>0.63738100427265898</v>
      </c>
      <c r="I3806">
        <v>0.31666846533433002</v>
      </c>
      <c r="J3806">
        <v>0.137837273837524</v>
      </c>
      <c r="K3806">
        <v>9.1254583753191607E-2</v>
      </c>
      <c r="L3806">
        <v>1058.81962262</v>
      </c>
      <c r="M3806">
        <v>17.2342305956278</v>
      </c>
      <c r="N3806">
        <v>61.437012102259999</v>
      </c>
      <c r="O3806">
        <v>60.627757022250698</v>
      </c>
      <c r="P3806">
        <v>-7.1069950440637103E-2</v>
      </c>
      <c r="Q3806">
        <v>0</v>
      </c>
      <c r="R3806">
        <v>0.980678515552179</v>
      </c>
      <c r="S3806" t="s">
        <v>10422</v>
      </c>
      <c r="T3806" t="s">
        <v>13232</v>
      </c>
      <c r="U3806" t="s">
        <v>13232</v>
      </c>
      <c r="V3806" t="s">
        <v>13232</v>
      </c>
      <c r="W3806" t="s">
        <v>16976</v>
      </c>
      <c r="X3806">
        <v>17</v>
      </c>
      <c r="Y3806" t="s">
        <v>23401</v>
      </c>
      <c r="Z3806" t="s">
        <v>29937</v>
      </c>
      <c r="AA3806">
        <v>0.71767379003548748</v>
      </c>
      <c r="AB3806" t="str">
        <f>HYPERLINK("Melting_Curves/meltCurve_Q6BCY4_CYB5R2.pdf", "Melting_Curves/meltCurve_Q6BCY4_CYB5R2.pdf")</f>
        <v>Melting_Curves/meltCurve_Q6BCY4_CYB5R2.pdf</v>
      </c>
    </row>
    <row r="3807" spans="1:28" x14ac:dyDescent="0.25">
      <c r="A3807" t="s">
        <v>3810</v>
      </c>
      <c r="B3807">
        <v>0.99930955844802105</v>
      </c>
      <c r="C3807">
        <v>0.89655082866229996</v>
      </c>
      <c r="D3807">
        <v>0.90704246274237599</v>
      </c>
      <c r="E3807">
        <v>1.0182227779967199</v>
      </c>
      <c r="F3807">
        <v>1.0634024022597599</v>
      </c>
      <c r="G3807">
        <v>0.57947963524222901</v>
      </c>
      <c r="H3807">
        <v>0.32428873990138202</v>
      </c>
      <c r="I3807">
        <v>0.29999129990262702</v>
      </c>
      <c r="J3807">
        <v>0.28079315296177298</v>
      </c>
      <c r="K3807">
        <v>0.23062717023634299</v>
      </c>
      <c r="L3807">
        <v>7470.9766940280197</v>
      </c>
      <c r="M3807">
        <v>131.42207291124399</v>
      </c>
      <c r="N3807">
        <v>57.212376589594697</v>
      </c>
      <c r="O3807">
        <v>56.834039019012401</v>
      </c>
      <c r="P3807">
        <v>-0.413976941674919</v>
      </c>
      <c r="Q3807">
        <v>0.28389560519259499</v>
      </c>
      <c r="R3807">
        <v>0.974155589180704</v>
      </c>
      <c r="S3807" t="s">
        <v>10423</v>
      </c>
      <c r="T3807" t="s">
        <v>13232</v>
      </c>
      <c r="U3807" t="s">
        <v>13232</v>
      </c>
      <c r="V3807" t="s">
        <v>13232</v>
      </c>
      <c r="W3807" t="s">
        <v>16977</v>
      </c>
      <c r="X3807">
        <v>21</v>
      </c>
      <c r="Y3807" t="s">
        <v>23402</v>
      </c>
      <c r="Z3807" t="s">
        <v>29938</v>
      </c>
      <c r="AA3807">
        <v>0.6862993811667456</v>
      </c>
      <c r="AB3807" t="str">
        <f>HYPERLINK("Melting_Curves/meltCurve_Q6BDS2_UHRF1BP1.pdf", "Melting_Curves/meltCurve_Q6BDS2_UHRF1BP1.pdf")</f>
        <v>Melting_Curves/meltCurve_Q6BDS2_UHRF1BP1.pdf</v>
      </c>
    </row>
    <row r="3808" spans="1:28" x14ac:dyDescent="0.25">
      <c r="A3808" t="s">
        <v>3811</v>
      </c>
      <c r="B3808">
        <v>0.99930955844802105</v>
      </c>
      <c r="C3808">
        <v>1.0338598916170101</v>
      </c>
      <c r="D3808">
        <v>1.00524326584825</v>
      </c>
      <c r="E3808">
        <v>1.0109058005040801</v>
      </c>
      <c r="F3808">
        <v>0.97339295711438201</v>
      </c>
      <c r="G3808">
        <v>0.75222907925892901</v>
      </c>
      <c r="H3808">
        <v>0.62797460457189103</v>
      </c>
      <c r="I3808">
        <v>0.63915492957892805</v>
      </c>
      <c r="J3808">
        <v>0.59955622414408005</v>
      </c>
      <c r="K3808">
        <v>0.46364251646738203</v>
      </c>
      <c r="L3808">
        <v>1280.2135988366699</v>
      </c>
      <c r="M3808">
        <v>22.2851718818597</v>
      </c>
      <c r="O3808">
        <v>56.990290142948197</v>
      </c>
      <c r="P3808">
        <v>-4.5309584980795202E-2</v>
      </c>
      <c r="Q3808">
        <v>0.53652551073855104</v>
      </c>
      <c r="R3808">
        <v>0.96030783528130104</v>
      </c>
      <c r="S3808" t="s">
        <v>10424</v>
      </c>
      <c r="T3808" t="s">
        <v>13232</v>
      </c>
      <c r="U3808" t="s">
        <v>13232</v>
      </c>
      <c r="V3808" t="s">
        <v>13232</v>
      </c>
      <c r="W3808" t="s">
        <v>16978</v>
      </c>
      <c r="X3808">
        <v>15</v>
      </c>
      <c r="Y3808" t="s">
        <v>23403</v>
      </c>
      <c r="Z3808" t="s">
        <v>29939</v>
      </c>
      <c r="AA3808">
        <v>0.81089966416451742</v>
      </c>
      <c r="AB3808" t="str">
        <f>HYPERLINK("Melting_Curves/meltCurve_Q6DD87_ZNF787.pdf", "Melting_Curves/meltCurve_Q6DD87_ZNF787.pdf")</f>
        <v>Melting_Curves/meltCurve_Q6DD87_ZNF787.pdf</v>
      </c>
    </row>
    <row r="3809" spans="1:28" x14ac:dyDescent="0.25">
      <c r="A3809" t="s">
        <v>3812</v>
      </c>
      <c r="B3809">
        <v>0.99930955844802105</v>
      </c>
      <c r="C3809">
        <v>0.99146159047681603</v>
      </c>
      <c r="D3809">
        <v>1.0210740881337399</v>
      </c>
      <c r="E3809">
        <v>0.90701558155234396</v>
      </c>
      <c r="F3809">
        <v>0.83452113505843994</v>
      </c>
      <c r="G3809">
        <v>0.63933396927696695</v>
      </c>
      <c r="H3809">
        <v>0.53229329451960805</v>
      </c>
      <c r="I3809">
        <v>0.48432941415215902</v>
      </c>
      <c r="J3809">
        <v>0.226055698839597</v>
      </c>
      <c r="K3809">
        <v>0.101662004629862</v>
      </c>
      <c r="L3809">
        <v>701.10090198807097</v>
      </c>
      <c r="M3809">
        <v>11.4864476288679</v>
      </c>
      <c r="N3809">
        <v>61.037226220636903</v>
      </c>
      <c r="O3809">
        <v>59.275128343842702</v>
      </c>
      <c r="P3809">
        <v>-4.8459309678797899E-2</v>
      </c>
      <c r="Q3809">
        <v>0</v>
      </c>
      <c r="R3809">
        <v>0.97161959037761703</v>
      </c>
      <c r="S3809" t="s">
        <v>10425</v>
      </c>
      <c r="T3809" t="s">
        <v>13232</v>
      </c>
      <c r="U3809" t="s">
        <v>13232</v>
      </c>
      <c r="V3809" t="s">
        <v>13232</v>
      </c>
      <c r="W3809" t="s">
        <v>16979</v>
      </c>
      <c r="X3809">
        <v>14</v>
      </c>
      <c r="Y3809" t="s">
        <v>23404</v>
      </c>
      <c r="Z3809" t="s">
        <v>29940</v>
      </c>
      <c r="AA3809">
        <v>0.69523803314699606</v>
      </c>
      <c r="AB3809" t="str">
        <f>HYPERLINK("Melting_Curves/meltCurve_Q6DHV7_3_ADAL.pdf", "Melting_Curves/meltCurve_Q6DHV7_3_ADAL.pdf")</f>
        <v>Melting_Curves/meltCurve_Q6DHV7_3_ADAL.pdf</v>
      </c>
    </row>
    <row r="3810" spans="1:28" x14ac:dyDescent="0.25">
      <c r="A3810" t="s">
        <v>3813</v>
      </c>
      <c r="B3810">
        <v>0.99930955844802105</v>
      </c>
      <c r="C3810">
        <v>0.60759422948125597</v>
      </c>
      <c r="D3810">
        <v>0.41498783744364298</v>
      </c>
      <c r="E3810">
        <v>0.30506403214129502</v>
      </c>
      <c r="F3810">
        <v>0.25916192749065903</v>
      </c>
      <c r="G3810">
        <v>0.18253560160783799</v>
      </c>
      <c r="H3810">
        <v>6.5860518792847197E-2</v>
      </c>
      <c r="I3810">
        <v>5.0675182920726203E-2</v>
      </c>
      <c r="J3810">
        <v>3.89506604851119E-2</v>
      </c>
      <c r="K3810">
        <v>2.85155222237123E-2</v>
      </c>
      <c r="L3810">
        <v>555.48652655328203</v>
      </c>
      <c r="M3810">
        <v>12.223689715994899</v>
      </c>
      <c r="N3810">
        <v>45.802906098176301</v>
      </c>
      <c r="O3810">
        <v>44.2785180059631</v>
      </c>
      <c r="P3810">
        <v>-6.5874066933872003E-2</v>
      </c>
      <c r="Q3810">
        <v>4.5737314600768103E-2</v>
      </c>
      <c r="R3810">
        <v>0.94631163690075504</v>
      </c>
      <c r="S3810" t="s">
        <v>10426</v>
      </c>
      <c r="T3810" t="s">
        <v>13232</v>
      </c>
      <c r="U3810" t="s">
        <v>13232</v>
      </c>
      <c r="V3810" t="s">
        <v>13232</v>
      </c>
      <c r="W3810" t="s">
        <v>16980</v>
      </c>
      <c r="X3810">
        <v>4</v>
      </c>
      <c r="Y3810" t="s">
        <v>23405</v>
      </c>
      <c r="Z3810" t="s">
        <v>29941</v>
      </c>
      <c r="AA3810">
        <v>0.26299226264292502</v>
      </c>
      <c r="AB3810" t="str">
        <f>HYPERLINK("Melting_Curves/meltCurve_Q6DKI1_RPL7L1.pdf", "Melting_Curves/meltCurve_Q6DKI1_RPL7L1.pdf")</f>
        <v>Melting_Curves/meltCurve_Q6DKI1_RPL7L1.pdf</v>
      </c>
    </row>
    <row r="3811" spans="1:28" x14ac:dyDescent="0.25">
      <c r="A3811" t="s">
        <v>3814</v>
      </c>
      <c r="B3811">
        <v>0.99930955844802105</v>
      </c>
      <c r="C3811">
        <v>1.00157708112754</v>
      </c>
      <c r="D3811">
        <v>0.96715255878803597</v>
      </c>
      <c r="E3811">
        <v>0.75540500127738097</v>
      </c>
      <c r="F3811">
        <v>0.38417792081447899</v>
      </c>
      <c r="G3811">
        <v>0.243985119332263</v>
      </c>
      <c r="H3811">
        <v>0.14665235982366401</v>
      </c>
      <c r="I3811">
        <v>0.130331291480761</v>
      </c>
      <c r="J3811">
        <v>0.114305659190253</v>
      </c>
      <c r="K3811">
        <v>9.4533576583749002E-2</v>
      </c>
      <c r="L3811">
        <v>1330.4464435329701</v>
      </c>
      <c r="M3811">
        <v>25.766249267636901</v>
      </c>
      <c r="N3811">
        <v>52.202377741346602</v>
      </c>
      <c r="O3811">
        <v>51.327228245830597</v>
      </c>
      <c r="P3811">
        <v>-0.110179966598242</v>
      </c>
      <c r="Q3811">
        <v>0.12208185217874699</v>
      </c>
      <c r="R3811">
        <v>0.99630831821844001</v>
      </c>
      <c r="S3811" t="s">
        <v>10427</v>
      </c>
      <c r="T3811" t="s">
        <v>13232</v>
      </c>
      <c r="U3811" t="s">
        <v>13232</v>
      </c>
      <c r="V3811" t="s">
        <v>13232</v>
      </c>
      <c r="W3811" t="s">
        <v>16981</v>
      </c>
      <c r="X3811">
        <v>11</v>
      </c>
      <c r="Y3811" t="s">
        <v>23406</v>
      </c>
      <c r="Z3811" t="s">
        <v>29942</v>
      </c>
      <c r="AA3811">
        <v>0.47010425088625568</v>
      </c>
      <c r="AB3811" t="str">
        <f>HYPERLINK("Melting_Curves/meltCurve_Q6DKJ4_NXN.pdf", "Melting_Curves/meltCurve_Q6DKJ4_NXN.pdf")</f>
        <v>Melting_Curves/meltCurve_Q6DKJ4_NXN.pdf</v>
      </c>
    </row>
    <row r="3812" spans="1:28" x14ac:dyDescent="0.25">
      <c r="A3812" t="s">
        <v>3815</v>
      </c>
      <c r="B3812">
        <v>0.99930955844802105</v>
      </c>
      <c r="C3812">
        <v>1.0562316117221899</v>
      </c>
      <c r="D3812">
        <v>0.99938131147533305</v>
      </c>
      <c r="E3812">
        <v>0.80004744205114597</v>
      </c>
      <c r="F3812">
        <v>0.406127367247202</v>
      </c>
      <c r="G3812">
        <v>0.27601083075203697</v>
      </c>
      <c r="H3812">
        <v>0.20077711004378099</v>
      </c>
      <c r="I3812">
        <v>0.16093817580627601</v>
      </c>
      <c r="J3812">
        <v>0.120404457437844</v>
      </c>
      <c r="K3812">
        <v>9.6680936094794098E-2</v>
      </c>
      <c r="L3812">
        <v>1471.50945078</v>
      </c>
      <c r="M3812">
        <v>28.381884833754601</v>
      </c>
      <c r="N3812">
        <v>52.507028853176401</v>
      </c>
      <c r="O3812">
        <v>51.591442051366599</v>
      </c>
      <c r="P3812">
        <v>-0.11689289692784401</v>
      </c>
      <c r="Q3812">
        <v>0.15007420897502999</v>
      </c>
      <c r="R3812">
        <v>0.98925754771511298</v>
      </c>
      <c r="S3812" t="s">
        <v>10428</v>
      </c>
      <c r="T3812" t="s">
        <v>13232</v>
      </c>
      <c r="U3812" t="s">
        <v>13232</v>
      </c>
      <c r="V3812" t="s">
        <v>13232</v>
      </c>
      <c r="W3812" t="s">
        <v>16982</v>
      </c>
      <c r="X3812">
        <v>7</v>
      </c>
      <c r="Y3812" t="s">
        <v>23407</v>
      </c>
      <c r="Z3812" t="s">
        <v>29943</v>
      </c>
      <c r="AA3812">
        <v>0.49174980214375208</v>
      </c>
      <c r="AB3812" t="str">
        <f>HYPERLINK("Melting_Curves/meltCurve_Q6DKK2_TTC19.pdf", "Melting_Curves/meltCurve_Q6DKK2_TTC19.pdf")</f>
        <v>Melting_Curves/meltCurve_Q6DKK2_TTC19.pdf</v>
      </c>
    </row>
    <row r="3813" spans="1:28" x14ac:dyDescent="0.25">
      <c r="A3813" t="s">
        <v>3816</v>
      </c>
      <c r="B3813">
        <v>0.99930955844802105</v>
      </c>
      <c r="C3813">
        <v>1.0655074740930099</v>
      </c>
      <c r="D3813">
        <v>0.96360989653236395</v>
      </c>
      <c r="E3813">
        <v>0.68539293576983895</v>
      </c>
      <c r="F3813">
        <v>0.57667776911542301</v>
      </c>
      <c r="G3813">
        <v>0.54404364855175402</v>
      </c>
      <c r="H3813">
        <v>0.69238331705373202</v>
      </c>
      <c r="I3813">
        <v>0.83795096498961996</v>
      </c>
      <c r="J3813">
        <v>0.98249623125188601</v>
      </c>
      <c r="K3813">
        <v>0.72704294147572301</v>
      </c>
      <c r="L3813">
        <v>11587.296670182999</v>
      </c>
      <c r="M3813">
        <v>250</v>
      </c>
      <c r="O3813">
        <v>46.346213162726002</v>
      </c>
      <c r="P3813">
        <v>-0.37643926984043902</v>
      </c>
      <c r="Q3813">
        <v>0.72085540089073197</v>
      </c>
      <c r="R3813">
        <v>0.55586358952970905</v>
      </c>
      <c r="S3813" t="s">
        <v>10429</v>
      </c>
      <c r="T3813" t="s">
        <v>13232</v>
      </c>
      <c r="U3813" t="s">
        <v>13232</v>
      </c>
      <c r="V3813" t="s">
        <v>13232</v>
      </c>
      <c r="W3813" t="s">
        <v>16983</v>
      </c>
      <c r="X3813">
        <v>12</v>
      </c>
      <c r="Y3813" t="s">
        <v>23408</v>
      </c>
      <c r="Z3813" t="s">
        <v>29944</v>
      </c>
      <c r="AA3813">
        <v>0.77995614612107667</v>
      </c>
      <c r="AB3813" t="str">
        <f>HYPERLINK("Melting_Curves/meltCurve_Q6DN90_2_IQSEC1.pdf", "Melting_Curves/meltCurve_Q6DN90_2_IQSEC1.pdf")</f>
        <v>Melting_Curves/meltCurve_Q6DN90_2_IQSEC1.pdf</v>
      </c>
    </row>
    <row r="3814" spans="1:28" x14ac:dyDescent="0.25">
      <c r="A3814" t="s">
        <v>3817</v>
      </c>
      <c r="B3814">
        <v>0.99930955844802105</v>
      </c>
      <c r="C3814">
        <v>0.96301274946120496</v>
      </c>
      <c r="D3814">
        <v>0.90897358070383305</v>
      </c>
      <c r="E3814">
        <v>0.65786386141122699</v>
      </c>
      <c r="F3814">
        <v>0.39064624224677802</v>
      </c>
      <c r="G3814">
        <v>0.24097196693912501</v>
      </c>
      <c r="H3814">
        <v>0.16589320284776901</v>
      </c>
      <c r="I3814">
        <v>0.15446135981140399</v>
      </c>
      <c r="J3814">
        <v>0.14053117025440201</v>
      </c>
      <c r="K3814">
        <v>0.111843991907664</v>
      </c>
      <c r="L3814">
        <v>991.46186980699395</v>
      </c>
      <c r="M3814">
        <v>19.444861374754801</v>
      </c>
      <c r="N3814">
        <v>51.776231245550498</v>
      </c>
      <c r="O3814">
        <v>50.458283274723101</v>
      </c>
      <c r="P3814">
        <v>-8.4006641932966294E-2</v>
      </c>
      <c r="Q3814">
        <v>0.12806234491511401</v>
      </c>
      <c r="R3814">
        <v>0.99879468718153896</v>
      </c>
      <c r="S3814" t="s">
        <v>10430</v>
      </c>
      <c r="T3814" t="s">
        <v>13232</v>
      </c>
      <c r="U3814" t="s">
        <v>13232</v>
      </c>
      <c r="V3814" t="s">
        <v>13232</v>
      </c>
      <c r="W3814" t="s">
        <v>16984</v>
      </c>
      <c r="X3814">
        <v>7</v>
      </c>
      <c r="Y3814" t="s">
        <v>23409</v>
      </c>
      <c r="Z3814" t="s">
        <v>29945</v>
      </c>
      <c r="AA3814">
        <v>0.4601913546700977</v>
      </c>
      <c r="AB3814" t="str">
        <f>HYPERLINK("Melting_Curves/meltCurve_Q6DT37_CDC42BPG.pdf", "Melting_Curves/meltCurve_Q6DT37_CDC42BPG.pdf")</f>
        <v>Melting_Curves/meltCurve_Q6DT37_CDC42BPG.pdf</v>
      </c>
    </row>
    <row r="3815" spans="1:28" x14ac:dyDescent="0.25">
      <c r="A3815" t="s">
        <v>3818</v>
      </c>
      <c r="B3815">
        <v>0.99930955844802105</v>
      </c>
      <c r="C3815">
        <v>1.30362056262652</v>
      </c>
      <c r="D3815">
        <v>1.29869881936916</v>
      </c>
      <c r="E3815">
        <v>1.3353492142007199</v>
      </c>
      <c r="F3815">
        <v>1.2704545487730201</v>
      </c>
      <c r="G3815">
        <v>1.2321266201317</v>
      </c>
      <c r="H3815">
        <v>1.3826007702921601</v>
      </c>
      <c r="I3815">
        <v>1.4101774659725199</v>
      </c>
      <c r="J3815">
        <v>1.42364327478513</v>
      </c>
      <c r="K3815">
        <v>1.24446484304454</v>
      </c>
      <c r="L3815">
        <v>10610.5436000604</v>
      </c>
      <c r="M3815">
        <v>250</v>
      </c>
      <c r="O3815">
        <v>42.439476411725202</v>
      </c>
      <c r="P3815">
        <v>0.47816562862529599</v>
      </c>
      <c r="Q3815">
        <v>1.32468944527076</v>
      </c>
      <c r="R3815">
        <v>0.70645506701590299</v>
      </c>
      <c r="S3815" t="s">
        <v>10431</v>
      </c>
      <c r="T3815" t="s">
        <v>13232</v>
      </c>
      <c r="U3815" t="s">
        <v>13232</v>
      </c>
      <c r="V3815" t="s">
        <v>13232</v>
      </c>
      <c r="W3815" t="s">
        <v>16985</v>
      </c>
      <c r="X3815">
        <v>2</v>
      </c>
      <c r="Y3815" t="s">
        <v>21484</v>
      </c>
      <c r="Z3815" t="s">
        <v>29946</v>
      </c>
      <c r="AA3815">
        <v>1.298233651905661</v>
      </c>
      <c r="AB3815" t="str">
        <f>HYPERLINK("Melting_Curves/meltCurve_Q6EEV4_2_POLR2M.pdf", "Melting_Curves/meltCurve_Q6EEV4_2_POLR2M.pdf")</f>
        <v>Melting_Curves/meltCurve_Q6EEV4_2_POLR2M.pdf</v>
      </c>
    </row>
    <row r="3816" spans="1:28" x14ac:dyDescent="0.25">
      <c r="A3816" t="s">
        <v>3819</v>
      </c>
      <c r="B3816">
        <v>0.99930955844802105</v>
      </c>
      <c r="C3816">
        <v>1.0045987902443501</v>
      </c>
      <c r="D3816">
        <v>0.99746778209814002</v>
      </c>
      <c r="E3816">
        <v>0.77534645961081405</v>
      </c>
      <c r="F3816">
        <v>0.64836900035632705</v>
      </c>
      <c r="G3816">
        <v>0.503970541803201</v>
      </c>
      <c r="H3816">
        <v>0.25436204703045601</v>
      </c>
      <c r="I3816">
        <v>0.201329705171085</v>
      </c>
      <c r="J3816">
        <v>0.15941065514415301</v>
      </c>
      <c r="K3816">
        <v>0.13595821800040001</v>
      </c>
      <c r="L3816">
        <v>732.75475419673</v>
      </c>
      <c r="M3816">
        <v>13.2408460266454</v>
      </c>
      <c r="N3816">
        <v>56.025167345359797</v>
      </c>
      <c r="O3816">
        <v>54.123864647989599</v>
      </c>
      <c r="P3816">
        <v>-5.6600473141926802E-2</v>
      </c>
      <c r="Q3816">
        <v>7.4701857762558097E-2</v>
      </c>
      <c r="R3816">
        <v>0.99161097585662406</v>
      </c>
      <c r="S3816" t="s">
        <v>10432</v>
      </c>
      <c r="T3816" t="s">
        <v>13232</v>
      </c>
      <c r="U3816" t="s">
        <v>13232</v>
      </c>
      <c r="V3816" t="s">
        <v>13232</v>
      </c>
      <c r="W3816" t="s">
        <v>16986</v>
      </c>
      <c r="X3816">
        <v>4</v>
      </c>
      <c r="Y3816" t="s">
        <v>23410</v>
      </c>
      <c r="Z3816" t="s">
        <v>29947</v>
      </c>
      <c r="AA3816">
        <v>0.56727526472855905</v>
      </c>
      <c r="AB3816" t="str">
        <f>HYPERLINK("Melting_Curves/meltCurve_Q6EMK4_VASN.pdf", "Melting_Curves/meltCurve_Q6EMK4_VASN.pdf")</f>
        <v>Melting_Curves/meltCurve_Q6EMK4_VASN.pdf</v>
      </c>
    </row>
    <row r="3817" spans="1:28" x14ac:dyDescent="0.25">
      <c r="A3817" t="s">
        <v>3820</v>
      </c>
      <c r="B3817">
        <v>0.99930955844802105</v>
      </c>
      <c r="C3817">
        <v>1.0456626318334701</v>
      </c>
      <c r="D3817">
        <v>0.96298136574200199</v>
      </c>
      <c r="E3817">
        <v>0.964741595082106</v>
      </c>
      <c r="F3817">
        <v>0.89001131617623197</v>
      </c>
      <c r="G3817">
        <v>0.85549920574249005</v>
      </c>
      <c r="H3817">
        <v>0.78591682258001605</v>
      </c>
      <c r="I3817">
        <v>0.87405057998985003</v>
      </c>
      <c r="J3817">
        <v>0.91965973197357598</v>
      </c>
      <c r="K3817">
        <v>0.73676011317040602</v>
      </c>
      <c r="L3817">
        <v>1291.53469543764</v>
      </c>
      <c r="M3817">
        <v>24.8149842945421</v>
      </c>
      <c r="O3817">
        <v>51.712091281616097</v>
      </c>
      <c r="P3817">
        <v>-2.0510111877573602E-2</v>
      </c>
      <c r="Q3817">
        <v>0.82903778015628304</v>
      </c>
      <c r="R3817">
        <v>0.70560449362045297</v>
      </c>
      <c r="S3817" t="s">
        <v>10433</v>
      </c>
      <c r="T3817" t="s">
        <v>13232</v>
      </c>
      <c r="U3817" t="s">
        <v>13232</v>
      </c>
      <c r="V3817" t="s">
        <v>13232</v>
      </c>
      <c r="W3817" t="s">
        <v>16987</v>
      </c>
      <c r="X3817">
        <v>4</v>
      </c>
      <c r="Y3817" t="s">
        <v>23411</v>
      </c>
      <c r="Z3817" t="s">
        <v>29948</v>
      </c>
      <c r="AA3817">
        <v>0.89927189325280599</v>
      </c>
      <c r="AB3817" t="str">
        <f>HYPERLINK("Melting_Curves/meltCurve_Q6F5E8_RLTPR.pdf", "Melting_Curves/meltCurve_Q6F5E8_RLTPR.pdf")</f>
        <v>Melting_Curves/meltCurve_Q6F5E8_RLTPR.pdf</v>
      </c>
    </row>
    <row r="3818" spans="1:28" x14ac:dyDescent="0.25">
      <c r="A3818" t="s">
        <v>3821</v>
      </c>
      <c r="B3818">
        <v>0.99930955844802105</v>
      </c>
      <c r="C3818">
        <v>1.22100927377112</v>
      </c>
      <c r="D3818">
        <v>1.27334926950049</v>
      </c>
      <c r="E3818">
        <v>1.1423991473763</v>
      </c>
      <c r="F3818">
        <v>0.84361068022144403</v>
      </c>
      <c r="G3818">
        <v>0.62168482010998904</v>
      </c>
      <c r="H3818">
        <v>0.52010722073112003</v>
      </c>
      <c r="I3818">
        <v>0.50153667354945697</v>
      </c>
      <c r="J3818">
        <v>0.47665272601644598</v>
      </c>
      <c r="K3818">
        <v>0.39021435201968901</v>
      </c>
      <c r="L3818">
        <v>1788.62975636684</v>
      </c>
      <c r="M3818">
        <v>32.309935238263201</v>
      </c>
      <c r="N3818">
        <v>60.203511409080697</v>
      </c>
      <c r="O3818">
        <v>55.1477533185463</v>
      </c>
      <c r="P3818">
        <v>-7.8673601335931001E-2</v>
      </c>
      <c r="Q3818">
        <v>0.46287110731972098</v>
      </c>
      <c r="R3818">
        <v>0.84532894995810903</v>
      </c>
      <c r="S3818" t="s">
        <v>10434</v>
      </c>
      <c r="T3818" t="s">
        <v>13232</v>
      </c>
      <c r="U3818" t="s">
        <v>13232</v>
      </c>
      <c r="V3818" t="s">
        <v>13232</v>
      </c>
      <c r="W3818" t="s">
        <v>16988</v>
      </c>
      <c r="X3818">
        <v>17</v>
      </c>
      <c r="Y3818" t="s">
        <v>23412</v>
      </c>
      <c r="Z3818" t="s">
        <v>29949</v>
      </c>
      <c r="AA3818">
        <v>0.74095860069174757</v>
      </c>
      <c r="AB3818" t="str">
        <f>HYPERLINK("Melting_Curves/meltCurve_Q6FI81_3_CIAPIN1.pdf", "Melting_Curves/meltCurve_Q6FI81_3_CIAPIN1.pdf")</f>
        <v>Melting_Curves/meltCurve_Q6FI81_3_CIAPIN1.pdf</v>
      </c>
    </row>
    <row r="3819" spans="1:28" x14ac:dyDescent="0.25">
      <c r="A3819" t="s">
        <v>3822</v>
      </c>
      <c r="B3819">
        <v>0.99930955844802105</v>
      </c>
      <c r="C3819">
        <v>1.1617330309070999</v>
      </c>
      <c r="D3819">
        <v>1.14420653230907</v>
      </c>
      <c r="E3819">
        <v>1.01003513645636</v>
      </c>
      <c r="F3819">
        <v>0.912514550674424</v>
      </c>
      <c r="G3819">
        <v>0.69152219568964202</v>
      </c>
      <c r="H3819">
        <v>0.58092194188998703</v>
      </c>
      <c r="I3819">
        <v>0.68973642127308599</v>
      </c>
      <c r="J3819">
        <v>0.56109199959996003</v>
      </c>
      <c r="K3819">
        <v>0.41264657655864301</v>
      </c>
      <c r="L3819">
        <v>1361.40355966064</v>
      </c>
      <c r="M3819">
        <v>24.272194149656901</v>
      </c>
      <c r="O3819">
        <v>55.712452507929903</v>
      </c>
      <c r="P3819">
        <v>-5.0853446724826397E-2</v>
      </c>
      <c r="Q3819">
        <v>0.53310732347591006</v>
      </c>
      <c r="R3819">
        <v>0.86545884856882505</v>
      </c>
      <c r="S3819" t="s">
        <v>10435</v>
      </c>
      <c r="T3819" t="s">
        <v>13232</v>
      </c>
      <c r="U3819" t="s">
        <v>13232</v>
      </c>
      <c r="V3819" t="s">
        <v>13232</v>
      </c>
      <c r="W3819" t="s">
        <v>16989</v>
      </c>
      <c r="X3819">
        <v>6</v>
      </c>
      <c r="Y3819" t="s">
        <v>23413</v>
      </c>
      <c r="Z3819" t="s">
        <v>29950</v>
      </c>
      <c r="AA3819">
        <v>0.78799495441328971</v>
      </c>
      <c r="AB3819" t="str">
        <f>HYPERLINK("Melting_Curves/meltCurve_Q6FIF0_2_ZFAND6.pdf", "Melting_Curves/meltCurve_Q6FIF0_2_ZFAND6.pdf")</f>
        <v>Melting_Curves/meltCurve_Q6FIF0_2_ZFAND6.pdf</v>
      </c>
    </row>
    <row r="3820" spans="1:28" x14ac:dyDescent="0.25">
      <c r="A3820" t="s">
        <v>3823</v>
      </c>
      <c r="B3820">
        <v>0.99930955844802105</v>
      </c>
      <c r="C3820">
        <v>0.97023286706334499</v>
      </c>
      <c r="D3820">
        <v>0.92985811831669496</v>
      </c>
      <c r="E3820">
        <v>0.93235455392387701</v>
      </c>
      <c r="F3820">
        <v>0.59177074850732003</v>
      </c>
      <c r="G3820">
        <v>0.21530743269639199</v>
      </c>
      <c r="H3820">
        <v>0.124855719376629</v>
      </c>
      <c r="I3820">
        <v>0.11118253910260099</v>
      </c>
      <c r="J3820">
        <v>9.7931155781562904E-2</v>
      </c>
      <c r="K3820">
        <v>7.8891870499938996E-2</v>
      </c>
      <c r="L3820">
        <v>1679.32402018691</v>
      </c>
      <c r="M3820">
        <v>31.4382237372654</v>
      </c>
      <c r="N3820">
        <v>53.789284055532598</v>
      </c>
      <c r="O3820">
        <v>53.201909588083701</v>
      </c>
      <c r="P3820">
        <v>-0.13327474737859099</v>
      </c>
      <c r="Q3820">
        <v>9.78585814144909E-2</v>
      </c>
      <c r="R3820">
        <v>0.99584747299065401</v>
      </c>
      <c r="S3820" t="s">
        <v>10436</v>
      </c>
      <c r="T3820" t="s">
        <v>13232</v>
      </c>
      <c r="U3820" t="s">
        <v>13232</v>
      </c>
      <c r="V3820" t="s">
        <v>13232</v>
      </c>
      <c r="W3820" t="s">
        <v>16990</v>
      </c>
      <c r="X3820">
        <v>11</v>
      </c>
      <c r="Y3820" t="s">
        <v>23414</v>
      </c>
      <c r="Z3820" t="s">
        <v>29951</v>
      </c>
      <c r="AA3820">
        <v>0.50668396242298952</v>
      </c>
      <c r="AB3820" t="str">
        <f>HYPERLINK("Melting_Curves/meltCurve_Q6GMV2_SMYD5.pdf", "Melting_Curves/meltCurve_Q6GMV2_SMYD5.pdf")</f>
        <v>Melting_Curves/meltCurve_Q6GMV2_SMYD5.pdf</v>
      </c>
    </row>
    <row r="3821" spans="1:28" x14ac:dyDescent="0.25">
      <c r="A3821" t="s">
        <v>3824</v>
      </c>
      <c r="B3821">
        <v>0.99930955844802105</v>
      </c>
      <c r="C3821">
        <v>1.03439336031495</v>
      </c>
      <c r="D3821">
        <v>1.0029943225886799</v>
      </c>
      <c r="E3821">
        <v>0.92241324922327095</v>
      </c>
      <c r="F3821">
        <v>0.77087553241166396</v>
      </c>
      <c r="G3821">
        <v>0.60023709570991202</v>
      </c>
      <c r="H3821">
        <v>0.43873345199897301</v>
      </c>
      <c r="I3821">
        <v>0.27583636262384398</v>
      </c>
      <c r="J3821">
        <v>0.17573990364287001</v>
      </c>
      <c r="K3821">
        <v>0.10829495700403</v>
      </c>
      <c r="L3821">
        <v>740.61088029448399</v>
      </c>
      <c r="M3821">
        <v>12.538727082658299</v>
      </c>
      <c r="N3821">
        <v>59.065874560349002</v>
      </c>
      <c r="O3821">
        <v>57.623880152463798</v>
      </c>
      <c r="P3821">
        <v>-5.4410067390431298E-2</v>
      </c>
      <c r="Q3821">
        <v>0</v>
      </c>
      <c r="R3821">
        <v>0.994760992254073</v>
      </c>
      <c r="S3821" t="s">
        <v>10437</v>
      </c>
      <c r="T3821" t="s">
        <v>13232</v>
      </c>
      <c r="U3821" t="s">
        <v>13232</v>
      </c>
      <c r="V3821" t="s">
        <v>13232</v>
      </c>
      <c r="W3821" t="s">
        <v>16991</v>
      </c>
      <c r="X3821">
        <v>7</v>
      </c>
      <c r="Y3821" t="s">
        <v>23415</v>
      </c>
      <c r="Z3821" t="s">
        <v>29952</v>
      </c>
      <c r="AA3821">
        <v>0.64388372473690625</v>
      </c>
      <c r="AB3821" t="str">
        <f>HYPERLINK("Melting_Curves/meltCurve_Q6GMV3_PTRHD1.pdf", "Melting_Curves/meltCurve_Q6GMV3_PTRHD1.pdf")</f>
        <v>Melting_Curves/meltCurve_Q6GMV3_PTRHD1.pdf</v>
      </c>
    </row>
    <row r="3822" spans="1:28" x14ac:dyDescent="0.25">
      <c r="A3822" t="s">
        <v>3825</v>
      </c>
      <c r="B3822">
        <v>0.99930955844802105</v>
      </c>
      <c r="C3822">
        <v>1.0479894878146201</v>
      </c>
      <c r="D3822">
        <v>0.88300684232367099</v>
      </c>
      <c r="E3822">
        <v>0.68447137406187097</v>
      </c>
      <c r="F3822">
        <v>0.52767099522837801</v>
      </c>
      <c r="G3822">
        <v>0.41367995283659498</v>
      </c>
      <c r="H3822">
        <v>0.36759075912175299</v>
      </c>
      <c r="I3822">
        <v>0.405064574821694</v>
      </c>
      <c r="J3822">
        <v>0.39424667280364001</v>
      </c>
      <c r="K3822">
        <v>0.32705653664616802</v>
      </c>
      <c r="L3822">
        <v>1022.48472369431</v>
      </c>
      <c r="M3822">
        <v>20.437477090900799</v>
      </c>
      <c r="N3822">
        <v>53.497654368581699</v>
      </c>
      <c r="O3822">
        <v>49.558278567711803</v>
      </c>
      <c r="P3822">
        <v>-6.5256019122864606E-2</v>
      </c>
      <c r="Q3822">
        <v>0.36706864411321799</v>
      </c>
      <c r="R3822">
        <v>0.98713539772135706</v>
      </c>
      <c r="S3822" t="s">
        <v>10438</v>
      </c>
      <c r="T3822" t="s">
        <v>13232</v>
      </c>
      <c r="U3822" t="s">
        <v>13232</v>
      </c>
      <c r="V3822" t="s">
        <v>13232</v>
      </c>
      <c r="W3822" t="s">
        <v>16992</v>
      </c>
      <c r="X3822">
        <v>16</v>
      </c>
      <c r="Y3822" t="s">
        <v>23416</v>
      </c>
      <c r="Z3822" t="s">
        <v>29953</v>
      </c>
      <c r="AA3822">
        <v>0.58712209569171259</v>
      </c>
      <c r="AB3822" t="str">
        <f>HYPERLINK("Melting_Curves/meltCurve_Q6GQQ9_OTUD7B.pdf", "Melting_Curves/meltCurve_Q6GQQ9_OTUD7B.pdf")</f>
        <v>Melting_Curves/meltCurve_Q6GQQ9_OTUD7B.pdf</v>
      </c>
    </row>
    <row r="3823" spans="1:28" x14ac:dyDescent="0.25">
      <c r="A3823" t="s">
        <v>3826</v>
      </c>
      <c r="B3823">
        <v>0.99930955844802105</v>
      </c>
      <c r="C3823">
        <v>0.620027442288965</v>
      </c>
      <c r="D3823">
        <v>0.61345734874604996</v>
      </c>
      <c r="E3823">
        <v>0.35533232723227998</v>
      </c>
      <c r="F3823">
        <v>0.20279352676704701</v>
      </c>
      <c r="G3823">
        <v>0.13996214379525601</v>
      </c>
      <c r="H3823">
        <v>9.7565361057774705E-2</v>
      </c>
      <c r="I3823">
        <v>8.7196222112354602E-2</v>
      </c>
      <c r="J3823">
        <v>7.2161998436195696E-2</v>
      </c>
      <c r="K3823">
        <v>6.9361817294022299E-2</v>
      </c>
      <c r="L3823">
        <v>572.77973674157295</v>
      </c>
      <c r="M3823">
        <v>12.3073774478683</v>
      </c>
      <c r="N3823">
        <v>46.956460736413703</v>
      </c>
      <c r="O3823">
        <v>45.362036184758097</v>
      </c>
      <c r="P3823">
        <v>-6.4332010810686902E-2</v>
      </c>
      <c r="Q3823">
        <v>5.1757902193795897E-2</v>
      </c>
      <c r="R3823">
        <v>0.96292870516319395</v>
      </c>
      <c r="S3823" t="s">
        <v>10439</v>
      </c>
      <c r="T3823" t="s">
        <v>13232</v>
      </c>
      <c r="U3823" t="s">
        <v>13232</v>
      </c>
      <c r="V3823" t="s">
        <v>13232</v>
      </c>
      <c r="W3823" t="s">
        <v>16993</v>
      </c>
      <c r="X3823">
        <v>8</v>
      </c>
      <c r="Y3823" t="s">
        <v>23417</v>
      </c>
      <c r="Z3823" t="s">
        <v>29954</v>
      </c>
      <c r="AA3823">
        <v>0.29781412344573771</v>
      </c>
      <c r="AB3823" t="str">
        <f>HYPERLINK("Melting_Curves/meltCurve_Q6GYQ0_RALGAPA1.pdf", "Melting_Curves/meltCurve_Q6GYQ0_RALGAPA1.pdf")</f>
        <v>Melting_Curves/meltCurve_Q6GYQ0_RALGAPA1.pdf</v>
      </c>
    </row>
    <row r="3824" spans="1:28" x14ac:dyDescent="0.25">
      <c r="A3824" t="s">
        <v>3827</v>
      </c>
      <c r="B3824">
        <v>0.99930955844802105</v>
      </c>
      <c r="C3824">
        <v>0.87269043495316501</v>
      </c>
      <c r="D3824">
        <v>0.80471038588960497</v>
      </c>
      <c r="E3824">
        <v>0.88354945958321895</v>
      </c>
      <c r="F3824">
        <v>0.659858412140231</v>
      </c>
      <c r="G3824">
        <v>0.48621033984232298</v>
      </c>
      <c r="H3824">
        <v>0.38915365962125298</v>
      </c>
      <c r="I3824">
        <v>0.36382699437907201</v>
      </c>
      <c r="J3824">
        <v>0.34831879069243099</v>
      </c>
      <c r="K3824">
        <v>0.28952471308981398</v>
      </c>
      <c r="L3824">
        <v>490.78610870764697</v>
      </c>
      <c r="M3824">
        <v>8.9281752469667897</v>
      </c>
      <c r="N3824">
        <v>57.9234853817333</v>
      </c>
      <c r="O3824">
        <v>52.422581038577</v>
      </c>
      <c r="P3824">
        <v>-3.4819458567304097E-2</v>
      </c>
      <c r="Q3824">
        <v>0.18282943449783501</v>
      </c>
      <c r="R3824">
        <v>0.95425500073659397</v>
      </c>
      <c r="S3824" t="s">
        <v>10440</v>
      </c>
      <c r="T3824" t="s">
        <v>13232</v>
      </c>
      <c r="U3824" t="s">
        <v>13232</v>
      </c>
      <c r="V3824" t="s">
        <v>13232</v>
      </c>
      <c r="W3824" t="s">
        <v>16994</v>
      </c>
      <c r="X3824">
        <v>7</v>
      </c>
      <c r="Y3824" t="s">
        <v>23418</v>
      </c>
      <c r="Z3824" t="s">
        <v>29955</v>
      </c>
      <c r="AA3824">
        <v>0.6126254239755371</v>
      </c>
      <c r="AB3824" t="str">
        <f>HYPERLINK("Melting_Curves/meltCurve_Q6I9Y2_THOC7.pdf", "Melting_Curves/meltCurve_Q6I9Y2_THOC7.pdf")</f>
        <v>Melting_Curves/meltCurve_Q6I9Y2_THOC7.pdf</v>
      </c>
    </row>
    <row r="3825" spans="1:28" x14ac:dyDescent="0.25">
      <c r="A3825" t="s">
        <v>3828</v>
      </c>
      <c r="B3825">
        <v>0.99930955844802105</v>
      </c>
      <c r="C3825">
        <v>0.80283415070025499</v>
      </c>
      <c r="D3825">
        <v>0.79785287544592198</v>
      </c>
      <c r="E3825">
        <v>0.82733132870153003</v>
      </c>
      <c r="F3825">
        <v>0.66867702126003004</v>
      </c>
      <c r="G3825">
        <v>0.477298235821006</v>
      </c>
      <c r="H3825">
        <v>0.15338857763560801</v>
      </c>
      <c r="I3825">
        <v>7.6635847255248093E-2</v>
      </c>
      <c r="J3825">
        <v>6.0336198152929503E-2</v>
      </c>
      <c r="K3825">
        <v>4.5689121954335297E-2</v>
      </c>
      <c r="L3825">
        <v>734.81364875064696</v>
      </c>
      <c r="M3825">
        <v>13.3213405836592</v>
      </c>
      <c r="N3825">
        <v>55.160638234465701</v>
      </c>
      <c r="O3825">
        <v>53.962076096351097</v>
      </c>
      <c r="P3825">
        <v>-6.1726142239460498E-2</v>
      </c>
      <c r="Q3825">
        <v>0</v>
      </c>
      <c r="R3825">
        <v>0.94688255975529301</v>
      </c>
      <c r="S3825" t="s">
        <v>10441</v>
      </c>
      <c r="T3825" t="s">
        <v>13232</v>
      </c>
      <c r="U3825" t="s">
        <v>13232</v>
      </c>
      <c r="V3825" t="s">
        <v>13232</v>
      </c>
      <c r="W3825" t="s">
        <v>16995</v>
      </c>
      <c r="X3825">
        <v>8</v>
      </c>
      <c r="Y3825" t="s">
        <v>23419</v>
      </c>
      <c r="Z3825" t="s">
        <v>29956</v>
      </c>
      <c r="AA3825">
        <v>0.52663733981268379</v>
      </c>
      <c r="AB3825" t="str">
        <f>HYPERLINK("Melting_Curves/meltCurve_Q6IA69_NADSYN1.pdf", "Melting_Curves/meltCurve_Q6IA69_NADSYN1.pdf")</f>
        <v>Melting_Curves/meltCurve_Q6IA69_NADSYN1.pdf</v>
      </c>
    </row>
    <row r="3826" spans="1:28" x14ac:dyDescent="0.25">
      <c r="A3826" t="s">
        <v>3829</v>
      </c>
      <c r="B3826">
        <v>0.99930955844802105</v>
      </c>
      <c r="C3826">
        <v>0.72270488894422302</v>
      </c>
      <c r="D3826">
        <v>0.773861643346338</v>
      </c>
      <c r="E3826">
        <v>0.79024671423715798</v>
      </c>
      <c r="F3826">
        <v>0.78334084276453797</v>
      </c>
      <c r="G3826">
        <v>0.29618536298385001</v>
      </c>
      <c r="H3826">
        <v>9.1463624156000803E-2</v>
      </c>
      <c r="I3826">
        <v>6.1592523938590799E-2</v>
      </c>
      <c r="J3826">
        <v>4.8890220479173602E-2</v>
      </c>
      <c r="K3826">
        <v>3.7516552346768699E-2</v>
      </c>
      <c r="L3826">
        <v>891.10643789912604</v>
      </c>
      <c r="M3826">
        <v>16.2862185278371</v>
      </c>
      <c r="N3826">
        <v>54.715372794442999</v>
      </c>
      <c r="O3826">
        <v>53.910407170347</v>
      </c>
      <c r="P3826">
        <v>-7.5530023908454799E-2</v>
      </c>
      <c r="Q3826">
        <v>0</v>
      </c>
      <c r="R3826">
        <v>0.89839677423137199</v>
      </c>
      <c r="S3826" t="s">
        <v>10442</v>
      </c>
      <c r="T3826" t="s">
        <v>13232</v>
      </c>
      <c r="U3826" t="s">
        <v>13232</v>
      </c>
      <c r="V3826" t="s">
        <v>13232</v>
      </c>
      <c r="W3826" t="s">
        <v>16996</v>
      </c>
      <c r="X3826">
        <v>25</v>
      </c>
      <c r="Y3826" t="s">
        <v>23420</v>
      </c>
      <c r="Z3826" t="s">
        <v>29957</v>
      </c>
      <c r="AA3826">
        <v>0.5083551229354667</v>
      </c>
      <c r="AB3826" t="str">
        <f>HYPERLINK("Melting_Curves/meltCurve_Q6IA86_3_ELP2.pdf", "Melting_Curves/meltCurve_Q6IA86_3_ELP2.pdf")</f>
        <v>Melting_Curves/meltCurve_Q6IA86_3_ELP2.pdf</v>
      </c>
    </row>
    <row r="3827" spans="1:28" x14ac:dyDescent="0.25">
      <c r="A3827" t="s">
        <v>3830</v>
      </c>
      <c r="B3827">
        <v>0.99930955844802105</v>
      </c>
      <c r="C3827">
        <v>0.98583536167722097</v>
      </c>
      <c r="D3827">
        <v>0.96997100462718799</v>
      </c>
      <c r="E3827">
        <v>0.89847345461472405</v>
      </c>
      <c r="F3827">
        <v>0.91370383844393799</v>
      </c>
      <c r="G3827">
        <v>0.65840717377844704</v>
      </c>
      <c r="H3827">
        <v>0.36077099498651499</v>
      </c>
      <c r="I3827">
        <v>0.15978196240790099</v>
      </c>
      <c r="J3827">
        <v>8.3492949926426502E-2</v>
      </c>
      <c r="K3827">
        <v>5.7639091869109198E-2</v>
      </c>
      <c r="L3827">
        <v>1115.23097466426</v>
      </c>
      <c r="M3827">
        <v>18.922066687913301</v>
      </c>
      <c r="N3827">
        <v>58.938117279332701</v>
      </c>
      <c r="O3827">
        <v>58.2916837957304</v>
      </c>
      <c r="P3827">
        <v>-8.1155813601668597E-2</v>
      </c>
      <c r="Q3827">
        <v>0</v>
      </c>
      <c r="R3827">
        <v>0.99520939160614597</v>
      </c>
      <c r="S3827" t="s">
        <v>10443</v>
      </c>
      <c r="T3827" t="s">
        <v>13232</v>
      </c>
      <c r="U3827" t="s">
        <v>13232</v>
      </c>
      <c r="V3827" t="s">
        <v>13232</v>
      </c>
      <c r="W3827" t="s">
        <v>16997</v>
      </c>
      <c r="X3827">
        <v>3</v>
      </c>
      <c r="Y3827" t="s">
        <v>23421</v>
      </c>
      <c r="Z3827" t="s">
        <v>29958</v>
      </c>
      <c r="AA3827">
        <v>0.64176099746532034</v>
      </c>
      <c r="AB3827" t="str">
        <f>HYPERLINK("Melting_Curves/meltCurve_Q6IAA8_LAMTOR1.pdf", "Melting_Curves/meltCurve_Q6IAA8_LAMTOR1.pdf")</f>
        <v>Melting_Curves/meltCurve_Q6IAA8_LAMTOR1.pdf</v>
      </c>
    </row>
    <row r="3828" spans="1:28" x14ac:dyDescent="0.25">
      <c r="A3828" t="s">
        <v>3831</v>
      </c>
      <c r="B3828">
        <v>0.99930955844802105</v>
      </c>
      <c r="C3828">
        <v>0.87126616257255496</v>
      </c>
      <c r="D3828">
        <v>0.914436528335557</v>
      </c>
      <c r="E3828">
        <v>0.90749420466584096</v>
      </c>
      <c r="F3828">
        <v>0.68377987923874906</v>
      </c>
      <c r="G3828">
        <v>0.31306580004288698</v>
      </c>
      <c r="H3828">
        <v>0.16140755755472899</v>
      </c>
      <c r="I3828">
        <v>0.137151564697924</v>
      </c>
      <c r="J3828">
        <v>0.117173722498427</v>
      </c>
      <c r="K3828">
        <v>8.9929566414966203E-2</v>
      </c>
      <c r="L3828">
        <v>1251.5075884622499</v>
      </c>
      <c r="M3828">
        <v>23.036104147893301</v>
      </c>
      <c r="N3828">
        <v>54.8422941163088</v>
      </c>
      <c r="O3828">
        <v>53.923634153136199</v>
      </c>
      <c r="P3828">
        <v>-9.6428294716245602E-2</v>
      </c>
      <c r="Q3828">
        <v>9.7127010718752696E-2</v>
      </c>
      <c r="R3828">
        <v>0.98362044624674705</v>
      </c>
      <c r="S3828" t="s">
        <v>10444</v>
      </c>
      <c r="T3828" t="s">
        <v>13232</v>
      </c>
      <c r="U3828" t="s">
        <v>13232</v>
      </c>
      <c r="V3828" t="s">
        <v>13232</v>
      </c>
      <c r="W3828" t="s">
        <v>16998</v>
      </c>
      <c r="X3828">
        <v>18</v>
      </c>
      <c r="Y3828" t="s">
        <v>23422</v>
      </c>
      <c r="Z3828" t="s">
        <v>29959</v>
      </c>
      <c r="AA3828">
        <v>0.53800046223302234</v>
      </c>
      <c r="AB3828" t="str">
        <f>HYPERLINK("Melting_Curves/meltCurve_Q6IBS0_TWF2.pdf", "Melting_Curves/meltCurve_Q6IBS0_TWF2.pdf")</f>
        <v>Melting_Curves/meltCurve_Q6IBS0_TWF2.pdf</v>
      </c>
    </row>
    <row r="3829" spans="1:28" x14ac:dyDescent="0.25">
      <c r="A3829" t="s">
        <v>3832</v>
      </c>
      <c r="B3829">
        <v>0.99930955844802105</v>
      </c>
      <c r="C3829">
        <v>1.0876722905832601</v>
      </c>
      <c r="D3829">
        <v>1.0489669246306701</v>
      </c>
      <c r="E3829">
        <v>0.82133895607588503</v>
      </c>
      <c r="F3829">
        <v>0.59606458991105205</v>
      </c>
      <c r="G3829">
        <v>0.37704357155488999</v>
      </c>
      <c r="H3829">
        <v>0.19029824925768399</v>
      </c>
      <c r="I3829">
        <v>0.14635206724924699</v>
      </c>
      <c r="J3829">
        <v>0.10911311316703499</v>
      </c>
      <c r="K3829">
        <v>4.5003558370160401E-2</v>
      </c>
      <c r="L3829">
        <v>960.96153949140205</v>
      </c>
      <c r="M3829">
        <v>17.688488378050899</v>
      </c>
      <c r="N3829">
        <v>54.771170401065703</v>
      </c>
      <c r="O3829">
        <v>53.646853704434598</v>
      </c>
      <c r="P3829">
        <v>-7.6926062795667702E-2</v>
      </c>
      <c r="Q3829">
        <v>6.6822859452612404E-2</v>
      </c>
      <c r="R3829">
        <v>0.98678287445716995</v>
      </c>
      <c r="S3829" t="s">
        <v>10445</v>
      </c>
      <c r="T3829" t="s">
        <v>13232</v>
      </c>
      <c r="U3829" t="s">
        <v>13232</v>
      </c>
      <c r="V3829" t="s">
        <v>13232</v>
      </c>
      <c r="W3829" t="s">
        <v>16999</v>
      </c>
      <c r="X3829">
        <v>7</v>
      </c>
      <c r="Y3829" t="s">
        <v>23423</v>
      </c>
      <c r="Z3829" t="s">
        <v>29960</v>
      </c>
      <c r="AA3829">
        <v>0.5276368367044374</v>
      </c>
      <c r="AB3829" t="str">
        <f>HYPERLINK("Melting_Curves/meltCurve_Q6IBW4_NCAPH2.pdf", "Melting_Curves/meltCurve_Q6IBW4_NCAPH2.pdf")</f>
        <v>Melting_Curves/meltCurve_Q6IBW4_NCAPH2.pdf</v>
      </c>
    </row>
    <row r="3830" spans="1:28" x14ac:dyDescent="0.25">
      <c r="A3830" t="s">
        <v>3833</v>
      </c>
      <c r="B3830">
        <v>0.99930955844802105</v>
      </c>
      <c r="C3830">
        <v>0.80037485993670998</v>
      </c>
      <c r="D3830">
        <v>0.63666365211877196</v>
      </c>
      <c r="E3830">
        <v>0.32480046528165302</v>
      </c>
      <c r="F3830">
        <v>0.22753600958143599</v>
      </c>
      <c r="G3830">
        <v>0.154343539484564</v>
      </c>
      <c r="H3830">
        <v>8.01150101277954E-2</v>
      </c>
      <c r="I3830">
        <v>6.41928166693638E-2</v>
      </c>
      <c r="J3830">
        <v>4.6067176760932201E-2</v>
      </c>
      <c r="K3830">
        <v>3.7453427092267302E-2</v>
      </c>
      <c r="L3830">
        <v>691.08720241497895</v>
      </c>
      <c r="M3830">
        <v>14.575194191540501</v>
      </c>
      <c r="N3830">
        <v>47.718421921894802</v>
      </c>
      <c r="O3830">
        <v>46.549561658599799</v>
      </c>
      <c r="P3830">
        <v>-7.4825192738224897E-2</v>
      </c>
      <c r="Q3830">
        <v>4.42157144009169E-2</v>
      </c>
      <c r="R3830">
        <v>0.99375076811988505</v>
      </c>
      <c r="S3830" t="s">
        <v>10446</v>
      </c>
      <c r="T3830" t="s">
        <v>13232</v>
      </c>
      <c r="U3830" t="s">
        <v>13232</v>
      </c>
      <c r="V3830" t="s">
        <v>13232</v>
      </c>
      <c r="W3830" t="s">
        <v>17000</v>
      </c>
      <c r="X3830">
        <v>3</v>
      </c>
      <c r="Y3830" t="s">
        <v>23424</v>
      </c>
      <c r="Z3830" t="s">
        <v>29961</v>
      </c>
      <c r="AA3830">
        <v>0.30731633972761979</v>
      </c>
      <c r="AB3830" t="str">
        <f>HYPERLINK("Melting_Curves/meltCurve_Q6ICB0_DESI1.pdf", "Melting_Curves/meltCurve_Q6ICB0_DESI1.pdf")</f>
        <v>Melting_Curves/meltCurve_Q6ICB0_DESI1.pdf</v>
      </c>
    </row>
    <row r="3831" spans="1:28" x14ac:dyDescent="0.25">
      <c r="A3831" t="s">
        <v>3834</v>
      </c>
      <c r="B3831">
        <v>0.99930955844802105</v>
      </c>
      <c r="C3831">
        <v>1.1268939152489099</v>
      </c>
      <c r="D3831">
        <v>1.0092577723887799</v>
      </c>
      <c r="E3831">
        <v>0.82853163603412805</v>
      </c>
      <c r="F3831">
        <v>0.58981239660814999</v>
      </c>
      <c r="G3831">
        <v>0.26999440388200502</v>
      </c>
      <c r="H3831">
        <v>0.114172546835781</v>
      </c>
      <c r="I3831">
        <v>9.9891415386209895E-2</v>
      </c>
      <c r="J3831">
        <v>8.8026911357679996E-2</v>
      </c>
      <c r="K3831">
        <v>6.5211031398185904E-2</v>
      </c>
      <c r="L3831">
        <v>1215.65467568503</v>
      </c>
      <c r="M3831">
        <v>22.699258906681699</v>
      </c>
      <c r="N3831">
        <v>53.917989591981403</v>
      </c>
      <c r="O3831">
        <v>53.144365065069003</v>
      </c>
      <c r="P3831">
        <v>-9.9213403397771793E-2</v>
      </c>
      <c r="Q3831">
        <v>7.0889600342372003E-2</v>
      </c>
      <c r="R3831">
        <v>0.98923673698860504</v>
      </c>
      <c r="S3831" t="s">
        <v>10447</v>
      </c>
      <c r="T3831" t="s">
        <v>13232</v>
      </c>
      <c r="U3831" t="s">
        <v>13232</v>
      </c>
      <c r="V3831" t="s">
        <v>13232</v>
      </c>
      <c r="W3831" t="s">
        <v>17001</v>
      </c>
      <c r="X3831">
        <v>7</v>
      </c>
      <c r="Y3831" t="s">
        <v>23425</v>
      </c>
      <c r="Z3831" t="s">
        <v>29962</v>
      </c>
      <c r="AA3831">
        <v>0.50091114341650544</v>
      </c>
      <c r="AB3831" t="str">
        <f>HYPERLINK("Melting_Curves/meltCurve_Q6ICL3_3_TANGO2.pdf", "Melting_Curves/meltCurve_Q6ICL3_3_TANGO2.pdf")</f>
        <v>Melting_Curves/meltCurve_Q6ICL3_3_TANGO2.pdf</v>
      </c>
    </row>
    <row r="3832" spans="1:28" x14ac:dyDescent="0.25">
      <c r="A3832" t="s">
        <v>3835</v>
      </c>
      <c r="B3832">
        <v>0.99930955844802105</v>
      </c>
      <c r="C3832">
        <v>0.91142648390011005</v>
      </c>
      <c r="D3832">
        <v>0.82004695405234196</v>
      </c>
      <c r="E3832">
        <v>0.59778924594024696</v>
      </c>
      <c r="F3832">
        <v>0.50907762852650695</v>
      </c>
      <c r="G3832">
        <v>0.49661111674194702</v>
      </c>
      <c r="H3832">
        <v>0.45519781236005402</v>
      </c>
      <c r="I3832">
        <v>0.44776495812709</v>
      </c>
      <c r="J3832">
        <v>0.43923150125791199</v>
      </c>
      <c r="K3832">
        <v>0.29359395778389002</v>
      </c>
      <c r="L3832">
        <v>698.94719184748999</v>
      </c>
      <c r="M3832">
        <v>14.4652615032371</v>
      </c>
      <c r="N3832">
        <v>54.187672222809603</v>
      </c>
      <c r="O3832">
        <v>47.4237141780076</v>
      </c>
      <c r="P3832">
        <v>-4.6092197970573102E-2</v>
      </c>
      <c r="Q3832">
        <v>0.39562549376369399</v>
      </c>
      <c r="R3832">
        <v>0.96104640106511896</v>
      </c>
      <c r="S3832" t="s">
        <v>10448</v>
      </c>
      <c r="T3832" t="s">
        <v>13232</v>
      </c>
      <c r="U3832" t="s">
        <v>13232</v>
      </c>
      <c r="V3832" t="s">
        <v>13232</v>
      </c>
      <c r="W3832" t="s">
        <v>17002</v>
      </c>
      <c r="X3832">
        <v>3</v>
      </c>
      <c r="Y3832" t="s">
        <v>23426</v>
      </c>
      <c r="Z3832" t="s">
        <v>29963</v>
      </c>
      <c r="AA3832">
        <v>0.5796641411390745</v>
      </c>
      <c r="AB3832" t="str">
        <f>HYPERLINK("Melting_Curves/meltCurve_Q6IE81_2_PHF17.pdf", "Melting_Curves/meltCurve_Q6IE81_2_PHF17.pdf")</f>
        <v>Melting_Curves/meltCurve_Q6IE81_2_PHF17.pdf</v>
      </c>
    </row>
    <row r="3833" spans="1:28" x14ac:dyDescent="0.25">
      <c r="A3833" t="s">
        <v>3836</v>
      </c>
      <c r="B3833">
        <v>0.99930955844802105</v>
      </c>
      <c r="C3833">
        <v>1.04232453315164</v>
      </c>
      <c r="D3833">
        <v>1.0225770883569101</v>
      </c>
      <c r="E3833">
        <v>1.0115277980009401</v>
      </c>
      <c r="F3833">
        <v>0.82399377084799397</v>
      </c>
      <c r="G3833">
        <v>0.41597036054033698</v>
      </c>
      <c r="H3833">
        <v>0.18795534433906999</v>
      </c>
      <c r="I3833">
        <v>0.193341144434138</v>
      </c>
      <c r="J3833">
        <v>0.154541335710464</v>
      </c>
      <c r="K3833">
        <v>0.130905716528497</v>
      </c>
      <c r="L3833">
        <v>1719.09510998003</v>
      </c>
      <c r="M3833">
        <v>30.980458104691099</v>
      </c>
      <c r="N3833">
        <v>56.1380874481913</v>
      </c>
      <c r="O3833">
        <v>55.2599876927504</v>
      </c>
      <c r="P3833">
        <v>-0.119077466316846</v>
      </c>
      <c r="Q3833">
        <v>0.15040860505631101</v>
      </c>
      <c r="R3833">
        <v>0.99637618830294505</v>
      </c>
      <c r="S3833" t="s">
        <v>10449</v>
      </c>
      <c r="T3833" t="s">
        <v>13232</v>
      </c>
      <c r="U3833" t="s">
        <v>13232</v>
      </c>
      <c r="V3833" t="s">
        <v>13232</v>
      </c>
      <c r="W3833" t="s">
        <v>17003</v>
      </c>
      <c r="X3833">
        <v>3</v>
      </c>
      <c r="Y3833" t="s">
        <v>23427</v>
      </c>
      <c r="Z3833" t="s">
        <v>29964</v>
      </c>
      <c r="AA3833">
        <v>0.59439484641565365</v>
      </c>
      <c r="AB3833" t="str">
        <f>HYPERLINK("Melting_Curves/meltCurve_Q6IN84_MRM1.pdf", "Melting_Curves/meltCurve_Q6IN84_MRM1.pdf")</f>
        <v>Melting_Curves/meltCurve_Q6IN84_MRM1.pdf</v>
      </c>
    </row>
    <row r="3834" spans="1:28" x14ac:dyDescent="0.25">
      <c r="A3834" t="s">
        <v>3837</v>
      </c>
      <c r="B3834">
        <v>0.99930955844802105</v>
      </c>
      <c r="C3834">
        <v>0.89305978338104897</v>
      </c>
      <c r="D3834">
        <v>0.82849383991552294</v>
      </c>
      <c r="E3834">
        <v>0.78590890568741001</v>
      </c>
      <c r="F3834">
        <v>0.58378140636007303</v>
      </c>
      <c r="G3834">
        <v>0.34367105802462</v>
      </c>
      <c r="H3834">
        <v>0.19590855600061699</v>
      </c>
      <c r="I3834">
        <v>0.19153906017941</v>
      </c>
      <c r="J3834">
        <v>0.197230954759095</v>
      </c>
      <c r="K3834">
        <v>0.14697540492061401</v>
      </c>
      <c r="L3834">
        <v>667.16800638374298</v>
      </c>
      <c r="M3834">
        <v>12.5330295673304</v>
      </c>
      <c r="N3834">
        <v>54.150450085735699</v>
      </c>
      <c r="O3834">
        <v>51.932054677880998</v>
      </c>
      <c r="P3834">
        <v>-5.4572362824898898E-2</v>
      </c>
      <c r="Q3834">
        <v>9.5676645407620706E-2</v>
      </c>
      <c r="R3834">
        <v>0.98274103374795496</v>
      </c>
      <c r="S3834" t="s">
        <v>10450</v>
      </c>
      <c r="T3834" t="s">
        <v>13232</v>
      </c>
      <c r="U3834" t="s">
        <v>13232</v>
      </c>
      <c r="V3834" t="s">
        <v>13232</v>
      </c>
      <c r="W3834" t="s">
        <v>17004</v>
      </c>
      <c r="X3834">
        <v>23</v>
      </c>
      <c r="Y3834" t="s">
        <v>23428</v>
      </c>
      <c r="Z3834" t="s">
        <v>29965</v>
      </c>
      <c r="AA3834">
        <v>0.51865769588533062</v>
      </c>
      <c r="AB3834" t="str">
        <f>HYPERLINK("Melting_Curves/meltCurve_Q6IN85_SMEK1.pdf", "Melting_Curves/meltCurve_Q6IN85_SMEK1.pdf")</f>
        <v>Melting_Curves/meltCurve_Q6IN85_SMEK1.pdf</v>
      </c>
    </row>
    <row r="3835" spans="1:28" x14ac:dyDescent="0.25">
      <c r="A3835" t="s">
        <v>3838</v>
      </c>
      <c r="B3835">
        <v>0.99930955844802105</v>
      </c>
      <c r="C3835">
        <v>0.97492756414319603</v>
      </c>
      <c r="D3835">
        <v>0.86128066502469702</v>
      </c>
      <c r="E3835">
        <v>0.65593543770646701</v>
      </c>
      <c r="F3835">
        <v>0.396732964571613</v>
      </c>
      <c r="G3835">
        <v>0.209095085544453</v>
      </c>
      <c r="H3835">
        <v>7.5034834528216299E-2</v>
      </c>
      <c r="I3835">
        <v>4.8181036602033003E-2</v>
      </c>
      <c r="J3835">
        <v>2.7783125219967501E-2</v>
      </c>
      <c r="K3835">
        <v>2.9648886197587598E-2</v>
      </c>
      <c r="L3835">
        <v>820.90444801861895</v>
      </c>
      <c r="M3835">
        <v>15.8543752179833</v>
      </c>
      <c r="N3835">
        <v>51.808017968799298</v>
      </c>
      <c r="O3835">
        <v>50.9750470301029</v>
      </c>
      <c r="P3835">
        <v>-7.7403857235793294E-2</v>
      </c>
      <c r="Q3835">
        <v>4.6044758239415498E-3</v>
      </c>
      <c r="R3835">
        <v>0.99893444480847005</v>
      </c>
      <c r="S3835" t="s">
        <v>10451</v>
      </c>
      <c r="T3835" t="s">
        <v>13232</v>
      </c>
      <c r="U3835" t="s">
        <v>13232</v>
      </c>
      <c r="V3835" t="s">
        <v>13232</v>
      </c>
      <c r="W3835" t="s">
        <v>17005</v>
      </c>
      <c r="X3835">
        <v>2</v>
      </c>
      <c r="Y3835" t="s">
        <v>23429</v>
      </c>
      <c r="Z3835" t="s">
        <v>29966</v>
      </c>
      <c r="AA3835">
        <v>0.41592934673928078</v>
      </c>
      <c r="AB3835" t="str">
        <f>HYPERLINK("Melting_Curves/meltCurve_Q6IPR1_LYRM5.pdf", "Melting_Curves/meltCurve_Q6IPR1_LYRM5.pdf")</f>
        <v>Melting_Curves/meltCurve_Q6IPR1_LYRM5.pdf</v>
      </c>
    </row>
    <row r="3836" spans="1:28" x14ac:dyDescent="0.25">
      <c r="A3836" t="s">
        <v>3839</v>
      </c>
      <c r="B3836">
        <v>0.99930955844802105</v>
      </c>
      <c r="C3836">
        <v>0.86896744824126204</v>
      </c>
      <c r="D3836">
        <v>0.79732387415694295</v>
      </c>
      <c r="E3836">
        <v>0.664326018287972</v>
      </c>
      <c r="F3836">
        <v>0.47420218574720902</v>
      </c>
      <c r="G3836">
        <v>0.244639498237849</v>
      </c>
      <c r="H3836">
        <v>0.152937265624532</v>
      </c>
      <c r="I3836">
        <v>0.11405038789248501</v>
      </c>
      <c r="J3836">
        <v>9.2926094358251596E-2</v>
      </c>
      <c r="K3836">
        <v>6.4209015004565106E-2</v>
      </c>
      <c r="L3836">
        <v>585.10682785809695</v>
      </c>
      <c r="M3836">
        <v>11.2092886983342</v>
      </c>
      <c r="N3836">
        <v>52.214206387834203</v>
      </c>
      <c r="O3836">
        <v>50.619767568640803</v>
      </c>
      <c r="P3836">
        <v>-5.5283700743814598E-2</v>
      </c>
      <c r="Q3836">
        <v>1.6956699134065801E-3</v>
      </c>
      <c r="R3836">
        <v>0.993258171276997</v>
      </c>
      <c r="S3836" t="s">
        <v>10452</v>
      </c>
      <c r="T3836" t="s">
        <v>13232</v>
      </c>
      <c r="U3836" t="s">
        <v>13232</v>
      </c>
      <c r="V3836" t="s">
        <v>13232</v>
      </c>
      <c r="W3836" t="s">
        <v>17006</v>
      </c>
      <c r="X3836">
        <v>7</v>
      </c>
      <c r="Y3836" t="s">
        <v>23430</v>
      </c>
      <c r="Z3836" t="s">
        <v>29967</v>
      </c>
      <c r="AA3836">
        <v>0.44036088290565212</v>
      </c>
      <c r="AB3836" t="str">
        <f>HYPERLINK("Melting_Curves/meltCurve_Q6IPR3_TYW3.pdf", "Melting_Curves/meltCurve_Q6IPR3_TYW3.pdf")</f>
        <v>Melting_Curves/meltCurve_Q6IPR3_TYW3.pdf</v>
      </c>
    </row>
    <row r="3837" spans="1:28" x14ac:dyDescent="0.25">
      <c r="A3837" t="s">
        <v>3840</v>
      </c>
      <c r="B3837">
        <v>0.99930955844802105</v>
      </c>
      <c r="C3837">
        <v>0.99694537263272098</v>
      </c>
      <c r="D3837">
        <v>1.0327940390066701</v>
      </c>
      <c r="E3837">
        <v>0.99246626062912202</v>
      </c>
      <c r="F3837">
        <v>0.91747381300495301</v>
      </c>
      <c r="G3837">
        <v>0.65019698360595302</v>
      </c>
      <c r="H3837">
        <v>0.39432477297389201</v>
      </c>
      <c r="I3837">
        <v>0.16289908426892699</v>
      </c>
      <c r="J3837">
        <v>8.5122022296167804E-2</v>
      </c>
      <c r="K3837">
        <v>4.69507675139487E-2</v>
      </c>
      <c r="L3837">
        <v>1165.87116572028</v>
      </c>
      <c r="M3837">
        <v>19.7029427378903</v>
      </c>
      <c r="N3837">
        <v>59.172438498130397</v>
      </c>
      <c r="O3837">
        <v>58.573003248188797</v>
      </c>
      <c r="P3837">
        <v>-8.4098567862275195E-2</v>
      </c>
      <c r="Q3837">
        <v>0</v>
      </c>
      <c r="R3837">
        <v>0.99708774580665305</v>
      </c>
      <c r="S3837" t="s">
        <v>10453</v>
      </c>
      <c r="T3837" t="s">
        <v>13232</v>
      </c>
      <c r="U3837" t="s">
        <v>13232</v>
      </c>
      <c r="V3837" t="s">
        <v>13232</v>
      </c>
      <c r="W3837" t="s">
        <v>17007</v>
      </c>
      <c r="X3837">
        <v>4</v>
      </c>
      <c r="Y3837" t="s">
        <v>23431</v>
      </c>
      <c r="Z3837" t="s">
        <v>29968</v>
      </c>
      <c r="AA3837">
        <v>0.64897068776129818</v>
      </c>
      <c r="AB3837" t="str">
        <f>HYPERLINK("Melting_Curves/meltCurve_Q6IQ22_RAB12.pdf", "Melting_Curves/meltCurve_Q6IQ22_RAB12.pdf")</f>
        <v>Melting_Curves/meltCurve_Q6IQ22_RAB12.pdf</v>
      </c>
    </row>
    <row r="3838" spans="1:28" x14ac:dyDescent="0.25">
      <c r="A3838" t="s">
        <v>3841</v>
      </c>
      <c r="B3838">
        <v>0.99930955844802105</v>
      </c>
      <c r="C3838">
        <v>0.859390451029722</v>
      </c>
      <c r="D3838">
        <v>0.583717297836714</v>
      </c>
      <c r="E3838">
        <v>0.52103282364521197</v>
      </c>
      <c r="F3838">
        <v>0.217226826780479</v>
      </c>
      <c r="G3838">
        <v>0.162645619742253</v>
      </c>
      <c r="H3838">
        <v>0.13018989851644899</v>
      </c>
      <c r="I3838">
        <v>6.7639987938060905E-2</v>
      </c>
      <c r="J3838">
        <v>7.5335239505347706E-2</v>
      </c>
      <c r="K3838">
        <v>3.6359006068124103E-2</v>
      </c>
      <c r="L3838">
        <v>614.66068025437403</v>
      </c>
      <c r="M3838">
        <v>12.697160023859301</v>
      </c>
      <c r="N3838">
        <v>48.702069111998902</v>
      </c>
      <c r="O3838">
        <v>47.2556402327954</v>
      </c>
      <c r="P3838">
        <v>-6.47171207855151E-2</v>
      </c>
      <c r="Q3838">
        <v>3.6743260975568702E-2</v>
      </c>
      <c r="R3838">
        <v>0.97601312070427004</v>
      </c>
      <c r="S3838" t="s">
        <v>10454</v>
      </c>
      <c r="T3838" t="s">
        <v>13232</v>
      </c>
      <c r="U3838" t="s">
        <v>13232</v>
      </c>
      <c r="V3838" t="s">
        <v>13232</v>
      </c>
      <c r="W3838" t="s">
        <v>17008</v>
      </c>
      <c r="X3838">
        <v>7</v>
      </c>
      <c r="Y3838" t="s">
        <v>23432</v>
      </c>
      <c r="Z3838" t="s">
        <v>29969</v>
      </c>
      <c r="AA3838">
        <v>0.33998729635852137</v>
      </c>
      <c r="AB3838" t="str">
        <f>HYPERLINK("Melting_Curves/meltCurve_Q6IQ26_2_DENND5A.pdf", "Melting_Curves/meltCurve_Q6IQ26_2_DENND5A.pdf")</f>
        <v>Melting_Curves/meltCurve_Q6IQ26_2_DENND5A.pdf</v>
      </c>
    </row>
    <row r="3839" spans="1:28" x14ac:dyDescent="0.25">
      <c r="A3839" t="s">
        <v>3842</v>
      </c>
      <c r="B3839">
        <v>0.99930955844802105</v>
      </c>
      <c r="C3839">
        <v>1.0359037573564001</v>
      </c>
      <c r="D3839">
        <v>1.0597330355645</v>
      </c>
      <c r="E3839">
        <v>0.96202064086879802</v>
      </c>
      <c r="F3839">
        <v>0.90209018681459396</v>
      </c>
      <c r="G3839">
        <v>0.85826796108083803</v>
      </c>
      <c r="H3839">
        <v>0.88948572205016196</v>
      </c>
      <c r="I3839">
        <v>0.88528756954829302</v>
      </c>
      <c r="J3839">
        <v>0.87315693713066</v>
      </c>
      <c r="K3839">
        <v>0.73414096553150998</v>
      </c>
      <c r="L3839">
        <v>369.57641536188203</v>
      </c>
      <c r="M3839">
        <v>4.0188595272394796</v>
      </c>
      <c r="Q3839">
        <v>0</v>
      </c>
      <c r="R3839">
        <v>0.75298512567692899</v>
      </c>
      <c r="S3839" t="s">
        <v>10455</v>
      </c>
      <c r="T3839" t="s">
        <v>13232</v>
      </c>
      <c r="U3839" t="s">
        <v>13232</v>
      </c>
      <c r="V3839" t="s">
        <v>13232</v>
      </c>
      <c r="W3839" t="s">
        <v>17009</v>
      </c>
      <c r="X3839">
        <v>2</v>
      </c>
      <c r="Y3839" t="s">
        <v>23433</v>
      </c>
      <c r="Z3839" t="s">
        <v>29970</v>
      </c>
      <c r="AA3839">
        <v>0.91946845790564424</v>
      </c>
      <c r="AB3839" t="str">
        <f>HYPERLINK("Melting_Curves/meltCurve_Q6IQ32_ADNP2.pdf", "Melting_Curves/meltCurve_Q6IQ32_ADNP2.pdf")</f>
        <v>Melting_Curves/meltCurve_Q6IQ32_ADNP2.pdf</v>
      </c>
    </row>
    <row r="3840" spans="1:28" x14ac:dyDescent="0.25">
      <c r="A3840" t="s">
        <v>3843</v>
      </c>
      <c r="B3840">
        <v>0.99930955844802105</v>
      </c>
      <c r="C3840">
        <v>1.14579441898944</v>
      </c>
      <c r="D3840">
        <v>1.1636924453966699</v>
      </c>
      <c r="E3840">
        <v>1.13611035884539</v>
      </c>
      <c r="F3840">
        <v>1.06475262624867</v>
      </c>
      <c r="G3840">
        <v>0.86486710552463697</v>
      </c>
      <c r="H3840">
        <v>0.893270410157184</v>
      </c>
      <c r="I3840">
        <v>0.91652219118982803</v>
      </c>
      <c r="J3840">
        <v>0.88532200641480696</v>
      </c>
      <c r="K3840">
        <v>0.73551873348123098</v>
      </c>
      <c r="L3840">
        <v>767.109506716959</v>
      </c>
      <c r="M3840">
        <v>9.8107351839190002</v>
      </c>
      <c r="Q3840">
        <v>0</v>
      </c>
      <c r="R3840">
        <v>0.51210298525013698</v>
      </c>
      <c r="S3840" t="s">
        <v>10456</v>
      </c>
      <c r="T3840" t="s">
        <v>13232</v>
      </c>
      <c r="U3840" t="s">
        <v>13232</v>
      </c>
      <c r="V3840" t="s">
        <v>13232</v>
      </c>
      <c r="W3840" t="s">
        <v>17010</v>
      </c>
      <c r="X3840">
        <v>15</v>
      </c>
      <c r="Y3840" t="s">
        <v>23434</v>
      </c>
      <c r="Z3840" t="s">
        <v>29971</v>
      </c>
      <c r="AA3840">
        <v>0.95039003427075641</v>
      </c>
      <c r="AB3840" t="str">
        <f>HYPERLINK("Melting_Curves/meltCurve_Q6IQ49_2_SDE2.pdf", "Melting_Curves/meltCurve_Q6IQ49_2_SDE2.pdf")</f>
        <v>Melting_Curves/meltCurve_Q6IQ49_2_SDE2.pdf</v>
      </c>
    </row>
    <row r="3841" spans="1:28" x14ac:dyDescent="0.25">
      <c r="A3841" t="s">
        <v>3844</v>
      </c>
      <c r="B3841">
        <v>0.99930955844802105</v>
      </c>
      <c r="C3841">
        <v>1.1770629162167801</v>
      </c>
      <c r="D3841">
        <v>1.14304802256402</v>
      </c>
      <c r="E3841">
        <v>1.1811554744305</v>
      </c>
      <c r="F3841">
        <v>1.2045852255081899</v>
      </c>
      <c r="G3841">
        <v>1.1952970666687399</v>
      </c>
      <c r="H3841">
        <v>1.28800370553167</v>
      </c>
      <c r="I3841">
        <v>1.4170003768205199</v>
      </c>
      <c r="J3841">
        <v>1.44520861086525</v>
      </c>
      <c r="K3841">
        <v>1.1217999943047099</v>
      </c>
      <c r="L3841">
        <v>371.50361693527702</v>
      </c>
      <c r="M3841">
        <v>7.7544365768318197</v>
      </c>
      <c r="O3841">
        <v>45.035212462397801</v>
      </c>
      <c r="P3841">
        <v>1.45440189734039E-2</v>
      </c>
      <c r="Q3841">
        <v>1.33743870199338</v>
      </c>
      <c r="R3841">
        <v>0.47336482854411699</v>
      </c>
      <c r="S3841" t="s">
        <v>10457</v>
      </c>
      <c r="T3841" t="s">
        <v>13232</v>
      </c>
      <c r="U3841" t="s">
        <v>13232</v>
      </c>
      <c r="V3841" t="s">
        <v>13232</v>
      </c>
      <c r="W3841" t="s">
        <v>17011</v>
      </c>
      <c r="X3841">
        <v>38</v>
      </c>
      <c r="Y3841" t="s">
        <v>23435</v>
      </c>
      <c r="Z3841" t="s">
        <v>29972</v>
      </c>
      <c r="AA3841">
        <v>1.2227704524948939</v>
      </c>
      <c r="AB3841" t="str">
        <f>HYPERLINK("Melting_Curves/meltCurve_Q6JBY9_RCSD1.pdf", "Melting_Curves/meltCurve_Q6JBY9_RCSD1.pdf")</f>
        <v>Melting_Curves/meltCurve_Q6JBY9_RCSD1.pdf</v>
      </c>
    </row>
    <row r="3842" spans="1:28" x14ac:dyDescent="0.25">
      <c r="A3842" t="s">
        <v>3845</v>
      </c>
      <c r="B3842">
        <v>0.99930955844802105</v>
      </c>
      <c r="C3842">
        <v>1.1082560409862201</v>
      </c>
      <c r="D3842">
        <v>1.09472690415236</v>
      </c>
      <c r="E3842">
        <v>1.08335952608436</v>
      </c>
      <c r="F3842">
        <v>0.99939299432752005</v>
      </c>
      <c r="G3842">
        <v>0.924706490718051</v>
      </c>
      <c r="H3842">
        <v>0.972424703478873</v>
      </c>
      <c r="I3842">
        <v>1.08307478129316</v>
      </c>
      <c r="J3842">
        <v>1.0892964794908599</v>
      </c>
      <c r="K3842">
        <v>0.88272068190712405</v>
      </c>
      <c r="L3842">
        <v>15000</v>
      </c>
      <c r="M3842">
        <v>212.26718851910499</v>
      </c>
      <c r="Q3842">
        <v>0</v>
      </c>
      <c r="R3842">
        <v>0.14233302248937399</v>
      </c>
      <c r="S3842" t="s">
        <v>10458</v>
      </c>
      <c r="T3842" t="s">
        <v>13232</v>
      </c>
      <c r="U3842" t="s">
        <v>13232</v>
      </c>
      <c r="V3842" t="s">
        <v>13232</v>
      </c>
      <c r="W3842" t="s">
        <v>17012</v>
      </c>
      <c r="X3842">
        <v>38</v>
      </c>
      <c r="Y3842" t="s">
        <v>23436</v>
      </c>
      <c r="Z3842" t="s">
        <v>29973</v>
      </c>
      <c r="AA3842">
        <v>0.99865464119784231</v>
      </c>
      <c r="AB3842" t="str">
        <f>HYPERLINK("Melting_Curves/meltCurve_Q6KC79_2_NIPBL.pdf", "Melting_Curves/meltCurve_Q6KC79_2_NIPBL.pdf")</f>
        <v>Melting_Curves/meltCurve_Q6KC79_2_NIPBL.pdf</v>
      </c>
    </row>
    <row r="3843" spans="1:28" x14ac:dyDescent="0.25">
      <c r="A3843" t="s">
        <v>3846</v>
      </c>
      <c r="B3843">
        <v>0.99930955844802105</v>
      </c>
      <c r="C3843">
        <v>0.95211161031554603</v>
      </c>
      <c r="D3843">
        <v>0.93843318315951996</v>
      </c>
      <c r="E3843">
        <v>0.85916601607085896</v>
      </c>
      <c r="F3843">
        <v>0.39010911608046001</v>
      </c>
      <c r="G3843">
        <v>0.164690205726122</v>
      </c>
      <c r="H3843">
        <v>0.10627368881466701</v>
      </c>
      <c r="I3843">
        <v>9.5091210580491803E-2</v>
      </c>
      <c r="J3843">
        <v>9.0527288463577493E-2</v>
      </c>
      <c r="K3843">
        <v>6.5680962868101503E-2</v>
      </c>
      <c r="L3843">
        <v>1935.0805740892799</v>
      </c>
      <c r="M3843">
        <v>37.156834554068404</v>
      </c>
      <c r="N3843">
        <v>52.374330337539597</v>
      </c>
      <c r="O3843">
        <v>51.9285775410751</v>
      </c>
      <c r="P3843">
        <v>-0.161963625047363</v>
      </c>
      <c r="Q3843">
        <v>9.4592907099120396E-2</v>
      </c>
      <c r="R3843">
        <v>0.99487709147857295</v>
      </c>
      <c r="S3843" t="s">
        <v>10459</v>
      </c>
      <c r="T3843" t="s">
        <v>13232</v>
      </c>
      <c r="U3843" t="s">
        <v>13232</v>
      </c>
      <c r="V3843" t="s">
        <v>13232</v>
      </c>
      <c r="W3843" t="s">
        <v>17013</v>
      </c>
      <c r="X3843">
        <v>21</v>
      </c>
      <c r="Y3843" t="s">
        <v>23437</v>
      </c>
      <c r="Z3843" t="s">
        <v>29974</v>
      </c>
      <c r="AA3843">
        <v>0.46290954698103931</v>
      </c>
      <c r="AB3843" t="str">
        <f>HYPERLINK("Melting_Curves/meltCurve_Q6L8Q7_2_PDE12.pdf", "Melting_Curves/meltCurve_Q6L8Q7_2_PDE12.pdf")</f>
        <v>Melting_Curves/meltCurve_Q6L8Q7_2_PDE12.pdf</v>
      </c>
    </row>
    <row r="3844" spans="1:28" x14ac:dyDescent="0.25">
      <c r="A3844" t="s">
        <v>3847</v>
      </c>
      <c r="B3844">
        <v>0.99930955844802105</v>
      </c>
      <c r="C3844">
        <v>1.09581950132623</v>
      </c>
      <c r="D3844">
        <v>1.0995124127461</v>
      </c>
      <c r="E3844">
        <v>1.0062723133642699</v>
      </c>
      <c r="F3844">
        <v>0.90914454562334002</v>
      </c>
      <c r="G3844">
        <v>0.83579963066083096</v>
      </c>
      <c r="H3844">
        <v>0.80298691547841194</v>
      </c>
      <c r="I3844">
        <v>0.90014326390762001</v>
      </c>
      <c r="J3844">
        <v>0.82722852292721105</v>
      </c>
      <c r="K3844">
        <v>0.67725427054682097</v>
      </c>
      <c r="L3844">
        <v>1916.45018976698</v>
      </c>
      <c r="M3844">
        <v>35.744778815034202</v>
      </c>
      <c r="O3844">
        <v>53.447851077029199</v>
      </c>
      <c r="P3844">
        <v>-3.2964206721697399E-2</v>
      </c>
      <c r="Q3844">
        <v>0.80283998777059695</v>
      </c>
      <c r="R3844">
        <v>0.72429247533854202</v>
      </c>
      <c r="S3844" t="s">
        <v>10460</v>
      </c>
      <c r="T3844" t="s">
        <v>13232</v>
      </c>
      <c r="U3844" t="s">
        <v>13232</v>
      </c>
      <c r="V3844" t="s">
        <v>13232</v>
      </c>
      <c r="W3844" t="s">
        <v>17014</v>
      </c>
      <c r="X3844">
        <v>9</v>
      </c>
      <c r="Y3844" t="s">
        <v>23438</v>
      </c>
      <c r="Z3844" t="s">
        <v>29975</v>
      </c>
      <c r="AA3844">
        <v>0.89322977810960935</v>
      </c>
      <c r="AB3844" t="str">
        <f>HYPERLINK("Melting_Curves/meltCurve_Q6MZP7_LIN54.pdf", "Melting_Curves/meltCurve_Q6MZP7_LIN54.pdf")</f>
        <v>Melting_Curves/meltCurve_Q6MZP7_LIN54.pdf</v>
      </c>
    </row>
    <row r="3845" spans="1:28" x14ac:dyDescent="0.25">
      <c r="A3845" t="s">
        <v>3848</v>
      </c>
      <c r="B3845">
        <v>0.99930955844802105</v>
      </c>
      <c r="C3845">
        <v>0.99945945562337601</v>
      </c>
      <c r="D3845">
        <v>0.97435471566300602</v>
      </c>
      <c r="E3845">
        <v>1.00113988162348</v>
      </c>
      <c r="F3845">
        <v>0.95520559299332797</v>
      </c>
      <c r="G3845">
        <v>1.0706881692657699</v>
      </c>
      <c r="H3845">
        <v>1.03986220054727</v>
      </c>
      <c r="I3845">
        <v>1.2768668146940401</v>
      </c>
      <c r="J3845">
        <v>1.16131829829067</v>
      </c>
      <c r="K3845">
        <v>0.99208832784464596</v>
      </c>
      <c r="L3845">
        <v>2291.2872123710499</v>
      </c>
      <c r="M3845">
        <v>39.805384900131003</v>
      </c>
      <c r="O3845">
        <v>57.417547848125203</v>
      </c>
      <c r="P3845">
        <v>2.14801690583106E-2</v>
      </c>
      <c r="Q3845">
        <v>1.12393657283402</v>
      </c>
      <c r="R3845">
        <v>0.42664631322019397</v>
      </c>
      <c r="S3845" t="s">
        <v>10461</v>
      </c>
      <c r="T3845" t="s">
        <v>13232</v>
      </c>
      <c r="U3845" t="s">
        <v>13232</v>
      </c>
      <c r="V3845" t="s">
        <v>13232</v>
      </c>
      <c r="W3845" t="s">
        <v>17015</v>
      </c>
      <c r="X3845">
        <v>1</v>
      </c>
      <c r="Y3845" t="s">
        <v>23438</v>
      </c>
      <c r="Z3845" t="s">
        <v>29976</v>
      </c>
      <c r="AA3845">
        <v>1.0508929475704609</v>
      </c>
      <c r="AB3845" t="str">
        <f>HYPERLINK("Melting_Curves/meltCurve_Q6MZP7_4_LIN54.pdf", "Melting_Curves/meltCurve_Q6MZP7_4_LIN54.pdf")</f>
        <v>Melting_Curves/meltCurve_Q6MZP7_4_LIN54.pdf</v>
      </c>
    </row>
    <row r="3846" spans="1:28" x14ac:dyDescent="0.25">
      <c r="A3846" t="s">
        <v>3849</v>
      </c>
      <c r="B3846">
        <v>0.99930955844802105</v>
      </c>
      <c r="C3846">
        <v>1.0037708131898799</v>
      </c>
      <c r="D3846">
        <v>0.97466254664332996</v>
      </c>
      <c r="E3846">
        <v>1.00776291355292</v>
      </c>
      <c r="F3846">
        <v>0.87029073220227005</v>
      </c>
      <c r="G3846">
        <v>0.869684090087392</v>
      </c>
      <c r="H3846">
        <v>0.80252581884787999</v>
      </c>
      <c r="I3846">
        <v>0.87360193788114104</v>
      </c>
      <c r="J3846">
        <v>0.91432733923740495</v>
      </c>
      <c r="K3846">
        <v>0.66102957351013703</v>
      </c>
      <c r="L3846">
        <v>329.39947110819702</v>
      </c>
      <c r="M3846">
        <v>3.5917919258152202</v>
      </c>
      <c r="Q3846">
        <v>0</v>
      </c>
      <c r="R3846">
        <v>0.64808044012460497</v>
      </c>
      <c r="S3846" t="s">
        <v>10462</v>
      </c>
      <c r="T3846" t="s">
        <v>13232</v>
      </c>
      <c r="U3846" t="s">
        <v>13232</v>
      </c>
      <c r="V3846" t="s">
        <v>13232</v>
      </c>
      <c r="W3846" t="s">
        <v>17016</v>
      </c>
      <c r="X3846">
        <v>2</v>
      </c>
      <c r="Y3846" t="s">
        <v>23439</v>
      </c>
      <c r="Z3846" t="s">
        <v>29977</v>
      </c>
      <c r="AA3846">
        <v>0.90087697287533186</v>
      </c>
      <c r="AB3846" t="str">
        <f>HYPERLINK("Melting_Curves/meltCurve_Q6N021_2_TET2.pdf", "Melting_Curves/meltCurve_Q6N021_2_TET2.pdf")</f>
        <v>Melting_Curves/meltCurve_Q6N021_2_TET2.pdf</v>
      </c>
    </row>
    <row r="3847" spans="1:28" x14ac:dyDescent="0.25">
      <c r="A3847" t="s">
        <v>3850</v>
      </c>
      <c r="B3847">
        <v>0.99930955844802105</v>
      </c>
      <c r="C3847">
        <v>0.91728323292729597</v>
      </c>
      <c r="D3847">
        <v>0.90090382631192001</v>
      </c>
      <c r="E3847">
        <v>0.87019113515020197</v>
      </c>
      <c r="F3847">
        <v>0.72442454653978705</v>
      </c>
      <c r="G3847">
        <v>0.66898436540302397</v>
      </c>
      <c r="H3847">
        <v>0.70314045475491305</v>
      </c>
      <c r="I3847">
        <v>0.77174867515944101</v>
      </c>
      <c r="J3847">
        <v>0.76897592954431304</v>
      </c>
      <c r="K3847">
        <v>0.63282249034266203</v>
      </c>
      <c r="L3847">
        <v>698.86679539327997</v>
      </c>
      <c r="M3847">
        <v>14.494730761599801</v>
      </c>
      <c r="O3847">
        <v>47.325379128562801</v>
      </c>
      <c r="P3847">
        <v>-2.3089702874228402E-2</v>
      </c>
      <c r="Q3847">
        <v>0.69848281685666402</v>
      </c>
      <c r="R3847">
        <v>0.81962022819501301</v>
      </c>
      <c r="S3847" t="s">
        <v>10463</v>
      </c>
      <c r="T3847" t="s">
        <v>13232</v>
      </c>
      <c r="U3847" t="s">
        <v>13232</v>
      </c>
      <c r="V3847" t="s">
        <v>13232</v>
      </c>
      <c r="W3847" t="s">
        <v>17017</v>
      </c>
      <c r="X3847">
        <v>5</v>
      </c>
      <c r="Y3847" t="s">
        <v>23440</v>
      </c>
      <c r="Z3847" t="s">
        <v>29978</v>
      </c>
      <c r="AA3847">
        <v>0.78926315995916074</v>
      </c>
      <c r="AB3847" t="str">
        <f>HYPERLINK("Melting_Curves/meltCurve_Q6N043_2_ZNF280D.pdf", "Melting_Curves/meltCurve_Q6N043_2_ZNF280D.pdf")</f>
        <v>Melting_Curves/meltCurve_Q6N043_2_ZNF280D.pdf</v>
      </c>
    </row>
    <row r="3848" spans="1:28" x14ac:dyDescent="0.25">
      <c r="A3848" t="s">
        <v>3851</v>
      </c>
      <c r="B3848">
        <v>0.99930955844802105</v>
      </c>
      <c r="C3848">
        <v>1.23915984767489</v>
      </c>
      <c r="D3848">
        <v>0.98403873604720504</v>
      </c>
      <c r="E3848">
        <v>0.64948146485223901</v>
      </c>
      <c r="F3848">
        <v>0.36607640773952099</v>
      </c>
      <c r="G3848">
        <v>0.28126340269364097</v>
      </c>
      <c r="H3848">
        <v>0.20438456869973501</v>
      </c>
      <c r="I3848">
        <v>0.17395334866638201</v>
      </c>
      <c r="J3848">
        <v>0.20435393070524599</v>
      </c>
      <c r="K3848">
        <v>0.12032433007055</v>
      </c>
      <c r="L3848">
        <v>1474.2170457393099</v>
      </c>
      <c r="M3848">
        <v>29.100651920536599</v>
      </c>
      <c r="N3848">
        <v>51.491769478879299</v>
      </c>
      <c r="O3848">
        <v>50.421846799332997</v>
      </c>
      <c r="P3848">
        <v>-0.117210841572923</v>
      </c>
      <c r="Q3848">
        <v>0.18765511984736999</v>
      </c>
      <c r="R3848">
        <v>0.95487217039869998</v>
      </c>
      <c r="S3848" t="s">
        <v>10464</v>
      </c>
      <c r="T3848" t="s">
        <v>13232</v>
      </c>
      <c r="U3848" t="s">
        <v>13232</v>
      </c>
      <c r="V3848" t="s">
        <v>13232</v>
      </c>
      <c r="W3848" t="s">
        <v>17018</v>
      </c>
      <c r="X3848">
        <v>10</v>
      </c>
      <c r="Y3848" t="s">
        <v>23441</v>
      </c>
      <c r="Z3848" t="s">
        <v>29979</v>
      </c>
      <c r="AA3848">
        <v>0.48168706810886958</v>
      </c>
      <c r="AB3848" t="str">
        <f>HYPERLINK("Melting_Curves/meltCurve_Q6N063_OGFOD2.pdf", "Melting_Curves/meltCurve_Q6N063_OGFOD2.pdf")</f>
        <v>Melting_Curves/meltCurve_Q6N063_OGFOD2.pdf</v>
      </c>
    </row>
    <row r="3849" spans="1:28" x14ac:dyDescent="0.25">
      <c r="A3849" t="s">
        <v>3852</v>
      </c>
      <c r="B3849">
        <v>0.99930955844802105</v>
      </c>
      <c r="C3849">
        <v>0.98777442078117295</v>
      </c>
      <c r="D3849">
        <v>0.76417892420060196</v>
      </c>
      <c r="E3849">
        <v>0.49866006674896901</v>
      </c>
      <c r="F3849">
        <v>0.34236064917419801</v>
      </c>
      <c r="G3849">
        <v>0.27384319797331402</v>
      </c>
      <c r="H3849">
        <v>0.24867148854302601</v>
      </c>
      <c r="I3849">
        <v>0.302186437457028</v>
      </c>
      <c r="J3849">
        <v>0.24831768979653701</v>
      </c>
      <c r="K3849">
        <v>0.17773360521081999</v>
      </c>
      <c r="L3849">
        <v>982.51569718456301</v>
      </c>
      <c r="M3849">
        <v>20.377634370718201</v>
      </c>
      <c r="N3849">
        <v>49.815721801436297</v>
      </c>
      <c r="O3849">
        <v>47.758267210897003</v>
      </c>
      <c r="P3849">
        <v>-8.1052734823993999E-2</v>
      </c>
      <c r="Q3849">
        <v>0.24018242659049799</v>
      </c>
      <c r="R3849">
        <v>0.98847920548948998</v>
      </c>
      <c r="S3849" t="s">
        <v>10465</v>
      </c>
      <c r="T3849" t="s">
        <v>13232</v>
      </c>
      <c r="U3849" t="s">
        <v>13232</v>
      </c>
      <c r="V3849" t="s">
        <v>13232</v>
      </c>
      <c r="W3849" t="s">
        <v>17019</v>
      </c>
      <c r="X3849">
        <v>12</v>
      </c>
      <c r="Y3849" t="s">
        <v>23442</v>
      </c>
      <c r="Z3849" t="s">
        <v>29980</v>
      </c>
      <c r="AA3849">
        <v>0.45859463911816412</v>
      </c>
      <c r="AB3849" t="str">
        <f>HYPERLINK("Melting_Curves/meltCurve_Q6N069_NAA16.pdf", "Melting_Curves/meltCurve_Q6N069_NAA16.pdf")</f>
        <v>Melting_Curves/meltCurve_Q6N069_NAA16.pdf</v>
      </c>
    </row>
    <row r="3850" spans="1:28" x14ac:dyDescent="0.25">
      <c r="A3850" t="s">
        <v>3853</v>
      </c>
      <c r="B3850">
        <v>0.99930955844802105</v>
      </c>
      <c r="C3850">
        <v>0.90731652643063299</v>
      </c>
      <c r="D3850">
        <v>0.72222707434979405</v>
      </c>
      <c r="E3850">
        <v>0.75439721087428802</v>
      </c>
      <c r="F3850">
        <v>0.60856924746392604</v>
      </c>
      <c r="G3850">
        <v>0.51468487064965995</v>
      </c>
      <c r="H3850">
        <v>0.39708983728302999</v>
      </c>
      <c r="I3850">
        <v>0.35970907359738702</v>
      </c>
      <c r="J3850">
        <v>0.31916442561257502</v>
      </c>
      <c r="K3850">
        <v>0.26809302871883001</v>
      </c>
      <c r="L3850">
        <v>381.42964181107601</v>
      </c>
      <c r="M3850">
        <v>6.9264930480691804</v>
      </c>
      <c r="N3850">
        <v>57.129142164054997</v>
      </c>
      <c r="O3850">
        <v>51.0276639964503</v>
      </c>
      <c r="P3850">
        <v>-3.0241662132814699E-2</v>
      </c>
      <c r="Q3850">
        <v>0.11054970790916301</v>
      </c>
      <c r="R3850">
        <v>0.97231591729979805</v>
      </c>
      <c r="S3850" t="s">
        <v>10466</v>
      </c>
      <c r="T3850" t="s">
        <v>13232</v>
      </c>
      <c r="U3850" t="s">
        <v>13232</v>
      </c>
      <c r="V3850" t="s">
        <v>13232</v>
      </c>
      <c r="W3850" t="s">
        <v>17020</v>
      </c>
      <c r="X3850">
        <v>3</v>
      </c>
      <c r="Y3850" t="s">
        <v>23443</v>
      </c>
      <c r="Z3850" t="s">
        <v>29981</v>
      </c>
      <c r="AA3850">
        <v>0.58075704131469219</v>
      </c>
      <c r="AB3850" t="str">
        <f>HYPERLINK("Melting_Curves/meltCurve_Q6NS38_ALKBH2.pdf", "Melting_Curves/meltCurve_Q6NS38_ALKBH2.pdf")</f>
        <v>Melting_Curves/meltCurve_Q6NS38_ALKBH2.pdf</v>
      </c>
    </row>
    <row r="3851" spans="1:28" x14ac:dyDescent="0.25">
      <c r="A3851" t="s">
        <v>3854</v>
      </c>
      <c r="B3851">
        <v>0.99930955844802105</v>
      </c>
      <c r="C3851">
        <v>0.94426541525345697</v>
      </c>
      <c r="D3851">
        <v>0.92366163598640305</v>
      </c>
      <c r="E3851">
        <v>0.73826169100747696</v>
      </c>
      <c r="F3851">
        <v>0.30062256314242602</v>
      </c>
      <c r="G3851">
        <v>0.183727183820725</v>
      </c>
      <c r="H3851">
        <v>0.12783227652005499</v>
      </c>
      <c r="I3851">
        <v>0.13708065556966501</v>
      </c>
      <c r="J3851">
        <v>8.7668220639977701E-2</v>
      </c>
      <c r="K3851">
        <v>0.109235883808652</v>
      </c>
      <c r="L3851">
        <v>1686.59331958809</v>
      </c>
      <c r="M3851">
        <v>32.994695960827897</v>
      </c>
      <c r="N3851">
        <v>51.5424060369903</v>
      </c>
      <c r="O3851">
        <v>50.930429987531802</v>
      </c>
      <c r="P3851">
        <v>-0.14265926883992699</v>
      </c>
      <c r="Q3851">
        <v>0.11917172986081</v>
      </c>
      <c r="R3851">
        <v>0.99291027833006895</v>
      </c>
      <c r="S3851" t="s">
        <v>10467</v>
      </c>
      <c r="T3851" t="s">
        <v>13232</v>
      </c>
      <c r="U3851" t="s">
        <v>13232</v>
      </c>
      <c r="V3851" t="s">
        <v>13232</v>
      </c>
      <c r="W3851" t="s">
        <v>17021</v>
      </c>
      <c r="X3851">
        <v>1</v>
      </c>
      <c r="Y3851" t="s">
        <v>23444</v>
      </c>
      <c r="Z3851" t="s">
        <v>29982</v>
      </c>
      <c r="AA3851">
        <v>0.45016524926423562</v>
      </c>
      <c r="AB3851" t="str">
        <f>HYPERLINK("Melting_Curves/meltCurve_Q6NSB6_MKRN3.pdf", "Melting_Curves/meltCurve_Q6NSB6_MKRN3.pdf")</f>
        <v>Melting_Curves/meltCurve_Q6NSB6_MKRN3.pdf</v>
      </c>
    </row>
    <row r="3852" spans="1:28" x14ac:dyDescent="0.25">
      <c r="A3852" t="s">
        <v>3855</v>
      </c>
      <c r="B3852">
        <v>0.99930955844802105</v>
      </c>
      <c r="C3852">
        <v>1.0479345337549599</v>
      </c>
      <c r="D3852">
        <v>1.0359147118018399</v>
      </c>
      <c r="E3852">
        <v>0.97506617738575596</v>
      </c>
      <c r="F3852">
        <v>0.70307094363562495</v>
      </c>
      <c r="G3852">
        <v>0.64740107079934095</v>
      </c>
      <c r="H3852">
        <v>0.60047919747976497</v>
      </c>
      <c r="I3852">
        <v>0.71851183570947097</v>
      </c>
      <c r="J3852">
        <v>0.91588157482001298</v>
      </c>
      <c r="K3852">
        <v>0.62406583236828905</v>
      </c>
      <c r="L3852">
        <v>6640.8648514821398</v>
      </c>
      <c r="M3852">
        <v>130.42107060289399</v>
      </c>
      <c r="O3852">
        <v>50.906681182406302</v>
      </c>
      <c r="P3852">
        <v>-0.19133189508401999</v>
      </c>
      <c r="Q3852">
        <v>0.70127307004640005</v>
      </c>
      <c r="R3852">
        <v>0.77302970281984795</v>
      </c>
      <c r="S3852" t="s">
        <v>10468</v>
      </c>
      <c r="T3852" t="s">
        <v>13232</v>
      </c>
      <c r="U3852" t="s">
        <v>13232</v>
      </c>
      <c r="V3852" t="s">
        <v>13232</v>
      </c>
      <c r="W3852" t="s">
        <v>17022</v>
      </c>
      <c r="X3852">
        <v>8</v>
      </c>
      <c r="Y3852" t="s">
        <v>23445</v>
      </c>
      <c r="Z3852" t="s">
        <v>29983</v>
      </c>
      <c r="AA3852">
        <v>0.81009437477410595</v>
      </c>
      <c r="AB3852" t="str">
        <f>HYPERLINK("Melting_Curves/meltCurve_Q6NSH3_CT45A5.pdf", "Melting_Curves/meltCurve_Q6NSH3_CT45A5.pdf")</f>
        <v>Melting_Curves/meltCurve_Q6NSH3_CT45A5.pdf</v>
      </c>
    </row>
    <row r="3853" spans="1:28" x14ac:dyDescent="0.25">
      <c r="A3853" t="s">
        <v>3856</v>
      </c>
      <c r="B3853">
        <v>0.99930955844802105</v>
      </c>
      <c r="C3853">
        <v>1.46763408634494</v>
      </c>
      <c r="D3853">
        <v>1.39598843192531</v>
      </c>
      <c r="E3853">
        <v>1.14523739617436</v>
      </c>
      <c r="F3853">
        <v>0.76484384708293496</v>
      </c>
      <c r="G3853">
        <v>0.87399161064146103</v>
      </c>
      <c r="H3853">
        <v>0.88276267087957905</v>
      </c>
      <c r="I3853">
        <v>0.95103821142279499</v>
      </c>
      <c r="J3853">
        <v>1.1907320878868199</v>
      </c>
      <c r="K3853">
        <v>0.82193279373463202</v>
      </c>
      <c r="L3853">
        <v>5273.0702798766197</v>
      </c>
      <c r="M3853">
        <v>102.472901950519</v>
      </c>
      <c r="O3853">
        <v>51.438602784812602</v>
      </c>
      <c r="P3853">
        <v>-4.18351063434464E-2</v>
      </c>
      <c r="Q3853">
        <v>0.91599967319039499</v>
      </c>
      <c r="R3853">
        <v>3.2887147615115998E-2</v>
      </c>
      <c r="S3853" t="s">
        <v>10469</v>
      </c>
      <c r="T3853" t="s">
        <v>13232</v>
      </c>
      <c r="U3853" t="s">
        <v>13232</v>
      </c>
      <c r="V3853" t="s">
        <v>13232</v>
      </c>
      <c r="W3853" t="s">
        <v>17023</v>
      </c>
      <c r="X3853">
        <v>7</v>
      </c>
      <c r="Y3853" t="s">
        <v>23446</v>
      </c>
      <c r="Z3853" t="s">
        <v>29984</v>
      </c>
      <c r="AA3853">
        <v>0.94812793700310705</v>
      </c>
      <c r="AB3853" t="str">
        <f>HYPERLINK("Melting_Curves/meltCurve_Q6NSJ2_PHLDB3.pdf", "Melting_Curves/meltCurve_Q6NSJ2_PHLDB3.pdf")</f>
        <v>Melting_Curves/meltCurve_Q6NSJ2_PHLDB3.pdf</v>
      </c>
    </row>
    <row r="3854" spans="1:28" x14ac:dyDescent="0.25">
      <c r="A3854" t="s">
        <v>3857</v>
      </c>
      <c r="B3854">
        <v>0.99930955844802105</v>
      </c>
      <c r="C3854">
        <v>1.0418115740917999</v>
      </c>
      <c r="D3854">
        <v>0.954467614715654</v>
      </c>
      <c r="E3854">
        <v>0.73260932869637896</v>
      </c>
      <c r="F3854">
        <v>0.58849213256876198</v>
      </c>
      <c r="G3854">
        <v>0.30729222582304899</v>
      </c>
      <c r="H3854">
        <v>0.22871437055180699</v>
      </c>
      <c r="I3854">
        <v>0.20578189930785601</v>
      </c>
      <c r="J3854">
        <v>0.21910114383655399</v>
      </c>
      <c r="K3854">
        <v>0.166283697590416</v>
      </c>
      <c r="L3854">
        <v>993.35894532589703</v>
      </c>
      <c r="M3854">
        <v>18.9265767137606</v>
      </c>
      <c r="N3854">
        <v>53.735250480848002</v>
      </c>
      <c r="O3854">
        <v>51.909479364818999</v>
      </c>
      <c r="P3854">
        <v>-7.4919546615001095E-2</v>
      </c>
      <c r="Q3854">
        <v>0.17811291314149</v>
      </c>
      <c r="R3854">
        <v>0.99386747685449905</v>
      </c>
      <c r="S3854" t="s">
        <v>10470</v>
      </c>
      <c r="T3854" t="s">
        <v>13232</v>
      </c>
      <c r="U3854" t="s">
        <v>13232</v>
      </c>
      <c r="V3854" t="s">
        <v>13232</v>
      </c>
      <c r="W3854" t="s">
        <v>17024</v>
      </c>
      <c r="X3854">
        <v>7</v>
      </c>
      <c r="Y3854" t="s">
        <v>23447</v>
      </c>
      <c r="Z3854" t="s">
        <v>29985</v>
      </c>
      <c r="AA3854">
        <v>0.53263230826293795</v>
      </c>
      <c r="AB3854" t="str">
        <f>HYPERLINK("Melting_Curves/meltCurve_Q6NSZ9_ZSCAN25.pdf", "Melting_Curves/meltCurve_Q6NSZ9_ZSCAN25.pdf")</f>
        <v>Melting_Curves/meltCurve_Q6NSZ9_ZSCAN25.pdf</v>
      </c>
    </row>
    <row r="3855" spans="1:28" x14ac:dyDescent="0.25">
      <c r="A3855" t="s">
        <v>3858</v>
      </c>
      <c r="B3855">
        <v>0.99930955844802105</v>
      </c>
      <c r="C3855">
        <v>0.99963182574373699</v>
      </c>
      <c r="D3855">
        <v>1.0140888106607</v>
      </c>
      <c r="E3855">
        <v>0.95399903531044306</v>
      </c>
      <c r="F3855">
        <v>0.74133538531674104</v>
      </c>
      <c r="G3855">
        <v>0.51587318085699396</v>
      </c>
      <c r="H3855">
        <v>0.36112965634210298</v>
      </c>
      <c r="I3855">
        <v>0.29724540648883402</v>
      </c>
      <c r="J3855">
        <v>0.26996792955194698</v>
      </c>
      <c r="K3855">
        <v>0.20289788407433301</v>
      </c>
      <c r="L3855">
        <v>1039.2298467975099</v>
      </c>
      <c r="M3855">
        <v>18.714938103965402</v>
      </c>
      <c r="N3855">
        <v>57.340335645517101</v>
      </c>
      <c r="O3855">
        <v>54.907081826259102</v>
      </c>
      <c r="P3855">
        <v>-6.62016124020611E-2</v>
      </c>
      <c r="Q3855">
        <v>0.223126931565574</v>
      </c>
      <c r="R3855">
        <v>0.99453870522813204</v>
      </c>
      <c r="S3855" t="s">
        <v>10471</v>
      </c>
      <c r="T3855" t="s">
        <v>13232</v>
      </c>
      <c r="U3855" t="s">
        <v>13232</v>
      </c>
      <c r="V3855" t="s">
        <v>13232</v>
      </c>
      <c r="W3855" t="s">
        <v>17025</v>
      </c>
      <c r="X3855">
        <v>9</v>
      </c>
      <c r="Y3855" t="s">
        <v>23448</v>
      </c>
      <c r="Z3855" t="s">
        <v>29986</v>
      </c>
      <c r="AA3855">
        <v>0.63643260060707096</v>
      </c>
      <c r="AB3855" t="str">
        <f>HYPERLINK("Melting_Curves/meltCurve_Q6NT76_2_HMBOX1.pdf", "Melting_Curves/meltCurve_Q6NT76_2_HMBOX1.pdf")</f>
        <v>Melting_Curves/meltCurve_Q6NT76_2_HMBOX1.pdf</v>
      </c>
    </row>
    <row r="3856" spans="1:28" x14ac:dyDescent="0.25">
      <c r="A3856" t="s">
        <v>3859</v>
      </c>
      <c r="B3856">
        <v>0.99930955844802105</v>
      </c>
      <c r="C3856">
        <v>1.0159772873716999</v>
      </c>
      <c r="D3856">
        <v>0.95056896920466305</v>
      </c>
      <c r="E3856">
        <v>0.83160425811209904</v>
      </c>
      <c r="F3856">
        <v>0.64060197546445297</v>
      </c>
      <c r="G3856">
        <v>0.48043645923608302</v>
      </c>
      <c r="H3856">
        <v>0.43691787290221901</v>
      </c>
      <c r="I3856">
        <v>0.50803512228425096</v>
      </c>
      <c r="J3856">
        <v>0.552630618532441</v>
      </c>
      <c r="K3856">
        <v>0.43219480154363998</v>
      </c>
      <c r="L3856">
        <v>1436.6715309190499</v>
      </c>
      <c r="M3856">
        <v>27.996762460535798</v>
      </c>
      <c r="N3856">
        <v>57.567233124975502</v>
      </c>
      <c r="O3856">
        <v>51.055956314951601</v>
      </c>
      <c r="P3856">
        <v>-7.1822579454278695E-2</v>
      </c>
      <c r="Q3856">
        <v>0.47609093367364702</v>
      </c>
      <c r="R3856">
        <v>0.97557913126378704</v>
      </c>
      <c r="S3856" t="s">
        <v>10472</v>
      </c>
      <c r="T3856" t="s">
        <v>13232</v>
      </c>
      <c r="U3856" t="s">
        <v>13232</v>
      </c>
      <c r="V3856" t="s">
        <v>13232</v>
      </c>
      <c r="W3856" t="s">
        <v>17026</v>
      </c>
      <c r="X3856">
        <v>6</v>
      </c>
      <c r="Y3856" t="s">
        <v>23449</v>
      </c>
      <c r="Z3856" t="s">
        <v>29987</v>
      </c>
      <c r="AA3856">
        <v>0.67750249042132027</v>
      </c>
      <c r="AB3856" t="str">
        <f>HYPERLINK("Melting_Curves/meltCurve_Q6NTE8_C5orf45.pdf", "Melting_Curves/meltCurve_Q6NTE8_C5orf45.pdf")</f>
        <v>Melting_Curves/meltCurve_Q6NTE8_C5orf45.pdf</v>
      </c>
    </row>
    <row r="3857" spans="1:28" x14ac:dyDescent="0.25">
      <c r="A3857" t="s">
        <v>3860</v>
      </c>
      <c r="B3857">
        <v>0.99930955844802105</v>
      </c>
      <c r="C3857">
        <v>0.86845168497788605</v>
      </c>
      <c r="D3857">
        <v>0.84589654006055104</v>
      </c>
      <c r="E3857">
        <v>0.71453280747206804</v>
      </c>
      <c r="F3857">
        <v>0.49923168945318003</v>
      </c>
      <c r="G3857">
        <v>0.339147334255684</v>
      </c>
      <c r="H3857">
        <v>0.25317773121982401</v>
      </c>
      <c r="I3857">
        <v>0.22036894961327899</v>
      </c>
      <c r="J3857">
        <v>0.225441806974332</v>
      </c>
      <c r="K3857">
        <v>0.15026147007646701</v>
      </c>
      <c r="L3857">
        <v>606.05985840965502</v>
      </c>
      <c r="M3857">
        <v>11.649954116980201</v>
      </c>
      <c r="N3857">
        <v>53.386913819101999</v>
      </c>
      <c r="O3857">
        <v>50.560588774207602</v>
      </c>
      <c r="P3857">
        <v>-5.0200910704092903E-2</v>
      </c>
      <c r="Q3857">
        <v>0.12875137557505201</v>
      </c>
      <c r="R3857">
        <v>0.98928222602805804</v>
      </c>
      <c r="S3857" t="s">
        <v>10473</v>
      </c>
      <c r="T3857" t="s">
        <v>13232</v>
      </c>
      <c r="U3857" t="s">
        <v>13232</v>
      </c>
      <c r="V3857" t="s">
        <v>13232</v>
      </c>
      <c r="W3857" t="s">
        <v>17027</v>
      </c>
      <c r="X3857">
        <v>3</v>
      </c>
      <c r="Y3857" t="s">
        <v>23450</v>
      </c>
      <c r="Z3857" t="s">
        <v>29988</v>
      </c>
      <c r="AA3857">
        <v>0.50554214541926201</v>
      </c>
      <c r="AB3857" t="str">
        <f>HYPERLINK("Melting_Curves/meltCurve_Q6NUM6_TYW1B.pdf", "Melting_Curves/meltCurve_Q6NUM6_TYW1B.pdf")</f>
        <v>Melting_Curves/meltCurve_Q6NUM6_TYW1B.pdf</v>
      </c>
    </row>
    <row r="3858" spans="1:28" x14ac:dyDescent="0.25">
      <c r="A3858" t="s">
        <v>3861</v>
      </c>
      <c r="B3858">
        <v>0.99930955844802105</v>
      </c>
      <c r="C3858">
        <v>0.96146418910713305</v>
      </c>
      <c r="D3858">
        <v>0.74554479408511598</v>
      </c>
      <c r="E3858">
        <v>0.59036034013100103</v>
      </c>
      <c r="F3858">
        <v>0.41623256440540901</v>
      </c>
      <c r="G3858">
        <v>0.25142123789016202</v>
      </c>
      <c r="H3858">
        <v>0.13284742520176801</v>
      </c>
      <c r="I3858">
        <v>0.159335601419794</v>
      </c>
      <c r="J3858">
        <v>0.10907544939115101</v>
      </c>
      <c r="K3858">
        <v>0.10589209542375499</v>
      </c>
      <c r="L3858">
        <v>662.297995403654</v>
      </c>
      <c r="M3858">
        <v>13.097741222682799</v>
      </c>
      <c r="N3858">
        <v>51.235474341106197</v>
      </c>
      <c r="O3858">
        <v>49.430632913887202</v>
      </c>
      <c r="P3858">
        <v>-6.1042205683527299E-2</v>
      </c>
      <c r="Q3858">
        <v>7.8669151317984506E-2</v>
      </c>
      <c r="R3858">
        <v>0.99283771775946394</v>
      </c>
      <c r="S3858" t="s">
        <v>10474</v>
      </c>
      <c r="T3858" t="s">
        <v>13232</v>
      </c>
      <c r="U3858" t="s">
        <v>13232</v>
      </c>
      <c r="V3858" t="s">
        <v>13232</v>
      </c>
      <c r="W3858" t="s">
        <v>17028</v>
      </c>
      <c r="X3858">
        <v>1</v>
      </c>
      <c r="Y3858" t="s">
        <v>23451</v>
      </c>
      <c r="Z3858" t="s">
        <v>29989</v>
      </c>
      <c r="AA3858">
        <v>0.43012361155284518</v>
      </c>
      <c r="AB3858" t="str">
        <f>HYPERLINK("Melting_Curves/meltCurve_Q6NUQ1_RINT1.pdf", "Melting_Curves/meltCurve_Q6NUQ1_RINT1.pdf")</f>
        <v>Melting_Curves/meltCurve_Q6NUQ1_RINT1.pdf</v>
      </c>
    </row>
    <row r="3859" spans="1:28" x14ac:dyDescent="0.25">
      <c r="A3859" t="s">
        <v>3862</v>
      </c>
      <c r="B3859">
        <v>0.99930955844802105</v>
      </c>
      <c r="C3859">
        <v>0.93393787561369301</v>
      </c>
      <c r="D3859">
        <v>0.92715003590439304</v>
      </c>
      <c r="E3859">
        <v>0.94147752074501101</v>
      </c>
      <c r="F3859">
        <v>0.83109453327029204</v>
      </c>
      <c r="G3859">
        <v>0.59087231968140796</v>
      </c>
      <c r="H3859">
        <v>0.50461402523670795</v>
      </c>
      <c r="I3859">
        <v>0.56579217064976395</v>
      </c>
      <c r="J3859">
        <v>0.52841588853777599</v>
      </c>
      <c r="K3859">
        <v>0.43936865096709499</v>
      </c>
      <c r="L3859">
        <v>1341.7838926743</v>
      </c>
      <c r="M3859">
        <v>24.780764076752</v>
      </c>
      <c r="N3859">
        <v>67.058651199614602</v>
      </c>
      <c r="O3859">
        <v>53.797274609362603</v>
      </c>
      <c r="P3859">
        <v>-5.8067336990925297E-2</v>
      </c>
      <c r="Q3859">
        <v>0.49576680272171703</v>
      </c>
      <c r="R3859">
        <v>0.95943106015776303</v>
      </c>
      <c r="S3859" t="s">
        <v>10475</v>
      </c>
      <c r="T3859" t="s">
        <v>13232</v>
      </c>
      <c r="U3859" t="s">
        <v>13232</v>
      </c>
      <c r="V3859" t="s">
        <v>13232</v>
      </c>
      <c r="W3859" t="s">
        <v>17029</v>
      </c>
      <c r="X3859">
        <v>7</v>
      </c>
      <c r="Y3859" t="s">
        <v>23452</v>
      </c>
      <c r="Z3859" t="s">
        <v>29990</v>
      </c>
      <c r="AA3859">
        <v>0.73827529926534996</v>
      </c>
      <c r="AB3859" t="str">
        <f>HYPERLINK("Melting_Curves/meltCurve_Q6NUQ4_2_TMEM214.pdf", "Melting_Curves/meltCurve_Q6NUQ4_2_TMEM214.pdf")</f>
        <v>Melting_Curves/meltCurve_Q6NUQ4_2_TMEM214.pdf</v>
      </c>
    </row>
    <row r="3860" spans="1:28" x14ac:dyDescent="0.25">
      <c r="A3860" t="s">
        <v>3863</v>
      </c>
      <c r="B3860">
        <v>0.99930955844802105</v>
      </c>
      <c r="C3860">
        <v>1.1880340843567001</v>
      </c>
      <c r="D3860">
        <v>1.1380878523740501</v>
      </c>
      <c r="E3860">
        <v>1.0361054222425601</v>
      </c>
      <c r="F3860">
        <v>0.61440947249689504</v>
      </c>
      <c r="G3860">
        <v>0.212873777450241</v>
      </c>
      <c r="H3860">
        <v>0.12701202272102199</v>
      </c>
      <c r="I3860">
        <v>0.102435521971035</v>
      </c>
      <c r="J3860">
        <v>9.1358201308859799E-2</v>
      </c>
      <c r="K3860">
        <v>6.8080877019828206E-2</v>
      </c>
      <c r="L3860">
        <v>2333.4823653890398</v>
      </c>
      <c r="M3860">
        <v>43.626354766891097</v>
      </c>
      <c r="N3860">
        <v>53.781177873862099</v>
      </c>
      <c r="O3860">
        <v>53.3758921403073</v>
      </c>
      <c r="P3860">
        <v>-0.18270411772332401</v>
      </c>
      <c r="Q3860">
        <v>0.105863441607335</v>
      </c>
      <c r="R3860">
        <v>0.96914445147671002</v>
      </c>
      <c r="S3860" t="s">
        <v>10476</v>
      </c>
      <c r="T3860" t="s">
        <v>13232</v>
      </c>
      <c r="U3860" t="s">
        <v>13232</v>
      </c>
      <c r="V3860" t="s">
        <v>13232</v>
      </c>
      <c r="W3860" t="s">
        <v>17030</v>
      </c>
      <c r="X3860">
        <v>18</v>
      </c>
      <c r="Y3860" t="s">
        <v>23453</v>
      </c>
      <c r="Z3860" t="s">
        <v>29991</v>
      </c>
      <c r="AA3860">
        <v>0.51063814243833561</v>
      </c>
      <c r="AB3860" t="str">
        <f>HYPERLINK("Melting_Curves/meltCurve_Q6NVY1_HIBCH.pdf", "Melting_Curves/meltCurve_Q6NVY1_HIBCH.pdf")</f>
        <v>Melting_Curves/meltCurve_Q6NVY1_HIBCH.pdf</v>
      </c>
    </row>
    <row r="3861" spans="1:28" x14ac:dyDescent="0.25">
      <c r="A3861" t="s">
        <v>3864</v>
      </c>
      <c r="B3861">
        <v>0.99930955844802105</v>
      </c>
      <c r="C3861">
        <v>1.01152503655826</v>
      </c>
      <c r="D3861">
        <v>1.0733680878446199</v>
      </c>
      <c r="E3861">
        <v>1.0227872632208901</v>
      </c>
      <c r="F3861">
        <v>1.00372183721928</v>
      </c>
      <c r="G3861">
        <v>0.91852562042353902</v>
      </c>
      <c r="H3861">
        <v>0.86571711671573903</v>
      </c>
      <c r="I3861">
        <v>0.98055669915177102</v>
      </c>
      <c r="J3861">
        <v>0.916213142006711</v>
      </c>
      <c r="K3861">
        <v>0.71867206483735402</v>
      </c>
      <c r="S3861" t="s">
        <v>10477</v>
      </c>
      <c r="T3861" t="s">
        <v>13232</v>
      </c>
      <c r="U3861" t="s">
        <v>13233</v>
      </c>
      <c r="V3861" t="s">
        <v>13232</v>
      </c>
      <c r="W3861" t="s">
        <v>17031</v>
      </c>
      <c r="X3861">
        <v>3</v>
      </c>
      <c r="Y3861" t="s">
        <v>23454</v>
      </c>
      <c r="Z3861" t="s">
        <v>29992</v>
      </c>
      <c r="AB3861" t="str">
        <f>HYPERLINK("Melting_Curves/meltCurve_Q6NW34_2_C3orf17.pdf", "Melting_Curves/meltCurve_Q6NW34_2_C3orf17.pdf")</f>
        <v>Melting_Curves/meltCurve_Q6NW34_2_C3orf17.pdf</v>
      </c>
    </row>
    <row r="3862" spans="1:28" x14ac:dyDescent="0.25">
      <c r="A3862" t="s">
        <v>3865</v>
      </c>
      <c r="B3862">
        <v>0.99930955844802105</v>
      </c>
      <c r="C3862">
        <v>0.39219645458452501</v>
      </c>
      <c r="D3862">
        <v>0.286331994779574</v>
      </c>
      <c r="E3862">
        <v>0.249575391398555</v>
      </c>
      <c r="F3862">
        <v>0.189340923713398</v>
      </c>
      <c r="G3862">
        <v>0.121440794622437</v>
      </c>
      <c r="H3862">
        <v>7.0185414873156493E-2</v>
      </c>
      <c r="I3862">
        <v>6.1436164036803798E-2</v>
      </c>
      <c r="J3862">
        <v>6.1625392298844298E-2</v>
      </c>
      <c r="K3862">
        <v>4.5023049132768701E-2</v>
      </c>
      <c r="L3862">
        <v>2182.89754946932</v>
      </c>
      <c r="M3862">
        <v>51.6299069080628</v>
      </c>
      <c r="N3862">
        <v>42.532922376095797</v>
      </c>
      <c r="O3862">
        <v>42.2164255720146</v>
      </c>
      <c r="P3862">
        <v>-0.265292358126063</v>
      </c>
      <c r="Q3862">
        <v>0.13231013786026599</v>
      </c>
      <c r="R3862">
        <v>0.91905223563327998</v>
      </c>
      <c r="S3862" t="s">
        <v>10478</v>
      </c>
      <c r="T3862" t="s">
        <v>13232</v>
      </c>
      <c r="U3862" t="s">
        <v>13232</v>
      </c>
      <c r="V3862" t="s">
        <v>13232</v>
      </c>
      <c r="W3862" t="s">
        <v>17032</v>
      </c>
      <c r="X3862">
        <v>9</v>
      </c>
      <c r="Y3862" t="s">
        <v>23455</v>
      </c>
      <c r="Z3862" t="s">
        <v>29993</v>
      </c>
      <c r="AA3862">
        <v>0.20081441497874691</v>
      </c>
      <c r="AB3862" t="str">
        <f>HYPERLINK("Melting_Curves/meltCurve_Q6NXE6_2_ARMC6.pdf", "Melting_Curves/meltCurve_Q6NXE6_2_ARMC6.pdf")</f>
        <v>Melting_Curves/meltCurve_Q6NXE6_2_ARMC6.pdf</v>
      </c>
    </row>
    <row r="3863" spans="1:28" x14ac:dyDescent="0.25">
      <c r="A3863" t="s">
        <v>3866</v>
      </c>
      <c r="B3863">
        <v>0.99930955844802105</v>
      </c>
      <c r="C3863">
        <v>1.12453520278967</v>
      </c>
      <c r="D3863">
        <v>0.90434393061787799</v>
      </c>
      <c r="E3863">
        <v>0.86944208005557</v>
      </c>
      <c r="F3863">
        <v>0.86848048579639103</v>
      </c>
      <c r="G3863">
        <v>0.64274942489234399</v>
      </c>
      <c r="H3863">
        <v>0.54227823564572997</v>
      </c>
      <c r="I3863">
        <v>0.58894485172251498</v>
      </c>
      <c r="J3863">
        <v>0.57852377700452395</v>
      </c>
      <c r="K3863">
        <v>0.41436756286712001</v>
      </c>
      <c r="L3863">
        <v>749.56113156301205</v>
      </c>
      <c r="M3863">
        <v>13.5266868570959</v>
      </c>
      <c r="N3863">
        <v>68.148221744295796</v>
      </c>
      <c r="O3863">
        <v>54.244456144318299</v>
      </c>
      <c r="P3863">
        <v>-3.3664495944070498E-2</v>
      </c>
      <c r="Q3863">
        <v>0.46007888979210598</v>
      </c>
      <c r="R3863">
        <v>0.90987165943819903</v>
      </c>
      <c r="S3863" t="s">
        <v>10479</v>
      </c>
      <c r="T3863" t="s">
        <v>13232</v>
      </c>
      <c r="U3863" t="s">
        <v>13232</v>
      </c>
      <c r="V3863" t="s">
        <v>13232</v>
      </c>
      <c r="W3863" t="s">
        <v>17033</v>
      </c>
      <c r="X3863">
        <v>7</v>
      </c>
      <c r="Y3863" t="s">
        <v>23456</v>
      </c>
      <c r="Z3863" t="s">
        <v>29994</v>
      </c>
      <c r="AA3863">
        <v>0.74854089927293266</v>
      </c>
      <c r="AB3863" t="str">
        <f>HYPERLINK("Melting_Curves/meltCurve_Q6NXT1_ANKRD54.pdf", "Melting_Curves/meltCurve_Q6NXT1_ANKRD54.pdf")</f>
        <v>Melting_Curves/meltCurve_Q6NXT1_ANKRD54.pdf</v>
      </c>
    </row>
    <row r="3864" spans="1:28" x14ac:dyDescent="0.25">
      <c r="A3864" t="s">
        <v>3867</v>
      </c>
      <c r="B3864">
        <v>0.99930955844802105</v>
      </c>
      <c r="C3864">
        <v>1.0802957391602099</v>
      </c>
      <c r="D3864">
        <v>1.0777493278204799</v>
      </c>
      <c r="E3864">
        <v>1.0443528416863701</v>
      </c>
      <c r="F3864">
        <v>0.81356775169390605</v>
      </c>
      <c r="G3864">
        <v>0.79333815161829901</v>
      </c>
      <c r="H3864">
        <v>0.82675587598220202</v>
      </c>
      <c r="I3864">
        <v>0.89258015118881695</v>
      </c>
      <c r="J3864">
        <v>0.86998231080623201</v>
      </c>
      <c r="K3864">
        <v>0.73746165606022895</v>
      </c>
      <c r="L3864">
        <v>8896.3905470166192</v>
      </c>
      <c r="M3864">
        <v>172.14035883885799</v>
      </c>
      <c r="O3864">
        <v>51.6740523506638</v>
      </c>
      <c r="P3864">
        <v>-0.14824061593637</v>
      </c>
      <c r="Q3864">
        <v>0.82200122383333596</v>
      </c>
      <c r="R3864">
        <v>0.79315113759890099</v>
      </c>
      <c r="S3864" t="s">
        <v>10480</v>
      </c>
      <c r="T3864" t="s">
        <v>13232</v>
      </c>
      <c r="U3864" t="s">
        <v>13232</v>
      </c>
      <c r="V3864" t="s">
        <v>13232</v>
      </c>
      <c r="W3864" t="s">
        <v>17034</v>
      </c>
      <c r="X3864">
        <v>29</v>
      </c>
      <c r="Y3864" t="s">
        <v>23457</v>
      </c>
      <c r="Z3864" t="s">
        <v>29995</v>
      </c>
      <c r="AA3864">
        <v>0.89134223450835337</v>
      </c>
      <c r="AB3864" t="str">
        <f>HYPERLINK("Melting_Curves/meltCurve_Q6NYC8_PPP1R18.pdf", "Melting_Curves/meltCurve_Q6NYC8_PPP1R18.pdf")</f>
        <v>Melting_Curves/meltCurve_Q6NYC8_PPP1R18.pdf</v>
      </c>
    </row>
    <row r="3865" spans="1:28" x14ac:dyDescent="0.25">
      <c r="A3865" t="s">
        <v>3868</v>
      </c>
      <c r="B3865">
        <v>0.99930955844802105</v>
      </c>
      <c r="C3865">
        <v>1.1559264191123699</v>
      </c>
      <c r="D3865">
        <v>0.92699673125625304</v>
      </c>
      <c r="E3865">
        <v>0.79767378005260003</v>
      </c>
      <c r="F3865">
        <v>0.82928268198647603</v>
      </c>
      <c r="G3865">
        <v>0.71625569093772501</v>
      </c>
      <c r="H3865">
        <v>0.77222184810560102</v>
      </c>
      <c r="I3865">
        <v>0.95380811893087203</v>
      </c>
      <c r="J3865">
        <v>1.08054074474404</v>
      </c>
      <c r="K3865">
        <v>0.94417490937807602</v>
      </c>
      <c r="L3865">
        <v>11488.1558036691</v>
      </c>
      <c r="M3865">
        <v>250</v>
      </c>
      <c r="O3865">
        <v>45.9496829435951</v>
      </c>
      <c r="P3865">
        <v>-0.17605480226362399</v>
      </c>
      <c r="Q3865">
        <v>0.870565403740438</v>
      </c>
      <c r="R3865">
        <v>0.311024373715173</v>
      </c>
      <c r="S3865" t="s">
        <v>10481</v>
      </c>
      <c r="T3865" t="s">
        <v>13232</v>
      </c>
      <c r="U3865" t="s">
        <v>13232</v>
      </c>
      <c r="V3865" t="s">
        <v>13232</v>
      </c>
      <c r="W3865" t="s">
        <v>17035</v>
      </c>
      <c r="X3865">
        <v>1</v>
      </c>
      <c r="Y3865" t="s">
        <v>23458</v>
      </c>
      <c r="Z3865" t="s">
        <v>29996</v>
      </c>
      <c r="AA3865">
        <v>0.89625835489005368</v>
      </c>
      <c r="AB3865" t="str">
        <f>HYPERLINK("Melting_Curves/meltCurve_Q6NZ36_3_FAAP20.pdf", "Melting_Curves/meltCurve_Q6NZ36_3_FAAP20.pdf")</f>
        <v>Melting_Curves/meltCurve_Q6NZ36_3_FAAP20.pdf</v>
      </c>
    </row>
    <row r="3866" spans="1:28" x14ac:dyDescent="0.25">
      <c r="A3866" t="s">
        <v>3869</v>
      </c>
      <c r="B3866">
        <v>0.99930955844802105</v>
      </c>
      <c r="C3866">
        <v>1.0114668280452199</v>
      </c>
      <c r="D3866">
        <v>0.96002157548635902</v>
      </c>
      <c r="E3866">
        <v>0.86312408768956705</v>
      </c>
      <c r="F3866">
        <v>0.67933481451577804</v>
      </c>
      <c r="G3866">
        <v>0.54898711608750705</v>
      </c>
      <c r="H3866">
        <v>0.53917934423658198</v>
      </c>
      <c r="I3866">
        <v>0.54782878269465196</v>
      </c>
      <c r="J3866">
        <v>0.50822876185418597</v>
      </c>
      <c r="K3866">
        <v>0.45352951470435499</v>
      </c>
      <c r="L3866">
        <v>1204.39815674429</v>
      </c>
      <c r="M3866">
        <v>23.243578203628601</v>
      </c>
      <c r="O3866">
        <v>51.437405885131298</v>
      </c>
      <c r="P3866">
        <v>-5.6097675373035401E-2</v>
      </c>
      <c r="Q3866">
        <v>0.50343832770182895</v>
      </c>
      <c r="R3866">
        <v>0.98817336140509104</v>
      </c>
      <c r="S3866" t="s">
        <v>10482</v>
      </c>
      <c r="T3866" t="s">
        <v>13232</v>
      </c>
      <c r="U3866" t="s">
        <v>13232</v>
      </c>
      <c r="V3866" t="s">
        <v>13232</v>
      </c>
      <c r="W3866" t="s">
        <v>17036</v>
      </c>
      <c r="X3866">
        <v>8</v>
      </c>
      <c r="Y3866" t="s">
        <v>23459</v>
      </c>
      <c r="Z3866" t="s">
        <v>29997</v>
      </c>
      <c r="AA3866">
        <v>0.70422665602631507</v>
      </c>
      <c r="AB3866" t="str">
        <f>HYPERLINK("Melting_Curves/meltCurve_Q6NZI2_PTRF.pdf", "Melting_Curves/meltCurve_Q6NZI2_PTRF.pdf")</f>
        <v>Melting_Curves/meltCurve_Q6NZI2_PTRF.pdf</v>
      </c>
    </row>
    <row r="3867" spans="1:28" x14ac:dyDescent="0.25">
      <c r="A3867" t="s">
        <v>3870</v>
      </c>
      <c r="B3867">
        <v>0.99930955844802105</v>
      </c>
      <c r="C3867">
        <v>0.90558842002422002</v>
      </c>
      <c r="D3867">
        <v>0.90221129128625299</v>
      </c>
      <c r="E3867">
        <v>0.89798302374375705</v>
      </c>
      <c r="F3867">
        <v>0.59748294785496103</v>
      </c>
      <c r="G3867">
        <v>0.442560601740635</v>
      </c>
      <c r="H3867">
        <v>0.33718044334467601</v>
      </c>
      <c r="I3867">
        <v>0.349397577489238</v>
      </c>
      <c r="J3867">
        <v>0.32727686525472699</v>
      </c>
      <c r="K3867">
        <v>0.26705516502905602</v>
      </c>
      <c r="L3867">
        <v>1004.8213979369</v>
      </c>
      <c r="M3867">
        <v>18.995412897841</v>
      </c>
      <c r="N3867">
        <v>55.500385789724099</v>
      </c>
      <c r="O3867">
        <v>52.322305806239697</v>
      </c>
      <c r="P3867">
        <v>-6.4007117932971799E-2</v>
      </c>
      <c r="Q3867">
        <v>0.29480525619782699</v>
      </c>
      <c r="R3867">
        <v>0.97310447646732201</v>
      </c>
      <c r="S3867" t="s">
        <v>10483</v>
      </c>
      <c r="T3867" t="s">
        <v>13232</v>
      </c>
      <c r="U3867" t="s">
        <v>13232</v>
      </c>
      <c r="V3867" t="s">
        <v>13232</v>
      </c>
      <c r="W3867" t="s">
        <v>17037</v>
      </c>
      <c r="X3867">
        <v>24</v>
      </c>
      <c r="Y3867" t="s">
        <v>23460</v>
      </c>
      <c r="Z3867" t="s">
        <v>29998</v>
      </c>
      <c r="AA3867">
        <v>0.60858605902522989</v>
      </c>
      <c r="AB3867" t="str">
        <f>HYPERLINK("Melting_Curves/meltCurve_Q6NZY4_ZCCHC8.pdf", "Melting_Curves/meltCurve_Q6NZY4_ZCCHC8.pdf")</f>
        <v>Melting_Curves/meltCurve_Q6NZY4_ZCCHC8.pdf</v>
      </c>
    </row>
    <row r="3868" spans="1:28" x14ac:dyDescent="0.25">
      <c r="A3868" t="s">
        <v>3871</v>
      </c>
      <c r="B3868">
        <v>0.99930955844802105</v>
      </c>
      <c r="C3868">
        <v>1.3859255019843</v>
      </c>
      <c r="D3868">
        <v>1.3247869992010699</v>
      </c>
      <c r="E3868">
        <v>1.03307192046977</v>
      </c>
      <c r="F3868">
        <v>1.3823257541076699</v>
      </c>
      <c r="G3868">
        <v>1.2174734855628699</v>
      </c>
      <c r="H3868">
        <v>1.2133353829739999</v>
      </c>
      <c r="I3868">
        <v>0.278654355240115</v>
      </c>
      <c r="J3868">
        <v>7.6756848663999497E-2</v>
      </c>
      <c r="K3868">
        <v>6.5336984875648804E-2</v>
      </c>
      <c r="L3868">
        <v>15000</v>
      </c>
      <c r="M3868">
        <v>235.620127008662</v>
      </c>
      <c r="N3868">
        <v>63.703207810498803</v>
      </c>
      <c r="O3868">
        <v>63.657217094238099</v>
      </c>
      <c r="P3868">
        <v>-0.85961961731505299</v>
      </c>
      <c r="Q3868">
        <v>7.1030387977629394E-2</v>
      </c>
      <c r="R3868">
        <v>0.81238662430175501</v>
      </c>
      <c r="S3868" t="s">
        <v>10484</v>
      </c>
      <c r="T3868" t="s">
        <v>13232</v>
      </c>
      <c r="U3868" t="s">
        <v>13232</v>
      </c>
      <c r="V3868" t="s">
        <v>13232</v>
      </c>
      <c r="W3868" t="s">
        <v>17038</v>
      </c>
      <c r="X3868">
        <v>2</v>
      </c>
      <c r="Y3868" t="s">
        <v>23461</v>
      </c>
      <c r="Z3868" t="s">
        <v>29999</v>
      </c>
      <c r="AA3868">
        <v>0.80385015721543007</v>
      </c>
      <c r="AB3868" t="str">
        <f>HYPERLINK("Melting_Curves/meltCurve_Q6P052_MAN1A1.pdf", "Melting_Curves/meltCurve_Q6P052_MAN1A1.pdf")</f>
        <v>Melting_Curves/meltCurve_Q6P052_MAN1A1.pdf</v>
      </c>
    </row>
    <row r="3869" spans="1:28" x14ac:dyDescent="0.25">
      <c r="A3869" t="s">
        <v>3872</v>
      </c>
      <c r="B3869">
        <v>0.99930955844802105</v>
      </c>
      <c r="C3869">
        <v>1.30484056822048</v>
      </c>
      <c r="D3869">
        <v>1.3247205351971001</v>
      </c>
      <c r="E3869">
        <v>1.18224370430364</v>
      </c>
      <c r="F3869">
        <v>1.0840125099864799</v>
      </c>
      <c r="G3869">
        <v>1.0024612465334499</v>
      </c>
      <c r="H3869">
        <v>0.98118784892019795</v>
      </c>
      <c r="I3869">
        <v>1.10463355913927</v>
      </c>
      <c r="J3869">
        <v>1.0680761795181699</v>
      </c>
      <c r="K3869">
        <v>0.89381298118924501</v>
      </c>
      <c r="L3869">
        <v>15000</v>
      </c>
      <c r="M3869">
        <v>212.155358465163</v>
      </c>
      <c r="Q3869">
        <v>0</v>
      </c>
      <c r="R3869">
        <v>-0.44239998607305597</v>
      </c>
      <c r="S3869" t="s">
        <v>10485</v>
      </c>
      <c r="T3869" t="s">
        <v>13232</v>
      </c>
      <c r="U3869" t="s">
        <v>13232</v>
      </c>
      <c r="V3869" t="s">
        <v>13232</v>
      </c>
      <c r="W3869" t="s">
        <v>17039</v>
      </c>
      <c r="X3869">
        <v>4</v>
      </c>
      <c r="Y3869" t="s">
        <v>23462</v>
      </c>
      <c r="Z3869" t="s">
        <v>30000</v>
      </c>
      <c r="AA3869">
        <v>0.99878926671626445</v>
      </c>
      <c r="AB3869" t="str">
        <f>HYPERLINK("Melting_Curves/meltCurve_Q6P0N0_MIS18BP1.pdf", "Melting_Curves/meltCurve_Q6P0N0_MIS18BP1.pdf")</f>
        <v>Melting_Curves/meltCurve_Q6P0N0_MIS18BP1.pdf</v>
      </c>
    </row>
    <row r="3870" spans="1:28" x14ac:dyDescent="0.25">
      <c r="A3870" t="s">
        <v>3873</v>
      </c>
      <c r="B3870">
        <v>0.99930955844802105</v>
      </c>
      <c r="C3870">
        <v>0.95538082589850304</v>
      </c>
      <c r="D3870">
        <v>0.91735609019859798</v>
      </c>
      <c r="E3870">
        <v>0.80716435408314602</v>
      </c>
      <c r="F3870">
        <v>0.51878588812432203</v>
      </c>
      <c r="G3870">
        <v>0.29374182476023702</v>
      </c>
      <c r="H3870">
        <v>0.134513821570727</v>
      </c>
      <c r="I3870">
        <v>0.11040245459470401</v>
      </c>
      <c r="J3870">
        <v>9.0628719443149999E-2</v>
      </c>
      <c r="K3870">
        <v>7.86971763311161E-2</v>
      </c>
      <c r="L3870">
        <v>952.56755776288003</v>
      </c>
      <c r="M3870">
        <v>17.924011100884499</v>
      </c>
      <c r="N3870">
        <v>53.559262345794401</v>
      </c>
      <c r="O3870">
        <v>52.496511935094297</v>
      </c>
      <c r="P3870">
        <v>-7.98343673826519E-2</v>
      </c>
      <c r="Q3870">
        <v>6.4759588071804E-2</v>
      </c>
      <c r="R3870">
        <v>0.99700202667286197</v>
      </c>
      <c r="S3870" t="s">
        <v>10486</v>
      </c>
      <c r="T3870" t="s">
        <v>13232</v>
      </c>
      <c r="U3870" t="s">
        <v>13232</v>
      </c>
      <c r="V3870" t="s">
        <v>13232</v>
      </c>
      <c r="W3870" t="s">
        <v>17040</v>
      </c>
      <c r="X3870">
        <v>16</v>
      </c>
      <c r="Y3870" t="s">
        <v>23463</v>
      </c>
      <c r="Z3870" t="s">
        <v>30001</v>
      </c>
      <c r="AA3870">
        <v>0.48991653762808091</v>
      </c>
      <c r="AB3870" t="str">
        <f>HYPERLINK("Melting_Curves/meltCurve_Q6P158_DHX57.pdf", "Melting_Curves/meltCurve_Q6P158_DHX57.pdf")</f>
        <v>Melting_Curves/meltCurve_Q6P158_DHX57.pdf</v>
      </c>
    </row>
    <row r="3871" spans="1:28" x14ac:dyDescent="0.25">
      <c r="A3871" t="s">
        <v>3874</v>
      </c>
      <c r="B3871">
        <v>0.99930955844802105</v>
      </c>
      <c r="C3871">
        <v>0.90666970607636999</v>
      </c>
      <c r="D3871">
        <v>0.81164499458950201</v>
      </c>
      <c r="E3871">
        <v>0.70661102221058303</v>
      </c>
      <c r="F3871">
        <v>0.54580816207224303</v>
      </c>
      <c r="G3871">
        <v>0.43248511225916803</v>
      </c>
      <c r="H3871">
        <v>0.353434277004609</v>
      </c>
      <c r="I3871">
        <v>0.34118212370385398</v>
      </c>
      <c r="J3871">
        <v>0.31339540632593399</v>
      </c>
      <c r="K3871">
        <v>0.25969256673430502</v>
      </c>
      <c r="L3871">
        <v>548.65294420713496</v>
      </c>
      <c r="M3871">
        <v>10.663627510387199</v>
      </c>
      <c r="N3871">
        <v>54.790382610917597</v>
      </c>
      <c r="O3871">
        <v>49.740444406337701</v>
      </c>
      <c r="P3871">
        <v>-4.0804195669822498E-2</v>
      </c>
      <c r="Q3871">
        <v>0.238965384296455</v>
      </c>
      <c r="R3871">
        <v>0.99408787184117398</v>
      </c>
      <c r="S3871" t="s">
        <v>10487</v>
      </c>
      <c r="T3871" t="s">
        <v>13232</v>
      </c>
      <c r="U3871" t="s">
        <v>13232</v>
      </c>
      <c r="V3871" t="s">
        <v>13232</v>
      </c>
      <c r="W3871" t="s">
        <v>17041</v>
      </c>
      <c r="X3871">
        <v>2</v>
      </c>
      <c r="Y3871" t="s">
        <v>23464</v>
      </c>
      <c r="Z3871" t="s">
        <v>30002</v>
      </c>
      <c r="AA3871">
        <v>0.5575996005694055</v>
      </c>
      <c r="AB3871" t="str">
        <f>HYPERLINK("Melting_Curves/meltCurve_Q6P161_MRPL54.pdf", "Melting_Curves/meltCurve_Q6P161_MRPL54.pdf")</f>
        <v>Melting_Curves/meltCurve_Q6P161_MRPL54.pdf</v>
      </c>
    </row>
    <row r="3872" spans="1:28" x14ac:dyDescent="0.25">
      <c r="A3872" t="s">
        <v>3875</v>
      </c>
      <c r="B3872">
        <v>0.99930955844802105</v>
      </c>
      <c r="C3872">
        <v>1.0650315917576401</v>
      </c>
      <c r="D3872">
        <v>0.959176691783036</v>
      </c>
      <c r="E3872">
        <v>0.81146308974177705</v>
      </c>
      <c r="F3872">
        <v>0.53280029009276997</v>
      </c>
      <c r="G3872">
        <v>0.32142762043479101</v>
      </c>
      <c r="H3872">
        <v>0.26881597096967502</v>
      </c>
      <c r="I3872">
        <v>0.26336505355333101</v>
      </c>
      <c r="J3872">
        <v>0.27369263307040598</v>
      </c>
      <c r="K3872">
        <v>0.21869384741513601</v>
      </c>
      <c r="L3872">
        <v>1360.5986701705799</v>
      </c>
      <c r="M3872">
        <v>26.152526735152499</v>
      </c>
      <c r="N3872">
        <v>53.442686971706401</v>
      </c>
      <c r="O3872">
        <v>51.724184840986503</v>
      </c>
      <c r="P3872">
        <v>-9.4792356325563903E-2</v>
      </c>
      <c r="Q3872">
        <v>0.25009123884766898</v>
      </c>
      <c r="R3872">
        <v>0.99406667265852999</v>
      </c>
      <c r="S3872" t="s">
        <v>10488</v>
      </c>
      <c r="T3872" t="s">
        <v>13232</v>
      </c>
      <c r="U3872" t="s">
        <v>13232</v>
      </c>
      <c r="V3872" t="s">
        <v>13232</v>
      </c>
      <c r="W3872" t="s">
        <v>17042</v>
      </c>
      <c r="X3872">
        <v>29</v>
      </c>
      <c r="Y3872" t="s">
        <v>23465</v>
      </c>
      <c r="Z3872" t="s">
        <v>30003</v>
      </c>
      <c r="AA3872">
        <v>0.55696883123732555</v>
      </c>
      <c r="AB3872" t="str">
        <f>HYPERLINK("Melting_Curves/meltCurve_Q6P1J9_CDC73.pdf", "Melting_Curves/meltCurve_Q6P1J9_CDC73.pdf")</f>
        <v>Melting_Curves/meltCurve_Q6P1J9_CDC73.pdf</v>
      </c>
    </row>
    <row r="3873" spans="1:28" x14ac:dyDescent="0.25">
      <c r="A3873" t="s">
        <v>3876</v>
      </c>
      <c r="B3873">
        <v>0.99930955844802105</v>
      </c>
      <c r="C3873">
        <v>1.0517664837996901</v>
      </c>
      <c r="D3873">
        <v>1.0251791106231001</v>
      </c>
      <c r="E3873">
        <v>0.76094322891925803</v>
      </c>
      <c r="F3873">
        <v>0.36700641706429499</v>
      </c>
      <c r="G3873">
        <v>0.225801394303561</v>
      </c>
      <c r="H3873">
        <v>0.12274844909272201</v>
      </c>
      <c r="I3873">
        <v>0.103799891380497</v>
      </c>
      <c r="J3873">
        <v>8.2574197978362601E-2</v>
      </c>
      <c r="K3873">
        <v>7.29641803335251E-2</v>
      </c>
      <c r="L3873">
        <v>1514.76850562499</v>
      </c>
      <c r="M3873">
        <v>29.309906057998202</v>
      </c>
      <c r="N3873">
        <v>52.093738157853103</v>
      </c>
      <c r="O3873">
        <v>51.442341203670701</v>
      </c>
      <c r="P3873">
        <v>-0.127686070237407</v>
      </c>
      <c r="Q3873">
        <v>0.10359026057193201</v>
      </c>
      <c r="R3873">
        <v>0.99257264568412296</v>
      </c>
      <c r="S3873" t="s">
        <v>10489</v>
      </c>
      <c r="T3873" t="s">
        <v>13232</v>
      </c>
      <c r="U3873" t="s">
        <v>13232</v>
      </c>
      <c r="V3873" t="s">
        <v>13232</v>
      </c>
      <c r="W3873" t="s">
        <v>17043</v>
      </c>
      <c r="X3873">
        <v>6</v>
      </c>
      <c r="Y3873" t="s">
        <v>23466</v>
      </c>
      <c r="Z3873" t="s">
        <v>30004</v>
      </c>
      <c r="AA3873">
        <v>0.45859407386081791</v>
      </c>
      <c r="AB3873" t="str">
        <f>HYPERLINK("Melting_Curves/meltCurve_Q6P1K2_PMF1.pdf", "Melting_Curves/meltCurve_Q6P1K2_PMF1.pdf")</f>
        <v>Melting_Curves/meltCurve_Q6P1K2_PMF1.pdf</v>
      </c>
    </row>
    <row r="3874" spans="1:28" x14ac:dyDescent="0.25">
      <c r="A3874" t="s">
        <v>3877</v>
      </c>
      <c r="B3874">
        <v>0.99930955844802105</v>
      </c>
      <c r="C3874">
        <v>0.65877040599539605</v>
      </c>
      <c r="D3874">
        <v>0.81389210404886803</v>
      </c>
      <c r="E3874">
        <v>0.92050618855011901</v>
      </c>
      <c r="F3874">
        <v>0.57077419845460298</v>
      </c>
      <c r="G3874">
        <v>0.363695702259686</v>
      </c>
      <c r="H3874">
        <v>0.26509859190107199</v>
      </c>
      <c r="I3874">
        <v>0.236929020306477</v>
      </c>
      <c r="J3874">
        <v>0.223664465884092</v>
      </c>
      <c r="K3874">
        <v>0.17179023133208601</v>
      </c>
      <c r="L3874">
        <v>438.80865543587601</v>
      </c>
      <c r="M3874">
        <v>7.9584603599379999</v>
      </c>
      <c r="N3874">
        <v>55.137380277154698</v>
      </c>
      <c r="O3874">
        <v>51.982390672932198</v>
      </c>
      <c r="P3874">
        <v>-3.8318933032798402E-2</v>
      </c>
      <c r="Q3874">
        <v>0</v>
      </c>
      <c r="R3874">
        <v>0.85833914588970905</v>
      </c>
      <c r="S3874" t="s">
        <v>10490</v>
      </c>
      <c r="T3874" t="s">
        <v>13232</v>
      </c>
      <c r="U3874" t="s">
        <v>13232</v>
      </c>
      <c r="V3874" t="s">
        <v>13232</v>
      </c>
      <c r="W3874" t="s">
        <v>17044</v>
      </c>
      <c r="X3874">
        <v>12</v>
      </c>
      <c r="Y3874" t="s">
        <v>23467</v>
      </c>
      <c r="Z3874" t="s">
        <v>30005</v>
      </c>
      <c r="AA3874">
        <v>0.53075599204410406</v>
      </c>
      <c r="AB3874" t="str">
        <f>HYPERLINK("Melting_Curves/meltCurve_Q6P1K8_GTF2H2C.pdf", "Melting_Curves/meltCurve_Q6P1K8_GTF2H2C.pdf")</f>
        <v>Melting_Curves/meltCurve_Q6P1K8_GTF2H2C.pdf</v>
      </c>
    </row>
    <row r="3875" spans="1:28" x14ac:dyDescent="0.25">
      <c r="A3875" t="s">
        <v>3878</v>
      </c>
      <c r="B3875">
        <v>0.99930955844802105</v>
      </c>
      <c r="C3875">
        <v>1.0940042951975599</v>
      </c>
      <c r="D3875">
        <v>1.10606906698333</v>
      </c>
      <c r="E3875">
        <v>1.0779091382599899</v>
      </c>
      <c r="F3875">
        <v>0.93550100459029495</v>
      </c>
      <c r="G3875">
        <v>0.82926822367666397</v>
      </c>
      <c r="H3875">
        <v>0.79101310552954096</v>
      </c>
      <c r="I3875">
        <v>0.94147945739114902</v>
      </c>
      <c r="J3875">
        <v>0.87067921025803097</v>
      </c>
      <c r="K3875">
        <v>0.74238319889414905</v>
      </c>
      <c r="L3875">
        <v>13273.525192623199</v>
      </c>
      <c r="M3875">
        <v>250</v>
      </c>
      <c r="O3875">
        <v>53.0907061276151</v>
      </c>
      <c r="P3875">
        <v>-0.194284680221217</v>
      </c>
      <c r="Q3875">
        <v>0.83496463579241698</v>
      </c>
      <c r="R3875">
        <v>0.67589763342499498</v>
      </c>
      <c r="S3875" t="s">
        <v>10491</v>
      </c>
      <c r="T3875" t="s">
        <v>13232</v>
      </c>
      <c r="U3875" t="s">
        <v>13232</v>
      </c>
      <c r="V3875" t="s">
        <v>13232</v>
      </c>
      <c r="W3875" t="s">
        <v>17045</v>
      </c>
      <c r="X3875">
        <v>5</v>
      </c>
      <c r="Y3875" t="s">
        <v>23468</v>
      </c>
      <c r="Z3875" t="s">
        <v>30006</v>
      </c>
      <c r="AA3875">
        <v>0.90701300332981893</v>
      </c>
      <c r="AB3875" t="str">
        <f>HYPERLINK("Melting_Curves/meltCurve_Q6P1L5_FAM117B.pdf", "Melting_Curves/meltCurve_Q6P1L5_FAM117B.pdf")</f>
        <v>Melting_Curves/meltCurve_Q6P1L5_FAM117B.pdf</v>
      </c>
    </row>
    <row r="3876" spans="1:28" x14ac:dyDescent="0.25">
      <c r="A3876" t="s">
        <v>3879</v>
      </c>
      <c r="B3876">
        <v>0.99930955844802105</v>
      </c>
      <c r="C3876">
        <v>0.84784763331026003</v>
      </c>
      <c r="D3876">
        <v>0.75328825773744801</v>
      </c>
      <c r="E3876">
        <v>0.62587318529905001</v>
      </c>
      <c r="F3876">
        <v>0.52843486337975598</v>
      </c>
      <c r="G3876">
        <v>0.30641133576468399</v>
      </c>
      <c r="H3876">
        <v>0.228217762963387</v>
      </c>
      <c r="I3876">
        <v>0.19149379541716399</v>
      </c>
      <c r="J3876">
        <v>0.175036710085853</v>
      </c>
      <c r="K3876">
        <v>0.11635645391889</v>
      </c>
      <c r="L3876">
        <v>475.707070402216</v>
      </c>
      <c r="M3876">
        <v>9.1174102131704498</v>
      </c>
      <c r="N3876">
        <v>52.642858728396902</v>
      </c>
      <c r="O3876">
        <v>49.849449259370097</v>
      </c>
      <c r="P3876">
        <v>-4.3978087447058202E-2</v>
      </c>
      <c r="Q3876">
        <v>3.8863616513871803E-2</v>
      </c>
      <c r="R3876">
        <v>0.98980794675500305</v>
      </c>
      <c r="S3876" t="s">
        <v>10492</v>
      </c>
      <c r="T3876" t="s">
        <v>13232</v>
      </c>
      <c r="U3876" t="s">
        <v>13232</v>
      </c>
      <c r="V3876" t="s">
        <v>13232</v>
      </c>
      <c r="W3876" t="s">
        <v>17046</v>
      </c>
      <c r="X3876">
        <v>2</v>
      </c>
      <c r="Y3876" t="s">
        <v>23469</v>
      </c>
      <c r="Z3876" t="s">
        <v>30007</v>
      </c>
      <c r="AA3876">
        <v>0.46830196134877172</v>
      </c>
      <c r="AB3876" t="str">
        <f>HYPERLINK("Melting_Curves/meltCurve_Q6P1L8_MRPL14.pdf", "Melting_Curves/meltCurve_Q6P1L8_MRPL14.pdf")</f>
        <v>Melting_Curves/meltCurve_Q6P1L8_MRPL14.pdf</v>
      </c>
    </row>
    <row r="3877" spans="1:28" x14ac:dyDescent="0.25">
      <c r="A3877" t="s">
        <v>3880</v>
      </c>
      <c r="B3877">
        <v>0.99930955844802105</v>
      </c>
      <c r="C3877">
        <v>0.89804625728915599</v>
      </c>
      <c r="D3877">
        <v>0.61340623664555705</v>
      </c>
      <c r="E3877">
        <v>0.82297266501151001</v>
      </c>
      <c r="F3877">
        <v>0.430128090790109</v>
      </c>
      <c r="G3877">
        <v>0.246653005542811</v>
      </c>
      <c r="H3877">
        <v>0.139081655384347</v>
      </c>
      <c r="I3877">
        <v>0.118444078316014</v>
      </c>
      <c r="J3877">
        <v>6.5597458625517302E-2</v>
      </c>
      <c r="K3877">
        <v>6.4279490184284804E-2</v>
      </c>
      <c r="L3877">
        <v>561.68240712923898</v>
      </c>
      <c r="M3877">
        <v>10.775809275813501</v>
      </c>
      <c r="N3877">
        <v>52.124374867594902</v>
      </c>
      <c r="O3877">
        <v>50.4255509683939</v>
      </c>
      <c r="P3877">
        <v>-5.3443876461959298E-2</v>
      </c>
      <c r="Q3877">
        <v>0</v>
      </c>
      <c r="R3877">
        <v>0.92820458652571103</v>
      </c>
      <c r="S3877" t="s">
        <v>10493</v>
      </c>
      <c r="T3877" t="s">
        <v>13232</v>
      </c>
      <c r="U3877" t="s">
        <v>13232</v>
      </c>
      <c r="V3877" t="s">
        <v>13232</v>
      </c>
      <c r="W3877" t="s">
        <v>17047</v>
      </c>
      <c r="X3877">
        <v>1</v>
      </c>
      <c r="Y3877" t="s">
        <v>23470</v>
      </c>
      <c r="Z3877" t="s">
        <v>30008</v>
      </c>
      <c r="AA3877">
        <v>0.43868898221439973</v>
      </c>
      <c r="AB3877" t="str">
        <f>HYPERLINK("Melting_Curves/meltCurve_Q6P1M0_SLC27A4.pdf", "Melting_Curves/meltCurve_Q6P1M0_SLC27A4.pdf")</f>
        <v>Melting_Curves/meltCurve_Q6P1M0_SLC27A4.pdf</v>
      </c>
    </row>
    <row r="3878" spans="1:28" x14ac:dyDescent="0.25">
      <c r="A3878" t="s">
        <v>3881</v>
      </c>
      <c r="B3878">
        <v>0.99930955844802105</v>
      </c>
      <c r="C3878">
        <v>1.0495009275481799</v>
      </c>
      <c r="D3878">
        <v>1.0619760682738399</v>
      </c>
      <c r="E3878">
        <v>1.00936247253096</v>
      </c>
      <c r="F3878">
        <v>0.88807637297644704</v>
      </c>
      <c r="G3878">
        <v>0.85690353228444704</v>
      </c>
      <c r="H3878">
        <v>0.86097015023812895</v>
      </c>
      <c r="I3878">
        <v>0.94752931720321099</v>
      </c>
      <c r="J3878">
        <v>0.95949853852364397</v>
      </c>
      <c r="K3878">
        <v>0.75367450848009998</v>
      </c>
      <c r="L3878">
        <v>13133.2292810535</v>
      </c>
      <c r="M3878">
        <v>250</v>
      </c>
      <c r="O3878">
        <v>52.529556757628598</v>
      </c>
      <c r="P3878">
        <v>-0.14787490473237599</v>
      </c>
      <c r="Q3878">
        <v>0.87571515221832597</v>
      </c>
      <c r="R3878">
        <v>0.60522949865560005</v>
      </c>
      <c r="S3878" t="s">
        <v>10494</v>
      </c>
      <c r="T3878" t="s">
        <v>13232</v>
      </c>
      <c r="U3878" t="s">
        <v>13232</v>
      </c>
      <c r="V3878" t="s">
        <v>13232</v>
      </c>
      <c r="W3878" t="s">
        <v>17048</v>
      </c>
      <c r="X3878">
        <v>2</v>
      </c>
      <c r="Y3878" t="s">
        <v>23471</v>
      </c>
      <c r="Z3878" t="s">
        <v>30009</v>
      </c>
      <c r="AA3878">
        <v>0.92764833382653</v>
      </c>
      <c r="AB3878" t="str">
        <f>HYPERLINK("Melting_Curves/meltCurve_Q6P1M9_ARMCX5.pdf", "Melting_Curves/meltCurve_Q6P1M9_ARMCX5.pdf")</f>
        <v>Melting_Curves/meltCurve_Q6P1M9_ARMCX5.pdf</v>
      </c>
    </row>
    <row r="3879" spans="1:28" x14ac:dyDescent="0.25">
      <c r="A3879" t="s">
        <v>3882</v>
      </c>
      <c r="B3879">
        <v>0.99930955844802105</v>
      </c>
      <c r="C3879">
        <v>0.96502525722601895</v>
      </c>
      <c r="D3879">
        <v>0.84194362187500504</v>
      </c>
      <c r="E3879">
        <v>0.63992125772015895</v>
      </c>
      <c r="F3879">
        <v>0.467124349650474</v>
      </c>
      <c r="G3879">
        <v>0.34097036251253698</v>
      </c>
      <c r="H3879">
        <v>0.327181687860024</v>
      </c>
      <c r="I3879">
        <v>0.37379256278204198</v>
      </c>
      <c r="J3879">
        <v>0.350485762217571</v>
      </c>
      <c r="K3879">
        <v>0.29119245697235502</v>
      </c>
      <c r="L3879">
        <v>918.74299542827805</v>
      </c>
      <c r="M3879">
        <v>18.615324237906801</v>
      </c>
      <c r="N3879">
        <v>52.234861978503197</v>
      </c>
      <c r="O3879">
        <v>48.795159666548201</v>
      </c>
      <c r="P3879">
        <v>-6.47724437717042E-2</v>
      </c>
      <c r="Q3879">
        <v>0.32089400536874502</v>
      </c>
      <c r="R3879">
        <v>0.99212035502099205</v>
      </c>
      <c r="S3879" t="s">
        <v>10495</v>
      </c>
      <c r="T3879" t="s">
        <v>13232</v>
      </c>
      <c r="U3879" t="s">
        <v>13232</v>
      </c>
      <c r="V3879" t="s">
        <v>13232</v>
      </c>
      <c r="W3879" t="s">
        <v>17049</v>
      </c>
      <c r="X3879">
        <v>26</v>
      </c>
      <c r="Y3879" t="s">
        <v>23472</v>
      </c>
      <c r="Z3879" t="s">
        <v>30010</v>
      </c>
      <c r="AA3879">
        <v>0.54358371546409112</v>
      </c>
      <c r="AB3879" t="str">
        <f>HYPERLINK("Melting_Curves/meltCurve_Q6P1N0_2_CC2D1A.pdf", "Melting_Curves/meltCurve_Q6P1N0_2_CC2D1A.pdf")</f>
        <v>Melting_Curves/meltCurve_Q6P1N0_2_CC2D1A.pdf</v>
      </c>
    </row>
    <row r="3880" spans="1:28" x14ac:dyDescent="0.25">
      <c r="A3880" t="s">
        <v>3883</v>
      </c>
      <c r="B3880">
        <v>0.99930955844802105</v>
      </c>
      <c r="C3880">
        <v>0.804104313835724</v>
      </c>
      <c r="D3880">
        <v>0.85642404869467703</v>
      </c>
      <c r="E3880">
        <v>0.83818443715108404</v>
      </c>
      <c r="F3880">
        <v>0.72867824089464195</v>
      </c>
      <c r="G3880">
        <v>0.63988710464161302</v>
      </c>
      <c r="H3880">
        <v>0.39417138206820601</v>
      </c>
      <c r="I3880">
        <v>0.12920287661233201</v>
      </c>
      <c r="J3880">
        <v>5.2949400788115601E-2</v>
      </c>
      <c r="K3880">
        <v>4.6050541062389802E-2</v>
      </c>
      <c r="L3880">
        <v>757.70077772243201</v>
      </c>
      <c r="M3880">
        <v>13.1595335535378</v>
      </c>
      <c r="N3880">
        <v>57.578087765261898</v>
      </c>
      <c r="O3880">
        <v>56.297164733928497</v>
      </c>
      <c r="P3880">
        <v>-5.8447660317934101E-2</v>
      </c>
      <c r="Q3880">
        <v>0</v>
      </c>
      <c r="R3880">
        <v>0.93236757425748495</v>
      </c>
      <c r="S3880" t="s">
        <v>10496</v>
      </c>
      <c r="T3880" t="s">
        <v>13232</v>
      </c>
      <c r="U3880" t="s">
        <v>13232</v>
      </c>
      <c r="V3880" t="s">
        <v>13232</v>
      </c>
      <c r="W3880" t="s">
        <v>17050</v>
      </c>
      <c r="X3880">
        <v>20</v>
      </c>
      <c r="Y3880" t="s">
        <v>23473</v>
      </c>
      <c r="Z3880" t="s">
        <v>30011</v>
      </c>
      <c r="AA3880">
        <v>0.60075063511449123</v>
      </c>
      <c r="AB3880" t="str">
        <f>HYPERLINK("Melting_Curves/meltCurve_Q6P1N9_TATDN1.pdf", "Melting_Curves/meltCurve_Q6P1N9_TATDN1.pdf")</f>
        <v>Melting_Curves/meltCurve_Q6P1N9_TATDN1.pdf</v>
      </c>
    </row>
    <row r="3881" spans="1:28" x14ac:dyDescent="0.25">
      <c r="A3881" t="s">
        <v>3884</v>
      </c>
      <c r="B3881">
        <v>0.99930955844802105</v>
      </c>
      <c r="C3881">
        <v>0.89113176446083098</v>
      </c>
      <c r="D3881">
        <v>0.59762086896143496</v>
      </c>
      <c r="E3881">
        <v>0.34515753801520099</v>
      </c>
      <c r="F3881">
        <v>0.198585143407811</v>
      </c>
      <c r="G3881">
        <v>0.141545461074089</v>
      </c>
      <c r="H3881">
        <v>9.0923429142314105E-2</v>
      </c>
      <c r="I3881">
        <v>7.7734529615834505E-2</v>
      </c>
      <c r="J3881">
        <v>6.6066551881536706E-2</v>
      </c>
      <c r="K3881">
        <v>4.7464839505166202E-2</v>
      </c>
      <c r="L3881">
        <v>808.42186795190798</v>
      </c>
      <c r="M3881">
        <v>17.1069296186975</v>
      </c>
      <c r="N3881">
        <v>47.664014627873001</v>
      </c>
      <c r="O3881">
        <v>46.625386317750397</v>
      </c>
      <c r="P3881">
        <v>-8.5497018031885197E-2</v>
      </c>
      <c r="Q3881">
        <v>6.7958513479270996E-2</v>
      </c>
      <c r="R3881">
        <v>0.99485345427175398</v>
      </c>
      <c r="S3881" t="s">
        <v>10497</v>
      </c>
      <c r="T3881" t="s">
        <v>13232</v>
      </c>
      <c r="U3881" t="s">
        <v>13232</v>
      </c>
      <c r="V3881" t="s">
        <v>13232</v>
      </c>
      <c r="W3881" t="s">
        <v>17051</v>
      </c>
      <c r="X3881">
        <v>12</v>
      </c>
      <c r="Y3881" t="s">
        <v>23474</v>
      </c>
      <c r="Z3881" t="s">
        <v>30012</v>
      </c>
      <c r="AA3881">
        <v>0.31236904610882033</v>
      </c>
      <c r="AB3881" t="str">
        <f>HYPERLINK("Melting_Curves/meltCurve_Q6P1Q9_METTL2B.pdf", "Melting_Curves/meltCurve_Q6P1Q9_METTL2B.pdf")</f>
        <v>Melting_Curves/meltCurve_Q6P1Q9_METTL2B.pdf</v>
      </c>
    </row>
    <row r="3882" spans="1:28" x14ac:dyDescent="0.25">
      <c r="A3882" t="s">
        <v>3885</v>
      </c>
      <c r="B3882">
        <v>0.99930955844802105</v>
      </c>
      <c r="C3882">
        <v>0.87088177464179395</v>
      </c>
      <c r="D3882">
        <v>0.60728740801330305</v>
      </c>
      <c r="E3882">
        <v>0.42408802884353602</v>
      </c>
      <c r="F3882">
        <v>0.32364061276816902</v>
      </c>
      <c r="G3882">
        <v>0.22176728540914001</v>
      </c>
      <c r="H3882">
        <v>0.15901905556516499</v>
      </c>
      <c r="I3882">
        <v>0.16224862533520101</v>
      </c>
      <c r="J3882">
        <v>0.14238712692136399</v>
      </c>
      <c r="K3882">
        <v>0.106987929176594</v>
      </c>
      <c r="L3882">
        <v>668.24367585188998</v>
      </c>
      <c r="M3882">
        <v>14.0530687395662</v>
      </c>
      <c r="N3882">
        <v>48.577062871147596</v>
      </c>
      <c r="O3882">
        <v>46.619625014588202</v>
      </c>
      <c r="P3882">
        <v>-6.5694909620056904E-2</v>
      </c>
      <c r="Q3882">
        <v>0.12836908645518399</v>
      </c>
      <c r="R3882">
        <v>0.98970096334686697</v>
      </c>
      <c r="S3882" t="s">
        <v>10498</v>
      </c>
      <c r="T3882" t="s">
        <v>13232</v>
      </c>
      <c r="U3882" t="s">
        <v>13232</v>
      </c>
      <c r="V3882" t="s">
        <v>13232</v>
      </c>
      <c r="W3882" t="s">
        <v>17052</v>
      </c>
      <c r="X3882">
        <v>8</v>
      </c>
      <c r="Y3882" t="s">
        <v>23475</v>
      </c>
      <c r="Z3882" t="s">
        <v>30013</v>
      </c>
      <c r="AA3882">
        <v>0.37389037557114219</v>
      </c>
      <c r="AB3882" t="str">
        <f>HYPERLINK("Melting_Curves/meltCurve_Q6P1R4_DUS1L.pdf", "Melting_Curves/meltCurve_Q6P1R4_DUS1L.pdf")</f>
        <v>Melting_Curves/meltCurve_Q6P1R4_DUS1L.pdf</v>
      </c>
    </row>
    <row r="3883" spans="1:28" x14ac:dyDescent="0.25">
      <c r="A3883" t="s">
        <v>3886</v>
      </c>
      <c r="B3883">
        <v>0.99930955844802105</v>
      </c>
      <c r="C3883">
        <v>0.80574197391232705</v>
      </c>
      <c r="D3883">
        <v>0.79782900120857303</v>
      </c>
      <c r="E3883">
        <v>0.723313872144837</v>
      </c>
      <c r="F3883">
        <v>0.32524667163875198</v>
      </c>
      <c r="G3883">
        <v>0.191856094081467</v>
      </c>
      <c r="H3883">
        <v>0.17070595319234</v>
      </c>
      <c r="I3883">
        <v>0.14529505533401399</v>
      </c>
      <c r="J3883">
        <v>0.13693996989264401</v>
      </c>
      <c r="K3883">
        <v>9.2274240811837202E-2</v>
      </c>
      <c r="L3883">
        <v>682.11103374562504</v>
      </c>
      <c r="M3883">
        <v>13.4534273310607</v>
      </c>
      <c r="N3883">
        <v>51.327699421444301</v>
      </c>
      <c r="O3883">
        <v>49.620734068317702</v>
      </c>
      <c r="P3883">
        <v>-6.26620949105373E-2</v>
      </c>
      <c r="Q3883">
        <v>7.5667806175545999E-2</v>
      </c>
      <c r="R3883">
        <v>0.95803538584268899</v>
      </c>
      <c r="S3883" t="s">
        <v>10499</v>
      </c>
      <c r="T3883" t="s">
        <v>13232</v>
      </c>
      <c r="U3883" t="s">
        <v>13232</v>
      </c>
      <c r="V3883" t="s">
        <v>13232</v>
      </c>
      <c r="W3883" t="s">
        <v>17053</v>
      </c>
      <c r="X3883">
        <v>19</v>
      </c>
      <c r="Y3883" t="s">
        <v>23476</v>
      </c>
      <c r="Z3883" t="s">
        <v>30014</v>
      </c>
      <c r="AA3883">
        <v>0.4311654590299937</v>
      </c>
      <c r="AB3883" t="str">
        <f>HYPERLINK("Melting_Curves/meltCurve_Q6P1X5_TAF2.pdf", "Melting_Curves/meltCurve_Q6P1X5_TAF2.pdf")</f>
        <v>Melting_Curves/meltCurve_Q6P1X5_TAF2.pdf</v>
      </c>
    </row>
    <row r="3884" spans="1:28" x14ac:dyDescent="0.25">
      <c r="A3884" t="s">
        <v>3887</v>
      </c>
      <c r="B3884">
        <v>0.99930955844802105</v>
      </c>
      <c r="C3884">
        <v>1.08238834818421</v>
      </c>
      <c r="D3884">
        <v>1.12153380571665</v>
      </c>
      <c r="E3884">
        <v>0.98695825090429501</v>
      </c>
      <c r="F3884">
        <v>0.76646806379030596</v>
      </c>
      <c r="G3884">
        <v>0.45060750947654898</v>
      </c>
      <c r="H3884">
        <v>0.17027300617355401</v>
      </c>
      <c r="I3884">
        <v>0.111216075993204</v>
      </c>
      <c r="J3884">
        <v>7.8755362263304193E-2</v>
      </c>
      <c r="K3884">
        <v>5.8834503756402298E-2</v>
      </c>
      <c r="L3884">
        <v>1329.0106992497099</v>
      </c>
      <c r="M3884">
        <v>23.727759117179598</v>
      </c>
      <c r="N3884">
        <v>56.304774472125601</v>
      </c>
      <c r="O3884">
        <v>55.617505338755002</v>
      </c>
      <c r="P3884">
        <v>-0.10044337202342001</v>
      </c>
      <c r="Q3884">
        <v>5.8264657529444E-2</v>
      </c>
      <c r="R3884">
        <v>0.98569448872712495</v>
      </c>
      <c r="S3884" t="s">
        <v>10500</v>
      </c>
      <c r="T3884" t="s">
        <v>13232</v>
      </c>
      <c r="U3884" t="s">
        <v>13232</v>
      </c>
      <c r="V3884" t="s">
        <v>13232</v>
      </c>
      <c r="W3884" t="s">
        <v>17054</v>
      </c>
      <c r="X3884">
        <v>7</v>
      </c>
      <c r="Y3884" t="s">
        <v>23477</v>
      </c>
      <c r="Z3884" t="s">
        <v>30015</v>
      </c>
      <c r="AA3884">
        <v>0.57027411025177288</v>
      </c>
      <c r="AB3884" t="str">
        <f>HYPERLINK("Melting_Curves/meltCurve_Q6P1X6_C8orf82.pdf", "Melting_Curves/meltCurve_Q6P1X6_C8orf82.pdf")</f>
        <v>Melting_Curves/meltCurve_Q6P1X6_C8orf82.pdf</v>
      </c>
    </row>
    <row r="3885" spans="1:28" x14ac:dyDescent="0.25">
      <c r="A3885" t="s">
        <v>3888</v>
      </c>
      <c r="B3885">
        <v>0.99930955844802105</v>
      </c>
      <c r="C3885">
        <v>1.17432253788908</v>
      </c>
      <c r="D3885">
        <v>1.3195427869226899</v>
      </c>
      <c r="E3885">
        <v>1.39335567686412</v>
      </c>
      <c r="F3885">
        <v>0.93438079654795303</v>
      </c>
      <c r="G3885">
        <v>0.904965884679794</v>
      </c>
      <c r="H3885">
        <v>0.93919111606337102</v>
      </c>
      <c r="I3885">
        <v>0.921689102426963</v>
      </c>
      <c r="J3885">
        <v>1.0277168938800301</v>
      </c>
      <c r="K3885">
        <v>0.75119977207031197</v>
      </c>
      <c r="L3885">
        <v>15000</v>
      </c>
      <c r="M3885">
        <v>213.180675035441</v>
      </c>
      <c r="Q3885">
        <v>0</v>
      </c>
      <c r="R3885">
        <v>0.13491739420479601</v>
      </c>
      <c r="S3885" t="s">
        <v>10501</v>
      </c>
      <c r="T3885" t="s">
        <v>13232</v>
      </c>
      <c r="U3885" t="s">
        <v>13232</v>
      </c>
      <c r="V3885" t="s">
        <v>13232</v>
      </c>
      <c r="W3885" t="s">
        <v>17055</v>
      </c>
      <c r="X3885">
        <v>9</v>
      </c>
      <c r="Y3885" t="s">
        <v>23478</v>
      </c>
      <c r="Z3885" t="s">
        <v>30016</v>
      </c>
      <c r="AA3885">
        <v>0.9969156899330901</v>
      </c>
      <c r="AB3885" t="str">
        <f>HYPERLINK("Melting_Curves/meltCurve_Q6P275_STAG1.pdf", "Melting_Curves/meltCurve_Q6P275_STAG1.pdf")</f>
        <v>Melting_Curves/meltCurve_Q6P275_STAG1.pdf</v>
      </c>
    </row>
    <row r="3886" spans="1:28" x14ac:dyDescent="0.25">
      <c r="A3886" t="s">
        <v>3889</v>
      </c>
      <c r="B3886">
        <v>0.99930955844802105</v>
      </c>
      <c r="C3886">
        <v>0.86439372562681904</v>
      </c>
      <c r="D3886">
        <v>0.85293594374442705</v>
      </c>
      <c r="E3886">
        <v>0.758560916130264</v>
      </c>
      <c r="F3886">
        <v>0.37297283619218402</v>
      </c>
      <c r="G3886">
        <v>0.221784940060823</v>
      </c>
      <c r="H3886">
        <v>0.14015496670646899</v>
      </c>
      <c r="I3886">
        <v>0.121965356658895</v>
      </c>
      <c r="J3886">
        <v>0.120409187711013</v>
      </c>
      <c r="K3886">
        <v>8.0148015554729404E-2</v>
      </c>
      <c r="L3886">
        <v>874.43894954689904</v>
      </c>
      <c r="M3886">
        <v>16.9606356132483</v>
      </c>
      <c r="N3886">
        <v>52.093440311224199</v>
      </c>
      <c r="O3886">
        <v>50.856243860132999</v>
      </c>
      <c r="P3886">
        <v>-7.6699264575071202E-2</v>
      </c>
      <c r="Q3886">
        <v>8.0130405107282102E-2</v>
      </c>
      <c r="R3886">
        <v>0.97750780755405298</v>
      </c>
      <c r="S3886" t="s">
        <v>10502</v>
      </c>
      <c r="T3886" t="s">
        <v>13232</v>
      </c>
      <c r="U3886" t="s">
        <v>13232</v>
      </c>
      <c r="V3886" t="s">
        <v>13232</v>
      </c>
      <c r="W3886" t="s">
        <v>17056</v>
      </c>
      <c r="X3886">
        <v>5</v>
      </c>
      <c r="Y3886" t="s">
        <v>23479</v>
      </c>
      <c r="Z3886" t="s">
        <v>30017</v>
      </c>
      <c r="AA3886">
        <v>0.45155358463180079</v>
      </c>
      <c r="AB3886" t="str">
        <f>HYPERLINK("Melting_Curves/meltCurve_Q6P2C8_MED27.pdf", "Melting_Curves/meltCurve_Q6P2C8_MED27.pdf")</f>
        <v>Melting_Curves/meltCurve_Q6P2C8_MED27.pdf</v>
      </c>
    </row>
    <row r="3887" spans="1:28" x14ac:dyDescent="0.25">
      <c r="A3887" t="s">
        <v>3890</v>
      </c>
      <c r="B3887">
        <v>0.99930955844802105</v>
      </c>
      <c r="C3887">
        <v>1.0717760625310999</v>
      </c>
      <c r="D3887">
        <v>1.0429610106134199</v>
      </c>
      <c r="E3887">
        <v>0.91195020432901197</v>
      </c>
      <c r="F3887">
        <v>0.59473726913521796</v>
      </c>
      <c r="G3887">
        <v>0.27932394034233399</v>
      </c>
      <c r="H3887">
        <v>0.16603435508582301</v>
      </c>
      <c r="I3887">
        <v>0.13921987491749099</v>
      </c>
      <c r="J3887">
        <v>0.12682678435829201</v>
      </c>
      <c r="K3887">
        <v>0.101091117413702</v>
      </c>
      <c r="L3887">
        <v>1492.77162323372</v>
      </c>
      <c r="M3887">
        <v>27.90678989801</v>
      </c>
      <c r="N3887">
        <v>54.051690357932003</v>
      </c>
      <c r="O3887">
        <v>53.218912616760498</v>
      </c>
      <c r="P3887">
        <v>-0.114628670350658</v>
      </c>
      <c r="Q3887">
        <v>0.12560891312244299</v>
      </c>
      <c r="R3887">
        <v>0.99362866987418597</v>
      </c>
      <c r="S3887" t="s">
        <v>10503</v>
      </c>
      <c r="T3887" t="s">
        <v>13232</v>
      </c>
      <c r="U3887" t="s">
        <v>13232</v>
      </c>
      <c r="V3887" t="s">
        <v>13232</v>
      </c>
      <c r="W3887" t="s">
        <v>17057</v>
      </c>
      <c r="X3887">
        <v>47</v>
      </c>
      <c r="Y3887" t="s">
        <v>23480</v>
      </c>
      <c r="Z3887" t="s">
        <v>30018</v>
      </c>
      <c r="AA3887">
        <v>0.52539584976756981</v>
      </c>
      <c r="AB3887" t="str">
        <f>HYPERLINK("Melting_Curves/meltCurve_Q6P2E9_EDC4.pdf", "Melting_Curves/meltCurve_Q6P2E9_EDC4.pdf")</f>
        <v>Melting_Curves/meltCurve_Q6P2E9_EDC4.pdf</v>
      </c>
    </row>
    <row r="3888" spans="1:28" x14ac:dyDescent="0.25">
      <c r="A3888" t="s">
        <v>3891</v>
      </c>
      <c r="B3888">
        <v>0.99930955844802105</v>
      </c>
      <c r="C3888">
        <v>1.01596082392219</v>
      </c>
      <c r="D3888">
        <v>0.90316441740748299</v>
      </c>
      <c r="E3888">
        <v>0.84367653588441405</v>
      </c>
      <c r="F3888">
        <v>0.69850080755471999</v>
      </c>
      <c r="G3888">
        <v>0.52335715391133497</v>
      </c>
      <c r="H3888">
        <v>0.46971457538845901</v>
      </c>
      <c r="I3888">
        <v>0.48272963323866802</v>
      </c>
      <c r="J3888">
        <v>0.51315497310638003</v>
      </c>
      <c r="K3888">
        <v>0.381711144571793</v>
      </c>
      <c r="L3888">
        <v>876.205280532438</v>
      </c>
      <c r="M3888">
        <v>16.731779661875301</v>
      </c>
      <c r="N3888">
        <v>59.591859676986502</v>
      </c>
      <c r="O3888">
        <v>51.636833471697798</v>
      </c>
      <c r="P3888">
        <v>-4.5834901523970899E-2</v>
      </c>
      <c r="Q3888">
        <v>0.43422313054025902</v>
      </c>
      <c r="R3888">
        <v>0.975291160301063</v>
      </c>
      <c r="S3888" t="s">
        <v>10504</v>
      </c>
      <c r="T3888" t="s">
        <v>13232</v>
      </c>
      <c r="U3888" t="s">
        <v>13232</v>
      </c>
      <c r="V3888" t="s">
        <v>13232</v>
      </c>
      <c r="W3888" t="s">
        <v>17058</v>
      </c>
      <c r="X3888">
        <v>8</v>
      </c>
      <c r="Y3888" t="s">
        <v>23481</v>
      </c>
      <c r="Z3888" t="s">
        <v>30019</v>
      </c>
      <c r="AA3888">
        <v>0.67802018956450272</v>
      </c>
      <c r="AB3888" t="str">
        <f>HYPERLINK("Melting_Curves/meltCurve_Q6P2H3_2_CEP85.pdf", "Melting_Curves/meltCurve_Q6P2H3_2_CEP85.pdf")</f>
        <v>Melting_Curves/meltCurve_Q6P2H3_2_CEP85.pdf</v>
      </c>
    </row>
    <row r="3889" spans="1:28" x14ac:dyDescent="0.25">
      <c r="A3889" t="s">
        <v>3892</v>
      </c>
      <c r="B3889">
        <v>0.99930955844802105</v>
      </c>
      <c r="C3889">
        <v>0.97814041619060998</v>
      </c>
      <c r="D3889">
        <v>0.93525956363594098</v>
      </c>
      <c r="E3889">
        <v>0.82332451672729401</v>
      </c>
      <c r="F3889">
        <v>0.54838609571838803</v>
      </c>
      <c r="G3889">
        <v>0.23013621924156799</v>
      </c>
      <c r="H3889">
        <v>0.15013574210201699</v>
      </c>
      <c r="I3889">
        <v>7.5396474717847398E-2</v>
      </c>
      <c r="J3889">
        <v>3.58064748742591E-2</v>
      </c>
      <c r="K3889">
        <v>2.5490566312943001E-2</v>
      </c>
      <c r="L3889">
        <v>1035.4883601972599</v>
      </c>
      <c r="M3889">
        <v>19.369655898162002</v>
      </c>
      <c r="N3889">
        <v>53.627673077964999</v>
      </c>
      <c r="O3889">
        <v>52.899256574642102</v>
      </c>
      <c r="P3889">
        <v>-8.8843129998341805E-2</v>
      </c>
      <c r="Q3889">
        <v>2.94997998730657E-2</v>
      </c>
      <c r="R3889">
        <v>0.99749850284366304</v>
      </c>
      <c r="S3889" t="s">
        <v>10505</v>
      </c>
      <c r="T3889" t="s">
        <v>13232</v>
      </c>
      <c r="U3889" t="s">
        <v>13232</v>
      </c>
      <c r="V3889" t="s">
        <v>13232</v>
      </c>
      <c r="W3889" t="s">
        <v>17059</v>
      </c>
      <c r="X3889">
        <v>12</v>
      </c>
      <c r="Y3889" t="s">
        <v>23482</v>
      </c>
      <c r="Z3889" t="s">
        <v>30020</v>
      </c>
      <c r="AA3889">
        <v>0.478915402386278</v>
      </c>
      <c r="AB3889" t="str">
        <f>HYPERLINK("Melting_Curves/meltCurve_Q6P2I3_FAHD2B.pdf", "Melting_Curves/meltCurve_Q6P2I3_FAHD2B.pdf")</f>
        <v>Melting_Curves/meltCurve_Q6P2I3_FAHD2B.pdf</v>
      </c>
    </row>
    <row r="3890" spans="1:28" x14ac:dyDescent="0.25">
      <c r="A3890" t="s">
        <v>3893</v>
      </c>
      <c r="B3890">
        <v>0.99930955844802105</v>
      </c>
      <c r="C3890">
        <v>0.91744736317728903</v>
      </c>
      <c r="D3890">
        <v>0.87671873117351495</v>
      </c>
      <c r="E3890">
        <v>0.78159698175963699</v>
      </c>
      <c r="F3890">
        <v>0.41140554193283901</v>
      </c>
      <c r="G3890">
        <v>0.22343447318863</v>
      </c>
      <c r="H3890">
        <v>0.12732019696365501</v>
      </c>
      <c r="I3890">
        <v>0.106305723015098</v>
      </c>
      <c r="J3890">
        <v>9.5342654394855994E-2</v>
      </c>
      <c r="K3890">
        <v>7.63371257058304E-2</v>
      </c>
      <c r="L3890">
        <v>1015.64232749494</v>
      </c>
      <c r="M3890">
        <v>19.522643990420999</v>
      </c>
      <c r="N3890">
        <v>52.473930208085598</v>
      </c>
      <c r="O3890">
        <v>51.487189754071103</v>
      </c>
      <c r="P3890">
        <v>-8.7488590981268502E-2</v>
      </c>
      <c r="Q3890">
        <v>7.7096381890279606E-2</v>
      </c>
      <c r="R3890">
        <v>0.98895858312505303</v>
      </c>
      <c r="S3890" t="s">
        <v>10506</v>
      </c>
      <c r="T3890" t="s">
        <v>13232</v>
      </c>
      <c r="U3890" t="s">
        <v>13232</v>
      </c>
      <c r="V3890" t="s">
        <v>13232</v>
      </c>
      <c r="W3890" t="s">
        <v>17060</v>
      </c>
      <c r="X3890">
        <v>17</v>
      </c>
      <c r="Y3890" t="s">
        <v>23483</v>
      </c>
      <c r="Z3890" t="s">
        <v>30021</v>
      </c>
      <c r="AA3890">
        <v>0.46032226016405298</v>
      </c>
      <c r="AB3890" t="str">
        <f>HYPERLINK("Melting_Curves/meltCurve_Q6P2P2_PRMT10.pdf", "Melting_Curves/meltCurve_Q6P2P2_PRMT10.pdf")</f>
        <v>Melting_Curves/meltCurve_Q6P2P2_PRMT10.pdf</v>
      </c>
    </row>
    <row r="3891" spans="1:28" x14ac:dyDescent="0.25">
      <c r="A3891" t="s">
        <v>3894</v>
      </c>
      <c r="B3891">
        <v>0.99930955844802105</v>
      </c>
      <c r="C3891">
        <v>0.59847720411721905</v>
      </c>
      <c r="D3891">
        <v>0.67497107949534396</v>
      </c>
      <c r="E3891">
        <v>0.73251636962693401</v>
      </c>
      <c r="F3891">
        <v>0.28170294810392599</v>
      </c>
      <c r="G3891">
        <v>0.171116051643038</v>
      </c>
      <c r="H3891">
        <v>9.5264981936812196E-2</v>
      </c>
      <c r="I3891">
        <v>8.7618675109348704E-2</v>
      </c>
      <c r="J3891">
        <v>7.3694263839637994E-2</v>
      </c>
      <c r="K3891">
        <v>6.1105294025465301E-2</v>
      </c>
      <c r="L3891">
        <v>474.19505759354098</v>
      </c>
      <c r="M3891">
        <v>9.5436249002846392</v>
      </c>
      <c r="N3891">
        <v>49.687114576979901</v>
      </c>
      <c r="O3891">
        <v>47.6523525454853</v>
      </c>
      <c r="P3891">
        <v>-5.0098115897977302E-2</v>
      </c>
      <c r="Q3891">
        <v>0</v>
      </c>
      <c r="R3891">
        <v>0.87771464616460104</v>
      </c>
      <c r="S3891" t="s">
        <v>10507</v>
      </c>
      <c r="T3891" t="s">
        <v>13232</v>
      </c>
      <c r="U3891" t="s">
        <v>13232</v>
      </c>
      <c r="V3891" t="s">
        <v>13232</v>
      </c>
      <c r="W3891" t="s">
        <v>17061</v>
      </c>
      <c r="X3891">
        <v>73</v>
      </c>
      <c r="Y3891" t="s">
        <v>23484</v>
      </c>
      <c r="Z3891" t="s">
        <v>30022</v>
      </c>
      <c r="AA3891">
        <v>0.37233194956140669</v>
      </c>
      <c r="AB3891" t="str">
        <f>HYPERLINK("Melting_Curves/meltCurve_Q6P2Q9_PRPF8.pdf", "Melting_Curves/meltCurve_Q6P2Q9_PRPF8.pdf")</f>
        <v>Melting_Curves/meltCurve_Q6P2Q9_PRPF8.pdf</v>
      </c>
    </row>
    <row r="3892" spans="1:28" x14ac:dyDescent="0.25">
      <c r="A3892" t="s">
        <v>3895</v>
      </c>
      <c r="B3892">
        <v>0.99930955844802105</v>
      </c>
      <c r="C3892">
        <v>0.990910881515356</v>
      </c>
      <c r="D3892">
        <v>0.96269282912115595</v>
      </c>
      <c r="E3892">
        <v>0.82042950879964405</v>
      </c>
      <c r="F3892">
        <v>0.43886875909970302</v>
      </c>
      <c r="G3892">
        <v>0.22025287814812</v>
      </c>
      <c r="H3892">
        <v>0.13372191383238699</v>
      </c>
      <c r="I3892">
        <v>0.112287413945766</v>
      </c>
      <c r="J3892">
        <v>0.107412922398656</v>
      </c>
      <c r="K3892">
        <v>8.2502632164977205E-2</v>
      </c>
      <c r="L3892">
        <v>1421.62903932874</v>
      </c>
      <c r="M3892">
        <v>27.215422054108899</v>
      </c>
      <c r="N3892">
        <v>52.699308626544401</v>
      </c>
      <c r="O3892">
        <v>51.956583351344598</v>
      </c>
      <c r="P3892">
        <v>-0.11702502524360101</v>
      </c>
      <c r="Q3892">
        <v>0.106365408937325</v>
      </c>
      <c r="R3892">
        <v>0.99779628600775105</v>
      </c>
      <c r="S3892" t="s">
        <v>10508</v>
      </c>
      <c r="T3892" t="s">
        <v>13232</v>
      </c>
      <c r="U3892" t="s">
        <v>13232</v>
      </c>
      <c r="V3892" t="s">
        <v>13232</v>
      </c>
      <c r="W3892" t="s">
        <v>17062</v>
      </c>
      <c r="X3892">
        <v>5</v>
      </c>
      <c r="Y3892" t="s">
        <v>23485</v>
      </c>
      <c r="Z3892" t="s">
        <v>30023</v>
      </c>
      <c r="AA3892">
        <v>0.47779287195698877</v>
      </c>
      <c r="AB3892" t="str">
        <f>HYPERLINK("Melting_Curves/meltCurve_Q6P3S1_5_DENND1B.pdf", "Melting_Curves/meltCurve_Q6P3S1_5_DENND1B.pdf")</f>
        <v>Melting_Curves/meltCurve_Q6P3S1_5_DENND1B.pdf</v>
      </c>
    </row>
    <row r="3893" spans="1:28" x14ac:dyDescent="0.25">
      <c r="A3893" t="s">
        <v>3896</v>
      </c>
      <c r="B3893">
        <v>0.99930955844802105</v>
      </c>
      <c r="C3893">
        <v>0.88595144909870405</v>
      </c>
      <c r="D3893">
        <v>0.880838206519304</v>
      </c>
      <c r="E3893">
        <v>0.84183977631498996</v>
      </c>
      <c r="F3893">
        <v>0.57065886510111596</v>
      </c>
      <c r="G3893">
        <v>0.27353089136757203</v>
      </c>
      <c r="H3893">
        <v>0.19991754841922399</v>
      </c>
      <c r="I3893">
        <v>0.24620855824986099</v>
      </c>
      <c r="J3893">
        <v>0.25963785418494501</v>
      </c>
      <c r="K3893">
        <v>0.19244763884435701</v>
      </c>
      <c r="L3893">
        <v>1299.63043033484</v>
      </c>
      <c r="M3893">
        <v>24.770111837591902</v>
      </c>
      <c r="N3893">
        <v>53.649296923382202</v>
      </c>
      <c r="O3893">
        <v>52.129300611440897</v>
      </c>
      <c r="P3893">
        <v>-9.3818233387166897E-2</v>
      </c>
      <c r="Q3893">
        <v>0.21024002919858001</v>
      </c>
      <c r="R3893">
        <v>0.97269819003675095</v>
      </c>
      <c r="S3893" t="s">
        <v>10509</v>
      </c>
      <c r="T3893" t="s">
        <v>13232</v>
      </c>
      <c r="U3893" t="s">
        <v>13232</v>
      </c>
      <c r="V3893" t="s">
        <v>13232</v>
      </c>
      <c r="W3893" t="s">
        <v>17063</v>
      </c>
      <c r="X3893">
        <v>9</v>
      </c>
      <c r="Y3893" t="s">
        <v>23486</v>
      </c>
      <c r="Z3893" t="s">
        <v>30024</v>
      </c>
      <c r="AA3893">
        <v>0.5458252418144206</v>
      </c>
      <c r="AB3893" t="str">
        <f>HYPERLINK("Melting_Curves/meltCurve_Q6P3S6_FBXO42.pdf", "Melting_Curves/meltCurve_Q6P3S6_FBXO42.pdf")</f>
        <v>Melting_Curves/meltCurve_Q6P3S6_FBXO42.pdf</v>
      </c>
    </row>
    <row r="3894" spans="1:28" x14ac:dyDescent="0.25">
      <c r="A3894" t="s">
        <v>3897</v>
      </c>
      <c r="B3894">
        <v>0.99930955844802105</v>
      </c>
      <c r="C3894">
        <v>1.04300694470293</v>
      </c>
      <c r="D3894">
        <v>1.01035316493379</v>
      </c>
      <c r="E3894">
        <v>1.00197581430548</v>
      </c>
      <c r="F3894">
        <v>0.95552647550853798</v>
      </c>
      <c r="G3894">
        <v>0.33450125532122998</v>
      </c>
      <c r="H3894">
        <v>0.117594637837833</v>
      </c>
      <c r="I3894">
        <v>8.9522155012984606E-2</v>
      </c>
      <c r="J3894">
        <v>7.1662050991036896E-2</v>
      </c>
      <c r="K3894">
        <v>6.02598845714706E-2</v>
      </c>
      <c r="L3894">
        <v>2871.07452792612</v>
      </c>
      <c r="M3894">
        <v>51.315849457671703</v>
      </c>
      <c r="N3894">
        <v>56.141200494699198</v>
      </c>
      <c r="O3894">
        <v>55.864291476953099</v>
      </c>
      <c r="P3894">
        <v>-0.21115271624580101</v>
      </c>
      <c r="Q3894">
        <v>8.0526479747823093E-2</v>
      </c>
      <c r="R3894">
        <v>0.99837440195150495</v>
      </c>
      <c r="S3894" t="s">
        <v>10510</v>
      </c>
      <c r="T3894" t="s">
        <v>13232</v>
      </c>
      <c r="U3894" t="s">
        <v>13232</v>
      </c>
      <c r="V3894" t="s">
        <v>13232</v>
      </c>
      <c r="W3894" t="s">
        <v>17064</v>
      </c>
      <c r="X3894">
        <v>22</v>
      </c>
      <c r="Y3894" t="s">
        <v>23487</v>
      </c>
      <c r="Z3894" t="s">
        <v>30025</v>
      </c>
      <c r="AA3894">
        <v>0.57150353736734805</v>
      </c>
      <c r="AB3894" t="str">
        <f>HYPERLINK("Melting_Curves/meltCurve_Q6P3W7_SCYL2.pdf", "Melting_Curves/meltCurve_Q6P3W7_SCYL2.pdf")</f>
        <v>Melting_Curves/meltCurve_Q6P3W7_SCYL2.pdf</v>
      </c>
    </row>
    <row r="3895" spans="1:28" x14ac:dyDescent="0.25">
      <c r="A3895" t="s">
        <v>3898</v>
      </c>
      <c r="B3895">
        <v>0.99930955844802105</v>
      </c>
      <c r="C3895">
        <v>1.0364155366447501</v>
      </c>
      <c r="D3895">
        <v>0.73528971051276504</v>
      </c>
      <c r="E3895">
        <v>0.28737178398722402</v>
      </c>
      <c r="F3895">
        <v>0.15355135896496899</v>
      </c>
      <c r="G3895">
        <v>0.107910468262594</v>
      </c>
      <c r="H3895">
        <v>6.3793174321603904E-2</v>
      </c>
      <c r="I3895">
        <v>5.1141146639836398E-2</v>
      </c>
      <c r="J3895">
        <v>4.5058693329917597E-2</v>
      </c>
      <c r="K3895">
        <v>3.35160588362928E-2</v>
      </c>
      <c r="L3895">
        <v>1259.8687748528901</v>
      </c>
      <c r="M3895">
        <v>26.3145963902207</v>
      </c>
      <c r="N3895">
        <v>48.110294786044697</v>
      </c>
      <c r="O3895">
        <v>47.603252519851402</v>
      </c>
      <c r="P3895">
        <v>-0.129927412458124</v>
      </c>
      <c r="Q3895">
        <v>5.9852615791474502E-2</v>
      </c>
      <c r="R3895">
        <v>0.99353478225417102</v>
      </c>
      <c r="S3895" t="s">
        <v>10511</v>
      </c>
      <c r="T3895" t="s">
        <v>13232</v>
      </c>
      <c r="U3895" t="s">
        <v>13232</v>
      </c>
      <c r="V3895" t="s">
        <v>13232</v>
      </c>
      <c r="W3895" t="s">
        <v>17065</v>
      </c>
      <c r="X3895">
        <v>29</v>
      </c>
      <c r="Y3895" t="s">
        <v>23488</v>
      </c>
      <c r="Z3895" t="s">
        <v>30026</v>
      </c>
      <c r="AA3895">
        <v>0.31416343793949753</v>
      </c>
      <c r="AB3895" t="str">
        <f>HYPERLINK("Melting_Curves/meltCurve_Q6P3X3_TTC27.pdf", "Melting_Curves/meltCurve_Q6P3X3_TTC27.pdf")</f>
        <v>Melting_Curves/meltCurve_Q6P3X3_TTC27.pdf</v>
      </c>
    </row>
    <row r="3896" spans="1:28" x14ac:dyDescent="0.25">
      <c r="A3896" t="s">
        <v>3899</v>
      </c>
      <c r="B3896">
        <v>0.99930955844802105</v>
      </c>
      <c r="C3896">
        <v>0.92505914383978305</v>
      </c>
      <c r="D3896">
        <v>0.871773082914167</v>
      </c>
      <c r="E3896">
        <v>0.95537941199456</v>
      </c>
      <c r="F3896">
        <v>0.826359769309023</v>
      </c>
      <c r="G3896">
        <v>0.65590983312118201</v>
      </c>
      <c r="H3896">
        <v>0.46830570629850499</v>
      </c>
      <c r="I3896">
        <v>0.38193405781988599</v>
      </c>
      <c r="J3896">
        <v>0.24235076620330101</v>
      </c>
      <c r="K3896">
        <v>0.148161594024002</v>
      </c>
      <c r="L3896">
        <v>669.11714074522695</v>
      </c>
      <c r="M3896">
        <v>11.0790083090395</v>
      </c>
      <c r="N3896">
        <v>60.395039188248802</v>
      </c>
      <c r="O3896">
        <v>58.527504282141301</v>
      </c>
      <c r="P3896">
        <v>-4.7339466702767598E-2</v>
      </c>
      <c r="Q3896">
        <v>0</v>
      </c>
      <c r="R3896">
        <v>0.97982284425654498</v>
      </c>
      <c r="S3896" t="s">
        <v>10512</v>
      </c>
      <c r="T3896" t="s">
        <v>13232</v>
      </c>
      <c r="U3896" t="s">
        <v>13232</v>
      </c>
      <c r="V3896" t="s">
        <v>13232</v>
      </c>
      <c r="W3896" t="s">
        <v>17066</v>
      </c>
      <c r="X3896">
        <v>4</v>
      </c>
      <c r="Y3896" t="s">
        <v>23489</v>
      </c>
      <c r="Z3896" t="s">
        <v>30027</v>
      </c>
      <c r="AA3896">
        <v>0.67700751052880692</v>
      </c>
      <c r="AB3896" t="str">
        <f>HYPERLINK("Melting_Curves/meltCurve_Q6P4A8_PLBD1.pdf", "Melting_Curves/meltCurve_Q6P4A8_PLBD1.pdf")</f>
        <v>Melting_Curves/meltCurve_Q6P4A8_PLBD1.pdf</v>
      </c>
    </row>
    <row r="3897" spans="1:28" x14ac:dyDescent="0.25">
      <c r="A3897" t="s">
        <v>3900</v>
      </c>
      <c r="B3897">
        <v>0.99930955844802105</v>
      </c>
      <c r="C3897">
        <v>0.983429340024365</v>
      </c>
      <c r="D3897">
        <v>0.88904703366996696</v>
      </c>
      <c r="E3897">
        <v>0.74387458446024701</v>
      </c>
      <c r="F3897">
        <v>0.57106579041275796</v>
      </c>
      <c r="G3897">
        <v>0.483890805007201</v>
      </c>
      <c r="H3897">
        <v>0.37001943887936201</v>
      </c>
      <c r="I3897">
        <v>0.36062827515364299</v>
      </c>
      <c r="J3897">
        <v>0.37398916659111597</v>
      </c>
      <c r="K3897">
        <v>0.25954104026981001</v>
      </c>
      <c r="L3897">
        <v>693.603124264651</v>
      </c>
      <c r="M3897">
        <v>13.350377665455801</v>
      </c>
      <c r="N3897">
        <v>55.645115905792402</v>
      </c>
      <c r="O3897">
        <v>50.8296583149423</v>
      </c>
      <c r="P3897">
        <v>-4.6380086320934703E-2</v>
      </c>
      <c r="Q3897">
        <v>0.293770243127217</v>
      </c>
      <c r="R3897">
        <v>0.98884218094000997</v>
      </c>
      <c r="S3897" t="s">
        <v>10513</v>
      </c>
      <c r="T3897" t="s">
        <v>13232</v>
      </c>
      <c r="U3897" t="s">
        <v>13232</v>
      </c>
      <c r="V3897" t="s">
        <v>13232</v>
      </c>
      <c r="W3897" t="s">
        <v>17067</v>
      </c>
      <c r="X3897">
        <v>3</v>
      </c>
      <c r="Y3897" t="s">
        <v>23490</v>
      </c>
      <c r="Z3897" t="s">
        <v>30028</v>
      </c>
      <c r="AA3897">
        <v>0.59394805036792775</v>
      </c>
      <c r="AB3897" t="str">
        <f>HYPERLINK("Melting_Curves/meltCurve_Q6P4F2_FDX1L.pdf", "Melting_Curves/meltCurve_Q6P4F2_FDX1L.pdf")</f>
        <v>Melting_Curves/meltCurve_Q6P4F2_FDX1L.pdf</v>
      </c>
    </row>
    <row r="3898" spans="1:28" x14ac:dyDescent="0.25">
      <c r="A3898" t="s">
        <v>3901</v>
      </c>
      <c r="B3898">
        <v>0.99930955844802105</v>
      </c>
      <c r="C3898">
        <v>1.01714157967895</v>
      </c>
      <c r="D3898">
        <v>0.98760634749713405</v>
      </c>
      <c r="E3898">
        <v>0.87454805937670599</v>
      </c>
      <c r="F3898">
        <v>0.73374660118276303</v>
      </c>
      <c r="G3898">
        <v>0.44799318471139998</v>
      </c>
      <c r="H3898">
        <v>0.21531450741020999</v>
      </c>
      <c r="I3898">
        <v>0.151329216293937</v>
      </c>
      <c r="J3898">
        <v>0.12864803456440099</v>
      </c>
      <c r="K3898">
        <v>0.101292834648744</v>
      </c>
      <c r="L3898">
        <v>1008.60996361476</v>
      </c>
      <c r="M3898">
        <v>18.151222433568901</v>
      </c>
      <c r="N3898">
        <v>56.096509910534103</v>
      </c>
      <c r="O3898">
        <v>54.905764853377498</v>
      </c>
      <c r="P3898">
        <v>-7.61445949012413E-2</v>
      </c>
      <c r="Q3898">
        <v>7.8722623791666294E-2</v>
      </c>
      <c r="R3898">
        <v>0.99901968333183799</v>
      </c>
      <c r="S3898" t="s">
        <v>10514</v>
      </c>
      <c r="T3898" t="s">
        <v>13232</v>
      </c>
      <c r="U3898" t="s">
        <v>13232</v>
      </c>
      <c r="V3898" t="s">
        <v>13232</v>
      </c>
      <c r="W3898" t="s">
        <v>17068</v>
      </c>
      <c r="X3898">
        <v>9</v>
      </c>
      <c r="Y3898" t="s">
        <v>23491</v>
      </c>
      <c r="Z3898" t="s">
        <v>30029</v>
      </c>
      <c r="AA3898">
        <v>0.57052196239156017</v>
      </c>
      <c r="AB3898" t="str">
        <f>HYPERLINK("Melting_Curves/meltCurve_Q6P4I2_WDR73.pdf", "Melting_Curves/meltCurve_Q6P4I2_WDR73.pdf")</f>
        <v>Melting_Curves/meltCurve_Q6P4I2_WDR73.pdf</v>
      </c>
    </row>
    <row r="3899" spans="1:28" x14ac:dyDescent="0.25">
      <c r="A3899" t="s">
        <v>3902</v>
      </c>
      <c r="B3899">
        <v>0.99930955844802105</v>
      </c>
      <c r="C3899">
        <v>0.90012976556681001</v>
      </c>
      <c r="D3899">
        <v>0.94405986255470697</v>
      </c>
      <c r="E3899">
        <v>0.82092720074847902</v>
      </c>
      <c r="F3899">
        <v>0.61163149048929399</v>
      </c>
      <c r="G3899">
        <v>0.48300875513642699</v>
      </c>
      <c r="H3899">
        <v>0.397194393084778</v>
      </c>
      <c r="I3899">
        <v>0.377765367685925</v>
      </c>
      <c r="J3899">
        <v>0.36765498095229099</v>
      </c>
      <c r="K3899">
        <v>0.29873572394154901</v>
      </c>
      <c r="L3899">
        <v>759.52157632293802</v>
      </c>
      <c r="M3899">
        <v>14.4050721451573</v>
      </c>
      <c r="N3899">
        <v>56.559335577266197</v>
      </c>
      <c r="O3899">
        <v>51.741098685381402</v>
      </c>
      <c r="P3899">
        <v>-4.7915879399415703E-2</v>
      </c>
      <c r="Q3899">
        <v>0.31165167891455198</v>
      </c>
      <c r="R3899">
        <v>0.98440918341513495</v>
      </c>
      <c r="S3899" t="s">
        <v>10515</v>
      </c>
      <c r="T3899" t="s">
        <v>13232</v>
      </c>
      <c r="U3899" t="s">
        <v>13232</v>
      </c>
      <c r="V3899" t="s">
        <v>13232</v>
      </c>
      <c r="W3899" t="s">
        <v>17069</v>
      </c>
      <c r="X3899">
        <v>4</v>
      </c>
      <c r="Y3899" t="s">
        <v>23492</v>
      </c>
      <c r="Z3899" t="s">
        <v>30030</v>
      </c>
      <c r="AA3899">
        <v>0.61950574979699957</v>
      </c>
      <c r="AB3899" t="str">
        <f>HYPERLINK("Melting_Curves/meltCurve_Q6P582_MZT2A.pdf", "Melting_Curves/meltCurve_Q6P582_MZT2A.pdf")</f>
        <v>Melting_Curves/meltCurve_Q6P582_MZT2A.pdf</v>
      </c>
    </row>
    <row r="3900" spans="1:28" x14ac:dyDescent="0.25">
      <c r="A3900" t="s">
        <v>3903</v>
      </c>
      <c r="B3900">
        <v>0.99930955844802105</v>
      </c>
      <c r="C3900">
        <v>1.0977632334954801</v>
      </c>
      <c r="D3900">
        <v>1.06966942659308</v>
      </c>
      <c r="E3900">
        <v>1.0272283617028799</v>
      </c>
      <c r="F3900">
        <v>0.93465089469867002</v>
      </c>
      <c r="G3900">
        <v>0.81707236032895503</v>
      </c>
      <c r="H3900">
        <v>0.79357600227843705</v>
      </c>
      <c r="I3900">
        <v>0.80359213602856405</v>
      </c>
      <c r="J3900">
        <v>0.70034553175209202</v>
      </c>
      <c r="K3900">
        <v>0.46636880773874501</v>
      </c>
      <c r="L3900">
        <v>660.45521034748299</v>
      </c>
      <c r="M3900">
        <v>9.2973435972324801</v>
      </c>
      <c r="O3900">
        <v>67.9827208634713</v>
      </c>
      <c r="P3900">
        <v>-3.4212048563310303E-2</v>
      </c>
      <c r="Q3900">
        <v>0</v>
      </c>
      <c r="R3900">
        <v>0.88012881773923402</v>
      </c>
      <c r="S3900" t="s">
        <v>10516</v>
      </c>
      <c r="T3900" t="s">
        <v>13232</v>
      </c>
      <c r="U3900" t="s">
        <v>13232</v>
      </c>
      <c r="V3900" t="s">
        <v>13232</v>
      </c>
      <c r="W3900" t="s">
        <v>17070</v>
      </c>
      <c r="X3900">
        <v>10</v>
      </c>
      <c r="Y3900" t="s">
        <v>23493</v>
      </c>
      <c r="Z3900" t="s">
        <v>30031</v>
      </c>
      <c r="AA3900">
        <v>0.87407531010983441</v>
      </c>
      <c r="AB3900" t="str">
        <f>HYPERLINK("Melting_Curves/meltCurve_Q6P587_FAHD1.pdf", "Melting_Curves/meltCurve_Q6P587_FAHD1.pdf")</f>
        <v>Melting_Curves/meltCurve_Q6P587_FAHD1.pdf</v>
      </c>
    </row>
    <row r="3901" spans="1:28" x14ac:dyDescent="0.25">
      <c r="A3901" t="s">
        <v>3904</v>
      </c>
      <c r="B3901">
        <v>0.99930955844802105</v>
      </c>
      <c r="C3901">
        <v>1.0561588255291201</v>
      </c>
      <c r="D3901">
        <v>0.89989364889162005</v>
      </c>
      <c r="E3901">
        <v>0.72657009458781896</v>
      </c>
      <c r="F3901">
        <v>0.63073903618614102</v>
      </c>
      <c r="G3901">
        <v>0.64442283601168104</v>
      </c>
      <c r="H3901">
        <v>0.56737923379505295</v>
      </c>
      <c r="I3901">
        <v>0.65296721805413405</v>
      </c>
      <c r="J3901">
        <v>0.61821309493979204</v>
      </c>
      <c r="K3901">
        <v>0.45212409089764999</v>
      </c>
      <c r="L3901">
        <v>1168.16979250855</v>
      </c>
      <c r="M3901">
        <v>23.9699521065947</v>
      </c>
      <c r="O3901">
        <v>48.3993366623368</v>
      </c>
      <c r="P3901">
        <v>-5.1780370143717003E-2</v>
      </c>
      <c r="Q3901">
        <v>0.581793607034783</v>
      </c>
      <c r="R3901">
        <v>0.90949418288259698</v>
      </c>
      <c r="S3901" t="s">
        <v>10517</v>
      </c>
      <c r="T3901" t="s">
        <v>13232</v>
      </c>
      <c r="U3901" t="s">
        <v>13232</v>
      </c>
      <c r="V3901" t="s">
        <v>13232</v>
      </c>
      <c r="W3901" t="s">
        <v>17071</v>
      </c>
      <c r="X3901">
        <v>7</v>
      </c>
      <c r="Y3901" t="s">
        <v>23494</v>
      </c>
      <c r="Z3901" t="s">
        <v>30032</v>
      </c>
      <c r="AA3901">
        <v>0.70759621605576262</v>
      </c>
      <c r="AB3901" t="str">
        <f>HYPERLINK("Melting_Curves/meltCurve_Q6P5Z2_PKN3.pdf", "Melting_Curves/meltCurve_Q6P5Z2_PKN3.pdf")</f>
        <v>Melting_Curves/meltCurve_Q6P5Z2_PKN3.pdf</v>
      </c>
    </row>
    <row r="3902" spans="1:28" x14ac:dyDescent="0.25">
      <c r="A3902" t="s">
        <v>3905</v>
      </c>
      <c r="B3902">
        <v>0.99930955844802105</v>
      </c>
      <c r="C3902">
        <v>0.940697482873325</v>
      </c>
      <c r="D3902">
        <v>0.50345969011193403</v>
      </c>
      <c r="E3902">
        <v>0.37933953487946798</v>
      </c>
      <c r="F3902">
        <v>0.20776042385568999</v>
      </c>
      <c r="G3902">
        <v>0.158257852547801</v>
      </c>
      <c r="H3902">
        <v>8.08465752307998E-2</v>
      </c>
      <c r="I3902">
        <v>8.5759476843716195E-2</v>
      </c>
      <c r="J3902">
        <v>9.9217265559040799E-2</v>
      </c>
      <c r="K3902">
        <v>6.3576109900524203E-2</v>
      </c>
      <c r="L3902">
        <v>818.75003358953995</v>
      </c>
      <c r="M3902">
        <v>17.4663963518896</v>
      </c>
      <c r="N3902">
        <v>47.403697052487203</v>
      </c>
      <c r="O3902">
        <v>46.274197211538599</v>
      </c>
      <c r="P3902">
        <v>-8.6027364771885301E-2</v>
      </c>
      <c r="Q3902">
        <v>8.8391747379633706E-2</v>
      </c>
      <c r="R3902">
        <v>0.97369630750823</v>
      </c>
      <c r="S3902" t="s">
        <v>10518</v>
      </c>
      <c r="T3902" t="s">
        <v>13232</v>
      </c>
      <c r="U3902" t="s">
        <v>13232</v>
      </c>
      <c r="V3902" t="s">
        <v>13232</v>
      </c>
      <c r="W3902" t="s">
        <v>17072</v>
      </c>
      <c r="X3902">
        <v>1</v>
      </c>
      <c r="Y3902" t="s">
        <v>23495</v>
      </c>
      <c r="Z3902" t="s">
        <v>30033</v>
      </c>
      <c r="AA3902">
        <v>0.31539577466556451</v>
      </c>
      <c r="AB3902" t="str">
        <f>HYPERLINK("Melting_Curves/meltCurve_Q6P6B7_2_ANKRD16.pdf", "Melting_Curves/meltCurve_Q6P6B7_2_ANKRD16.pdf")</f>
        <v>Melting_Curves/meltCurve_Q6P6B7_2_ANKRD16.pdf</v>
      </c>
    </row>
    <row r="3903" spans="1:28" x14ac:dyDescent="0.25">
      <c r="A3903" t="s">
        <v>3906</v>
      </c>
      <c r="B3903">
        <v>0.99930955844802105</v>
      </c>
      <c r="C3903">
        <v>1.1152092366304101</v>
      </c>
      <c r="D3903">
        <v>0.81764755825378399</v>
      </c>
      <c r="E3903">
        <v>0.55388204215188497</v>
      </c>
      <c r="F3903">
        <v>0.42901501746235998</v>
      </c>
      <c r="G3903">
        <v>0.36173579812817103</v>
      </c>
      <c r="H3903">
        <v>0.28309753923525699</v>
      </c>
      <c r="I3903">
        <v>0.28317554442986698</v>
      </c>
      <c r="J3903">
        <v>0.257929602851037</v>
      </c>
      <c r="K3903">
        <v>0.194157183635772</v>
      </c>
      <c r="L3903">
        <v>982.75327742680599</v>
      </c>
      <c r="M3903">
        <v>19.9126702894796</v>
      </c>
      <c r="N3903">
        <v>51.236447375214503</v>
      </c>
      <c r="O3903">
        <v>48.863505739747602</v>
      </c>
      <c r="P3903">
        <v>-7.5443219194590294E-2</v>
      </c>
      <c r="Q3903">
        <v>0.259507032022399</v>
      </c>
      <c r="R3903">
        <v>0.96630980067650096</v>
      </c>
      <c r="S3903" t="s">
        <v>10519</v>
      </c>
      <c r="T3903" t="s">
        <v>13232</v>
      </c>
      <c r="U3903" t="s">
        <v>13232</v>
      </c>
      <c r="V3903" t="s">
        <v>13232</v>
      </c>
      <c r="W3903" t="s">
        <v>17073</v>
      </c>
      <c r="X3903">
        <v>15</v>
      </c>
      <c r="Y3903" t="s">
        <v>23496</v>
      </c>
      <c r="Z3903" t="s">
        <v>30034</v>
      </c>
      <c r="AA3903">
        <v>0.50080637205736533</v>
      </c>
      <c r="AB3903" t="str">
        <f>HYPERLINK("Melting_Curves/meltCurve_Q6P6C2_ALKBH5.pdf", "Melting_Curves/meltCurve_Q6P6C2_ALKBH5.pdf")</f>
        <v>Melting_Curves/meltCurve_Q6P6C2_ALKBH5.pdf</v>
      </c>
    </row>
    <row r="3904" spans="1:28" x14ac:dyDescent="0.25">
      <c r="A3904" t="s">
        <v>3907</v>
      </c>
      <c r="B3904">
        <v>0.99930955844802105</v>
      </c>
      <c r="C3904">
        <v>1.0960073176744201</v>
      </c>
      <c r="D3904">
        <v>1.0018696847516499</v>
      </c>
      <c r="E3904">
        <v>0.93394803929925596</v>
      </c>
      <c r="F3904">
        <v>0.84984956549419299</v>
      </c>
      <c r="G3904">
        <v>0.77085055294540406</v>
      </c>
      <c r="H3904">
        <v>0.53021626822427304</v>
      </c>
      <c r="I3904">
        <v>0.23963884807206201</v>
      </c>
      <c r="J3904">
        <v>0.18085238924111399</v>
      </c>
      <c r="K3904">
        <v>0.13204527726988799</v>
      </c>
      <c r="L3904">
        <v>961.20526714551295</v>
      </c>
      <c r="M3904">
        <v>15.8306934760639</v>
      </c>
      <c r="N3904">
        <v>60.717824436210698</v>
      </c>
      <c r="O3904">
        <v>59.773722393301703</v>
      </c>
      <c r="P3904">
        <v>-6.6216338318752094E-2</v>
      </c>
      <c r="Q3904">
        <v>0</v>
      </c>
      <c r="R3904">
        <v>0.98167122786940098</v>
      </c>
      <c r="S3904" t="s">
        <v>10520</v>
      </c>
      <c r="T3904" t="s">
        <v>13232</v>
      </c>
      <c r="U3904" t="s">
        <v>13232</v>
      </c>
      <c r="V3904" t="s">
        <v>13232</v>
      </c>
      <c r="W3904" t="s">
        <v>17074</v>
      </c>
      <c r="X3904">
        <v>3</v>
      </c>
      <c r="Y3904" t="s">
        <v>23497</v>
      </c>
      <c r="Z3904" t="s">
        <v>30035</v>
      </c>
      <c r="AA3904">
        <v>0.69531637110121014</v>
      </c>
      <c r="AB3904" t="str">
        <f>HYPERLINK("Melting_Curves/meltCurve_Q6P9B6_KIAA1609.pdf", "Melting_Curves/meltCurve_Q6P9B6_KIAA1609.pdf")</f>
        <v>Melting_Curves/meltCurve_Q6P9B6_KIAA1609.pdf</v>
      </c>
    </row>
    <row r="3905" spans="1:28" x14ac:dyDescent="0.25">
      <c r="A3905" t="s">
        <v>3908</v>
      </c>
      <c r="B3905">
        <v>0.99930955844802105</v>
      </c>
      <c r="C3905">
        <v>0.56077752156288097</v>
      </c>
      <c r="D3905">
        <v>0.557516551364725</v>
      </c>
      <c r="E3905">
        <v>0.36701780384652599</v>
      </c>
      <c r="F3905">
        <v>0.17690349471565001</v>
      </c>
      <c r="G3905">
        <v>0.12132035226790699</v>
      </c>
      <c r="H3905">
        <v>7.2602965019163995E-2</v>
      </c>
      <c r="I3905">
        <v>6.7649984023613302E-2</v>
      </c>
      <c r="J3905">
        <v>6.3604338817362494E-2</v>
      </c>
      <c r="K3905">
        <v>5.6997028730781503E-2</v>
      </c>
      <c r="L3905">
        <v>543.11456138764902</v>
      </c>
      <c r="M3905">
        <v>11.7863080357982</v>
      </c>
      <c r="N3905">
        <v>46.365445438648699</v>
      </c>
      <c r="O3905">
        <v>44.813655214733899</v>
      </c>
      <c r="P3905">
        <v>-6.3468036227458599E-2</v>
      </c>
      <c r="Q3905">
        <v>3.4982363710573103E-2</v>
      </c>
      <c r="R3905">
        <v>0.945816941209359</v>
      </c>
      <c r="S3905" t="s">
        <v>10521</v>
      </c>
      <c r="T3905" t="s">
        <v>13232</v>
      </c>
      <c r="U3905" t="s">
        <v>13232</v>
      </c>
      <c r="V3905" t="s">
        <v>13232</v>
      </c>
      <c r="W3905" t="s">
        <v>17075</v>
      </c>
      <c r="X3905">
        <v>4</v>
      </c>
      <c r="Y3905" t="s">
        <v>23498</v>
      </c>
      <c r="Z3905" t="s">
        <v>30036</v>
      </c>
      <c r="AA3905">
        <v>0.27564582057629328</v>
      </c>
      <c r="AB3905" t="str">
        <f>HYPERLINK("Melting_Curves/meltCurve_Q6P9B9_INTS5.pdf", "Melting_Curves/meltCurve_Q6P9B9_INTS5.pdf")</f>
        <v>Melting_Curves/meltCurve_Q6P9B9_INTS5.pdf</v>
      </c>
    </row>
    <row r="3906" spans="1:28" x14ac:dyDescent="0.25">
      <c r="A3906" t="s">
        <v>3909</v>
      </c>
      <c r="B3906">
        <v>0.99930955844802105</v>
      </c>
      <c r="C3906">
        <v>0.995865396761346</v>
      </c>
      <c r="D3906">
        <v>0.93761668735377901</v>
      </c>
      <c r="E3906">
        <v>0.83179694889463296</v>
      </c>
      <c r="F3906">
        <v>0.62729076999578604</v>
      </c>
      <c r="G3906">
        <v>0.52733955329365101</v>
      </c>
      <c r="H3906">
        <v>0.449124032961155</v>
      </c>
      <c r="I3906">
        <v>0.47204927107380201</v>
      </c>
      <c r="J3906">
        <v>0.429082048571513</v>
      </c>
      <c r="K3906">
        <v>0.35768137296197</v>
      </c>
      <c r="L3906">
        <v>889.59151096155495</v>
      </c>
      <c r="M3906">
        <v>17.058533963191799</v>
      </c>
      <c r="N3906">
        <v>57.701622493985496</v>
      </c>
      <c r="O3906">
        <v>51.448513326654101</v>
      </c>
      <c r="P3906">
        <v>-4.9476747576563902E-2</v>
      </c>
      <c r="Q3906">
        <v>0.40314924733297303</v>
      </c>
      <c r="R3906">
        <v>0.98782240276663502</v>
      </c>
      <c r="S3906" t="s">
        <v>10522</v>
      </c>
      <c r="T3906" t="s">
        <v>13232</v>
      </c>
      <c r="U3906" t="s">
        <v>13232</v>
      </c>
      <c r="V3906" t="s">
        <v>13232</v>
      </c>
      <c r="W3906" t="s">
        <v>17076</v>
      </c>
      <c r="X3906">
        <v>20</v>
      </c>
      <c r="Y3906" t="s">
        <v>23499</v>
      </c>
      <c r="Z3906" t="s">
        <v>30037</v>
      </c>
      <c r="AA3906">
        <v>0.65569996342041437</v>
      </c>
      <c r="AB3906" t="str">
        <f>HYPERLINK("Melting_Curves/meltCurve_Q6PCB5_RSBN1L.pdf", "Melting_Curves/meltCurve_Q6PCB5_RSBN1L.pdf")</f>
        <v>Melting_Curves/meltCurve_Q6PCB5_RSBN1L.pdf</v>
      </c>
    </row>
    <row r="3907" spans="1:28" x14ac:dyDescent="0.25">
      <c r="A3907" t="s">
        <v>3910</v>
      </c>
      <c r="B3907">
        <v>0.99930955844802105</v>
      </c>
      <c r="C3907">
        <v>1.04700672778129</v>
      </c>
      <c r="D3907">
        <v>0.99854551887465004</v>
      </c>
      <c r="E3907">
        <v>0.93807372606453698</v>
      </c>
      <c r="F3907">
        <v>0.74535285995065603</v>
      </c>
      <c r="G3907">
        <v>0.33526628157353799</v>
      </c>
      <c r="H3907">
        <v>0.148020725131184</v>
      </c>
      <c r="I3907">
        <v>0.105413408367534</v>
      </c>
      <c r="J3907">
        <v>8.4754462152521706E-2</v>
      </c>
      <c r="K3907">
        <v>7.4829996932605405E-2</v>
      </c>
      <c r="L3907">
        <v>1435.7394638759999</v>
      </c>
      <c r="M3907">
        <v>26.123250938940998</v>
      </c>
      <c r="N3907">
        <v>55.319343340167798</v>
      </c>
      <c r="O3907">
        <v>54.641179386622497</v>
      </c>
      <c r="P3907">
        <v>-0.11020099745741301</v>
      </c>
      <c r="Q3907">
        <v>7.7994623456159901E-2</v>
      </c>
      <c r="R3907">
        <v>0.99857896603048901</v>
      </c>
      <c r="S3907" t="s">
        <v>10523</v>
      </c>
      <c r="T3907" t="s">
        <v>13232</v>
      </c>
      <c r="U3907" t="s">
        <v>13232</v>
      </c>
      <c r="V3907" t="s">
        <v>13232</v>
      </c>
      <c r="W3907" t="s">
        <v>17077</v>
      </c>
      <c r="X3907">
        <v>12</v>
      </c>
      <c r="Y3907" t="s">
        <v>23500</v>
      </c>
      <c r="Z3907" t="s">
        <v>30038</v>
      </c>
      <c r="AA3907">
        <v>0.54566606421945341</v>
      </c>
      <c r="AB3907" t="str">
        <f>HYPERLINK("Melting_Curves/meltCurve_Q6PCE3_PGM2L1.pdf", "Melting_Curves/meltCurve_Q6PCE3_PGM2L1.pdf")</f>
        <v>Melting_Curves/meltCurve_Q6PCE3_PGM2L1.pdf</v>
      </c>
    </row>
    <row r="3908" spans="1:28" x14ac:dyDescent="0.25">
      <c r="A3908" t="s">
        <v>3911</v>
      </c>
      <c r="B3908">
        <v>0.99930955844802105</v>
      </c>
      <c r="C3908">
        <v>0.985687560273666</v>
      </c>
      <c r="D3908">
        <v>0.82107315612634901</v>
      </c>
      <c r="E3908">
        <v>0.55688849875623503</v>
      </c>
      <c r="F3908">
        <v>0.47016992750544501</v>
      </c>
      <c r="G3908">
        <v>0.36546799206938901</v>
      </c>
      <c r="H3908">
        <v>0.27260251758339599</v>
      </c>
      <c r="I3908">
        <v>0.35710010441615397</v>
      </c>
      <c r="J3908">
        <v>0.34623389347738498</v>
      </c>
      <c r="K3908">
        <v>0.27180926566121599</v>
      </c>
      <c r="L3908">
        <v>911.364227101334</v>
      </c>
      <c r="M3908">
        <v>18.6769478735993</v>
      </c>
      <c r="N3908">
        <v>51.466039516992197</v>
      </c>
      <c r="O3908">
        <v>48.247127109419402</v>
      </c>
      <c r="P3908">
        <v>-6.6755538057517799E-2</v>
      </c>
      <c r="Q3908">
        <v>0.31024585017075701</v>
      </c>
      <c r="R3908">
        <v>0.98624543545853904</v>
      </c>
      <c r="S3908" t="s">
        <v>10524</v>
      </c>
      <c r="T3908" t="s">
        <v>13232</v>
      </c>
      <c r="U3908" t="s">
        <v>13232</v>
      </c>
      <c r="V3908" t="s">
        <v>13232</v>
      </c>
      <c r="W3908" t="s">
        <v>17078</v>
      </c>
      <c r="X3908">
        <v>16</v>
      </c>
      <c r="Y3908" t="s">
        <v>23501</v>
      </c>
      <c r="Z3908" t="s">
        <v>30039</v>
      </c>
      <c r="AA3908">
        <v>0.52361934215902262</v>
      </c>
      <c r="AB3908" t="str">
        <f>HYPERLINK("Melting_Curves/meltCurve_Q6PCT2_2_FBXL19.pdf", "Melting_Curves/meltCurve_Q6PCT2_2_FBXL19.pdf")</f>
        <v>Melting_Curves/meltCurve_Q6PCT2_2_FBXL19.pdf</v>
      </c>
    </row>
    <row r="3909" spans="1:28" x14ac:dyDescent="0.25">
      <c r="A3909" t="s">
        <v>3912</v>
      </c>
      <c r="B3909">
        <v>0.99930955844802105</v>
      </c>
      <c r="C3909">
        <v>0.94596212930471302</v>
      </c>
      <c r="D3909">
        <v>0.67188594638896404</v>
      </c>
      <c r="E3909">
        <v>0.43450415717429203</v>
      </c>
      <c r="F3909">
        <v>0.30581113383838099</v>
      </c>
      <c r="G3909">
        <v>0.188449577877113</v>
      </c>
      <c r="H3909">
        <v>0.120900304728566</v>
      </c>
      <c r="I3909">
        <v>0.105790302342693</v>
      </c>
      <c r="J3909">
        <v>9.47050729330247E-2</v>
      </c>
      <c r="K3909">
        <v>6.8994972549212205E-2</v>
      </c>
      <c r="L3909">
        <v>735.31928054296804</v>
      </c>
      <c r="M3909">
        <v>15.1466982529333</v>
      </c>
      <c r="N3909">
        <v>49.127607836231697</v>
      </c>
      <c r="O3909">
        <v>47.723896520115098</v>
      </c>
      <c r="P3909">
        <v>-7.2845068215764794E-2</v>
      </c>
      <c r="Q3909">
        <v>8.2014513857321503E-2</v>
      </c>
      <c r="R3909">
        <v>0.99280150805746104</v>
      </c>
      <c r="S3909" t="s">
        <v>10525</v>
      </c>
      <c r="T3909" t="s">
        <v>13232</v>
      </c>
      <c r="U3909" t="s">
        <v>13232</v>
      </c>
      <c r="V3909" t="s">
        <v>13232</v>
      </c>
      <c r="W3909" t="s">
        <v>17079</v>
      </c>
      <c r="X3909">
        <v>35</v>
      </c>
      <c r="Y3909" t="s">
        <v>23502</v>
      </c>
      <c r="Z3909" t="s">
        <v>30040</v>
      </c>
      <c r="AA3909">
        <v>0.36616579402250099</v>
      </c>
      <c r="AB3909" t="str">
        <f>HYPERLINK("Melting_Curves/meltCurve_Q6PD62_CTR9.pdf", "Melting_Curves/meltCurve_Q6PD62_CTR9.pdf")</f>
        <v>Melting_Curves/meltCurve_Q6PD62_CTR9.pdf</v>
      </c>
    </row>
    <row r="3910" spans="1:28" x14ac:dyDescent="0.25">
      <c r="A3910" t="s">
        <v>3913</v>
      </c>
      <c r="B3910">
        <v>0.99930955844802105</v>
      </c>
      <c r="C3910">
        <v>1.04503687107947</v>
      </c>
      <c r="D3910">
        <v>0.99832204695600602</v>
      </c>
      <c r="E3910">
        <v>0.77117986489983203</v>
      </c>
      <c r="F3910">
        <v>0.30324067123845599</v>
      </c>
      <c r="G3910">
        <v>0.168119194972769</v>
      </c>
      <c r="H3910">
        <v>0.11170760764860301</v>
      </c>
      <c r="I3910">
        <v>0.108411335962665</v>
      </c>
      <c r="J3910">
        <v>0.10766200026224899</v>
      </c>
      <c r="K3910">
        <v>7.8973758535620706E-2</v>
      </c>
      <c r="L3910">
        <v>2000.6486218453999</v>
      </c>
      <c r="M3910">
        <v>38.970704971565503</v>
      </c>
      <c r="N3910">
        <v>51.665033284281598</v>
      </c>
      <c r="O3910">
        <v>51.202623908124501</v>
      </c>
      <c r="P3910">
        <v>-0.169436354546111</v>
      </c>
      <c r="Q3910">
        <v>0.109529491213125</v>
      </c>
      <c r="R3910">
        <v>0.99708195158253299</v>
      </c>
      <c r="S3910" t="s">
        <v>10526</v>
      </c>
      <c r="T3910" t="s">
        <v>13232</v>
      </c>
      <c r="U3910" t="s">
        <v>13232</v>
      </c>
      <c r="V3910" t="s">
        <v>13232</v>
      </c>
      <c r="W3910" t="s">
        <v>17080</v>
      </c>
      <c r="X3910">
        <v>8</v>
      </c>
      <c r="Y3910" t="s">
        <v>23503</v>
      </c>
      <c r="Z3910" t="s">
        <v>30041</v>
      </c>
      <c r="AA3910">
        <v>0.44937509483631699</v>
      </c>
      <c r="AB3910" t="str">
        <f>HYPERLINK("Melting_Curves/meltCurve_Q6PD74_AAGAB.pdf", "Melting_Curves/meltCurve_Q6PD74_AAGAB.pdf")</f>
        <v>Melting_Curves/meltCurve_Q6PD74_AAGAB.pdf</v>
      </c>
    </row>
    <row r="3911" spans="1:28" x14ac:dyDescent="0.25">
      <c r="A3911" t="s">
        <v>3914</v>
      </c>
      <c r="B3911">
        <v>0.99930955844802105</v>
      </c>
      <c r="C3911">
        <v>1.2964338182608199</v>
      </c>
      <c r="D3911">
        <v>1.2609456888137101</v>
      </c>
      <c r="E3911">
        <v>1.2577353487906899</v>
      </c>
      <c r="F3911">
        <v>0.903628385477523</v>
      </c>
      <c r="G3911">
        <v>0.66940459710345701</v>
      </c>
      <c r="H3911">
        <v>0.53393330506931802</v>
      </c>
      <c r="I3911">
        <v>0.54225420749474196</v>
      </c>
      <c r="J3911">
        <v>0.26126669208103698</v>
      </c>
      <c r="K3911">
        <v>0.33266029141665798</v>
      </c>
      <c r="L3911">
        <v>1263.5868428783299</v>
      </c>
      <c r="M3911">
        <v>21.649213736813099</v>
      </c>
      <c r="N3911">
        <v>61.316580193675399</v>
      </c>
      <c r="O3911">
        <v>57.875253886383298</v>
      </c>
      <c r="P3911">
        <v>-6.3259982222260897E-2</v>
      </c>
      <c r="Q3911">
        <v>0.32355964956150002</v>
      </c>
      <c r="R3911">
        <v>0.80610624993116697</v>
      </c>
      <c r="S3911" t="s">
        <v>10527</v>
      </c>
      <c r="T3911" t="s">
        <v>13232</v>
      </c>
      <c r="U3911" t="s">
        <v>13232</v>
      </c>
      <c r="V3911" t="s">
        <v>13232</v>
      </c>
      <c r="W3911" t="s">
        <v>17081</v>
      </c>
      <c r="X3911">
        <v>1</v>
      </c>
      <c r="Y3911" t="s">
        <v>23504</v>
      </c>
      <c r="Z3911" t="s">
        <v>30042</v>
      </c>
      <c r="AA3911">
        <v>0.74453474118168261</v>
      </c>
      <c r="AB3911" t="str">
        <f>HYPERLINK("Melting_Curves/meltCurve_Q6PEV8_2_FAM199X.pdf", "Melting_Curves/meltCurve_Q6PEV8_2_FAM199X.pdf")</f>
        <v>Melting_Curves/meltCurve_Q6PEV8_2_FAM199X.pdf</v>
      </c>
    </row>
    <row r="3912" spans="1:28" x14ac:dyDescent="0.25">
      <c r="A3912" t="s">
        <v>3915</v>
      </c>
      <c r="B3912">
        <v>0.99930955844802105</v>
      </c>
      <c r="C3912">
        <v>0.86842897907932304</v>
      </c>
      <c r="D3912">
        <v>0.60257346953306401</v>
      </c>
      <c r="E3912">
        <v>0.47351534616702801</v>
      </c>
      <c r="F3912">
        <v>0.40197495818668899</v>
      </c>
      <c r="G3912">
        <v>0.31072216990051299</v>
      </c>
      <c r="H3912">
        <v>0.23708694284317799</v>
      </c>
      <c r="I3912">
        <v>0.23170689233335401</v>
      </c>
      <c r="J3912">
        <v>0.22981600022144899</v>
      </c>
      <c r="K3912">
        <v>0.19541590972040501</v>
      </c>
      <c r="L3912">
        <v>632.13387645728801</v>
      </c>
      <c r="M3912">
        <v>13.3768818076569</v>
      </c>
      <c r="N3912">
        <v>49.2946502101994</v>
      </c>
      <c r="O3912">
        <v>46.237096154218797</v>
      </c>
      <c r="P3912">
        <v>-5.6968755269497899E-2</v>
      </c>
      <c r="Q3912">
        <v>0.21247610183137999</v>
      </c>
      <c r="R3912">
        <v>0.98126976613925798</v>
      </c>
      <c r="S3912" t="s">
        <v>10528</v>
      </c>
      <c r="T3912" t="s">
        <v>13232</v>
      </c>
      <c r="U3912" t="s">
        <v>13232</v>
      </c>
      <c r="V3912" t="s">
        <v>13232</v>
      </c>
      <c r="W3912" t="s">
        <v>17082</v>
      </c>
      <c r="X3912">
        <v>14</v>
      </c>
      <c r="Y3912" t="s">
        <v>23505</v>
      </c>
      <c r="Z3912" t="s">
        <v>30043</v>
      </c>
      <c r="AA3912">
        <v>0.42940489483602912</v>
      </c>
      <c r="AB3912" t="str">
        <f>HYPERLINK("Melting_Curves/meltCurve_Q6PFW1_7_PPIP5K1.pdf", "Melting_Curves/meltCurve_Q6PFW1_7_PPIP5K1.pdf")</f>
        <v>Melting_Curves/meltCurve_Q6PFW1_7_PPIP5K1.pdf</v>
      </c>
    </row>
    <row r="3913" spans="1:28" x14ac:dyDescent="0.25">
      <c r="A3913" t="s">
        <v>3916</v>
      </c>
      <c r="B3913">
        <v>0.99930955844802105</v>
      </c>
      <c r="C3913">
        <v>1.0721725836551099</v>
      </c>
      <c r="D3913">
        <v>1.07127022162895</v>
      </c>
      <c r="E3913">
        <v>0.95002693535795302</v>
      </c>
      <c r="F3913">
        <v>0.84622512693326102</v>
      </c>
      <c r="G3913">
        <v>0.70887128814573197</v>
      </c>
      <c r="H3913">
        <v>0.72396359764917195</v>
      </c>
      <c r="I3913">
        <v>0.77180637266286101</v>
      </c>
      <c r="J3913">
        <v>0.89892758694424302</v>
      </c>
      <c r="K3913">
        <v>0.64125621670183897</v>
      </c>
      <c r="L3913">
        <v>2263.09340445317</v>
      </c>
      <c r="M3913">
        <v>43.381302415851401</v>
      </c>
      <c r="O3913">
        <v>52.056995144506701</v>
      </c>
      <c r="P3913">
        <v>-5.22611083076404E-2</v>
      </c>
      <c r="Q3913">
        <v>0.74914979290922701</v>
      </c>
      <c r="R3913">
        <v>0.77576940260278904</v>
      </c>
      <c r="S3913" t="s">
        <v>10529</v>
      </c>
      <c r="T3913" t="s">
        <v>13232</v>
      </c>
      <c r="U3913" t="s">
        <v>13232</v>
      </c>
      <c r="V3913" t="s">
        <v>13232</v>
      </c>
      <c r="W3913" t="s">
        <v>17083</v>
      </c>
      <c r="X3913">
        <v>9</v>
      </c>
      <c r="Y3913" t="s">
        <v>23506</v>
      </c>
      <c r="Z3913" t="s">
        <v>30044</v>
      </c>
      <c r="AA3913">
        <v>0.85165826812526046</v>
      </c>
      <c r="AB3913" t="str">
        <f>HYPERLINK("Melting_Curves/meltCurve_Q6PGN9_2_PSRC1.pdf", "Melting_Curves/meltCurve_Q6PGN9_2_PSRC1.pdf")</f>
        <v>Melting_Curves/meltCurve_Q6PGN9_2_PSRC1.pdf</v>
      </c>
    </row>
    <row r="3914" spans="1:28" x14ac:dyDescent="0.25">
      <c r="A3914" t="s">
        <v>3917</v>
      </c>
      <c r="B3914">
        <v>0.99930955844802105</v>
      </c>
      <c r="C3914">
        <v>0.868863268904429</v>
      </c>
      <c r="D3914">
        <v>0.91633482365015195</v>
      </c>
      <c r="E3914">
        <v>0.90330109830381899</v>
      </c>
      <c r="F3914">
        <v>0.79303643217497599</v>
      </c>
      <c r="G3914">
        <v>0.76537908646847597</v>
      </c>
      <c r="H3914">
        <v>0.77371552883357597</v>
      </c>
      <c r="I3914">
        <v>0.83335007180213505</v>
      </c>
      <c r="J3914">
        <v>0.77882685951510999</v>
      </c>
      <c r="K3914">
        <v>0.61554076171405103</v>
      </c>
      <c r="L3914">
        <v>186.947167690143</v>
      </c>
      <c r="M3914">
        <v>1.83251045975189</v>
      </c>
      <c r="O3914">
        <v>57.328986448542999</v>
      </c>
      <c r="P3914">
        <v>-8.8712524188154993E-3</v>
      </c>
      <c r="Q3914">
        <v>0</v>
      </c>
      <c r="R3914">
        <v>0.70685168685901201</v>
      </c>
      <c r="S3914" t="s">
        <v>10530</v>
      </c>
      <c r="T3914" t="s">
        <v>13232</v>
      </c>
      <c r="U3914" t="s">
        <v>13232</v>
      </c>
      <c r="V3914" t="s">
        <v>13232</v>
      </c>
      <c r="W3914" t="s">
        <v>17084</v>
      </c>
      <c r="X3914">
        <v>2</v>
      </c>
      <c r="Y3914" t="s">
        <v>23507</v>
      </c>
      <c r="Z3914" t="s">
        <v>30045</v>
      </c>
      <c r="AA3914">
        <v>0.82556843667931823</v>
      </c>
      <c r="AB3914" t="str">
        <f>HYPERLINK("Melting_Curves/meltCurve_Q6PH81_2_C16orf87.pdf", "Melting_Curves/meltCurve_Q6PH81_2_C16orf87.pdf")</f>
        <v>Melting_Curves/meltCurve_Q6PH81_2_C16orf87.pdf</v>
      </c>
    </row>
    <row r="3915" spans="1:28" x14ac:dyDescent="0.25">
      <c r="A3915" t="s">
        <v>3918</v>
      </c>
      <c r="B3915">
        <v>0.99930955844802105</v>
      </c>
      <c r="C3915">
        <v>0.88376334933897205</v>
      </c>
      <c r="D3915">
        <v>0.614264709296232</v>
      </c>
      <c r="E3915">
        <v>0.32989440312747298</v>
      </c>
      <c r="F3915">
        <v>0.179461103302928</v>
      </c>
      <c r="G3915">
        <v>0.115216498068553</v>
      </c>
      <c r="H3915">
        <v>8.7103021290625804E-2</v>
      </c>
      <c r="I3915">
        <v>8.38622861634125E-2</v>
      </c>
      <c r="J3915">
        <v>8.4417394759790598E-2</v>
      </c>
      <c r="K3915">
        <v>5.42361523684525E-2</v>
      </c>
      <c r="L3915">
        <v>866.69621271957999</v>
      </c>
      <c r="M3915">
        <v>18.386283270353601</v>
      </c>
      <c r="N3915">
        <v>47.546407303942203</v>
      </c>
      <c r="O3915">
        <v>46.591193682629303</v>
      </c>
      <c r="P3915">
        <v>-9.1458582746851994E-2</v>
      </c>
      <c r="Q3915">
        <v>7.3010868434647297E-2</v>
      </c>
      <c r="R3915">
        <v>0.99761665153656798</v>
      </c>
      <c r="S3915" t="s">
        <v>10531</v>
      </c>
      <c r="T3915" t="s">
        <v>13232</v>
      </c>
      <c r="U3915" t="s">
        <v>13232</v>
      </c>
      <c r="V3915" t="s">
        <v>13232</v>
      </c>
      <c r="W3915" t="s">
        <v>17085</v>
      </c>
      <c r="X3915">
        <v>4</v>
      </c>
      <c r="Y3915" t="s">
        <v>23508</v>
      </c>
      <c r="Z3915" t="s">
        <v>30046</v>
      </c>
      <c r="AA3915">
        <v>0.30980400386510271</v>
      </c>
      <c r="AB3915" t="str">
        <f>HYPERLINK("Melting_Curves/meltCurve_Q6PHR2_3_ULK3.pdf", "Melting_Curves/meltCurve_Q6PHR2_3_ULK3.pdf")</f>
        <v>Melting_Curves/meltCurve_Q6PHR2_3_ULK3.pdf</v>
      </c>
    </row>
    <row r="3916" spans="1:28" x14ac:dyDescent="0.25">
      <c r="A3916" t="s">
        <v>3919</v>
      </c>
      <c r="B3916">
        <v>0.99930955844802105</v>
      </c>
      <c r="C3916">
        <v>0.70192064713526403</v>
      </c>
      <c r="D3916">
        <v>0.67294115267507604</v>
      </c>
      <c r="E3916">
        <v>0.56728563384945196</v>
      </c>
      <c r="F3916">
        <v>0.28383392748151498</v>
      </c>
      <c r="G3916">
        <v>0.18429098822685799</v>
      </c>
      <c r="H3916">
        <v>0.116901509212713</v>
      </c>
      <c r="I3916">
        <v>0.10920267503695</v>
      </c>
      <c r="J3916">
        <v>9.6338189891929202E-2</v>
      </c>
      <c r="K3916">
        <v>7.0878018489960198E-2</v>
      </c>
      <c r="L3916">
        <v>498.13850061313502</v>
      </c>
      <c r="M3916">
        <v>10.1403726779086</v>
      </c>
      <c r="N3916">
        <v>49.293571893054001</v>
      </c>
      <c r="O3916">
        <v>47.328656312509899</v>
      </c>
      <c r="P3916">
        <v>-5.2671232464239201E-2</v>
      </c>
      <c r="Q3916">
        <v>1.7113179740974201E-2</v>
      </c>
      <c r="R3916">
        <v>0.96366978032792805</v>
      </c>
      <c r="S3916" t="s">
        <v>10532</v>
      </c>
      <c r="T3916" t="s">
        <v>13232</v>
      </c>
      <c r="U3916" t="s">
        <v>13232</v>
      </c>
      <c r="V3916" t="s">
        <v>13232</v>
      </c>
      <c r="W3916" t="s">
        <v>17086</v>
      </c>
      <c r="X3916">
        <v>2</v>
      </c>
      <c r="Y3916" t="s">
        <v>23509</v>
      </c>
      <c r="Z3916" t="s">
        <v>30047</v>
      </c>
      <c r="AA3916">
        <v>0.36272730995679953</v>
      </c>
      <c r="AB3916" t="str">
        <f>HYPERLINK("Melting_Curves/meltCurve_Q6PI47_2_KCTD18.pdf", "Melting_Curves/meltCurve_Q6PI47_2_KCTD18.pdf")</f>
        <v>Melting_Curves/meltCurve_Q6PI47_2_KCTD18.pdf</v>
      </c>
    </row>
    <row r="3917" spans="1:28" x14ac:dyDescent="0.25">
      <c r="A3917" t="s">
        <v>3920</v>
      </c>
      <c r="B3917">
        <v>0.99930955844802105</v>
      </c>
      <c r="C3917">
        <v>0.68479346292696996</v>
      </c>
      <c r="D3917">
        <v>0.472022327772883</v>
      </c>
      <c r="E3917">
        <v>0.27491945404914298</v>
      </c>
      <c r="F3917">
        <v>0.15321607010430899</v>
      </c>
      <c r="G3917">
        <v>8.75393667768289E-2</v>
      </c>
      <c r="H3917">
        <v>5.7231471677014097E-2</v>
      </c>
      <c r="I3917">
        <v>4.3434374394152001E-2</v>
      </c>
      <c r="J3917">
        <v>4.0769558865843297E-2</v>
      </c>
      <c r="K3917">
        <v>3.0315241342339001E-2</v>
      </c>
      <c r="L3917">
        <v>699.08555872486704</v>
      </c>
      <c r="M3917">
        <v>15.308914679894601</v>
      </c>
      <c r="N3917">
        <v>45.9071265783505</v>
      </c>
      <c r="O3917">
        <v>44.907347785737699</v>
      </c>
      <c r="P3917">
        <v>-8.1930629485155698E-2</v>
      </c>
      <c r="Q3917">
        <v>3.8744922629683098E-2</v>
      </c>
      <c r="R3917">
        <v>0.98537709789747796</v>
      </c>
      <c r="S3917" t="s">
        <v>10533</v>
      </c>
      <c r="T3917" t="s">
        <v>13232</v>
      </c>
      <c r="U3917" t="s">
        <v>13232</v>
      </c>
      <c r="V3917" t="s">
        <v>13232</v>
      </c>
      <c r="W3917" t="s">
        <v>17087</v>
      </c>
      <c r="X3917">
        <v>12</v>
      </c>
      <c r="Y3917" t="s">
        <v>23510</v>
      </c>
      <c r="Z3917" t="s">
        <v>30048</v>
      </c>
      <c r="AA3917">
        <v>0.24795130260746859</v>
      </c>
      <c r="AB3917" t="str">
        <f>HYPERLINK("Melting_Curves/meltCurve_Q6PI48_DARS2.pdf", "Melting_Curves/meltCurve_Q6PI48_DARS2.pdf")</f>
        <v>Melting_Curves/meltCurve_Q6PI48_DARS2.pdf</v>
      </c>
    </row>
    <row r="3918" spans="1:28" x14ac:dyDescent="0.25">
      <c r="A3918" t="s">
        <v>3921</v>
      </c>
      <c r="B3918">
        <v>0.99930955844802105</v>
      </c>
      <c r="C3918">
        <v>0.90551394510172301</v>
      </c>
      <c r="D3918">
        <v>0.918413033491424</v>
      </c>
      <c r="E3918">
        <v>0.90726685000151597</v>
      </c>
      <c r="F3918">
        <v>0.70191820322342602</v>
      </c>
      <c r="G3918">
        <v>0.58143887905520297</v>
      </c>
      <c r="H3918">
        <v>0.458813537951689</v>
      </c>
      <c r="I3918">
        <v>0.45780760028677697</v>
      </c>
      <c r="J3918">
        <v>0.48615929270000402</v>
      </c>
      <c r="K3918">
        <v>0.31830887012818598</v>
      </c>
      <c r="L3918">
        <v>625.30766746200095</v>
      </c>
      <c r="M3918">
        <v>11.393336871070099</v>
      </c>
      <c r="N3918">
        <v>60.5752176698388</v>
      </c>
      <c r="O3918">
        <v>53.274429157111101</v>
      </c>
      <c r="P3918">
        <v>-3.5908116893181602E-2</v>
      </c>
      <c r="Q3918">
        <v>0.32858266819669701</v>
      </c>
      <c r="R3918">
        <v>0.95661703285229505</v>
      </c>
      <c r="S3918" t="s">
        <v>10534</v>
      </c>
      <c r="T3918" t="s">
        <v>13232</v>
      </c>
      <c r="U3918" t="s">
        <v>13232</v>
      </c>
      <c r="V3918" t="s">
        <v>13232</v>
      </c>
      <c r="W3918" t="s">
        <v>17088</v>
      </c>
      <c r="X3918">
        <v>20</v>
      </c>
      <c r="Y3918" t="s">
        <v>20398</v>
      </c>
      <c r="Z3918" t="s">
        <v>30049</v>
      </c>
      <c r="AA3918">
        <v>0.67822462301102127</v>
      </c>
      <c r="AB3918" t="str">
        <f>HYPERLINK("Melting_Curves/meltCurve_Q6PI57_TLE3.pdf", "Melting_Curves/meltCurve_Q6PI57_TLE3.pdf")</f>
        <v>Melting_Curves/meltCurve_Q6PI57_TLE3.pdf</v>
      </c>
    </row>
    <row r="3919" spans="1:28" x14ac:dyDescent="0.25">
      <c r="A3919" t="s">
        <v>3922</v>
      </c>
      <c r="B3919">
        <v>0.99930955844802105</v>
      </c>
      <c r="C3919">
        <v>0.90046744802155099</v>
      </c>
      <c r="D3919">
        <v>0.800107008776762</v>
      </c>
      <c r="E3919">
        <v>0.55841984044954596</v>
      </c>
      <c r="F3919">
        <v>0.29074192918543501</v>
      </c>
      <c r="G3919">
        <v>0.18222500098779801</v>
      </c>
      <c r="H3919">
        <v>0.10909887515409999</v>
      </c>
      <c r="I3919">
        <v>8.7420413351687307E-2</v>
      </c>
      <c r="J3919">
        <v>9.2351055187130895E-2</v>
      </c>
      <c r="K3919">
        <v>6.4714689901751998E-2</v>
      </c>
      <c r="L3919">
        <v>786.46697318583301</v>
      </c>
      <c r="M3919">
        <v>15.7658960275122</v>
      </c>
      <c r="N3919">
        <v>50.298882199694702</v>
      </c>
      <c r="O3919">
        <v>49.102193252688302</v>
      </c>
      <c r="P3919">
        <v>-7.5383625414116598E-2</v>
      </c>
      <c r="Q3919">
        <v>6.09620289605989E-2</v>
      </c>
      <c r="R3919">
        <v>0.99648264204188697</v>
      </c>
      <c r="S3919" t="s">
        <v>10535</v>
      </c>
      <c r="T3919" t="s">
        <v>13232</v>
      </c>
      <c r="U3919" t="s">
        <v>13232</v>
      </c>
      <c r="V3919" t="s">
        <v>13232</v>
      </c>
      <c r="W3919" t="s">
        <v>17089</v>
      </c>
      <c r="X3919">
        <v>4</v>
      </c>
      <c r="Y3919" t="s">
        <v>23511</v>
      </c>
      <c r="Z3919" t="s">
        <v>30050</v>
      </c>
      <c r="AA3919">
        <v>0.39089133086361311</v>
      </c>
      <c r="AB3919" t="str">
        <f>HYPERLINK("Melting_Curves/meltCurve_Q6PID6_TTC33.pdf", "Melting_Curves/meltCurve_Q6PID6_TTC33.pdf")</f>
        <v>Melting_Curves/meltCurve_Q6PID6_TTC33.pdf</v>
      </c>
    </row>
    <row r="3920" spans="1:28" x14ac:dyDescent="0.25">
      <c r="A3920" t="s">
        <v>3923</v>
      </c>
      <c r="B3920">
        <v>0.99930955844802105</v>
      </c>
      <c r="C3920">
        <v>0.98549614637888105</v>
      </c>
      <c r="D3920">
        <v>1.02340172369211</v>
      </c>
      <c r="E3920">
        <v>0.89579300730869804</v>
      </c>
      <c r="F3920">
        <v>0.74804302760520602</v>
      </c>
      <c r="G3920">
        <v>0.69479790865441404</v>
      </c>
      <c r="H3920">
        <v>0.64130331355432801</v>
      </c>
      <c r="I3920">
        <v>0.68688511622536097</v>
      </c>
      <c r="J3920">
        <v>0.65338389982589296</v>
      </c>
      <c r="K3920">
        <v>0.54220284134735697</v>
      </c>
      <c r="L3920">
        <v>1264.97584070004</v>
      </c>
      <c r="M3920">
        <v>24.385597909037799</v>
      </c>
      <c r="O3920">
        <v>51.528819490978599</v>
      </c>
      <c r="P3920">
        <v>-4.3718951841021397E-2</v>
      </c>
      <c r="Q3920">
        <v>0.63047819252551895</v>
      </c>
      <c r="R3920">
        <v>0.94838852662491002</v>
      </c>
      <c r="S3920" t="s">
        <v>10536</v>
      </c>
      <c r="T3920" t="s">
        <v>13232</v>
      </c>
      <c r="U3920" t="s">
        <v>13232</v>
      </c>
      <c r="V3920" t="s">
        <v>13232</v>
      </c>
      <c r="W3920" t="s">
        <v>17090</v>
      </c>
      <c r="X3920">
        <v>10</v>
      </c>
      <c r="Y3920" t="s">
        <v>23512</v>
      </c>
      <c r="Z3920" t="s">
        <v>30051</v>
      </c>
      <c r="AA3920">
        <v>0.78026805774395791</v>
      </c>
      <c r="AB3920" t="str">
        <f>HYPERLINK("Melting_Curves/meltCurve_Q6PII3_CCDC174.pdf", "Melting_Curves/meltCurve_Q6PII3_CCDC174.pdf")</f>
        <v>Melting_Curves/meltCurve_Q6PII3_CCDC174.pdf</v>
      </c>
    </row>
    <row r="3921" spans="1:28" x14ac:dyDescent="0.25">
      <c r="A3921" t="s">
        <v>3924</v>
      </c>
      <c r="B3921">
        <v>0.99930955844802105</v>
      </c>
      <c r="C3921">
        <v>1.0431934819931401</v>
      </c>
      <c r="D3921">
        <v>1.0518155211021201</v>
      </c>
      <c r="E3921">
        <v>0.95966387091000604</v>
      </c>
      <c r="F3921">
        <v>0.77137309821672395</v>
      </c>
      <c r="G3921">
        <v>0.63400799560557997</v>
      </c>
      <c r="H3921">
        <v>0.60673871694069403</v>
      </c>
      <c r="I3921">
        <v>0.58122913755261996</v>
      </c>
      <c r="J3921">
        <v>0.43908876445209899</v>
      </c>
      <c r="K3921">
        <v>0.23320612752780201</v>
      </c>
      <c r="L3921">
        <v>536.540021456349</v>
      </c>
      <c r="M3921">
        <v>8.4318090692386392</v>
      </c>
      <c r="N3921">
        <v>63.632843688678797</v>
      </c>
      <c r="O3921">
        <v>60.355897308257703</v>
      </c>
      <c r="P3921">
        <v>-3.4957811549684699E-2</v>
      </c>
      <c r="Q3921">
        <v>0</v>
      </c>
      <c r="R3921">
        <v>0.934546188793415</v>
      </c>
      <c r="S3921" t="s">
        <v>10537</v>
      </c>
      <c r="T3921" t="s">
        <v>13232</v>
      </c>
      <c r="U3921" t="s">
        <v>13232</v>
      </c>
      <c r="V3921" t="s">
        <v>13232</v>
      </c>
      <c r="W3921" t="s">
        <v>17091</v>
      </c>
      <c r="X3921">
        <v>8</v>
      </c>
      <c r="Y3921" t="s">
        <v>23513</v>
      </c>
      <c r="Z3921" t="s">
        <v>30052</v>
      </c>
      <c r="AA3921">
        <v>0.73563572310807124</v>
      </c>
      <c r="AB3921" t="str">
        <f>HYPERLINK("Melting_Curves/meltCurve_Q6PII5_2_HAGHL.pdf", "Melting_Curves/meltCurve_Q6PII5_2_HAGHL.pdf")</f>
        <v>Melting_Curves/meltCurve_Q6PII5_2_HAGHL.pdf</v>
      </c>
    </row>
    <row r="3922" spans="1:28" x14ac:dyDescent="0.25">
      <c r="A3922" t="s">
        <v>3925</v>
      </c>
      <c r="B3922">
        <v>0.99930955844802105</v>
      </c>
      <c r="C3922">
        <v>1.3855910046094699</v>
      </c>
      <c r="D3922">
        <v>1.3562492436326901</v>
      </c>
      <c r="E3922">
        <v>1.27322746891417</v>
      </c>
      <c r="F3922">
        <v>1.3567439223409601</v>
      </c>
      <c r="G3922">
        <v>1.4202608847150999</v>
      </c>
      <c r="H3922">
        <v>1.8008484689486499</v>
      </c>
      <c r="I3922">
        <v>2.1916931659071999</v>
      </c>
      <c r="J3922">
        <v>2.6869076045698401</v>
      </c>
      <c r="K3922">
        <v>1.90657351440978</v>
      </c>
      <c r="L3922">
        <v>773.41169015051298</v>
      </c>
      <c r="M3922">
        <v>18.008016622772299</v>
      </c>
      <c r="O3922">
        <v>42.429073283393699</v>
      </c>
      <c r="P3922">
        <v>5.3055904702801297E-2</v>
      </c>
      <c r="Q3922">
        <v>1.5</v>
      </c>
      <c r="R3922">
        <v>3.3964696649251502E-2</v>
      </c>
      <c r="S3922" t="s">
        <v>10538</v>
      </c>
      <c r="T3922" t="s">
        <v>13232</v>
      </c>
      <c r="U3922" t="s">
        <v>13232</v>
      </c>
      <c r="V3922" t="s">
        <v>13232</v>
      </c>
      <c r="W3922" t="s">
        <v>17092</v>
      </c>
      <c r="X3922">
        <v>8</v>
      </c>
      <c r="Y3922" t="s">
        <v>23514</v>
      </c>
      <c r="Z3922" t="s">
        <v>30053</v>
      </c>
      <c r="AA3922">
        <v>1.4360425513774899</v>
      </c>
      <c r="AB3922" t="str">
        <f>HYPERLINK("Melting_Curves/meltCurve_Q6PIJ6_FBXO38.pdf", "Melting_Curves/meltCurve_Q6PIJ6_FBXO38.pdf")</f>
        <v>Melting_Curves/meltCurve_Q6PIJ6_FBXO38.pdf</v>
      </c>
    </row>
    <row r="3923" spans="1:28" x14ac:dyDescent="0.25">
      <c r="A3923" t="s">
        <v>3926</v>
      </c>
      <c r="B3923">
        <v>0.99930955844802105</v>
      </c>
      <c r="C3923">
        <v>0.96126265030782998</v>
      </c>
      <c r="D3923">
        <v>0.85490950148443101</v>
      </c>
      <c r="E3923">
        <v>0.81281175241763504</v>
      </c>
      <c r="F3923">
        <v>0.68266908220626399</v>
      </c>
      <c r="G3923">
        <v>0.52388119433774805</v>
      </c>
      <c r="H3923">
        <v>0.46799581550805802</v>
      </c>
      <c r="I3923">
        <v>0.460135437045606</v>
      </c>
      <c r="J3923">
        <v>0.43838099341657599</v>
      </c>
      <c r="K3923">
        <v>0.34482039253414898</v>
      </c>
      <c r="L3923">
        <v>560.97603953780697</v>
      </c>
      <c r="M3923">
        <v>10.5195377758145</v>
      </c>
      <c r="N3923">
        <v>59.5636194757897</v>
      </c>
      <c r="O3923">
        <v>51.508094951948003</v>
      </c>
      <c r="P3923">
        <v>-3.4028065326038102E-2</v>
      </c>
      <c r="Q3923">
        <v>0.33380381983657897</v>
      </c>
      <c r="R3923">
        <v>0.98442160381188004</v>
      </c>
      <c r="S3923" t="s">
        <v>10539</v>
      </c>
      <c r="T3923" t="s">
        <v>13232</v>
      </c>
      <c r="U3923" t="s">
        <v>13232</v>
      </c>
      <c r="V3923" t="s">
        <v>13232</v>
      </c>
      <c r="W3923" t="s">
        <v>17093</v>
      </c>
      <c r="X3923">
        <v>10</v>
      </c>
      <c r="Y3923" t="s">
        <v>23515</v>
      </c>
      <c r="Z3923" t="s">
        <v>30054</v>
      </c>
      <c r="AA3923">
        <v>0.65075376671218332</v>
      </c>
      <c r="AB3923" t="str">
        <f>HYPERLINK("Melting_Curves/meltCurve_Q6PIW4_2_FIGNL1.pdf", "Melting_Curves/meltCurve_Q6PIW4_2_FIGNL1.pdf")</f>
        <v>Melting_Curves/meltCurve_Q6PIW4_2_FIGNL1.pdf</v>
      </c>
    </row>
    <row r="3924" spans="1:28" x14ac:dyDescent="0.25">
      <c r="A3924" t="s">
        <v>3927</v>
      </c>
      <c r="B3924">
        <v>0.99930955844802105</v>
      </c>
      <c r="C3924">
        <v>0.83303675377526598</v>
      </c>
      <c r="D3924">
        <v>0.64294924435144996</v>
      </c>
      <c r="E3924">
        <v>0.52461341443279796</v>
      </c>
      <c r="F3924">
        <v>0.350707679056388</v>
      </c>
      <c r="G3924">
        <v>0.26964529314163699</v>
      </c>
      <c r="H3924">
        <v>0.223943257426343</v>
      </c>
      <c r="I3924">
        <v>0.28469530317790398</v>
      </c>
      <c r="J3924">
        <v>0.19476620252573601</v>
      </c>
      <c r="K3924">
        <v>0.193998687899502</v>
      </c>
      <c r="L3924">
        <v>625.868081408904</v>
      </c>
      <c r="M3924">
        <v>13.158392886002501</v>
      </c>
      <c r="N3924">
        <v>49.473974845718203</v>
      </c>
      <c r="O3924">
        <v>46.505854758430303</v>
      </c>
      <c r="P3924">
        <v>-5.66588967108623E-2</v>
      </c>
      <c r="Q3924">
        <v>0.19913434297690699</v>
      </c>
      <c r="R3924">
        <v>0.982366098574458</v>
      </c>
      <c r="S3924" t="s">
        <v>10540</v>
      </c>
      <c r="T3924" t="s">
        <v>13232</v>
      </c>
      <c r="U3924" t="s">
        <v>13232</v>
      </c>
      <c r="V3924" t="s">
        <v>13232</v>
      </c>
      <c r="W3924" t="s">
        <v>17094</v>
      </c>
      <c r="X3924">
        <v>2</v>
      </c>
      <c r="Y3924" t="s">
        <v>23516</v>
      </c>
      <c r="Z3924" t="s">
        <v>30055</v>
      </c>
      <c r="AA3924">
        <v>0.42828924030171639</v>
      </c>
      <c r="AB3924" t="str">
        <f>HYPERLINK("Melting_Curves/meltCurve_Q6PJ61_FBXO46.pdf", "Melting_Curves/meltCurve_Q6PJ61_FBXO46.pdf")</f>
        <v>Melting_Curves/meltCurve_Q6PJ61_FBXO46.pdf</v>
      </c>
    </row>
    <row r="3925" spans="1:28" x14ac:dyDescent="0.25">
      <c r="A3925" t="s">
        <v>3928</v>
      </c>
      <c r="B3925">
        <v>0.99930955844802105</v>
      </c>
      <c r="C3925">
        <v>0.88924772135433605</v>
      </c>
      <c r="D3925">
        <v>0.48107585720847101</v>
      </c>
      <c r="E3925">
        <v>0.26000831612904002</v>
      </c>
      <c r="F3925">
        <v>0.157073453229475</v>
      </c>
      <c r="G3925">
        <v>0.13269458584046401</v>
      </c>
      <c r="H3925">
        <v>9.5286294282776907E-2</v>
      </c>
      <c r="I3925">
        <v>9.5241102456109505E-2</v>
      </c>
      <c r="J3925">
        <v>9.3820690781614494E-2</v>
      </c>
      <c r="K3925">
        <v>6.6122726486158995E-2</v>
      </c>
      <c r="L3925">
        <v>1076.65187838412</v>
      </c>
      <c r="M3925">
        <v>23.495731028452798</v>
      </c>
      <c r="N3925">
        <v>46.273557796441601</v>
      </c>
      <c r="O3925">
        <v>45.495218303022298</v>
      </c>
      <c r="P3925">
        <v>-0.11591966357168999</v>
      </c>
      <c r="Q3925">
        <v>0.10218567935263501</v>
      </c>
      <c r="R3925">
        <v>0.99134408557110498</v>
      </c>
      <c r="S3925" t="s">
        <v>10541</v>
      </c>
      <c r="T3925" t="s">
        <v>13232</v>
      </c>
      <c r="U3925" t="s">
        <v>13232</v>
      </c>
      <c r="V3925" t="s">
        <v>13232</v>
      </c>
      <c r="W3925" t="s">
        <v>17095</v>
      </c>
      <c r="X3925">
        <v>12</v>
      </c>
      <c r="Y3925" t="s">
        <v>23517</v>
      </c>
      <c r="Z3925" t="s">
        <v>30056</v>
      </c>
      <c r="AA3925">
        <v>0.28613698282155903</v>
      </c>
      <c r="AB3925" t="str">
        <f>HYPERLINK("Melting_Curves/meltCurve_Q6PJ69_TRIM65.pdf", "Melting_Curves/meltCurve_Q6PJ69_TRIM65.pdf")</f>
        <v>Melting_Curves/meltCurve_Q6PJ69_TRIM65.pdf</v>
      </c>
    </row>
    <row r="3926" spans="1:28" x14ac:dyDescent="0.25">
      <c r="A3926" t="s">
        <v>3929</v>
      </c>
      <c r="B3926">
        <v>0.99930955844802105</v>
      </c>
      <c r="C3926">
        <v>1.0279910293021499</v>
      </c>
      <c r="D3926">
        <v>1.0288422058617701</v>
      </c>
      <c r="E3926">
        <v>0.92843277929822998</v>
      </c>
      <c r="F3926">
        <v>0.68729120447955805</v>
      </c>
      <c r="G3926">
        <v>0.56959305925111303</v>
      </c>
      <c r="H3926">
        <v>0.527130130272363</v>
      </c>
      <c r="I3926">
        <v>0.57088083422352698</v>
      </c>
      <c r="J3926">
        <v>0.55632655323052804</v>
      </c>
      <c r="K3926">
        <v>0.47244571040315497</v>
      </c>
      <c r="L3926">
        <v>2072.62630461252</v>
      </c>
      <c r="M3926">
        <v>39.783031810140898</v>
      </c>
      <c r="O3926">
        <v>51.967132486511602</v>
      </c>
      <c r="P3926">
        <v>-8.8928363155311302E-2</v>
      </c>
      <c r="Q3926">
        <v>0.53534540683347498</v>
      </c>
      <c r="R3926">
        <v>0.98353999432723604</v>
      </c>
      <c r="S3926" t="s">
        <v>10542</v>
      </c>
      <c r="T3926" t="s">
        <v>13232</v>
      </c>
      <c r="U3926" t="s">
        <v>13232</v>
      </c>
      <c r="V3926" t="s">
        <v>13232</v>
      </c>
      <c r="W3926" t="s">
        <v>17096</v>
      </c>
      <c r="X3926">
        <v>22</v>
      </c>
      <c r="Y3926" t="s">
        <v>23518</v>
      </c>
      <c r="Z3926" t="s">
        <v>30057</v>
      </c>
      <c r="AA3926">
        <v>0.72441980076752965</v>
      </c>
      <c r="AB3926" t="str">
        <f>HYPERLINK("Melting_Curves/meltCurve_Q6PJG2_ELMSAN1.pdf", "Melting_Curves/meltCurve_Q6PJG2_ELMSAN1.pdf")</f>
        <v>Melting_Curves/meltCurve_Q6PJG2_ELMSAN1.pdf</v>
      </c>
    </row>
    <row r="3927" spans="1:28" x14ac:dyDescent="0.25">
      <c r="A3927" t="s">
        <v>3930</v>
      </c>
      <c r="B3927">
        <v>0.99930955844802105</v>
      </c>
      <c r="C3927">
        <v>0.56831620381535497</v>
      </c>
      <c r="D3927">
        <v>0.39540224766160398</v>
      </c>
      <c r="E3927">
        <v>0.353132763904771</v>
      </c>
      <c r="F3927">
        <v>0.30396714828946497</v>
      </c>
      <c r="G3927">
        <v>0.22008198858272099</v>
      </c>
      <c r="H3927">
        <v>9.6282455431294503E-2</v>
      </c>
      <c r="I3927">
        <v>7.4324312916562094E-2</v>
      </c>
      <c r="J3927">
        <v>7.6964695884051595E-2</v>
      </c>
      <c r="K3927">
        <v>5.9514158178272901E-2</v>
      </c>
      <c r="L3927">
        <v>511.34435364727</v>
      </c>
      <c r="M3927">
        <v>11.3144058773896</v>
      </c>
      <c r="N3927">
        <v>45.846115037180901</v>
      </c>
      <c r="O3927">
        <v>43.851348203097999</v>
      </c>
      <c r="P3927">
        <v>-5.9728650518909597E-2</v>
      </c>
      <c r="Q3927">
        <v>7.4316596656006401E-2</v>
      </c>
      <c r="R3927">
        <v>0.91502643258598804</v>
      </c>
      <c r="S3927" t="s">
        <v>10543</v>
      </c>
      <c r="T3927" t="s">
        <v>13232</v>
      </c>
      <c r="U3927" t="s">
        <v>13232</v>
      </c>
      <c r="V3927" t="s">
        <v>13232</v>
      </c>
      <c r="W3927" t="s">
        <v>17097</v>
      </c>
      <c r="X3927">
        <v>16</v>
      </c>
      <c r="Y3927" t="s">
        <v>23519</v>
      </c>
      <c r="Z3927" t="s">
        <v>30058</v>
      </c>
      <c r="AA3927">
        <v>0.28506821571328422</v>
      </c>
      <c r="AB3927" t="str">
        <f>HYPERLINK("Melting_Curves/meltCurve_Q6PJG6_BRAT1.pdf", "Melting_Curves/meltCurve_Q6PJG6_BRAT1.pdf")</f>
        <v>Melting_Curves/meltCurve_Q6PJG6_BRAT1.pdf</v>
      </c>
    </row>
    <row r="3928" spans="1:28" x14ac:dyDescent="0.25">
      <c r="A3928" t="s">
        <v>3931</v>
      </c>
      <c r="B3928">
        <v>0.99930955844802105</v>
      </c>
      <c r="C3928">
        <v>0.80397318835611797</v>
      </c>
      <c r="D3928">
        <v>0.75632904382791699</v>
      </c>
      <c r="E3928">
        <v>0.70614813142354305</v>
      </c>
      <c r="F3928">
        <v>0.40889317296240402</v>
      </c>
      <c r="G3928">
        <v>0.38798639522622302</v>
      </c>
      <c r="H3928">
        <v>0.35776809521589098</v>
      </c>
      <c r="I3928">
        <v>0.38198108815437698</v>
      </c>
      <c r="J3928">
        <v>0.41655219801718701</v>
      </c>
      <c r="K3928">
        <v>0.30030205664938697</v>
      </c>
      <c r="L3928">
        <v>585.73600547312401</v>
      </c>
      <c r="M3928">
        <v>12.137854411050601</v>
      </c>
      <c r="N3928">
        <v>52.8530012800652</v>
      </c>
      <c r="O3928">
        <v>47.003127699417703</v>
      </c>
      <c r="P3928">
        <v>-4.3523286255579698E-2</v>
      </c>
      <c r="Q3928">
        <v>0.32598997212251302</v>
      </c>
      <c r="R3928">
        <v>0.93017112203868202</v>
      </c>
      <c r="S3928" t="s">
        <v>10544</v>
      </c>
      <c r="T3928" t="s">
        <v>13232</v>
      </c>
      <c r="U3928" t="s">
        <v>13232</v>
      </c>
      <c r="V3928" t="s">
        <v>13232</v>
      </c>
      <c r="W3928" t="s">
        <v>17098</v>
      </c>
      <c r="X3928">
        <v>4</v>
      </c>
      <c r="Y3928" t="s">
        <v>23520</v>
      </c>
      <c r="Z3928" t="s">
        <v>30059</v>
      </c>
      <c r="AA3928">
        <v>0.53692266280944545</v>
      </c>
      <c r="AB3928" t="str">
        <f>HYPERLINK("Melting_Curves/meltCurve_Q6PJI9_WDR59.pdf", "Melting_Curves/meltCurve_Q6PJI9_WDR59.pdf")</f>
        <v>Melting_Curves/meltCurve_Q6PJI9_WDR59.pdf</v>
      </c>
    </row>
    <row r="3929" spans="1:28" x14ac:dyDescent="0.25">
      <c r="A3929" t="s">
        <v>3932</v>
      </c>
      <c r="B3929">
        <v>0.99930955844802105</v>
      </c>
      <c r="C3929">
        <v>1.1933471462595</v>
      </c>
      <c r="D3929">
        <v>1.1386124838810601</v>
      </c>
      <c r="E3929">
        <v>1.06391203477306</v>
      </c>
      <c r="F3929">
        <v>0.70255408644916995</v>
      </c>
      <c r="G3929">
        <v>0.55344860229025294</v>
      </c>
      <c r="H3929">
        <v>0.44422542533450798</v>
      </c>
      <c r="I3929">
        <v>0.40488473625787602</v>
      </c>
      <c r="J3929">
        <v>0.37193626721128298</v>
      </c>
      <c r="K3929">
        <v>0.34480976005290398</v>
      </c>
      <c r="L3929">
        <v>1577.7750810845801</v>
      </c>
      <c r="M3929">
        <v>29.1658307134295</v>
      </c>
      <c r="N3929">
        <v>57.045237332523399</v>
      </c>
      <c r="O3929">
        <v>53.844292478491901</v>
      </c>
      <c r="P3929">
        <v>-8.27041368405389E-2</v>
      </c>
      <c r="Q3929">
        <v>0.38926981790651899</v>
      </c>
      <c r="R3929">
        <v>0.92091478093899604</v>
      </c>
      <c r="S3929" t="s">
        <v>10545</v>
      </c>
      <c r="T3929" t="s">
        <v>13232</v>
      </c>
      <c r="U3929" t="s">
        <v>13232</v>
      </c>
      <c r="V3929" t="s">
        <v>13232</v>
      </c>
      <c r="W3929" t="s">
        <v>17099</v>
      </c>
      <c r="X3929">
        <v>23</v>
      </c>
      <c r="Y3929" t="s">
        <v>23521</v>
      </c>
      <c r="Z3929" t="s">
        <v>30060</v>
      </c>
      <c r="AA3929">
        <v>0.68048515991058556</v>
      </c>
      <c r="AB3929" t="str">
        <f>HYPERLINK("Melting_Curves/meltCurve_Q6PJT7_3_ZC3H14.pdf", "Melting_Curves/meltCurve_Q6PJT7_3_ZC3H14.pdf")</f>
        <v>Melting_Curves/meltCurve_Q6PJT7_3_ZC3H14.pdf</v>
      </c>
    </row>
    <row r="3930" spans="1:28" x14ac:dyDescent="0.25">
      <c r="A3930" t="s">
        <v>3933</v>
      </c>
      <c r="B3930">
        <v>0.99930955844802105</v>
      </c>
      <c r="C3930">
        <v>1.0691416794642301</v>
      </c>
      <c r="D3930">
        <v>1.0678608859457499</v>
      </c>
      <c r="E3930">
        <v>1.00886245467175</v>
      </c>
      <c r="F3930">
        <v>0.86265660685866397</v>
      </c>
      <c r="G3930">
        <v>0.77336629407456303</v>
      </c>
      <c r="H3930">
        <v>0.74552983425513397</v>
      </c>
      <c r="I3930">
        <v>0.78618511583325001</v>
      </c>
      <c r="J3930">
        <v>0.73256319304375195</v>
      </c>
      <c r="K3930">
        <v>0.59736917003017298</v>
      </c>
      <c r="L3930">
        <v>1377.6733179176599</v>
      </c>
      <c r="M3930">
        <v>25.425109593179901</v>
      </c>
      <c r="O3930">
        <v>53.853688187894598</v>
      </c>
      <c r="P3930">
        <v>-3.4562501337017798E-2</v>
      </c>
      <c r="Q3930">
        <v>0.70717229088464495</v>
      </c>
      <c r="R3930">
        <v>0.87014256518607802</v>
      </c>
      <c r="S3930" t="s">
        <v>10546</v>
      </c>
      <c r="T3930" t="s">
        <v>13232</v>
      </c>
      <c r="U3930" t="s">
        <v>13232</v>
      </c>
      <c r="V3930" t="s">
        <v>13232</v>
      </c>
      <c r="W3930" t="s">
        <v>17100</v>
      </c>
      <c r="X3930">
        <v>24</v>
      </c>
      <c r="Y3930" t="s">
        <v>23521</v>
      </c>
      <c r="Z3930" t="s">
        <v>30061</v>
      </c>
      <c r="AA3930">
        <v>0.8482654113183602</v>
      </c>
      <c r="AB3930" t="str">
        <f>HYPERLINK("Melting_Curves/meltCurve_Q6PJT7_5_ZC3H14.pdf", "Melting_Curves/meltCurve_Q6PJT7_5_ZC3H14.pdf")</f>
        <v>Melting_Curves/meltCurve_Q6PJT7_5_ZC3H14.pdf</v>
      </c>
    </row>
    <row r="3931" spans="1:28" x14ac:dyDescent="0.25">
      <c r="A3931" t="s">
        <v>3934</v>
      </c>
      <c r="B3931">
        <v>0.99930955844802105</v>
      </c>
      <c r="C3931">
        <v>1.05107614910584</v>
      </c>
      <c r="D3931">
        <v>0.95955510621151796</v>
      </c>
      <c r="E3931">
        <v>0.86089124167349496</v>
      </c>
      <c r="F3931">
        <v>0.72431006731309</v>
      </c>
      <c r="G3931">
        <v>0.59589175011823903</v>
      </c>
      <c r="H3931">
        <v>0.57011818173508799</v>
      </c>
      <c r="I3931">
        <v>0.60652991741601003</v>
      </c>
      <c r="J3931">
        <v>0.60974204010751998</v>
      </c>
      <c r="K3931">
        <v>0.51186569831728201</v>
      </c>
      <c r="L3931">
        <v>1226.2364481053801</v>
      </c>
      <c r="M3931">
        <v>23.773126274607399</v>
      </c>
      <c r="O3931">
        <v>51.219961577351597</v>
      </c>
      <c r="P3931">
        <v>-5.0115951059449701E-2</v>
      </c>
      <c r="Q3931">
        <v>0.56810140779176599</v>
      </c>
      <c r="R3931">
        <v>0.97356383307517602</v>
      </c>
      <c r="S3931" t="s">
        <v>10547</v>
      </c>
      <c r="T3931" t="s">
        <v>13232</v>
      </c>
      <c r="U3931" t="s">
        <v>13232</v>
      </c>
      <c r="V3931" t="s">
        <v>13232</v>
      </c>
      <c r="W3931" t="s">
        <v>17101</v>
      </c>
      <c r="X3931">
        <v>7</v>
      </c>
      <c r="Y3931" t="s">
        <v>23522</v>
      </c>
      <c r="Z3931" t="s">
        <v>30062</v>
      </c>
      <c r="AA3931">
        <v>0.73915272540939225</v>
      </c>
      <c r="AB3931" t="str">
        <f>HYPERLINK("Melting_Curves/meltCurve_Q6PJW8_2_CNST.pdf", "Melting_Curves/meltCurve_Q6PJW8_2_CNST.pdf")</f>
        <v>Melting_Curves/meltCurve_Q6PJW8_2_CNST.pdf</v>
      </c>
    </row>
    <row r="3932" spans="1:28" x14ac:dyDescent="0.25">
      <c r="A3932" t="s">
        <v>3935</v>
      </c>
      <c r="B3932">
        <v>0.99930955844802105</v>
      </c>
      <c r="C3932">
        <v>1.02390312431645</v>
      </c>
      <c r="D3932">
        <v>1.05327272585401</v>
      </c>
      <c r="E3932">
        <v>1.0308874617447901</v>
      </c>
      <c r="F3932">
        <v>0.93912691923479097</v>
      </c>
      <c r="G3932">
        <v>0.95226371313103098</v>
      </c>
      <c r="H3932">
        <v>1.04470626593131</v>
      </c>
      <c r="I3932">
        <v>1.2114209577344199</v>
      </c>
      <c r="J3932">
        <v>1.2912229614326001</v>
      </c>
      <c r="K3932">
        <v>1.00337015068628</v>
      </c>
      <c r="L3932">
        <v>15000</v>
      </c>
      <c r="M3932">
        <v>244.88193059310399</v>
      </c>
      <c r="O3932">
        <v>61.2499251348017</v>
      </c>
      <c r="P3932">
        <v>0.16859089867621099</v>
      </c>
      <c r="Q3932">
        <v>1.1686719741171201</v>
      </c>
      <c r="R3932">
        <v>0.51180053760323596</v>
      </c>
      <c r="S3932" t="s">
        <v>10548</v>
      </c>
      <c r="T3932" t="s">
        <v>13232</v>
      </c>
      <c r="U3932" t="s">
        <v>13232</v>
      </c>
      <c r="V3932" t="s">
        <v>13232</v>
      </c>
      <c r="W3932" t="s">
        <v>17102</v>
      </c>
      <c r="X3932">
        <v>9</v>
      </c>
      <c r="Y3932" t="s">
        <v>23523</v>
      </c>
      <c r="Z3932" t="s">
        <v>30063</v>
      </c>
      <c r="AA3932">
        <v>1.049154553566825</v>
      </c>
      <c r="AB3932" t="str">
        <f>HYPERLINK("Melting_Curves/meltCurve_Q6PK04_CCDC137.pdf", "Melting_Curves/meltCurve_Q6PK04_CCDC137.pdf")</f>
        <v>Melting_Curves/meltCurve_Q6PK04_CCDC137.pdf</v>
      </c>
    </row>
    <row r="3933" spans="1:28" x14ac:dyDescent="0.25">
      <c r="A3933" t="s">
        <v>3936</v>
      </c>
      <c r="B3933">
        <v>0.99930955844802105</v>
      </c>
      <c r="C3933">
        <v>1.03013297047601</v>
      </c>
      <c r="D3933">
        <v>0.99938121845058903</v>
      </c>
      <c r="E3933">
        <v>0.91832878151258501</v>
      </c>
      <c r="F3933">
        <v>0.60423597275544105</v>
      </c>
      <c r="G3933">
        <v>0.42216866263637598</v>
      </c>
      <c r="H3933">
        <v>0.35193883209205401</v>
      </c>
      <c r="I3933">
        <v>0.37025045030897402</v>
      </c>
      <c r="J3933">
        <v>0.36025478761083302</v>
      </c>
      <c r="K3933">
        <v>0.29018071496717401</v>
      </c>
      <c r="L3933">
        <v>1798.0534242671799</v>
      </c>
      <c r="M3933">
        <v>34.243944111665002</v>
      </c>
      <c r="N3933">
        <v>54.3911169918753</v>
      </c>
      <c r="O3933">
        <v>52.329103599113701</v>
      </c>
      <c r="P3933">
        <v>-0.106782436905622</v>
      </c>
      <c r="Q3933">
        <v>0.34729396370789001</v>
      </c>
      <c r="R3933">
        <v>0.99258634811810997</v>
      </c>
      <c r="S3933" t="s">
        <v>10549</v>
      </c>
      <c r="T3933" t="s">
        <v>13232</v>
      </c>
      <c r="U3933" t="s">
        <v>13232</v>
      </c>
      <c r="V3933" t="s">
        <v>13232</v>
      </c>
      <c r="W3933" t="s">
        <v>17103</v>
      </c>
      <c r="X3933">
        <v>56</v>
      </c>
      <c r="Y3933" t="s">
        <v>23524</v>
      </c>
      <c r="Z3933" t="s">
        <v>30064</v>
      </c>
      <c r="AA3933">
        <v>0.62264316003078934</v>
      </c>
      <c r="AB3933" t="str">
        <f>HYPERLINK("Melting_Curves/meltCurve_Q6PKG0_LARP1.pdf", "Melting_Curves/meltCurve_Q6PKG0_LARP1.pdf")</f>
        <v>Melting_Curves/meltCurve_Q6PKG0_LARP1.pdf</v>
      </c>
    </row>
    <row r="3934" spans="1:28" x14ac:dyDescent="0.25">
      <c r="A3934" t="s">
        <v>3937</v>
      </c>
      <c r="B3934">
        <v>0.99930955844802105</v>
      </c>
      <c r="C3934">
        <v>1.0198089223076501</v>
      </c>
      <c r="D3934">
        <v>1.0304797758351001</v>
      </c>
      <c r="E3934">
        <v>1.0345511516758299</v>
      </c>
      <c r="F3934">
        <v>0.94264046849043204</v>
      </c>
      <c r="G3934">
        <v>0.88034778253211798</v>
      </c>
      <c r="H3934">
        <v>1.0065923314526299</v>
      </c>
      <c r="I3934">
        <v>1.0598263082324999</v>
      </c>
      <c r="J3934">
        <v>1.08086867179062</v>
      </c>
      <c r="K3934">
        <v>0.909011995240948</v>
      </c>
      <c r="L3934">
        <v>15000</v>
      </c>
      <c r="M3934">
        <v>211.98400311470701</v>
      </c>
      <c r="Q3934">
        <v>0</v>
      </c>
      <c r="R3934">
        <v>0.21191877085743899</v>
      </c>
      <c r="S3934" t="s">
        <v>10550</v>
      </c>
      <c r="T3934" t="s">
        <v>13232</v>
      </c>
      <c r="U3934" t="s">
        <v>13232</v>
      </c>
      <c r="V3934" t="s">
        <v>13232</v>
      </c>
      <c r="W3934" t="s">
        <v>17104</v>
      </c>
      <c r="X3934">
        <v>4</v>
      </c>
      <c r="Y3934" t="s">
        <v>23525</v>
      </c>
      <c r="Z3934" t="s">
        <v>30065</v>
      </c>
      <c r="AA3934">
        <v>0.99897110256326549</v>
      </c>
      <c r="AB3934" t="str">
        <f>HYPERLINK("Melting_Curves/meltCurve_Q6PL18_ATAD2.pdf", "Melting_Curves/meltCurve_Q6PL18_ATAD2.pdf")</f>
        <v>Melting_Curves/meltCurve_Q6PL18_ATAD2.pdf</v>
      </c>
    </row>
    <row r="3935" spans="1:28" x14ac:dyDescent="0.25">
      <c r="A3935" t="s">
        <v>3938</v>
      </c>
      <c r="B3935">
        <v>0.99930955844802105</v>
      </c>
      <c r="C3935">
        <v>1.08294286583078</v>
      </c>
      <c r="D3935">
        <v>0.97857041513092502</v>
      </c>
      <c r="E3935">
        <v>0.72080658301925304</v>
      </c>
      <c r="F3935">
        <v>0.44781378665717703</v>
      </c>
      <c r="G3935">
        <v>0.43261997178176698</v>
      </c>
      <c r="H3935">
        <v>0.41577232770248002</v>
      </c>
      <c r="I3935">
        <v>0.480069021758737</v>
      </c>
      <c r="J3935">
        <v>0.53166849707978803</v>
      </c>
      <c r="K3935">
        <v>0.41175817365378298</v>
      </c>
      <c r="L3935">
        <v>12497.865034984099</v>
      </c>
      <c r="M3935">
        <v>250</v>
      </c>
      <c r="N3935">
        <v>50.470020222698899</v>
      </c>
      <c r="O3935">
        <v>49.988258864992403</v>
      </c>
      <c r="P3935">
        <v>-0.68355602452806796</v>
      </c>
      <c r="Q3935">
        <v>0.453283569031463</v>
      </c>
      <c r="R3935">
        <v>0.97325178289749203</v>
      </c>
      <c r="S3935" t="s">
        <v>10551</v>
      </c>
      <c r="T3935" t="s">
        <v>13232</v>
      </c>
      <c r="U3935" t="s">
        <v>13232</v>
      </c>
      <c r="V3935" t="s">
        <v>13232</v>
      </c>
      <c r="W3935" t="s">
        <v>17105</v>
      </c>
      <c r="X3935">
        <v>8</v>
      </c>
      <c r="Y3935" t="s">
        <v>23526</v>
      </c>
      <c r="Z3935" t="s">
        <v>30066</v>
      </c>
      <c r="AA3935">
        <v>0.63541471570804042</v>
      </c>
      <c r="AB3935" t="str">
        <f>HYPERLINK("Melting_Curves/meltCurve_Q6PL24_TMED8.pdf", "Melting_Curves/meltCurve_Q6PL24_TMED8.pdf")</f>
        <v>Melting_Curves/meltCurve_Q6PL24_TMED8.pdf</v>
      </c>
    </row>
    <row r="3936" spans="1:28" x14ac:dyDescent="0.25">
      <c r="A3936" t="s">
        <v>3939</v>
      </c>
      <c r="B3936">
        <v>0.99930955844802105</v>
      </c>
      <c r="C3936">
        <v>1.05163504331294</v>
      </c>
      <c r="D3936">
        <v>1.03988025056666</v>
      </c>
      <c r="E3936">
        <v>1.0035194685914299</v>
      </c>
      <c r="F3936">
        <v>0.94568434692964398</v>
      </c>
      <c r="G3936">
        <v>0.72503438897039796</v>
      </c>
      <c r="H3936">
        <v>0.50092708111532303</v>
      </c>
      <c r="I3936">
        <v>0.445357626391233</v>
      </c>
      <c r="J3936">
        <v>0.44996013646937399</v>
      </c>
      <c r="K3936">
        <v>0.39426109444357499</v>
      </c>
      <c r="L3936">
        <v>1637.8026350569301</v>
      </c>
      <c r="M3936">
        <v>28.607254026566501</v>
      </c>
      <c r="N3936">
        <v>61.062594438248901</v>
      </c>
      <c r="O3936">
        <v>56.9737239055722</v>
      </c>
      <c r="P3936">
        <v>-7.3290516417833199E-2</v>
      </c>
      <c r="Q3936">
        <v>0.41614786877333698</v>
      </c>
      <c r="R3936">
        <v>0.99196535379468298</v>
      </c>
      <c r="S3936" t="s">
        <v>10552</v>
      </c>
      <c r="T3936" t="s">
        <v>13232</v>
      </c>
      <c r="U3936" t="s">
        <v>13232</v>
      </c>
      <c r="V3936" t="s">
        <v>13232</v>
      </c>
      <c r="W3936" t="s">
        <v>17106</v>
      </c>
      <c r="X3936">
        <v>11</v>
      </c>
      <c r="Y3936" t="s">
        <v>23527</v>
      </c>
      <c r="Z3936" t="s">
        <v>30067</v>
      </c>
      <c r="AA3936">
        <v>0.75609766849997229</v>
      </c>
      <c r="AB3936" t="str">
        <f>HYPERLINK("Melting_Curves/meltCurve_Q6QNY0_BLOC1S3.pdf", "Melting_Curves/meltCurve_Q6QNY0_BLOC1S3.pdf")</f>
        <v>Melting_Curves/meltCurve_Q6QNY0_BLOC1S3.pdf</v>
      </c>
    </row>
    <row r="3937" spans="1:28" x14ac:dyDescent="0.25">
      <c r="A3937" t="s">
        <v>3940</v>
      </c>
      <c r="B3937">
        <v>0.99930955844802105</v>
      </c>
      <c r="C3937">
        <v>0.72025871130637598</v>
      </c>
      <c r="D3937">
        <v>0.71792996907309503</v>
      </c>
      <c r="E3937">
        <v>0.64015140843340401</v>
      </c>
      <c r="F3937">
        <v>0.53392491911256301</v>
      </c>
      <c r="G3937">
        <v>0.39292011630921098</v>
      </c>
      <c r="H3937">
        <v>0.259543260429489</v>
      </c>
      <c r="I3937">
        <v>0.25019040457068797</v>
      </c>
      <c r="J3937">
        <v>0.19143545799553499</v>
      </c>
      <c r="K3937">
        <v>0.16367870447250801</v>
      </c>
      <c r="L3937">
        <v>357.16120042375701</v>
      </c>
      <c r="M3937">
        <v>6.7253524130053703</v>
      </c>
      <c r="N3937">
        <v>53.106688971558903</v>
      </c>
      <c r="O3937">
        <v>49.002799556628197</v>
      </c>
      <c r="P3937">
        <v>-3.4384691384164501E-2</v>
      </c>
      <c r="Q3937">
        <v>0</v>
      </c>
      <c r="R3937">
        <v>0.96249370580696803</v>
      </c>
      <c r="S3937" t="s">
        <v>10553</v>
      </c>
      <c r="T3937" t="s">
        <v>13232</v>
      </c>
      <c r="U3937" t="s">
        <v>13232</v>
      </c>
      <c r="V3937" t="s">
        <v>13232</v>
      </c>
      <c r="W3937" t="s">
        <v>17107</v>
      </c>
      <c r="X3937">
        <v>3</v>
      </c>
      <c r="Y3937" t="s">
        <v>23528</v>
      </c>
      <c r="Z3937" t="s">
        <v>30068</v>
      </c>
      <c r="AA3937">
        <v>0.48107291437585531</v>
      </c>
      <c r="AB3937" t="str">
        <f>HYPERLINK("Melting_Curves/meltCurve_Q6QNY1_BLOC1S2.pdf", "Melting_Curves/meltCurve_Q6QNY1_BLOC1S2.pdf")</f>
        <v>Melting_Curves/meltCurve_Q6QNY1_BLOC1S2.pdf</v>
      </c>
    </row>
    <row r="3938" spans="1:28" x14ac:dyDescent="0.25">
      <c r="A3938" t="s">
        <v>3941</v>
      </c>
      <c r="B3938">
        <v>0.99930955844802105</v>
      </c>
      <c r="C3938">
        <v>0.95937186459780399</v>
      </c>
      <c r="D3938">
        <v>0.91547487036144803</v>
      </c>
      <c r="E3938">
        <v>0.92436737398876201</v>
      </c>
      <c r="F3938">
        <v>0.73161374887874397</v>
      </c>
      <c r="G3938">
        <v>0.59633258934824496</v>
      </c>
      <c r="H3938">
        <v>0.56575270609072004</v>
      </c>
      <c r="I3938">
        <v>0.58241613575484696</v>
      </c>
      <c r="J3938">
        <v>0.52898488291937995</v>
      </c>
      <c r="K3938">
        <v>0.45082235679823901</v>
      </c>
      <c r="L3938">
        <v>780.95645235100403</v>
      </c>
      <c r="M3938">
        <v>14.637376930185599</v>
      </c>
      <c r="O3938">
        <v>52.387416947503297</v>
      </c>
      <c r="P3938">
        <v>-3.58436362361894E-2</v>
      </c>
      <c r="Q3938">
        <v>0.48691715327304402</v>
      </c>
      <c r="R3938">
        <v>0.96293805940550203</v>
      </c>
      <c r="S3938" t="s">
        <v>10554</v>
      </c>
      <c r="T3938" t="s">
        <v>13232</v>
      </c>
      <c r="U3938" t="s">
        <v>13232</v>
      </c>
      <c r="V3938" t="s">
        <v>13232</v>
      </c>
      <c r="W3938" t="s">
        <v>17108</v>
      </c>
      <c r="X3938">
        <v>7</v>
      </c>
      <c r="Y3938" t="s">
        <v>23529</v>
      </c>
      <c r="Z3938" t="s">
        <v>30069</v>
      </c>
      <c r="AA3938">
        <v>0.7265290892606977</v>
      </c>
      <c r="AB3938" t="str">
        <f>HYPERLINK("Melting_Curves/meltCurve_Q6R327_RICTOR.pdf", "Melting_Curves/meltCurve_Q6R327_RICTOR.pdf")</f>
        <v>Melting_Curves/meltCurve_Q6R327_RICTOR.pdf</v>
      </c>
    </row>
    <row r="3939" spans="1:28" x14ac:dyDescent="0.25">
      <c r="A3939" t="s">
        <v>3942</v>
      </c>
      <c r="B3939">
        <v>0.99930955844802105</v>
      </c>
      <c r="C3939">
        <v>0.89952668734978303</v>
      </c>
      <c r="D3939">
        <v>0.74375977163093498</v>
      </c>
      <c r="E3939">
        <v>0.40285917322132597</v>
      </c>
      <c r="F3939">
        <v>0.16908621497485701</v>
      </c>
      <c r="G3939">
        <v>0.105566362523486</v>
      </c>
      <c r="H3939">
        <v>1.72814195411191E-2</v>
      </c>
      <c r="I3939">
        <v>7.4777542678548803E-2</v>
      </c>
      <c r="J3939">
        <v>4.9944891130005199E-2</v>
      </c>
      <c r="K3939">
        <v>3.96851794634282E-2</v>
      </c>
      <c r="L3939">
        <v>913.27534298339401</v>
      </c>
      <c r="M3939">
        <v>18.845613394081099</v>
      </c>
      <c r="N3939">
        <v>48.658382819931902</v>
      </c>
      <c r="O3939">
        <v>47.925132346225602</v>
      </c>
      <c r="P3939">
        <v>-9.4692039011370993E-2</v>
      </c>
      <c r="Q3939">
        <v>3.6817462963254603E-2</v>
      </c>
      <c r="R3939">
        <v>0.99657035974563601</v>
      </c>
      <c r="S3939" t="s">
        <v>10555</v>
      </c>
      <c r="T3939" t="s">
        <v>13232</v>
      </c>
      <c r="U3939" t="s">
        <v>13232</v>
      </c>
      <c r="V3939" t="s">
        <v>13232</v>
      </c>
      <c r="W3939" t="s">
        <v>17109</v>
      </c>
      <c r="X3939">
        <v>3</v>
      </c>
      <c r="Y3939" t="s">
        <v>23530</v>
      </c>
      <c r="Z3939" t="s">
        <v>30070</v>
      </c>
      <c r="AA3939">
        <v>0.32382156790393168</v>
      </c>
      <c r="AB3939" t="str">
        <f>HYPERLINK("Melting_Curves/meltCurve_Q6RI45_5_BRWD3.pdf", "Melting_Curves/meltCurve_Q6RI45_5_BRWD3.pdf")</f>
        <v>Melting_Curves/meltCurve_Q6RI45_5_BRWD3.pdf</v>
      </c>
    </row>
    <row r="3940" spans="1:28" x14ac:dyDescent="0.25">
      <c r="A3940" t="s">
        <v>3943</v>
      </c>
      <c r="B3940">
        <v>0.99930955844802105</v>
      </c>
      <c r="C3940">
        <v>0.79809296422467002</v>
      </c>
      <c r="D3940">
        <v>0.90715990752077502</v>
      </c>
      <c r="E3940">
        <v>0.85739724130386197</v>
      </c>
      <c r="F3940">
        <v>0.79710689879110697</v>
      </c>
      <c r="G3940">
        <v>0.61343829668053795</v>
      </c>
      <c r="H3940">
        <v>0.39813069464630801</v>
      </c>
      <c r="I3940">
        <v>0.37476122464155798</v>
      </c>
      <c r="J3940">
        <v>0.38395582924898602</v>
      </c>
      <c r="K3940">
        <v>0.27110277118439102</v>
      </c>
      <c r="L3940">
        <v>435.59656581508102</v>
      </c>
      <c r="M3940">
        <v>7.2251422597363204</v>
      </c>
      <c r="N3940">
        <v>60.364264263806298</v>
      </c>
      <c r="O3940">
        <v>56.1842754420463</v>
      </c>
      <c r="P3940">
        <v>-3.2057936240066302E-2</v>
      </c>
      <c r="Q3940">
        <v>4.4848371139586804E-3</v>
      </c>
      <c r="R3940">
        <v>0.93618715249969298</v>
      </c>
      <c r="S3940" t="s">
        <v>10556</v>
      </c>
      <c r="T3940" t="s">
        <v>13232</v>
      </c>
      <c r="U3940" t="s">
        <v>13232</v>
      </c>
      <c r="V3940" t="s">
        <v>13232</v>
      </c>
      <c r="W3940" t="s">
        <v>17110</v>
      </c>
      <c r="X3940">
        <v>1</v>
      </c>
      <c r="Y3940" t="s">
        <v>23531</v>
      </c>
      <c r="Z3940" t="s">
        <v>30071</v>
      </c>
      <c r="AA3940">
        <v>0.65331645463767896</v>
      </c>
      <c r="AB3940" t="str">
        <f>HYPERLINK("Melting_Curves/meltCurve_Q6RW13_2_AGTRAP.pdf", "Melting_Curves/meltCurve_Q6RW13_2_AGTRAP.pdf")</f>
        <v>Melting_Curves/meltCurve_Q6RW13_2_AGTRAP.pdf</v>
      </c>
    </row>
    <row r="3941" spans="1:28" x14ac:dyDescent="0.25">
      <c r="A3941" t="s">
        <v>3944</v>
      </c>
      <c r="B3941">
        <v>0.99930955844802105</v>
      </c>
      <c r="C3941">
        <v>1.0493382877878501</v>
      </c>
      <c r="D3941">
        <v>0.956279879088756</v>
      </c>
      <c r="E3941">
        <v>0.91143457661601301</v>
      </c>
      <c r="F3941">
        <v>0.81100014693357003</v>
      </c>
      <c r="G3941">
        <v>0.73429598580518596</v>
      </c>
      <c r="H3941">
        <v>0.75651291707485302</v>
      </c>
      <c r="I3941">
        <v>0.83306169896870996</v>
      </c>
      <c r="J3941">
        <v>0.87947272296373802</v>
      </c>
      <c r="K3941">
        <v>0.68522582916061203</v>
      </c>
      <c r="L3941">
        <v>1807.90603859572</v>
      </c>
      <c r="M3941">
        <v>35.8693845735542</v>
      </c>
      <c r="O3941">
        <v>50.246579665211399</v>
      </c>
      <c r="P3941">
        <v>-3.9701126541369001E-2</v>
      </c>
      <c r="Q3941">
        <v>0.77754400424147796</v>
      </c>
      <c r="R3941">
        <v>0.77689704390637004</v>
      </c>
      <c r="S3941" t="s">
        <v>10557</v>
      </c>
      <c r="T3941" t="s">
        <v>13232</v>
      </c>
      <c r="U3941" t="s">
        <v>13232</v>
      </c>
      <c r="V3941" t="s">
        <v>13232</v>
      </c>
      <c r="W3941" t="s">
        <v>17111</v>
      </c>
      <c r="X3941">
        <v>11</v>
      </c>
      <c r="Y3941" t="s">
        <v>23532</v>
      </c>
      <c r="Z3941" t="s">
        <v>30072</v>
      </c>
      <c r="AA3941">
        <v>0.85564628881998483</v>
      </c>
      <c r="AB3941" t="str">
        <f>HYPERLINK("Melting_Curves/meltCurve_Q6SPF0_SAMD1.pdf", "Melting_Curves/meltCurve_Q6SPF0_SAMD1.pdf")</f>
        <v>Melting_Curves/meltCurve_Q6SPF0_SAMD1.pdf</v>
      </c>
    </row>
    <row r="3942" spans="1:28" x14ac:dyDescent="0.25">
      <c r="A3942" t="s">
        <v>3945</v>
      </c>
      <c r="B3942">
        <v>0.99930955844802105</v>
      </c>
      <c r="C3942">
        <v>0.60611026222785602</v>
      </c>
      <c r="D3942">
        <v>0.51179084337741199</v>
      </c>
      <c r="E3942">
        <v>0.241791940226004</v>
      </c>
      <c r="F3942">
        <v>0.12254086915490101</v>
      </c>
      <c r="G3942">
        <v>8.4787107415902396E-2</v>
      </c>
      <c r="H3942">
        <v>5.3989727434371103E-2</v>
      </c>
      <c r="I3942">
        <v>4.6133783217913102E-2</v>
      </c>
      <c r="J3942">
        <v>4.1083516227831497E-2</v>
      </c>
      <c r="K3942">
        <v>3.3954344264142497E-2</v>
      </c>
      <c r="L3942">
        <v>683.33008139563003</v>
      </c>
      <c r="M3942">
        <v>15.051505244606799</v>
      </c>
      <c r="N3942">
        <v>45.619628178016903</v>
      </c>
      <c r="O3942">
        <v>44.620681074715201</v>
      </c>
      <c r="P3942">
        <v>-8.1383995925946806E-2</v>
      </c>
      <c r="Q3942">
        <v>3.5034085835708002E-2</v>
      </c>
      <c r="R3942">
        <v>0.97234568958952805</v>
      </c>
      <c r="S3942" t="s">
        <v>10558</v>
      </c>
      <c r="T3942" t="s">
        <v>13232</v>
      </c>
      <c r="U3942" t="s">
        <v>13232</v>
      </c>
      <c r="V3942" t="s">
        <v>13232</v>
      </c>
      <c r="W3942" t="s">
        <v>17112</v>
      </c>
      <c r="X3942">
        <v>16</v>
      </c>
      <c r="Y3942" t="s">
        <v>23533</v>
      </c>
      <c r="Z3942" t="s">
        <v>30073</v>
      </c>
      <c r="AA3942">
        <v>0.23824607863298311</v>
      </c>
      <c r="AB3942" t="str">
        <f>HYPERLINK("Melting_Curves/meltCurve_Q6STE5_2_SMARCD3.pdf", "Melting_Curves/meltCurve_Q6STE5_2_SMARCD3.pdf")</f>
        <v>Melting_Curves/meltCurve_Q6STE5_2_SMARCD3.pdf</v>
      </c>
    </row>
    <row r="3943" spans="1:28" x14ac:dyDescent="0.25">
      <c r="A3943" t="s">
        <v>3946</v>
      </c>
      <c r="B3943">
        <v>0.99930955844802105</v>
      </c>
      <c r="C3943">
        <v>0.85387145336119097</v>
      </c>
      <c r="D3943">
        <v>0.87268662835271804</v>
      </c>
      <c r="E3943">
        <v>0.70396004995724704</v>
      </c>
      <c r="F3943">
        <v>0.49043970323181801</v>
      </c>
      <c r="G3943">
        <v>0.36806053062462102</v>
      </c>
      <c r="H3943">
        <v>0.30647348112796202</v>
      </c>
      <c r="I3943">
        <v>0.28164491779027401</v>
      </c>
      <c r="J3943">
        <v>0.28344010389595498</v>
      </c>
      <c r="K3943">
        <v>0.22070541567611601</v>
      </c>
      <c r="L3943">
        <v>644.79492019936094</v>
      </c>
      <c r="M3943">
        <v>12.6160253153394</v>
      </c>
      <c r="N3943">
        <v>53.519789132115797</v>
      </c>
      <c r="O3943">
        <v>49.876079800160198</v>
      </c>
      <c r="P3943">
        <v>-4.9540771584753202E-2</v>
      </c>
      <c r="Q3943">
        <v>0.216739229866133</v>
      </c>
      <c r="R3943">
        <v>0.98407511586546903</v>
      </c>
      <c r="S3943" t="s">
        <v>10559</v>
      </c>
      <c r="T3943" t="s">
        <v>13232</v>
      </c>
      <c r="U3943" t="s">
        <v>13232</v>
      </c>
      <c r="V3943" t="s">
        <v>13232</v>
      </c>
      <c r="W3943" t="s">
        <v>17113</v>
      </c>
      <c r="X3943">
        <v>2</v>
      </c>
      <c r="Y3943" t="s">
        <v>23534</v>
      </c>
      <c r="Z3943" t="s">
        <v>30074</v>
      </c>
      <c r="AA3943">
        <v>0.53039423287106435</v>
      </c>
      <c r="AB3943" t="str">
        <f>HYPERLINK("Melting_Curves/meltCurve_Q6T4P5_4_LPPR3.pdf", "Melting_Curves/meltCurve_Q6T4P5_4_LPPR3.pdf")</f>
        <v>Melting_Curves/meltCurve_Q6T4P5_4_LPPR3.pdf</v>
      </c>
    </row>
    <row r="3944" spans="1:28" x14ac:dyDescent="0.25">
      <c r="A3944" t="s">
        <v>3947</v>
      </c>
      <c r="B3944">
        <v>0.99930955844802105</v>
      </c>
      <c r="C3944">
        <v>0.88777671602702901</v>
      </c>
      <c r="D3944">
        <v>0.444393788270179</v>
      </c>
      <c r="E3944">
        <v>0.30344136997353299</v>
      </c>
      <c r="F3944">
        <v>0.195069200716113</v>
      </c>
      <c r="G3944">
        <v>0.14371210811662799</v>
      </c>
      <c r="H3944">
        <v>9.8986891964119195E-2</v>
      </c>
      <c r="I3944">
        <v>9.2704084908353995E-2</v>
      </c>
      <c r="J3944">
        <v>8.7034971606237202E-2</v>
      </c>
      <c r="K3944">
        <v>6.9806963339403394E-2</v>
      </c>
      <c r="L3944">
        <v>961.47459446861706</v>
      </c>
      <c r="M3944">
        <v>20.9932731895078</v>
      </c>
      <c r="N3944">
        <v>46.3263833864346</v>
      </c>
      <c r="O3944">
        <v>45.389677106714203</v>
      </c>
      <c r="P3944">
        <v>-0.103344501330979</v>
      </c>
      <c r="Q3944">
        <v>0.106257045731473</v>
      </c>
      <c r="R3944">
        <v>0.97931996414187505</v>
      </c>
      <c r="S3944" t="s">
        <v>10560</v>
      </c>
      <c r="T3944" t="s">
        <v>13232</v>
      </c>
      <c r="U3944" t="s">
        <v>13232</v>
      </c>
      <c r="V3944" t="s">
        <v>13232</v>
      </c>
      <c r="W3944" t="s">
        <v>17114</v>
      </c>
      <c r="X3944">
        <v>22</v>
      </c>
      <c r="Y3944" t="s">
        <v>23535</v>
      </c>
      <c r="Z3944" t="s">
        <v>30075</v>
      </c>
      <c r="AA3944">
        <v>0.29156113628193697</v>
      </c>
      <c r="AB3944" t="str">
        <f>HYPERLINK("Melting_Curves/meltCurve_Q6UB35_MTHFD1L.pdf", "Melting_Curves/meltCurve_Q6UB35_MTHFD1L.pdf")</f>
        <v>Melting_Curves/meltCurve_Q6UB35_MTHFD1L.pdf</v>
      </c>
    </row>
    <row r="3945" spans="1:28" x14ac:dyDescent="0.25">
      <c r="A3945" t="s">
        <v>3948</v>
      </c>
      <c r="B3945">
        <v>0.99930955844802105</v>
      </c>
      <c r="C3945">
        <v>1.04555241467715</v>
      </c>
      <c r="D3945">
        <v>1.0176930009043501</v>
      </c>
      <c r="E3945">
        <v>0.989531683851685</v>
      </c>
      <c r="F3945">
        <v>0.86844570484222405</v>
      </c>
      <c r="G3945">
        <v>0.72689418275791695</v>
      </c>
      <c r="H3945">
        <v>0.68623261265090996</v>
      </c>
      <c r="I3945">
        <v>0.74047765668779497</v>
      </c>
      <c r="J3945">
        <v>0.73317199662531896</v>
      </c>
      <c r="K3945">
        <v>0.58698118854926395</v>
      </c>
      <c r="L3945">
        <v>1860.6291756609101</v>
      </c>
      <c r="M3945">
        <v>34.689377761427998</v>
      </c>
      <c r="O3945">
        <v>53.459549022845998</v>
      </c>
      <c r="P3945">
        <v>-5.0964346766673198E-2</v>
      </c>
      <c r="Q3945">
        <v>0.68583801832153102</v>
      </c>
      <c r="R3945">
        <v>0.92811666775650303</v>
      </c>
      <c r="S3945" t="s">
        <v>10561</v>
      </c>
      <c r="T3945" t="s">
        <v>13232</v>
      </c>
      <c r="U3945" t="s">
        <v>13232</v>
      </c>
      <c r="V3945" t="s">
        <v>13232</v>
      </c>
      <c r="W3945" t="s">
        <v>17115</v>
      </c>
      <c r="X3945">
        <v>40</v>
      </c>
      <c r="Y3945" t="s">
        <v>23536</v>
      </c>
      <c r="Z3945" t="s">
        <v>30076</v>
      </c>
      <c r="AA3945">
        <v>0.8301888642560229</v>
      </c>
      <c r="AB3945" t="str">
        <f>HYPERLINK("Melting_Curves/meltCurve_Q6UB99_ANKRD11.pdf", "Melting_Curves/meltCurve_Q6UB99_ANKRD11.pdf")</f>
        <v>Melting_Curves/meltCurve_Q6UB99_ANKRD11.pdf</v>
      </c>
    </row>
    <row r="3946" spans="1:28" x14ac:dyDescent="0.25">
      <c r="A3946" t="s">
        <v>3949</v>
      </c>
      <c r="B3946">
        <v>0.99930955844802105</v>
      </c>
      <c r="C3946">
        <v>0.98573379495176905</v>
      </c>
      <c r="D3946">
        <v>1.00514418355153</v>
      </c>
      <c r="E3946">
        <v>0.94150620450201405</v>
      </c>
      <c r="F3946">
        <v>0.74900165123685802</v>
      </c>
      <c r="G3946">
        <v>0.61028123718472105</v>
      </c>
      <c r="H3946">
        <v>0.59071500113274</v>
      </c>
      <c r="I3946">
        <v>0.60090927557027796</v>
      </c>
      <c r="J3946">
        <v>0.60701625492100797</v>
      </c>
      <c r="K3946">
        <v>0.515343838825009</v>
      </c>
      <c r="L3946">
        <v>1834.46062659279</v>
      </c>
      <c r="M3946">
        <v>34.953302403338498</v>
      </c>
      <c r="O3946">
        <v>52.312284663054598</v>
      </c>
      <c r="P3946">
        <v>-7.0403081315096705E-2</v>
      </c>
      <c r="Q3946">
        <v>0.57853104364218499</v>
      </c>
      <c r="R3946">
        <v>0.98419770235538695</v>
      </c>
      <c r="S3946" t="s">
        <v>10562</v>
      </c>
      <c r="T3946" t="s">
        <v>13232</v>
      </c>
      <c r="U3946" t="s">
        <v>13232</v>
      </c>
      <c r="V3946" t="s">
        <v>13232</v>
      </c>
      <c r="W3946" t="s">
        <v>17116</v>
      </c>
      <c r="X3946">
        <v>17</v>
      </c>
      <c r="Y3946" t="s">
        <v>23537</v>
      </c>
      <c r="Z3946" t="s">
        <v>30077</v>
      </c>
      <c r="AA3946">
        <v>0.75590914654100205</v>
      </c>
      <c r="AB3946" t="str">
        <f>HYPERLINK("Melting_Curves/meltCurve_Q6ULP2_5_AFTPH.pdf", "Melting_Curves/meltCurve_Q6ULP2_5_AFTPH.pdf")</f>
        <v>Melting_Curves/meltCurve_Q6ULP2_5_AFTPH.pdf</v>
      </c>
    </row>
    <row r="3947" spans="1:28" x14ac:dyDescent="0.25">
      <c r="A3947" t="s">
        <v>3950</v>
      </c>
      <c r="B3947">
        <v>0.99930955844802105</v>
      </c>
      <c r="C3947">
        <v>0.93359718231588196</v>
      </c>
      <c r="D3947">
        <v>0.939241487722139</v>
      </c>
      <c r="E3947">
        <v>0.920147497283199</v>
      </c>
      <c r="F3947">
        <v>0.84167477216477404</v>
      </c>
      <c r="G3947">
        <v>0.86495952712200597</v>
      </c>
      <c r="H3947">
        <v>0.92396895474969398</v>
      </c>
      <c r="I3947">
        <v>1.0555571402842501</v>
      </c>
      <c r="J3947">
        <v>1.01372546663001</v>
      </c>
      <c r="K3947">
        <v>0.85570466083316599</v>
      </c>
      <c r="L3947">
        <v>3951.9093903499001</v>
      </c>
      <c r="M3947">
        <v>94.398284117535596</v>
      </c>
      <c r="O3947">
        <v>41.845424393985297</v>
      </c>
      <c r="P3947">
        <v>-4.1246561891389803E-2</v>
      </c>
      <c r="Q3947">
        <v>0.92686392499544901</v>
      </c>
      <c r="R3947">
        <v>0.10338567425685399</v>
      </c>
      <c r="S3947" t="s">
        <v>10563</v>
      </c>
      <c r="T3947" t="s">
        <v>13232</v>
      </c>
      <c r="U3947" t="s">
        <v>13232</v>
      </c>
      <c r="V3947" t="s">
        <v>13232</v>
      </c>
      <c r="W3947" t="s">
        <v>17117</v>
      </c>
      <c r="X3947">
        <v>16</v>
      </c>
      <c r="Y3947" t="s">
        <v>23538</v>
      </c>
      <c r="Z3947" t="s">
        <v>30078</v>
      </c>
      <c r="AA3947">
        <v>0.93145817108026241</v>
      </c>
      <c r="AB3947" t="str">
        <f>HYPERLINK("Melting_Curves/meltCurve_Q6UN15_FIP1L1.pdf", "Melting_Curves/meltCurve_Q6UN15_FIP1L1.pdf")</f>
        <v>Melting_Curves/meltCurve_Q6UN15_FIP1L1.pdf</v>
      </c>
    </row>
    <row r="3948" spans="1:28" x14ac:dyDescent="0.25">
      <c r="A3948" t="s">
        <v>3951</v>
      </c>
      <c r="B3948">
        <v>0.99930955844802105</v>
      </c>
      <c r="C3948">
        <v>1.02480304346994</v>
      </c>
      <c r="D3948">
        <v>1.0607184230122999</v>
      </c>
      <c r="E3948">
        <v>1.1714856722028699</v>
      </c>
      <c r="F3948">
        <v>1.28055057414207</v>
      </c>
      <c r="G3948">
        <v>2.4537485810418098</v>
      </c>
      <c r="H3948">
        <v>3.3428207665381602</v>
      </c>
      <c r="I3948">
        <v>4.6182232380316197</v>
      </c>
      <c r="J3948">
        <v>8.7195724970309207</v>
      </c>
      <c r="K3948">
        <v>5.0096072771686604</v>
      </c>
      <c r="L3948">
        <v>2498.1209107903101</v>
      </c>
      <c r="M3948">
        <v>48.699985199529699</v>
      </c>
      <c r="O3948">
        <v>51.2098632117522</v>
      </c>
      <c r="P3948">
        <v>0.118873665399903</v>
      </c>
      <c r="Q3948">
        <v>1.5</v>
      </c>
      <c r="R3948">
        <v>-0.35955187572481601</v>
      </c>
      <c r="S3948" t="s">
        <v>10564</v>
      </c>
      <c r="T3948" t="s">
        <v>13232</v>
      </c>
      <c r="U3948" t="s">
        <v>13232</v>
      </c>
      <c r="V3948" t="s">
        <v>13232</v>
      </c>
      <c r="W3948" t="s">
        <v>17118</v>
      </c>
      <c r="X3948">
        <v>15</v>
      </c>
      <c r="Y3948" t="s">
        <v>23538</v>
      </c>
      <c r="Z3948" t="s">
        <v>30079</v>
      </c>
      <c r="AA3948">
        <v>1.310538266417195</v>
      </c>
      <c r="AB3948" t="str">
        <f>HYPERLINK("Melting_Curves/meltCurve_Q6UN15_3_FIP1L1.pdf", "Melting_Curves/meltCurve_Q6UN15_3_FIP1L1.pdf")</f>
        <v>Melting_Curves/meltCurve_Q6UN15_3_FIP1L1.pdf</v>
      </c>
    </row>
    <row r="3949" spans="1:28" x14ac:dyDescent="0.25">
      <c r="A3949" t="s">
        <v>3952</v>
      </c>
      <c r="B3949">
        <v>0.99930955844802105</v>
      </c>
      <c r="C3949">
        <v>1.2557818880736999</v>
      </c>
      <c r="D3949">
        <v>1.2210150954044201</v>
      </c>
      <c r="E3949">
        <v>1.14940219687539</v>
      </c>
      <c r="F3949">
        <v>1.1145064043533399</v>
      </c>
      <c r="G3949">
        <v>1.04921758825546</v>
      </c>
      <c r="H3949">
        <v>1.0462743985743901</v>
      </c>
      <c r="I3949">
        <v>1.1888955488948401</v>
      </c>
      <c r="J3949">
        <v>1.14932871760027</v>
      </c>
      <c r="K3949">
        <v>1.00350646001815</v>
      </c>
      <c r="L3949">
        <v>10250.213383284199</v>
      </c>
      <c r="M3949">
        <v>250</v>
      </c>
      <c r="O3949">
        <v>40.998237769935301</v>
      </c>
      <c r="P3949">
        <v>0.19952192581848899</v>
      </c>
      <c r="Q3949">
        <v>1.1308807320040699</v>
      </c>
      <c r="R3949">
        <v>0.21145518084996501</v>
      </c>
      <c r="S3949" t="s">
        <v>10565</v>
      </c>
      <c r="T3949" t="s">
        <v>13232</v>
      </c>
      <c r="U3949" t="s">
        <v>13232</v>
      </c>
      <c r="V3949" t="s">
        <v>13232</v>
      </c>
      <c r="W3949" t="s">
        <v>17119</v>
      </c>
      <c r="X3949">
        <v>3</v>
      </c>
      <c r="Y3949" t="s">
        <v>23539</v>
      </c>
      <c r="Z3949" t="s">
        <v>30080</v>
      </c>
      <c r="AA3949">
        <v>1.1265036033091551</v>
      </c>
      <c r="AB3949" t="str">
        <f>HYPERLINK("Melting_Curves/meltCurve_Q6UUV7_3_CRTC3.pdf", "Melting_Curves/meltCurve_Q6UUV7_3_CRTC3.pdf")</f>
        <v>Melting_Curves/meltCurve_Q6UUV7_3_CRTC3.pdf</v>
      </c>
    </row>
    <row r="3950" spans="1:28" x14ac:dyDescent="0.25">
      <c r="A3950" t="s">
        <v>3953</v>
      </c>
      <c r="B3950">
        <v>0.99930955844802105</v>
      </c>
      <c r="C3950">
        <v>0.92143166146272604</v>
      </c>
      <c r="D3950">
        <v>0.85184121571541505</v>
      </c>
      <c r="E3950">
        <v>0.79868575425793498</v>
      </c>
      <c r="F3950">
        <v>0.69003110726129602</v>
      </c>
      <c r="G3950">
        <v>0.57901883529923504</v>
      </c>
      <c r="H3950">
        <v>0.498649993670088</v>
      </c>
      <c r="I3950">
        <v>0.45770370172983399</v>
      </c>
      <c r="J3950">
        <v>0.393780826894854</v>
      </c>
      <c r="K3950">
        <v>0.35936650056032599</v>
      </c>
      <c r="L3950">
        <v>424.12977685178703</v>
      </c>
      <c r="M3950">
        <v>7.5629306972950898</v>
      </c>
      <c r="N3950">
        <v>60.841715399148597</v>
      </c>
      <c r="O3950">
        <v>52.561669501797297</v>
      </c>
      <c r="P3950">
        <v>-2.7975974707663401E-2</v>
      </c>
      <c r="Q3950">
        <v>0.22336105708211401</v>
      </c>
      <c r="R3950">
        <v>0.994375500170945</v>
      </c>
      <c r="S3950" t="s">
        <v>10566</v>
      </c>
      <c r="T3950" t="s">
        <v>13232</v>
      </c>
      <c r="U3950" t="s">
        <v>13232</v>
      </c>
      <c r="V3950" t="s">
        <v>13232</v>
      </c>
      <c r="W3950" t="s">
        <v>17120</v>
      </c>
      <c r="X3950">
        <v>2</v>
      </c>
      <c r="Y3950" t="s">
        <v>23540</v>
      </c>
      <c r="Z3950" t="s">
        <v>30081</v>
      </c>
      <c r="AA3950">
        <v>0.65397618493781295</v>
      </c>
      <c r="AB3950" t="str">
        <f>HYPERLINK("Melting_Curves/meltCurve_Q6UUV9_3_CRTC1.pdf", "Melting_Curves/meltCurve_Q6UUV9_3_CRTC1.pdf")</f>
        <v>Melting_Curves/meltCurve_Q6UUV9_3_CRTC1.pdf</v>
      </c>
    </row>
    <row r="3951" spans="1:28" x14ac:dyDescent="0.25">
      <c r="A3951" t="s">
        <v>3954</v>
      </c>
      <c r="B3951">
        <v>0.99930955844802105</v>
      </c>
      <c r="C3951">
        <v>1.03301184863386</v>
      </c>
      <c r="D3951">
        <v>0.94932984994771197</v>
      </c>
      <c r="E3951">
        <v>0.69274615603219902</v>
      </c>
      <c r="F3951">
        <v>0.36103270375607099</v>
      </c>
      <c r="G3951">
        <v>0.25532634583577402</v>
      </c>
      <c r="H3951">
        <v>0.15546121292354001</v>
      </c>
      <c r="I3951">
        <v>0.14598682344816599</v>
      </c>
      <c r="J3951">
        <v>0.130885209924444</v>
      </c>
      <c r="K3951">
        <v>0.10548138911633199</v>
      </c>
      <c r="L3951">
        <v>1238.4856411502999</v>
      </c>
      <c r="M3951">
        <v>24.223999369104199</v>
      </c>
      <c r="N3951">
        <v>51.802310793818997</v>
      </c>
      <c r="O3951">
        <v>50.781789853360003</v>
      </c>
      <c r="P3951">
        <v>-0.103098404328445</v>
      </c>
      <c r="Q3951">
        <v>0.13549507022920201</v>
      </c>
      <c r="R3951">
        <v>0.99507139325965499</v>
      </c>
      <c r="S3951" t="s">
        <v>10567</v>
      </c>
      <c r="T3951" t="s">
        <v>13232</v>
      </c>
      <c r="U3951" t="s">
        <v>13232</v>
      </c>
      <c r="V3951" t="s">
        <v>13232</v>
      </c>
      <c r="W3951" t="s">
        <v>17121</v>
      </c>
      <c r="X3951">
        <v>14</v>
      </c>
      <c r="Y3951" t="s">
        <v>23541</v>
      </c>
      <c r="Z3951" t="s">
        <v>30082</v>
      </c>
      <c r="AA3951">
        <v>0.46444086586255889</v>
      </c>
      <c r="AB3951" t="str">
        <f>HYPERLINK("Melting_Curves/meltCurve_Q6UVJ0_SASS6.pdf", "Melting_Curves/meltCurve_Q6UVJ0_SASS6.pdf")</f>
        <v>Melting_Curves/meltCurve_Q6UVJ0_SASS6.pdf</v>
      </c>
    </row>
    <row r="3952" spans="1:28" x14ac:dyDescent="0.25">
      <c r="A3952" t="s">
        <v>3955</v>
      </c>
      <c r="B3952">
        <v>0.99930955844802105</v>
      </c>
      <c r="C3952">
        <v>1.1144714706486101</v>
      </c>
      <c r="D3952">
        <v>0.96942503035799299</v>
      </c>
      <c r="E3952">
        <v>0.47992070327372</v>
      </c>
      <c r="F3952">
        <v>0.19708879905096</v>
      </c>
      <c r="G3952">
        <v>0.132826145949036</v>
      </c>
      <c r="H3952">
        <v>8.6752061639750896E-2</v>
      </c>
      <c r="I3952">
        <v>8.8780791795723707E-2</v>
      </c>
      <c r="J3952">
        <v>6.3250184373871102E-2</v>
      </c>
      <c r="K3952">
        <v>5.15461232856501E-2</v>
      </c>
      <c r="L3952">
        <v>1760.31459177688</v>
      </c>
      <c r="M3952">
        <v>35.414096773197798</v>
      </c>
      <c r="N3952">
        <v>49.968459868591601</v>
      </c>
      <c r="O3952">
        <v>49.548912939122303</v>
      </c>
      <c r="P3952">
        <v>-0.16355046144850599</v>
      </c>
      <c r="Q3952">
        <v>8.4689916845756399E-2</v>
      </c>
      <c r="R3952">
        <v>0.98966719829627203</v>
      </c>
      <c r="S3952" t="s">
        <v>10568</v>
      </c>
      <c r="T3952" t="s">
        <v>13232</v>
      </c>
      <c r="U3952" t="s">
        <v>13232</v>
      </c>
      <c r="V3952" t="s">
        <v>13232</v>
      </c>
      <c r="W3952" t="s">
        <v>17122</v>
      </c>
      <c r="X3952">
        <v>9</v>
      </c>
      <c r="Y3952" t="s">
        <v>23542</v>
      </c>
      <c r="Z3952" t="s">
        <v>30083</v>
      </c>
      <c r="AA3952">
        <v>0.38486663595018661</v>
      </c>
      <c r="AB3952" t="str">
        <f>HYPERLINK("Melting_Curves/meltCurve_Q6UW63_KDELC1.pdf", "Melting_Curves/meltCurve_Q6UW63_KDELC1.pdf")</f>
        <v>Melting_Curves/meltCurve_Q6UW63_KDELC1.pdf</v>
      </c>
    </row>
    <row r="3953" spans="1:28" x14ac:dyDescent="0.25">
      <c r="A3953" t="s">
        <v>3956</v>
      </c>
      <c r="B3953">
        <v>0.99930955844802105</v>
      </c>
      <c r="C3953">
        <v>1.04802431756124</v>
      </c>
      <c r="D3953">
        <v>1.0130680011793101</v>
      </c>
      <c r="E3953">
        <v>0.95397182669923097</v>
      </c>
      <c r="F3953">
        <v>0.70236977419076396</v>
      </c>
      <c r="G3953">
        <v>0.27489636635197101</v>
      </c>
      <c r="H3953">
        <v>0.12222883935838701</v>
      </c>
      <c r="I3953">
        <v>8.67676021070454E-2</v>
      </c>
      <c r="J3953">
        <v>7.0528004629142493E-2</v>
      </c>
      <c r="K3953">
        <v>5.4773262205910798E-2</v>
      </c>
      <c r="L3953">
        <v>1566.4311164809901</v>
      </c>
      <c r="M3953">
        <v>28.7466985333539</v>
      </c>
      <c r="N3953">
        <v>54.770464716144097</v>
      </c>
      <c r="O3953">
        <v>54.229167738461598</v>
      </c>
      <c r="P3953">
        <v>-0.12347957103483</v>
      </c>
      <c r="Q3953">
        <v>6.8255772590493397E-2</v>
      </c>
      <c r="R3953">
        <v>0.99801235777650599</v>
      </c>
      <c r="S3953" t="s">
        <v>10569</v>
      </c>
      <c r="T3953" t="s">
        <v>13232</v>
      </c>
      <c r="U3953" t="s">
        <v>13232</v>
      </c>
      <c r="V3953" t="s">
        <v>13232</v>
      </c>
      <c r="W3953" t="s">
        <v>17123</v>
      </c>
      <c r="X3953">
        <v>35</v>
      </c>
      <c r="Y3953" t="s">
        <v>23543</v>
      </c>
      <c r="Z3953" t="s">
        <v>30084</v>
      </c>
      <c r="AA3953">
        <v>0.52498564148594973</v>
      </c>
      <c r="AB3953" t="str">
        <f>HYPERLINK("Melting_Curves/meltCurve_Q6UWE0_LRSAM1.pdf", "Melting_Curves/meltCurve_Q6UWE0_LRSAM1.pdf")</f>
        <v>Melting_Curves/meltCurve_Q6UWE0_LRSAM1.pdf</v>
      </c>
    </row>
    <row r="3954" spans="1:28" x14ac:dyDescent="0.25">
      <c r="A3954" t="s">
        <v>3957</v>
      </c>
      <c r="B3954">
        <v>0.99930955844802105</v>
      </c>
      <c r="C3954">
        <v>1.0130660063252499</v>
      </c>
      <c r="D3954">
        <v>0.99743467568487398</v>
      </c>
      <c r="E3954">
        <v>0.92820556414364896</v>
      </c>
      <c r="F3954">
        <v>0.41316071712540697</v>
      </c>
      <c r="G3954">
        <v>0.15867346391524101</v>
      </c>
      <c r="H3954">
        <v>8.17374437272258E-2</v>
      </c>
      <c r="I3954">
        <v>5.7673173263887899E-2</v>
      </c>
      <c r="J3954">
        <v>4.7873710907476302E-2</v>
      </c>
      <c r="K3954">
        <v>3.4373770000111999E-2</v>
      </c>
      <c r="L3954">
        <v>2331.2264449736499</v>
      </c>
      <c r="M3954">
        <v>44.443856295193903</v>
      </c>
      <c r="N3954">
        <v>52.627801036741801</v>
      </c>
      <c r="O3954">
        <v>52.347408121322097</v>
      </c>
      <c r="P3954">
        <v>-0.197712026841045</v>
      </c>
      <c r="Q3954">
        <v>6.8514536082726396E-2</v>
      </c>
      <c r="R3954">
        <v>0.99627412940680704</v>
      </c>
      <c r="S3954" t="s">
        <v>10570</v>
      </c>
      <c r="T3954" t="s">
        <v>13232</v>
      </c>
      <c r="U3954" t="s">
        <v>13232</v>
      </c>
      <c r="V3954" t="s">
        <v>13232</v>
      </c>
      <c r="W3954" t="s">
        <v>17124</v>
      </c>
      <c r="X3954">
        <v>11</v>
      </c>
      <c r="Y3954" t="s">
        <v>23544</v>
      </c>
      <c r="Z3954" t="s">
        <v>30085</v>
      </c>
      <c r="AA3954">
        <v>0.45791400469586752</v>
      </c>
      <c r="AB3954" t="str">
        <f>HYPERLINK("Melting_Curves/meltCurve_Q6UWP2_DHRS11.pdf", "Melting_Curves/meltCurve_Q6UWP2_DHRS11.pdf")</f>
        <v>Melting_Curves/meltCurve_Q6UWP2_DHRS11.pdf</v>
      </c>
    </row>
    <row r="3955" spans="1:28" x14ac:dyDescent="0.25">
      <c r="A3955" t="s">
        <v>3958</v>
      </c>
      <c r="B3955">
        <v>0.99930955844802105</v>
      </c>
      <c r="C3955">
        <v>2.0640663768172098</v>
      </c>
      <c r="D3955">
        <v>0.96787440343435605</v>
      </c>
      <c r="E3955">
        <v>0.65848356252270202</v>
      </c>
      <c r="F3955">
        <v>1.1596960130126599</v>
      </c>
      <c r="G3955">
        <v>0.91290975857299606</v>
      </c>
      <c r="H3955">
        <v>0.73337376492447404</v>
      </c>
      <c r="I3955">
        <v>2.02092114938708</v>
      </c>
      <c r="J3955">
        <v>1.37411970562226</v>
      </c>
      <c r="K3955">
        <v>0.56687556909488901</v>
      </c>
      <c r="L3955">
        <v>5127.1969428740003</v>
      </c>
      <c r="M3955">
        <v>82.651628270834607</v>
      </c>
      <c r="O3955">
        <v>61.997541765460802</v>
      </c>
      <c r="P3955">
        <v>9.6259849543725101E-2</v>
      </c>
      <c r="Q3955">
        <v>1.28882060195024</v>
      </c>
      <c r="R3955">
        <v>1.10386613051541E-2</v>
      </c>
      <c r="S3955" t="s">
        <v>10571</v>
      </c>
      <c r="T3955" t="s">
        <v>13232</v>
      </c>
      <c r="U3955" t="s">
        <v>13232</v>
      </c>
      <c r="V3955" t="s">
        <v>13232</v>
      </c>
      <c r="W3955" t="s">
        <v>17125</v>
      </c>
      <c r="X3955">
        <v>1</v>
      </c>
      <c r="Y3955" t="s">
        <v>23545</v>
      </c>
      <c r="Z3955" t="s">
        <v>30086</v>
      </c>
      <c r="AA3955">
        <v>1.0764057260979181</v>
      </c>
      <c r="AB3955" t="str">
        <f>HYPERLINK("Melting_Curves/meltCurve_Q6UWP8_SBSN.pdf", "Melting_Curves/meltCurve_Q6UWP8_SBSN.pdf")</f>
        <v>Melting_Curves/meltCurve_Q6UWP8_SBSN.pdf</v>
      </c>
    </row>
    <row r="3956" spans="1:28" x14ac:dyDescent="0.25">
      <c r="A3956" t="s">
        <v>3959</v>
      </c>
      <c r="B3956">
        <v>0.99930955844802105</v>
      </c>
      <c r="C3956">
        <v>0.93484786263361996</v>
      </c>
      <c r="D3956">
        <v>0.92031146540764197</v>
      </c>
      <c r="E3956">
        <v>0.57516298313146497</v>
      </c>
      <c r="F3956">
        <v>0.34475392459880699</v>
      </c>
      <c r="G3956">
        <v>0.28460436666961098</v>
      </c>
      <c r="H3956">
        <v>0.240844244267788</v>
      </c>
      <c r="I3956">
        <v>0.22934328944740701</v>
      </c>
      <c r="J3956">
        <v>0.21343152605643401</v>
      </c>
      <c r="K3956">
        <v>0.165572841909295</v>
      </c>
      <c r="L3956">
        <v>1153.9834157228699</v>
      </c>
      <c r="M3956">
        <v>23.2180439617015</v>
      </c>
      <c r="N3956">
        <v>50.914093618928099</v>
      </c>
      <c r="O3956">
        <v>49.337712490877998</v>
      </c>
      <c r="P3956">
        <v>-9.2671753453400202E-2</v>
      </c>
      <c r="Q3956">
        <v>0.21231437659441499</v>
      </c>
      <c r="R3956">
        <v>0.99316661917934801</v>
      </c>
      <c r="S3956" t="s">
        <v>10572</v>
      </c>
      <c r="T3956" t="s">
        <v>13232</v>
      </c>
      <c r="U3956" t="s">
        <v>13232</v>
      </c>
      <c r="V3956" t="s">
        <v>13232</v>
      </c>
      <c r="W3956" t="s">
        <v>17126</v>
      </c>
      <c r="X3956">
        <v>13</v>
      </c>
      <c r="Y3956" t="s">
        <v>23546</v>
      </c>
      <c r="Z3956" t="s">
        <v>30087</v>
      </c>
      <c r="AA3956">
        <v>0.47520276297462832</v>
      </c>
      <c r="AB3956" t="str">
        <f>HYPERLINK("Melting_Curves/meltCurve_Q6UX04_CWC27.pdf", "Melting_Curves/meltCurve_Q6UX04_CWC27.pdf")</f>
        <v>Melting_Curves/meltCurve_Q6UX04_CWC27.pdf</v>
      </c>
    </row>
    <row r="3957" spans="1:28" x14ac:dyDescent="0.25">
      <c r="A3957" t="s">
        <v>3960</v>
      </c>
      <c r="B3957">
        <v>0.99930955844802105</v>
      </c>
      <c r="C3957">
        <v>1.0020324274054999</v>
      </c>
      <c r="D3957">
        <v>1.0093558813535599</v>
      </c>
      <c r="E3957">
        <v>0.920455043079902</v>
      </c>
      <c r="F3957">
        <v>0.71613424926947</v>
      </c>
      <c r="G3957">
        <v>0.70242671091279396</v>
      </c>
      <c r="H3957">
        <v>0.59292161123307197</v>
      </c>
      <c r="I3957">
        <v>0.57111678440310398</v>
      </c>
      <c r="J3957">
        <v>0.56297242357589705</v>
      </c>
      <c r="K3957">
        <v>0.45424866691910198</v>
      </c>
      <c r="L3957">
        <v>755.16067239455595</v>
      </c>
      <c r="M3957">
        <v>13.847327616148901</v>
      </c>
      <c r="O3957">
        <v>53.435138149484303</v>
      </c>
      <c r="P3957">
        <v>-3.2975334767486597E-2</v>
      </c>
      <c r="Q3957">
        <v>0.49107898825527002</v>
      </c>
      <c r="R3957">
        <v>0.96029097148458498</v>
      </c>
      <c r="S3957" t="s">
        <v>10573</v>
      </c>
      <c r="T3957" t="s">
        <v>13232</v>
      </c>
      <c r="U3957" t="s">
        <v>13232</v>
      </c>
      <c r="V3957" t="s">
        <v>13232</v>
      </c>
      <c r="W3957" t="s">
        <v>17127</v>
      </c>
      <c r="X3957">
        <v>5</v>
      </c>
      <c r="Y3957" t="s">
        <v>23547</v>
      </c>
      <c r="Z3957" t="s">
        <v>30088</v>
      </c>
      <c r="AA3957">
        <v>0.74868967596347169</v>
      </c>
      <c r="AB3957" t="str">
        <f>HYPERLINK("Melting_Curves/meltCurve_Q6UXH1_4_CRELD2.pdf", "Melting_Curves/meltCurve_Q6UXH1_4_CRELD2.pdf")</f>
        <v>Melting_Curves/meltCurve_Q6UXH1_4_CRELD2.pdf</v>
      </c>
    </row>
    <row r="3958" spans="1:28" x14ac:dyDescent="0.25">
      <c r="A3958" t="s">
        <v>3961</v>
      </c>
      <c r="B3958">
        <v>0.99930955844802105</v>
      </c>
      <c r="C3958">
        <v>0.98891250509430895</v>
      </c>
      <c r="D3958">
        <v>0.97038167818971299</v>
      </c>
      <c r="E3958">
        <v>0.87995189946127195</v>
      </c>
      <c r="F3958">
        <v>0.77768164620943203</v>
      </c>
      <c r="G3958">
        <v>0.58669239486039304</v>
      </c>
      <c r="H3958">
        <v>0.32584673529139002</v>
      </c>
      <c r="I3958">
        <v>0.17597372219742</v>
      </c>
      <c r="J3958">
        <v>0.13425940696046201</v>
      </c>
      <c r="K3958">
        <v>0.105385557692937</v>
      </c>
      <c r="L3958">
        <v>813.073462822887</v>
      </c>
      <c r="M3958">
        <v>14.058135173224599</v>
      </c>
      <c r="N3958">
        <v>57.889277695247301</v>
      </c>
      <c r="O3958">
        <v>56.703928310074403</v>
      </c>
      <c r="P3958">
        <v>-6.1593854587541498E-2</v>
      </c>
      <c r="Q3958">
        <v>6.3664143899873999E-3</v>
      </c>
      <c r="R3958">
        <v>0.99752588690706501</v>
      </c>
      <c r="S3958" t="s">
        <v>10574</v>
      </c>
      <c r="T3958" t="s">
        <v>13232</v>
      </c>
      <c r="U3958" t="s">
        <v>13232</v>
      </c>
      <c r="V3958" t="s">
        <v>13232</v>
      </c>
      <c r="W3958" t="s">
        <v>17128</v>
      </c>
      <c r="X3958">
        <v>20</v>
      </c>
      <c r="Y3958" t="s">
        <v>23548</v>
      </c>
      <c r="Z3958" t="s">
        <v>30089</v>
      </c>
      <c r="AA3958">
        <v>0.61103355717860997</v>
      </c>
      <c r="AB3958" t="str">
        <f>HYPERLINK("Melting_Curves/meltCurve_Q6UXN9_WDR82.pdf", "Melting_Curves/meltCurve_Q6UXN9_WDR82.pdf")</f>
        <v>Melting_Curves/meltCurve_Q6UXN9_WDR82.pdf</v>
      </c>
    </row>
    <row r="3959" spans="1:28" x14ac:dyDescent="0.25">
      <c r="A3959" t="s">
        <v>3962</v>
      </c>
      <c r="B3959">
        <v>0.99930955844802105</v>
      </c>
      <c r="C3959">
        <v>1.0432776175140099</v>
      </c>
      <c r="D3959">
        <v>1.0092001771071699</v>
      </c>
      <c r="E3959">
        <v>0.94681465390410202</v>
      </c>
      <c r="F3959">
        <v>0.87809836288798304</v>
      </c>
      <c r="G3959">
        <v>0.87472956672395696</v>
      </c>
      <c r="H3959">
        <v>0.90363539076990895</v>
      </c>
      <c r="I3959">
        <v>1.03926928987978</v>
      </c>
      <c r="J3959">
        <v>1.05016651418891</v>
      </c>
      <c r="K3959">
        <v>0.803590588781946</v>
      </c>
      <c r="L3959">
        <v>12455.634277753999</v>
      </c>
      <c r="M3959">
        <v>250</v>
      </c>
      <c r="O3959">
        <v>49.819366603190304</v>
      </c>
      <c r="P3959">
        <v>-9.4196636474802101E-2</v>
      </c>
      <c r="Q3959">
        <v>0.92491495852646399</v>
      </c>
      <c r="R3959">
        <v>0.24286993768768</v>
      </c>
      <c r="S3959" t="s">
        <v>10575</v>
      </c>
      <c r="T3959" t="s">
        <v>13232</v>
      </c>
      <c r="U3959" t="s">
        <v>13232</v>
      </c>
      <c r="V3959" t="s">
        <v>13232</v>
      </c>
      <c r="W3959" t="s">
        <v>17129</v>
      </c>
      <c r="X3959">
        <v>3</v>
      </c>
      <c r="Y3959" t="s">
        <v>23549</v>
      </c>
      <c r="Z3959" t="s">
        <v>30090</v>
      </c>
      <c r="AA3959">
        <v>0.94950571067412315</v>
      </c>
      <c r="AB3959" t="str">
        <f>HYPERLINK("Melting_Curves/meltCurve_Q6UXV4_APOOL.pdf", "Melting_Curves/meltCurve_Q6UXV4_APOOL.pdf")</f>
        <v>Melting_Curves/meltCurve_Q6UXV4_APOOL.pdf</v>
      </c>
    </row>
    <row r="3960" spans="1:28" x14ac:dyDescent="0.25">
      <c r="A3960" t="s">
        <v>3963</v>
      </c>
      <c r="B3960">
        <v>0.99930955844802105</v>
      </c>
      <c r="C3960">
        <v>0.96209837629862904</v>
      </c>
      <c r="D3960">
        <v>0.97937406890800704</v>
      </c>
      <c r="E3960">
        <v>0.82841323579899695</v>
      </c>
      <c r="F3960">
        <v>0.59876144320494296</v>
      </c>
      <c r="G3960">
        <v>0.37162832543114299</v>
      </c>
      <c r="H3960">
        <v>0.20778273975995801</v>
      </c>
      <c r="I3960">
        <v>0.200345234985151</v>
      </c>
      <c r="J3960">
        <v>0.16613893449796099</v>
      </c>
      <c r="K3960">
        <v>0.134235842832993</v>
      </c>
      <c r="L3960">
        <v>980.74991712661301</v>
      </c>
      <c r="M3960">
        <v>18.286927914242401</v>
      </c>
      <c r="N3960">
        <v>54.599286901690498</v>
      </c>
      <c r="O3960">
        <v>53.002194279851999</v>
      </c>
      <c r="P3960">
        <v>-7.43158627273202E-2</v>
      </c>
      <c r="Q3960">
        <v>0.138461751658807</v>
      </c>
      <c r="R3960">
        <v>0.99777532079693099</v>
      </c>
      <c r="S3960" t="s">
        <v>10576</v>
      </c>
      <c r="T3960" t="s">
        <v>13232</v>
      </c>
      <c r="U3960" t="s">
        <v>13232</v>
      </c>
      <c r="V3960" t="s">
        <v>13232</v>
      </c>
      <c r="W3960" t="s">
        <v>17130</v>
      </c>
      <c r="X3960">
        <v>17</v>
      </c>
      <c r="Y3960" t="s">
        <v>23550</v>
      </c>
      <c r="Z3960" t="s">
        <v>30091</v>
      </c>
      <c r="AA3960">
        <v>0.54350400173332081</v>
      </c>
      <c r="AB3960" t="str">
        <f>HYPERLINK("Melting_Curves/meltCurve_Q6VY07_PACS1.pdf", "Melting_Curves/meltCurve_Q6VY07_PACS1.pdf")</f>
        <v>Melting_Curves/meltCurve_Q6VY07_PACS1.pdf</v>
      </c>
    </row>
    <row r="3961" spans="1:28" x14ac:dyDescent="0.25">
      <c r="A3961" t="s">
        <v>3964</v>
      </c>
      <c r="B3961">
        <v>0.99930955844802105</v>
      </c>
      <c r="C3961">
        <v>1.1777131653328199</v>
      </c>
      <c r="D3961">
        <v>1.10509504427011</v>
      </c>
      <c r="E3961">
        <v>1.02641060453683</v>
      </c>
      <c r="F3961">
        <v>0.89394222225189401</v>
      </c>
      <c r="G3961">
        <v>0.72506328116081598</v>
      </c>
      <c r="H3961">
        <v>0.62750584418931199</v>
      </c>
      <c r="I3961">
        <v>0.66447815982587599</v>
      </c>
      <c r="J3961">
        <v>0.64171191008276296</v>
      </c>
      <c r="K3961">
        <v>0.52055564453872805</v>
      </c>
      <c r="L3961">
        <v>1579.3079687853101</v>
      </c>
      <c r="M3961">
        <v>28.525177930334898</v>
      </c>
      <c r="O3961">
        <v>55.0954291791939</v>
      </c>
      <c r="P3961">
        <v>-5.1354178517316502E-2</v>
      </c>
      <c r="Q3961">
        <v>0.60324754533587199</v>
      </c>
      <c r="R3961">
        <v>0.88213037033854702</v>
      </c>
      <c r="S3961" t="s">
        <v>10577</v>
      </c>
      <c r="T3961" t="s">
        <v>13232</v>
      </c>
      <c r="U3961" t="s">
        <v>13232</v>
      </c>
      <c r="V3961" t="s">
        <v>13232</v>
      </c>
      <c r="W3961" t="s">
        <v>17131</v>
      </c>
      <c r="X3961">
        <v>22</v>
      </c>
      <c r="Y3961" t="s">
        <v>23551</v>
      </c>
      <c r="Z3961" t="s">
        <v>30092</v>
      </c>
      <c r="AA3961">
        <v>0.80935307145238511</v>
      </c>
      <c r="AB3961" t="str">
        <f>HYPERLINK("Melting_Curves/meltCurve_Q6W2J9_4_BCOR.pdf", "Melting_Curves/meltCurve_Q6W2J9_4_BCOR.pdf")</f>
        <v>Melting_Curves/meltCurve_Q6W2J9_4_BCOR.pdf</v>
      </c>
    </row>
    <row r="3962" spans="1:28" x14ac:dyDescent="0.25">
      <c r="A3962" t="s">
        <v>3965</v>
      </c>
      <c r="B3962">
        <v>0.99930955844802105</v>
      </c>
      <c r="C3962">
        <v>0.96916901633335895</v>
      </c>
      <c r="D3962">
        <v>0.95078066237288705</v>
      </c>
      <c r="E3962">
        <v>0.88004447157151899</v>
      </c>
      <c r="F3962">
        <v>0.70907609376698</v>
      </c>
      <c r="G3962">
        <v>0.51731601341980404</v>
      </c>
      <c r="H3962">
        <v>0.41485909424788903</v>
      </c>
      <c r="I3962">
        <v>0.40097973869494102</v>
      </c>
      <c r="J3962">
        <v>0.38477190732892702</v>
      </c>
      <c r="K3962">
        <v>0.31679238838413099</v>
      </c>
      <c r="L3962">
        <v>904.91267045776499</v>
      </c>
      <c r="M3962">
        <v>16.787465583709398</v>
      </c>
      <c r="N3962">
        <v>57.751175009855601</v>
      </c>
      <c r="O3962">
        <v>53.156596698913802</v>
      </c>
      <c r="P3962">
        <v>-5.2382111850638902E-2</v>
      </c>
      <c r="Q3962">
        <v>0.33658262052094001</v>
      </c>
      <c r="R3962">
        <v>0.99505579989743598</v>
      </c>
      <c r="S3962" t="s">
        <v>10578</v>
      </c>
      <c r="T3962" t="s">
        <v>13232</v>
      </c>
      <c r="U3962" t="s">
        <v>13232</v>
      </c>
      <c r="V3962" t="s">
        <v>13232</v>
      </c>
      <c r="W3962" t="s">
        <v>17132</v>
      </c>
      <c r="X3962">
        <v>26</v>
      </c>
      <c r="Y3962" t="s">
        <v>20468</v>
      </c>
      <c r="Z3962" t="s">
        <v>30093</v>
      </c>
      <c r="AA3962">
        <v>0.65583243742565722</v>
      </c>
      <c r="AB3962" t="str">
        <f>HYPERLINK("Melting_Curves/meltCurve_Q6WCQ1_MPRIP.pdf", "Melting_Curves/meltCurve_Q6WCQ1_MPRIP.pdf")</f>
        <v>Melting_Curves/meltCurve_Q6WCQ1_MPRIP.pdf</v>
      </c>
    </row>
    <row r="3963" spans="1:28" x14ac:dyDescent="0.25">
      <c r="A3963" t="s">
        <v>3966</v>
      </c>
      <c r="B3963">
        <v>0.99930955844802105</v>
      </c>
      <c r="C3963">
        <v>1.0833018179816201</v>
      </c>
      <c r="D3963">
        <v>1.0582015371685001</v>
      </c>
      <c r="E3963">
        <v>0.97435036547909104</v>
      </c>
      <c r="F3963">
        <v>0.75720652888984796</v>
      </c>
      <c r="G3963">
        <v>0.64689414043279603</v>
      </c>
      <c r="H3963">
        <v>0.67538973624084997</v>
      </c>
      <c r="I3963">
        <v>0.74401648323449598</v>
      </c>
      <c r="J3963">
        <v>0.77373976628270802</v>
      </c>
      <c r="K3963">
        <v>0.60455590073362298</v>
      </c>
      <c r="L3963">
        <v>3388.2148221949701</v>
      </c>
      <c r="M3963">
        <v>65.232731799061497</v>
      </c>
      <c r="O3963">
        <v>51.891671073195901</v>
      </c>
      <c r="P3963">
        <v>-9.7739114128167798E-2</v>
      </c>
      <c r="Q3963">
        <v>0.68900008017451497</v>
      </c>
      <c r="R3963">
        <v>0.89744354241681301</v>
      </c>
      <c r="S3963" t="s">
        <v>10579</v>
      </c>
      <c r="T3963" t="s">
        <v>13232</v>
      </c>
      <c r="U3963" t="s">
        <v>13232</v>
      </c>
      <c r="V3963" t="s">
        <v>13232</v>
      </c>
      <c r="W3963" t="s">
        <v>17133</v>
      </c>
      <c r="X3963">
        <v>31</v>
      </c>
      <c r="Y3963" t="s">
        <v>23552</v>
      </c>
      <c r="Z3963" t="s">
        <v>30094</v>
      </c>
      <c r="AA3963">
        <v>0.81319994352707314</v>
      </c>
      <c r="AB3963" t="str">
        <f>HYPERLINK("Melting_Curves/meltCurve_Q6WKZ4_RAB11FIP1.pdf", "Melting_Curves/meltCurve_Q6WKZ4_RAB11FIP1.pdf")</f>
        <v>Melting_Curves/meltCurve_Q6WKZ4_RAB11FIP1.pdf</v>
      </c>
    </row>
    <row r="3964" spans="1:28" x14ac:dyDescent="0.25">
      <c r="A3964" t="s">
        <v>3967</v>
      </c>
      <c r="B3964">
        <v>0.99930955844802105</v>
      </c>
      <c r="C3964">
        <v>0.95991459541969104</v>
      </c>
      <c r="D3964">
        <v>0.94366950268896599</v>
      </c>
      <c r="E3964">
        <v>0.82489255945469697</v>
      </c>
      <c r="F3964">
        <v>0.64477992903536696</v>
      </c>
      <c r="G3964">
        <v>0.46933147416933402</v>
      </c>
      <c r="H3964">
        <v>0.41053226511969099</v>
      </c>
      <c r="I3964">
        <v>0.46309626076972499</v>
      </c>
      <c r="J3964">
        <v>0.40712719957212101</v>
      </c>
      <c r="K3964">
        <v>0.38106311754562899</v>
      </c>
      <c r="L3964">
        <v>1049.1171072428599</v>
      </c>
      <c r="M3964">
        <v>20.190146323045902</v>
      </c>
      <c r="N3964">
        <v>56.4622629366254</v>
      </c>
      <c r="O3964">
        <v>51.460144828843902</v>
      </c>
      <c r="P3964">
        <v>-5.8855114203236601E-2</v>
      </c>
      <c r="Q3964">
        <v>0.39998498054129</v>
      </c>
      <c r="R3964">
        <v>0.99153107757966696</v>
      </c>
      <c r="S3964" t="s">
        <v>10580</v>
      </c>
      <c r="T3964" t="s">
        <v>13232</v>
      </c>
      <c r="U3964" t="s">
        <v>13232</v>
      </c>
      <c r="V3964" t="s">
        <v>13232</v>
      </c>
      <c r="W3964" t="s">
        <v>17134</v>
      </c>
      <c r="X3964">
        <v>2</v>
      </c>
      <c r="Y3964" t="s">
        <v>23553</v>
      </c>
      <c r="Z3964" t="s">
        <v>30095</v>
      </c>
      <c r="AA3964">
        <v>0.64739233493562287</v>
      </c>
      <c r="AB3964" t="str">
        <f>HYPERLINK("Melting_Curves/meltCurve_Q6WRI0_IGSF10.pdf", "Melting_Curves/meltCurve_Q6WRI0_IGSF10.pdf")</f>
        <v>Melting_Curves/meltCurve_Q6WRI0_IGSF10.pdf</v>
      </c>
    </row>
    <row r="3965" spans="1:28" x14ac:dyDescent="0.25">
      <c r="A3965" t="s">
        <v>3968</v>
      </c>
      <c r="B3965">
        <v>0.99930955844802105</v>
      </c>
      <c r="C3965">
        <v>1.0917998121832699</v>
      </c>
      <c r="D3965">
        <v>1.0620342316828899</v>
      </c>
      <c r="E3965">
        <v>1.0520591197131901</v>
      </c>
      <c r="F3965">
        <v>1.0839584450245501</v>
      </c>
      <c r="G3965">
        <v>0.81713543946168998</v>
      </c>
      <c r="H3965">
        <v>0.42085733120212798</v>
      </c>
      <c r="I3965">
        <v>0.13574031218430899</v>
      </c>
      <c r="J3965">
        <v>7.8137834798196706E-2</v>
      </c>
      <c r="K3965">
        <v>6.1342148025927502E-2</v>
      </c>
      <c r="L3965">
        <v>1929.8671818090099</v>
      </c>
      <c r="M3965">
        <v>32.165932798623103</v>
      </c>
      <c r="N3965">
        <v>60.171430800078397</v>
      </c>
      <c r="O3965">
        <v>59.7667761899284</v>
      </c>
      <c r="P3965">
        <v>-0.128566798768286</v>
      </c>
      <c r="Q3965">
        <v>4.4456814631800602E-2</v>
      </c>
      <c r="R3965">
        <v>0.98547150576922804</v>
      </c>
      <c r="S3965" t="s">
        <v>10581</v>
      </c>
      <c r="T3965" t="s">
        <v>13232</v>
      </c>
      <c r="U3965" t="s">
        <v>13232</v>
      </c>
      <c r="V3965" t="s">
        <v>13232</v>
      </c>
      <c r="W3965" t="s">
        <v>17135</v>
      </c>
      <c r="X3965">
        <v>20</v>
      </c>
      <c r="Y3965" t="s">
        <v>23554</v>
      </c>
      <c r="Z3965" t="s">
        <v>30096</v>
      </c>
      <c r="AA3965">
        <v>0.68667946143142755</v>
      </c>
      <c r="AB3965" t="str">
        <f>HYPERLINK("Melting_Curves/meltCurve_Q6XQN6_NAPRT1.pdf", "Melting_Curves/meltCurve_Q6XQN6_NAPRT1.pdf")</f>
        <v>Melting_Curves/meltCurve_Q6XQN6_NAPRT1.pdf</v>
      </c>
    </row>
    <row r="3966" spans="1:28" x14ac:dyDescent="0.25">
      <c r="A3966" t="s">
        <v>3969</v>
      </c>
      <c r="B3966">
        <v>0.99930955844802105</v>
      </c>
      <c r="C3966">
        <v>1.16474888714807</v>
      </c>
      <c r="D3966">
        <v>1.1042631724029299</v>
      </c>
      <c r="E3966">
        <v>1.00672587889688</v>
      </c>
      <c r="F3966">
        <v>0.84070262915334404</v>
      </c>
      <c r="G3966">
        <v>0.73137144893776596</v>
      </c>
      <c r="H3966">
        <v>0.83217516028956995</v>
      </c>
      <c r="I3966">
        <v>1.0519747906825401</v>
      </c>
      <c r="J3966">
        <v>1.12158798764295</v>
      </c>
      <c r="K3966">
        <v>0.780491070642371</v>
      </c>
      <c r="L3966">
        <v>7727.4764728766604</v>
      </c>
      <c r="M3966">
        <v>151.02037136858999</v>
      </c>
      <c r="O3966">
        <v>51.159466628066198</v>
      </c>
      <c r="P3966">
        <v>-7.8937798270637405E-2</v>
      </c>
      <c r="Q3966">
        <v>0.89303653405806505</v>
      </c>
      <c r="R3966">
        <v>0.25499269469021602</v>
      </c>
      <c r="S3966" t="s">
        <v>10582</v>
      </c>
      <c r="T3966" t="s">
        <v>13232</v>
      </c>
      <c r="U3966" t="s">
        <v>13232</v>
      </c>
      <c r="V3966" t="s">
        <v>13232</v>
      </c>
      <c r="W3966" t="s">
        <v>17136</v>
      </c>
      <c r="X3966">
        <v>16</v>
      </c>
      <c r="Y3966" t="s">
        <v>23555</v>
      </c>
      <c r="Z3966" t="s">
        <v>30097</v>
      </c>
      <c r="AA3966">
        <v>0.93288335999302718</v>
      </c>
      <c r="AB3966" t="str">
        <f>HYPERLINK("Melting_Curves/meltCurve_Q6XZF7_DNMBP.pdf", "Melting_Curves/meltCurve_Q6XZF7_DNMBP.pdf")</f>
        <v>Melting_Curves/meltCurve_Q6XZF7_DNMBP.pdf</v>
      </c>
    </row>
    <row r="3967" spans="1:28" x14ac:dyDescent="0.25">
      <c r="A3967" t="s">
        <v>3970</v>
      </c>
      <c r="B3967">
        <v>0.99930955844802105</v>
      </c>
      <c r="C3967">
        <v>0.92177747054543002</v>
      </c>
      <c r="D3967">
        <v>0.92036858908899299</v>
      </c>
      <c r="E3967">
        <v>0.86488401453549302</v>
      </c>
      <c r="F3967">
        <v>0.682323593848569</v>
      </c>
      <c r="G3967">
        <v>0.55251675477405404</v>
      </c>
      <c r="H3967">
        <v>0.45451618390331799</v>
      </c>
      <c r="I3967">
        <v>0.45985784361914001</v>
      </c>
      <c r="J3967">
        <v>0.41177547957090799</v>
      </c>
      <c r="K3967">
        <v>0.346783779475756</v>
      </c>
      <c r="L3967">
        <v>642.69083451145696</v>
      </c>
      <c r="M3967">
        <v>11.8931821268354</v>
      </c>
      <c r="N3967">
        <v>59.541625943115797</v>
      </c>
      <c r="O3967">
        <v>52.578764862095703</v>
      </c>
      <c r="P3967">
        <v>-3.7703378236772299E-2</v>
      </c>
      <c r="Q3967">
        <v>0.33343240630479298</v>
      </c>
      <c r="R3967">
        <v>0.98476246159997705</v>
      </c>
      <c r="S3967" t="s">
        <v>10583</v>
      </c>
      <c r="T3967" t="s">
        <v>13232</v>
      </c>
      <c r="U3967" t="s">
        <v>13232</v>
      </c>
      <c r="V3967" t="s">
        <v>13232</v>
      </c>
      <c r="W3967" t="s">
        <v>17137</v>
      </c>
      <c r="X3967">
        <v>49</v>
      </c>
      <c r="Y3967" t="s">
        <v>23556</v>
      </c>
      <c r="Z3967" t="s">
        <v>30098</v>
      </c>
      <c r="AA3967">
        <v>0.66284109013141423</v>
      </c>
      <c r="AB3967" t="str">
        <f>HYPERLINK("Melting_Curves/meltCurve_Q6Y7W6_GIGYF2.pdf", "Melting_Curves/meltCurve_Q6Y7W6_GIGYF2.pdf")</f>
        <v>Melting_Curves/meltCurve_Q6Y7W6_GIGYF2.pdf</v>
      </c>
    </row>
    <row r="3968" spans="1:28" x14ac:dyDescent="0.25">
      <c r="A3968" t="s">
        <v>3971</v>
      </c>
      <c r="B3968">
        <v>0.99930955844802105</v>
      </c>
      <c r="C3968">
        <v>0.82793929104505803</v>
      </c>
      <c r="D3968">
        <v>0.76237102489674302</v>
      </c>
      <c r="E3968">
        <v>0.45531183311613699</v>
      </c>
      <c r="F3968">
        <v>0.25053653037526002</v>
      </c>
      <c r="G3968">
        <v>0.16910321501818201</v>
      </c>
      <c r="H3968">
        <v>0.12671814101589801</v>
      </c>
      <c r="I3968">
        <v>0.10183500109023599</v>
      </c>
      <c r="J3968">
        <v>9.6782636942744193E-2</v>
      </c>
      <c r="K3968">
        <v>7.7732042688104602E-2</v>
      </c>
      <c r="L3968">
        <v>739.29553895216202</v>
      </c>
      <c r="M3968">
        <v>15.2017539770829</v>
      </c>
      <c r="N3968">
        <v>49.168473673540099</v>
      </c>
      <c r="O3968">
        <v>47.8139808977404</v>
      </c>
      <c r="P3968">
        <v>-7.34193635666264E-2</v>
      </c>
      <c r="Q3968">
        <v>7.6386719842999995E-2</v>
      </c>
      <c r="R3968">
        <v>0.99293841939463001</v>
      </c>
      <c r="S3968" t="s">
        <v>10584</v>
      </c>
      <c r="T3968" t="s">
        <v>13232</v>
      </c>
      <c r="U3968" t="s">
        <v>13232</v>
      </c>
      <c r="V3968" t="s">
        <v>13232</v>
      </c>
      <c r="W3968" t="s">
        <v>17138</v>
      </c>
      <c r="X3968">
        <v>34</v>
      </c>
      <c r="Y3968" t="s">
        <v>23557</v>
      </c>
      <c r="Z3968" t="s">
        <v>30099</v>
      </c>
      <c r="AA3968">
        <v>0.3646843017396611</v>
      </c>
      <c r="AB3968" t="str">
        <f>HYPERLINK("Melting_Curves/meltCurve_Q6YHU6_3_THADA.pdf", "Melting_Curves/meltCurve_Q6YHU6_3_THADA.pdf")</f>
        <v>Melting_Curves/meltCurve_Q6YHU6_3_THADA.pdf</v>
      </c>
    </row>
    <row r="3969" spans="1:28" x14ac:dyDescent="0.25">
      <c r="A3969" t="s">
        <v>3972</v>
      </c>
      <c r="B3969">
        <v>0.99930955844802105</v>
      </c>
      <c r="C3969">
        <v>1.1632922702433399</v>
      </c>
      <c r="D3969">
        <v>1.02477066594116</v>
      </c>
      <c r="E3969">
        <v>0.74695426608545101</v>
      </c>
      <c r="F3969">
        <v>0.460349036913343</v>
      </c>
      <c r="G3969">
        <v>0.35152213194059501</v>
      </c>
      <c r="H3969">
        <v>0.29875923998387899</v>
      </c>
      <c r="I3969">
        <v>0.244740662442507</v>
      </c>
      <c r="J3969">
        <v>0.21401444426114</v>
      </c>
      <c r="K3969">
        <v>0.14683225358350099</v>
      </c>
      <c r="L3969">
        <v>1313.4950165159401</v>
      </c>
      <c r="M3969">
        <v>25.472068962639501</v>
      </c>
      <c r="N3969">
        <v>52.838111405332</v>
      </c>
      <c r="O3969">
        <v>51.251424577320797</v>
      </c>
      <c r="P3969">
        <v>-9.5773916009897098E-2</v>
      </c>
      <c r="Q3969">
        <v>0.229196897805656</v>
      </c>
      <c r="R3969">
        <v>0.964827499064001</v>
      </c>
      <c r="S3969" t="s">
        <v>10585</v>
      </c>
      <c r="T3969" t="s">
        <v>13232</v>
      </c>
      <c r="U3969" t="s">
        <v>13232</v>
      </c>
      <c r="V3969" t="s">
        <v>13232</v>
      </c>
      <c r="W3969" t="s">
        <v>17139</v>
      </c>
      <c r="X3969">
        <v>13</v>
      </c>
      <c r="Y3969" t="s">
        <v>23558</v>
      </c>
      <c r="Z3969" t="s">
        <v>30100</v>
      </c>
      <c r="AA3969">
        <v>0.5331247561476139</v>
      </c>
      <c r="AB3969" t="str">
        <f>HYPERLINK("Melting_Curves/meltCurve_Q6YN16_HSDL2.pdf", "Melting_Curves/meltCurve_Q6YN16_HSDL2.pdf")</f>
        <v>Melting_Curves/meltCurve_Q6YN16_HSDL2.pdf</v>
      </c>
    </row>
    <row r="3970" spans="1:28" x14ac:dyDescent="0.25">
      <c r="A3970" t="s">
        <v>3973</v>
      </c>
      <c r="B3970">
        <v>0.99930955844802105</v>
      </c>
      <c r="C3970">
        <v>1.0031833569433499</v>
      </c>
      <c r="D3970">
        <v>0.981586182721772</v>
      </c>
      <c r="E3970">
        <v>0.85934015366145799</v>
      </c>
      <c r="F3970">
        <v>0.79883950222028699</v>
      </c>
      <c r="G3970">
        <v>0.602808556597348</v>
      </c>
      <c r="H3970">
        <v>0.442894994780761</v>
      </c>
      <c r="I3970">
        <v>0.35972724111960702</v>
      </c>
      <c r="J3970">
        <v>0.24534871700778199</v>
      </c>
      <c r="K3970">
        <v>0.125683383630395</v>
      </c>
      <c r="L3970">
        <v>637.01124296995101</v>
      </c>
      <c r="M3970">
        <v>10.687111782965401</v>
      </c>
      <c r="N3970">
        <v>59.605570802718297</v>
      </c>
      <c r="O3970">
        <v>57.632262132396697</v>
      </c>
      <c r="P3970">
        <v>-4.6376546858001001E-2</v>
      </c>
      <c r="Q3970">
        <v>0</v>
      </c>
      <c r="R3970">
        <v>0.994701104256008</v>
      </c>
      <c r="S3970" t="s">
        <v>10586</v>
      </c>
      <c r="T3970" t="s">
        <v>13232</v>
      </c>
      <c r="U3970" t="s">
        <v>13232</v>
      </c>
      <c r="V3970" t="s">
        <v>13232</v>
      </c>
      <c r="W3970" t="s">
        <v>17140</v>
      </c>
      <c r="X3970">
        <v>19</v>
      </c>
      <c r="Y3970" t="s">
        <v>23559</v>
      </c>
      <c r="Z3970" t="s">
        <v>30101</v>
      </c>
      <c r="AA3970">
        <v>0.65486035791036457</v>
      </c>
      <c r="AB3970" t="str">
        <f>HYPERLINK("Melting_Curves/meltCurve_Q6YP21_3_CCBL2.pdf", "Melting_Curves/meltCurve_Q6YP21_3_CCBL2.pdf")</f>
        <v>Melting_Curves/meltCurve_Q6YP21_3_CCBL2.pdf</v>
      </c>
    </row>
    <row r="3971" spans="1:28" x14ac:dyDescent="0.25">
      <c r="A3971" t="s">
        <v>3974</v>
      </c>
      <c r="B3971">
        <v>0.99930955844802105</v>
      </c>
      <c r="C3971">
        <v>0.89644037085203898</v>
      </c>
      <c r="D3971">
        <v>0.905192007949989</v>
      </c>
      <c r="E3971">
        <v>0.55314518541984503</v>
      </c>
      <c r="F3971">
        <v>0.34443235636473801</v>
      </c>
      <c r="G3971">
        <v>0.266667795242156</v>
      </c>
      <c r="H3971">
        <v>0.20249090657935201</v>
      </c>
      <c r="I3971">
        <v>0.20478691593493001</v>
      </c>
      <c r="J3971">
        <v>0.193273365067056</v>
      </c>
      <c r="K3971">
        <v>0.165583102757141</v>
      </c>
      <c r="L3971">
        <v>1016.03519430905</v>
      </c>
      <c r="M3971">
        <v>20.4778829267666</v>
      </c>
      <c r="N3971">
        <v>50.7750050039174</v>
      </c>
      <c r="O3971">
        <v>49.150322256154702</v>
      </c>
      <c r="P3971">
        <v>-8.4718546798434796E-2</v>
      </c>
      <c r="Q3971">
        <v>0.186669514884341</v>
      </c>
      <c r="R3971">
        <v>0.99171447987808103</v>
      </c>
      <c r="S3971" t="s">
        <v>10587</v>
      </c>
      <c r="T3971" t="s">
        <v>13232</v>
      </c>
      <c r="U3971" t="s">
        <v>13232</v>
      </c>
      <c r="V3971" t="s">
        <v>13232</v>
      </c>
      <c r="W3971" t="s">
        <v>17141</v>
      </c>
      <c r="X3971">
        <v>18</v>
      </c>
      <c r="Y3971" t="s">
        <v>23560</v>
      </c>
      <c r="Z3971" t="s">
        <v>30102</v>
      </c>
      <c r="AA3971">
        <v>0.45819796913148081</v>
      </c>
      <c r="AB3971" t="str">
        <f>HYPERLINK("Melting_Curves/meltCurve_Q6ZMI0_PPP1R21.pdf", "Melting_Curves/meltCurve_Q6ZMI0_PPP1R21.pdf")</f>
        <v>Melting_Curves/meltCurve_Q6ZMI0_PPP1R21.pdf</v>
      </c>
    </row>
    <row r="3972" spans="1:28" x14ac:dyDescent="0.25">
      <c r="A3972" t="s">
        <v>3975</v>
      </c>
      <c r="B3972">
        <v>0.99930955844802105</v>
      </c>
      <c r="C3972">
        <v>0.939961643015506</v>
      </c>
      <c r="D3972">
        <v>0.89622518829934095</v>
      </c>
      <c r="E3972">
        <v>0.82508809424034002</v>
      </c>
      <c r="F3972">
        <v>0.61824445919040105</v>
      </c>
      <c r="G3972">
        <v>0.48946505794991002</v>
      </c>
      <c r="H3972">
        <v>0.41756042052924602</v>
      </c>
      <c r="I3972">
        <v>0.361247653487756</v>
      </c>
      <c r="J3972">
        <v>0.37062726078242098</v>
      </c>
      <c r="K3972">
        <v>0.30457822895569803</v>
      </c>
      <c r="L3972">
        <v>684.65259932488902</v>
      </c>
      <c r="M3972">
        <v>12.9280462287969</v>
      </c>
      <c r="N3972">
        <v>56.962033830265902</v>
      </c>
      <c r="O3972">
        <v>51.7395956162188</v>
      </c>
      <c r="P3972">
        <v>-4.3831296709434399E-2</v>
      </c>
      <c r="Q3972">
        <v>0.298454165642136</v>
      </c>
      <c r="R3972">
        <v>0.99100394652338897</v>
      </c>
      <c r="S3972" t="s">
        <v>10588</v>
      </c>
      <c r="T3972" t="s">
        <v>13232</v>
      </c>
      <c r="U3972" t="s">
        <v>13232</v>
      </c>
      <c r="V3972" t="s">
        <v>13232</v>
      </c>
      <c r="W3972" t="s">
        <v>17142</v>
      </c>
      <c r="X3972">
        <v>2</v>
      </c>
      <c r="Y3972" t="s">
        <v>23561</v>
      </c>
      <c r="Z3972" t="s">
        <v>30103</v>
      </c>
      <c r="AA3972">
        <v>0.61985750904604942</v>
      </c>
      <c r="AB3972" t="str">
        <f>HYPERLINK("Melting_Curves/meltCurve_Q6ZN04_MEX3B.pdf", "Melting_Curves/meltCurve_Q6ZN04_MEX3B.pdf")</f>
        <v>Melting_Curves/meltCurve_Q6ZN04_MEX3B.pdf</v>
      </c>
    </row>
    <row r="3973" spans="1:28" x14ac:dyDescent="0.25">
      <c r="A3973" t="s">
        <v>3976</v>
      </c>
      <c r="B3973">
        <v>0.99930955844802105</v>
      </c>
      <c r="C3973">
        <v>0.94837453243818104</v>
      </c>
      <c r="D3973">
        <v>0.81622318336463495</v>
      </c>
      <c r="E3973">
        <v>0.65264397552963105</v>
      </c>
      <c r="F3973">
        <v>0.47459490220956202</v>
      </c>
      <c r="G3973">
        <v>0.33908715005749301</v>
      </c>
      <c r="H3973">
        <v>0.27465935444846001</v>
      </c>
      <c r="I3973">
        <v>0.28734178541115102</v>
      </c>
      <c r="J3973">
        <v>0.28835771497532597</v>
      </c>
      <c r="K3973">
        <v>0.23737882719176401</v>
      </c>
      <c r="L3973">
        <v>746.56960646098901</v>
      </c>
      <c r="M3973">
        <v>14.894563207513199</v>
      </c>
      <c r="N3973">
        <v>52.482476524583099</v>
      </c>
      <c r="O3973">
        <v>49.246136316339701</v>
      </c>
      <c r="P3973">
        <v>-5.71690394887494E-2</v>
      </c>
      <c r="Q3973">
        <v>0.24400282049966701</v>
      </c>
      <c r="R3973">
        <v>0.99585462383769996</v>
      </c>
      <c r="S3973" t="s">
        <v>10589</v>
      </c>
      <c r="T3973" t="s">
        <v>13232</v>
      </c>
      <c r="U3973" t="s">
        <v>13232</v>
      </c>
      <c r="V3973" t="s">
        <v>13232</v>
      </c>
      <c r="W3973" t="s">
        <v>17143</v>
      </c>
      <c r="X3973">
        <v>7</v>
      </c>
      <c r="Y3973" t="s">
        <v>23562</v>
      </c>
      <c r="Z3973" t="s">
        <v>30104</v>
      </c>
      <c r="AA3973">
        <v>0.51729726949434107</v>
      </c>
      <c r="AB3973" t="str">
        <f>HYPERLINK("Melting_Curves/meltCurve_Q6ZN06_ZNF813.pdf", "Melting_Curves/meltCurve_Q6ZN06_ZNF813.pdf")</f>
        <v>Melting_Curves/meltCurve_Q6ZN06_ZNF813.pdf</v>
      </c>
    </row>
    <row r="3974" spans="1:28" x14ac:dyDescent="0.25">
      <c r="A3974" t="s">
        <v>3977</v>
      </c>
      <c r="B3974">
        <v>0.99930955844802105</v>
      </c>
      <c r="C3974">
        <v>1.02588467468376</v>
      </c>
      <c r="D3974">
        <v>0.99435613058111605</v>
      </c>
      <c r="E3974">
        <v>0.81918199402238001</v>
      </c>
      <c r="F3974">
        <v>0.52245279082014695</v>
      </c>
      <c r="G3974">
        <v>0.40998447290130602</v>
      </c>
      <c r="H3974">
        <v>0.36528230248042498</v>
      </c>
      <c r="I3974">
        <v>0.376948390142961</v>
      </c>
      <c r="J3974">
        <v>0.41414333349535998</v>
      </c>
      <c r="K3974">
        <v>0.307663037802059</v>
      </c>
      <c r="L3974">
        <v>1755.3172271077501</v>
      </c>
      <c r="M3974">
        <v>34.206319386805298</v>
      </c>
      <c r="N3974">
        <v>53.408689544078598</v>
      </c>
      <c r="O3974">
        <v>51.141149072266998</v>
      </c>
      <c r="P3974">
        <v>-0.105488158824856</v>
      </c>
      <c r="Q3974">
        <v>0.369149921722907</v>
      </c>
      <c r="R3974">
        <v>0.99118697902957997</v>
      </c>
      <c r="S3974" t="s">
        <v>10590</v>
      </c>
      <c r="T3974" t="s">
        <v>13232</v>
      </c>
      <c r="U3974" t="s">
        <v>13232</v>
      </c>
      <c r="V3974" t="s">
        <v>13232</v>
      </c>
      <c r="W3974" t="s">
        <v>17144</v>
      </c>
      <c r="X3974">
        <v>12</v>
      </c>
      <c r="Y3974" t="s">
        <v>23563</v>
      </c>
      <c r="Z3974" t="s">
        <v>30105</v>
      </c>
      <c r="AA3974">
        <v>0.61016288427687415</v>
      </c>
      <c r="AB3974" t="str">
        <f>HYPERLINK("Melting_Curves/meltCurve_Q6ZN17_LIN28B.pdf", "Melting_Curves/meltCurve_Q6ZN17_LIN28B.pdf")</f>
        <v>Melting_Curves/meltCurve_Q6ZN17_LIN28B.pdf</v>
      </c>
    </row>
    <row r="3975" spans="1:28" x14ac:dyDescent="0.25">
      <c r="A3975" t="s">
        <v>3978</v>
      </c>
      <c r="B3975">
        <v>0.99930955844802105</v>
      </c>
      <c r="C3975">
        <v>0</v>
      </c>
      <c r="D3975">
        <v>0.94254266412045296</v>
      </c>
      <c r="E3975">
        <v>0.81950243603177098</v>
      </c>
      <c r="F3975">
        <v>0.63575841888829299</v>
      </c>
      <c r="G3975">
        <v>0.40086763839634698</v>
      </c>
      <c r="H3975">
        <v>0.323421705629999</v>
      </c>
      <c r="I3975">
        <v>0.30692630481170302</v>
      </c>
      <c r="J3975">
        <v>0.31709668363485</v>
      </c>
      <c r="K3975">
        <v>0.242232044932709</v>
      </c>
      <c r="L3975">
        <v>197.49143655133599</v>
      </c>
      <c r="M3975">
        <v>3.6787762574839902</v>
      </c>
      <c r="N3975">
        <v>53.684003237865497</v>
      </c>
      <c r="O3975">
        <v>42.854809975731598</v>
      </c>
      <c r="P3975">
        <v>-2.1820195553858099E-2</v>
      </c>
      <c r="Q3975">
        <v>0</v>
      </c>
      <c r="R3975">
        <v>0.25670522403443702</v>
      </c>
      <c r="S3975" t="s">
        <v>10591</v>
      </c>
      <c r="T3975" t="s">
        <v>13232</v>
      </c>
      <c r="U3975" t="s">
        <v>13232</v>
      </c>
      <c r="V3975" t="s">
        <v>13232</v>
      </c>
      <c r="W3975" t="s">
        <v>17145</v>
      </c>
      <c r="X3975">
        <v>4</v>
      </c>
      <c r="Y3975" t="s">
        <v>23564</v>
      </c>
      <c r="Z3975" t="s">
        <v>30106</v>
      </c>
      <c r="AA3975">
        <v>0.49970146961363232</v>
      </c>
      <c r="AB3975" t="str">
        <f>HYPERLINK("Melting_Curves/meltCurve_Q6ZN18_2_AEBP2.pdf", "Melting_Curves/meltCurve_Q6ZN18_2_AEBP2.pdf")</f>
        <v>Melting_Curves/meltCurve_Q6ZN18_2_AEBP2.pdf</v>
      </c>
    </row>
    <row r="3976" spans="1:28" x14ac:dyDescent="0.25">
      <c r="A3976" t="s">
        <v>3979</v>
      </c>
      <c r="B3976">
        <v>0.99930955844802105</v>
      </c>
      <c r="C3976">
        <v>1.06657855175241</v>
      </c>
      <c r="D3976">
        <v>0.99462104967998199</v>
      </c>
      <c r="E3976">
        <v>0.79236255531529798</v>
      </c>
      <c r="F3976">
        <v>0.393211220835751</v>
      </c>
      <c r="G3976">
        <v>0.254972107603049</v>
      </c>
      <c r="H3976">
        <v>0.15834702584450799</v>
      </c>
      <c r="I3976">
        <v>0.15511137268700201</v>
      </c>
      <c r="J3976">
        <v>0.132054988837665</v>
      </c>
      <c r="K3976">
        <v>0.104946022600412</v>
      </c>
      <c r="L3976">
        <v>1577.84699659634</v>
      </c>
      <c r="M3976">
        <v>30.506041185406101</v>
      </c>
      <c r="N3976">
        <v>52.311338690119001</v>
      </c>
      <c r="O3976">
        <v>51.501732667228403</v>
      </c>
      <c r="P3976">
        <v>-0.12656195151749899</v>
      </c>
      <c r="Q3976">
        <v>0.14533426032285399</v>
      </c>
      <c r="R3976">
        <v>0.99225404383605997</v>
      </c>
      <c r="S3976" t="s">
        <v>10592</v>
      </c>
      <c r="T3976" t="s">
        <v>13232</v>
      </c>
      <c r="U3976" t="s">
        <v>13232</v>
      </c>
      <c r="V3976" t="s">
        <v>13232</v>
      </c>
      <c r="W3976" t="s">
        <v>17146</v>
      </c>
      <c r="X3976">
        <v>11</v>
      </c>
      <c r="Y3976" t="s">
        <v>23565</v>
      </c>
      <c r="Z3976" t="s">
        <v>30107</v>
      </c>
      <c r="AA3976">
        <v>0.48455219753421919</v>
      </c>
      <c r="AB3976" t="str">
        <f>HYPERLINK("Melting_Curves/meltCurve_Q6ZN28_MACC1.pdf", "Melting_Curves/meltCurve_Q6ZN28_MACC1.pdf")</f>
        <v>Melting_Curves/meltCurve_Q6ZN28_MACC1.pdf</v>
      </c>
    </row>
    <row r="3977" spans="1:28" x14ac:dyDescent="0.25">
      <c r="A3977" t="s">
        <v>3980</v>
      </c>
      <c r="B3977">
        <v>0.99930955844802105</v>
      </c>
      <c r="C3977">
        <v>0.94681478303368805</v>
      </c>
      <c r="D3977">
        <v>0.86011962434393696</v>
      </c>
      <c r="E3977">
        <v>0.71134787882936501</v>
      </c>
      <c r="F3977">
        <v>0.59804873563578598</v>
      </c>
      <c r="G3977">
        <v>0.41989146938905603</v>
      </c>
      <c r="H3977">
        <v>0.30899078485133202</v>
      </c>
      <c r="I3977">
        <v>0.33914752914171298</v>
      </c>
      <c r="J3977">
        <v>0.28498260113364599</v>
      </c>
      <c r="K3977">
        <v>0.24727847454205601</v>
      </c>
      <c r="L3977">
        <v>633.49592594579997</v>
      </c>
      <c r="M3977">
        <v>12.142934676974599</v>
      </c>
      <c r="N3977">
        <v>54.923240128417902</v>
      </c>
      <c r="O3977">
        <v>50.815500667315398</v>
      </c>
      <c r="P3977">
        <v>-4.6131382704392598E-2</v>
      </c>
      <c r="Q3977">
        <v>0.227979156164202</v>
      </c>
      <c r="R3977">
        <v>0.99504757578244596</v>
      </c>
      <c r="S3977" t="s">
        <v>10593</v>
      </c>
      <c r="T3977" t="s">
        <v>13232</v>
      </c>
      <c r="U3977" t="s">
        <v>13232</v>
      </c>
      <c r="V3977" t="s">
        <v>13232</v>
      </c>
      <c r="W3977" t="s">
        <v>17147</v>
      </c>
      <c r="X3977">
        <v>4</v>
      </c>
      <c r="Y3977" t="s">
        <v>23566</v>
      </c>
      <c r="Z3977" t="s">
        <v>30108</v>
      </c>
      <c r="AA3977">
        <v>0.56416894689839936</v>
      </c>
      <c r="AB3977" t="str">
        <f>HYPERLINK("Melting_Curves/meltCurve_Q6ZN55_ZNF574.pdf", "Melting_Curves/meltCurve_Q6ZN55_ZNF574.pdf")</f>
        <v>Melting_Curves/meltCurve_Q6ZN55_ZNF574.pdf</v>
      </c>
    </row>
    <row r="3978" spans="1:28" x14ac:dyDescent="0.25">
      <c r="A3978" t="s">
        <v>3981</v>
      </c>
      <c r="B3978">
        <v>0.99930955844802105</v>
      </c>
      <c r="C3978">
        <v>0.94095843681903202</v>
      </c>
      <c r="D3978">
        <v>0.84483769090377203</v>
      </c>
      <c r="E3978">
        <v>0.81972818511128198</v>
      </c>
      <c r="F3978">
        <v>0.65714637103990603</v>
      </c>
      <c r="G3978">
        <v>0.49735517396405798</v>
      </c>
      <c r="H3978">
        <v>0.45675485712768499</v>
      </c>
      <c r="I3978">
        <v>0.50406491121776698</v>
      </c>
      <c r="J3978">
        <v>0.48488752901047799</v>
      </c>
      <c r="K3978">
        <v>0.40876890837623497</v>
      </c>
      <c r="L3978">
        <v>657.68171897137199</v>
      </c>
      <c r="M3978">
        <v>12.8085978492614</v>
      </c>
      <c r="N3978">
        <v>59.871989489110099</v>
      </c>
      <c r="O3978">
        <v>50.143593938311199</v>
      </c>
      <c r="P3978">
        <v>-3.7090567755539101E-2</v>
      </c>
      <c r="Q3978">
        <v>0.41929433200530702</v>
      </c>
      <c r="R3978">
        <v>0.96852062145977402</v>
      </c>
      <c r="S3978" t="s">
        <v>10594</v>
      </c>
      <c r="T3978" t="s">
        <v>13232</v>
      </c>
      <c r="U3978" t="s">
        <v>13232</v>
      </c>
      <c r="V3978" t="s">
        <v>13232</v>
      </c>
      <c r="W3978" t="s">
        <v>17148</v>
      </c>
      <c r="X3978">
        <v>4</v>
      </c>
      <c r="Y3978" t="s">
        <v>23567</v>
      </c>
      <c r="Z3978" t="s">
        <v>30109</v>
      </c>
      <c r="AA3978">
        <v>0.65583720815025226</v>
      </c>
      <c r="AB3978" t="str">
        <f>HYPERLINK("Melting_Curves/meltCurve_Q6ZNB6_NFXL1.pdf", "Melting_Curves/meltCurve_Q6ZNB6_NFXL1.pdf")</f>
        <v>Melting_Curves/meltCurve_Q6ZNB6_NFXL1.pdf</v>
      </c>
    </row>
    <row r="3979" spans="1:28" x14ac:dyDescent="0.25">
      <c r="A3979" t="s">
        <v>3982</v>
      </c>
      <c r="B3979">
        <v>0.99930955844802105</v>
      </c>
      <c r="C3979">
        <v>1.2363357922929601</v>
      </c>
      <c r="D3979">
        <v>1.24453981139376</v>
      </c>
      <c r="E3979">
        <v>1.0928543272293201</v>
      </c>
      <c r="F3979">
        <v>1.1343409069394701</v>
      </c>
      <c r="G3979">
        <v>1.2890769130534401</v>
      </c>
      <c r="H3979">
        <v>1.32643743823577</v>
      </c>
      <c r="I3979">
        <v>1.5622189883126401</v>
      </c>
      <c r="J3979">
        <v>1.8901895951041201</v>
      </c>
      <c r="K3979">
        <v>1.1568692419414</v>
      </c>
      <c r="L3979">
        <v>464.78989770664498</v>
      </c>
      <c r="M3979">
        <v>8.8826908262267192</v>
      </c>
      <c r="O3979">
        <v>49.8770446604182</v>
      </c>
      <c r="P3979">
        <v>2.22784598366048E-2</v>
      </c>
      <c r="Q3979">
        <v>1.5</v>
      </c>
      <c r="R3979">
        <v>0.34657599371965297</v>
      </c>
      <c r="S3979" t="s">
        <v>10595</v>
      </c>
      <c r="T3979" t="s">
        <v>13232</v>
      </c>
      <c r="U3979" t="s">
        <v>13232</v>
      </c>
      <c r="V3979" t="s">
        <v>13232</v>
      </c>
      <c r="W3979" t="s">
        <v>17149</v>
      </c>
      <c r="X3979">
        <v>1</v>
      </c>
      <c r="Y3979" t="s">
        <v>23568</v>
      </c>
      <c r="Z3979" t="s">
        <v>30110</v>
      </c>
      <c r="AA3979">
        <v>1.273971148772941</v>
      </c>
      <c r="AB3979" t="str">
        <f>HYPERLINK("Melting_Curves/meltCurve_Q6ZNG1_ZNF600.pdf", "Melting_Curves/meltCurve_Q6ZNG1_ZNF600.pdf")</f>
        <v>Melting_Curves/meltCurve_Q6ZNG1_ZNF600.pdf</v>
      </c>
    </row>
    <row r="3980" spans="1:28" x14ac:dyDescent="0.25">
      <c r="A3980" t="s">
        <v>3983</v>
      </c>
      <c r="B3980">
        <v>0.99930955844802105</v>
      </c>
      <c r="C3980">
        <v>0.71508906879836498</v>
      </c>
      <c r="D3980">
        <v>0.51767259704510304</v>
      </c>
      <c r="E3980">
        <v>0.25366168976776199</v>
      </c>
      <c r="F3980">
        <v>0.17262164312137701</v>
      </c>
      <c r="G3980">
        <v>0.113162828774361</v>
      </c>
      <c r="H3980">
        <v>7.8655762700905005E-2</v>
      </c>
      <c r="I3980">
        <v>7.49085577788806E-2</v>
      </c>
      <c r="J3980">
        <v>8.2605111177680504E-2</v>
      </c>
      <c r="K3980">
        <v>5.8204551311138601E-2</v>
      </c>
      <c r="L3980">
        <v>761.24771487254702</v>
      </c>
      <c r="M3980">
        <v>16.656183516496402</v>
      </c>
      <c r="N3980">
        <v>46.132818096997703</v>
      </c>
      <c r="O3980">
        <v>45.060043119922298</v>
      </c>
      <c r="P3980">
        <v>-8.5783703938542594E-2</v>
      </c>
      <c r="Q3980">
        <v>7.1777792447299593E-2</v>
      </c>
      <c r="R3980">
        <v>0.99018204854539504</v>
      </c>
      <c r="S3980" t="s">
        <v>10596</v>
      </c>
      <c r="T3980" t="s">
        <v>13232</v>
      </c>
      <c r="U3980" t="s">
        <v>13232</v>
      </c>
      <c r="V3980" t="s">
        <v>13232</v>
      </c>
      <c r="W3980" t="s">
        <v>17150</v>
      </c>
      <c r="X3980">
        <v>12</v>
      </c>
      <c r="Y3980" t="s">
        <v>23569</v>
      </c>
      <c r="Z3980" t="s">
        <v>30111</v>
      </c>
      <c r="AA3980">
        <v>0.27044357112266731</v>
      </c>
      <c r="AB3980" t="str">
        <f>HYPERLINK("Melting_Curves/meltCurve_Q6ZNJ1_2_NBEAL2.pdf", "Melting_Curves/meltCurve_Q6ZNJ1_2_NBEAL2.pdf")</f>
        <v>Melting_Curves/meltCurve_Q6ZNJ1_2_NBEAL2.pdf</v>
      </c>
    </row>
    <row r="3981" spans="1:28" x14ac:dyDescent="0.25">
      <c r="A3981" t="s">
        <v>3984</v>
      </c>
      <c r="B3981">
        <v>0.99930955844802105</v>
      </c>
      <c r="C3981">
        <v>1.08245682172959</v>
      </c>
      <c r="D3981">
        <v>1.10175411370163</v>
      </c>
      <c r="E3981">
        <v>0.93397833845296097</v>
      </c>
      <c r="F3981">
        <v>0.34535624645259799</v>
      </c>
      <c r="G3981">
        <v>0.13791592727638599</v>
      </c>
      <c r="H3981">
        <v>7.0126574516271897E-2</v>
      </c>
      <c r="I3981">
        <v>5.9910369211798299E-2</v>
      </c>
      <c r="J3981">
        <v>4.3348929662525702E-2</v>
      </c>
      <c r="K3981">
        <v>4.0444836820115397E-2</v>
      </c>
      <c r="L3981">
        <v>2910.70025875694</v>
      </c>
      <c r="M3981">
        <v>55.7499398223284</v>
      </c>
      <c r="N3981">
        <v>52.346846236441799</v>
      </c>
      <c r="O3981">
        <v>52.142880404169397</v>
      </c>
      <c r="P3981">
        <v>-0.24915998603173001</v>
      </c>
      <c r="Q3981">
        <v>6.7843915428867405E-2</v>
      </c>
      <c r="R3981">
        <v>0.98920845781776601</v>
      </c>
      <c r="S3981" t="s">
        <v>10597</v>
      </c>
      <c r="T3981" t="s">
        <v>13232</v>
      </c>
      <c r="U3981" t="s">
        <v>13232</v>
      </c>
      <c r="V3981" t="s">
        <v>13232</v>
      </c>
      <c r="W3981" t="s">
        <v>17151</v>
      </c>
      <c r="X3981">
        <v>9</v>
      </c>
      <c r="Y3981" t="s">
        <v>23570</v>
      </c>
      <c r="Z3981" t="s">
        <v>30112</v>
      </c>
      <c r="AA3981">
        <v>0.44895398875513198</v>
      </c>
      <c r="AB3981" t="str">
        <f>HYPERLINK("Melting_Curves/meltCurve_Q6ZNW5_GDPGP1.pdf", "Melting_Curves/meltCurve_Q6ZNW5_GDPGP1.pdf")</f>
        <v>Melting_Curves/meltCurve_Q6ZNW5_GDPGP1.pdf</v>
      </c>
    </row>
    <row r="3982" spans="1:28" x14ac:dyDescent="0.25">
      <c r="A3982" t="s">
        <v>3985</v>
      </c>
      <c r="B3982">
        <v>0.99930955844802105</v>
      </c>
      <c r="C3982">
        <v>1.58572084482466</v>
      </c>
      <c r="D3982">
        <v>1.4141987215512</v>
      </c>
      <c r="E3982">
        <v>1.37375888057148</v>
      </c>
      <c r="F3982">
        <v>1.45822477243162</v>
      </c>
      <c r="G3982">
        <v>1.35939280826418</v>
      </c>
      <c r="H3982">
        <v>1.86723792950764</v>
      </c>
      <c r="I3982">
        <v>2.0749325277308102</v>
      </c>
      <c r="J3982">
        <v>1.89410423767575</v>
      </c>
      <c r="K3982">
        <v>1.23569793318773</v>
      </c>
      <c r="L3982">
        <v>10265.2568878729</v>
      </c>
      <c r="M3982">
        <v>250</v>
      </c>
      <c r="O3982">
        <v>41.058398194345799</v>
      </c>
      <c r="P3982">
        <v>0.76111100525375497</v>
      </c>
      <c r="Q3982">
        <v>1.5</v>
      </c>
      <c r="R3982">
        <v>0.24711785187183399</v>
      </c>
      <c r="S3982" t="s">
        <v>10598</v>
      </c>
      <c r="T3982" t="s">
        <v>13232</v>
      </c>
      <c r="U3982" t="s">
        <v>13232</v>
      </c>
      <c r="V3982" t="s">
        <v>13232</v>
      </c>
      <c r="W3982" t="s">
        <v>17152</v>
      </c>
      <c r="X3982">
        <v>1</v>
      </c>
      <c r="Y3982" t="s">
        <v>23571</v>
      </c>
      <c r="Z3982" t="s">
        <v>30113</v>
      </c>
      <c r="AA3982">
        <v>1.482276780779102</v>
      </c>
      <c r="AB3982" t="str">
        <f>HYPERLINK("Melting_Curves/meltCurve_Q6ZQN7_SLCO4C1.pdf", "Melting_Curves/meltCurve_Q6ZQN7_SLCO4C1.pdf")</f>
        <v>Melting_Curves/meltCurve_Q6ZQN7_SLCO4C1.pdf</v>
      </c>
    </row>
    <row r="3983" spans="1:28" x14ac:dyDescent="0.25">
      <c r="A3983" t="s">
        <v>3986</v>
      </c>
      <c r="B3983">
        <v>0.99930955844802105</v>
      </c>
      <c r="C3983">
        <v>0.72671510184716603</v>
      </c>
      <c r="D3983">
        <v>0.71317341887035102</v>
      </c>
      <c r="E3983">
        <v>0.58706625250546796</v>
      </c>
      <c r="F3983">
        <v>0.49114366470680698</v>
      </c>
      <c r="G3983">
        <v>0.259854307411226</v>
      </c>
      <c r="H3983">
        <v>0.149479505298557</v>
      </c>
      <c r="I3983">
        <v>0.105649601800552</v>
      </c>
      <c r="J3983">
        <v>5.6485015270372599E-2</v>
      </c>
      <c r="K3983">
        <v>7.0218172499977305E-2</v>
      </c>
      <c r="L3983">
        <v>473.142902076616</v>
      </c>
      <c r="M3983">
        <v>9.2772520991889902</v>
      </c>
      <c r="N3983">
        <v>51.000311739481702</v>
      </c>
      <c r="O3983">
        <v>48.7987138390748</v>
      </c>
      <c r="P3983">
        <v>-4.7558924846474802E-2</v>
      </c>
      <c r="Q3983">
        <v>0</v>
      </c>
      <c r="R3983">
        <v>0.96750922991282395</v>
      </c>
      <c r="S3983" t="s">
        <v>10599</v>
      </c>
      <c r="T3983" t="s">
        <v>13232</v>
      </c>
      <c r="U3983" t="s">
        <v>13232</v>
      </c>
      <c r="V3983" t="s">
        <v>13232</v>
      </c>
      <c r="W3983" t="s">
        <v>17153</v>
      </c>
      <c r="X3983">
        <v>1</v>
      </c>
      <c r="Y3983" t="s">
        <v>23572</v>
      </c>
      <c r="Z3983" t="s">
        <v>30114</v>
      </c>
      <c r="AA3983">
        <v>0.41217117792705271</v>
      </c>
      <c r="AB3983" t="str">
        <f>HYPERLINK("Melting_Curves/meltCurve_Q6ZRP7_QSOX2.pdf", "Melting_Curves/meltCurve_Q6ZRP7_QSOX2.pdf")</f>
        <v>Melting_Curves/meltCurve_Q6ZRP7_QSOX2.pdf</v>
      </c>
    </row>
    <row r="3984" spans="1:28" x14ac:dyDescent="0.25">
      <c r="A3984" t="s">
        <v>3987</v>
      </c>
      <c r="B3984">
        <v>0.99930955844802105</v>
      </c>
      <c r="C3984">
        <v>0.79860775556722896</v>
      </c>
      <c r="D3984">
        <v>0.73877407844257104</v>
      </c>
      <c r="E3984">
        <v>0.68732030135838995</v>
      </c>
      <c r="F3984">
        <v>0.60854064211224501</v>
      </c>
      <c r="G3984">
        <v>0.54301035219728</v>
      </c>
      <c r="H3984">
        <v>0.62743409845463305</v>
      </c>
      <c r="I3984">
        <v>0.706434647987919</v>
      </c>
      <c r="J3984">
        <v>0.73198824897856696</v>
      </c>
      <c r="K3984">
        <v>0.57960932391667996</v>
      </c>
      <c r="L3984">
        <v>1036.4156024459</v>
      </c>
      <c r="M3984">
        <v>23.948250360706002</v>
      </c>
      <c r="O3984">
        <v>42.978924977509301</v>
      </c>
      <c r="P3984">
        <v>-5.02548188705517E-2</v>
      </c>
      <c r="Q3984">
        <v>0.63924485531776098</v>
      </c>
      <c r="R3984">
        <v>0.78655588701095802</v>
      </c>
      <c r="S3984" t="s">
        <v>10600</v>
      </c>
      <c r="T3984" t="s">
        <v>13232</v>
      </c>
      <c r="U3984" t="s">
        <v>13232</v>
      </c>
      <c r="V3984" t="s">
        <v>13232</v>
      </c>
      <c r="W3984" t="s">
        <v>17154</v>
      </c>
      <c r="X3984">
        <v>18</v>
      </c>
      <c r="Y3984" t="s">
        <v>23573</v>
      </c>
      <c r="Z3984" t="s">
        <v>30115</v>
      </c>
      <c r="AA3984">
        <v>0.68397605557049923</v>
      </c>
      <c r="AB3984" t="str">
        <f>HYPERLINK("Melting_Curves/meltCurve_Q6ZRS2_2_SRCAP.pdf", "Melting_Curves/meltCurve_Q6ZRS2_2_SRCAP.pdf")</f>
        <v>Melting_Curves/meltCurve_Q6ZRS2_2_SRCAP.pdf</v>
      </c>
    </row>
    <row r="3985" spans="1:28" x14ac:dyDescent="0.25">
      <c r="A3985" t="s">
        <v>3988</v>
      </c>
      <c r="B3985">
        <v>0.99930955844802105</v>
      </c>
      <c r="C3985">
        <v>0.97370487499817004</v>
      </c>
      <c r="D3985">
        <v>0.72888439801887495</v>
      </c>
      <c r="E3985">
        <v>0.486741998151073</v>
      </c>
      <c r="F3985">
        <v>0.38140760923780698</v>
      </c>
      <c r="G3985">
        <v>0.30218193629163798</v>
      </c>
      <c r="H3985">
        <v>0.25552275009819903</v>
      </c>
      <c r="I3985">
        <v>0.21206548120002799</v>
      </c>
      <c r="J3985">
        <v>0.16439610404881499</v>
      </c>
      <c r="K3985">
        <v>0.11797848718272599</v>
      </c>
      <c r="L3985">
        <v>715.28434900724801</v>
      </c>
      <c r="M3985">
        <v>14.621924709052699</v>
      </c>
      <c r="N3985">
        <v>50.338291232718198</v>
      </c>
      <c r="O3985">
        <v>48.030959060313997</v>
      </c>
      <c r="P3985">
        <v>-6.3254648524810497E-2</v>
      </c>
      <c r="Q3985">
        <v>0.16896257452762001</v>
      </c>
      <c r="R3985">
        <v>0.98353849312407604</v>
      </c>
      <c r="S3985" t="s">
        <v>10601</v>
      </c>
      <c r="T3985" t="s">
        <v>13232</v>
      </c>
      <c r="U3985" t="s">
        <v>13232</v>
      </c>
      <c r="V3985" t="s">
        <v>13232</v>
      </c>
      <c r="W3985" t="s">
        <v>17155</v>
      </c>
      <c r="X3985">
        <v>13</v>
      </c>
      <c r="Y3985" t="s">
        <v>23574</v>
      </c>
      <c r="Z3985" t="s">
        <v>30116</v>
      </c>
      <c r="AA3985">
        <v>0.43760374157339171</v>
      </c>
      <c r="AB3985" t="str">
        <f>HYPERLINK("Melting_Curves/meltCurve_Q6ZS11_RINL.pdf", "Melting_Curves/meltCurve_Q6ZS11_RINL.pdf")</f>
        <v>Melting_Curves/meltCurve_Q6ZS11_RINL.pdf</v>
      </c>
    </row>
    <row r="3986" spans="1:28" x14ac:dyDescent="0.25">
      <c r="A3986" t="s">
        <v>3989</v>
      </c>
      <c r="B3986">
        <v>0.99930955844802105</v>
      </c>
      <c r="C3986">
        <v>0.96665466254127497</v>
      </c>
      <c r="D3986">
        <v>0.86104250063142995</v>
      </c>
      <c r="E3986">
        <v>0.50050738600291</v>
      </c>
      <c r="F3986">
        <v>0.26574610802486098</v>
      </c>
      <c r="G3986">
        <v>0.18862446397102201</v>
      </c>
      <c r="H3986">
        <v>0.12941583914003099</v>
      </c>
      <c r="I3986">
        <v>0.140065903953114</v>
      </c>
      <c r="J3986">
        <v>0.114663782359105</v>
      </c>
      <c r="K3986">
        <v>9.4997808760765995E-2</v>
      </c>
      <c r="L3986">
        <v>1091.6928737826599</v>
      </c>
      <c r="M3986">
        <v>22.100477553819001</v>
      </c>
      <c r="N3986">
        <v>50.006005184536498</v>
      </c>
      <c r="O3986">
        <v>48.9977265678423</v>
      </c>
      <c r="P3986">
        <v>-9.9456765797436703E-2</v>
      </c>
      <c r="Q3986">
        <v>0.11801975976921</v>
      </c>
      <c r="R3986">
        <v>0.99856226665632797</v>
      </c>
      <c r="S3986" t="s">
        <v>10602</v>
      </c>
      <c r="T3986" t="s">
        <v>13232</v>
      </c>
      <c r="U3986" t="s">
        <v>13232</v>
      </c>
      <c r="V3986" t="s">
        <v>13232</v>
      </c>
      <c r="W3986" t="s">
        <v>17156</v>
      </c>
      <c r="X3986">
        <v>5</v>
      </c>
      <c r="Y3986" t="s">
        <v>23575</v>
      </c>
      <c r="Z3986" t="s">
        <v>30117</v>
      </c>
      <c r="AA3986">
        <v>0.40435185339213231</v>
      </c>
      <c r="AB3986" t="str">
        <f>HYPERLINK("Melting_Curves/meltCurve_Q6ZS17_2_FAM65A.pdf", "Melting_Curves/meltCurve_Q6ZS17_2_FAM65A.pdf")</f>
        <v>Melting_Curves/meltCurve_Q6ZS17_2_FAM65A.pdf</v>
      </c>
    </row>
    <row r="3987" spans="1:28" x14ac:dyDescent="0.25">
      <c r="A3987" t="s">
        <v>3990</v>
      </c>
      <c r="B3987">
        <v>0.99930955844802105</v>
      </c>
      <c r="C3987">
        <v>0.96597047025782101</v>
      </c>
      <c r="D3987">
        <v>0.92959019415028599</v>
      </c>
      <c r="E3987">
        <v>0.81770984034313599</v>
      </c>
      <c r="F3987">
        <v>0.60412743110332701</v>
      </c>
      <c r="G3987">
        <v>0.42649149896016902</v>
      </c>
      <c r="H3987">
        <v>0.25460797395464702</v>
      </c>
      <c r="I3987">
        <v>0.260069460106849</v>
      </c>
      <c r="J3987">
        <v>0.26647189302177798</v>
      </c>
      <c r="K3987">
        <v>0.215422601982309</v>
      </c>
      <c r="L3987">
        <v>894.77790073266499</v>
      </c>
      <c r="M3987">
        <v>16.825838312243601</v>
      </c>
      <c r="N3987">
        <v>54.988678130335003</v>
      </c>
      <c r="O3987">
        <v>52.444672259300603</v>
      </c>
      <c r="P3987">
        <v>-6.3157971011569503E-2</v>
      </c>
      <c r="Q3987">
        <v>0.21261909714072999</v>
      </c>
      <c r="R3987">
        <v>0.99553700141051704</v>
      </c>
      <c r="S3987" t="s">
        <v>10603</v>
      </c>
      <c r="T3987" t="s">
        <v>13232</v>
      </c>
      <c r="U3987" t="s">
        <v>13232</v>
      </c>
      <c r="V3987" t="s">
        <v>13232</v>
      </c>
      <c r="W3987" t="s">
        <v>17157</v>
      </c>
      <c r="X3987">
        <v>4</v>
      </c>
      <c r="Y3987" t="s">
        <v>23576</v>
      </c>
      <c r="Z3987" t="s">
        <v>30118</v>
      </c>
      <c r="AA3987">
        <v>0.5727670130856809</v>
      </c>
      <c r="AB3987" t="str">
        <f>HYPERLINK("Melting_Curves/meltCurve_Q6ZSJ8_C1orf122.pdf", "Melting_Curves/meltCurve_Q6ZSJ8_C1orf122.pdf")</f>
        <v>Melting_Curves/meltCurve_Q6ZSJ8_C1orf122.pdf</v>
      </c>
    </row>
    <row r="3988" spans="1:28" x14ac:dyDescent="0.25">
      <c r="A3988" t="s">
        <v>3991</v>
      </c>
      <c r="B3988">
        <v>0.99930955844802105</v>
      </c>
      <c r="C3988">
        <v>0.96341582333206199</v>
      </c>
      <c r="D3988">
        <v>0.88673715213660098</v>
      </c>
      <c r="E3988">
        <v>0.68463920659299904</v>
      </c>
      <c r="F3988">
        <v>0.52481711051378499</v>
      </c>
      <c r="G3988">
        <v>0.428309608076203</v>
      </c>
      <c r="H3988">
        <v>0.37271603431176897</v>
      </c>
      <c r="I3988">
        <v>0.406229275372057</v>
      </c>
      <c r="J3988">
        <v>0.37534829070615799</v>
      </c>
      <c r="K3988">
        <v>0.307537988205274</v>
      </c>
      <c r="L3988">
        <v>854.708313423091</v>
      </c>
      <c r="M3988">
        <v>17.0521360195687</v>
      </c>
      <c r="N3988">
        <v>53.9359189466876</v>
      </c>
      <c r="O3988">
        <v>49.449127194911298</v>
      </c>
      <c r="P3988">
        <v>-5.6021889370110101E-2</v>
      </c>
      <c r="Q3988">
        <v>0.35021287070724999</v>
      </c>
      <c r="R3988">
        <v>0.99310380888871597</v>
      </c>
      <c r="S3988" t="s">
        <v>10604</v>
      </c>
      <c r="T3988" t="s">
        <v>13232</v>
      </c>
      <c r="U3988" t="s">
        <v>13232</v>
      </c>
      <c r="V3988" t="s">
        <v>13232</v>
      </c>
      <c r="W3988" t="s">
        <v>17158</v>
      </c>
      <c r="X3988">
        <v>18</v>
      </c>
      <c r="Y3988" t="s">
        <v>23577</v>
      </c>
      <c r="Z3988" t="s">
        <v>30119</v>
      </c>
      <c r="AA3988">
        <v>0.58171967226628829</v>
      </c>
      <c r="AB3988" t="str">
        <f>HYPERLINK("Melting_Curves/meltCurve_Q6ZSZ5_2_ARHGEF18.pdf", "Melting_Curves/meltCurve_Q6ZSZ5_2_ARHGEF18.pdf")</f>
        <v>Melting_Curves/meltCurve_Q6ZSZ5_2_ARHGEF18.pdf</v>
      </c>
    </row>
    <row r="3989" spans="1:28" x14ac:dyDescent="0.25">
      <c r="A3989" t="s">
        <v>3992</v>
      </c>
      <c r="B3989">
        <v>0.99930955844802105</v>
      </c>
      <c r="C3989">
        <v>0.91056463928972098</v>
      </c>
      <c r="D3989">
        <v>0.86143403946193298</v>
      </c>
      <c r="E3989">
        <v>0.48766642693185203</v>
      </c>
      <c r="F3989">
        <v>0.22077628561038301</v>
      </c>
      <c r="G3989">
        <v>0.17398122036522701</v>
      </c>
      <c r="H3989">
        <v>0.124173367606761</v>
      </c>
      <c r="I3989">
        <v>0.117952375750234</v>
      </c>
      <c r="J3989">
        <v>0.12446309309600501</v>
      </c>
      <c r="K3989">
        <v>9.0583191912695898E-2</v>
      </c>
      <c r="L3989">
        <v>1115.40805267416</v>
      </c>
      <c r="M3989">
        <v>22.681474293658301</v>
      </c>
      <c r="N3989">
        <v>49.725633695888199</v>
      </c>
      <c r="O3989">
        <v>48.799568075911203</v>
      </c>
      <c r="P3989">
        <v>-0.103337666443951</v>
      </c>
      <c r="Q3989">
        <v>0.11068677890434001</v>
      </c>
      <c r="R3989">
        <v>0.99494588686420304</v>
      </c>
      <c r="S3989" t="s">
        <v>10605</v>
      </c>
      <c r="T3989" t="s">
        <v>13232</v>
      </c>
      <c r="U3989" t="s">
        <v>13232</v>
      </c>
      <c r="V3989" t="s">
        <v>13232</v>
      </c>
      <c r="W3989" t="s">
        <v>17159</v>
      </c>
      <c r="X3989">
        <v>18</v>
      </c>
      <c r="Y3989" t="s">
        <v>23578</v>
      </c>
      <c r="Z3989" t="s">
        <v>30120</v>
      </c>
      <c r="AA3989">
        <v>0.39236028174946391</v>
      </c>
      <c r="AB3989" t="str">
        <f>HYPERLINK("Melting_Curves/meltCurve_Q6ZT12_UBR3.pdf", "Melting_Curves/meltCurve_Q6ZT12_UBR3.pdf")</f>
        <v>Melting_Curves/meltCurve_Q6ZT12_UBR3.pdf</v>
      </c>
    </row>
    <row r="3990" spans="1:28" x14ac:dyDescent="0.25">
      <c r="A3990" t="s">
        <v>3993</v>
      </c>
      <c r="B3990">
        <v>0.99930955844802105</v>
      </c>
      <c r="C3990">
        <v>1.0383305524758999</v>
      </c>
      <c r="D3990">
        <v>1.0021816874368501</v>
      </c>
      <c r="E3990">
        <v>0.89955153074538396</v>
      </c>
      <c r="F3990">
        <v>0.71028979464532804</v>
      </c>
      <c r="G3990">
        <v>0.30838760003358501</v>
      </c>
      <c r="H3990">
        <v>0.21502116706642199</v>
      </c>
      <c r="I3990">
        <v>0.19221446973338599</v>
      </c>
      <c r="J3990">
        <v>0.16761634652943599</v>
      </c>
      <c r="K3990">
        <v>0.105569737436641</v>
      </c>
      <c r="L3990">
        <v>1425.87403430892</v>
      </c>
      <c r="M3990">
        <v>26.323553331431999</v>
      </c>
      <c r="N3990">
        <v>54.912156592199899</v>
      </c>
      <c r="O3990">
        <v>53.8575206737843</v>
      </c>
      <c r="P3990">
        <v>-0.10384512347446501</v>
      </c>
      <c r="Q3990">
        <v>0.15014819889386599</v>
      </c>
      <c r="R3990">
        <v>0.99566827862306295</v>
      </c>
      <c r="S3990" t="s">
        <v>10606</v>
      </c>
      <c r="T3990" t="s">
        <v>13232</v>
      </c>
      <c r="U3990" t="s">
        <v>13232</v>
      </c>
      <c r="V3990" t="s">
        <v>13232</v>
      </c>
      <c r="W3990" t="s">
        <v>17160</v>
      </c>
      <c r="X3990">
        <v>27</v>
      </c>
      <c r="Y3990" t="s">
        <v>23579</v>
      </c>
      <c r="Z3990" t="s">
        <v>30121</v>
      </c>
      <c r="AA3990">
        <v>0.55864179759432853</v>
      </c>
      <c r="AB3990" t="str">
        <f>HYPERLINK("Melting_Curves/meltCurve_Q6ZT62_SH3BP1.pdf", "Melting_Curves/meltCurve_Q6ZT62_SH3BP1.pdf")</f>
        <v>Melting_Curves/meltCurve_Q6ZT62_SH3BP1.pdf</v>
      </c>
    </row>
    <row r="3991" spans="1:28" x14ac:dyDescent="0.25">
      <c r="A3991" t="s">
        <v>3994</v>
      </c>
      <c r="B3991">
        <v>0.99930955844802105</v>
      </c>
      <c r="C3991">
        <v>1.0344750823216</v>
      </c>
      <c r="D3991">
        <v>1.0227529646703799</v>
      </c>
      <c r="E3991">
        <v>0.63110048488266501</v>
      </c>
      <c r="F3991">
        <v>0.50178945719167201</v>
      </c>
      <c r="G3991">
        <v>0.37200750251410097</v>
      </c>
      <c r="H3991">
        <v>0.34442321206360399</v>
      </c>
      <c r="I3991">
        <v>0.35010675506962202</v>
      </c>
      <c r="J3991">
        <v>0.32680348481527299</v>
      </c>
      <c r="K3991">
        <v>0.26851553572130499</v>
      </c>
      <c r="L3991">
        <v>1388.0813313334099</v>
      </c>
      <c r="M3991">
        <v>27.6496025588599</v>
      </c>
      <c r="N3991">
        <v>52.2356073126385</v>
      </c>
      <c r="O3991">
        <v>49.942172632149401</v>
      </c>
      <c r="P3991">
        <v>-9.2797419116975505E-2</v>
      </c>
      <c r="Q3991">
        <v>0.32954358014291402</v>
      </c>
      <c r="R3991">
        <v>0.981886621047799</v>
      </c>
      <c r="S3991" t="s">
        <v>10607</v>
      </c>
      <c r="T3991" t="s">
        <v>13232</v>
      </c>
      <c r="U3991" t="s">
        <v>13232</v>
      </c>
      <c r="V3991" t="s">
        <v>13232</v>
      </c>
      <c r="W3991" t="s">
        <v>17161</v>
      </c>
      <c r="X3991">
        <v>5</v>
      </c>
      <c r="Y3991" t="s">
        <v>23580</v>
      </c>
      <c r="Z3991" t="s">
        <v>30122</v>
      </c>
      <c r="AA3991">
        <v>0.56246120523985998</v>
      </c>
      <c r="AB3991" t="str">
        <f>HYPERLINK("Melting_Curves/meltCurve_Q6ZTN6_ANKRD13D.pdf", "Melting_Curves/meltCurve_Q6ZTN6_ANKRD13D.pdf")</f>
        <v>Melting_Curves/meltCurve_Q6ZTN6_ANKRD13D.pdf</v>
      </c>
    </row>
    <row r="3992" spans="1:28" x14ac:dyDescent="0.25">
      <c r="A3992" t="s">
        <v>3995</v>
      </c>
      <c r="B3992">
        <v>0.99930955844802105</v>
      </c>
      <c r="C3992">
        <v>1.0180008788275301</v>
      </c>
      <c r="D3992">
        <v>1.0110829072303</v>
      </c>
      <c r="E3992">
        <v>0.98687353359482899</v>
      </c>
      <c r="F3992">
        <v>0.89859382446894898</v>
      </c>
      <c r="G3992">
        <v>0.74477511118589901</v>
      </c>
      <c r="H3992">
        <v>0.77415089346032895</v>
      </c>
      <c r="I3992">
        <v>0.86300495466544602</v>
      </c>
      <c r="J3992">
        <v>0.90903377313457101</v>
      </c>
      <c r="K3992">
        <v>0.71336406821782505</v>
      </c>
      <c r="L3992">
        <v>8027.3442337778197</v>
      </c>
      <c r="M3992">
        <v>151.49650785555599</v>
      </c>
      <c r="O3992">
        <v>52.977759900380697</v>
      </c>
      <c r="P3992">
        <v>-0.142362140794425</v>
      </c>
      <c r="Q3992">
        <v>0.800865978043517</v>
      </c>
      <c r="R3992">
        <v>0.76768032562294797</v>
      </c>
      <c r="S3992" t="s">
        <v>10608</v>
      </c>
      <c r="T3992" t="s">
        <v>13232</v>
      </c>
      <c r="U3992" t="s">
        <v>13232</v>
      </c>
      <c r="V3992" t="s">
        <v>13232</v>
      </c>
      <c r="W3992" t="s">
        <v>17162</v>
      </c>
      <c r="X3992">
        <v>15</v>
      </c>
      <c r="Y3992" t="s">
        <v>23581</v>
      </c>
      <c r="Z3992" t="s">
        <v>30123</v>
      </c>
      <c r="AA3992">
        <v>0.88712148854577599</v>
      </c>
      <c r="AB3992" t="str">
        <f>HYPERLINK("Melting_Curves/meltCurve_Q6ZU65_UBN2.pdf", "Melting_Curves/meltCurve_Q6ZU65_UBN2.pdf")</f>
        <v>Melting_Curves/meltCurve_Q6ZU65_UBN2.pdf</v>
      </c>
    </row>
    <row r="3993" spans="1:28" x14ac:dyDescent="0.25">
      <c r="A3993" t="s">
        <v>3996</v>
      </c>
      <c r="B3993">
        <v>0.99930955844802105</v>
      </c>
      <c r="C3993">
        <v>1.25959057630266</v>
      </c>
      <c r="D3993">
        <v>1.3333560198879</v>
      </c>
      <c r="E3993">
        <v>1.0786548246664101</v>
      </c>
      <c r="F3993">
        <v>1.1593483372334199</v>
      </c>
      <c r="G3993">
        <v>1.17740552414149</v>
      </c>
      <c r="H3993">
        <v>1.31772242464509</v>
      </c>
      <c r="I3993">
        <v>1.2943568784361199</v>
      </c>
      <c r="J3993">
        <v>1.39722110607971</v>
      </c>
      <c r="K3993">
        <v>1.1584375599132299</v>
      </c>
      <c r="L3993">
        <v>10288.751676350799</v>
      </c>
      <c r="M3993">
        <v>250</v>
      </c>
      <c r="O3993">
        <v>41.152373038169799</v>
      </c>
      <c r="P3993">
        <v>0.36721609977576603</v>
      </c>
      <c r="Q3993">
        <v>1.2417890226103101</v>
      </c>
      <c r="R3993">
        <v>0.381211369858519</v>
      </c>
      <c r="S3993" t="s">
        <v>10609</v>
      </c>
      <c r="T3993" t="s">
        <v>13232</v>
      </c>
      <c r="U3993" t="s">
        <v>13232</v>
      </c>
      <c r="V3993" t="s">
        <v>13232</v>
      </c>
      <c r="W3993" t="s">
        <v>17163</v>
      </c>
      <c r="X3993">
        <v>2</v>
      </c>
      <c r="Y3993" t="s">
        <v>23582</v>
      </c>
      <c r="Z3993" t="s">
        <v>30124</v>
      </c>
      <c r="AA3993">
        <v>1.2324617167263969</v>
      </c>
      <c r="AB3993" t="str">
        <f>HYPERLINK("Melting_Curves/meltCurve_Q6ZUT1_3_C11orf57.pdf", "Melting_Curves/meltCurve_Q6ZUT1_3_C11orf57.pdf")</f>
        <v>Melting_Curves/meltCurve_Q6ZUT1_3_C11orf57.pdf</v>
      </c>
    </row>
    <row r="3994" spans="1:28" x14ac:dyDescent="0.25">
      <c r="A3994" t="s">
        <v>3997</v>
      </c>
      <c r="B3994">
        <v>0.99930955844802105</v>
      </c>
      <c r="C3994">
        <v>1.00996270229</v>
      </c>
      <c r="D3994">
        <v>0.97506848926494105</v>
      </c>
      <c r="E3994">
        <v>0.81991376759444901</v>
      </c>
      <c r="F3994">
        <v>0.36707777631633898</v>
      </c>
      <c r="G3994">
        <v>0.16855066456874901</v>
      </c>
      <c r="H3994">
        <v>0.111156752335294</v>
      </c>
      <c r="I3994">
        <v>8.4908989337551394E-2</v>
      </c>
      <c r="J3994">
        <v>6.4253152044389195E-2</v>
      </c>
      <c r="K3994">
        <v>4.7666359057706602E-2</v>
      </c>
      <c r="L3994">
        <v>1754.51237796122</v>
      </c>
      <c r="M3994">
        <v>33.795456274997001</v>
      </c>
      <c r="N3994">
        <v>52.194138553376199</v>
      </c>
      <c r="O3994">
        <v>51.7348638360588</v>
      </c>
      <c r="P3994">
        <v>-0.14983762881754301</v>
      </c>
      <c r="Q3994">
        <v>8.2504134997044495E-2</v>
      </c>
      <c r="R3994">
        <v>0.99700494372821202</v>
      </c>
      <c r="S3994" t="s">
        <v>10610</v>
      </c>
      <c r="T3994" t="s">
        <v>13232</v>
      </c>
      <c r="U3994" t="s">
        <v>13232</v>
      </c>
      <c r="V3994" t="s">
        <v>13232</v>
      </c>
      <c r="W3994" t="s">
        <v>17164</v>
      </c>
      <c r="X3994">
        <v>5</v>
      </c>
      <c r="Y3994" t="s">
        <v>23583</v>
      </c>
      <c r="Z3994" t="s">
        <v>30125</v>
      </c>
      <c r="AA3994">
        <v>0.45153859620338971</v>
      </c>
      <c r="AB3994" t="str">
        <f>HYPERLINK("Melting_Curves/meltCurve_Q6ZV70_2_LANCL3.pdf", "Melting_Curves/meltCurve_Q6ZV70_2_LANCL3.pdf")</f>
        <v>Melting_Curves/meltCurve_Q6ZV70_2_LANCL3.pdf</v>
      </c>
    </row>
    <row r="3995" spans="1:28" x14ac:dyDescent="0.25">
      <c r="A3995" t="s">
        <v>3998</v>
      </c>
      <c r="B3995">
        <v>0.99930955844802105</v>
      </c>
      <c r="C3995">
        <v>0.990690659712822</v>
      </c>
      <c r="D3995">
        <v>1.00853962519951</v>
      </c>
      <c r="E3995">
        <v>0.85759639033780699</v>
      </c>
      <c r="F3995">
        <v>0.55805082095500103</v>
      </c>
      <c r="G3995">
        <v>0.23806521756613799</v>
      </c>
      <c r="H3995">
        <v>0.12727401829667201</v>
      </c>
      <c r="I3995">
        <v>0.11763053440144</v>
      </c>
      <c r="J3995">
        <v>0.10612651808038299</v>
      </c>
      <c r="K3995">
        <v>8.4810721229158906E-2</v>
      </c>
      <c r="L3995">
        <v>1391.5506431214201</v>
      </c>
      <c r="M3995">
        <v>26.1831675007688</v>
      </c>
      <c r="N3995">
        <v>53.5959673056105</v>
      </c>
      <c r="O3995">
        <v>52.839636959855802</v>
      </c>
      <c r="P3995">
        <v>-0.11167706240177699</v>
      </c>
      <c r="Q3995">
        <v>9.8518352681507396E-2</v>
      </c>
      <c r="R3995">
        <v>0.99930787064828197</v>
      </c>
      <c r="S3995" t="s">
        <v>10611</v>
      </c>
      <c r="T3995" t="s">
        <v>13232</v>
      </c>
      <c r="U3995" t="s">
        <v>13232</v>
      </c>
      <c r="V3995" t="s">
        <v>13232</v>
      </c>
      <c r="W3995" t="s">
        <v>17165</v>
      </c>
      <c r="X3995">
        <v>6</v>
      </c>
      <c r="Y3995" t="s">
        <v>23584</v>
      </c>
      <c r="Z3995" t="s">
        <v>30126</v>
      </c>
      <c r="AA3995">
        <v>0.50118601084811232</v>
      </c>
      <c r="AB3995" t="str">
        <f>HYPERLINK("Melting_Curves/meltCurve_Q6ZVK8_NUDT18.pdf", "Melting_Curves/meltCurve_Q6ZVK8_NUDT18.pdf")</f>
        <v>Melting_Curves/meltCurve_Q6ZVK8_NUDT18.pdf</v>
      </c>
    </row>
    <row r="3996" spans="1:28" x14ac:dyDescent="0.25">
      <c r="A3996" t="s">
        <v>3999</v>
      </c>
      <c r="B3996">
        <v>0.99930955844802105</v>
      </c>
      <c r="C3996">
        <v>1.2411419114351601</v>
      </c>
      <c r="D3996">
        <v>1.1882089790787</v>
      </c>
      <c r="E3996">
        <v>1.0127321227994901</v>
      </c>
      <c r="F3996">
        <v>0.69109360366008898</v>
      </c>
      <c r="G3996">
        <v>0.39420120863533598</v>
      </c>
      <c r="H3996">
        <v>0.27085091655407501</v>
      </c>
      <c r="I3996">
        <v>0.25919015762643899</v>
      </c>
      <c r="J3996">
        <v>0.22563889536784701</v>
      </c>
      <c r="K3996">
        <v>0.15627755266989801</v>
      </c>
      <c r="L3996">
        <v>1639.9068213650401</v>
      </c>
      <c r="M3996">
        <v>30.252423445498199</v>
      </c>
      <c r="N3996">
        <v>55.278506983499398</v>
      </c>
      <c r="O3996">
        <v>53.972239244540198</v>
      </c>
      <c r="P3996">
        <v>-0.1090537238927</v>
      </c>
      <c r="Q3996">
        <v>0.22176980692926801</v>
      </c>
      <c r="R3996">
        <v>0.93519336505449102</v>
      </c>
      <c r="S3996" t="s">
        <v>10612</v>
      </c>
      <c r="T3996" t="s">
        <v>13232</v>
      </c>
      <c r="U3996" t="s">
        <v>13232</v>
      </c>
      <c r="V3996" t="s">
        <v>13232</v>
      </c>
      <c r="W3996" t="s">
        <v>17166</v>
      </c>
      <c r="X3996">
        <v>6</v>
      </c>
      <c r="Y3996" t="s">
        <v>23585</v>
      </c>
      <c r="Z3996" t="s">
        <v>30127</v>
      </c>
      <c r="AA3996">
        <v>0.59536740930861809</v>
      </c>
      <c r="AB3996" t="str">
        <f>HYPERLINK("Melting_Curves/meltCurve_Q6ZVM7_TOM1L2.pdf", "Melting_Curves/meltCurve_Q6ZVM7_TOM1L2.pdf")</f>
        <v>Melting_Curves/meltCurve_Q6ZVM7_TOM1L2.pdf</v>
      </c>
    </row>
    <row r="3997" spans="1:28" x14ac:dyDescent="0.25">
      <c r="A3997" t="s">
        <v>4000</v>
      </c>
      <c r="B3997">
        <v>0.99930955844802105</v>
      </c>
      <c r="C3997">
        <v>0.96058409288655799</v>
      </c>
      <c r="D3997">
        <v>0.91283484643199697</v>
      </c>
      <c r="E3997">
        <v>0.81266552913143797</v>
      </c>
      <c r="F3997">
        <v>0.67319181217902901</v>
      </c>
      <c r="G3997">
        <v>0.37127060796892802</v>
      </c>
      <c r="H3997">
        <v>0.16636931834268201</v>
      </c>
      <c r="I3997">
        <v>0.150605694656987</v>
      </c>
      <c r="J3997">
        <v>0.12927034747330499</v>
      </c>
      <c r="K3997">
        <v>0.100723164478235</v>
      </c>
      <c r="L3997">
        <v>884.14190070983898</v>
      </c>
      <c r="M3997">
        <v>16.232204252998301</v>
      </c>
      <c r="N3997">
        <v>54.973122188705503</v>
      </c>
      <c r="O3997">
        <v>53.661837460916402</v>
      </c>
      <c r="P3997">
        <v>-7.0392474129635493E-2</v>
      </c>
      <c r="Q3997">
        <v>6.9230964383932198E-2</v>
      </c>
      <c r="R3997">
        <v>0.995285352518403</v>
      </c>
      <c r="S3997" t="s">
        <v>10613</v>
      </c>
      <c r="T3997" t="s">
        <v>13232</v>
      </c>
      <c r="U3997" t="s">
        <v>13232</v>
      </c>
      <c r="V3997" t="s">
        <v>13232</v>
      </c>
      <c r="W3997" t="s">
        <v>17167</v>
      </c>
      <c r="X3997">
        <v>17</v>
      </c>
      <c r="Y3997" t="s">
        <v>23586</v>
      </c>
      <c r="Z3997" t="s">
        <v>30128</v>
      </c>
      <c r="AA3997">
        <v>0.53500528903016209</v>
      </c>
      <c r="AB3997" t="str">
        <f>HYPERLINK("Melting_Curves/meltCurve_Q6ZW49_4_PAXIP1.pdf", "Melting_Curves/meltCurve_Q6ZW49_4_PAXIP1.pdf")</f>
        <v>Melting_Curves/meltCurve_Q6ZW49_4_PAXIP1.pdf</v>
      </c>
    </row>
    <row r="3998" spans="1:28" x14ac:dyDescent="0.25">
      <c r="A3998" t="s">
        <v>4001</v>
      </c>
      <c r="B3998">
        <v>0.99930955844802105</v>
      </c>
      <c r="C3998">
        <v>0.74391899950760199</v>
      </c>
      <c r="D3998">
        <v>0.66372674726677705</v>
      </c>
      <c r="E3998">
        <v>0.56288455878278798</v>
      </c>
      <c r="F3998">
        <v>0.56420802628768196</v>
      </c>
      <c r="G3998">
        <v>0.60892673957355203</v>
      </c>
      <c r="H3998">
        <v>0.63684498986742399</v>
      </c>
      <c r="I3998">
        <v>0.69427798286235398</v>
      </c>
      <c r="J3998">
        <v>0.61879032195496797</v>
      </c>
      <c r="K3998">
        <v>0.45745820770225998</v>
      </c>
      <c r="L3998">
        <v>1830.81781146611</v>
      </c>
      <c r="M3998">
        <v>43.095939953780501</v>
      </c>
      <c r="O3998">
        <v>42.391207112918899</v>
      </c>
      <c r="P3998">
        <v>-0.102178656034827</v>
      </c>
      <c r="Q3998">
        <v>0.59796957496472003</v>
      </c>
      <c r="R3998">
        <v>0.80295312226993898</v>
      </c>
      <c r="S3998" t="s">
        <v>10614</v>
      </c>
      <c r="T3998" t="s">
        <v>13232</v>
      </c>
      <c r="U3998" t="s">
        <v>13232</v>
      </c>
      <c r="V3998" t="s">
        <v>13232</v>
      </c>
      <c r="W3998" t="s">
        <v>17168</v>
      </c>
      <c r="X3998">
        <v>2</v>
      </c>
      <c r="Y3998" t="s">
        <v>23587</v>
      </c>
      <c r="Z3998" t="s">
        <v>30129</v>
      </c>
      <c r="AA3998">
        <v>0.63300017892350102</v>
      </c>
      <c r="AB3998" t="str">
        <f>HYPERLINK("Melting_Curves/meltCurve_Q6ZYL4_GTF2H5.pdf", "Melting_Curves/meltCurve_Q6ZYL4_GTF2H5.pdf")</f>
        <v>Melting_Curves/meltCurve_Q6ZYL4_GTF2H5.pdf</v>
      </c>
    </row>
    <row r="3999" spans="1:28" x14ac:dyDescent="0.25">
      <c r="A3999" t="s">
        <v>4002</v>
      </c>
      <c r="B3999">
        <v>0.99930955844802105</v>
      </c>
      <c r="C3999">
        <v>0.94149263721378096</v>
      </c>
      <c r="D3999">
        <v>0.97967345698486297</v>
      </c>
      <c r="E3999">
        <v>1.04685435595346</v>
      </c>
      <c r="F3999">
        <v>1.1042510024086001</v>
      </c>
      <c r="G3999">
        <v>0.64895131574940901</v>
      </c>
      <c r="H3999">
        <v>0.250114847064145</v>
      </c>
      <c r="I3999">
        <v>0.18069691925886</v>
      </c>
      <c r="J3999">
        <v>0.14161531259037399</v>
      </c>
      <c r="K3999">
        <v>0.107870967872559</v>
      </c>
      <c r="L3999">
        <v>2574.7019785533998</v>
      </c>
      <c r="M3999">
        <v>44.707191662104101</v>
      </c>
      <c r="N3999">
        <v>58.048935909928304</v>
      </c>
      <c r="O3999">
        <v>57.475460587565699</v>
      </c>
      <c r="P3999">
        <v>-0.16552959870360201</v>
      </c>
      <c r="Q3999">
        <v>0.14878327828596799</v>
      </c>
      <c r="R3999">
        <v>0.98446465058339805</v>
      </c>
      <c r="S3999" t="s">
        <v>10615</v>
      </c>
      <c r="T3999" t="s">
        <v>13232</v>
      </c>
      <c r="U3999" t="s">
        <v>13232</v>
      </c>
      <c r="V3999" t="s">
        <v>13232</v>
      </c>
      <c r="W3999" t="s">
        <v>17169</v>
      </c>
      <c r="X3999">
        <v>82</v>
      </c>
      <c r="Y3999" t="s">
        <v>23588</v>
      </c>
      <c r="Z3999" t="s">
        <v>30130</v>
      </c>
      <c r="AA3999">
        <v>0.650577270412109</v>
      </c>
      <c r="AB3999" t="str">
        <f>HYPERLINK("Melting_Curves/meltCurve_Q709C8_3_VPS13C.pdf", "Melting_Curves/meltCurve_Q709C8_3_VPS13C.pdf")</f>
        <v>Melting_Curves/meltCurve_Q709C8_3_VPS13C.pdf</v>
      </c>
    </row>
    <row r="4000" spans="1:28" x14ac:dyDescent="0.25">
      <c r="A4000" t="s">
        <v>4003</v>
      </c>
      <c r="B4000">
        <v>0.99930955844802105</v>
      </c>
      <c r="C4000">
        <v>0.91594394446844596</v>
      </c>
      <c r="D4000">
        <v>0.847136902559948</v>
      </c>
      <c r="E4000">
        <v>0.67334587597406403</v>
      </c>
      <c r="F4000">
        <v>0.329751962924061</v>
      </c>
      <c r="G4000">
        <v>0.22145833355188199</v>
      </c>
      <c r="H4000">
        <v>0.14137653648090001</v>
      </c>
      <c r="I4000">
        <v>0.120607802426655</v>
      </c>
      <c r="J4000">
        <v>0.10993006969073101</v>
      </c>
      <c r="K4000">
        <v>8.1101495472477497E-2</v>
      </c>
      <c r="L4000">
        <v>864.29553948746297</v>
      </c>
      <c r="M4000">
        <v>17.001769262109601</v>
      </c>
      <c r="N4000">
        <v>51.404731989858803</v>
      </c>
      <c r="O4000">
        <v>50.1479684316404</v>
      </c>
      <c r="P4000">
        <v>-7.7491635110040702E-2</v>
      </c>
      <c r="Q4000">
        <v>8.5787391003574798E-2</v>
      </c>
      <c r="R4000">
        <v>0.991063651256611</v>
      </c>
      <c r="S4000" t="s">
        <v>10616</v>
      </c>
      <c r="T4000" t="s">
        <v>13232</v>
      </c>
      <c r="U4000" t="s">
        <v>13232</v>
      </c>
      <c r="V4000" t="s">
        <v>13232</v>
      </c>
      <c r="W4000" t="s">
        <v>17170</v>
      </c>
      <c r="X4000">
        <v>21</v>
      </c>
      <c r="Y4000" t="s">
        <v>23589</v>
      </c>
      <c r="Z4000" t="s">
        <v>30131</v>
      </c>
      <c r="AA4000">
        <v>0.43309114068348081</v>
      </c>
      <c r="AB4000" t="str">
        <f>HYPERLINK("Melting_Curves/meltCurve_Q70CQ2_USP34.pdf", "Melting_Curves/meltCurve_Q70CQ2_USP34.pdf")</f>
        <v>Melting_Curves/meltCurve_Q70CQ2_USP34.pdf</v>
      </c>
    </row>
    <row r="4001" spans="1:28" x14ac:dyDescent="0.25">
      <c r="A4001" t="s">
        <v>4004</v>
      </c>
      <c r="B4001">
        <v>0.99930955844802105</v>
      </c>
      <c r="C4001">
        <v>0.82808999532407301</v>
      </c>
      <c r="D4001">
        <v>0.88683231562345499</v>
      </c>
      <c r="E4001">
        <v>0.851320304683996</v>
      </c>
      <c r="F4001">
        <v>0.66529224997091796</v>
      </c>
      <c r="G4001">
        <v>0.63444567978573796</v>
      </c>
      <c r="H4001">
        <v>0.51347669786657102</v>
      </c>
      <c r="I4001">
        <v>0.46671191408464402</v>
      </c>
      <c r="J4001">
        <v>0.54502133017487198</v>
      </c>
      <c r="K4001">
        <v>0.348824167960191</v>
      </c>
      <c r="L4001">
        <v>342.142683184796</v>
      </c>
      <c r="M4001">
        <v>5.7850929640577498</v>
      </c>
      <c r="N4001">
        <v>63.390017880687999</v>
      </c>
      <c r="O4001">
        <v>53.221666590353799</v>
      </c>
      <c r="P4001">
        <v>-2.28921658136319E-2</v>
      </c>
      <c r="Q4001">
        <v>0.160681476388946</v>
      </c>
      <c r="R4001">
        <v>0.91846194704362805</v>
      </c>
      <c r="S4001" t="s">
        <v>10617</v>
      </c>
      <c r="T4001" t="s">
        <v>13232</v>
      </c>
      <c r="U4001" t="s">
        <v>13232</v>
      </c>
      <c r="V4001" t="s">
        <v>13232</v>
      </c>
      <c r="W4001" t="s">
        <v>17171</v>
      </c>
      <c r="X4001">
        <v>3</v>
      </c>
      <c r="Y4001" t="s">
        <v>23590</v>
      </c>
      <c r="Z4001" t="s">
        <v>30132</v>
      </c>
      <c r="AA4001">
        <v>0.67518496708881237</v>
      </c>
      <c r="AB4001" t="str">
        <f>HYPERLINK("Melting_Curves/meltCurve_Q70EK8_USP53.pdf", "Melting_Curves/meltCurve_Q70EK8_USP53.pdf")</f>
        <v>Melting_Curves/meltCurve_Q70EK8_USP53.pdf</v>
      </c>
    </row>
    <row r="4002" spans="1:28" x14ac:dyDescent="0.25">
      <c r="A4002" t="s">
        <v>4005</v>
      </c>
      <c r="B4002">
        <v>0.99930955844802105</v>
      </c>
      <c r="C4002">
        <v>1.07087096146257</v>
      </c>
      <c r="D4002">
        <v>1.10188573547034</v>
      </c>
      <c r="E4002">
        <v>1.1150220384412901</v>
      </c>
      <c r="F4002">
        <v>0.96982044450830895</v>
      </c>
      <c r="G4002">
        <v>0.90766748964478094</v>
      </c>
      <c r="H4002">
        <v>0.97333089084470703</v>
      </c>
      <c r="I4002">
        <v>1.0828696058808001</v>
      </c>
      <c r="J4002">
        <v>1.03656877008934</v>
      </c>
      <c r="K4002">
        <v>0.86375825505664605</v>
      </c>
      <c r="L4002">
        <v>15000</v>
      </c>
      <c r="M4002">
        <v>212.438823833811</v>
      </c>
      <c r="Q4002">
        <v>0</v>
      </c>
      <c r="R4002">
        <v>0.26676208579890198</v>
      </c>
      <c r="S4002" t="s">
        <v>10618</v>
      </c>
      <c r="T4002" t="s">
        <v>13232</v>
      </c>
      <c r="U4002" t="s">
        <v>13232</v>
      </c>
      <c r="V4002" t="s">
        <v>13232</v>
      </c>
      <c r="W4002" t="s">
        <v>17172</v>
      </c>
      <c r="X4002">
        <v>6</v>
      </c>
      <c r="Y4002" t="s">
        <v>23591</v>
      </c>
      <c r="Z4002" t="s">
        <v>30133</v>
      </c>
      <c r="AA4002">
        <v>0.99842045210599872</v>
      </c>
      <c r="AB4002" t="str">
        <f>HYPERLINK("Melting_Curves/meltCurve_Q70EL1_7_USP54.pdf", "Melting_Curves/meltCurve_Q70EL1_7_USP54.pdf")</f>
        <v>Melting_Curves/meltCurve_Q70EL1_7_USP54.pdf</v>
      </c>
    </row>
    <row r="4003" spans="1:28" x14ac:dyDescent="0.25">
      <c r="A4003" t="s">
        <v>4006</v>
      </c>
      <c r="B4003">
        <v>0.99930955844802105</v>
      </c>
      <c r="C4003">
        <v>0.99402944858419795</v>
      </c>
      <c r="D4003">
        <v>0.77568931414036602</v>
      </c>
      <c r="E4003">
        <v>0.305898240909181</v>
      </c>
      <c r="F4003">
        <v>0.136932634428722</v>
      </c>
      <c r="G4003">
        <v>8.9564863283238996E-2</v>
      </c>
      <c r="H4003">
        <v>5.0467255025611002E-2</v>
      </c>
      <c r="I4003">
        <v>3.9701887137712999E-2</v>
      </c>
      <c r="J4003">
        <v>3.42757664244219E-2</v>
      </c>
      <c r="K4003">
        <v>2.6250912839895599E-2</v>
      </c>
      <c r="L4003">
        <v>1245.0644228461499</v>
      </c>
      <c r="M4003">
        <v>25.842698578795002</v>
      </c>
      <c r="N4003">
        <v>48.3508259259387</v>
      </c>
      <c r="O4003">
        <v>47.8928655180299</v>
      </c>
      <c r="P4003">
        <v>-0.12896759391127699</v>
      </c>
      <c r="Q4003">
        <v>4.3976862132073198E-2</v>
      </c>
      <c r="R4003">
        <v>0.99834630652632605</v>
      </c>
      <c r="S4003" t="s">
        <v>10619</v>
      </c>
      <c r="T4003" t="s">
        <v>13232</v>
      </c>
      <c r="U4003" t="s">
        <v>13232</v>
      </c>
      <c r="V4003" t="s">
        <v>13232</v>
      </c>
      <c r="W4003" t="s">
        <v>17173</v>
      </c>
      <c r="X4003">
        <v>6</v>
      </c>
      <c r="Y4003" t="s">
        <v>23592</v>
      </c>
      <c r="Z4003" t="s">
        <v>30134</v>
      </c>
      <c r="AA4003">
        <v>0.31248459679495583</v>
      </c>
      <c r="AB4003" t="str">
        <f>HYPERLINK("Melting_Curves/meltCurve_Q70IA6_MOB2.pdf", "Melting_Curves/meltCurve_Q70IA6_MOB2.pdf")</f>
        <v>Melting_Curves/meltCurve_Q70IA6_MOB2.pdf</v>
      </c>
    </row>
    <row r="4004" spans="1:28" x14ac:dyDescent="0.25">
      <c r="A4004" t="s">
        <v>4007</v>
      </c>
      <c r="B4004">
        <v>0.99930955844802105</v>
      </c>
      <c r="C4004">
        <v>0.90095340874746299</v>
      </c>
      <c r="D4004">
        <v>0.65960483536530701</v>
      </c>
      <c r="E4004">
        <v>0.43401870532186798</v>
      </c>
      <c r="F4004">
        <v>0.30340743602154602</v>
      </c>
      <c r="G4004">
        <v>0.23470980352479101</v>
      </c>
      <c r="H4004">
        <v>0.15633572059983</v>
      </c>
      <c r="I4004">
        <v>8.3721673016142001E-2</v>
      </c>
      <c r="J4004">
        <v>0.141037406993616</v>
      </c>
      <c r="K4004">
        <v>9.6906094603392404E-2</v>
      </c>
      <c r="L4004">
        <v>693.64739612610595</v>
      </c>
      <c r="M4004">
        <v>14.393583936766801</v>
      </c>
      <c r="N4004">
        <v>48.995646340980201</v>
      </c>
      <c r="O4004">
        <v>47.2898570008281</v>
      </c>
      <c r="P4004">
        <v>-6.8094739584334804E-2</v>
      </c>
      <c r="Q4004">
        <v>0.10521018164127199</v>
      </c>
      <c r="R4004">
        <v>0.99094281108816096</v>
      </c>
      <c r="S4004" t="s">
        <v>10620</v>
      </c>
      <c r="T4004" t="s">
        <v>13232</v>
      </c>
      <c r="U4004" t="s">
        <v>13232</v>
      </c>
      <c r="V4004" t="s">
        <v>13232</v>
      </c>
      <c r="W4004" t="s">
        <v>17174</v>
      </c>
      <c r="X4004">
        <v>11</v>
      </c>
      <c r="Y4004" t="s">
        <v>23593</v>
      </c>
      <c r="Z4004" t="s">
        <v>30135</v>
      </c>
      <c r="AA4004">
        <v>0.37426226332855328</v>
      </c>
      <c r="AB4004" t="str">
        <f>HYPERLINK("Melting_Curves/meltCurve_Q70J99_UNC13D.pdf", "Melting_Curves/meltCurve_Q70J99_UNC13D.pdf")</f>
        <v>Melting_Curves/meltCurve_Q70J99_UNC13D.pdf</v>
      </c>
    </row>
    <row r="4005" spans="1:28" x14ac:dyDescent="0.25">
      <c r="A4005" t="s">
        <v>4008</v>
      </c>
      <c r="B4005">
        <v>0.99930955844802105</v>
      </c>
      <c r="C4005">
        <v>1.7292340951424301</v>
      </c>
      <c r="D4005">
        <v>1.47169493257019</v>
      </c>
      <c r="E4005">
        <v>1.8433935524209599</v>
      </c>
      <c r="F4005">
        <v>2.1036346726828099</v>
      </c>
      <c r="G4005">
        <v>2.18991436466845</v>
      </c>
      <c r="H4005">
        <v>3.5025737303428599</v>
      </c>
      <c r="I4005">
        <v>4.1221712330573004</v>
      </c>
      <c r="J4005">
        <v>4.4689488436661504</v>
      </c>
      <c r="K4005">
        <v>3.5775494969003301</v>
      </c>
      <c r="L4005">
        <v>10249.0001943471</v>
      </c>
      <c r="M4005">
        <v>250</v>
      </c>
      <c r="O4005">
        <v>40.993377886096397</v>
      </c>
      <c r="P4005">
        <v>0.76231825945516096</v>
      </c>
      <c r="Q4005">
        <v>1.5</v>
      </c>
      <c r="R4005">
        <v>-0.90176291575141299</v>
      </c>
      <c r="S4005" t="s">
        <v>10621</v>
      </c>
      <c r="T4005" t="s">
        <v>13232</v>
      </c>
      <c r="U4005" t="s">
        <v>13232</v>
      </c>
      <c r="V4005" t="s">
        <v>13232</v>
      </c>
      <c r="W4005" t="s">
        <v>17175</v>
      </c>
      <c r="X4005">
        <v>1</v>
      </c>
      <c r="Y4005" t="s">
        <v>23594</v>
      </c>
      <c r="Z4005" t="s">
        <v>30136</v>
      </c>
      <c r="AA4005">
        <v>1.4833589082395151</v>
      </c>
      <c r="AB4005" t="str">
        <f>HYPERLINK("Melting_Curves/meltCurve_Q70UQ0_4_IKBIP.pdf", "Melting_Curves/meltCurve_Q70UQ0_4_IKBIP.pdf")</f>
        <v>Melting_Curves/meltCurve_Q70UQ0_4_IKBIP.pdf</v>
      </c>
    </row>
    <row r="4006" spans="1:28" x14ac:dyDescent="0.25">
      <c r="A4006" t="s">
        <v>4009</v>
      </c>
      <c r="B4006">
        <v>0.99930955844802105</v>
      </c>
      <c r="C4006">
        <v>1.06639197875778</v>
      </c>
      <c r="D4006">
        <v>1.03872402762751</v>
      </c>
      <c r="E4006">
        <v>0.76540655623361697</v>
      </c>
      <c r="F4006">
        <v>0.34135580557109602</v>
      </c>
      <c r="G4006">
        <v>0.198422059219791</v>
      </c>
      <c r="H4006">
        <v>0.111786429128962</v>
      </c>
      <c r="I4006">
        <v>9.8308458786416697E-2</v>
      </c>
      <c r="J4006">
        <v>8.93867763956009E-2</v>
      </c>
      <c r="K4006">
        <v>6.9814325518073303E-2</v>
      </c>
      <c r="L4006">
        <v>1733.83095197482</v>
      </c>
      <c r="M4006">
        <v>33.639073183853696</v>
      </c>
      <c r="N4006">
        <v>51.897100667538098</v>
      </c>
      <c r="O4006">
        <v>51.3610361972909</v>
      </c>
      <c r="P4006">
        <v>-0.14691361713904599</v>
      </c>
      <c r="Q4006">
        <v>0.10275698988827101</v>
      </c>
      <c r="R4006">
        <v>0.99250051000872097</v>
      </c>
      <c r="S4006" t="s">
        <v>10622</v>
      </c>
      <c r="T4006" t="s">
        <v>13232</v>
      </c>
      <c r="U4006" t="s">
        <v>13232</v>
      </c>
      <c r="V4006" t="s">
        <v>13232</v>
      </c>
      <c r="W4006" t="s">
        <v>17176</v>
      </c>
      <c r="X4006">
        <v>5</v>
      </c>
      <c r="Y4006" t="s">
        <v>23595</v>
      </c>
      <c r="Z4006" t="s">
        <v>30137</v>
      </c>
      <c r="AA4006">
        <v>0.45248811738251887</v>
      </c>
      <c r="AB4006" t="str">
        <f>HYPERLINK("Melting_Curves/meltCurve_Q70Z53_FRA10AC1.pdf", "Melting_Curves/meltCurve_Q70Z53_FRA10AC1.pdf")</f>
        <v>Melting_Curves/meltCurve_Q70Z53_FRA10AC1.pdf</v>
      </c>
    </row>
    <row r="4007" spans="1:28" x14ac:dyDescent="0.25">
      <c r="A4007" t="s">
        <v>4010</v>
      </c>
      <c r="B4007">
        <v>0.99930955844802105</v>
      </c>
      <c r="C4007">
        <v>1.11121508577065</v>
      </c>
      <c r="D4007">
        <v>1.0313252823291099</v>
      </c>
      <c r="E4007">
        <v>1.01421860111706</v>
      </c>
      <c r="F4007">
        <v>0.82020581097714496</v>
      </c>
      <c r="G4007">
        <v>0.75390880304289998</v>
      </c>
      <c r="H4007">
        <v>0.65936124373486904</v>
      </c>
      <c r="I4007">
        <v>0.70507254147346199</v>
      </c>
      <c r="J4007">
        <v>0.69893011550612205</v>
      </c>
      <c r="K4007">
        <v>0.58712592068085401</v>
      </c>
      <c r="L4007">
        <v>1552.33091187073</v>
      </c>
      <c r="M4007">
        <v>28.931871588678401</v>
      </c>
      <c r="O4007">
        <v>53.400329686894501</v>
      </c>
      <c r="P4007">
        <v>-4.54893791335646E-2</v>
      </c>
      <c r="Q4007">
        <v>0.66415869132346905</v>
      </c>
      <c r="R4007">
        <v>0.90901700386213002</v>
      </c>
      <c r="S4007" t="s">
        <v>10623</v>
      </c>
      <c r="T4007" t="s">
        <v>13232</v>
      </c>
      <c r="U4007" t="s">
        <v>13232</v>
      </c>
      <c r="V4007" t="s">
        <v>13232</v>
      </c>
      <c r="W4007" t="s">
        <v>17177</v>
      </c>
      <c r="X4007">
        <v>3</v>
      </c>
      <c r="Y4007" t="s">
        <v>23596</v>
      </c>
      <c r="Z4007" t="s">
        <v>30138</v>
      </c>
      <c r="AA4007">
        <v>0.81937549138393828</v>
      </c>
      <c r="AB4007" t="str">
        <f>HYPERLINK("Melting_Curves/meltCurve_Q711Q0_C10orf71.pdf", "Melting_Curves/meltCurve_Q711Q0_C10orf71.pdf")</f>
        <v>Melting_Curves/meltCurve_Q711Q0_C10orf71.pdf</v>
      </c>
    </row>
    <row r="4008" spans="1:28" x14ac:dyDescent="0.25">
      <c r="A4008" t="s">
        <v>4011</v>
      </c>
      <c r="B4008">
        <v>0.99930955844802105</v>
      </c>
      <c r="C4008">
        <v>1.1235417420520399</v>
      </c>
      <c r="D4008">
        <v>1.0851363176315501</v>
      </c>
      <c r="E4008">
        <v>1.0229085943426099</v>
      </c>
      <c r="F4008">
        <v>0.87235400902195004</v>
      </c>
      <c r="G4008">
        <v>0.57354294715893195</v>
      </c>
      <c r="H4008">
        <v>0.269299680856732</v>
      </c>
      <c r="I4008">
        <v>0.16816024270021601</v>
      </c>
      <c r="J4008">
        <v>0.12520613809481301</v>
      </c>
      <c r="K4008">
        <v>0.103082001831923</v>
      </c>
      <c r="L4008">
        <v>1414.52667301571</v>
      </c>
      <c r="M4008">
        <v>24.703299967201801</v>
      </c>
      <c r="N4008">
        <v>57.788901979131197</v>
      </c>
      <c r="O4008">
        <v>56.8893616781981</v>
      </c>
      <c r="P4008">
        <v>-9.7587935697822203E-2</v>
      </c>
      <c r="Q4008">
        <v>0.101069558019924</v>
      </c>
      <c r="R4008">
        <v>0.98472308680642995</v>
      </c>
      <c r="S4008" t="s">
        <v>10624</v>
      </c>
      <c r="T4008" t="s">
        <v>13232</v>
      </c>
      <c r="U4008" t="s">
        <v>13232</v>
      </c>
      <c r="V4008" t="s">
        <v>13232</v>
      </c>
      <c r="W4008" t="s">
        <v>17178</v>
      </c>
      <c r="X4008">
        <v>10</v>
      </c>
      <c r="Y4008" t="s">
        <v>23597</v>
      </c>
      <c r="Z4008" t="s">
        <v>30139</v>
      </c>
      <c r="AA4008">
        <v>0.62645765833168998</v>
      </c>
      <c r="AB4008" t="str">
        <f>HYPERLINK("Melting_Curves/meltCurve_Q712K3_UBE2R2.pdf", "Melting_Curves/meltCurve_Q712K3_UBE2R2.pdf")</f>
        <v>Melting_Curves/meltCurve_Q712K3_UBE2R2.pdf</v>
      </c>
    </row>
    <row r="4009" spans="1:28" x14ac:dyDescent="0.25">
      <c r="A4009" t="s">
        <v>4012</v>
      </c>
      <c r="B4009">
        <v>0.99930955844802105</v>
      </c>
      <c r="C4009">
        <v>0.97169731616878996</v>
      </c>
      <c r="D4009">
        <v>0.94919779794333003</v>
      </c>
      <c r="E4009">
        <v>1.0778827221365901</v>
      </c>
      <c r="F4009">
        <v>0.89020437710221501</v>
      </c>
      <c r="G4009">
        <v>0.66330471076221598</v>
      </c>
      <c r="H4009">
        <v>0.60906897340525201</v>
      </c>
      <c r="I4009">
        <v>0.58377234905138797</v>
      </c>
      <c r="J4009">
        <v>0.51209989931807798</v>
      </c>
      <c r="K4009">
        <v>0.496432131104037</v>
      </c>
      <c r="L4009">
        <v>1694.84029500885</v>
      </c>
      <c r="M4009">
        <v>30.5723230100118</v>
      </c>
      <c r="O4009">
        <v>55.201512826312602</v>
      </c>
      <c r="P4009">
        <v>-6.4017782404236195E-2</v>
      </c>
      <c r="Q4009">
        <v>0.53763973368559703</v>
      </c>
      <c r="R4009">
        <v>0.958270337218741</v>
      </c>
      <c r="S4009" t="s">
        <v>10625</v>
      </c>
      <c r="T4009" t="s">
        <v>13232</v>
      </c>
      <c r="U4009" t="s">
        <v>13232</v>
      </c>
      <c r="V4009" t="s">
        <v>13232</v>
      </c>
      <c r="W4009" t="s">
        <v>17179</v>
      </c>
      <c r="X4009">
        <v>6</v>
      </c>
      <c r="Y4009" t="s">
        <v>23598</v>
      </c>
      <c r="Z4009" t="s">
        <v>30140</v>
      </c>
      <c r="AA4009">
        <v>0.77852533389215839</v>
      </c>
      <c r="AB4009" t="str">
        <f>HYPERLINK("Melting_Curves/meltCurve_Q71F56_MED13L.pdf", "Melting_Curves/meltCurve_Q71F56_MED13L.pdf")</f>
        <v>Melting_Curves/meltCurve_Q71F56_MED13L.pdf</v>
      </c>
    </row>
    <row r="4010" spans="1:28" x14ac:dyDescent="0.25">
      <c r="A4010" t="s">
        <v>4013</v>
      </c>
      <c r="B4010">
        <v>0.99930955844802105</v>
      </c>
      <c r="C4010">
        <v>1.08000245518837</v>
      </c>
      <c r="D4010">
        <v>1.0096167290042899</v>
      </c>
      <c r="E4010">
        <v>0.93239956785300604</v>
      </c>
      <c r="F4010">
        <v>0.77438588949785603</v>
      </c>
      <c r="G4010">
        <v>0.64997007322987599</v>
      </c>
      <c r="H4010">
        <v>0.55873999902620797</v>
      </c>
      <c r="I4010">
        <v>0.56223070528795505</v>
      </c>
      <c r="J4010">
        <v>0.498356781617455</v>
      </c>
      <c r="K4010">
        <v>0.41521021774323502</v>
      </c>
      <c r="L4010">
        <v>887.20106414305201</v>
      </c>
      <c r="M4010">
        <v>16.110988320524299</v>
      </c>
      <c r="N4010">
        <v>64.915869310059506</v>
      </c>
      <c r="O4010">
        <v>54.240618160665399</v>
      </c>
      <c r="P4010">
        <v>-4.0354660712629498E-2</v>
      </c>
      <c r="Q4010">
        <v>0.45659579663295202</v>
      </c>
      <c r="R4010">
        <v>0.96855373974054304</v>
      </c>
      <c r="S4010" t="s">
        <v>10626</v>
      </c>
      <c r="T4010" t="s">
        <v>13232</v>
      </c>
      <c r="U4010" t="s">
        <v>13232</v>
      </c>
      <c r="V4010" t="s">
        <v>13232</v>
      </c>
      <c r="W4010" t="s">
        <v>17180</v>
      </c>
      <c r="X4010">
        <v>16</v>
      </c>
      <c r="Y4010" t="s">
        <v>23599</v>
      </c>
      <c r="Z4010" t="s">
        <v>30141</v>
      </c>
      <c r="AA4010">
        <v>0.73916399484679374</v>
      </c>
      <c r="AB4010" t="str">
        <f>HYPERLINK("Melting_Curves/meltCurve_Q71RC2_3_LARP4.pdf", "Melting_Curves/meltCurve_Q71RC2_3_LARP4.pdf")</f>
        <v>Melting_Curves/meltCurve_Q71RC2_3_LARP4.pdf</v>
      </c>
    </row>
    <row r="4011" spans="1:28" x14ac:dyDescent="0.25">
      <c r="A4011" t="s">
        <v>4014</v>
      </c>
      <c r="B4011">
        <v>0.99930955844802105</v>
      </c>
      <c r="C4011">
        <v>0.72174748816296996</v>
      </c>
      <c r="D4011">
        <v>0.62484757177073902</v>
      </c>
      <c r="E4011">
        <v>0.63102714620168099</v>
      </c>
      <c r="F4011">
        <v>0.23268827910043599</v>
      </c>
      <c r="G4011">
        <v>0.11937678937410701</v>
      </c>
      <c r="H4011">
        <v>5.1515126019324703E-2</v>
      </c>
      <c r="I4011">
        <v>1.4607926881892601E-2</v>
      </c>
      <c r="J4011">
        <v>4.5036755486033302E-2</v>
      </c>
      <c r="K4011">
        <v>1.37693801780009E-2</v>
      </c>
      <c r="L4011">
        <v>572.49945269652301</v>
      </c>
      <c r="M4011">
        <v>11.693484830086099</v>
      </c>
      <c r="N4011">
        <v>48.9588412888113</v>
      </c>
      <c r="O4011">
        <v>47.592768289597203</v>
      </c>
      <c r="P4011">
        <v>-6.14410609023655E-2</v>
      </c>
      <c r="Q4011">
        <v>0</v>
      </c>
      <c r="R4011">
        <v>0.94366748674735901</v>
      </c>
      <c r="S4011" t="s">
        <v>10627</v>
      </c>
      <c r="T4011" t="s">
        <v>13232</v>
      </c>
      <c r="U4011" t="s">
        <v>13232</v>
      </c>
      <c r="V4011" t="s">
        <v>13232</v>
      </c>
      <c r="W4011" t="s">
        <v>17181</v>
      </c>
      <c r="X4011">
        <v>2</v>
      </c>
      <c r="Y4011" t="s">
        <v>23600</v>
      </c>
      <c r="Z4011" t="s">
        <v>30142</v>
      </c>
      <c r="AA4011">
        <v>0.33707876333232611</v>
      </c>
      <c r="AB4011" t="str">
        <f>HYPERLINK("Melting_Curves/meltCurve_Q71SY5_4_MED25.pdf", "Melting_Curves/meltCurve_Q71SY5_4_MED25.pdf")</f>
        <v>Melting_Curves/meltCurve_Q71SY5_4_MED25.pdf</v>
      </c>
    </row>
    <row r="4012" spans="1:28" x14ac:dyDescent="0.25">
      <c r="A4012" t="s">
        <v>4015</v>
      </c>
      <c r="B4012">
        <v>0.99930955844802105</v>
      </c>
      <c r="C4012">
        <v>0.52392365862807699</v>
      </c>
      <c r="D4012">
        <v>0.464393602549727</v>
      </c>
      <c r="E4012">
        <v>0.43567908299220198</v>
      </c>
      <c r="F4012">
        <v>0.29806732342608999</v>
      </c>
      <c r="G4012">
        <v>0.17504482700721699</v>
      </c>
      <c r="H4012">
        <v>8.9747121635217295E-2</v>
      </c>
      <c r="I4012">
        <v>7.1954141279262099E-2</v>
      </c>
      <c r="J4012">
        <v>6.2247615715242101E-2</v>
      </c>
      <c r="K4012">
        <v>5.0980619068796598E-2</v>
      </c>
      <c r="L4012">
        <v>416.68534330754699</v>
      </c>
      <c r="M4012">
        <v>8.9461601624276099</v>
      </c>
      <c r="N4012">
        <v>46.640234590411701</v>
      </c>
      <c r="O4012">
        <v>44.426149222530199</v>
      </c>
      <c r="P4012">
        <v>-5.00765992762651E-2</v>
      </c>
      <c r="Q4012">
        <v>6.0273537741890098E-3</v>
      </c>
      <c r="R4012">
        <v>0.90957815394247599</v>
      </c>
      <c r="S4012" t="s">
        <v>10628</v>
      </c>
      <c r="T4012" t="s">
        <v>13232</v>
      </c>
      <c r="U4012" t="s">
        <v>13232</v>
      </c>
      <c r="V4012" t="s">
        <v>13232</v>
      </c>
      <c r="W4012" t="s">
        <v>17182</v>
      </c>
      <c r="X4012">
        <v>24</v>
      </c>
      <c r="Y4012" t="s">
        <v>23601</v>
      </c>
      <c r="Z4012" t="s">
        <v>30143</v>
      </c>
      <c r="AA4012">
        <v>0.29424345751214359</v>
      </c>
      <c r="AB4012" t="str">
        <f>HYPERLINK("Melting_Curves/meltCurve_Q71U36_2_TUBA1A.pdf", "Melting_Curves/meltCurve_Q71U36_2_TUBA1A.pdf")</f>
        <v>Melting_Curves/meltCurve_Q71U36_2_TUBA1A.pdf</v>
      </c>
    </row>
    <row r="4013" spans="1:28" x14ac:dyDescent="0.25">
      <c r="A4013" t="s">
        <v>4016</v>
      </c>
      <c r="B4013">
        <v>0.99930955844802105</v>
      </c>
      <c r="C4013">
        <v>1.0464311802856301</v>
      </c>
      <c r="D4013">
        <v>0.76459602607203603</v>
      </c>
      <c r="E4013">
        <v>0.52021908830642105</v>
      </c>
      <c r="F4013">
        <v>0.32834197577316898</v>
      </c>
      <c r="G4013">
        <v>0.22726942103065201</v>
      </c>
      <c r="H4013">
        <v>0.14431857123206099</v>
      </c>
      <c r="I4013">
        <v>0.13266002212571301</v>
      </c>
      <c r="J4013">
        <v>0.120592047342568</v>
      </c>
      <c r="K4013">
        <v>8.4021789413225995E-2</v>
      </c>
      <c r="L4013">
        <v>859.650280670759</v>
      </c>
      <c r="M4013">
        <v>17.3409188842272</v>
      </c>
      <c r="N4013">
        <v>50.294406846323</v>
      </c>
      <c r="O4013">
        <v>48.928340368777</v>
      </c>
      <c r="P4013">
        <v>-7.8858521054169795E-2</v>
      </c>
      <c r="Q4013">
        <v>0.110036460966073</v>
      </c>
      <c r="R4013">
        <v>0.98769920915435405</v>
      </c>
      <c r="S4013" t="s">
        <v>10629</v>
      </c>
      <c r="T4013" t="s">
        <v>13232</v>
      </c>
      <c r="U4013" t="s">
        <v>13232</v>
      </c>
      <c r="V4013" t="s">
        <v>13232</v>
      </c>
      <c r="W4013" t="s">
        <v>17183</v>
      </c>
      <c r="X4013">
        <v>5</v>
      </c>
      <c r="Y4013" t="s">
        <v>23602</v>
      </c>
      <c r="Z4013" t="s">
        <v>30144</v>
      </c>
      <c r="AA4013">
        <v>0.41044585458104288</v>
      </c>
      <c r="AB4013" t="str">
        <f>HYPERLINK("Melting_Curves/meltCurve_Q71UI9_H2AFV.pdf", "Melting_Curves/meltCurve_Q71UI9_H2AFV.pdf")</f>
        <v>Melting_Curves/meltCurve_Q71UI9_H2AFV.pdf</v>
      </c>
    </row>
    <row r="4014" spans="1:28" x14ac:dyDescent="0.25">
      <c r="A4014" t="s">
        <v>4017</v>
      </c>
      <c r="B4014">
        <v>0.99930955844802105</v>
      </c>
      <c r="C4014">
        <v>0.85701387551306196</v>
      </c>
      <c r="D4014">
        <v>0.79426942507264797</v>
      </c>
      <c r="E4014">
        <v>0.68277091856812799</v>
      </c>
      <c r="F4014">
        <v>0.44220054980256301</v>
      </c>
      <c r="G4014">
        <v>0.28155107632193099</v>
      </c>
      <c r="H4014">
        <v>0.216651502812371</v>
      </c>
      <c r="I4014">
        <v>0.22675176806674899</v>
      </c>
      <c r="J4014">
        <v>0.225656036384765</v>
      </c>
      <c r="K4014">
        <v>0.192771617737446</v>
      </c>
      <c r="L4014">
        <v>644.33671267761895</v>
      </c>
      <c r="M4014">
        <v>12.757649770234201</v>
      </c>
      <c r="N4014">
        <v>52.111192056167397</v>
      </c>
      <c r="O4014">
        <v>49.313217506110703</v>
      </c>
      <c r="P4014">
        <v>-5.4177959770790297E-2</v>
      </c>
      <c r="Q4014">
        <v>0.16248474179472</v>
      </c>
      <c r="R4014">
        <v>0.98336004036421798</v>
      </c>
      <c r="S4014" t="s">
        <v>10630</v>
      </c>
      <c r="T4014" t="s">
        <v>13232</v>
      </c>
      <c r="U4014" t="s">
        <v>13232</v>
      </c>
      <c r="V4014" t="s">
        <v>13232</v>
      </c>
      <c r="W4014" t="s">
        <v>17184</v>
      </c>
      <c r="X4014">
        <v>2</v>
      </c>
      <c r="Y4014" t="s">
        <v>23603</v>
      </c>
      <c r="Z4014" t="s">
        <v>30145</v>
      </c>
      <c r="AA4014">
        <v>0.48140385275983449</v>
      </c>
      <c r="AB4014" t="str">
        <f>HYPERLINK("Melting_Curves/meltCurve_Q71UM5_RPS27L.pdf", "Melting_Curves/meltCurve_Q71UM5_RPS27L.pdf")</f>
        <v>Melting_Curves/meltCurve_Q71UM5_RPS27L.pdf</v>
      </c>
    </row>
    <row r="4015" spans="1:28" x14ac:dyDescent="0.25">
      <c r="A4015" t="s">
        <v>4018</v>
      </c>
      <c r="B4015">
        <v>0.99930955844802105</v>
      </c>
      <c r="C4015">
        <v>0.94465608290564895</v>
      </c>
      <c r="D4015">
        <v>0.93462506361442999</v>
      </c>
      <c r="E4015">
        <v>0.79460624178718398</v>
      </c>
      <c r="F4015">
        <v>0.54371107509199401</v>
      </c>
      <c r="G4015">
        <v>0.39876363537319898</v>
      </c>
      <c r="H4015">
        <v>0.29406644703336099</v>
      </c>
      <c r="I4015">
        <v>0.28061925820315597</v>
      </c>
      <c r="J4015">
        <v>0.25455710946535698</v>
      </c>
      <c r="K4015">
        <v>0.19475626170073601</v>
      </c>
      <c r="L4015">
        <v>854.67764187759201</v>
      </c>
      <c r="M4015">
        <v>16.266251711551799</v>
      </c>
      <c r="N4015">
        <v>54.452439628909602</v>
      </c>
      <c r="O4015">
        <v>51.768121531151003</v>
      </c>
      <c r="P4015">
        <v>-6.14844156189292E-2</v>
      </c>
      <c r="Q4015">
        <v>0.217349201412185</v>
      </c>
      <c r="R4015">
        <v>0.99368377372009398</v>
      </c>
      <c r="S4015" t="s">
        <v>10631</v>
      </c>
      <c r="T4015" t="s">
        <v>13232</v>
      </c>
      <c r="U4015" t="s">
        <v>13232</v>
      </c>
      <c r="V4015" t="s">
        <v>13232</v>
      </c>
      <c r="W4015" t="s">
        <v>17185</v>
      </c>
      <c r="X4015">
        <v>10</v>
      </c>
      <c r="Y4015" t="s">
        <v>23604</v>
      </c>
      <c r="Z4015" t="s">
        <v>30146</v>
      </c>
      <c r="AA4015">
        <v>0.55976457674393332</v>
      </c>
      <c r="AB4015" t="str">
        <f>HYPERLINK("Melting_Curves/meltCurve_Q75N03_CBLL1.pdf", "Melting_Curves/meltCurve_Q75N03_CBLL1.pdf")</f>
        <v>Melting_Curves/meltCurve_Q75N03_CBLL1.pdf</v>
      </c>
    </row>
    <row r="4016" spans="1:28" x14ac:dyDescent="0.25">
      <c r="A4016" t="s">
        <v>4019</v>
      </c>
      <c r="B4016">
        <v>0.99930955844802105</v>
      </c>
      <c r="C4016">
        <v>0.620755238307379</v>
      </c>
      <c r="D4016">
        <v>0.602151388979274</v>
      </c>
      <c r="E4016">
        <v>0.46560894265064501</v>
      </c>
      <c r="F4016">
        <v>0.351361728124233</v>
      </c>
      <c r="G4016">
        <v>0.27665993947816903</v>
      </c>
      <c r="H4016">
        <v>0.15246433878464799</v>
      </c>
      <c r="I4016">
        <v>8.9617181137091703E-2</v>
      </c>
      <c r="J4016">
        <v>6.7432366538830502E-2</v>
      </c>
      <c r="K4016">
        <v>5.2108779390190998E-2</v>
      </c>
      <c r="L4016">
        <v>408.48048853482902</v>
      </c>
      <c r="M4016">
        <v>8.3974558385665894</v>
      </c>
      <c r="N4016">
        <v>48.643362785621598</v>
      </c>
      <c r="O4016">
        <v>46.1195292299128</v>
      </c>
      <c r="P4016">
        <v>-4.5562995795320603E-2</v>
      </c>
      <c r="Q4016">
        <v>0</v>
      </c>
      <c r="R4016">
        <v>0.94967337361056203</v>
      </c>
      <c r="S4016" t="s">
        <v>10632</v>
      </c>
      <c r="T4016" t="s">
        <v>13232</v>
      </c>
      <c r="U4016" t="s">
        <v>13232</v>
      </c>
      <c r="V4016" t="s">
        <v>13232</v>
      </c>
      <c r="W4016" t="s">
        <v>17186</v>
      </c>
      <c r="X4016">
        <v>5</v>
      </c>
      <c r="Y4016" t="s">
        <v>23605</v>
      </c>
      <c r="Z4016" t="s">
        <v>30147</v>
      </c>
      <c r="AA4016">
        <v>0.35238016632907621</v>
      </c>
      <c r="AB4016" t="str">
        <f>HYPERLINK("Melting_Curves/meltCurve_Q75QN2_2_INTS8.pdf", "Melting_Curves/meltCurve_Q75QN2_2_INTS8.pdf")</f>
        <v>Melting_Curves/meltCurve_Q75QN2_2_INTS8.pdf</v>
      </c>
    </row>
    <row r="4017" spans="1:28" x14ac:dyDescent="0.25">
      <c r="A4017" t="s">
        <v>4020</v>
      </c>
      <c r="B4017">
        <v>0.99930955844802105</v>
      </c>
      <c r="C4017">
        <v>1.0994254841292299</v>
      </c>
      <c r="D4017">
        <v>1.11647985091277</v>
      </c>
      <c r="E4017">
        <v>1.02551020164805</v>
      </c>
      <c r="F4017">
        <v>0.88726844557915396</v>
      </c>
      <c r="G4017">
        <v>0.76190404232336095</v>
      </c>
      <c r="H4017">
        <v>0.73872709906697398</v>
      </c>
      <c r="I4017">
        <v>0.69179917929236001</v>
      </c>
      <c r="J4017">
        <v>0.81648194518337103</v>
      </c>
      <c r="K4017">
        <v>0.59074761483204596</v>
      </c>
      <c r="L4017">
        <v>1917.62201509294</v>
      </c>
      <c r="M4017">
        <v>35.445479896610699</v>
      </c>
      <c r="O4017">
        <v>53.929273961433701</v>
      </c>
      <c r="P4017">
        <v>-4.7783595510481697E-2</v>
      </c>
      <c r="Q4017">
        <v>0.70919553318083595</v>
      </c>
      <c r="R4017">
        <v>0.82384228144911398</v>
      </c>
      <c r="S4017" t="s">
        <v>10633</v>
      </c>
      <c r="T4017" t="s">
        <v>13232</v>
      </c>
      <c r="U4017" t="s">
        <v>13232</v>
      </c>
      <c r="V4017" t="s">
        <v>13232</v>
      </c>
      <c r="W4017" t="s">
        <v>17187</v>
      </c>
      <c r="X4017">
        <v>11</v>
      </c>
      <c r="Y4017" t="s">
        <v>23606</v>
      </c>
      <c r="Z4017" t="s">
        <v>30148</v>
      </c>
      <c r="AA4017">
        <v>0.8472597206211645</v>
      </c>
      <c r="AB4017" t="str">
        <f>HYPERLINK("Melting_Curves/meltCurve_Q765P7_MTSS1L.pdf", "Melting_Curves/meltCurve_Q765P7_MTSS1L.pdf")</f>
        <v>Melting_Curves/meltCurve_Q765P7_MTSS1L.pdf</v>
      </c>
    </row>
    <row r="4018" spans="1:28" x14ac:dyDescent="0.25">
      <c r="A4018" t="s">
        <v>4021</v>
      </c>
      <c r="B4018">
        <v>0.99930955844802105</v>
      </c>
      <c r="C4018">
        <v>1.1181601667623</v>
      </c>
      <c r="D4018">
        <v>1.09013952602603</v>
      </c>
      <c r="E4018">
        <v>1.0411622841149</v>
      </c>
      <c r="F4018">
        <v>0.96260159261425404</v>
      </c>
      <c r="G4018">
        <v>0.88201317146037295</v>
      </c>
      <c r="H4018">
        <v>0.93033892901901305</v>
      </c>
      <c r="I4018">
        <v>1.0531039178630399</v>
      </c>
      <c r="J4018">
        <v>1.0827666395002999</v>
      </c>
      <c r="K4018">
        <v>0.83071270866635805</v>
      </c>
      <c r="L4018">
        <v>15000</v>
      </c>
      <c r="M4018">
        <v>212.694969420006</v>
      </c>
      <c r="Q4018">
        <v>0</v>
      </c>
      <c r="R4018">
        <v>0.34818788263855299</v>
      </c>
      <c r="S4018" t="s">
        <v>10634</v>
      </c>
      <c r="T4018" t="s">
        <v>13232</v>
      </c>
      <c r="U4018" t="s">
        <v>13232</v>
      </c>
      <c r="V4018" t="s">
        <v>13232</v>
      </c>
      <c r="W4018" t="s">
        <v>17188</v>
      </c>
      <c r="X4018">
        <v>37</v>
      </c>
      <c r="Y4018" t="s">
        <v>23607</v>
      </c>
      <c r="Z4018" t="s">
        <v>30149</v>
      </c>
      <c r="AA4018">
        <v>0.99799999363547098</v>
      </c>
      <c r="AB4018" t="str">
        <f>HYPERLINK("Melting_Curves/meltCurve_Q76FK4_4_NOL8.pdf", "Melting_Curves/meltCurve_Q76FK4_4_NOL8.pdf")</f>
        <v>Melting_Curves/meltCurve_Q76FK4_4_NOL8.pdf</v>
      </c>
    </row>
    <row r="4019" spans="1:28" x14ac:dyDescent="0.25">
      <c r="A4019" t="s">
        <v>4022</v>
      </c>
      <c r="B4019">
        <v>0.99930955844802105</v>
      </c>
      <c r="C4019">
        <v>1.1703314384536101</v>
      </c>
      <c r="D4019">
        <v>1.1510820523744301</v>
      </c>
      <c r="E4019">
        <v>1.12774353628326</v>
      </c>
      <c r="F4019">
        <v>1.0299978708380799</v>
      </c>
      <c r="G4019">
        <v>1.01672987900847</v>
      </c>
      <c r="H4019">
        <v>1.10513202038328</v>
      </c>
      <c r="I4019">
        <v>1.10386929542979</v>
      </c>
      <c r="J4019">
        <v>1.16183961056492</v>
      </c>
      <c r="K4019">
        <v>0.95771686543011403</v>
      </c>
      <c r="L4019">
        <v>10257.1595611799</v>
      </c>
      <c r="M4019">
        <v>250</v>
      </c>
      <c r="O4019">
        <v>41.026012727641302</v>
      </c>
      <c r="P4019">
        <v>0.139552627856534</v>
      </c>
      <c r="Q4019">
        <v>1.09160460598109</v>
      </c>
      <c r="R4019">
        <v>0.14942099136585699</v>
      </c>
      <c r="S4019" t="s">
        <v>10635</v>
      </c>
      <c r="T4019" t="s">
        <v>13232</v>
      </c>
      <c r="U4019" t="s">
        <v>13232</v>
      </c>
      <c r="V4019" t="s">
        <v>13232</v>
      </c>
      <c r="W4019" t="s">
        <v>17189</v>
      </c>
      <c r="X4019">
        <v>10</v>
      </c>
      <c r="Y4019" t="s">
        <v>23608</v>
      </c>
      <c r="Z4019" t="s">
        <v>30150</v>
      </c>
      <c r="AA4019">
        <v>1.0884563143985371</v>
      </c>
      <c r="AB4019" t="str">
        <f>HYPERLINK("Melting_Curves/meltCurve_Q76I76_SSH2.pdf", "Melting_Curves/meltCurve_Q76I76_SSH2.pdf")</f>
        <v>Melting_Curves/meltCurve_Q76I76_SSH2.pdf</v>
      </c>
    </row>
    <row r="4020" spans="1:28" x14ac:dyDescent="0.25">
      <c r="A4020" t="s">
        <v>4023</v>
      </c>
      <c r="B4020">
        <v>0.99930955844802105</v>
      </c>
      <c r="C4020">
        <v>0.94166399711690896</v>
      </c>
      <c r="D4020">
        <v>0.97155501541264899</v>
      </c>
      <c r="E4020">
        <v>0.79538895519724095</v>
      </c>
      <c r="F4020">
        <v>0.721302097565237</v>
      </c>
      <c r="G4020">
        <v>0.66161407024172703</v>
      </c>
      <c r="H4020">
        <v>0.54624734366836003</v>
      </c>
      <c r="I4020">
        <v>0.60003197869464997</v>
      </c>
      <c r="J4020">
        <v>0.62796202869010298</v>
      </c>
      <c r="K4020">
        <v>0.51627709716680004</v>
      </c>
      <c r="L4020">
        <v>778.89452707531905</v>
      </c>
      <c r="M4020">
        <v>15.231872558811</v>
      </c>
      <c r="O4020">
        <v>50.278743543171601</v>
      </c>
      <c r="P4020">
        <v>-3.3398208237131799E-2</v>
      </c>
      <c r="Q4020">
        <v>0.55906663390938605</v>
      </c>
      <c r="R4020">
        <v>0.95688296505041703</v>
      </c>
      <c r="S4020" t="s">
        <v>10636</v>
      </c>
      <c r="T4020" t="s">
        <v>13232</v>
      </c>
      <c r="U4020" t="s">
        <v>13232</v>
      </c>
      <c r="V4020" t="s">
        <v>13232</v>
      </c>
      <c r="W4020" t="s">
        <v>17190</v>
      </c>
      <c r="X4020">
        <v>3</v>
      </c>
      <c r="Y4020" t="s">
        <v>23609</v>
      </c>
      <c r="Z4020" t="s">
        <v>30151</v>
      </c>
      <c r="AA4020">
        <v>0.73262994760694256</v>
      </c>
      <c r="AB4020" t="str">
        <f>HYPERLINK("Melting_Curves/meltCurve_Q76N32_2_CEP68.pdf", "Melting_Curves/meltCurve_Q76N32_2_CEP68.pdf")</f>
        <v>Melting_Curves/meltCurve_Q76N32_2_CEP68.pdf</v>
      </c>
    </row>
    <row r="4021" spans="1:28" x14ac:dyDescent="0.25">
      <c r="A4021" t="s">
        <v>4024</v>
      </c>
      <c r="B4021">
        <v>0.99930955844802105</v>
      </c>
      <c r="C4021">
        <v>0.88458950065597097</v>
      </c>
      <c r="D4021">
        <v>0.85385448362657801</v>
      </c>
      <c r="E4021">
        <v>0.46606691146477902</v>
      </c>
      <c r="F4021">
        <v>0.238115465841994</v>
      </c>
      <c r="G4021">
        <v>0.17700328581751401</v>
      </c>
      <c r="H4021">
        <v>0.12517242017840199</v>
      </c>
      <c r="I4021">
        <v>0.117427508344272</v>
      </c>
      <c r="J4021">
        <v>0.112218895206777</v>
      </c>
      <c r="K4021">
        <v>8.5662800771710901E-2</v>
      </c>
      <c r="L4021">
        <v>1011.11392927313</v>
      </c>
      <c r="M4021">
        <v>20.6106681098723</v>
      </c>
      <c r="N4021">
        <v>49.622286697088398</v>
      </c>
      <c r="O4021">
        <v>48.602984755660799</v>
      </c>
      <c r="P4021">
        <v>-9.4939406388229106E-2</v>
      </c>
      <c r="Q4021">
        <v>0.10450171398083399</v>
      </c>
      <c r="R4021">
        <v>0.99332071461330795</v>
      </c>
      <c r="S4021" t="s">
        <v>10637</v>
      </c>
      <c r="T4021" t="s">
        <v>13232</v>
      </c>
      <c r="U4021" t="s">
        <v>13232</v>
      </c>
      <c r="V4021" t="s">
        <v>13232</v>
      </c>
      <c r="W4021" t="s">
        <v>17191</v>
      </c>
      <c r="X4021">
        <v>45</v>
      </c>
      <c r="Y4021" t="s">
        <v>23610</v>
      </c>
      <c r="Z4021" t="s">
        <v>30152</v>
      </c>
      <c r="AA4021">
        <v>0.38667035462180011</v>
      </c>
      <c r="AB4021" t="str">
        <f>HYPERLINK("Melting_Curves/meltCurve_Q7KZ85_SUPT6H.pdf", "Melting_Curves/meltCurve_Q7KZ85_SUPT6H.pdf")</f>
        <v>Melting_Curves/meltCurve_Q7KZ85_SUPT6H.pdf</v>
      </c>
    </row>
    <row r="4022" spans="1:28" x14ac:dyDescent="0.25">
      <c r="A4022" t="s">
        <v>4025</v>
      </c>
      <c r="B4022">
        <v>0.99930955844802105</v>
      </c>
      <c r="C4022">
        <v>0.81686364171748505</v>
      </c>
      <c r="D4022">
        <v>0.30101636430280299</v>
      </c>
      <c r="E4022">
        <v>0.20372142469405899</v>
      </c>
      <c r="F4022">
        <v>0.115653064753684</v>
      </c>
      <c r="G4022">
        <v>8.7561308826353698E-2</v>
      </c>
      <c r="H4022">
        <v>5.50098874025556E-2</v>
      </c>
      <c r="I4022">
        <v>4.8691915026870203E-2</v>
      </c>
      <c r="J4022">
        <v>4.3544829420345203E-2</v>
      </c>
      <c r="K4022">
        <v>3.3125929029080903E-2</v>
      </c>
      <c r="L4022">
        <v>1430.5173458689901</v>
      </c>
      <c r="M4022">
        <v>32.051688101980403</v>
      </c>
      <c r="N4022">
        <v>44.861095544686002</v>
      </c>
      <c r="O4022">
        <v>44.458914965001199</v>
      </c>
      <c r="P4022">
        <v>-0.166603365173633</v>
      </c>
      <c r="Q4022">
        <v>7.5622135707034494E-2</v>
      </c>
      <c r="R4022">
        <v>0.98459094121225998</v>
      </c>
      <c r="S4022" t="s">
        <v>10638</v>
      </c>
      <c r="T4022" t="s">
        <v>13232</v>
      </c>
      <c r="U4022" t="s">
        <v>13232</v>
      </c>
      <c r="V4022" t="s">
        <v>13232</v>
      </c>
      <c r="W4022" t="s">
        <v>17192</v>
      </c>
      <c r="X4022">
        <v>56</v>
      </c>
      <c r="Y4022" t="s">
        <v>23611</v>
      </c>
      <c r="Z4022" t="s">
        <v>30153</v>
      </c>
      <c r="AA4022">
        <v>0.22358619460767501</v>
      </c>
      <c r="AB4022" t="str">
        <f>HYPERLINK("Melting_Curves/meltCurve_Q7KZF4_SND1.pdf", "Melting_Curves/meltCurve_Q7KZF4_SND1.pdf")</f>
        <v>Melting_Curves/meltCurve_Q7KZF4_SND1.pdf</v>
      </c>
    </row>
    <row r="4023" spans="1:28" x14ac:dyDescent="0.25">
      <c r="A4023" t="s">
        <v>4026</v>
      </c>
      <c r="B4023">
        <v>0.99930955844802105</v>
      </c>
      <c r="C4023">
        <v>0.98308496685981195</v>
      </c>
      <c r="D4023">
        <v>0.83347771681247496</v>
      </c>
      <c r="E4023">
        <v>0.60948429472193499</v>
      </c>
      <c r="F4023">
        <v>0.46769500941400399</v>
      </c>
      <c r="G4023">
        <v>0.38235068833203201</v>
      </c>
      <c r="H4023">
        <v>0.35092096911354298</v>
      </c>
      <c r="I4023">
        <v>0.388111292457889</v>
      </c>
      <c r="J4023">
        <v>0.36530847770333902</v>
      </c>
      <c r="K4023">
        <v>0.30134648123286401</v>
      </c>
      <c r="L4023">
        <v>935.02107255737701</v>
      </c>
      <c r="M4023">
        <v>19.114546363705902</v>
      </c>
      <c r="N4023">
        <v>52.0952231807902</v>
      </c>
      <c r="O4023">
        <v>48.390768854424401</v>
      </c>
      <c r="P4023">
        <v>-6.4760244916128903E-2</v>
      </c>
      <c r="Q4023">
        <v>0.34423227841776799</v>
      </c>
      <c r="R4023">
        <v>0.99292029088060496</v>
      </c>
      <c r="S4023" t="s">
        <v>10639</v>
      </c>
      <c r="T4023" t="s">
        <v>13232</v>
      </c>
      <c r="U4023" t="s">
        <v>13232</v>
      </c>
      <c r="V4023" t="s">
        <v>13232</v>
      </c>
      <c r="W4023" t="s">
        <v>17193</v>
      </c>
      <c r="X4023">
        <v>15</v>
      </c>
      <c r="Y4023" t="s">
        <v>23612</v>
      </c>
      <c r="Z4023" t="s">
        <v>30154</v>
      </c>
      <c r="AA4023">
        <v>0.54922219638298508</v>
      </c>
      <c r="AB4023" t="str">
        <f>HYPERLINK("Melting_Curves/meltCurve_Q7KZI7_14_MARK2.pdf", "Melting_Curves/meltCurve_Q7KZI7_14_MARK2.pdf")</f>
        <v>Melting_Curves/meltCurve_Q7KZI7_14_MARK2.pdf</v>
      </c>
    </row>
    <row r="4024" spans="1:28" x14ac:dyDescent="0.25">
      <c r="A4024" t="s">
        <v>4027</v>
      </c>
      <c r="B4024">
        <v>0.99930955844802105</v>
      </c>
      <c r="C4024">
        <v>0.94995023747810103</v>
      </c>
      <c r="D4024">
        <v>0.84654914151557903</v>
      </c>
      <c r="E4024">
        <v>0.63186316838178902</v>
      </c>
      <c r="F4024">
        <v>0.34045656476651998</v>
      </c>
      <c r="G4024">
        <v>0.21483109180287399</v>
      </c>
      <c r="H4024">
        <v>0.159907714386921</v>
      </c>
      <c r="I4024">
        <v>0.17337025648125801</v>
      </c>
      <c r="J4024">
        <v>0.15536586004289599</v>
      </c>
      <c r="K4024">
        <v>0.120135052035288</v>
      </c>
      <c r="L4024">
        <v>944.01511187880806</v>
      </c>
      <c r="M4024">
        <v>18.7757530724124</v>
      </c>
      <c r="N4024">
        <v>51.131223041786598</v>
      </c>
      <c r="O4024">
        <v>49.718491272734198</v>
      </c>
      <c r="P4024">
        <v>-8.1722046630240699E-2</v>
      </c>
      <c r="Q4024">
        <v>0.13443116478737599</v>
      </c>
      <c r="R4024">
        <v>0.99576323636978903</v>
      </c>
      <c r="S4024" t="s">
        <v>10640</v>
      </c>
      <c r="T4024" t="s">
        <v>13232</v>
      </c>
      <c r="U4024" t="s">
        <v>13232</v>
      </c>
      <c r="V4024" t="s">
        <v>13232</v>
      </c>
      <c r="W4024" t="s">
        <v>17194</v>
      </c>
      <c r="X4024">
        <v>3</v>
      </c>
      <c r="Y4024" t="s">
        <v>23613</v>
      </c>
      <c r="Z4024" t="s">
        <v>30155</v>
      </c>
      <c r="AA4024">
        <v>0.44457166516159308</v>
      </c>
      <c r="AB4024" t="str">
        <f>HYPERLINK("Melting_Curves/meltCurve_Q7KZJ0_RAD51C.pdf", "Melting_Curves/meltCurve_Q7KZJ0_RAD51C.pdf")</f>
        <v>Melting_Curves/meltCurve_Q7KZJ0_RAD51C.pdf</v>
      </c>
    </row>
    <row r="4025" spans="1:28" x14ac:dyDescent="0.25">
      <c r="A4025" t="s">
        <v>4028</v>
      </c>
      <c r="B4025">
        <v>0.99930955844802105</v>
      </c>
      <c r="C4025">
        <v>1.0447113941955599</v>
      </c>
      <c r="D4025">
        <v>0.89452377066653699</v>
      </c>
      <c r="E4025">
        <v>0.58395794693330505</v>
      </c>
      <c r="F4025">
        <v>0.45999757333605501</v>
      </c>
      <c r="G4025">
        <v>0.35422979165672402</v>
      </c>
      <c r="H4025">
        <v>0.24783781869591301</v>
      </c>
      <c r="I4025">
        <v>0.21335571740524401</v>
      </c>
      <c r="J4025">
        <v>0.18686418068344601</v>
      </c>
      <c r="K4025">
        <v>0.14945163755346</v>
      </c>
      <c r="L4025">
        <v>827.69041371194101</v>
      </c>
      <c r="M4025">
        <v>16.295039933154101</v>
      </c>
      <c r="N4025">
        <v>52.235945236174203</v>
      </c>
      <c r="O4025">
        <v>50.047505443974202</v>
      </c>
      <c r="P4025">
        <v>-6.6659290794540194E-2</v>
      </c>
      <c r="Q4025">
        <v>0.18112807013570301</v>
      </c>
      <c r="R4025">
        <v>0.98534494347482005</v>
      </c>
      <c r="S4025" t="s">
        <v>10641</v>
      </c>
      <c r="T4025" t="s">
        <v>13232</v>
      </c>
      <c r="U4025" t="s">
        <v>13232</v>
      </c>
      <c r="V4025" t="s">
        <v>13232</v>
      </c>
      <c r="W4025" t="s">
        <v>17195</v>
      </c>
      <c r="X4025">
        <v>59</v>
      </c>
      <c r="Y4025" t="s">
        <v>23614</v>
      </c>
      <c r="Z4025" t="s">
        <v>30156</v>
      </c>
      <c r="AA4025">
        <v>0.49228107866953202</v>
      </c>
      <c r="AB4025" t="str">
        <f>HYPERLINK("Melting_Curves/meltCurve_Q7L014_DDX46.pdf", "Melting_Curves/meltCurve_Q7L014_DDX46.pdf")</f>
        <v>Melting_Curves/meltCurve_Q7L014_DDX46.pdf</v>
      </c>
    </row>
    <row r="4026" spans="1:28" x14ac:dyDescent="0.25">
      <c r="A4026" t="s">
        <v>4029</v>
      </c>
      <c r="B4026">
        <v>0.99930955844802105</v>
      </c>
      <c r="C4026">
        <v>1.25924502925155</v>
      </c>
      <c r="D4026">
        <v>1.1458489999650801</v>
      </c>
      <c r="E4026">
        <v>1.0233183410355799</v>
      </c>
      <c r="F4026">
        <v>0.70726894269229101</v>
      </c>
      <c r="G4026">
        <v>0.58861339477143604</v>
      </c>
      <c r="H4026">
        <v>0.63620310249862</v>
      </c>
      <c r="I4026">
        <v>0.63306479137432103</v>
      </c>
      <c r="J4026">
        <v>0.64913942524222901</v>
      </c>
      <c r="K4026">
        <v>0.50792897948567395</v>
      </c>
      <c r="L4026">
        <v>13195.294321228201</v>
      </c>
      <c r="M4026">
        <v>250</v>
      </c>
      <c r="O4026">
        <v>52.777784704375598</v>
      </c>
      <c r="P4026">
        <v>-0.47014331491723499</v>
      </c>
      <c r="Q4026">
        <v>0.60298992514183702</v>
      </c>
      <c r="R4026">
        <v>0.83845508359233101</v>
      </c>
      <c r="S4026" t="s">
        <v>10642</v>
      </c>
      <c r="T4026" t="s">
        <v>13232</v>
      </c>
      <c r="U4026" t="s">
        <v>13232</v>
      </c>
      <c r="V4026" t="s">
        <v>13232</v>
      </c>
      <c r="W4026" t="s">
        <v>17196</v>
      </c>
      <c r="X4026">
        <v>16</v>
      </c>
      <c r="Y4026" t="s">
        <v>23615</v>
      </c>
      <c r="Z4026" t="s">
        <v>30157</v>
      </c>
      <c r="AA4026">
        <v>0.77216857193113253</v>
      </c>
      <c r="AB4026" t="str">
        <f>HYPERLINK("Melting_Curves/meltCurve_Q7L099_2_RUFY3.pdf", "Melting_Curves/meltCurve_Q7L099_2_RUFY3.pdf")</f>
        <v>Melting_Curves/meltCurve_Q7L099_2_RUFY3.pdf</v>
      </c>
    </row>
    <row r="4027" spans="1:28" x14ac:dyDescent="0.25">
      <c r="A4027" t="s">
        <v>4030</v>
      </c>
      <c r="B4027">
        <v>0.99930955844802105</v>
      </c>
      <c r="C4027">
        <v>0.98274992951928597</v>
      </c>
      <c r="D4027">
        <v>0.96252365554225405</v>
      </c>
      <c r="E4027">
        <v>0.81040988147045301</v>
      </c>
      <c r="F4027">
        <v>0.405825121665636</v>
      </c>
      <c r="G4027">
        <v>0.18713475647451699</v>
      </c>
      <c r="H4027">
        <v>8.8611007711326698E-2</v>
      </c>
      <c r="I4027">
        <v>7.1752561922728497E-2</v>
      </c>
      <c r="J4027">
        <v>5.3605723492797797E-2</v>
      </c>
      <c r="K4027">
        <v>3.7841419702649003E-2</v>
      </c>
      <c r="L4027">
        <v>1404.4401738305901</v>
      </c>
      <c r="M4027">
        <v>26.891584953410799</v>
      </c>
      <c r="N4027">
        <v>52.4779085891956</v>
      </c>
      <c r="O4027">
        <v>51.939768832963303</v>
      </c>
      <c r="P4027">
        <v>-0.121600366574678</v>
      </c>
      <c r="Q4027">
        <v>6.0549066922321301E-2</v>
      </c>
      <c r="R4027">
        <v>0.99730502592641801</v>
      </c>
      <c r="S4027" t="s">
        <v>10643</v>
      </c>
      <c r="T4027" t="s">
        <v>13232</v>
      </c>
      <c r="U4027" t="s">
        <v>13232</v>
      </c>
      <c r="V4027" t="s">
        <v>13232</v>
      </c>
      <c r="W4027" t="s">
        <v>17197</v>
      </c>
      <c r="X4027">
        <v>18</v>
      </c>
      <c r="Y4027" t="s">
        <v>23615</v>
      </c>
      <c r="Z4027" t="s">
        <v>30158</v>
      </c>
      <c r="AA4027">
        <v>0.45087282861442157</v>
      </c>
      <c r="AB4027" t="str">
        <f>HYPERLINK("Melting_Curves/meltCurve_Q7L099_4_RUFY3.pdf", "Melting_Curves/meltCurve_Q7L099_4_RUFY3.pdf")</f>
        <v>Melting_Curves/meltCurve_Q7L099_4_RUFY3.pdf</v>
      </c>
    </row>
    <row r="4028" spans="1:28" x14ac:dyDescent="0.25">
      <c r="A4028" t="s">
        <v>4031</v>
      </c>
      <c r="B4028">
        <v>0.99930955844802105</v>
      </c>
      <c r="C4028">
        <v>0.83617983335927804</v>
      </c>
      <c r="D4028">
        <v>0.82220713600876805</v>
      </c>
      <c r="E4028">
        <v>0.741558639437367</v>
      </c>
      <c r="F4028">
        <v>0.33169801935361698</v>
      </c>
      <c r="G4028">
        <v>0.20661303630063499</v>
      </c>
      <c r="H4028">
        <v>0.16744672287868601</v>
      </c>
      <c r="I4028">
        <v>0.15259638253221</v>
      </c>
      <c r="J4028">
        <v>0.14013575616052401</v>
      </c>
      <c r="K4028">
        <v>0.11211774884812099</v>
      </c>
      <c r="L4028">
        <v>800.65744497151502</v>
      </c>
      <c r="M4028">
        <v>15.740197636086</v>
      </c>
      <c r="N4028">
        <v>51.611235455105998</v>
      </c>
      <c r="O4028">
        <v>50.067235590245701</v>
      </c>
      <c r="P4028">
        <v>-7.0621982935906102E-2</v>
      </c>
      <c r="Q4028">
        <v>0.101522909742118</v>
      </c>
      <c r="R4028">
        <v>0.96394446681367496</v>
      </c>
      <c r="S4028" t="s">
        <v>10644</v>
      </c>
      <c r="T4028" t="s">
        <v>13232</v>
      </c>
      <c r="U4028" t="s">
        <v>13232</v>
      </c>
      <c r="V4028" t="s">
        <v>13232</v>
      </c>
      <c r="W4028" t="s">
        <v>17198</v>
      </c>
      <c r="X4028">
        <v>18</v>
      </c>
      <c r="Y4028" t="s">
        <v>23616</v>
      </c>
      <c r="Z4028" t="s">
        <v>30159</v>
      </c>
      <c r="AA4028">
        <v>0.44619840027864938</v>
      </c>
      <c r="AB4028" t="str">
        <f>HYPERLINK("Melting_Curves/meltCurve_Q7L0Y3_TRMT10C.pdf", "Melting_Curves/meltCurve_Q7L0Y3_TRMT10C.pdf")</f>
        <v>Melting_Curves/meltCurve_Q7L0Y3_TRMT10C.pdf</v>
      </c>
    </row>
    <row r="4029" spans="1:28" x14ac:dyDescent="0.25">
      <c r="A4029" t="s">
        <v>4032</v>
      </c>
      <c r="B4029">
        <v>0.99930955844802105</v>
      </c>
      <c r="C4029">
        <v>1.04647735223189</v>
      </c>
      <c r="D4029">
        <v>1.00161074102657</v>
      </c>
      <c r="E4029">
        <v>0.55483151060495695</v>
      </c>
      <c r="F4029">
        <v>0.19706408399010999</v>
      </c>
      <c r="G4029">
        <v>0.13146954827461499</v>
      </c>
      <c r="H4029">
        <v>7.1075922477085093E-2</v>
      </c>
      <c r="I4029">
        <v>6.1802142444170899E-2</v>
      </c>
      <c r="J4029">
        <v>5.1652119733240902E-2</v>
      </c>
      <c r="K4029">
        <v>3.56256164475846E-2</v>
      </c>
      <c r="L4029">
        <v>1793.20717569725</v>
      </c>
      <c r="M4029">
        <v>35.723685191099896</v>
      </c>
      <c r="N4029">
        <v>50.401471909278001</v>
      </c>
      <c r="O4029">
        <v>50.0400735772457</v>
      </c>
      <c r="P4029">
        <v>-0.16641409539495999</v>
      </c>
      <c r="Q4029">
        <v>6.7582595995654596E-2</v>
      </c>
      <c r="R4029">
        <v>0.99556032962552499</v>
      </c>
      <c r="S4029" t="s">
        <v>10645</v>
      </c>
      <c r="T4029" t="s">
        <v>13232</v>
      </c>
      <c r="U4029" t="s">
        <v>13232</v>
      </c>
      <c r="V4029" t="s">
        <v>13232</v>
      </c>
      <c r="W4029" t="s">
        <v>17199</v>
      </c>
      <c r="X4029">
        <v>23</v>
      </c>
      <c r="Y4029" t="s">
        <v>23617</v>
      </c>
      <c r="Z4029" t="s">
        <v>30160</v>
      </c>
      <c r="AA4029">
        <v>0.38856424243359078</v>
      </c>
      <c r="AB4029" t="str">
        <f>HYPERLINK("Melting_Curves/meltCurve_Q7L1Q6_BZW1.pdf", "Melting_Curves/meltCurve_Q7L1Q6_BZW1.pdf")</f>
        <v>Melting_Curves/meltCurve_Q7L1Q6_BZW1.pdf</v>
      </c>
    </row>
    <row r="4030" spans="1:28" x14ac:dyDescent="0.25">
      <c r="A4030" t="s">
        <v>4033</v>
      </c>
      <c r="B4030">
        <v>0.99930955844802105</v>
      </c>
      <c r="C4030">
        <v>1.23112252747549</v>
      </c>
      <c r="D4030">
        <v>1.15934677995185</v>
      </c>
      <c r="E4030">
        <v>0.77478186912066704</v>
      </c>
      <c r="F4030">
        <v>0.315013222135959</v>
      </c>
      <c r="G4030">
        <v>0.24803293505933599</v>
      </c>
      <c r="H4030">
        <v>0.169102613715957</v>
      </c>
      <c r="I4030">
        <v>0.14624542778977601</v>
      </c>
      <c r="J4030">
        <v>0.12520888742394201</v>
      </c>
      <c r="K4030">
        <v>8.4763098255773398E-2</v>
      </c>
      <c r="L4030">
        <v>2201.1495972786802</v>
      </c>
      <c r="M4030">
        <v>42.941715534438998</v>
      </c>
      <c r="N4030">
        <v>51.692819591423202</v>
      </c>
      <c r="O4030">
        <v>51.148233000589002</v>
      </c>
      <c r="P4030">
        <v>-0.17813320603779401</v>
      </c>
      <c r="Q4030">
        <v>0.15129789908352001</v>
      </c>
      <c r="R4030">
        <v>0.951476246416185</v>
      </c>
      <c r="S4030" t="s">
        <v>10646</v>
      </c>
      <c r="T4030" t="s">
        <v>13232</v>
      </c>
      <c r="U4030" t="s">
        <v>13232</v>
      </c>
      <c r="V4030" t="s">
        <v>13232</v>
      </c>
      <c r="W4030" t="s">
        <v>17200</v>
      </c>
      <c r="X4030">
        <v>17</v>
      </c>
      <c r="Y4030" t="s">
        <v>23618</v>
      </c>
      <c r="Z4030" t="s">
        <v>30161</v>
      </c>
      <c r="AA4030">
        <v>0.47242224505488789</v>
      </c>
      <c r="AB4030" t="str">
        <f>HYPERLINK("Melting_Curves/meltCurve_Q7L1T6_CYB5R4.pdf", "Melting_Curves/meltCurve_Q7L1T6_CYB5R4.pdf")</f>
        <v>Melting_Curves/meltCurve_Q7L1T6_CYB5R4.pdf</v>
      </c>
    </row>
    <row r="4031" spans="1:28" x14ac:dyDescent="0.25">
      <c r="A4031" t="s">
        <v>4034</v>
      </c>
      <c r="B4031">
        <v>0.99930955844802105</v>
      </c>
      <c r="C4031">
        <v>0.91585906784217097</v>
      </c>
      <c r="D4031">
        <v>0.92098603291467096</v>
      </c>
      <c r="E4031">
        <v>0.71382502436236195</v>
      </c>
      <c r="F4031">
        <v>0.37557667800459599</v>
      </c>
      <c r="G4031">
        <v>0.22726019194854799</v>
      </c>
      <c r="H4031">
        <v>0.112801983447211</v>
      </c>
      <c r="I4031">
        <v>8.81895169387482E-2</v>
      </c>
      <c r="J4031">
        <v>6.9395362930748494E-2</v>
      </c>
      <c r="K4031">
        <v>5.3102699910549001E-2</v>
      </c>
      <c r="L4031">
        <v>971.13191095013599</v>
      </c>
      <c r="M4031">
        <v>18.779659721464299</v>
      </c>
      <c r="N4031">
        <v>52.057687526258299</v>
      </c>
      <c r="O4031">
        <v>51.136242631686201</v>
      </c>
      <c r="P4031">
        <v>-8.6431904293211695E-2</v>
      </c>
      <c r="Q4031">
        <v>5.8637179955789799E-2</v>
      </c>
      <c r="R4031">
        <v>0.99364026686111295</v>
      </c>
      <c r="S4031" t="s">
        <v>10647</v>
      </c>
      <c r="T4031" t="s">
        <v>13232</v>
      </c>
      <c r="U4031" t="s">
        <v>13232</v>
      </c>
      <c r="V4031" t="s">
        <v>13232</v>
      </c>
      <c r="W4031" t="s">
        <v>17201</v>
      </c>
      <c r="X4031">
        <v>18</v>
      </c>
      <c r="Y4031" t="s">
        <v>23619</v>
      </c>
      <c r="Z4031" t="s">
        <v>30162</v>
      </c>
      <c r="AA4031">
        <v>0.4407415967814996</v>
      </c>
      <c r="AB4031" t="str">
        <f>HYPERLINK("Melting_Curves/meltCurve_Q7L1V2_MON1B.pdf", "Melting_Curves/meltCurve_Q7L1V2_MON1B.pdf")</f>
        <v>Melting_Curves/meltCurve_Q7L1V2_MON1B.pdf</v>
      </c>
    </row>
    <row r="4032" spans="1:28" x14ac:dyDescent="0.25">
      <c r="A4032" t="s">
        <v>4035</v>
      </c>
      <c r="B4032">
        <v>0.99930955844802105</v>
      </c>
      <c r="C4032">
        <v>1.06561527931327</v>
      </c>
      <c r="D4032">
        <v>1.0407868248232499</v>
      </c>
      <c r="E4032">
        <v>1.01859826750122</v>
      </c>
      <c r="F4032">
        <v>0.926418352549642</v>
      </c>
      <c r="G4032">
        <v>0.68773711504743695</v>
      </c>
      <c r="H4032">
        <v>0.51889809026098699</v>
      </c>
      <c r="I4032">
        <v>0.394068926142219</v>
      </c>
      <c r="J4032">
        <v>0.211715949030992</v>
      </c>
      <c r="K4032">
        <v>0.15535787193282399</v>
      </c>
      <c r="L4032">
        <v>917.87489603589904</v>
      </c>
      <c r="M4032">
        <v>15.089805349523701</v>
      </c>
      <c r="N4032">
        <v>61.197601558523601</v>
      </c>
      <c r="O4032">
        <v>59.789206106722098</v>
      </c>
      <c r="P4032">
        <v>-6.0350170262399E-2</v>
      </c>
      <c r="Q4032">
        <v>4.36105418147269E-2</v>
      </c>
      <c r="R4032">
        <v>0.98624221323935002</v>
      </c>
      <c r="S4032" t="s">
        <v>10648</v>
      </c>
      <c r="T4032" t="s">
        <v>13232</v>
      </c>
      <c r="U4032" t="s">
        <v>13232</v>
      </c>
      <c r="V4032" t="s">
        <v>13232</v>
      </c>
      <c r="W4032" t="s">
        <v>17202</v>
      </c>
      <c r="X4032">
        <v>9</v>
      </c>
      <c r="Y4032" t="s">
        <v>23620</v>
      </c>
      <c r="Z4032" t="s">
        <v>30163</v>
      </c>
      <c r="AA4032">
        <v>0.7108501526046902</v>
      </c>
      <c r="AB4032" t="str">
        <f>HYPERLINK("Melting_Curves/meltCurve_Q7L266_ASRGL1.pdf", "Melting_Curves/meltCurve_Q7L266_ASRGL1.pdf")</f>
        <v>Melting_Curves/meltCurve_Q7L266_ASRGL1.pdf</v>
      </c>
    </row>
    <row r="4033" spans="1:28" x14ac:dyDescent="0.25">
      <c r="A4033" t="s">
        <v>4036</v>
      </c>
      <c r="B4033">
        <v>0.99930955844802105</v>
      </c>
      <c r="C4033">
        <v>0.88055916667715395</v>
      </c>
      <c r="D4033">
        <v>0.90984252599007398</v>
      </c>
      <c r="E4033">
        <v>0.936862894823556</v>
      </c>
      <c r="F4033">
        <v>0.76837502592933804</v>
      </c>
      <c r="G4033">
        <v>0.26116444117397403</v>
      </c>
      <c r="H4033">
        <v>0.111754494620098</v>
      </c>
      <c r="I4033">
        <v>7.1676514362929794E-2</v>
      </c>
      <c r="J4033">
        <v>7.2793597800972804E-2</v>
      </c>
      <c r="K4033">
        <v>5.3221739282565302E-2</v>
      </c>
      <c r="L4033">
        <v>1717.56634372025</v>
      </c>
      <c r="M4033">
        <v>31.372392016325598</v>
      </c>
      <c r="N4033">
        <v>54.983695017756503</v>
      </c>
      <c r="O4033">
        <v>54.526685595728402</v>
      </c>
      <c r="P4033">
        <v>-0.134779030391352</v>
      </c>
      <c r="Q4033">
        <v>6.2995873859859303E-2</v>
      </c>
      <c r="R4033">
        <v>0.98565885940575104</v>
      </c>
      <c r="S4033" t="s">
        <v>10649</v>
      </c>
      <c r="T4033" t="s">
        <v>13232</v>
      </c>
      <c r="U4033" t="s">
        <v>13232</v>
      </c>
      <c r="V4033" t="s">
        <v>13232</v>
      </c>
      <c r="W4033" t="s">
        <v>17203</v>
      </c>
      <c r="X4033">
        <v>9</v>
      </c>
      <c r="Y4033" t="s">
        <v>23621</v>
      </c>
      <c r="Z4033" t="s">
        <v>30164</v>
      </c>
      <c r="AA4033">
        <v>0.52931201732127564</v>
      </c>
      <c r="AB4033" t="str">
        <f>HYPERLINK("Melting_Curves/meltCurve_Q7L273_KCTD9.pdf", "Melting_Curves/meltCurve_Q7L273_KCTD9.pdf")</f>
        <v>Melting_Curves/meltCurve_Q7L273_KCTD9.pdf</v>
      </c>
    </row>
    <row r="4034" spans="1:28" x14ac:dyDescent="0.25">
      <c r="A4034" t="s">
        <v>4037</v>
      </c>
      <c r="B4034">
        <v>0.99930955844802105</v>
      </c>
      <c r="C4034">
        <v>0.85701851895569703</v>
      </c>
      <c r="D4034">
        <v>0.82522622636033205</v>
      </c>
      <c r="E4034">
        <v>0.43976154099731402</v>
      </c>
      <c r="F4034">
        <v>0.189656384792391</v>
      </c>
      <c r="G4034">
        <v>0.12140147495340101</v>
      </c>
      <c r="H4034">
        <v>7.3377893727896895E-2</v>
      </c>
      <c r="I4034">
        <v>5.6781823270041998E-2</v>
      </c>
      <c r="J4034">
        <v>4.9398018166145398E-2</v>
      </c>
      <c r="K4034">
        <v>3.3679615091489798E-2</v>
      </c>
      <c r="L4034">
        <v>930.29492382180104</v>
      </c>
      <c r="M4034">
        <v>18.9845233407815</v>
      </c>
      <c r="N4034">
        <v>49.2279088245594</v>
      </c>
      <c r="O4034">
        <v>48.468804324608598</v>
      </c>
      <c r="P4034">
        <v>-9.3854103576669401E-2</v>
      </c>
      <c r="Q4034">
        <v>4.1574206635160003E-2</v>
      </c>
      <c r="R4034">
        <v>0.99210934711812304</v>
      </c>
      <c r="S4034" t="s">
        <v>10650</v>
      </c>
      <c r="T4034" t="s">
        <v>13232</v>
      </c>
      <c r="U4034" t="s">
        <v>13232</v>
      </c>
      <c r="V4034" t="s">
        <v>13232</v>
      </c>
      <c r="W4034" t="s">
        <v>17204</v>
      </c>
      <c r="X4034">
        <v>13</v>
      </c>
      <c r="Y4034" t="s">
        <v>23622</v>
      </c>
      <c r="Z4034" t="s">
        <v>30165</v>
      </c>
      <c r="AA4034">
        <v>0.34411030304209539</v>
      </c>
      <c r="AB4034" t="str">
        <f>HYPERLINK("Melting_Curves/meltCurve_Q7L2H7_EIF3M.pdf", "Melting_Curves/meltCurve_Q7L2H7_EIF3M.pdf")</f>
        <v>Melting_Curves/meltCurve_Q7L2H7_EIF3M.pdf</v>
      </c>
    </row>
    <row r="4035" spans="1:28" x14ac:dyDescent="0.25">
      <c r="A4035" t="s">
        <v>4038</v>
      </c>
      <c r="B4035">
        <v>0.99930955844802105</v>
      </c>
      <c r="C4035">
        <v>0.871548806342195</v>
      </c>
      <c r="D4035">
        <v>0.75034794403139204</v>
      </c>
      <c r="E4035">
        <v>0.67303904741848897</v>
      </c>
      <c r="F4035">
        <v>0.54215148488768805</v>
      </c>
      <c r="G4035">
        <v>0.48209350249013599</v>
      </c>
      <c r="H4035">
        <v>0.51210810488536296</v>
      </c>
      <c r="I4035">
        <v>0.59747997486645898</v>
      </c>
      <c r="J4035">
        <v>0.61993466364620298</v>
      </c>
      <c r="K4035">
        <v>0.486327724619813</v>
      </c>
      <c r="L4035">
        <v>822.19055794603503</v>
      </c>
      <c r="M4035">
        <v>17.959464360117199</v>
      </c>
      <c r="O4035">
        <v>45.224068266195701</v>
      </c>
      <c r="P4035">
        <v>-4.59991404403612E-2</v>
      </c>
      <c r="Q4035">
        <v>0.53669782797177901</v>
      </c>
      <c r="R4035">
        <v>0.91340457825379695</v>
      </c>
      <c r="S4035" t="s">
        <v>10651</v>
      </c>
      <c r="T4035" t="s">
        <v>13232</v>
      </c>
      <c r="U4035" t="s">
        <v>13232</v>
      </c>
      <c r="V4035" t="s">
        <v>13232</v>
      </c>
      <c r="W4035" t="s">
        <v>17205</v>
      </c>
      <c r="X4035">
        <v>19</v>
      </c>
      <c r="Y4035" t="s">
        <v>23623</v>
      </c>
      <c r="Z4035" t="s">
        <v>30166</v>
      </c>
      <c r="AA4035">
        <v>0.63527053546558965</v>
      </c>
      <c r="AB4035" t="str">
        <f>HYPERLINK("Melting_Curves/meltCurve_Q7L2J0_MEPCE.pdf", "Melting_Curves/meltCurve_Q7L2J0_MEPCE.pdf")</f>
        <v>Melting_Curves/meltCurve_Q7L2J0_MEPCE.pdf</v>
      </c>
    </row>
    <row r="4036" spans="1:28" x14ac:dyDescent="0.25">
      <c r="A4036" t="s">
        <v>4039</v>
      </c>
      <c r="B4036">
        <v>0.99930955844802105</v>
      </c>
      <c r="C4036">
        <v>1.1495544596881699</v>
      </c>
      <c r="D4036">
        <v>1.0818075352051899</v>
      </c>
      <c r="E4036">
        <v>1.0272443481457201</v>
      </c>
      <c r="F4036">
        <v>1.11189033363652</v>
      </c>
      <c r="G4036">
        <v>0.86089713351532404</v>
      </c>
      <c r="H4036">
        <v>0.66694116514324997</v>
      </c>
      <c r="I4036">
        <v>0.67086847919449399</v>
      </c>
      <c r="J4036">
        <v>0.66303607076554605</v>
      </c>
      <c r="K4036">
        <v>0.49376927185438901</v>
      </c>
      <c r="L4036">
        <v>2059.8537133879599</v>
      </c>
      <c r="M4036">
        <v>35.222472170363297</v>
      </c>
      <c r="O4036">
        <v>58.293691259953</v>
      </c>
      <c r="P4036">
        <v>-6.0843038824518497E-2</v>
      </c>
      <c r="Q4036">
        <v>0.59721703227634604</v>
      </c>
      <c r="R4036">
        <v>0.87063070920525998</v>
      </c>
      <c r="S4036" t="s">
        <v>10652</v>
      </c>
      <c r="T4036" t="s">
        <v>13232</v>
      </c>
      <c r="U4036" t="s">
        <v>13232</v>
      </c>
      <c r="V4036" t="s">
        <v>13232</v>
      </c>
      <c r="W4036" t="s">
        <v>17206</v>
      </c>
      <c r="X4036">
        <v>12</v>
      </c>
      <c r="Y4036" t="s">
        <v>23624</v>
      </c>
      <c r="Z4036" t="s">
        <v>30167</v>
      </c>
      <c r="AA4036">
        <v>0.84734954489079439</v>
      </c>
      <c r="AB4036" t="str">
        <f>HYPERLINK("Melting_Curves/meltCurve_Q7L3S4_ZNF771.pdf", "Melting_Curves/meltCurve_Q7L3S4_ZNF771.pdf")</f>
        <v>Melting_Curves/meltCurve_Q7L3S4_ZNF771.pdf</v>
      </c>
    </row>
    <row r="4037" spans="1:28" x14ac:dyDescent="0.25">
      <c r="A4037" t="s">
        <v>4040</v>
      </c>
      <c r="B4037">
        <v>0.99930955844802105</v>
      </c>
      <c r="C4037">
        <v>0.74966976422377496</v>
      </c>
      <c r="D4037">
        <v>0.57070159652362495</v>
      </c>
      <c r="E4037">
        <v>0.43030552959764601</v>
      </c>
      <c r="F4037">
        <v>0.334763597057536</v>
      </c>
      <c r="G4037">
        <v>0.18418599159252499</v>
      </c>
      <c r="H4037">
        <v>0.155245086846725</v>
      </c>
      <c r="I4037">
        <v>0.10827696337621499</v>
      </c>
      <c r="J4037">
        <v>9.58353414561917E-2</v>
      </c>
      <c r="K4037">
        <v>8.0964340594484194E-2</v>
      </c>
      <c r="L4037">
        <v>526.26103458985904</v>
      </c>
      <c r="M4037">
        <v>11.0426165553228</v>
      </c>
      <c r="N4037">
        <v>48.259305634876704</v>
      </c>
      <c r="O4037">
        <v>46.1743933419475</v>
      </c>
      <c r="P4037">
        <v>-5.5959313367368799E-2</v>
      </c>
      <c r="Q4037">
        <v>6.4341810700882504E-2</v>
      </c>
      <c r="R4037">
        <v>0.98136378885376796</v>
      </c>
      <c r="S4037" t="s">
        <v>10653</v>
      </c>
      <c r="T4037" t="s">
        <v>13232</v>
      </c>
      <c r="U4037" t="s">
        <v>13232</v>
      </c>
      <c r="V4037" t="s">
        <v>13232</v>
      </c>
      <c r="W4037" t="s">
        <v>17207</v>
      </c>
      <c r="X4037">
        <v>2</v>
      </c>
      <c r="Y4037" t="s">
        <v>23625</v>
      </c>
      <c r="Z4037" t="s">
        <v>30168</v>
      </c>
      <c r="AA4037">
        <v>0.34647762005852267</v>
      </c>
      <c r="AB4037" t="str">
        <f>HYPERLINK("Melting_Curves/meltCurve_Q7L3T8_PARS2.pdf", "Melting_Curves/meltCurve_Q7L3T8_PARS2.pdf")</f>
        <v>Melting_Curves/meltCurve_Q7L3T8_PARS2.pdf</v>
      </c>
    </row>
    <row r="4038" spans="1:28" x14ac:dyDescent="0.25">
      <c r="A4038" t="s">
        <v>4041</v>
      </c>
      <c r="B4038">
        <v>0.99930955844802105</v>
      </c>
      <c r="C4038">
        <v>0.96685316363534002</v>
      </c>
      <c r="D4038">
        <v>0.91423076102830603</v>
      </c>
      <c r="E4038">
        <v>0.80702682497357603</v>
      </c>
      <c r="F4038">
        <v>0.66804707587367695</v>
      </c>
      <c r="G4038">
        <v>0.56500347929377903</v>
      </c>
      <c r="H4038">
        <v>0.58026279229668398</v>
      </c>
      <c r="I4038">
        <v>0.63059364084948</v>
      </c>
      <c r="J4038">
        <v>0.59526230839974204</v>
      </c>
      <c r="K4038">
        <v>0.52968252954470896</v>
      </c>
      <c r="L4038">
        <v>972.33359814015898</v>
      </c>
      <c r="M4038">
        <v>19.481080999170899</v>
      </c>
      <c r="O4038">
        <v>49.394694856345403</v>
      </c>
      <c r="P4038">
        <v>-4.23873995562443E-2</v>
      </c>
      <c r="Q4038">
        <v>0.57011901933929898</v>
      </c>
      <c r="R4038">
        <v>0.97201833551816597</v>
      </c>
      <c r="S4038" t="s">
        <v>10654</v>
      </c>
      <c r="T4038" t="s">
        <v>13232</v>
      </c>
      <c r="U4038" t="s">
        <v>13232</v>
      </c>
      <c r="V4038" t="s">
        <v>13232</v>
      </c>
      <c r="W4038" t="s">
        <v>17208</v>
      </c>
      <c r="X4038">
        <v>2</v>
      </c>
      <c r="Y4038" t="s">
        <v>23626</v>
      </c>
      <c r="Z4038" t="s">
        <v>30169</v>
      </c>
      <c r="AA4038">
        <v>0.71844908869594615</v>
      </c>
      <c r="AB4038" t="str">
        <f>HYPERLINK("Melting_Curves/meltCurve_Q7L3V2_BOP.pdf", "Melting_Curves/meltCurve_Q7L3V2_BOP.pdf")</f>
        <v>Melting_Curves/meltCurve_Q7L3V2_BOP.pdf</v>
      </c>
    </row>
    <row r="4039" spans="1:28" x14ac:dyDescent="0.25">
      <c r="A4039" t="s">
        <v>4042</v>
      </c>
      <c r="B4039">
        <v>0.99930955844802105</v>
      </c>
      <c r="C4039">
        <v>1.1202148135210701</v>
      </c>
      <c r="D4039">
        <v>1.0933386323418599</v>
      </c>
      <c r="E4039">
        <v>1.1048835138436099</v>
      </c>
      <c r="F4039">
        <v>1.0002890262246</v>
      </c>
      <c r="G4039">
        <v>0.92662982000717897</v>
      </c>
      <c r="H4039">
        <v>1.0104275441510799</v>
      </c>
      <c r="I4039">
        <v>1.1060997609707199</v>
      </c>
      <c r="J4039">
        <v>1.1665002284969099</v>
      </c>
      <c r="K4039">
        <v>0.92688706922425101</v>
      </c>
      <c r="L4039">
        <v>10257.057259274799</v>
      </c>
      <c r="M4039">
        <v>250</v>
      </c>
      <c r="O4039">
        <v>41.0256035349122</v>
      </c>
      <c r="P4039">
        <v>7.7063802027446102E-2</v>
      </c>
      <c r="Q4039">
        <v>1.0505854237227701</v>
      </c>
      <c r="R4039">
        <v>3.7360712951618101E-2</v>
      </c>
      <c r="S4039" t="s">
        <v>10655</v>
      </c>
      <c r="T4039" t="s">
        <v>13232</v>
      </c>
      <c r="U4039" t="s">
        <v>13232</v>
      </c>
      <c r="V4039" t="s">
        <v>13232</v>
      </c>
      <c r="W4039" t="s">
        <v>17209</v>
      </c>
      <c r="X4039">
        <v>11</v>
      </c>
      <c r="Y4039" t="s">
        <v>23627</v>
      </c>
      <c r="Z4039" t="s">
        <v>30170</v>
      </c>
      <c r="AA4039">
        <v>1.048847579312858</v>
      </c>
      <c r="AB4039" t="str">
        <f>HYPERLINK("Melting_Curves/meltCurve_Q7L4I2_RSRC2.pdf", "Melting_Curves/meltCurve_Q7L4I2_RSRC2.pdf")</f>
        <v>Melting_Curves/meltCurve_Q7L4I2_RSRC2.pdf</v>
      </c>
    </row>
    <row r="4040" spans="1:28" x14ac:dyDescent="0.25">
      <c r="A4040" t="s">
        <v>4043</v>
      </c>
      <c r="B4040">
        <v>0.99930955844802105</v>
      </c>
      <c r="C4040">
        <v>0.96184035388085598</v>
      </c>
      <c r="D4040">
        <v>0.92016258375636095</v>
      </c>
      <c r="E4040">
        <v>0.90329757499872798</v>
      </c>
      <c r="F4040">
        <v>0.83243062444478499</v>
      </c>
      <c r="G4040">
        <v>0.61527805567801097</v>
      </c>
      <c r="H4040">
        <v>0.37292448109543003</v>
      </c>
      <c r="I4040">
        <v>0.22752015560424799</v>
      </c>
      <c r="J4040">
        <v>0.13074482457804101</v>
      </c>
      <c r="K4040">
        <v>7.63330746310701E-2</v>
      </c>
      <c r="L4040">
        <v>841.30541405598694</v>
      </c>
      <c r="M4040">
        <v>14.342333975339701</v>
      </c>
      <c r="N4040">
        <v>58.658891812080697</v>
      </c>
      <c r="O4040">
        <v>57.553877615244403</v>
      </c>
      <c r="P4040">
        <v>-6.23071006030637E-2</v>
      </c>
      <c r="Q4040">
        <v>0</v>
      </c>
      <c r="R4040">
        <v>0.995220856038602</v>
      </c>
      <c r="S4040" t="s">
        <v>10656</v>
      </c>
      <c r="T4040" t="s">
        <v>13232</v>
      </c>
      <c r="U4040" t="s">
        <v>13232</v>
      </c>
      <c r="V4040" t="s">
        <v>13232</v>
      </c>
      <c r="W4040" t="s">
        <v>17210</v>
      </c>
      <c r="X4040">
        <v>12</v>
      </c>
      <c r="Y4040" t="s">
        <v>23628</v>
      </c>
      <c r="Z4040" t="s">
        <v>30171</v>
      </c>
      <c r="AA4040">
        <v>0.63336371698793603</v>
      </c>
      <c r="AB4040" t="str">
        <f>HYPERLINK("Melting_Curves/meltCurve_Q7L523_RRAGA.pdf", "Melting_Curves/meltCurve_Q7L523_RRAGA.pdf")</f>
        <v>Melting_Curves/meltCurve_Q7L523_RRAGA.pdf</v>
      </c>
    </row>
    <row r="4041" spans="1:28" x14ac:dyDescent="0.25">
      <c r="A4041" t="s">
        <v>4044</v>
      </c>
      <c r="B4041">
        <v>0.99930955844802105</v>
      </c>
      <c r="C4041">
        <v>0.79584255778617696</v>
      </c>
      <c r="D4041">
        <v>0.82477760876728701</v>
      </c>
      <c r="E4041">
        <v>0.86001384310390105</v>
      </c>
      <c r="F4041">
        <v>0.35239185370592802</v>
      </c>
      <c r="G4041">
        <v>0.16631032842449001</v>
      </c>
      <c r="H4041">
        <v>0.104576364356693</v>
      </c>
      <c r="I4041">
        <v>9.1626656648514507E-2</v>
      </c>
      <c r="J4041">
        <v>9.0635870283582498E-2</v>
      </c>
      <c r="K4041">
        <v>6.5318702543979298E-2</v>
      </c>
      <c r="L4041">
        <v>1983.7255094769901</v>
      </c>
      <c r="M4041">
        <v>38.226567418606898</v>
      </c>
      <c r="N4041">
        <v>52.180444678048303</v>
      </c>
      <c r="O4041">
        <v>51.7524892152313</v>
      </c>
      <c r="P4041">
        <v>-0.16717802860960801</v>
      </c>
      <c r="Q4041">
        <v>9.4675957356850304E-2</v>
      </c>
      <c r="R4041">
        <v>0.94462347546676895</v>
      </c>
      <c r="S4041" t="s">
        <v>10657</v>
      </c>
      <c r="T4041" t="s">
        <v>13232</v>
      </c>
      <c r="U4041" t="s">
        <v>13232</v>
      </c>
      <c r="V4041" t="s">
        <v>13232</v>
      </c>
      <c r="W4041" t="s">
        <v>17211</v>
      </c>
      <c r="X4041">
        <v>46</v>
      </c>
      <c r="Y4041" t="s">
        <v>23629</v>
      </c>
      <c r="Z4041" t="s">
        <v>30172</v>
      </c>
      <c r="AA4041">
        <v>0.45715959793939698</v>
      </c>
      <c r="AB4041" t="str">
        <f>HYPERLINK("Melting_Curves/meltCurve_Q7L576_CYFIP1.pdf", "Melting_Curves/meltCurve_Q7L576_CYFIP1.pdf")</f>
        <v>Melting_Curves/meltCurve_Q7L576_CYFIP1.pdf</v>
      </c>
    </row>
    <row r="4042" spans="1:28" x14ac:dyDescent="0.25">
      <c r="A4042" t="s">
        <v>4045</v>
      </c>
      <c r="B4042">
        <v>0.99930955844802105</v>
      </c>
      <c r="C4042">
        <v>1.0463121190624201</v>
      </c>
      <c r="D4042">
        <v>0.96784334091160296</v>
      </c>
      <c r="E4042">
        <v>0.94571779014858803</v>
      </c>
      <c r="F4042">
        <v>0.84854431269943897</v>
      </c>
      <c r="G4042">
        <v>0.77050015411410799</v>
      </c>
      <c r="H4042">
        <v>0.81286528787300305</v>
      </c>
      <c r="I4042">
        <v>0.930774629173307</v>
      </c>
      <c r="J4042">
        <v>0.98993440082847195</v>
      </c>
      <c r="K4042">
        <v>0.75066414356773603</v>
      </c>
      <c r="L4042">
        <v>12528.073745808</v>
      </c>
      <c r="M4042">
        <v>250</v>
      </c>
      <c r="O4042">
        <v>50.109087549481302</v>
      </c>
      <c r="P4042">
        <v>-0.18640939234708201</v>
      </c>
      <c r="Q4042">
        <v>0.85054712546853795</v>
      </c>
      <c r="R4042">
        <v>0.51153972911616497</v>
      </c>
      <c r="S4042" t="s">
        <v>10658</v>
      </c>
      <c r="T4042" t="s">
        <v>13232</v>
      </c>
      <c r="U4042" t="s">
        <v>13232</v>
      </c>
      <c r="V4042" t="s">
        <v>13232</v>
      </c>
      <c r="W4042" t="s">
        <v>17212</v>
      </c>
      <c r="X4042">
        <v>12</v>
      </c>
      <c r="Y4042" t="s">
        <v>23630</v>
      </c>
      <c r="Z4042" t="s">
        <v>30173</v>
      </c>
      <c r="AA4042">
        <v>0.90093732107401503</v>
      </c>
      <c r="AB4042" t="str">
        <f>HYPERLINK("Melting_Curves/meltCurve_Q7L590_2_MCM10.pdf", "Melting_Curves/meltCurve_Q7L590_2_MCM10.pdf")</f>
        <v>Melting_Curves/meltCurve_Q7L590_2_MCM10.pdf</v>
      </c>
    </row>
    <row r="4043" spans="1:28" x14ac:dyDescent="0.25">
      <c r="A4043" t="s">
        <v>4046</v>
      </c>
      <c r="B4043">
        <v>0.99930955844802105</v>
      </c>
      <c r="C4043">
        <v>0.921176558152206</v>
      </c>
      <c r="D4043">
        <v>0.78615411622652798</v>
      </c>
      <c r="E4043">
        <v>0.54280675189428096</v>
      </c>
      <c r="F4043">
        <v>0.28586958178095401</v>
      </c>
      <c r="G4043">
        <v>0.23684164779549</v>
      </c>
      <c r="H4043">
        <v>0.17561346216708401</v>
      </c>
      <c r="I4043">
        <v>0.16604291226051399</v>
      </c>
      <c r="J4043">
        <v>0.16257255020047701</v>
      </c>
      <c r="K4043">
        <v>0.12229573215136599</v>
      </c>
      <c r="L4043">
        <v>838.16656404989601</v>
      </c>
      <c r="M4043">
        <v>17.0585437671125</v>
      </c>
      <c r="N4043">
        <v>50.110750893700299</v>
      </c>
      <c r="O4043">
        <v>48.474387302887898</v>
      </c>
      <c r="P4043">
        <v>-7.5546161774133494E-2</v>
      </c>
      <c r="Q4043">
        <v>0.14134991573104899</v>
      </c>
      <c r="R4043">
        <v>0.995032507674801</v>
      </c>
      <c r="S4043" t="s">
        <v>10659</v>
      </c>
      <c r="T4043" t="s">
        <v>13232</v>
      </c>
      <c r="U4043" t="s">
        <v>13232</v>
      </c>
      <c r="V4043" t="s">
        <v>13232</v>
      </c>
      <c r="W4043" t="s">
        <v>17213</v>
      </c>
      <c r="X4043">
        <v>7</v>
      </c>
      <c r="Y4043" t="s">
        <v>23631</v>
      </c>
      <c r="Z4043" t="s">
        <v>30174</v>
      </c>
      <c r="AA4043">
        <v>0.41929039913607979</v>
      </c>
      <c r="AB4043" t="str">
        <f>HYPERLINK("Melting_Curves/meltCurve_Q7L5D6_GET4.pdf", "Melting_Curves/meltCurve_Q7L5D6_GET4.pdf")</f>
        <v>Melting_Curves/meltCurve_Q7L5D6_GET4.pdf</v>
      </c>
    </row>
    <row r="4044" spans="1:28" x14ac:dyDescent="0.25">
      <c r="A4044" t="s">
        <v>4047</v>
      </c>
      <c r="B4044">
        <v>0.99930955844802105</v>
      </c>
      <c r="C4044">
        <v>1.0246255913631299</v>
      </c>
      <c r="D4044">
        <v>0.98470218483509797</v>
      </c>
      <c r="E4044">
        <v>0.73446678389999798</v>
      </c>
      <c r="F4044">
        <v>0.33306095862173102</v>
      </c>
      <c r="G4044">
        <v>0.219671330460491</v>
      </c>
      <c r="H4044">
        <v>0.124673141706187</v>
      </c>
      <c r="I4044">
        <v>0.104944335575933</v>
      </c>
      <c r="J4044">
        <v>8.8602922777921103E-2</v>
      </c>
      <c r="K4044">
        <v>6.6262276082382998E-2</v>
      </c>
      <c r="L4044">
        <v>1488.3420044156801</v>
      </c>
      <c r="M4044">
        <v>28.9677086839752</v>
      </c>
      <c r="N4044">
        <v>51.795895317282898</v>
      </c>
      <c r="O4044">
        <v>51.136381083428098</v>
      </c>
      <c r="P4044">
        <v>-0.12690547879941</v>
      </c>
      <c r="Q4044">
        <v>0.10390765028245499</v>
      </c>
      <c r="R4044">
        <v>0.99455944445377698</v>
      </c>
      <c r="S4044" t="s">
        <v>10660</v>
      </c>
      <c r="T4044" t="s">
        <v>13232</v>
      </c>
      <c r="U4044" t="s">
        <v>13232</v>
      </c>
      <c r="V4044" t="s">
        <v>13232</v>
      </c>
      <c r="W4044" t="s">
        <v>17214</v>
      </c>
      <c r="X4044">
        <v>19</v>
      </c>
      <c r="Y4044" t="s">
        <v>23632</v>
      </c>
      <c r="Z4044" t="s">
        <v>30175</v>
      </c>
      <c r="AA4044">
        <v>0.4498846769694545</v>
      </c>
      <c r="AB4044" t="str">
        <f>HYPERLINK("Melting_Curves/meltCurve_Q7L5Y1_ENOSF1.pdf", "Melting_Curves/meltCurve_Q7L5Y1_ENOSF1.pdf")</f>
        <v>Melting_Curves/meltCurve_Q7L5Y1_ENOSF1.pdf</v>
      </c>
    </row>
    <row r="4045" spans="1:28" x14ac:dyDescent="0.25">
      <c r="A4045" t="s">
        <v>4048</v>
      </c>
      <c r="B4045">
        <v>0.99930955844802105</v>
      </c>
      <c r="C4045">
        <v>0.52252977038958004</v>
      </c>
      <c r="D4045">
        <v>0.57559342232058097</v>
      </c>
      <c r="E4045">
        <v>0.59440756425817298</v>
      </c>
      <c r="F4045">
        <v>0.370464797582577</v>
      </c>
      <c r="G4045">
        <v>0.20706085176901001</v>
      </c>
      <c r="H4045">
        <v>0.12654655037917201</v>
      </c>
      <c r="I4045">
        <v>0.113030388396613</v>
      </c>
      <c r="J4045">
        <v>0.116707937369287</v>
      </c>
      <c r="K4045">
        <v>8.7971854678479705E-2</v>
      </c>
      <c r="L4045">
        <v>373.30073528885998</v>
      </c>
      <c r="M4045">
        <v>7.6823520104774001</v>
      </c>
      <c r="N4045">
        <v>48.591985518304703</v>
      </c>
      <c r="O4045">
        <v>45.628136014993203</v>
      </c>
      <c r="P4045">
        <v>-4.2147546651151002E-2</v>
      </c>
      <c r="Q4045">
        <v>0</v>
      </c>
      <c r="R4045">
        <v>0.87802856426319797</v>
      </c>
      <c r="S4045" t="s">
        <v>10661</v>
      </c>
      <c r="T4045" t="s">
        <v>13232</v>
      </c>
      <c r="U4045" t="s">
        <v>13232</v>
      </c>
      <c r="V4045" t="s">
        <v>13232</v>
      </c>
      <c r="W4045" t="s">
        <v>17215</v>
      </c>
      <c r="X4045">
        <v>17</v>
      </c>
      <c r="Y4045" t="s">
        <v>23633</v>
      </c>
      <c r="Z4045" t="s">
        <v>30176</v>
      </c>
      <c r="AA4045">
        <v>0.35854870162042479</v>
      </c>
      <c r="AB4045" t="str">
        <f>HYPERLINK("Melting_Curves/meltCurve_Q7L5Y9_MAEA.pdf", "Melting_Curves/meltCurve_Q7L5Y9_MAEA.pdf")</f>
        <v>Melting_Curves/meltCurve_Q7L5Y9_MAEA.pdf</v>
      </c>
    </row>
    <row r="4046" spans="1:28" x14ac:dyDescent="0.25">
      <c r="A4046" t="s">
        <v>4049</v>
      </c>
      <c r="B4046">
        <v>0.99930955844802105</v>
      </c>
      <c r="C4046">
        <v>1.0287987948169499</v>
      </c>
      <c r="D4046">
        <v>0.96596599644751602</v>
      </c>
      <c r="E4046">
        <v>0.82679853291614502</v>
      </c>
      <c r="F4046">
        <v>0.458423738988257</v>
      </c>
      <c r="G4046">
        <v>0.25456258093057899</v>
      </c>
      <c r="H4046">
        <v>0.164793556013692</v>
      </c>
      <c r="I4046">
        <v>0.14142258517858</v>
      </c>
      <c r="J4046">
        <v>0.13581794412668299</v>
      </c>
      <c r="K4046">
        <v>9.8296842793300795E-2</v>
      </c>
      <c r="L4046">
        <v>1380.8995248818501</v>
      </c>
      <c r="M4046">
        <v>26.405652145213299</v>
      </c>
      <c r="N4046">
        <v>52.909306671325602</v>
      </c>
      <c r="O4046">
        <v>51.998435000158601</v>
      </c>
      <c r="P4046">
        <v>-0.11020864188880999</v>
      </c>
      <c r="Q4046">
        <v>0.13191088623563799</v>
      </c>
      <c r="R4046">
        <v>0.99627879692617805</v>
      </c>
      <c r="S4046" t="s">
        <v>10662</v>
      </c>
      <c r="T4046" t="s">
        <v>13232</v>
      </c>
      <c r="U4046" t="s">
        <v>13232</v>
      </c>
      <c r="V4046" t="s">
        <v>13232</v>
      </c>
      <c r="W4046" t="s">
        <v>17216</v>
      </c>
      <c r="X4046">
        <v>11</v>
      </c>
      <c r="Y4046" t="s">
        <v>23634</v>
      </c>
      <c r="Z4046" t="s">
        <v>30177</v>
      </c>
      <c r="AA4046">
        <v>0.4948533377876696</v>
      </c>
      <c r="AB4046" t="str">
        <f>HYPERLINK("Melting_Curves/meltCurve_Q7L775_EPM2AIP1.pdf", "Melting_Curves/meltCurve_Q7L775_EPM2AIP1.pdf")</f>
        <v>Melting_Curves/meltCurve_Q7L775_EPM2AIP1.pdf</v>
      </c>
    </row>
    <row r="4047" spans="1:28" x14ac:dyDescent="0.25">
      <c r="A4047" t="s">
        <v>4050</v>
      </c>
      <c r="B4047">
        <v>0.99930955844802105</v>
      </c>
      <c r="C4047">
        <v>0.91558037325903596</v>
      </c>
      <c r="D4047">
        <v>0.79114820924270401</v>
      </c>
      <c r="E4047">
        <v>0.667174273004284</v>
      </c>
      <c r="F4047">
        <v>0.19217274173988599</v>
      </c>
      <c r="G4047">
        <v>0.12607979375067499</v>
      </c>
      <c r="H4047">
        <v>7.9269304236999405E-2</v>
      </c>
      <c r="I4047">
        <v>6.7680704602735994E-2</v>
      </c>
      <c r="J4047">
        <v>6.13921723299884E-2</v>
      </c>
      <c r="K4047">
        <v>4.3303539011299901E-2</v>
      </c>
      <c r="L4047">
        <v>986.29234340492997</v>
      </c>
      <c r="M4047">
        <v>19.6252653457089</v>
      </c>
      <c r="N4047">
        <v>50.4786975778539</v>
      </c>
      <c r="O4047">
        <v>49.743175342077301</v>
      </c>
      <c r="P4047">
        <v>-9.4550509812490705E-2</v>
      </c>
      <c r="Q4047">
        <v>4.1423899145061303E-2</v>
      </c>
      <c r="R4047">
        <v>0.97570541995813098</v>
      </c>
      <c r="S4047" t="s">
        <v>10663</v>
      </c>
      <c r="T4047" t="s">
        <v>13232</v>
      </c>
      <c r="U4047" t="s">
        <v>13232</v>
      </c>
      <c r="V4047" t="s">
        <v>13232</v>
      </c>
      <c r="W4047" t="s">
        <v>17217</v>
      </c>
      <c r="X4047">
        <v>21</v>
      </c>
      <c r="Y4047" t="s">
        <v>23635</v>
      </c>
      <c r="Z4047" t="s">
        <v>30178</v>
      </c>
      <c r="AA4047">
        <v>0.38296468036923259</v>
      </c>
      <c r="AB4047" t="str">
        <f>HYPERLINK("Melting_Curves/meltCurve_Q7L7X3_TAOK1.pdf", "Melting_Curves/meltCurve_Q7L7X3_TAOK1.pdf")</f>
        <v>Melting_Curves/meltCurve_Q7L7X3_TAOK1.pdf</v>
      </c>
    </row>
    <row r="4048" spans="1:28" x14ac:dyDescent="0.25">
      <c r="A4048" t="s">
        <v>4051</v>
      </c>
      <c r="B4048">
        <v>0.99930955844802105</v>
      </c>
      <c r="C4048">
        <v>1.0642618116234099</v>
      </c>
      <c r="D4048">
        <v>0.97781748275410296</v>
      </c>
      <c r="E4048">
        <v>0.86790064241202802</v>
      </c>
      <c r="F4048">
        <v>0.71705237714575898</v>
      </c>
      <c r="G4048">
        <v>0.490146028224207</v>
      </c>
      <c r="H4048">
        <v>0.295837578283145</v>
      </c>
      <c r="I4048">
        <v>0.2362882856297</v>
      </c>
      <c r="J4048">
        <v>0.232132649537129</v>
      </c>
      <c r="K4048">
        <v>0.19565896683227599</v>
      </c>
      <c r="L4048">
        <v>953.83390166982201</v>
      </c>
      <c r="M4048">
        <v>17.321337329250699</v>
      </c>
      <c r="N4048">
        <v>56.520392205044701</v>
      </c>
      <c r="O4048">
        <v>54.348739869520998</v>
      </c>
      <c r="P4048">
        <v>-6.5361054275773003E-2</v>
      </c>
      <c r="Q4048">
        <v>0.17971991363885501</v>
      </c>
      <c r="R4048">
        <v>0.99475600054652003</v>
      </c>
      <c r="S4048" t="s">
        <v>10664</v>
      </c>
      <c r="T4048" t="s">
        <v>13232</v>
      </c>
      <c r="U4048" t="s">
        <v>13232</v>
      </c>
      <c r="V4048" t="s">
        <v>13232</v>
      </c>
      <c r="W4048" t="s">
        <v>17218</v>
      </c>
      <c r="X4048">
        <v>10</v>
      </c>
      <c r="Y4048" t="s">
        <v>23636</v>
      </c>
      <c r="Z4048" t="s">
        <v>30179</v>
      </c>
      <c r="AA4048">
        <v>0.60500004997104417</v>
      </c>
      <c r="AB4048" t="str">
        <f>HYPERLINK("Melting_Curves/meltCurve_Q7L8J4_SH3BP5L.pdf", "Melting_Curves/meltCurve_Q7L8J4_SH3BP5L.pdf")</f>
        <v>Melting_Curves/meltCurve_Q7L8J4_SH3BP5L.pdf</v>
      </c>
    </row>
    <row r="4049" spans="1:28" x14ac:dyDescent="0.25">
      <c r="A4049" t="s">
        <v>4052</v>
      </c>
      <c r="B4049">
        <v>0.99930955844802105</v>
      </c>
      <c r="C4049">
        <v>0.99438937414002704</v>
      </c>
      <c r="D4049">
        <v>0.87553565469205596</v>
      </c>
      <c r="E4049">
        <v>0.50104230685507301</v>
      </c>
      <c r="F4049">
        <v>0.264308513744688</v>
      </c>
      <c r="G4049">
        <v>0.15155853951292</v>
      </c>
      <c r="H4049">
        <v>0.108547052298736</v>
      </c>
      <c r="I4049">
        <v>7.5665542771035502E-2</v>
      </c>
      <c r="J4049">
        <v>5.0544738664455802E-2</v>
      </c>
      <c r="K4049">
        <v>3.5919919585705E-2</v>
      </c>
      <c r="L4049">
        <v>1065.94623051179</v>
      </c>
      <c r="M4049">
        <v>21.392123893643699</v>
      </c>
      <c r="N4049">
        <v>50.150815270380697</v>
      </c>
      <c r="O4049">
        <v>49.399605572585699</v>
      </c>
      <c r="P4049">
        <v>-0.101318206559145</v>
      </c>
      <c r="Q4049">
        <v>6.4150035009938003E-2</v>
      </c>
      <c r="R4049">
        <v>0.99758371248633904</v>
      </c>
      <c r="S4049" t="s">
        <v>10665</v>
      </c>
      <c r="T4049" t="s">
        <v>13232</v>
      </c>
      <c r="U4049" t="s">
        <v>13232</v>
      </c>
      <c r="V4049" t="s">
        <v>13232</v>
      </c>
      <c r="W4049" t="s">
        <v>17219</v>
      </c>
      <c r="X4049">
        <v>5</v>
      </c>
      <c r="Y4049" t="s">
        <v>23637</v>
      </c>
      <c r="Z4049" t="s">
        <v>30180</v>
      </c>
      <c r="AA4049">
        <v>0.38217678230652019</v>
      </c>
      <c r="AB4049" t="str">
        <f>HYPERLINK("Melting_Curves/meltCurve_Q7L8L6_FASTKD5.pdf", "Melting_Curves/meltCurve_Q7L8L6_FASTKD5.pdf")</f>
        <v>Melting_Curves/meltCurve_Q7L8L6_FASTKD5.pdf</v>
      </c>
    </row>
    <row r="4050" spans="1:28" x14ac:dyDescent="0.25">
      <c r="A4050" t="s">
        <v>4053</v>
      </c>
      <c r="B4050">
        <v>0.99930955844802105</v>
      </c>
      <c r="C4050">
        <v>1.01675635661828</v>
      </c>
      <c r="D4050">
        <v>0.92354608344579803</v>
      </c>
      <c r="E4050">
        <v>0.70292873001235501</v>
      </c>
      <c r="F4050">
        <v>0.30382085963077199</v>
      </c>
      <c r="G4050">
        <v>0.17317683872207301</v>
      </c>
      <c r="H4050">
        <v>0.111781831025273</v>
      </c>
      <c r="I4050">
        <v>9.6115918290553201E-2</v>
      </c>
      <c r="J4050">
        <v>8.1019028615013297E-2</v>
      </c>
      <c r="K4050">
        <v>6.5460076946356402E-2</v>
      </c>
      <c r="L4050">
        <v>1407.9769852905499</v>
      </c>
      <c r="M4050">
        <v>27.5568619433955</v>
      </c>
      <c r="N4050">
        <v>51.459260737953002</v>
      </c>
      <c r="O4050">
        <v>50.826723212005199</v>
      </c>
      <c r="P4050">
        <v>-0.123489644696008</v>
      </c>
      <c r="Q4050">
        <v>8.8935935050934695E-2</v>
      </c>
      <c r="R4050">
        <v>0.99648748015027699</v>
      </c>
      <c r="S4050" t="s">
        <v>10666</v>
      </c>
      <c r="T4050" t="s">
        <v>13232</v>
      </c>
      <c r="U4050" t="s">
        <v>13232</v>
      </c>
      <c r="V4050" t="s">
        <v>13232</v>
      </c>
      <c r="W4050" t="s">
        <v>17220</v>
      </c>
      <c r="X4050">
        <v>10</v>
      </c>
      <c r="Y4050" t="s">
        <v>23638</v>
      </c>
      <c r="Z4050" t="s">
        <v>30181</v>
      </c>
      <c r="AA4050">
        <v>0.43262922507986701</v>
      </c>
      <c r="AB4050" t="str">
        <f>HYPERLINK("Melting_Curves/meltCurve_Q7L8W6_ATPBD4.pdf", "Melting_Curves/meltCurve_Q7L8W6_ATPBD4.pdf")</f>
        <v>Melting_Curves/meltCurve_Q7L8W6_ATPBD4.pdf</v>
      </c>
    </row>
    <row r="4051" spans="1:28" x14ac:dyDescent="0.25">
      <c r="A4051" t="s">
        <v>4054</v>
      </c>
      <c r="B4051">
        <v>0.99930955844802105</v>
      </c>
      <c r="C4051">
        <v>1.12342329968303</v>
      </c>
      <c r="D4051">
        <v>1.0893221960591799</v>
      </c>
      <c r="E4051">
        <v>1.3216732932470201</v>
      </c>
      <c r="F4051">
        <v>1.4721363803513801</v>
      </c>
      <c r="G4051">
        <v>1.3301609449637899</v>
      </c>
      <c r="H4051">
        <v>1.4417549361498301</v>
      </c>
      <c r="I4051">
        <v>1.72488729830593</v>
      </c>
      <c r="J4051">
        <v>1.7262822936454301</v>
      </c>
      <c r="K4051">
        <v>1.4723036764875299</v>
      </c>
      <c r="L4051">
        <v>898.005217544787</v>
      </c>
      <c r="M4051">
        <v>18.538918380476701</v>
      </c>
      <c r="O4051">
        <v>47.885870323043399</v>
      </c>
      <c r="P4051">
        <v>4.83956249813976E-2</v>
      </c>
      <c r="Q4051">
        <v>1.5</v>
      </c>
      <c r="R4051">
        <v>0.74906162609053795</v>
      </c>
      <c r="S4051" t="s">
        <v>10667</v>
      </c>
      <c r="T4051" t="s">
        <v>13232</v>
      </c>
      <c r="U4051" t="s">
        <v>13232</v>
      </c>
      <c r="V4051" t="s">
        <v>13232</v>
      </c>
      <c r="W4051" t="s">
        <v>17221</v>
      </c>
      <c r="X4051">
        <v>2</v>
      </c>
      <c r="Y4051" t="s">
        <v>23639</v>
      </c>
      <c r="Z4051" t="s">
        <v>30182</v>
      </c>
      <c r="AA4051">
        <v>1.3511009071094691</v>
      </c>
      <c r="AB4051" t="str">
        <f>HYPERLINK("Melting_Curves/meltCurve_Q7L945_ZNF627.pdf", "Melting_Curves/meltCurve_Q7L945_ZNF627.pdf")</f>
        <v>Melting_Curves/meltCurve_Q7L945_ZNF627.pdf</v>
      </c>
    </row>
    <row r="4052" spans="1:28" x14ac:dyDescent="0.25">
      <c r="A4052" t="s">
        <v>4055</v>
      </c>
      <c r="B4052">
        <v>0.99930955844802105</v>
      </c>
      <c r="C4052">
        <v>0.99971656228874195</v>
      </c>
      <c r="D4052">
        <v>0.93555049605040796</v>
      </c>
      <c r="E4052">
        <v>0.80856878075600802</v>
      </c>
      <c r="F4052">
        <v>0.58900875248721796</v>
      </c>
      <c r="G4052">
        <v>0.46650222672451502</v>
      </c>
      <c r="H4052">
        <v>0.44733705361843901</v>
      </c>
      <c r="I4052">
        <v>0.477689700133412</v>
      </c>
      <c r="J4052">
        <v>0.457296540355763</v>
      </c>
      <c r="K4052">
        <v>0.37393847682560699</v>
      </c>
      <c r="L4052">
        <v>1228.27202157539</v>
      </c>
      <c r="M4052">
        <v>24.031210575876699</v>
      </c>
      <c r="N4052">
        <v>55.7199089876217</v>
      </c>
      <c r="O4052">
        <v>50.761522214004899</v>
      </c>
      <c r="P4052">
        <v>-6.7286998487382996E-2</v>
      </c>
      <c r="Q4052">
        <v>0.431482923677799</v>
      </c>
      <c r="R4052">
        <v>0.98757713948512504</v>
      </c>
      <c r="S4052" t="s">
        <v>10668</v>
      </c>
      <c r="T4052" t="s">
        <v>13232</v>
      </c>
      <c r="U4052" t="s">
        <v>13232</v>
      </c>
      <c r="V4052" t="s">
        <v>13232</v>
      </c>
      <c r="W4052" t="s">
        <v>17222</v>
      </c>
      <c r="X4052">
        <v>42</v>
      </c>
      <c r="Y4052" t="s">
        <v>23640</v>
      </c>
      <c r="Z4052" t="s">
        <v>30183</v>
      </c>
      <c r="AA4052">
        <v>0.64760840556341548</v>
      </c>
      <c r="AB4052" t="str">
        <f>HYPERLINK("Melting_Curves/meltCurve_Q7LBC6_KDM3B.pdf", "Melting_Curves/meltCurve_Q7LBC6_KDM3B.pdf")</f>
        <v>Melting_Curves/meltCurve_Q7LBC6_KDM3B.pdf</v>
      </c>
    </row>
    <row r="4053" spans="1:28" x14ac:dyDescent="0.25">
      <c r="A4053" t="s">
        <v>4056</v>
      </c>
      <c r="B4053">
        <v>0.99930955844802105</v>
      </c>
      <c r="C4053">
        <v>1.28736700029719</v>
      </c>
      <c r="D4053">
        <v>1.2811672554454401</v>
      </c>
      <c r="E4053">
        <v>1.0942291344325099</v>
      </c>
      <c r="F4053">
        <v>0.62946750580110999</v>
      </c>
      <c r="G4053">
        <v>0.24348480555052901</v>
      </c>
      <c r="H4053">
        <v>0.110609515595621</v>
      </c>
      <c r="I4053">
        <v>9.02665560722576E-2</v>
      </c>
      <c r="J4053">
        <v>9.5778288223636807E-2</v>
      </c>
      <c r="K4053">
        <v>7.1357537678521293E-2</v>
      </c>
      <c r="L4053">
        <v>2274.3614396286098</v>
      </c>
      <c r="M4053">
        <v>42.348389980333799</v>
      </c>
      <c r="N4053">
        <v>54.001420592372803</v>
      </c>
      <c r="O4053">
        <v>53.586639038476797</v>
      </c>
      <c r="P4053">
        <v>-0.177141397819849</v>
      </c>
      <c r="Q4053">
        <v>0.103399716320683</v>
      </c>
      <c r="R4053">
        <v>0.92503781057358303</v>
      </c>
      <c r="S4053" t="s">
        <v>10669</v>
      </c>
      <c r="T4053" t="s">
        <v>13232</v>
      </c>
      <c r="U4053" t="s">
        <v>13232</v>
      </c>
      <c r="V4053" t="s">
        <v>13232</v>
      </c>
      <c r="W4053" t="s">
        <v>17223</v>
      </c>
      <c r="X4053">
        <v>5</v>
      </c>
      <c r="Y4053" t="s">
        <v>23641</v>
      </c>
      <c r="Z4053" t="s">
        <v>30184</v>
      </c>
      <c r="AA4053">
        <v>0.51598961622790929</v>
      </c>
      <c r="AB4053" t="str">
        <f>HYPERLINK("Melting_Curves/meltCurve_Q7LBR1_CHMP1B.pdf", "Melting_Curves/meltCurve_Q7LBR1_CHMP1B.pdf")</f>
        <v>Melting_Curves/meltCurve_Q7LBR1_CHMP1B.pdf</v>
      </c>
    </row>
    <row r="4054" spans="1:28" x14ac:dyDescent="0.25">
      <c r="A4054" t="s">
        <v>4057</v>
      </c>
      <c r="B4054">
        <v>0.99930955844802105</v>
      </c>
      <c r="C4054">
        <v>0.91680307037741504</v>
      </c>
      <c r="D4054">
        <v>0.65750910955985797</v>
      </c>
      <c r="E4054">
        <v>0.47891176902520999</v>
      </c>
      <c r="F4054">
        <v>0.337257092757896</v>
      </c>
      <c r="G4054">
        <v>0.21400019733233899</v>
      </c>
      <c r="H4054">
        <v>0.195302963771462</v>
      </c>
      <c r="I4054">
        <v>0.21724533959398401</v>
      </c>
      <c r="J4054">
        <v>0.21808537784728499</v>
      </c>
      <c r="K4054">
        <v>0.16097620713892799</v>
      </c>
      <c r="L4054">
        <v>764.71806167587795</v>
      </c>
      <c r="M4054">
        <v>16.022160565017501</v>
      </c>
      <c r="N4054">
        <v>49.135823650769503</v>
      </c>
      <c r="O4054">
        <v>47.003826085101203</v>
      </c>
      <c r="P4054">
        <v>-6.9544267952765595E-2</v>
      </c>
      <c r="Q4054">
        <v>0.183982289151708</v>
      </c>
      <c r="R4054">
        <v>0.98996039347788001</v>
      </c>
      <c r="S4054" t="s">
        <v>10670</v>
      </c>
      <c r="T4054" t="s">
        <v>13232</v>
      </c>
      <c r="U4054" t="s">
        <v>13232</v>
      </c>
      <c r="V4054" t="s">
        <v>13232</v>
      </c>
      <c r="W4054" t="s">
        <v>17224</v>
      </c>
      <c r="X4054">
        <v>3</v>
      </c>
      <c r="Y4054" t="s">
        <v>23642</v>
      </c>
      <c r="Z4054" t="s">
        <v>30185</v>
      </c>
      <c r="AA4054">
        <v>0.41282651464113412</v>
      </c>
      <c r="AB4054" t="str">
        <f>HYPERLINK("Melting_Curves/meltCurve_Q7LDG7_RASGRP2.pdf", "Melting_Curves/meltCurve_Q7LDG7_RASGRP2.pdf")</f>
        <v>Melting_Curves/meltCurve_Q7LDG7_RASGRP2.pdf</v>
      </c>
    </row>
    <row r="4055" spans="1:28" x14ac:dyDescent="0.25">
      <c r="A4055" t="s">
        <v>4058</v>
      </c>
      <c r="B4055">
        <v>0.99930955844802105</v>
      </c>
      <c r="C4055">
        <v>1.0705560755688499</v>
      </c>
      <c r="D4055">
        <v>1.0642176821990901</v>
      </c>
      <c r="E4055">
        <v>0.99120540709984595</v>
      </c>
      <c r="F4055">
        <v>0.94050622326509903</v>
      </c>
      <c r="G4055">
        <v>0.89946345604469402</v>
      </c>
      <c r="H4055">
        <v>0.758531373835864</v>
      </c>
      <c r="I4055">
        <v>0.67370156178692797</v>
      </c>
      <c r="J4055">
        <v>0.51462316104286598</v>
      </c>
      <c r="K4055">
        <v>0.244271800395196</v>
      </c>
      <c r="L4055">
        <v>1013.84971285176</v>
      </c>
      <c r="M4055">
        <v>15.284893853395999</v>
      </c>
      <c r="N4055">
        <v>66.330156030787705</v>
      </c>
      <c r="O4055">
        <v>65.225899426269706</v>
      </c>
      <c r="P4055">
        <v>-5.8589948301089198E-2</v>
      </c>
      <c r="Q4055">
        <v>0</v>
      </c>
      <c r="R4055">
        <v>0.96788965114540004</v>
      </c>
      <c r="S4055" t="s">
        <v>10671</v>
      </c>
      <c r="T4055" t="s">
        <v>13232</v>
      </c>
      <c r="U4055" t="s">
        <v>13232</v>
      </c>
      <c r="V4055" t="s">
        <v>13232</v>
      </c>
      <c r="W4055" t="s">
        <v>17225</v>
      </c>
      <c r="X4055">
        <v>17</v>
      </c>
      <c r="Y4055" t="s">
        <v>23643</v>
      </c>
      <c r="Z4055" t="s">
        <v>30186</v>
      </c>
      <c r="AA4055">
        <v>0.83933917379648837</v>
      </c>
      <c r="AB4055" t="str">
        <f>HYPERLINK("Melting_Curves/meltCurve_Q7LG56_RRM2B.pdf", "Melting_Curves/meltCurve_Q7LG56_RRM2B.pdf")</f>
        <v>Melting_Curves/meltCurve_Q7LG56_RRM2B.pdf</v>
      </c>
    </row>
    <row r="4056" spans="1:28" x14ac:dyDescent="0.25">
      <c r="A4056" t="s">
        <v>4059</v>
      </c>
      <c r="B4056">
        <v>0.99930955844802105</v>
      </c>
      <c r="C4056">
        <v>0.89326854224720298</v>
      </c>
      <c r="D4056">
        <v>0.81368510519571302</v>
      </c>
      <c r="E4056">
        <v>0.77897559579065201</v>
      </c>
      <c r="F4056">
        <v>0.79522091008278295</v>
      </c>
      <c r="G4056">
        <v>0.54103042809195101</v>
      </c>
      <c r="H4056">
        <v>0.246688138178671</v>
      </c>
      <c r="I4056">
        <v>0.11038044332628</v>
      </c>
      <c r="J4056">
        <v>8.4191334567446596E-2</v>
      </c>
      <c r="K4056">
        <v>6.5056514080612193E-2</v>
      </c>
      <c r="L4056">
        <v>756.06822055730197</v>
      </c>
      <c r="M4056">
        <v>13.3686101360347</v>
      </c>
      <c r="N4056">
        <v>56.555481669750101</v>
      </c>
      <c r="O4056">
        <v>55.334954512605897</v>
      </c>
      <c r="P4056">
        <v>-6.04081303575991E-2</v>
      </c>
      <c r="Q4056">
        <v>0</v>
      </c>
      <c r="R4056">
        <v>0.958422785939681</v>
      </c>
      <c r="S4056" t="s">
        <v>10672</v>
      </c>
      <c r="T4056" t="s">
        <v>13232</v>
      </c>
      <c r="U4056" t="s">
        <v>13232</v>
      </c>
      <c r="V4056" t="s">
        <v>13232</v>
      </c>
      <c r="W4056" t="s">
        <v>17226</v>
      </c>
      <c r="X4056">
        <v>6</v>
      </c>
      <c r="Y4056" t="s">
        <v>23644</v>
      </c>
      <c r="Z4056" t="s">
        <v>30187</v>
      </c>
      <c r="AA4056">
        <v>0.56971906506195691</v>
      </c>
      <c r="AB4056" t="str">
        <f>HYPERLINK("Melting_Curves/meltCurve_Q7RTN6_6_STRADA.pdf", "Melting_Curves/meltCurve_Q7RTN6_6_STRADA.pdf")</f>
        <v>Melting_Curves/meltCurve_Q7RTN6_6_STRADA.pdf</v>
      </c>
    </row>
    <row r="4057" spans="1:28" x14ac:dyDescent="0.25">
      <c r="A4057" t="s">
        <v>4060</v>
      </c>
      <c r="B4057">
        <v>0.99930955844802105</v>
      </c>
      <c r="C4057">
        <v>0.99292742759895303</v>
      </c>
      <c r="D4057">
        <v>0.96019725613793006</v>
      </c>
      <c r="E4057">
        <v>0.81542743356899805</v>
      </c>
      <c r="F4057">
        <v>0.57807910909105298</v>
      </c>
      <c r="G4057">
        <v>0.478267616359632</v>
      </c>
      <c r="H4057">
        <v>0.42725524683361599</v>
      </c>
      <c r="I4057">
        <v>0.43483446871252002</v>
      </c>
      <c r="J4057">
        <v>0.44983561560348301</v>
      </c>
      <c r="K4057">
        <v>0.356530693368448</v>
      </c>
      <c r="L4057">
        <v>1283.53024121917</v>
      </c>
      <c r="M4057">
        <v>25.0060005285175</v>
      </c>
      <c r="N4057">
        <v>55.2362261650701</v>
      </c>
      <c r="O4057">
        <v>51.004000718550898</v>
      </c>
      <c r="P4057">
        <v>-7.1735773322285201E-2</v>
      </c>
      <c r="Q4057">
        <v>0.41473851090420899</v>
      </c>
      <c r="R4057">
        <v>0.99052455999150602</v>
      </c>
      <c r="S4057" t="s">
        <v>10673</v>
      </c>
      <c r="T4057" t="s">
        <v>13232</v>
      </c>
      <c r="U4057" t="s">
        <v>13232</v>
      </c>
      <c r="V4057" t="s">
        <v>13232</v>
      </c>
      <c r="W4057" t="s">
        <v>17227</v>
      </c>
      <c r="X4057">
        <v>36</v>
      </c>
      <c r="Y4057" t="s">
        <v>23645</v>
      </c>
      <c r="Z4057" t="s">
        <v>30188</v>
      </c>
      <c r="AA4057">
        <v>0.64105420043848294</v>
      </c>
      <c r="AB4057" t="str">
        <f>HYPERLINK("Melting_Curves/meltCurve_Q7RTP6_MICAL3.pdf", "Melting_Curves/meltCurve_Q7RTP6_MICAL3.pdf")</f>
        <v>Melting_Curves/meltCurve_Q7RTP6_MICAL3.pdf</v>
      </c>
    </row>
    <row r="4058" spans="1:28" x14ac:dyDescent="0.25">
      <c r="A4058" t="s">
        <v>4061</v>
      </c>
      <c r="B4058">
        <v>0.99930955844802105</v>
      </c>
      <c r="C4058">
        <v>0.96508868152560601</v>
      </c>
      <c r="D4058">
        <v>0.62115004714194799</v>
      </c>
      <c r="E4058">
        <v>0.78479353067865498</v>
      </c>
      <c r="F4058">
        <v>1.88558383859175</v>
      </c>
      <c r="G4058">
        <v>0.54730336520855105</v>
      </c>
      <c r="H4058">
        <v>0.65556236613362695</v>
      </c>
      <c r="I4058">
        <v>0.59449464801947605</v>
      </c>
      <c r="J4058">
        <v>0.79986854600145996</v>
      </c>
      <c r="K4058">
        <v>0.19244108882404501</v>
      </c>
      <c r="L4058">
        <v>862.65873118367699</v>
      </c>
      <c r="M4058">
        <v>12.8952491478261</v>
      </c>
      <c r="N4058">
        <v>66.897417338952494</v>
      </c>
      <c r="O4058">
        <v>65.349883015336303</v>
      </c>
      <c r="P4058">
        <v>-4.9340563363162802E-2</v>
      </c>
      <c r="Q4058">
        <v>0</v>
      </c>
      <c r="R4058">
        <v>0.27129949312437501</v>
      </c>
      <c r="S4058" t="s">
        <v>10674</v>
      </c>
      <c r="T4058" t="s">
        <v>13232</v>
      </c>
      <c r="U4058" t="s">
        <v>13232</v>
      </c>
      <c r="V4058" t="s">
        <v>13232</v>
      </c>
      <c r="W4058" t="s">
        <v>17228</v>
      </c>
      <c r="X4058">
        <v>6</v>
      </c>
      <c r="Y4058" t="s">
        <v>23646</v>
      </c>
      <c r="Z4058" t="s">
        <v>30189</v>
      </c>
      <c r="AA4058">
        <v>0.83880091692748771</v>
      </c>
      <c r="AB4058" t="str">
        <f>HYPERLINK("Melting_Curves/meltCurve_Q7RTS7_KRT74.pdf", "Melting_Curves/meltCurve_Q7RTS7_KRT74.pdf")</f>
        <v>Melting_Curves/meltCurve_Q7RTS7_KRT74.pdf</v>
      </c>
    </row>
    <row r="4059" spans="1:28" x14ac:dyDescent="0.25">
      <c r="A4059" t="s">
        <v>4062</v>
      </c>
      <c r="B4059">
        <v>0.99930955844802105</v>
      </c>
      <c r="C4059">
        <v>1.13391520834183</v>
      </c>
      <c r="D4059">
        <v>1.0707647657872801</v>
      </c>
      <c r="E4059">
        <v>0.695975224323227</v>
      </c>
      <c r="F4059">
        <v>0.21758075713027</v>
      </c>
      <c r="G4059">
        <v>0.14487624014790801</v>
      </c>
      <c r="H4059">
        <v>0.10268207484868901</v>
      </c>
      <c r="I4059">
        <v>9.5374385773221604E-2</v>
      </c>
      <c r="J4059">
        <v>8.5678786000374693E-2</v>
      </c>
      <c r="K4059">
        <v>5.6869080076367803E-2</v>
      </c>
      <c r="L4059">
        <v>2312.9374212605098</v>
      </c>
      <c r="M4059">
        <v>45.545431511464898</v>
      </c>
      <c r="N4059">
        <v>51.022286071965397</v>
      </c>
      <c r="O4059">
        <v>50.685492380120799</v>
      </c>
      <c r="P4059">
        <v>-0.20305044931151101</v>
      </c>
      <c r="Q4059">
        <v>9.6138085305679896E-2</v>
      </c>
      <c r="R4059">
        <v>0.98536586730509101</v>
      </c>
      <c r="S4059" t="s">
        <v>10675</v>
      </c>
      <c r="T4059" t="s">
        <v>13232</v>
      </c>
      <c r="U4059" t="s">
        <v>13232</v>
      </c>
      <c r="V4059" t="s">
        <v>13232</v>
      </c>
      <c r="W4059" t="s">
        <v>17229</v>
      </c>
      <c r="X4059">
        <v>7</v>
      </c>
      <c r="Y4059" t="s">
        <v>23647</v>
      </c>
      <c r="Z4059" t="s">
        <v>30190</v>
      </c>
      <c r="AA4059">
        <v>0.42346148342157908</v>
      </c>
      <c r="AB4059" t="str">
        <f>HYPERLINK("Melting_Curves/meltCurve_Q7RTS9_DYM.pdf", "Melting_Curves/meltCurve_Q7RTS9_DYM.pdf")</f>
        <v>Melting_Curves/meltCurve_Q7RTS9_DYM.pdf</v>
      </c>
    </row>
    <row r="4060" spans="1:28" x14ac:dyDescent="0.25">
      <c r="A4060" t="s">
        <v>4063</v>
      </c>
      <c r="B4060">
        <v>0.99930955844802105</v>
      </c>
      <c r="C4060">
        <v>0.59961116515490498</v>
      </c>
      <c r="D4060">
        <v>0.67206720296244604</v>
      </c>
      <c r="E4060">
        <v>0.77095597934747195</v>
      </c>
      <c r="F4060">
        <v>0.361597032213405</v>
      </c>
      <c r="G4060">
        <v>0.215118588995663</v>
      </c>
      <c r="H4060">
        <v>0.137672241640622</v>
      </c>
      <c r="I4060">
        <v>0.131292635808233</v>
      </c>
      <c r="J4060">
        <v>0.136598801220466</v>
      </c>
      <c r="K4060">
        <v>0.104862020267143</v>
      </c>
      <c r="L4060">
        <v>419.73086828011799</v>
      </c>
      <c r="M4060">
        <v>8.2958147280354897</v>
      </c>
      <c r="N4060">
        <v>50.595517032376002</v>
      </c>
      <c r="O4060">
        <v>47.911230481689799</v>
      </c>
      <c r="P4060">
        <v>-4.3330157994820602E-2</v>
      </c>
      <c r="Q4060">
        <v>0</v>
      </c>
      <c r="R4060">
        <v>0.86338291862698202</v>
      </c>
      <c r="S4060" t="s">
        <v>10676</v>
      </c>
      <c r="T4060" t="s">
        <v>13232</v>
      </c>
      <c r="U4060" t="s">
        <v>13232</v>
      </c>
      <c r="V4060" t="s">
        <v>13232</v>
      </c>
      <c r="W4060" t="s">
        <v>17230</v>
      </c>
      <c r="X4060">
        <v>9</v>
      </c>
      <c r="Y4060" t="s">
        <v>23648</v>
      </c>
      <c r="Z4060" t="s">
        <v>30191</v>
      </c>
      <c r="AA4060">
        <v>0.406954246398671</v>
      </c>
      <c r="AB4060" t="str">
        <f>HYPERLINK("Melting_Curves/meltCurve_Q7RTV0_PHF5A.pdf", "Melting_Curves/meltCurve_Q7RTV0_PHF5A.pdf")</f>
        <v>Melting_Curves/meltCurve_Q7RTV0_PHF5A.pdf</v>
      </c>
    </row>
    <row r="4061" spans="1:28" x14ac:dyDescent="0.25">
      <c r="A4061" t="s">
        <v>4064</v>
      </c>
      <c r="B4061">
        <v>0.99930955844802105</v>
      </c>
      <c r="C4061">
        <v>1.0706693994918901</v>
      </c>
      <c r="D4061">
        <v>0.92994922714080797</v>
      </c>
      <c r="E4061">
        <v>0.578979157511333</v>
      </c>
      <c r="F4061">
        <v>0.281897891352061</v>
      </c>
      <c r="G4061">
        <v>0.20317174307219499</v>
      </c>
      <c r="H4061">
        <v>0.116302027425017</v>
      </c>
      <c r="I4061">
        <v>8.7919797947214606E-2</v>
      </c>
      <c r="J4061">
        <v>8.6976770240441606E-2</v>
      </c>
      <c r="K4061">
        <v>7.1664365052473894E-2</v>
      </c>
      <c r="L4061">
        <v>1270.65527027649</v>
      </c>
      <c r="M4061">
        <v>25.243238352121601</v>
      </c>
      <c r="N4061">
        <v>50.773229805695799</v>
      </c>
      <c r="O4061">
        <v>50.023755277967801</v>
      </c>
      <c r="P4061">
        <v>-0.113845563377625</v>
      </c>
      <c r="Q4061">
        <v>9.7594616453779398E-2</v>
      </c>
      <c r="R4061">
        <v>0.99233438568950305</v>
      </c>
      <c r="S4061" t="s">
        <v>10677</v>
      </c>
      <c r="T4061" t="s">
        <v>13232</v>
      </c>
      <c r="U4061" t="s">
        <v>13232</v>
      </c>
      <c r="V4061" t="s">
        <v>13232</v>
      </c>
      <c r="W4061" t="s">
        <v>17231</v>
      </c>
      <c r="X4061">
        <v>7</v>
      </c>
      <c r="Y4061" t="s">
        <v>23649</v>
      </c>
      <c r="Z4061" t="s">
        <v>30192</v>
      </c>
      <c r="AA4061">
        <v>0.41645600255309501</v>
      </c>
      <c r="AB4061" t="str">
        <f>HYPERLINK("Melting_Curves/meltCurve_Q7Z2E3_3_APTX.pdf", "Melting_Curves/meltCurve_Q7Z2E3_3_APTX.pdf")</f>
        <v>Melting_Curves/meltCurve_Q7Z2E3_3_APTX.pdf</v>
      </c>
    </row>
    <row r="4062" spans="1:28" x14ac:dyDescent="0.25">
      <c r="A4062" t="s">
        <v>4065</v>
      </c>
      <c r="B4062">
        <v>0.99930955844802105</v>
      </c>
      <c r="C4062">
        <v>1.12786155138372</v>
      </c>
      <c r="D4062">
        <v>1.1179352049868401</v>
      </c>
      <c r="E4062">
        <v>1.03818343954732</v>
      </c>
      <c r="F4062">
        <v>0.91811215404117397</v>
      </c>
      <c r="G4062">
        <v>0.77600364728984295</v>
      </c>
      <c r="H4062">
        <v>0.80227603989223895</v>
      </c>
      <c r="I4062">
        <v>0.93523356785921097</v>
      </c>
      <c r="J4062">
        <v>0.96397380345226102</v>
      </c>
      <c r="K4062">
        <v>0.75854795521193696</v>
      </c>
      <c r="L4062">
        <v>13242.3676783267</v>
      </c>
      <c r="M4062">
        <v>250</v>
      </c>
      <c r="O4062">
        <v>52.966094337350903</v>
      </c>
      <c r="P4062">
        <v>-0.18029581087301499</v>
      </c>
      <c r="Q4062">
        <v>0.84720699961235002</v>
      </c>
      <c r="R4062">
        <v>0.574259185011467</v>
      </c>
      <c r="S4062" t="s">
        <v>10678</v>
      </c>
      <c r="T4062" t="s">
        <v>13232</v>
      </c>
      <c r="U4062" t="s">
        <v>13232</v>
      </c>
      <c r="V4062" t="s">
        <v>13232</v>
      </c>
      <c r="W4062" t="s">
        <v>17232</v>
      </c>
      <c r="X4062">
        <v>20</v>
      </c>
      <c r="Y4062" t="s">
        <v>23650</v>
      </c>
      <c r="Z4062" t="s">
        <v>30193</v>
      </c>
      <c r="AA4062">
        <v>0.91327601479837017</v>
      </c>
      <c r="AB4062" t="str">
        <f>HYPERLINK("Melting_Curves/meltCurve_Q7Z2K8_GPRIN1.pdf", "Melting_Curves/meltCurve_Q7Z2K8_GPRIN1.pdf")</f>
        <v>Melting_Curves/meltCurve_Q7Z2K8_GPRIN1.pdf</v>
      </c>
    </row>
    <row r="4063" spans="1:28" x14ac:dyDescent="0.25">
      <c r="A4063" t="s">
        <v>4066</v>
      </c>
      <c r="B4063">
        <v>0.99930955844802105</v>
      </c>
      <c r="C4063">
        <v>0.87837159378440699</v>
      </c>
      <c r="D4063">
        <v>0.88022342972504997</v>
      </c>
      <c r="E4063">
        <v>0.84098980205329499</v>
      </c>
      <c r="F4063">
        <v>0.44219869982179499</v>
      </c>
      <c r="G4063">
        <v>0.18859056475885799</v>
      </c>
      <c r="H4063">
        <v>0.11513593261668</v>
      </c>
      <c r="I4063">
        <v>0.102245814373206</v>
      </c>
      <c r="J4063">
        <v>0.104152255276856</v>
      </c>
      <c r="K4063">
        <v>7.8160496389395498E-2</v>
      </c>
      <c r="L4063">
        <v>1389.1107538446599</v>
      </c>
      <c r="M4063">
        <v>26.557749009291001</v>
      </c>
      <c r="N4063">
        <v>52.706995611909399</v>
      </c>
      <c r="O4063">
        <v>52.011405709222501</v>
      </c>
      <c r="P4063">
        <v>-0.115959333451795</v>
      </c>
      <c r="Q4063">
        <v>9.1617786352527306E-2</v>
      </c>
      <c r="R4063">
        <v>0.98065421873453595</v>
      </c>
      <c r="S4063" t="s">
        <v>10679</v>
      </c>
      <c r="T4063" t="s">
        <v>13232</v>
      </c>
      <c r="U4063" t="s">
        <v>13232</v>
      </c>
      <c r="V4063" t="s">
        <v>13232</v>
      </c>
      <c r="W4063" t="s">
        <v>17233</v>
      </c>
      <c r="X4063">
        <v>18</v>
      </c>
      <c r="Y4063" t="s">
        <v>23651</v>
      </c>
      <c r="Z4063" t="s">
        <v>30194</v>
      </c>
      <c r="AA4063">
        <v>0.47161783430779181</v>
      </c>
      <c r="AB4063" t="str">
        <f>HYPERLINK("Melting_Curves/meltCurve_Q7Z2T5_TRMT1L.pdf", "Melting_Curves/meltCurve_Q7Z2T5_TRMT1L.pdf")</f>
        <v>Melting_Curves/meltCurve_Q7Z2T5_TRMT1L.pdf</v>
      </c>
    </row>
    <row r="4064" spans="1:28" x14ac:dyDescent="0.25">
      <c r="A4064" t="s">
        <v>4067</v>
      </c>
      <c r="B4064">
        <v>0.99930955844802105</v>
      </c>
      <c r="C4064">
        <v>0.99536009957237404</v>
      </c>
      <c r="D4064">
        <v>0.79508567121007201</v>
      </c>
      <c r="E4064">
        <v>0.63772427127945397</v>
      </c>
      <c r="F4064">
        <v>0.49643485455330799</v>
      </c>
      <c r="G4064">
        <v>0.39095558019760901</v>
      </c>
      <c r="H4064">
        <v>0.35396636218514299</v>
      </c>
      <c r="I4064">
        <v>0.40587490973562201</v>
      </c>
      <c r="J4064">
        <v>0.38755847896423501</v>
      </c>
      <c r="K4064">
        <v>0.31500084684152402</v>
      </c>
      <c r="L4064">
        <v>840.90565312898002</v>
      </c>
      <c r="M4064">
        <v>17.1782903845805</v>
      </c>
      <c r="N4064">
        <v>52.7233923586343</v>
      </c>
      <c r="O4064">
        <v>48.302717788318702</v>
      </c>
      <c r="P4064">
        <v>-5.7466201481224402E-2</v>
      </c>
      <c r="Q4064">
        <v>0.35369372547168099</v>
      </c>
      <c r="R4064">
        <v>0.984654841768691</v>
      </c>
      <c r="S4064" t="s">
        <v>10680</v>
      </c>
      <c r="T4064" t="s">
        <v>13232</v>
      </c>
      <c r="U4064" t="s">
        <v>13232</v>
      </c>
      <c r="V4064" t="s">
        <v>13232</v>
      </c>
      <c r="W4064" t="s">
        <v>17234</v>
      </c>
      <c r="X4064">
        <v>31</v>
      </c>
      <c r="Y4064" t="s">
        <v>23652</v>
      </c>
      <c r="Z4064" t="s">
        <v>30195</v>
      </c>
      <c r="AA4064">
        <v>0.55883907710524861</v>
      </c>
      <c r="AB4064" t="str">
        <f>HYPERLINK("Melting_Curves/meltCurve_Q7Z2W4_ZC3HAV1.pdf", "Melting_Curves/meltCurve_Q7Z2W4_ZC3HAV1.pdf")</f>
        <v>Melting_Curves/meltCurve_Q7Z2W4_ZC3HAV1.pdf</v>
      </c>
    </row>
    <row r="4065" spans="1:28" x14ac:dyDescent="0.25">
      <c r="A4065" t="s">
        <v>4068</v>
      </c>
      <c r="B4065">
        <v>0.99930955844802105</v>
      </c>
      <c r="C4065">
        <v>0.99167180071404204</v>
      </c>
      <c r="D4065">
        <v>1.0887428074244001</v>
      </c>
      <c r="E4065">
        <v>0.93247593921479699</v>
      </c>
      <c r="F4065">
        <v>0.89700351673830903</v>
      </c>
      <c r="G4065">
        <v>0.71616200773876404</v>
      </c>
      <c r="H4065">
        <v>0.43037737757984301</v>
      </c>
      <c r="I4065">
        <v>0.46956412848759599</v>
      </c>
      <c r="J4065">
        <v>0.41427057906536802</v>
      </c>
      <c r="K4065">
        <v>0.33366072579788197</v>
      </c>
      <c r="L4065">
        <v>1230.1593536380201</v>
      </c>
      <c r="M4065">
        <v>21.523851053472701</v>
      </c>
      <c r="N4065">
        <v>60.741831124638999</v>
      </c>
      <c r="O4065">
        <v>56.666828225706297</v>
      </c>
      <c r="P4065">
        <v>-6.0792845351987201E-2</v>
      </c>
      <c r="Q4065">
        <v>0.35980718263151001</v>
      </c>
      <c r="R4065">
        <v>0.97418986542860198</v>
      </c>
      <c r="S4065" t="s">
        <v>10681</v>
      </c>
      <c r="T4065" t="s">
        <v>13232</v>
      </c>
      <c r="U4065" t="s">
        <v>13232</v>
      </c>
      <c r="V4065" t="s">
        <v>13232</v>
      </c>
      <c r="W4065" t="s">
        <v>17235</v>
      </c>
      <c r="X4065">
        <v>1</v>
      </c>
      <c r="Y4065" t="s">
        <v>23653</v>
      </c>
      <c r="Z4065" t="s">
        <v>30196</v>
      </c>
      <c r="AA4065">
        <v>0.73294828905537135</v>
      </c>
      <c r="AB4065" t="str">
        <f>HYPERLINK("Melting_Curves/meltCurve_Q7Z2Z1_2_TICRR.pdf", "Melting_Curves/meltCurve_Q7Z2Z1_2_TICRR.pdf")</f>
        <v>Melting_Curves/meltCurve_Q7Z2Z1_2_TICRR.pdf</v>
      </c>
    </row>
    <row r="4066" spans="1:28" x14ac:dyDescent="0.25">
      <c r="A4066" t="s">
        <v>4069</v>
      </c>
      <c r="B4066">
        <v>0.99930955844802105</v>
      </c>
      <c r="C4066">
        <v>1.04863802472368</v>
      </c>
      <c r="D4066">
        <v>0.85216044262249802</v>
      </c>
      <c r="E4066">
        <v>0.42662670532852098</v>
      </c>
      <c r="F4066">
        <v>0.22812190170387101</v>
      </c>
      <c r="G4066">
        <v>0.150082702476312</v>
      </c>
      <c r="H4066">
        <v>7.2101303177962595E-2</v>
      </c>
      <c r="I4066">
        <v>5.5176220908567102E-2</v>
      </c>
      <c r="J4066">
        <v>4.5090971577211002E-2</v>
      </c>
      <c r="K4066">
        <v>3.3261661058349698E-2</v>
      </c>
      <c r="L4066">
        <v>1160.39679805535</v>
      </c>
      <c r="M4066">
        <v>23.542092564691401</v>
      </c>
      <c r="N4066">
        <v>49.559596496930901</v>
      </c>
      <c r="O4066">
        <v>48.9387890066604</v>
      </c>
      <c r="P4066">
        <v>-0.11304440433785699</v>
      </c>
      <c r="Q4066">
        <v>6.0039209543255603E-2</v>
      </c>
      <c r="R4066">
        <v>0.99320680817539397</v>
      </c>
      <c r="S4066" t="s">
        <v>10682</v>
      </c>
      <c r="T4066" t="s">
        <v>13232</v>
      </c>
      <c r="U4066" t="s">
        <v>13232</v>
      </c>
      <c r="V4066" t="s">
        <v>13232</v>
      </c>
      <c r="W4066" t="s">
        <v>17236</v>
      </c>
      <c r="X4066">
        <v>31</v>
      </c>
      <c r="Y4066" t="s">
        <v>23654</v>
      </c>
      <c r="Z4066" t="s">
        <v>30197</v>
      </c>
      <c r="AA4066">
        <v>0.360560244799072</v>
      </c>
      <c r="AB4066" t="str">
        <f>HYPERLINK("Melting_Curves/meltCurve_Q7Z2Z2_EFTUD1.pdf", "Melting_Curves/meltCurve_Q7Z2Z2_EFTUD1.pdf")</f>
        <v>Melting_Curves/meltCurve_Q7Z2Z2_EFTUD1.pdf</v>
      </c>
    </row>
    <row r="4067" spans="1:28" x14ac:dyDescent="0.25">
      <c r="A4067" t="s">
        <v>4070</v>
      </c>
      <c r="B4067">
        <v>0.99930955844802105</v>
      </c>
      <c r="C4067">
        <v>0.93222947059858297</v>
      </c>
      <c r="D4067">
        <v>0.92940987768741501</v>
      </c>
      <c r="E4067">
        <v>0.83497614189418201</v>
      </c>
      <c r="F4067">
        <v>0.73643144747739298</v>
      </c>
      <c r="G4067">
        <v>0.53781388565241695</v>
      </c>
      <c r="H4067">
        <v>0.456316851086079</v>
      </c>
      <c r="I4067">
        <v>0.48248391752372899</v>
      </c>
      <c r="J4067">
        <v>0.42666436277562197</v>
      </c>
      <c r="K4067">
        <v>0.33653126722978199</v>
      </c>
      <c r="L4067">
        <v>630.74036383170301</v>
      </c>
      <c r="M4067">
        <v>11.6052987152369</v>
      </c>
      <c r="N4067">
        <v>59.968620700644003</v>
      </c>
      <c r="O4067">
        <v>52.810803608402601</v>
      </c>
      <c r="P4067">
        <v>-3.6738168375859699E-2</v>
      </c>
      <c r="Q4067">
        <v>0.33146397999341798</v>
      </c>
      <c r="R4067">
        <v>0.98247517680139096</v>
      </c>
      <c r="S4067" t="s">
        <v>10683</v>
      </c>
      <c r="T4067" t="s">
        <v>13232</v>
      </c>
      <c r="U4067" t="s">
        <v>13232</v>
      </c>
      <c r="V4067" t="s">
        <v>13232</v>
      </c>
      <c r="W4067" t="s">
        <v>17237</v>
      </c>
      <c r="X4067">
        <v>2</v>
      </c>
      <c r="Y4067" t="s">
        <v>23655</v>
      </c>
      <c r="Z4067" t="s">
        <v>30198</v>
      </c>
      <c r="AA4067">
        <v>0.6685674702447898</v>
      </c>
      <c r="AB4067" t="str">
        <f>HYPERLINK("Melting_Curves/meltCurve_Q7Z309_FAM122B.pdf", "Melting_Curves/meltCurve_Q7Z309_FAM122B.pdf")</f>
        <v>Melting_Curves/meltCurve_Q7Z309_FAM122B.pdf</v>
      </c>
    </row>
    <row r="4068" spans="1:28" x14ac:dyDescent="0.25">
      <c r="A4068" t="s">
        <v>4071</v>
      </c>
      <c r="B4068">
        <v>0.99930955844802105</v>
      </c>
      <c r="C4068">
        <v>1.12607965504091</v>
      </c>
      <c r="D4068">
        <v>0.99597857597810702</v>
      </c>
      <c r="E4068">
        <v>0.95837731081412603</v>
      </c>
      <c r="F4068">
        <v>0.89470741943082899</v>
      </c>
      <c r="G4068">
        <v>0.83755815694434299</v>
      </c>
      <c r="H4068">
        <v>0.90298314994611995</v>
      </c>
      <c r="I4068">
        <v>0.73359318157283104</v>
      </c>
      <c r="J4068">
        <v>0.98860442583862196</v>
      </c>
      <c r="K4068">
        <v>0.78662538218890299</v>
      </c>
      <c r="L4068">
        <v>1840.5898144349001</v>
      </c>
      <c r="M4068">
        <v>35.731040913582198</v>
      </c>
      <c r="O4068">
        <v>51.351795101237997</v>
      </c>
      <c r="P4068">
        <v>-2.61950267484229E-2</v>
      </c>
      <c r="Q4068">
        <v>0.84941303396046597</v>
      </c>
      <c r="R4068">
        <v>0.53851629393697797</v>
      </c>
      <c r="S4068" t="s">
        <v>10684</v>
      </c>
      <c r="T4068" t="s">
        <v>13232</v>
      </c>
      <c r="U4068" t="s">
        <v>13232</v>
      </c>
      <c r="V4068" t="s">
        <v>13232</v>
      </c>
      <c r="W4068" t="s">
        <v>17238</v>
      </c>
      <c r="X4068">
        <v>18</v>
      </c>
      <c r="Y4068" t="s">
        <v>23656</v>
      </c>
      <c r="Z4068" t="s">
        <v>30199</v>
      </c>
      <c r="AA4068">
        <v>0.90787269286522587</v>
      </c>
      <c r="AB4068" t="str">
        <f>HYPERLINK("Melting_Curves/meltCurve_Q7Z333_3_SETX.pdf", "Melting_Curves/meltCurve_Q7Z333_3_SETX.pdf")</f>
        <v>Melting_Curves/meltCurve_Q7Z333_3_SETX.pdf</v>
      </c>
    </row>
    <row r="4069" spans="1:28" x14ac:dyDescent="0.25">
      <c r="A4069" t="s">
        <v>4072</v>
      </c>
      <c r="B4069">
        <v>0.99930955844802105</v>
      </c>
      <c r="C4069">
        <v>0.62622865746491696</v>
      </c>
      <c r="D4069">
        <v>0.687884953640307</v>
      </c>
      <c r="E4069">
        <v>0.43087236110883298</v>
      </c>
      <c r="F4069">
        <v>0.14390406582052101</v>
      </c>
      <c r="G4069">
        <v>9.5435882438805505E-2</v>
      </c>
      <c r="H4069">
        <v>4.9703930553495E-2</v>
      </c>
      <c r="I4069">
        <v>4.7497895990946802E-2</v>
      </c>
      <c r="J4069">
        <v>3.9606170037657901E-2</v>
      </c>
      <c r="K4069">
        <v>2.98044705129464E-2</v>
      </c>
      <c r="L4069">
        <v>582.48432703182402</v>
      </c>
      <c r="M4069">
        <v>12.2346086522703</v>
      </c>
      <c r="N4069">
        <v>47.609560575684597</v>
      </c>
      <c r="O4069">
        <v>46.391230292037697</v>
      </c>
      <c r="P4069">
        <v>-6.5946459856170994E-2</v>
      </c>
      <c r="Q4069">
        <v>0</v>
      </c>
      <c r="R4069">
        <v>0.94968850798038396</v>
      </c>
      <c r="S4069" t="s">
        <v>10685</v>
      </c>
      <c r="T4069" t="s">
        <v>13232</v>
      </c>
      <c r="U4069" t="s">
        <v>13232</v>
      </c>
      <c r="V4069" t="s">
        <v>13232</v>
      </c>
      <c r="W4069" t="s">
        <v>17239</v>
      </c>
      <c r="X4069">
        <v>16</v>
      </c>
      <c r="Y4069" t="s">
        <v>23657</v>
      </c>
      <c r="Z4069" t="s">
        <v>30200</v>
      </c>
      <c r="AA4069">
        <v>0.29245145483469542</v>
      </c>
      <c r="AB4069" t="str">
        <f>HYPERLINK("Melting_Curves/meltCurve_Q7Z392_TRAPPC11.pdf", "Melting_Curves/meltCurve_Q7Z392_TRAPPC11.pdf")</f>
        <v>Melting_Curves/meltCurve_Q7Z392_TRAPPC11.pdf</v>
      </c>
    </row>
    <row r="4070" spans="1:28" x14ac:dyDescent="0.25">
      <c r="A4070" t="s">
        <v>4073</v>
      </c>
      <c r="B4070">
        <v>0.99930955844802105</v>
      </c>
      <c r="C4070">
        <v>0.92806463150079699</v>
      </c>
      <c r="D4070">
        <v>0.81493196012621705</v>
      </c>
      <c r="E4070">
        <v>0.69268070481680499</v>
      </c>
      <c r="F4070">
        <v>0.58501983564175897</v>
      </c>
      <c r="G4070">
        <v>0.448467518732588</v>
      </c>
      <c r="H4070">
        <v>0.34837134193306801</v>
      </c>
      <c r="I4070">
        <v>0.403041879574911</v>
      </c>
      <c r="J4070">
        <v>0.38196951694458797</v>
      </c>
      <c r="K4070">
        <v>0.29900837127662</v>
      </c>
      <c r="L4070">
        <v>592.93864421947501</v>
      </c>
      <c r="M4070">
        <v>11.686438274570101</v>
      </c>
      <c r="N4070">
        <v>55.248719131087803</v>
      </c>
      <c r="O4070">
        <v>49.319981029417598</v>
      </c>
      <c r="P4070">
        <v>-4.1035927976023803E-2</v>
      </c>
      <c r="Q4070">
        <v>0.30745309990313902</v>
      </c>
      <c r="R4070">
        <v>0.98652748824760494</v>
      </c>
      <c r="S4070" t="s">
        <v>10686</v>
      </c>
      <c r="T4070" t="s">
        <v>13232</v>
      </c>
      <c r="U4070" t="s">
        <v>13232</v>
      </c>
      <c r="V4070" t="s">
        <v>13232</v>
      </c>
      <c r="W4070" t="s">
        <v>17240</v>
      </c>
      <c r="X4070">
        <v>10</v>
      </c>
      <c r="Y4070" t="s">
        <v>23658</v>
      </c>
      <c r="Z4070" t="s">
        <v>30201</v>
      </c>
      <c r="AA4070">
        <v>0.57917164861656034</v>
      </c>
      <c r="AB4070" t="str">
        <f>HYPERLINK("Melting_Curves/meltCurve_Q7Z3B3_KANSL1.pdf", "Melting_Curves/meltCurve_Q7Z3B3_KANSL1.pdf")</f>
        <v>Melting_Curves/meltCurve_Q7Z3B3_KANSL1.pdf</v>
      </c>
    </row>
    <row r="4071" spans="1:28" x14ac:dyDescent="0.25">
      <c r="A4071" t="s">
        <v>4074</v>
      </c>
      <c r="B4071">
        <v>0.99930955844802105</v>
      </c>
      <c r="C4071">
        <v>0.82810969786944899</v>
      </c>
      <c r="D4071">
        <v>0.80721676641225004</v>
      </c>
      <c r="E4071">
        <v>0.84271331879460698</v>
      </c>
      <c r="F4071">
        <v>0.59660393816409296</v>
      </c>
      <c r="G4071">
        <v>0.49736765996490401</v>
      </c>
      <c r="H4071">
        <v>0.34661431891328598</v>
      </c>
      <c r="I4071">
        <v>0.27427280601290999</v>
      </c>
      <c r="J4071">
        <v>0.26888041334345197</v>
      </c>
      <c r="K4071">
        <v>0.218835530510677</v>
      </c>
      <c r="L4071">
        <v>421.08329025102302</v>
      </c>
      <c r="M4071">
        <v>7.4504482019795999</v>
      </c>
      <c r="N4071">
        <v>56.729087302900801</v>
      </c>
      <c r="O4071">
        <v>52.875310605050501</v>
      </c>
      <c r="P4071">
        <v>-3.4795774202974798E-2</v>
      </c>
      <c r="Q4071">
        <v>1.36808588162005E-2</v>
      </c>
      <c r="R4071">
        <v>0.96299867160198205</v>
      </c>
      <c r="S4071" t="s">
        <v>10687</v>
      </c>
      <c r="T4071" t="s">
        <v>13232</v>
      </c>
      <c r="U4071" t="s">
        <v>13232</v>
      </c>
      <c r="V4071" t="s">
        <v>13232</v>
      </c>
      <c r="W4071" t="s">
        <v>17241</v>
      </c>
      <c r="X4071">
        <v>2</v>
      </c>
      <c r="Y4071" t="s">
        <v>23659</v>
      </c>
      <c r="Z4071" t="s">
        <v>30202</v>
      </c>
      <c r="AA4071">
        <v>0.57100670595531289</v>
      </c>
      <c r="AB4071" t="str">
        <f>HYPERLINK("Melting_Curves/meltCurve_Q7Z3D4_LYSMD3.pdf", "Melting_Curves/meltCurve_Q7Z3D4_LYSMD3.pdf")</f>
        <v>Melting_Curves/meltCurve_Q7Z3D4_LYSMD3.pdf</v>
      </c>
    </row>
    <row r="4072" spans="1:28" x14ac:dyDescent="0.25">
      <c r="A4072" t="s">
        <v>4075</v>
      </c>
      <c r="B4072">
        <v>0.99930955844802105</v>
      </c>
      <c r="C4072">
        <v>0.98836763234181302</v>
      </c>
      <c r="D4072">
        <v>1.0369169633667099</v>
      </c>
      <c r="E4072">
        <v>0.98408382494656998</v>
      </c>
      <c r="F4072">
        <v>0.76956153197185795</v>
      </c>
      <c r="G4072">
        <v>0.656787121171162</v>
      </c>
      <c r="H4072">
        <v>0.62981826374289795</v>
      </c>
      <c r="I4072">
        <v>0.58604277686953399</v>
      </c>
      <c r="J4072">
        <v>0.60642985858067699</v>
      </c>
      <c r="K4072">
        <v>0.51886737687780504</v>
      </c>
      <c r="L4072">
        <v>1767.73013637142</v>
      </c>
      <c r="M4072">
        <v>33.336198132591903</v>
      </c>
      <c r="O4072">
        <v>52.8376169626627</v>
      </c>
      <c r="P4072">
        <v>-6.4927268573243699E-2</v>
      </c>
      <c r="Q4072">
        <v>0.58836487271387095</v>
      </c>
      <c r="R4072">
        <v>0.97070838336742704</v>
      </c>
      <c r="S4072" t="s">
        <v>10688</v>
      </c>
      <c r="T4072" t="s">
        <v>13232</v>
      </c>
      <c r="U4072" t="s">
        <v>13232</v>
      </c>
      <c r="V4072" t="s">
        <v>13232</v>
      </c>
      <c r="W4072" t="s">
        <v>17242</v>
      </c>
      <c r="X4072">
        <v>5</v>
      </c>
      <c r="Y4072" t="s">
        <v>23660</v>
      </c>
      <c r="Z4072" t="s">
        <v>30203</v>
      </c>
      <c r="AA4072">
        <v>0.76928428257766823</v>
      </c>
      <c r="AB4072" t="str">
        <f>HYPERLINK("Melting_Curves/meltCurve_Q7Z3E2_C10orf118.pdf", "Melting_Curves/meltCurve_Q7Z3E2_C10orf118.pdf")</f>
        <v>Melting_Curves/meltCurve_Q7Z3E2_C10orf118.pdf</v>
      </c>
    </row>
    <row r="4073" spans="1:28" x14ac:dyDescent="0.25">
      <c r="A4073" t="s">
        <v>4076</v>
      </c>
      <c r="B4073">
        <v>0.99930955844802105</v>
      </c>
      <c r="C4073">
        <v>0.59808683877638302</v>
      </c>
      <c r="D4073">
        <v>0.61887021567206801</v>
      </c>
      <c r="E4073">
        <v>0.51295711471744798</v>
      </c>
      <c r="F4073">
        <v>0.173470298792477</v>
      </c>
      <c r="G4073">
        <v>0.12821041248336501</v>
      </c>
      <c r="H4073">
        <v>7.1284403051200096E-2</v>
      </c>
      <c r="I4073">
        <v>6.4761831235496198E-2</v>
      </c>
      <c r="J4073">
        <v>6.1258087694024202E-2</v>
      </c>
      <c r="K4073">
        <v>4.4815325768383499E-2</v>
      </c>
      <c r="L4073">
        <v>499.835990261559</v>
      </c>
      <c r="M4073">
        <v>10.486835304848199</v>
      </c>
      <c r="N4073">
        <v>47.663187762507803</v>
      </c>
      <c r="O4073">
        <v>46.027831916727898</v>
      </c>
      <c r="P4073">
        <v>-5.6982304108276399E-2</v>
      </c>
      <c r="Q4073">
        <v>0</v>
      </c>
      <c r="R4073">
        <v>0.93193694202704402</v>
      </c>
      <c r="S4073" t="s">
        <v>10689</v>
      </c>
      <c r="T4073" t="s">
        <v>13232</v>
      </c>
      <c r="U4073" t="s">
        <v>13232</v>
      </c>
      <c r="V4073" t="s">
        <v>13232</v>
      </c>
      <c r="W4073" t="s">
        <v>17243</v>
      </c>
      <c r="X4073">
        <v>14</v>
      </c>
      <c r="Y4073" t="s">
        <v>23661</v>
      </c>
      <c r="Z4073" t="s">
        <v>30204</v>
      </c>
      <c r="AA4073">
        <v>0.30586422895579241</v>
      </c>
      <c r="AB4073" t="str">
        <f>HYPERLINK("Melting_Curves/meltCurve_Q7Z3J2_C16orf62.pdf", "Melting_Curves/meltCurve_Q7Z3J2_C16orf62.pdf")</f>
        <v>Melting_Curves/meltCurve_Q7Z3J2_C16orf62.pdf</v>
      </c>
    </row>
    <row r="4074" spans="1:28" x14ac:dyDescent="0.25">
      <c r="A4074" t="s">
        <v>4077</v>
      </c>
      <c r="B4074">
        <v>0.99930955844802105</v>
      </c>
      <c r="C4074">
        <v>0.97137033116613902</v>
      </c>
      <c r="D4074">
        <v>0.82431540296544303</v>
      </c>
      <c r="E4074">
        <v>0.54610110356131802</v>
      </c>
      <c r="F4074">
        <v>0.289285713419561</v>
      </c>
      <c r="G4074">
        <v>0.176356591061651</v>
      </c>
      <c r="H4074">
        <v>8.0581535968722903E-2</v>
      </c>
      <c r="I4074">
        <v>6.4460610583754005E-2</v>
      </c>
      <c r="J4074">
        <v>5.3982909173536597E-2</v>
      </c>
      <c r="K4074">
        <v>4.12865274369228E-2</v>
      </c>
      <c r="L4074">
        <v>876.33130570360299</v>
      </c>
      <c r="M4074">
        <v>17.47207226535</v>
      </c>
      <c r="N4074">
        <v>50.417252584859199</v>
      </c>
      <c r="O4074">
        <v>49.512945831831701</v>
      </c>
      <c r="P4074">
        <v>-8.4407956006958704E-2</v>
      </c>
      <c r="Q4074">
        <v>4.32611366677162E-2</v>
      </c>
      <c r="R4074">
        <v>0.99845687297832697</v>
      </c>
      <c r="S4074" t="s">
        <v>10690</v>
      </c>
      <c r="T4074" t="s">
        <v>13232</v>
      </c>
      <c r="U4074" t="s">
        <v>13232</v>
      </c>
      <c r="V4074" t="s">
        <v>13232</v>
      </c>
      <c r="W4074" t="s">
        <v>17244</v>
      </c>
      <c r="X4074">
        <v>20</v>
      </c>
      <c r="Y4074" t="s">
        <v>23662</v>
      </c>
      <c r="Z4074" t="s">
        <v>30205</v>
      </c>
      <c r="AA4074">
        <v>0.3843707314858274</v>
      </c>
      <c r="AB4074" t="str">
        <f>HYPERLINK("Melting_Curves/meltCurve_Q7Z3K3_5_POGZ.pdf", "Melting_Curves/meltCurve_Q7Z3K3_5_POGZ.pdf")</f>
        <v>Melting_Curves/meltCurve_Q7Z3K3_5_POGZ.pdf</v>
      </c>
    </row>
    <row r="4075" spans="1:28" x14ac:dyDescent="0.25">
      <c r="A4075" t="s">
        <v>4078</v>
      </c>
      <c r="B4075">
        <v>0.99930955844802105</v>
      </c>
      <c r="C4075">
        <v>0.81115356448919496</v>
      </c>
      <c r="D4075">
        <v>0.52948520529648502</v>
      </c>
      <c r="E4075">
        <v>0.368238919304959</v>
      </c>
      <c r="F4075">
        <v>0.23956474033664499</v>
      </c>
      <c r="G4075">
        <v>0.146712499069586</v>
      </c>
      <c r="H4075">
        <v>6.7963089700835297E-2</v>
      </c>
      <c r="I4075">
        <v>5.4727270481015201E-2</v>
      </c>
      <c r="J4075">
        <v>4.6097679967473902E-2</v>
      </c>
      <c r="K4075">
        <v>2.91091642783394E-2</v>
      </c>
      <c r="L4075">
        <v>630.017966357006</v>
      </c>
      <c r="M4075">
        <v>13.3386563212559</v>
      </c>
      <c r="N4075">
        <v>47.4716465968921</v>
      </c>
      <c r="O4075">
        <v>46.208755166594301</v>
      </c>
      <c r="P4075">
        <v>-6.9831549643688595E-2</v>
      </c>
      <c r="Q4075">
        <v>3.24922588447508E-2</v>
      </c>
      <c r="R4075">
        <v>0.98731125293670896</v>
      </c>
      <c r="S4075" t="s">
        <v>10691</v>
      </c>
      <c r="T4075" t="s">
        <v>13232</v>
      </c>
      <c r="U4075" t="s">
        <v>13232</v>
      </c>
      <c r="V4075" t="s">
        <v>13232</v>
      </c>
      <c r="W4075" t="s">
        <v>17245</v>
      </c>
      <c r="X4075">
        <v>4</v>
      </c>
      <c r="Y4075" t="s">
        <v>23663</v>
      </c>
      <c r="Z4075" t="s">
        <v>30206</v>
      </c>
      <c r="AA4075">
        <v>0.29848096417088388</v>
      </c>
      <c r="AB4075" t="str">
        <f>HYPERLINK("Melting_Curves/meltCurve_Q7Z3K6_4_MIER3.pdf", "Melting_Curves/meltCurve_Q7Z3K6_4_MIER3.pdf")</f>
        <v>Melting_Curves/meltCurve_Q7Z3K6_4_MIER3.pdf</v>
      </c>
    </row>
    <row r="4076" spans="1:28" x14ac:dyDescent="0.25">
      <c r="A4076" t="s">
        <v>4079</v>
      </c>
      <c r="B4076">
        <v>0.99930955844802105</v>
      </c>
      <c r="C4076">
        <v>1.07172351914292</v>
      </c>
      <c r="D4076">
        <v>1.06615640306159</v>
      </c>
      <c r="E4076">
        <v>1.0038587810280699</v>
      </c>
      <c r="F4076">
        <v>0.75870250346025403</v>
      </c>
      <c r="G4076">
        <v>0.56334715089304399</v>
      </c>
      <c r="H4076">
        <v>0.49005830061040101</v>
      </c>
      <c r="I4076">
        <v>0.46426274913711901</v>
      </c>
      <c r="J4076">
        <v>0.44455106607198902</v>
      </c>
      <c r="K4076">
        <v>0.36009713232052298</v>
      </c>
      <c r="L4076">
        <v>1455.6023073814399</v>
      </c>
      <c r="M4076">
        <v>26.8441331908633</v>
      </c>
      <c r="N4076">
        <v>58.483025066718703</v>
      </c>
      <c r="O4076">
        <v>53.925991027120602</v>
      </c>
      <c r="P4076">
        <v>-7.1035560257156599E-2</v>
      </c>
      <c r="Q4076">
        <v>0.42920504430583201</v>
      </c>
      <c r="R4076">
        <v>0.97034170538905296</v>
      </c>
      <c r="S4076" t="s">
        <v>10692</v>
      </c>
      <c r="T4076" t="s">
        <v>13232</v>
      </c>
      <c r="U4076" t="s">
        <v>13232</v>
      </c>
      <c r="V4076" t="s">
        <v>13232</v>
      </c>
      <c r="W4076" t="s">
        <v>17246</v>
      </c>
      <c r="X4076">
        <v>28</v>
      </c>
      <c r="Y4076" t="s">
        <v>23664</v>
      </c>
      <c r="Z4076" t="s">
        <v>30207</v>
      </c>
      <c r="AA4076">
        <v>0.70448032765423441</v>
      </c>
      <c r="AB4076" t="str">
        <f>HYPERLINK("Melting_Curves/meltCurve_Q7Z3T8_ZFYVE16.pdf", "Melting_Curves/meltCurve_Q7Z3T8_ZFYVE16.pdf")</f>
        <v>Melting_Curves/meltCurve_Q7Z3T8_ZFYVE16.pdf</v>
      </c>
    </row>
    <row r="4077" spans="1:28" x14ac:dyDescent="0.25">
      <c r="A4077" t="s">
        <v>4080</v>
      </c>
      <c r="B4077">
        <v>0.99930955844802105</v>
      </c>
      <c r="C4077">
        <v>0.92585348572750903</v>
      </c>
      <c r="D4077">
        <v>0.90274190386569497</v>
      </c>
      <c r="E4077">
        <v>0.70544621130583296</v>
      </c>
      <c r="F4077">
        <v>0.3212679211924</v>
      </c>
      <c r="G4077">
        <v>0.20093391007821701</v>
      </c>
      <c r="H4077">
        <v>0.116177378915607</v>
      </c>
      <c r="I4077">
        <v>9.6222418396910606E-2</v>
      </c>
      <c r="J4077">
        <v>7.6278363482747399E-2</v>
      </c>
      <c r="K4077">
        <v>7.3447209155480503E-2</v>
      </c>
      <c r="L4077">
        <v>1118.13431631552</v>
      </c>
      <c r="M4077">
        <v>21.847836725251799</v>
      </c>
      <c r="N4077">
        <v>51.594208522133101</v>
      </c>
      <c r="O4077">
        <v>50.755274863463498</v>
      </c>
      <c r="P4077">
        <v>-9.8926094784113697E-2</v>
      </c>
      <c r="Q4077">
        <v>8.0749836974533501E-2</v>
      </c>
      <c r="R4077">
        <v>0.99215769964030598</v>
      </c>
      <c r="S4077" t="s">
        <v>10693</v>
      </c>
      <c r="T4077" t="s">
        <v>13232</v>
      </c>
      <c r="U4077" t="s">
        <v>13232</v>
      </c>
      <c r="V4077" t="s">
        <v>13232</v>
      </c>
      <c r="W4077" t="s">
        <v>17247</v>
      </c>
      <c r="X4077">
        <v>7</v>
      </c>
      <c r="Y4077" t="s">
        <v>23665</v>
      </c>
      <c r="Z4077" t="s">
        <v>30208</v>
      </c>
      <c r="AA4077">
        <v>0.43407028175547058</v>
      </c>
      <c r="AB4077" t="str">
        <f>HYPERLINK("Melting_Curves/meltCurve_Q7Z3V4_UBE3B.pdf", "Melting_Curves/meltCurve_Q7Z3V4_UBE3B.pdf")</f>
        <v>Melting_Curves/meltCurve_Q7Z3V4_UBE3B.pdf</v>
      </c>
    </row>
    <row r="4078" spans="1:28" x14ac:dyDescent="0.25">
      <c r="A4078" t="s">
        <v>4081</v>
      </c>
      <c r="B4078">
        <v>0.99930955844802105</v>
      </c>
      <c r="C4078">
        <v>1.1146430424656</v>
      </c>
      <c r="D4078">
        <v>1.13529555301466</v>
      </c>
      <c r="E4078">
        <v>1.0900935760761301</v>
      </c>
      <c r="F4078">
        <v>0.97096377098269504</v>
      </c>
      <c r="G4078">
        <v>0.62832628924868605</v>
      </c>
      <c r="H4078">
        <v>0.347262587673559</v>
      </c>
      <c r="I4078">
        <v>0.20168713200583799</v>
      </c>
      <c r="J4078">
        <v>9.1221515291069102E-2</v>
      </c>
      <c r="K4078">
        <v>5.4704649077220002E-2</v>
      </c>
      <c r="L4078">
        <v>1388.9360312014701</v>
      </c>
      <c r="M4078">
        <v>23.692992862649302</v>
      </c>
      <c r="N4078">
        <v>58.919091279685802</v>
      </c>
      <c r="O4078">
        <v>58.209417422282897</v>
      </c>
      <c r="P4078">
        <v>-9.6033954776132094E-2</v>
      </c>
      <c r="Q4078">
        <v>5.6263368349014901E-2</v>
      </c>
      <c r="R4078">
        <v>0.97279921241709699</v>
      </c>
      <c r="S4078" t="s">
        <v>10694</v>
      </c>
      <c r="T4078" t="s">
        <v>13232</v>
      </c>
      <c r="U4078" t="s">
        <v>13232</v>
      </c>
      <c r="V4078" t="s">
        <v>13232</v>
      </c>
      <c r="W4078" t="s">
        <v>17248</v>
      </c>
      <c r="X4078">
        <v>1</v>
      </c>
      <c r="Y4078" t="s">
        <v>23666</v>
      </c>
      <c r="Z4078" t="s">
        <v>30209</v>
      </c>
      <c r="AA4078">
        <v>0.65055336873709269</v>
      </c>
      <c r="AB4078" t="str">
        <f>HYPERLINK("Melting_Curves/meltCurve_Q7Z3Z2_RD3.pdf", "Melting_Curves/meltCurve_Q7Z3Z2_RD3.pdf")</f>
        <v>Melting_Curves/meltCurve_Q7Z3Z2_RD3.pdf</v>
      </c>
    </row>
    <row r="4079" spans="1:28" x14ac:dyDescent="0.25">
      <c r="A4079" t="s">
        <v>4082</v>
      </c>
      <c r="B4079">
        <v>0.99930955844802105</v>
      </c>
      <c r="C4079">
        <v>0.966199159196097</v>
      </c>
      <c r="D4079">
        <v>0.88690768823946198</v>
      </c>
      <c r="E4079">
        <v>0.73276480365949703</v>
      </c>
      <c r="F4079">
        <v>0.59975746924742501</v>
      </c>
      <c r="G4079">
        <v>0.52095790746271098</v>
      </c>
      <c r="H4079">
        <v>0.51184033529658002</v>
      </c>
      <c r="I4079">
        <v>0.54130147405609197</v>
      </c>
      <c r="J4079">
        <v>0.56478090335290698</v>
      </c>
      <c r="K4079">
        <v>0.41957910346580701</v>
      </c>
      <c r="L4079">
        <v>896.44264751005801</v>
      </c>
      <c r="M4079">
        <v>18.1699701587163</v>
      </c>
      <c r="O4079">
        <v>48.7505413269906</v>
      </c>
      <c r="P4079">
        <v>-4.6801209951807102E-2</v>
      </c>
      <c r="Q4079">
        <v>0.497748026105232</v>
      </c>
      <c r="R4079">
        <v>0.968176909865754</v>
      </c>
      <c r="S4079" t="s">
        <v>10695</v>
      </c>
      <c r="T4079" t="s">
        <v>13232</v>
      </c>
      <c r="U4079" t="s">
        <v>13232</v>
      </c>
      <c r="V4079" t="s">
        <v>13232</v>
      </c>
      <c r="W4079" t="s">
        <v>17249</v>
      </c>
      <c r="X4079">
        <v>11</v>
      </c>
      <c r="Y4079" t="s">
        <v>23667</v>
      </c>
      <c r="Z4079" t="s">
        <v>30210</v>
      </c>
      <c r="AA4079">
        <v>0.66254713380840136</v>
      </c>
      <c r="AB4079" t="str">
        <f>HYPERLINK("Melting_Curves/meltCurve_Q7Z401_DENND4A.pdf", "Melting_Curves/meltCurve_Q7Z401_DENND4A.pdf")</f>
        <v>Melting_Curves/meltCurve_Q7Z401_DENND4A.pdf</v>
      </c>
    </row>
    <row r="4080" spans="1:28" x14ac:dyDescent="0.25">
      <c r="A4080" t="s">
        <v>4083</v>
      </c>
      <c r="B4080">
        <v>0.99930955844802105</v>
      </c>
      <c r="C4080">
        <v>0.74858726066327896</v>
      </c>
      <c r="D4080">
        <v>0.83212912186667098</v>
      </c>
      <c r="E4080">
        <v>0.97016807198773902</v>
      </c>
      <c r="F4080">
        <v>0.232515257906347</v>
      </c>
      <c r="G4080">
        <v>8.1217273146435495E-2</v>
      </c>
      <c r="H4080">
        <v>3.8530336368114197E-2</v>
      </c>
      <c r="I4080">
        <v>3.7560684707802397E-2</v>
      </c>
      <c r="J4080">
        <v>2.7728763284630802E-2</v>
      </c>
      <c r="K4080">
        <v>2.3231647774294002E-2</v>
      </c>
      <c r="L4080">
        <v>4212.9611571285704</v>
      </c>
      <c r="M4080">
        <v>80.876534530562907</v>
      </c>
      <c r="N4080">
        <v>52.146991126159797</v>
      </c>
      <c r="O4080">
        <v>52.059444663311503</v>
      </c>
      <c r="P4080">
        <v>-0.37231075489440701</v>
      </c>
      <c r="Q4080">
        <v>4.1388768356807999E-2</v>
      </c>
      <c r="R4080">
        <v>0.94387142986967099</v>
      </c>
      <c r="S4080" t="s">
        <v>10696</v>
      </c>
      <c r="T4080" t="s">
        <v>13232</v>
      </c>
      <c r="U4080" t="s">
        <v>13232</v>
      </c>
      <c r="V4080" t="s">
        <v>13232</v>
      </c>
      <c r="W4080" t="s">
        <v>17250</v>
      </c>
      <c r="X4080">
        <v>18</v>
      </c>
      <c r="Y4080" t="s">
        <v>23668</v>
      </c>
      <c r="Z4080" t="s">
        <v>30211</v>
      </c>
      <c r="AA4080">
        <v>0.42858853961249282</v>
      </c>
      <c r="AB4080" t="str">
        <f>HYPERLINK("Melting_Curves/meltCurve_Q7Z406_MYH14.pdf", "Melting_Curves/meltCurve_Q7Z406_MYH14.pdf")</f>
        <v>Melting_Curves/meltCurve_Q7Z406_MYH14.pdf</v>
      </c>
    </row>
    <row r="4081" spans="1:28" x14ac:dyDescent="0.25">
      <c r="A4081" t="s">
        <v>4084</v>
      </c>
      <c r="B4081">
        <v>0.99930955844802105</v>
      </c>
      <c r="C4081">
        <v>1.0222682119439801</v>
      </c>
      <c r="D4081">
        <v>1.0152714605640201</v>
      </c>
      <c r="E4081">
        <v>0.94768611521271595</v>
      </c>
      <c r="F4081">
        <v>0.80259550857300499</v>
      </c>
      <c r="G4081">
        <v>0.716212711106328</v>
      </c>
      <c r="H4081">
        <v>0.73211574251317302</v>
      </c>
      <c r="I4081">
        <v>0.79384802783788599</v>
      </c>
      <c r="J4081">
        <v>0.82466085693962499</v>
      </c>
      <c r="K4081">
        <v>0.65234976546853796</v>
      </c>
      <c r="L4081">
        <v>2438.5383025797801</v>
      </c>
      <c r="M4081">
        <v>47.329609728214102</v>
      </c>
      <c r="O4081">
        <v>51.430740287811503</v>
      </c>
      <c r="P4081">
        <v>-5.8909538678724997E-2</v>
      </c>
      <c r="Q4081">
        <v>0.74394397147938396</v>
      </c>
      <c r="R4081">
        <v>0.883837994334018</v>
      </c>
      <c r="S4081" t="s">
        <v>10697</v>
      </c>
      <c r="T4081" t="s">
        <v>13232</v>
      </c>
      <c r="U4081" t="s">
        <v>13232</v>
      </c>
      <c r="V4081" t="s">
        <v>13232</v>
      </c>
      <c r="W4081" t="s">
        <v>17251</v>
      </c>
      <c r="X4081">
        <v>21</v>
      </c>
      <c r="Y4081" t="s">
        <v>23669</v>
      </c>
      <c r="Z4081" t="s">
        <v>30212</v>
      </c>
      <c r="AA4081">
        <v>0.84294036726282495</v>
      </c>
      <c r="AB4081" t="str">
        <f>HYPERLINK("Melting_Curves/meltCurve_Q7Z417_NUFIP2.pdf", "Melting_Curves/meltCurve_Q7Z417_NUFIP2.pdf")</f>
        <v>Melting_Curves/meltCurve_Q7Z417_NUFIP2.pdf</v>
      </c>
    </row>
    <row r="4082" spans="1:28" x14ac:dyDescent="0.25">
      <c r="A4082" t="s">
        <v>4085</v>
      </c>
      <c r="B4082">
        <v>0.99930955844802105</v>
      </c>
      <c r="C4082">
        <v>1.1044897879592499</v>
      </c>
      <c r="D4082">
        <v>1.05825076209659</v>
      </c>
      <c r="E4082">
        <v>0.99860618023208303</v>
      </c>
      <c r="F4082">
        <v>0.87537810995191101</v>
      </c>
      <c r="G4082">
        <v>0.76567710199518502</v>
      </c>
      <c r="H4082">
        <v>0.75069629864438803</v>
      </c>
      <c r="I4082">
        <v>0.85973858186537799</v>
      </c>
      <c r="J4082">
        <v>0.87783727366710795</v>
      </c>
      <c r="K4082">
        <v>0.64800128860737505</v>
      </c>
      <c r="L4082">
        <v>10431.348264460999</v>
      </c>
      <c r="M4082">
        <v>197.089428668891</v>
      </c>
      <c r="O4082">
        <v>52.921530791833597</v>
      </c>
      <c r="P4082">
        <v>-0.204466836273554</v>
      </c>
      <c r="Q4082">
        <v>0.78039008959945999</v>
      </c>
      <c r="R4082">
        <v>0.747005847293158</v>
      </c>
      <c r="S4082" t="s">
        <v>10698</v>
      </c>
      <c r="T4082" t="s">
        <v>13232</v>
      </c>
      <c r="U4082" t="s">
        <v>13232</v>
      </c>
      <c r="V4082" t="s">
        <v>13232</v>
      </c>
      <c r="W4082" t="s">
        <v>17252</v>
      </c>
      <c r="X4082">
        <v>7</v>
      </c>
      <c r="Y4082" t="s">
        <v>23670</v>
      </c>
      <c r="Z4082" t="s">
        <v>30213</v>
      </c>
      <c r="AA4082">
        <v>0.87505267986080948</v>
      </c>
      <c r="AB4082" t="str">
        <f>HYPERLINK("Melting_Curves/meltCurve_Q7Z422_2_SZRD1.pdf", "Melting_Curves/meltCurve_Q7Z422_2_SZRD1.pdf")</f>
        <v>Melting_Curves/meltCurve_Q7Z422_2_SZRD1.pdf</v>
      </c>
    </row>
    <row r="4083" spans="1:28" x14ac:dyDescent="0.25">
      <c r="A4083" t="s">
        <v>4086</v>
      </c>
      <c r="B4083">
        <v>0.99930955844802105</v>
      </c>
      <c r="C4083">
        <v>1.2285968165869501</v>
      </c>
      <c r="D4083">
        <v>1.1998378008730299</v>
      </c>
      <c r="E4083">
        <v>1.1023065807416501</v>
      </c>
      <c r="F4083">
        <v>1.06232358933813</v>
      </c>
      <c r="G4083">
        <v>0.91383417079426998</v>
      </c>
      <c r="H4083">
        <v>0.85378427309724902</v>
      </c>
      <c r="I4083">
        <v>0.85240127587405401</v>
      </c>
      <c r="J4083">
        <v>0.81520432746693205</v>
      </c>
      <c r="K4083">
        <v>0.68281624698558296</v>
      </c>
      <c r="L4083">
        <v>949.51181123100105</v>
      </c>
      <c r="M4083">
        <v>14.3925144927652</v>
      </c>
      <c r="O4083">
        <v>64.738216176200496</v>
      </c>
      <c r="P4083">
        <v>-2.31183142451972E-2</v>
      </c>
      <c r="Q4083">
        <v>0.58410033042661402</v>
      </c>
      <c r="R4083">
        <v>0.58706920664629103</v>
      </c>
      <c r="S4083" t="s">
        <v>10699</v>
      </c>
      <c r="T4083" t="s">
        <v>13232</v>
      </c>
      <c r="U4083" t="s">
        <v>13232</v>
      </c>
      <c r="V4083" t="s">
        <v>13232</v>
      </c>
      <c r="W4083" t="s">
        <v>17253</v>
      </c>
      <c r="X4083">
        <v>8</v>
      </c>
      <c r="Y4083" t="s">
        <v>23671</v>
      </c>
      <c r="Z4083" t="s">
        <v>30214</v>
      </c>
      <c r="AA4083">
        <v>0.92827317551428579</v>
      </c>
      <c r="AB4083" t="str">
        <f>HYPERLINK("Melting_Curves/meltCurve_Q7Z434_MAVS.pdf", "Melting_Curves/meltCurve_Q7Z434_MAVS.pdf")</f>
        <v>Melting_Curves/meltCurve_Q7Z434_MAVS.pdf</v>
      </c>
    </row>
    <row r="4084" spans="1:28" x14ac:dyDescent="0.25">
      <c r="A4084" t="s">
        <v>4087</v>
      </c>
      <c r="B4084">
        <v>0.99930955844802105</v>
      </c>
      <c r="C4084">
        <v>1.02436233548226</v>
      </c>
      <c r="D4084">
        <v>0.98167821040717995</v>
      </c>
      <c r="E4084">
        <v>0.75064025221259001</v>
      </c>
      <c r="F4084">
        <v>0.45954777240783201</v>
      </c>
      <c r="G4084">
        <v>0.28295668934100698</v>
      </c>
      <c r="H4084">
        <v>0.175833487880559</v>
      </c>
      <c r="I4084">
        <v>0.17995323618699899</v>
      </c>
      <c r="J4084">
        <v>0.17076522508936601</v>
      </c>
      <c r="K4084">
        <v>0.130785637390818</v>
      </c>
      <c r="L4084">
        <v>1207.4654216977799</v>
      </c>
      <c r="M4084">
        <v>23.279269698697998</v>
      </c>
      <c r="N4084">
        <v>52.733725538799199</v>
      </c>
      <c r="O4084">
        <v>51.490494297016397</v>
      </c>
      <c r="P4084">
        <v>-9.5090581331485596E-2</v>
      </c>
      <c r="Q4084">
        <v>0.15870665514453999</v>
      </c>
      <c r="R4084">
        <v>0.99700797824803</v>
      </c>
      <c r="S4084" t="s">
        <v>10700</v>
      </c>
      <c r="T4084" t="s">
        <v>13232</v>
      </c>
      <c r="U4084" t="s">
        <v>13232</v>
      </c>
      <c r="V4084" t="s">
        <v>13232</v>
      </c>
      <c r="W4084" t="s">
        <v>17254</v>
      </c>
      <c r="X4084">
        <v>44</v>
      </c>
      <c r="Y4084" t="s">
        <v>23672</v>
      </c>
      <c r="Z4084" t="s">
        <v>30215</v>
      </c>
      <c r="AA4084">
        <v>0.50033417853681783</v>
      </c>
      <c r="AB4084" t="str">
        <f>HYPERLINK("Melting_Curves/meltCurve_Q7Z460_CLASP1.pdf", "Melting_Curves/meltCurve_Q7Z460_CLASP1.pdf")</f>
        <v>Melting_Curves/meltCurve_Q7Z460_CLASP1.pdf</v>
      </c>
    </row>
    <row r="4085" spans="1:28" x14ac:dyDescent="0.25">
      <c r="A4085" t="s">
        <v>4088</v>
      </c>
      <c r="B4085">
        <v>0.99930955844802105</v>
      </c>
      <c r="C4085">
        <v>1.0130429344254299</v>
      </c>
      <c r="D4085">
        <v>0.78979167143682905</v>
      </c>
      <c r="E4085">
        <v>0.52578325604810605</v>
      </c>
      <c r="F4085">
        <v>0.27910324630260303</v>
      </c>
      <c r="G4085">
        <v>0.19516536358664199</v>
      </c>
      <c r="H4085">
        <v>0.146343017267409</v>
      </c>
      <c r="I4085">
        <v>0.14642744621666201</v>
      </c>
      <c r="J4085">
        <v>0.13223898906949</v>
      </c>
      <c r="K4085">
        <v>0.10964533846867</v>
      </c>
      <c r="L4085">
        <v>976.67112251395099</v>
      </c>
      <c r="M4085">
        <v>19.816614712272401</v>
      </c>
      <c r="N4085">
        <v>50.017924452007001</v>
      </c>
      <c r="O4085">
        <v>48.7918022158265</v>
      </c>
      <c r="P4085">
        <v>-8.87521032434547E-2</v>
      </c>
      <c r="Q4085">
        <v>0.12593962659181401</v>
      </c>
      <c r="R4085">
        <v>0.99471043028321904</v>
      </c>
      <c r="S4085" t="s">
        <v>10701</v>
      </c>
      <c r="T4085" t="s">
        <v>13232</v>
      </c>
      <c r="U4085" t="s">
        <v>13232</v>
      </c>
      <c r="V4085" t="s">
        <v>13232</v>
      </c>
      <c r="W4085" t="s">
        <v>17255</v>
      </c>
      <c r="X4085">
        <v>34</v>
      </c>
      <c r="Y4085" t="s">
        <v>23673</v>
      </c>
      <c r="Z4085" t="s">
        <v>30216</v>
      </c>
      <c r="AA4085">
        <v>0.40891764161986838</v>
      </c>
      <c r="AB4085" t="str">
        <f>HYPERLINK("Melting_Curves/meltCurve_Q7Z478_DHX29.pdf", "Melting_Curves/meltCurve_Q7Z478_DHX29.pdf")</f>
        <v>Melting_Curves/meltCurve_Q7Z478_DHX29.pdf</v>
      </c>
    </row>
    <row r="4086" spans="1:28" x14ac:dyDescent="0.25">
      <c r="A4086" t="s">
        <v>4089</v>
      </c>
      <c r="B4086">
        <v>0.99930955844802105</v>
      </c>
      <c r="C4086">
        <v>0.902005090569586</v>
      </c>
      <c r="D4086">
        <v>0.72888814607348096</v>
      </c>
      <c r="E4086">
        <v>0.46782669413769201</v>
      </c>
      <c r="F4086">
        <v>0.23601073719450999</v>
      </c>
      <c r="G4086">
        <v>0.190004824110066</v>
      </c>
      <c r="H4086">
        <v>0.11701127221532399</v>
      </c>
      <c r="I4086">
        <v>0.194368273451443</v>
      </c>
      <c r="J4086">
        <v>0.145493939371626</v>
      </c>
      <c r="K4086">
        <v>9.4546878902988102E-2</v>
      </c>
      <c r="L4086">
        <v>850.13830201237897</v>
      </c>
      <c r="M4086">
        <v>17.617478728103599</v>
      </c>
      <c r="N4086">
        <v>49.062943906822497</v>
      </c>
      <c r="O4086">
        <v>47.646528889596702</v>
      </c>
      <c r="P4086">
        <v>-8.0808541039258899E-2</v>
      </c>
      <c r="Q4086">
        <v>0.12585908641077201</v>
      </c>
      <c r="R4086">
        <v>0.99143599801669802</v>
      </c>
      <c r="S4086" t="s">
        <v>10702</v>
      </c>
      <c r="T4086" t="s">
        <v>13232</v>
      </c>
      <c r="U4086" t="s">
        <v>13232</v>
      </c>
      <c r="V4086" t="s">
        <v>13232</v>
      </c>
      <c r="W4086" t="s">
        <v>17256</v>
      </c>
      <c r="X4086">
        <v>1</v>
      </c>
      <c r="Y4086" t="s">
        <v>23674</v>
      </c>
      <c r="Z4086" t="s">
        <v>30217</v>
      </c>
      <c r="AA4086">
        <v>0.38249838665179492</v>
      </c>
      <c r="AB4086" t="str">
        <f>HYPERLINK("Melting_Curves/meltCurve_Q7Z494_2_NPHP3.pdf", "Melting_Curves/meltCurve_Q7Z494_2_NPHP3.pdf")</f>
        <v>Melting_Curves/meltCurve_Q7Z494_2_NPHP3.pdf</v>
      </c>
    </row>
    <row r="4087" spans="1:28" x14ac:dyDescent="0.25">
      <c r="A4087" t="s">
        <v>4090</v>
      </c>
      <c r="B4087">
        <v>0.99930955844802105</v>
      </c>
      <c r="C4087">
        <v>0.71149887002547996</v>
      </c>
      <c r="D4087">
        <v>0.72881759134739599</v>
      </c>
      <c r="E4087">
        <v>0.59985071617124697</v>
      </c>
      <c r="F4087">
        <v>0.44470885329948401</v>
      </c>
      <c r="G4087">
        <v>0.31596711988225601</v>
      </c>
      <c r="H4087">
        <v>0.17858265903655701</v>
      </c>
      <c r="I4087">
        <v>0.14702982153611999</v>
      </c>
      <c r="J4087">
        <v>0.13186825860367599</v>
      </c>
      <c r="K4087">
        <v>9.9260177819422105E-2</v>
      </c>
      <c r="L4087">
        <v>423.712624808209</v>
      </c>
      <c r="M4087">
        <v>8.2561560564306102</v>
      </c>
      <c r="N4087">
        <v>51.320805290158702</v>
      </c>
      <c r="O4087">
        <v>48.574120188736202</v>
      </c>
      <c r="P4087">
        <v>-4.2535277481997098E-2</v>
      </c>
      <c r="Q4087">
        <v>0</v>
      </c>
      <c r="R4087">
        <v>0.96959619538126396</v>
      </c>
      <c r="S4087" t="s">
        <v>10703</v>
      </c>
      <c r="T4087" t="s">
        <v>13232</v>
      </c>
      <c r="U4087" t="s">
        <v>13232</v>
      </c>
      <c r="V4087" t="s">
        <v>13232</v>
      </c>
      <c r="W4087" t="s">
        <v>17257</v>
      </c>
      <c r="X4087">
        <v>2</v>
      </c>
      <c r="Y4087" t="s">
        <v>23675</v>
      </c>
      <c r="Z4087" t="s">
        <v>30218</v>
      </c>
      <c r="AA4087">
        <v>0.42718130195539272</v>
      </c>
      <c r="AB4087" t="str">
        <f>HYPERLINK("Melting_Curves/meltCurve_Q7Z4G1_COMMD6.pdf", "Melting_Curves/meltCurve_Q7Z4G1_COMMD6.pdf")</f>
        <v>Melting_Curves/meltCurve_Q7Z4G1_COMMD6.pdf</v>
      </c>
    </row>
    <row r="4088" spans="1:28" x14ac:dyDescent="0.25">
      <c r="A4088" t="s">
        <v>4091</v>
      </c>
      <c r="B4088">
        <v>0.99930955844802105</v>
      </c>
      <c r="C4088">
        <v>0.98881726496671596</v>
      </c>
      <c r="D4088">
        <v>0.95242186301649501</v>
      </c>
      <c r="E4088">
        <v>0.68634979889537295</v>
      </c>
      <c r="F4088">
        <v>0.33908758827969099</v>
      </c>
      <c r="G4088">
        <v>0.23227382336349001</v>
      </c>
      <c r="H4088">
        <v>0.15732524311506399</v>
      </c>
      <c r="I4088">
        <v>0.139711304689526</v>
      </c>
      <c r="J4088">
        <v>0.117795094910688</v>
      </c>
      <c r="K4088">
        <v>8.8793936878814303E-2</v>
      </c>
      <c r="L4088">
        <v>1280.7868810684599</v>
      </c>
      <c r="M4088">
        <v>25.104363541757198</v>
      </c>
      <c r="N4088">
        <v>51.6188912101968</v>
      </c>
      <c r="O4088">
        <v>50.698071853774699</v>
      </c>
      <c r="P4088">
        <v>-0.10812117642234299</v>
      </c>
      <c r="Q4088">
        <v>0.126611976899904</v>
      </c>
      <c r="R4088">
        <v>0.99599940591953295</v>
      </c>
      <c r="S4088" t="s">
        <v>10704</v>
      </c>
      <c r="T4088" t="s">
        <v>13232</v>
      </c>
      <c r="U4088" t="s">
        <v>13232</v>
      </c>
      <c r="V4088" t="s">
        <v>13232</v>
      </c>
      <c r="W4088" t="s">
        <v>17258</v>
      </c>
      <c r="X4088">
        <v>14</v>
      </c>
      <c r="Y4088" t="s">
        <v>23676</v>
      </c>
      <c r="Z4088" t="s">
        <v>30219</v>
      </c>
      <c r="AA4088">
        <v>0.45522006374630719</v>
      </c>
      <c r="AB4088" t="str">
        <f>HYPERLINK("Melting_Curves/meltCurve_Q7Z4H3_HDDC2.pdf", "Melting_Curves/meltCurve_Q7Z4H3_HDDC2.pdf")</f>
        <v>Melting_Curves/meltCurve_Q7Z4H3_HDDC2.pdf</v>
      </c>
    </row>
    <row r="4089" spans="1:28" x14ac:dyDescent="0.25">
      <c r="A4089" t="s">
        <v>4092</v>
      </c>
      <c r="B4089">
        <v>0.99930955844802105</v>
      </c>
      <c r="C4089">
        <v>0.91325773981045</v>
      </c>
      <c r="D4089">
        <v>0.798886010749287</v>
      </c>
      <c r="E4089">
        <v>0.65162256183307199</v>
      </c>
      <c r="F4089">
        <v>0.53962411604417404</v>
      </c>
      <c r="G4089">
        <v>0.43761755142869802</v>
      </c>
      <c r="H4089">
        <v>0.39365424526113901</v>
      </c>
      <c r="I4089">
        <v>0.40048843306210402</v>
      </c>
      <c r="J4089">
        <v>0.38477601417128299</v>
      </c>
      <c r="K4089">
        <v>0.314057609068708</v>
      </c>
      <c r="L4089">
        <v>617.81385229547095</v>
      </c>
      <c r="M4089">
        <v>12.492919063124599</v>
      </c>
      <c r="N4089">
        <v>54.363415699023498</v>
      </c>
      <c r="O4089">
        <v>48.237280273508603</v>
      </c>
      <c r="P4089">
        <v>-4.2856890893505403E-2</v>
      </c>
      <c r="Q4089">
        <v>0.33822537082671</v>
      </c>
      <c r="R4089">
        <v>0.99228090794761503</v>
      </c>
      <c r="S4089" t="s">
        <v>10705</v>
      </c>
      <c r="T4089" t="s">
        <v>13232</v>
      </c>
      <c r="U4089" t="s">
        <v>13232</v>
      </c>
      <c r="V4089" t="s">
        <v>13232</v>
      </c>
      <c r="W4089" t="s">
        <v>17259</v>
      </c>
      <c r="X4089">
        <v>21</v>
      </c>
      <c r="Y4089" t="s">
        <v>23677</v>
      </c>
      <c r="Z4089" t="s">
        <v>30220</v>
      </c>
      <c r="AA4089">
        <v>0.56889651048200851</v>
      </c>
      <c r="AB4089" t="str">
        <f>HYPERLINK("Melting_Curves/meltCurve_Q7Z4H7_HAUS6.pdf", "Melting_Curves/meltCurve_Q7Z4H7_HAUS6.pdf")</f>
        <v>Melting_Curves/meltCurve_Q7Z4H7_HAUS6.pdf</v>
      </c>
    </row>
    <row r="4090" spans="1:28" x14ac:dyDescent="0.25">
      <c r="A4090" t="s">
        <v>4093</v>
      </c>
      <c r="B4090">
        <v>0.99930955844802105</v>
      </c>
      <c r="C4090">
        <v>1.0859370915705699</v>
      </c>
      <c r="D4090">
        <v>0.98138810966615397</v>
      </c>
      <c r="E4090">
        <v>0.74862831045623002</v>
      </c>
      <c r="F4090">
        <v>0.35164824092150299</v>
      </c>
      <c r="G4090">
        <v>0.269751825210442</v>
      </c>
      <c r="H4090">
        <v>0.18216314096284</v>
      </c>
      <c r="I4090">
        <v>0.167942303208403</v>
      </c>
      <c r="J4090">
        <v>0.149421828106584</v>
      </c>
      <c r="K4090">
        <v>0.120187305150684</v>
      </c>
      <c r="L4090">
        <v>1638.14532151567</v>
      </c>
      <c r="M4090">
        <v>31.9815730620364</v>
      </c>
      <c r="N4090">
        <v>51.877698153460898</v>
      </c>
      <c r="O4090">
        <v>51.022518681846201</v>
      </c>
      <c r="P4090">
        <v>-0.13063630837278301</v>
      </c>
      <c r="Q4090">
        <v>0.16634998384779101</v>
      </c>
      <c r="R4090">
        <v>0.98868429680136205</v>
      </c>
      <c r="S4090" t="s">
        <v>10706</v>
      </c>
      <c r="T4090" t="s">
        <v>13232</v>
      </c>
      <c r="U4090" t="s">
        <v>13232</v>
      </c>
      <c r="V4090" t="s">
        <v>13232</v>
      </c>
      <c r="W4090" t="s">
        <v>17260</v>
      </c>
      <c r="X4090">
        <v>12</v>
      </c>
      <c r="Y4090" t="s">
        <v>23678</v>
      </c>
      <c r="Z4090" t="s">
        <v>30221</v>
      </c>
      <c r="AA4090">
        <v>0.48280596200167553</v>
      </c>
      <c r="AB4090" t="str">
        <f>HYPERLINK("Melting_Curves/meltCurve_Q7Z4H8_KDELC2.pdf", "Melting_Curves/meltCurve_Q7Z4H8_KDELC2.pdf")</f>
        <v>Melting_Curves/meltCurve_Q7Z4H8_KDELC2.pdf</v>
      </c>
    </row>
    <row r="4091" spans="1:28" x14ac:dyDescent="0.25">
      <c r="A4091" t="s">
        <v>4094</v>
      </c>
      <c r="B4091">
        <v>0.99930955844802105</v>
      </c>
      <c r="C4091">
        <v>1.0935558057819901</v>
      </c>
      <c r="D4091">
        <v>1.1198771287840299</v>
      </c>
      <c r="E4091">
        <v>1.05107145476467</v>
      </c>
      <c r="F4091">
        <v>0.44920339473909099</v>
      </c>
      <c r="G4091">
        <v>9.8367358199951696E-2</v>
      </c>
      <c r="H4091">
        <v>4.1274501631708101E-2</v>
      </c>
      <c r="I4091">
        <v>3.02671611815656E-2</v>
      </c>
      <c r="J4091">
        <v>2.6079734980918701E-2</v>
      </c>
      <c r="K4091">
        <v>2.3600142268558201E-2</v>
      </c>
      <c r="L4091">
        <v>13233.7410246175</v>
      </c>
      <c r="M4091">
        <v>250</v>
      </c>
      <c r="N4091">
        <v>52.954438088720401</v>
      </c>
      <c r="O4091">
        <v>52.931578252812699</v>
      </c>
      <c r="P4091">
        <v>-1.1289128961241199</v>
      </c>
      <c r="Q4091">
        <v>4.3917769917193601E-2</v>
      </c>
      <c r="R4091">
        <v>0.98731764613818596</v>
      </c>
      <c r="S4091" t="s">
        <v>10707</v>
      </c>
      <c r="T4091" t="s">
        <v>13232</v>
      </c>
      <c r="U4091" t="s">
        <v>13232</v>
      </c>
      <c r="V4091" t="s">
        <v>13232</v>
      </c>
      <c r="W4091" t="s">
        <v>17261</v>
      </c>
      <c r="X4091">
        <v>8</v>
      </c>
      <c r="Y4091" t="s">
        <v>23679</v>
      </c>
      <c r="Z4091" t="s">
        <v>30222</v>
      </c>
      <c r="AA4091">
        <v>0.45623623403637897</v>
      </c>
      <c r="AB4091" t="str">
        <f>HYPERLINK("Melting_Curves/meltCurve_Q7Z4I7_4_LIMS2.pdf", "Melting_Curves/meltCurve_Q7Z4I7_4_LIMS2.pdf")</f>
        <v>Melting_Curves/meltCurve_Q7Z4I7_4_LIMS2.pdf</v>
      </c>
    </row>
    <row r="4092" spans="1:28" x14ac:dyDescent="0.25">
      <c r="A4092" t="s">
        <v>4095</v>
      </c>
      <c r="B4092">
        <v>0.99930955844802105</v>
      </c>
      <c r="C4092">
        <v>0.79179834164598295</v>
      </c>
      <c r="D4092">
        <v>0.51793431542456503</v>
      </c>
      <c r="E4092">
        <v>0.31978248193164599</v>
      </c>
      <c r="F4092">
        <v>0.18111045618348101</v>
      </c>
      <c r="G4092">
        <v>0.125659285574476</v>
      </c>
      <c r="H4092">
        <v>7.1820766435600897E-2</v>
      </c>
      <c r="I4092">
        <v>5.5929241693704099E-2</v>
      </c>
      <c r="J4092">
        <v>4.7660444924355401E-2</v>
      </c>
      <c r="K4092">
        <v>3.6597863739191799E-2</v>
      </c>
      <c r="L4092">
        <v>715.70286505572096</v>
      </c>
      <c r="M4092">
        <v>15.3878890134628</v>
      </c>
      <c r="N4092">
        <v>46.8214159005353</v>
      </c>
      <c r="O4092">
        <v>45.7465171998617</v>
      </c>
      <c r="P4092">
        <v>-8.0019931922262602E-2</v>
      </c>
      <c r="Q4092">
        <v>4.8524782473951297E-2</v>
      </c>
      <c r="R4092">
        <v>0.991384996724059</v>
      </c>
      <c r="S4092" t="s">
        <v>10708</v>
      </c>
      <c r="T4092" t="s">
        <v>13232</v>
      </c>
      <c r="U4092" t="s">
        <v>13232</v>
      </c>
      <c r="V4092" t="s">
        <v>13232</v>
      </c>
      <c r="W4092" t="s">
        <v>17262</v>
      </c>
      <c r="X4092">
        <v>20</v>
      </c>
      <c r="Y4092" t="s">
        <v>23680</v>
      </c>
      <c r="Z4092" t="s">
        <v>30223</v>
      </c>
      <c r="AA4092">
        <v>0.28034032947497012</v>
      </c>
      <c r="AB4092" t="str">
        <f>HYPERLINK("Melting_Curves/meltCurve_Q7Z4Q2_HEATR3.pdf", "Melting_Curves/meltCurve_Q7Z4Q2_HEATR3.pdf")</f>
        <v>Melting_Curves/meltCurve_Q7Z4Q2_HEATR3.pdf</v>
      </c>
    </row>
    <row r="4093" spans="1:28" x14ac:dyDescent="0.25">
      <c r="A4093" t="s">
        <v>4096</v>
      </c>
      <c r="B4093">
        <v>0.99930955844802105</v>
      </c>
      <c r="C4093">
        <v>0.92990471912693295</v>
      </c>
      <c r="D4093">
        <v>0.84354883716377504</v>
      </c>
      <c r="E4093">
        <v>0.79572699143790304</v>
      </c>
      <c r="F4093">
        <v>0.68241200758022202</v>
      </c>
      <c r="G4093">
        <v>0.53926018906266504</v>
      </c>
      <c r="H4093">
        <v>0.46771437711601199</v>
      </c>
      <c r="I4093">
        <v>0.41192090886574101</v>
      </c>
      <c r="J4093">
        <v>0.35998129512817201</v>
      </c>
      <c r="K4093">
        <v>0.280909733086603</v>
      </c>
      <c r="L4093">
        <v>422.38356876142001</v>
      </c>
      <c r="M4093">
        <v>7.4004092110860498</v>
      </c>
      <c r="N4093">
        <v>59.382245106845197</v>
      </c>
      <c r="O4093">
        <v>53.352539427145899</v>
      </c>
      <c r="P4093">
        <v>-3.03911925379554E-2</v>
      </c>
      <c r="Q4093">
        <v>0.12491244846041399</v>
      </c>
      <c r="R4093">
        <v>0.99247925342336396</v>
      </c>
      <c r="S4093" t="s">
        <v>10709</v>
      </c>
      <c r="T4093" t="s">
        <v>13232</v>
      </c>
      <c r="U4093" t="s">
        <v>13232</v>
      </c>
      <c r="V4093" t="s">
        <v>13232</v>
      </c>
      <c r="W4093" t="s">
        <v>17263</v>
      </c>
      <c r="X4093">
        <v>23</v>
      </c>
      <c r="Y4093" t="s">
        <v>23681</v>
      </c>
      <c r="Z4093" t="s">
        <v>30224</v>
      </c>
      <c r="AA4093">
        <v>0.63116562422262634</v>
      </c>
      <c r="AB4093" t="str">
        <f>HYPERLINK("Melting_Curves/meltCurve_Q7Z4S6_3_KIF21A.pdf", "Melting_Curves/meltCurve_Q7Z4S6_3_KIF21A.pdf")</f>
        <v>Melting_Curves/meltCurve_Q7Z4S6_3_KIF21A.pdf</v>
      </c>
    </row>
    <row r="4094" spans="1:28" x14ac:dyDescent="0.25">
      <c r="A4094" t="s">
        <v>4097</v>
      </c>
      <c r="B4094">
        <v>0.99930955844802105</v>
      </c>
      <c r="C4094">
        <v>1.17475253353577</v>
      </c>
      <c r="D4094">
        <v>1.1195797142180199</v>
      </c>
      <c r="E4094">
        <v>1.10107767973795</v>
      </c>
      <c r="F4094">
        <v>1.0461753933887501</v>
      </c>
      <c r="G4094">
        <v>0.91843556437250295</v>
      </c>
      <c r="H4094">
        <v>0.95101751164872195</v>
      </c>
      <c r="I4094">
        <v>0.92572485878885602</v>
      </c>
      <c r="J4094">
        <v>1.01445874829395</v>
      </c>
      <c r="K4094">
        <v>0.79765141341702295</v>
      </c>
      <c r="L4094">
        <v>15000</v>
      </c>
      <c r="M4094">
        <v>212.91402490070001</v>
      </c>
      <c r="Q4094">
        <v>0</v>
      </c>
      <c r="R4094">
        <v>0.36131605207885098</v>
      </c>
      <c r="S4094" t="s">
        <v>10710</v>
      </c>
      <c r="T4094" t="s">
        <v>13232</v>
      </c>
      <c r="U4094" t="s">
        <v>13232</v>
      </c>
      <c r="V4094" t="s">
        <v>13232</v>
      </c>
      <c r="W4094" t="s">
        <v>17264</v>
      </c>
      <c r="X4094">
        <v>22</v>
      </c>
      <c r="Y4094" t="s">
        <v>23682</v>
      </c>
      <c r="Z4094" t="s">
        <v>30225</v>
      </c>
      <c r="AA4094">
        <v>0.9975621859768713</v>
      </c>
      <c r="AB4094" t="str">
        <f>HYPERLINK("Melting_Curves/meltCurve_Q7Z4V5_HDGFRP2.pdf", "Melting_Curves/meltCurve_Q7Z4V5_HDGFRP2.pdf")</f>
        <v>Melting_Curves/meltCurve_Q7Z4V5_HDGFRP2.pdf</v>
      </c>
    </row>
    <row r="4095" spans="1:28" x14ac:dyDescent="0.25">
      <c r="A4095" t="s">
        <v>4098</v>
      </c>
      <c r="B4095">
        <v>0.99930955844802105</v>
      </c>
      <c r="C4095">
        <v>0.99652815468903</v>
      </c>
      <c r="D4095">
        <v>0.97802014031375795</v>
      </c>
      <c r="E4095">
        <v>0.87620857213118097</v>
      </c>
      <c r="F4095">
        <v>0.50886427849354599</v>
      </c>
      <c r="G4095">
        <v>0.19278377794195301</v>
      </c>
      <c r="H4095">
        <v>0.102090332600395</v>
      </c>
      <c r="I4095">
        <v>8.2359046210381995E-2</v>
      </c>
      <c r="J4095">
        <v>7.3544688574587305E-2</v>
      </c>
      <c r="K4095">
        <v>5.5300815653170701E-2</v>
      </c>
      <c r="L4095">
        <v>1536.68106844312</v>
      </c>
      <c r="M4095">
        <v>29.039635614731299</v>
      </c>
      <c r="N4095">
        <v>53.207674388755699</v>
      </c>
      <c r="O4095">
        <v>52.667647031639</v>
      </c>
      <c r="P4095">
        <v>-0.12772360316124301</v>
      </c>
      <c r="Q4095">
        <v>7.3424767870409996E-2</v>
      </c>
      <c r="R4095">
        <v>0.99907676715658</v>
      </c>
      <c r="S4095" t="s">
        <v>10711</v>
      </c>
      <c r="T4095" t="s">
        <v>13232</v>
      </c>
      <c r="U4095" t="s">
        <v>13232</v>
      </c>
      <c r="V4095" t="s">
        <v>13232</v>
      </c>
      <c r="W4095" t="s">
        <v>17265</v>
      </c>
      <c r="X4095">
        <v>9</v>
      </c>
      <c r="Y4095" t="s">
        <v>23683</v>
      </c>
      <c r="Z4095" t="s">
        <v>30226</v>
      </c>
      <c r="AA4095">
        <v>0.47876341744092882</v>
      </c>
      <c r="AB4095" t="str">
        <f>HYPERLINK("Melting_Curves/meltCurve_Q7Z4W1_DCXR.pdf", "Melting_Curves/meltCurve_Q7Z4W1_DCXR.pdf")</f>
        <v>Melting_Curves/meltCurve_Q7Z4W1_DCXR.pdf</v>
      </c>
    </row>
    <row r="4096" spans="1:28" x14ac:dyDescent="0.25">
      <c r="A4096" t="s">
        <v>4099</v>
      </c>
      <c r="B4096">
        <v>0.99930955844802105</v>
      </c>
      <c r="C4096">
        <v>1.0344438852809701</v>
      </c>
      <c r="D4096">
        <v>1.00877782380253</v>
      </c>
      <c r="E4096">
        <v>0.926182261110718</v>
      </c>
      <c r="F4096">
        <v>0.79485535973758104</v>
      </c>
      <c r="G4096">
        <v>0.67919144604599202</v>
      </c>
      <c r="H4096">
        <v>0.67810040939365201</v>
      </c>
      <c r="I4096">
        <v>0.72226167655593199</v>
      </c>
      <c r="J4096">
        <v>0.73211719604443504</v>
      </c>
      <c r="K4096">
        <v>0.60055052486045302</v>
      </c>
      <c r="L4096">
        <v>1767.91816977389</v>
      </c>
      <c r="M4096">
        <v>34.030680628037302</v>
      </c>
      <c r="O4096">
        <v>51.772292533301297</v>
      </c>
      <c r="P4096">
        <v>-5.2633259812083701E-2</v>
      </c>
      <c r="Q4096">
        <v>0.67970850492473101</v>
      </c>
      <c r="R4096">
        <v>0.94597096423333304</v>
      </c>
      <c r="S4096" t="s">
        <v>10712</v>
      </c>
      <c r="T4096" t="s">
        <v>13232</v>
      </c>
      <c r="U4096" t="s">
        <v>13232</v>
      </c>
      <c r="V4096" t="s">
        <v>13232</v>
      </c>
      <c r="W4096" t="s">
        <v>17266</v>
      </c>
      <c r="X4096">
        <v>24</v>
      </c>
      <c r="Y4096" t="s">
        <v>23684</v>
      </c>
      <c r="Z4096" t="s">
        <v>30227</v>
      </c>
      <c r="AA4096">
        <v>0.80888923620183728</v>
      </c>
      <c r="AB4096" t="str">
        <f>HYPERLINK("Melting_Curves/meltCurve_Q7Z591_AKNA.pdf", "Melting_Curves/meltCurve_Q7Z591_AKNA.pdf")</f>
        <v>Melting_Curves/meltCurve_Q7Z591_AKNA.pdf</v>
      </c>
    </row>
    <row r="4097" spans="1:28" x14ac:dyDescent="0.25">
      <c r="A4097" t="s">
        <v>4100</v>
      </c>
      <c r="B4097">
        <v>0.99930955844802105</v>
      </c>
      <c r="C4097">
        <v>1.0447062898902699</v>
      </c>
      <c r="D4097">
        <v>1.0114415497528499</v>
      </c>
      <c r="E4097">
        <v>0.88684837781464099</v>
      </c>
      <c r="F4097">
        <v>0.73416669756369501</v>
      </c>
      <c r="G4097">
        <v>0.60499046852836802</v>
      </c>
      <c r="H4097">
        <v>0.53405702764489804</v>
      </c>
      <c r="I4097">
        <v>0.57287217726792405</v>
      </c>
      <c r="J4097">
        <v>0.54766242636807205</v>
      </c>
      <c r="K4097">
        <v>0.43462416432149897</v>
      </c>
      <c r="L4097">
        <v>1133.9154260837799</v>
      </c>
      <c r="M4097">
        <v>21.458458854748699</v>
      </c>
      <c r="O4097">
        <v>52.389854131211401</v>
      </c>
      <c r="P4097">
        <v>-5.0053130304521798E-2</v>
      </c>
      <c r="Q4097">
        <v>0.51120225109842699</v>
      </c>
      <c r="R4097">
        <v>0.97192372946039696</v>
      </c>
      <c r="S4097" t="s">
        <v>10713</v>
      </c>
      <c r="T4097" t="s">
        <v>13232</v>
      </c>
      <c r="U4097" t="s">
        <v>13232</v>
      </c>
      <c r="V4097" t="s">
        <v>13232</v>
      </c>
      <c r="W4097" t="s">
        <v>17267</v>
      </c>
      <c r="X4097">
        <v>14</v>
      </c>
      <c r="Y4097" t="s">
        <v>23685</v>
      </c>
      <c r="Z4097" t="s">
        <v>30228</v>
      </c>
      <c r="AA4097">
        <v>0.72639675158935502</v>
      </c>
      <c r="AB4097" t="str">
        <f>HYPERLINK("Melting_Curves/meltCurve_Q7Z5J4_3_RAI1.pdf", "Melting_Curves/meltCurve_Q7Z5J4_3_RAI1.pdf")</f>
        <v>Melting_Curves/meltCurve_Q7Z5J4_3_RAI1.pdf</v>
      </c>
    </row>
    <row r="4098" spans="1:28" x14ac:dyDescent="0.25">
      <c r="A4098" t="s">
        <v>4101</v>
      </c>
      <c r="B4098">
        <v>0.99930955844802105</v>
      </c>
      <c r="C4098">
        <v>1.05951525408438</v>
      </c>
      <c r="D4098">
        <v>1.0529881269912</v>
      </c>
      <c r="E4098">
        <v>0.86648977840687902</v>
      </c>
      <c r="F4098">
        <v>0.55262799282332897</v>
      </c>
      <c r="G4098">
        <v>0.442094764672537</v>
      </c>
      <c r="H4098">
        <v>0.41252086292044199</v>
      </c>
      <c r="I4098">
        <v>0.41841037927414698</v>
      </c>
      <c r="J4098">
        <v>0.39975106987239201</v>
      </c>
      <c r="K4098">
        <v>0.32610479398127101</v>
      </c>
      <c r="L4098">
        <v>2013.1495888086299</v>
      </c>
      <c r="M4098">
        <v>38.9857239429709</v>
      </c>
      <c r="N4098">
        <v>53.797937286365503</v>
      </c>
      <c r="O4098">
        <v>51.502820572668703</v>
      </c>
      <c r="P4098">
        <v>-0.114401613376621</v>
      </c>
      <c r="Q4098">
        <v>0.39547187092865799</v>
      </c>
      <c r="R4098">
        <v>0.98366178026292805</v>
      </c>
      <c r="S4098" t="s">
        <v>10714</v>
      </c>
      <c r="T4098" t="s">
        <v>13232</v>
      </c>
      <c r="U4098" t="s">
        <v>13232</v>
      </c>
      <c r="V4098" t="s">
        <v>13232</v>
      </c>
      <c r="W4098" t="s">
        <v>17268</v>
      </c>
      <c r="X4098">
        <v>30</v>
      </c>
      <c r="Y4098" t="s">
        <v>23686</v>
      </c>
      <c r="Z4098" t="s">
        <v>30229</v>
      </c>
      <c r="AA4098">
        <v>0.63226246882598514</v>
      </c>
      <c r="AB4098" t="str">
        <f>HYPERLINK("Melting_Curves/meltCurve_Q7Z5K2_WAPAL.pdf", "Melting_Curves/meltCurve_Q7Z5K2_WAPAL.pdf")</f>
        <v>Melting_Curves/meltCurve_Q7Z5K2_WAPAL.pdf</v>
      </c>
    </row>
    <row r="4099" spans="1:28" x14ac:dyDescent="0.25">
      <c r="A4099" t="s">
        <v>4102</v>
      </c>
      <c r="B4099">
        <v>0.99930955844802105</v>
      </c>
      <c r="C4099">
        <v>1.0083132248549</v>
      </c>
      <c r="D4099">
        <v>0.95078079664965998</v>
      </c>
      <c r="E4099">
        <v>0.843933125307752</v>
      </c>
      <c r="F4099">
        <v>0.61422323068309104</v>
      </c>
      <c r="G4099">
        <v>0.57962470148261802</v>
      </c>
      <c r="H4099">
        <v>0.53115245918079002</v>
      </c>
      <c r="I4099">
        <v>0.53083038582631004</v>
      </c>
      <c r="J4099">
        <v>0.53295597051911103</v>
      </c>
      <c r="K4099">
        <v>0.41213317613773398</v>
      </c>
      <c r="L4099">
        <v>1160.6451942502899</v>
      </c>
      <c r="M4099">
        <v>22.6694300787854</v>
      </c>
      <c r="O4099">
        <v>50.8052816255531</v>
      </c>
      <c r="P4099">
        <v>-5.5872804239397202E-2</v>
      </c>
      <c r="Q4099">
        <v>0.49913569366048199</v>
      </c>
      <c r="R4099">
        <v>0.96919726760177005</v>
      </c>
      <c r="S4099" t="s">
        <v>10715</v>
      </c>
      <c r="T4099" t="s">
        <v>13232</v>
      </c>
      <c r="U4099" t="s">
        <v>13232</v>
      </c>
      <c r="V4099" t="s">
        <v>13232</v>
      </c>
      <c r="W4099" t="s">
        <v>17269</v>
      </c>
      <c r="X4099">
        <v>13</v>
      </c>
      <c r="Y4099" t="s">
        <v>23687</v>
      </c>
      <c r="Z4099" t="s">
        <v>30230</v>
      </c>
      <c r="AA4099">
        <v>0.69158667888061442</v>
      </c>
      <c r="AB4099" t="str">
        <f>HYPERLINK("Melting_Curves/meltCurve_Q7Z5L2_2_R3HCC1L.pdf", "Melting_Curves/meltCurve_Q7Z5L2_2_R3HCC1L.pdf")</f>
        <v>Melting_Curves/meltCurve_Q7Z5L2_2_R3HCC1L.pdf</v>
      </c>
    </row>
    <row r="4100" spans="1:28" x14ac:dyDescent="0.25">
      <c r="A4100" t="s">
        <v>4103</v>
      </c>
      <c r="B4100">
        <v>0.99930955844802105</v>
      </c>
      <c r="C4100">
        <v>1.12626782067264</v>
      </c>
      <c r="D4100">
        <v>1.0922791026873</v>
      </c>
      <c r="E4100">
        <v>1.03323680631156</v>
      </c>
      <c r="F4100">
        <v>0.87645900052845205</v>
      </c>
      <c r="G4100">
        <v>0.78383317443058598</v>
      </c>
      <c r="H4100">
        <v>0.76709246097224004</v>
      </c>
      <c r="I4100">
        <v>0.78350665922628504</v>
      </c>
      <c r="J4100">
        <v>0.753566014524923</v>
      </c>
      <c r="K4100">
        <v>0.60792547895540805</v>
      </c>
      <c r="L4100">
        <v>1570.1980349210601</v>
      </c>
      <c r="M4100">
        <v>28.918057749353402</v>
      </c>
      <c r="O4100">
        <v>54.040515192269801</v>
      </c>
      <c r="P4100">
        <v>-3.7057901277580199E-2</v>
      </c>
      <c r="Q4100">
        <v>0.72299481596749504</v>
      </c>
      <c r="R4100">
        <v>0.82111298631530505</v>
      </c>
      <c r="S4100" t="s">
        <v>10716</v>
      </c>
      <c r="T4100" t="s">
        <v>13232</v>
      </c>
      <c r="U4100" t="s">
        <v>13232</v>
      </c>
      <c r="V4100" t="s">
        <v>13232</v>
      </c>
      <c r="W4100" t="s">
        <v>17270</v>
      </c>
      <c r="X4100">
        <v>27</v>
      </c>
      <c r="Y4100" t="s">
        <v>23688</v>
      </c>
      <c r="Z4100" t="s">
        <v>30231</v>
      </c>
      <c r="AA4100">
        <v>0.85697533973408324</v>
      </c>
      <c r="AB4100" t="str">
        <f>HYPERLINK("Melting_Curves/meltCurve_Q7Z5L9_2_IRF2BP2.pdf", "Melting_Curves/meltCurve_Q7Z5L9_2_IRF2BP2.pdf")</f>
        <v>Melting_Curves/meltCurve_Q7Z5L9_2_IRF2BP2.pdf</v>
      </c>
    </row>
    <row r="4101" spans="1:28" x14ac:dyDescent="0.25">
      <c r="A4101" t="s">
        <v>4104</v>
      </c>
      <c r="B4101">
        <v>0.99930955844802105</v>
      </c>
      <c r="C4101">
        <v>0.87824519440103499</v>
      </c>
      <c r="D4101">
        <v>0.90937520494520296</v>
      </c>
      <c r="E4101">
        <v>0.76655620296179205</v>
      </c>
      <c r="F4101">
        <v>0.48009065878613</v>
      </c>
      <c r="G4101">
        <v>0.26674658899288201</v>
      </c>
      <c r="H4101">
        <v>0.141305789804543</v>
      </c>
      <c r="I4101">
        <v>9.7499812072062306E-2</v>
      </c>
      <c r="J4101">
        <v>7.2273236068783497E-2</v>
      </c>
      <c r="K4101">
        <v>6.0772864440806401E-2</v>
      </c>
      <c r="L4101">
        <v>823.28510869438503</v>
      </c>
      <c r="M4101">
        <v>15.581621183034899</v>
      </c>
      <c r="N4101">
        <v>53.094229554539901</v>
      </c>
      <c r="O4101">
        <v>51.989600156765803</v>
      </c>
      <c r="P4101">
        <v>-7.2208178930104394E-2</v>
      </c>
      <c r="Q4101">
        <v>3.6365319033709403E-2</v>
      </c>
      <c r="R4101">
        <v>0.99075751964361003</v>
      </c>
      <c r="S4101" t="s">
        <v>10717</v>
      </c>
      <c r="T4101" t="s">
        <v>13232</v>
      </c>
      <c r="U4101" t="s">
        <v>13232</v>
      </c>
      <c r="V4101" t="s">
        <v>13232</v>
      </c>
      <c r="W4101" t="s">
        <v>17271</v>
      </c>
      <c r="X4101">
        <v>2</v>
      </c>
      <c r="Y4101" t="s">
        <v>23689</v>
      </c>
      <c r="Z4101" t="s">
        <v>30232</v>
      </c>
      <c r="AA4101">
        <v>0.46846841741507161</v>
      </c>
      <c r="AB4101" t="str">
        <f>HYPERLINK("Melting_Curves/meltCurve_Q7Z5W3_BCDIN3D.pdf", "Melting_Curves/meltCurve_Q7Z5W3_BCDIN3D.pdf")</f>
        <v>Melting_Curves/meltCurve_Q7Z5W3_BCDIN3D.pdf</v>
      </c>
    </row>
    <row r="4102" spans="1:28" x14ac:dyDescent="0.25">
      <c r="A4102" t="s">
        <v>4105</v>
      </c>
      <c r="B4102">
        <v>0.99930955844802105</v>
      </c>
      <c r="C4102">
        <v>1.0394072241380099</v>
      </c>
      <c r="D4102">
        <v>1.0732616310574301</v>
      </c>
      <c r="E4102">
        <v>1.2628923256384701</v>
      </c>
      <c r="F4102">
        <v>1.05995806159302</v>
      </c>
      <c r="G4102">
        <v>0.98129867529940396</v>
      </c>
      <c r="H4102">
        <v>0.99461921858040503</v>
      </c>
      <c r="I4102">
        <v>1.06319066352181</v>
      </c>
      <c r="J4102">
        <v>1.14469749779858</v>
      </c>
      <c r="K4102">
        <v>0.87474537600900804</v>
      </c>
      <c r="L4102">
        <v>15000</v>
      </c>
      <c r="M4102">
        <v>212.34201259480099</v>
      </c>
      <c r="Q4102">
        <v>0</v>
      </c>
      <c r="R4102">
        <v>-8.9906472903030096E-2</v>
      </c>
      <c r="S4102" t="s">
        <v>10718</v>
      </c>
      <c r="T4102" t="s">
        <v>13232</v>
      </c>
      <c r="U4102" t="s">
        <v>13232</v>
      </c>
      <c r="V4102" t="s">
        <v>13232</v>
      </c>
      <c r="W4102" t="s">
        <v>17272</v>
      </c>
      <c r="X4102">
        <v>2</v>
      </c>
      <c r="Y4102" t="s">
        <v>23690</v>
      </c>
      <c r="Z4102" t="s">
        <v>30233</v>
      </c>
      <c r="AA4102">
        <v>0.99855684661228516</v>
      </c>
      <c r="AB4102" t="str">
        <f>HYPERLINK("Melting_Curves/meltCurve_Q7Z5Y7_KCTD20.pdf", "Melting_Curves/meltCurve_Q7Z5Y7_KCTD20.pdf")</f>
        <v>Melting_Curves/meltCurve_Q7Z5Y7_KCTD20.pdf</v>
      </c>
    </row>
    <row r="4103" spans="1:28" x14ac:dyDescent="0.25">
      <c r="A4103" t="s">
        <v>4106</v>
      </c>
      <c r="B4103">
        <v>0.99930955844802105</v>
      </c>
      <c r="C4103">
        <v>1.0063144626206599</v>
      </c>
      <c r="D4103">
        <v>0.79278001561778999</v>
      </c>
      <c r="E4103">
        <v>0.36822194757774901</v>
      </c>
      <c r="F4103">
        <v>0.17964019845823001</v>
      </c>
      <c r="G4103">
        <v>0.128102474943001</v>
      </c>
      <c r="H4103">
        <v>8.8391243755903307E-2</v>
      </c>
      <c r="I4103">
        <v>8.4639908562538405E-2</v>
      </c>
      <c r="J4103">
        <v>8.4668958730833896E-2</v>
      </c>
      <c r="K4103">
        <v>6.9718444703306404E-2</v>
      </c>
      <c r="L4103">
        <v>1218.0690568805501</v>
      </c>
      <c r="M4103">
        <v>25.167104767996701</v>
      </c>
      <c r="N4103">
        <v>48.762417793558399</v>
      </c>
      <c r="O4103">
        <v>48.096782961662299</v>
      </c>
      <c r="P4103">
        <v>-0.119637203603797</v>
      </c>
      <c r="Q4103">
        <v>8.5458825372362796E-2</v>
      </c>
      <c r="R4103">
        <v>0.99809254763384203</v>
      </c>
      <c r="S4103" t="s">
        <v>10719</v>
      </c>
      <c r="T4103" t="s">
        <v>13232</v>
      </c>
      <c r="U4103" t="s">
        <v>13232</v>
      </c>
      <c r="V4103" t="s">
        <v>13232</v>
      </c>
      <c r="W4103" t="s">
        <v>17273</v>
      </c>
      <c r="X4103">
        <v>5</v>
      </c>
      <c r="Y4103" t="s">
        <v>23691</v>
      </c>
      <c r="Z4103" t="s">
        <v>30234</v>
      </c>
      <c r="AA4103">
        <v>0.34947845596578758</v>
      </c>
      <c r="AB4103" t="str">
        <f>HYPERLINK("Melting_Curves/meltCurve_Q7Z624_CAMKMT.pdf", "Melting_Curves/meltCurve_Q7Z624_CAMKMT.pdf")</f>
        <v>Melting_Curves/meltCurve_Q7Z624_CAMKMT.pdf</v>
      </c>
    </row>
    <row r="4104" spans="1:28" x14ac:dyDescent="0.25">
      <c r="A4104" t="s">
        <v>4107</v>
      </c>
      <c r="B4104">
        <v>0.99930955844802105</v>
      </c>
      <c r="C4104">
        <v>1.0894348944291501</v>
      </c>
      <c r="D4104">
        <v>1.03729095461694</v>
      </c>
      <c r="E4104">
        <v>0.97802018921934497</v>
      </c>
      <c r="F4104">
        <v>0.73067898481359195</v>
      </c>
      <c r="G4104">
        <v>0.52299616816786398</v>
      </c>
      <c r="H4104">
        <v>0.47381309751254502</v>
      </c>
      <c r="I4104">
        <v>0.49828822647606302</v>
      </c>
      <c r="J4104">
        <v>0.57089440168146899</v>
      </c>
      <c r="K4104">
        <v>0.48799473295698997</v>
      </c>
      <c r="L4104">
        <v>2853.73600935902</v>
      </c>
      <c r="M4104">
        <v>54.034785469959402</v>
      </c>
      <c r="O4104">
        <v>52.740755893821898</v>
      </c>
      <c r="P4104">
        <v>-0.12580098188031</v>
      </c>
      <c r="Q4104">
        <v>0.50884716051304002</v>
      </c>
      <c r="R4104">
        <v>0.974994854413193</v>
      </c>
      <c r="S4104" t="s">
        <v>10720</v>
      </c>
      <c r="T4104" t="s">
        <v>13232</v>
      </c>
      <c r="U4104" t="s">
        <v>13232</v>
      </c>
      <c r="V4104" t="s">
        <v>13232</v>
      </c>
      <c r="W4104" t="s">
        <v>17274</v>
      </c>
      <c r="X4104">
        <v>21</v>
      </c>
      <c r="Y4104" t="s">
        <v>23692</v>
      </c>
      <c r="Z4104" t="s">
        <v>30235</v>
      </c>
      <c r="AA4104">
        <v>0.71959644731788031</v>
      </c>
      <c r="AB4104" t="str">
        <f>HYPERLINK("Melting_Curves/meltCurve_Q7Z6B0_2_CCDC91.pdf", "Melting_Curves/meltCurve_Q7Z6B0_2_CCDC91.pdf")</f>
        <v>Melting_Curves/meltCurve_Q7Z6B0_2_CCDC91.pdf</v>
      </c>
    </row>
    <row r="4105" spans="1:28" x14ac:dyDescent="0.25">
      <c r="A4105" t="s">
        <v>4108</v>
      </c>
      <c r="B4105">
        <v>0.99930955844802105</v>
      </c>
      <c r="C4105">
        <v>1.0657912573181001</v>
      </c>
      <c r="D4105">
        <v>1.06316186127194</v>
      </c>
      <c r="E4105">
        <v>1.05845365809818</v>
      </c>
      <c r="F4105">
        <v>0.96385615510757305</v>
      </c>
      <c r="G4105">
        <v>0.870593388565291</v>
      </c>
      <c r="H4105">
        <v>0.86142550497172998</v>
      </c>
      <c r="I4105">
        <v>0.86715643630292905</v>
      </c>
      <c r="J4105">
        <v>0.79918314452266603</v>
      </c>
      <c r="K4105">
        <v>0.62425477722685896</v>
      </c>
      <c r="L4105">
        <v>671.05038697869099</v>
      </c>
      <c r="M4105">
        <v>8.9109172054809207</v>
      </c>
      <c r="Q4105">
        <v>0</v>
      </c>
      <c r="R4105">
        <v>0.857177099175366</v>
      </c>
      <c r="S4105" t="s">
        <v>10721</v>
      </c>
      <c r="T4105" t="s">
        <v>13232</v>
      </c>
      <c r="U4105" t="s">
        <v>13232</v>
      </c>
      <c r="V4105" t="s">
        <v>13232</v>
      </c>
      <c r="W4105" t="s">
        <v>17275</v>
      </c>
      <c r="X4105">
        <v>43</v>
      </c>
      <c r="Y4105" t="s">
        <v>23693</v>
      </c>
      <c r="Z4105" t="s">
        <v>30236</v>
      </c>
      <c r="AA4105">
        <v>0.91758654373459325</v>
      </c>
      <c r="AB4105" t="str">
        <f>HYPERLINK("Melting_Curves/meltCurve_Q7Z6E9_RBBP6.pdf", "Melting_Curves/meltCurve_Q7Z6E9_RBBP6.pdf")</f>
        <v>Melting_Curves/meltCurve_Q7Z6E9_RBBP6.pdf</v>
      </c>
    </row>
    <row r="4106" spans="1:28" x14ac:dyDescent="0.25">
      <c r="A4106" t="s">
        <v>4109</v>
      </c>
      <c r="B4106">
        <v>0.99930955844802105</v>
      </c>
      <c r="C4106">
        <v>0.84421146559017801</v>
      </c>
      <c r="D4106">
        <v>0.74879515547217101</v>
      </c>
      <c r="E4106">
        <v>0.38802794881617902</v>
      </c>
      <c r="F4106">
        <v>0.236448440661609</v>
      </c>
      <c r="G4106">
        <v>0.15596900718776499</v>
      </c>
      <c r="H4106">
        <v>0.10188909219685</v>
      </c>
      <c r="I4106">
        <v>9.4981547998444799E-2</v>
      </c>
      <c r="J4106">
        <v>8.2581274368097105E-2</v>
      </c>
      <c r="K4106">
        <v>6.5366511892023402E-2</v>
      </c>
      <c r="L4106">
        <v>796.06912317440799</v>
      </c>
      <c r="M4106">
        <v>16.507465535360499</v>
      </c>
      <c r="N4106">
        <v>48.688673880234397</v>
      </c>
      <c r="O4106">
        <v>47.533765089713697</v>
      </c>
      <c r="P4106">
        <v>-8.0508009380682602E-2</v>
      </c>
      <c r="Q4106">
        <v>7.2763407030345201E-2</v>
      </c>
      <c r="R4106">
        <v>0.99525385804652899</v>
      </c>
      <c r="S4106" t="s">
        <v>10722</v>
      </c>
      <c r="T4106" t="s">
        <v>13232</v>
      </c>
      <c r="U4106" t="s">
        <v>13232</v>
      </c>
      <c r="V4106" t="s">
        <v>13232</v>
      </c>
      <c r="W4106" t="s">
        <v>17276</v>
      </c>
      <c r="X4106">
        <v>9</v>
      </c>
      <c r="Y4106" t="s">
        <v>23694</v>
      </c>
      <c r="Z4106" t="s">
        <v>30237</v>
      </c>
      <c r="AA4106">
        <v>0.34648851103494438</v>
      </c>
      <c r="AB4106" t="str">
        <f>HYPERLINK("Melting_Curves/meltCurve_Q7Z6J9_TSEN54.pdf", "Melting_Curves/meltCurve_Q7Z6J9_TSEN54.pdf")</f>
        <v>Melting_Curves/meltCurve_Q7Z6J9_TSEN54.pdf</v>
      </c>
    </row>
    <row r="4107" spans="1:28" x14ac:dyDescent="0.25">
      <c r="A4107" t="s">
        <v>4110</v>
      </c>
      <c r="B4107">
        <v>0.99930955844802105</v>
      </c>
      <c r="C4107">
        <v>1.0101193643013799</v>
      </c>
      <c r="D4107">
        <v>0.98467630431711695</v>
      </c>
      <c r="E4107">
        <v>0.83490579755596295</v>
      </c>
      <c r="F4107">
        <v>0.73386455270004802</v>
      </c>
      <c r="G4107">
        <v>0.45056796564894203</v>
      </c>
      <c r="H4107">
        <v>0.17508165406234899</v>
      </c>
      <c r="I4107">
        <v>0.10189313698715401</v>
      </c>
      <c r="J4107">
        <v>6.8092379618675702E-2</v>
      </c>
      <c r="K4107">
        <v>4.8087420110639101E-2</v>
      </c>
      <c r="L4107">
        <v>925.348931803396</v>
      </c>
      <c r="M4107">
        <v>16.529080658339002</v>
      </c>
      <c r="N4107">
        <v>55.983064420593003</v>
      </c>
      <c r="O4107">
        <v>55.182907571138301</v>
      </c>
      <c r="P4107">
        <v>-7.4888323876706603E-2</v>
      </c>
      <c r="Q4107">
        <v>0</v>
      </c>
      <c r="R4107">
        <v>0.99722251821263597</v>
      </c>
      <c r="S4107" t="s">
        <v>10723</v>
      </c>
      <c r="T4107" t="s">
        <v>13232</v>
      </c>
      <c r="U4107" t="s">
        <v>13232</v>
      </c>
      <c r="V4107" t="s">
        <v>13232</v>
      </c>
      <c r="W4107" t="s">
        <v>17277</v>
      </c>
      <c r="X4107">
        <v>5</v>
      </c>
      <c r="Y4107" t="s">
        <v>23695</v>
      </c>
      <c r="Z4107" t="s">
        <v>30238</v>
      </c>
      <c r="AA4107">
        <v>0.54898300561353319</v>
      </c>
      <c r="AB4107" t="str">
        <f>HYPERLINK("Melting_Curves/meltCurve_Q7Z6K3_PTAR1.pdf", "Melting_Curves/meltCurve_Q7Z6K3_PTAR1.pdf")</f>
        <v>Melting_Curves/meltCurve_Q7Z6K3_PTAR1.pdf</v>
      </c>
    </row>
    <row r="4108" spans="1:28" x14ac:dyDescent="0.25">
      <c r="A4108" t="s">
        <v>4111</v>
      </c>
      <c r="B4108">
        <v>0.99930955844802105</v>
      </c>
      <c r="C4108">
        <v>0.97995409279606904</v>
      </c>
      <c r="D4108">
        <v>0.86514924310257202</v>
      </c>
      <c r="E4108">
        <v>0.80623275608689804</v>
      </c>
      <c r="F4108">
        <v>0.54908035338462102</v>
      </c>
      <c r="G4108">
        <v>0.43064943266755501</v>
      </c>
      <c r="H4108">
        <v>0.32598141601486802</v>
      </c>
      <c r="I4108">
        <v>0.32089045591354498</v>
      </c>
      <c r="J4108">
        <v>0.32002087046340399</v>
      </c>
      <c r="K4108">
        <v>0.25028787088785698</v>
      </c>
      <c r="L4108">
        <v>785.48327412292304</v>
      </c>
      <c r="M4108">
        <v>15.060696341798799</v>
      </c>
      <c r="N4108">
        <v>54.895965462538001</v>
      </c>
      <c r="O4108">
        <v>51.260946561677898</v>
      </c>
      <c r="P4108">
        <v>-5.4042191980531402E-2</v>
      </c>
      <c r="Q4108">
        <v>0.264316229517368</v>
      </c>
      <c r="R4108">
        <v>0.98797697298500198</v>
      </c>
      <c r="S4108" t="s">
        <v>10724</v>
      </c>
      <c r="T4108" t="s">
        <v>13232</v>
      </c>
      <c r="U4108" t="s">
        <v>13232</v>
      </c>
      <c r="V4108" t="s">
        <v>13232</v>
      </c>
      <c r="W4108" t="s">
        <v>17278</v>
      </c>
      <c r="X4108">
        <v>3</v>
      </c>
      <c r="Y4108" t="s">
        <v>23696</v>
      </c>
      <c r="Z4108" t="s">
        <v>30239</v>
      </c>
      <c r="AA4108">
        <v>0.57863722604084211</v>
      </c>
      <c r="AB4108" t="str">
        <f>HYPERLINK("Melting_Curves/meltCurve_Q7Z6L1_TECPR1.pdf", "Melting_Curves/meltCurve_Q7Z6L1_TECPR1.pdf")</f>
        <v>Melting_Curves/meltCurve_Q7Z6L1_TECPR1.pdf</v>
      </c>
    </row>
    <row r="4109" spans="1:28" x14ac:dyDescent="0.25">
      <c r="A4109" t="s">
        <v>4112</v>
      </c>
      <c r="B4109">
        <v>0.99930955844802105</v>
      </c>
      <c r="C4109">
        <v>1.0201663098318301</v>
      </c>
      <c r="D4109">
        <v>0.99781223497051197</v>
      </c>
      <c r="E4109">
        <v>0.87460733184976402</v>
      </c>
      <c r="F4109">
        <v>0.70092896334593402</v>
      </c>
      <c r="G4109">
        <v>0.491889693387839</v>
      </c>
      <c r="H4109">
        <v>0.32716265535495798</v>
      </c>
      <c r="I4109">
        <v>0.224653049044998</v>
      </c>
      <c r="J4109">
        <v>0.17199582599086</v>
      </c>
      <c r="K4109">
        <v>0.12932927219409299</v>
      </c>
      <c r="L4109">
        <v>813.24983789012003</v>
      </c>
      <c r="M4109">
        <v>14.503949017002199</v>
      </c>
      <c r="N4109">
        <v>56.882943925902502</v>
      </c>
      <c r="O4109">
        <v>55.037364118673302</v>
      </c>
      <c r="P4109">
        <v>-5.9728435109350601E-2</v>
      </c>
      <c r="Q4109">
        <v>9.3511289061109795E-2</v>
      </c>
      <c r="R4109">
        <v>0.99722941782457197</v>
      </c>
      <c r="S4109" t="s">
        <v>10725</v>
      </c>
      <c r="T4109" t="s">
        <v>13232</v>
      </c>
      <c r="U4109" t="s">
        <v>13232</v>
      </c>
      <c r="V4109" t="s">
        <v>13232</v>
      </c>
      <c r="W4109" t="s">
        <v>17279</v>
      </c>
      <c r="X4109">
        <v>18</v>
      </c>
      <c r="Y4109" t="s">
        <v>23697</v>
      </c>
      <c r="Z4109" t="s">
        <v>30240</v>
      </c>
      <c r="AA4109">
        <v>0.59552078872488035</v>
      </c>
      <c r="AB4109" t="str">
        <f>HYPERLINK("Melting_Curves/meltCurve_Q7Z6M1_RABEPK.pdf", "Melting_Curves/meltCurve_Q7Z6M1_RABEPK.pdf")</f>
        <v>Melting_Curves/meltCurve_Q7Z6M1_RABEPK.pdf</v>
      </c>
    </row>
    <row r="4110" spans="1:28" x14ac:dyDescent="0.25">
      <c r="A4110" t="s">
        <v>4113</v>
      </c>
      <c r="B4110">
        <v>0.99930955844802105</v>
      </c>
      <c r="C4110">
        <v>0.94235128125605405</v>
      </c>
      <c r="D4110">
        <v>0.89434220462359004</v>
      </c>
      <c r="E4110">
        <v>0.78824375964048499</v>
      </c>
      <c r="F4110">
        <v>0.58904721912237601</v>
      </c>
      <c r="G4110">
        <v>0.37341103852601298</v>
      </c>
      <c r="H4110">
        <v>0.235689708667913</v>
      </c>
      <c r="I4110">
        <v>0.16825443459352399</v>
      </c>
      <c r="J4110">
        <v>0.18100695529442801</v>
      </c>
      <c r="K4110">
        <v>0.100112008244161</v>
      </c>
      <c r="L4110">
        <v>713.90103137050403</v>
      </c>
      <c r="M4110">
        <v>13.2343316170811</v>
      </c>
      <c r="N4110">
        <v>54.636700948994203</v>
      </c>
      <c r="O4110">
        <v>52.756077888353801</v>
      </c>
      <c r="P4110">
        <v>-5.7874945386634999E-2</v>
      </c>
      <c r="Q4110">
        <v>7.7323135551116001E-2</v>
      </c>
      <c r="R4110">
        <v>0.99631413332253504</v>
      </c>
      <c r="S4110" t="s">
        <v>10726</v>
      </c>
      <c r="T4110" t="s">
        <v>13232</v>
      </c>
      <c r="U4110" t="s">
        <v>13232</v>
      </c>
      <c r="V4110" t="s">
        <v>13232</v>
      </c>
      <c r="W4110" t="s">
        <v>17280</v>
      </c>
      <c r="X4110">
        <v>4</v>
      </c>
      <c r="Y4110" t="s">
        <v>23698</v>
      </c>
      <c r="Z4110" t="s">
        <v>30241</v>
      </c>
      <c r="AA4110">
        <v>0.52811658646361681</v>
      </c>
      <c r="AB4110" t="str">
        <f>HYPERLINK("Melting_Curves/meltCurve_Q7Z6V5_ADAT2.pdf", "Melting_Curves/meltCurve_Q7Z6V5_ADAT2.pdf")</f>
        <v>Melting_Curves/meltCurve_Q7Z6V5_ADAT2.pdf</v>
      </c>
    </row>
    <row r="4111" spans="1:28" x14ac:dyDescent="0.25">
      <c r="A4111" t="s">
        <v>4114</v>
      </c>
      <c r="B4111">
        <v>0.99930955844802105</v>
      </c>
      <c r="C4111">
        <v>0.80093053560101402</v>
      </c>
      <c r="D4111">
        <v>0.77924556523203004</v>
      </c>
      <c r="E4111">
        <v>0.76671723679997505</v>
      </c>
      <c r="F4111">
        <v>1.1579678936070501</v>
      </c>
      <c r="G4111">
        <v>0.418620895429691</v>
      </c>
      <c r="H4111">
        <v>0.31208110601023598</v>
      </c>
      <c r="I4111">
        <v>0.205343561951778</v>
      </c>
      <c r="J4111">
        <v>0.20318273133977</v>
      </c>
      <c r="K4111">
        <v>7.3003142306610896E-2</v>
      </c>
      <c r="L4111">
        <v>13893.7427431142</v>
      </c>
      <c r="M4111">
        <v>244.72065620265801</v>
      </c>
      <c r="N4111">
        <v>56.891401145550297</v>
      </c>
      <c r="O4111">
        <v>56.770104626841601</v>
      </c>
      <c r="P4111">
        <v>-0.86386784420225804</v>
      </c>
      <c r="Q4111">
        <v>0.198402616683022</v>
      </c>
      <c r="R4111">
        <v>0.84528274818106197</v>
      </c>
      <c r="S4111" t="s">
        <v>10727</v>
      </c>
      <c r="T4111" t="s">
        <v>13232</v>
      </c>
      <c r="U4111" t="s">
        <v>13232</v>
      </c>
      <c r="V4111" t="s">
        <v>13232</v>
      </c>
      <c r="W4111" t="s">
        <v>17281</v>
      </c>
      <c r="X4111">
        <v>6</v>
      </c>
      <c r="Y4111" t="s">
        <v>23699</v>
      </c>
      <c r="Z4111" t="s">
        <v>30242</v>
      </c>
      <c r="AA4111">
        <v>0.64668275209493165</v>
      </c>
      <c r="AB4111" t="str">
        <f>HYPERLINK("Melting_Curves/meltCurve_Q7Z794_KRT77.pdf", "Melting_Curves/meltCurve_Q7Z794_KRT77.pdf")</f>
        <v>Melting_Curves/meltCurve_Q7Z794_KRT77.pdf</v>
      </c>
    </row>
    <row r="4112" spans="1:28" x14ac:dyDescent="0.25">
      <c r="A4112" t="s">
        <v>4115</v>
      </c>
      <c r="B4112">
        <v>0.99930955844802105</v>
      </c>
      <c r="C4112">
        <v>1.0515869748081601</v>
      </c>
      <c r="D4112">
        <v>0.97135092722539695</v>
      </c>
      <c r="E4112">
        <v>0.88474169434638905</v>
      </c>
      <c r="F4112">
        <v>0.74280063155391896</v>
      </c>
      <c r="G4112">
        <v>0.63359634724306502</v>
      </c>
      <c r="H4112">
        <v>0.59920769184479505</v>
      </c>
      <c r="I4112">
        <v>0.63720134491105995</v>
      </c>
      <c r="J4112">
        <v>0.63646009762877498</v>
      </c>
      <c r="K4112">
        <v>0.49153403637398702</v>
      </c>
      <c r="L4112">
        <v>1165.7535579502701</v>
      </c>
      <c r="M4112">
        <v>22.407918473353199</v>
      </c>
      <c r="O4112">
        <v>51.615158515122801</v>
      </c>
      <c r="P4112">
        <v>-4.51925308268371E-2</v>
      </c>
      <c r="Q4112">
        <v>0.58361662005819104</v>
      </c>
      <c r="R4112">
        <v>0.95202541899012405</v>
      </c>
      <c r="S4112" t="s">
        <v>10728</v>
      </c>
      <c r="T4112" t="s">
        <v>13232</v>
      </c>
      <c r="U4112" t="s">
        <v>13232</v>
      </c>
      <c r="V4112" t="s">
        <v>13232</v>
      </c>
      <c r="W4112" t="s">
        <v>17282</v>
      </c>
      <c r="X4112">
        <v>21</v>
      </c>
      <c r="Y4112" t="s">
        <v>23700</v>
      </c>
      <c r="Z4112" t="s">
        <v>30243</v>
      </c>
      <c r="AA4112">
        <v>0.75518496512289723</v>
      </c>
      <c r="AB4112" t="str">
        <f>HYPERLINK("Melting_Curves/meltCurve_Q7Z7A1_5_CNTRL.pdf", "Melting_Curves/meltCurve_Q7Z7A1_5_CNTRL.pdf")</f>
        <v>Melting_Curves/meltCurve_Q7Z7A1_5_CNTRL.pdf</v>
      </c>
    </row>
    <row r="4113" spans="1:28" x14ac:dyDescent="0.25">
      <c r="A4113" t="s">
        <v>4116</v>
      </c>
      <c r="B4113">
        <v>0.99930955844802105</v>
      </c>
      <c r="C4113">
        <v>0.93270049731498195</v>
      </c>
      <c r="D4113">
        <v>0.83229425829234305</v>
      </c>
      <c r="E4113">
        <v>0.61840156239821598</v>
      </c>
      <c r="F4113">
        <v>0.40170738550375301</v>
      </c>
      <c r="G4113">
        <v>0.27564406533812202</v>
      </c>
      <c r="H4113">
        <v>0.20468552071181201</v>
      </c>
      <c r="I4113">
        <v>0.20875144953543301</v>
      </c>
      <c r="J4113">
        <v>0.190885328810875</v>
      </c>
      <c r="K4113">
        <v>0.15580000210259101</v>
      </c>
      <c r="L4113">
        <v>786.50821048665603</v>
      </c>
      <c r="M4113">
        <v>15.6566852642712</v>
      </c>
      <c r="N4113">
        <v>51.5330486300129</v>
      </c>
      <c r="O4113">
        <v>49.436557483531502</v>
      </c>
      <c r="P4113">
        <v>-6.6277092830848996E-2</v>
      </c>
      <c r="Q4113">
        <v>0.16298208767250399</v>
      </c>
      <c r="R4113">
        <v>0.99797654787518797</v>
      </c>
      <c r="S4113" t="s">
        <v>10729</v>
      </c>
      <c r="T4113" t="s">
        <v>13232</v>
      </c>
      <c r="U4113" t="s">
        <v>13232</v>
      </c>
      <c r="V4113" t="s">
        <v>13232</v>
      </c>
      <c r="W4113" t="s">
        <v>17283</v>
      </c>
      <c r="X4113">
        <v>16</v>
      </c>
      <c r="Y4113" t="s">
        <v>23701</v>
      </c>
      <c r="Z4113" t="s">
        <v>30244</v>
      </c>
      <c r="AA4113">
        <v>0.46690509875242991</v>
      </c>
      <c r="AB4113" t="str">
        <f>HYPERLINK("Melting_Curves/meltCurve_Q7Z7A3_CTU1.pdf", "Melting_Curves/meltCurve_Q7Z7A3_CTU1.pdf")</f>
        <v>Melting_Curves/meltCurve_Q7Z7A3_CTU1.pdf</v>
      </c>
    </row>
    <row r="4114" spans="1:28" x14ac:dyDescent="0.25">
      <c r="A4114" t="s">
        <v>4117</v>
      </c>
      <c r="B4114">
        <v>0.99930955844802105</v>
      </c>
      <c r="C4114">
        <v>1.0296575410964399</v>
      </c>
      <c r="D4114">
        <v>0.98866568571068603</v>
      </c>
      <c r="E4114">
        <v>0.72925646936817401</v>
      </c>
      <c r="F4114">
        <v>0.19188233593041901</v>
      </c>
      <c r="G4114">
        <v>0.14489567395272299</v>
      </c>
      <c r="H4114">
        <v>7.6414565581930202E-2</v>
      </c>
      <c r="I4114">
        <v>6.8723576913495205E-2</v>
      </c>
      <c r="J4114">
        <v>7.4875726279087104E-2</v>
      </c>
      <c r="K4114">
        <v>5.0395482335855002E-2</v>
      </c>
      <c r="L4114">
        <v>2455.07957078767</v>
      </c>
      <c r="M4114">
        <v>48.239603831720402</v>
      </c>
      <c r="N4114">
        <v>51.080148412787501</v>
      </c>
      <c r="O4114">
        <v>50.806212832860602</v>
      </c>
      <c r="P4114">
        <v>-0.21818475830515499</v>
      </c>
      <c r="Q4114">
        <v>8.0827415314771098E-2</v>
      </c>
      <c r="R4114">
        <v>0.99681564705480197</v>
      </c>
      <c r="S4114" t="s">
        <v>10730</v>
      </c>
      <c r="T4114" t="s">
        <v>13232</v>
      </c>
      <c r="U4114" t="s">
        <v>13232</v>
      </c>
      <c r="V4114" t="s">
        <v>13232</v>
      </c>
      <c r="W4114" t="s">
        <v>17284</v>
      </c>
      <c r="X4114">
        <v>8</v>
      </c>
      <c r="Y4114" t="s">
        <v>23702</v>
      </c>
      <c r="Z4114" t="s">
        <v>30245</v>
      </c>
      <c r="AA4114">
        <v>0.41681025746008799</v>
      </c>
      <c r="AB4114" t="str">
        <f>HYPERLINK("Melting_Curves/meltCurve_Q7Z7A4_PXK.pdf", "Melting_Curves/meltCurve_Q7Z7A4_PXK.pdf")</f>
        <v>Melting_Curves/meltCurve_Q7Z7A4_PXK.pdf</v>
      </c>
    </row>
    <row r="4115" spans="1:28" x14ac:dyDescent="0.25">
      <c r="A4115" t="s">
        <v>4118</v>
      </c>
      <c r="B4115">
        <v>0.99930955844802105</v>
      </c>
      <c r="C4115">
        <v>1.0404812396529901</v>
      </c>
      <c r="D4115">
        <v>1.1066316592252801</v>
      </c>
      <c r="E4115">
        <v>1.12436067074117</v>
      </c>
      <c r="F4115">
        <v>0.789224142478133</v>
      </c>
      <c r="G4115">
        <v>0.41963504433619098</v>
      </c>
      <c r="H4115">
        <v>0.30819789680145199</v>
      </c>
      <c r="I4115">
        <v>0.26735692372000902</v>
      </c>
      <c r="J4115">
        <v>0.25245051717472899</v>
      </c>
      <c r="K4115">
        <v>0.22673955144393601</v>
      </c>
      <c r="L4115">
        <v>2000.1823592317901</v>
      </c>
      <c r="M4115">
        <v>36.513072197389299</v>
      </c>
      <c r="N4115">
        <v>55.902231865993002</v>
      </c>
      <c r="O4115">
        <v>54.616361259766599</v>
      </c>
      <c r="P4115">
        <v>-0.123716209366517</v>
      </c>
      <c r="Q4115">
        <v>0.25978194651129799</v>
      </c>
      <c r="R4115">
        <v>0.97190337272410998</v>
      </c>
      <c r="S4115" t="s">
        <v>10731</v>
      </c>
      <c r="T4115" t="s">
        <v>13232</v>
      </c>
      <c r="U4115" t="s">
        <v>13232</v>
      </c>
      <c r="V4115" t="s">
        <v>13232</v>
      </c>
      <c r="W4115" t="s">
        <v>17285</v>
      </c>
      <c r="X4115">
        <v>4</v>
      </c>
      <c r="Y4115" t="s">
        <v>23703</v>
      </c>
      <c r="Z4115" t="s">
        <v>30246</v>
      </c>
      <c r="AA4115">
        <v>0.62780773147081759</v>
      </c>
      <c r="AB4115" t="str">
        <f>HYPERLINK("Melting_Curves/meltCurve_Q7Z7C8_TAF8.pdf", "Melting_Curves/meltCurve_Q7Z7C8_TAF8.pdf")</f>
        <v>Melting_Curves/meltCurve_Q7Z7C8_TAF8.pdf</v>
      </c>
    </row>
    <row r="4116" spans="1:28" x14ac:dyDescent="0.25">
      <c r="A4116" t="s">
        <v>4119</v>
      </c>
      <c r="B4116">
        <v>0.99930955844802105</v>
      </c>
      <c r="C4116">
        <v>0.80814552010434304</v>
      </c>
      <c r="D4116">
        <v>0.73657862095568305</v>
      </c>
      <c r="E4116">
        <v>0.87327545013379604</v>
      </c>
      <c r="F4116">
        <v>0.52479044443012601</v>
      </c>
      <c r="G4116">
        <v>0.230128521419386</v>
      </c>
      <c r="H4116">
        <v>0.106867000205655</v>
      </c>
      <c r="I4116">
        <v>7.9620377242624593E-2</v>
      </c>
      <c r="J4116">
        <v>7.1863614932980102E-2</v>
      </c>
      <c r="K4116">
        <v>5.7369449012014899E-2</v>
      </c>
      <c r="L4116">
        <v>721.48054262910898</v>
      </c>
      <c r="M4116">
        <v>13.557202723326</v>
      </c>
      <c r="N4116">
        <v>53.217512209606298</v>
      </c>
      <c r="O4116">
        <v>52.099661116343597</v>
      </c>
      <c r="P4116">
        <v>-6.5063938320343004E-2</v>
      </c>
      <c r="Q4116">
        <v>0</v>
      </c>
      <c r="R4116">
        <v>0.93583257971915801</v>
      </c>
      <c r="S4116" t="s">
        <v>10732</v>
      </c>
      <c r="T4116" t="s">
        <v>13232</v>
      </c>
      <c r="U4116" t="s">
        <v>13232</v>
      </c>
      <c r="V4116" t="s">
        <v>13232</v>
      </c>
      <c r="W4116" t="s">
        <v>17286</v>
      </c>
      <c r="X4116">
        <v>10</v>
      </c>
      <c r="Y4116" t="s">
        <v>23704</v>
      </c>
      <c r="Z4116" t="s">
        <v>30247</v>
      </c>
      <c r="AA4116">
        <v>0.46488770326537249</v>
      </c>
      <c r="AB4116" t="str">
        <f>HYPERLINK("Melting_Curves/meltCurve_Q7Z7E8_UBE2Q1.pdf", "Melting_Curves/meltCurve_Q7Z7E8_UBE2Q1.pdf")</f>
        <v>Melting_Curves/meltCurve_Q7Z7E8_UBE2Q1.pdf</v>
      </c>
    </row>
    <row r="4117" spans="1:28" x14ac:dyDescent="0.25">
      <c r="A4117" t="s">
        <v>4120</v>
      </c>
      <c r="B4117">
        <v>0.99930955844802105</v>
      </c>
      <c r="C4117">
        <v>0.98277173824549302</v>
      </c>
      <c r="D4117">
        <v>0.93973668547596401</v>
      </c>
      <c r="E4117">
        <v>0.83560354909581702</v>
      </c>
      <c r="F4117">
        <v>0.58951322212325596</v>
      </c>
      <c r="G4117">
        <v>0.39777584405308403</v>
      </c>
      <c r="H4117">
        <v>0.24876817733788201</v>
      </c>
      <c r="I4117">
        <v>0.200916141217097</v>
      </c>
      <c r="J4117">
        <v>0.17838437748331601</v>
      </c>
      <c r="K4117">
        <v>0.13811871546398899</v>
      </c>
      <c r="L4117">
        <v>867.59615927647098</v>
      </c>
      <c r="M4117">
        <v>16.116024512368</v>
      </c>
      <c r="N4117">
        <v>54.896970643470901</v>
      </c>
      <c r="O4117">
        <v>53.025965310521102</v>
      </c>
      <c r="P4117">
        <v>-6.5806098703662205E-2</v>
      </c>
      <c r="Q4117">
        <v>0.13398859911872499</v>
      </c>
      <c r="R4117">
        <v>0.99778598314345401</v>
      </c>
      <c r="S4117" t="s">
        <v>10733</v>
      </c>
      <c r="T4117" t="s">
        <v>13232</v>
      </c>
      <c r="U4117" t="s">
        <v>13232</v>
      </c>
      <c r="V4117" t="s">
        <v>13232</v>
      </c>
      <c r="W4117" t="s">
        <v>17287</v>
      </c>
      <c r="X4117">
        <v>13</v>
      </c>
      <c r="Y4117" t="s">
        <v>23705</v>
      </c>
      <c r="Z4117" t="s">
        <v>30248</v>
      </c>
      <c r="AA4117">
        <v>0.54965662897786749</v>
      </c>
      <c r="AB4117" t="str">
        <f>HYPERLINK("Melting_Curves/meltCurve_Q7Z7F0_KIAA0907.pdf", "Melting_Curves/meltCurve_Q7Z7F0_KIAA0907.pdf")</f>
        <v>Melting_Curves/meltCurve_Q7Z7F0_KIAA0907.pdf</v>
      </c>
    </row>
    <row r="4118" spans="1:28" x14ac:dyDescent="0.25">
      <c r="A4118" t="s">
        <v>4121</v>
      </c>
      <c r="B4118">
        <v>0.99930955844802105</v>
      </c>
      <c r="C4118">
        <v>0.84116610890962595</v>
      </c>
      <c r="D4118">
        <v>0.90615690072808397</v>
      </c>
      <c r="E4118">
        <v>0.85103870741117105</v>
      </c>
      <c r="F4118">
        <v>0.57104992826762502</v>
      </c>
      <c r="G4118">
        <v>0.55528847216004995</v>
      </c>
      <c r="H4118">
        <v>0.52831568009964103</v>
      </c>
      <c r="I4118">
        <v>0.46908692369673699</v>
      </c>
      <c r="J4118">
        <v>0.496086182287932</v>
      </c>
      <c r="K4118">
        <v>0.39483138839831</v>
      </c>
      <c r="L4118">
        <v>539.13389452721503</v>
      </c>
      <c r="M4118">
        <v>10.400780079393099</v>
      </c>
      <c r="N4118">
        <v>61.1759301764029</v>
      </c>
      <c r="O4118">
        <v>50.029515751713497</v>
      </c>
      <c r="P4118">
        <v>-3.1309986936097198E-2</v>
      </c>
      <c r="Q4118">
        <v>0.39782658639399099</v>
      </c>
      <c r="R4118">
        <v>0.91894946087857698</v>
      </c>
      <c r="S4118" t="s">
        <v>10734</v>
      </c>
      <c r="T4118" t="s">
        <v>13232</v>
      </c>
      <c r="U4118" t="s">
        <v>13232</v>
      </c>
      <c r="V4118" t="s">
        <v>13232</v>
      </c>
      <c r="W4118" t="s">
        <v>17288</v>
      </c>
      <c r="X4118">
        <v>8</v>
      </c>
      <c r="Y4118" t="s">
        <v>23706</v>
      </c>
      <c r="Z4118" t="s">
        <v>30249</v>
      </c>
      <c r="AA4118">
        <v>0.65761713510312136</v>
      </c>
      <c r="AB4118" t="str">
        <f>HYPERLINK("Melting_Curves/meltCurve_Q7Z7G8_2_VPS13B.pdf", "Melting_Curves/meltCurve_Q7Z7G8_2_VPS13B.pdf")</f>
        <v>Melting_Curves/meltCurve_Q7Z7G8_2_VPS13B.pdf</v>
      </c>
    </row>
    <row r="4119" spans="1:28" x14ac:dyDescent="0.25">
      <c r="A4119" t="s">
        <v>4122</v>
      </c>
      <c r="B4119">
        <v>0.99930955844802105</v>
      </c>
      <c r="C4119">
        <v>0.75856249888300398</v>
      </c>
      <c r="D4119">
        <v>0.58685680730228895</v>
      </c>
      <c r="E4119">
        <v>0.75514443329417302</v>
      </c>
      <c r="F4119">
        <v>0.29592870762256002</v>
      </c>
      <c r="G4119">
        <v>0.120916823346132</v>
      </c>
      <c r="H4119">
        <v>6.9648731958417906E-2</v>
      </c>
      <c r="I4119">
        <v>6.7611095536678004E-2</v>
      </c>
      <c r="J4119">
        <v>7.1424648173142993E-2</v>
      </c>
      <c r="K4119">
        <v>5.3532134479696403E-2</v>
      </c>
      <c r="L4119">
        <v>541.85535756168599</v>
      </c>
      <c r="M4119">
        <v>10.859080657020201</v>
      </c>
      <c r="N4119">
        <v>49.898824279725702</v>
      </c>
      <c r="O4119">
        <v>48.296054089826796</v>
      </c>
      <c r="P4119">
        <v>-5.6230945425211301E-2</v>
      </c>
      <c r="Q4119">
        <v>0</v>
      </c>
      <c r="R4119">
        <v>0.906357729939541</v>
      </c>
      <c r="S4119" t="s">
        <v>10735</v>
      </c>
      <c r="T4119" t="s">
        <v>13232</v>
      </c>
      <c r="U4119" t="s">
        <v>13232</v>
      </c>
      <c r="V4119" t="s">
        <v>13232</v>
      </c>
      <c r="W4119" t="s">
        <v>17289</v>
      </c>
      <c r="X4119">
        <v>2</v>
      </c>
      <c r="Y4119" t="s">
        <v>23707</v>
      </c>
      <c r="Z4119" t="s">
        <v>30250</v>
      </c>
      <c r="AA4119">
        <v>0.37049734112022048</v>
      </c>
      <c r="AB4119" t="str">
        <f>HYPERLINK("Melting_Curves/meltCurve_Q7Z7H5_3_TMED4.pdf", "Melting_Curves/meltCurve_Q7Z7H5_3_TMED4.pdf")</f>
        <v>Melting_Curves/meltCurve_Q7Z7H5_3_TMED4.pdf</v>
      </c>
    </row>
    <row r="4120" spans="1:28" x14ac:dyDescent="0.25">
      <c r="A4120" t="s">
        <v>4123</v>
      </c>
      <c r="B4120">
        <v>0.99930955844802105</v>
      </c>
      <c r="C4120">
        <v>1.19819941642197</v>
      </c>
      <c r="D4120">
        <v>1.2509528383925801</v>
      </c>
      <c r="E4120">
        <v>1.13468586718083</v>
      </c>
      <c r="F4120">
        <v>0.95918669126455203</v>
      </c>
      <c r="G4120">
        <v>0.76502950347884302</v>
      </c>
      <c r="H4120">
        <v>0.70693820399726504</v>
      </c>
      <c r="I4120">
        <v>0.75674743732425798</v>
      </c>
      <c r="J4120">
        <v>0.74315675116958602</v>
      </c>
      <c r="K4120">
        <v>0.64697833547273997</v>
      </c>
      <c r="L4120">
        <v>2876.65036662597</v>
      </c>
      <c r="M4120">
        <v>52.079684222469901</v>
      </c>
      <c r="O4120">
        <v>55.154296836870401</v>
      </c>
      <c r="P4120">
        <v>-6.7626167484505201E-2</v>
      </c>
      <c r="Q4120">
        <v>0.71352583298866101</v>
      </c>
      <c r="R4120">
        <v>0.71049054560571601</v>
      </c>
      <c r="S4120" t="s">
        <v>10736</v>
      </c>
      <c r="T4120" t="s">
        <v>13232</v>
      </c>
      <c r="U4120" t="s">
        <v>13232</v>
      </c>
      <c r="V4120" t="s">
        <v>13232</v>
      </c>
      <c r="W4120" t="s">
        <v>17290</v>
      </c>
      <c r="X4120">
        <v>2</v>
      </c>
      <c r="Y4120" t="s">
        <v>23708</v>
      </c>
      <c r="Z4120" t="s">
        <v>30251</v>
      </c>
      <c r="AA4120">
        <v>0.85965506155002813</v>
      </c>
      <c r="AB4120" t="str">
        <f>HYPERLINK("Melting_Curves/meltCurve_Q7Z7K0_CMC1.pdf", "Melting_Curves/meltCurve_Q7Z7K0_CMC1.pdf")</f>
        <v>Melting_Curves/meltCurve_Q7Z7K0_CMC1.pdf</v>
      </c>
    </row>
    <row r="4121" spans="1:28" x14ac:dyDescent="0.25">
      <c r="A4121" t="s">
        <v>4124</v>
      </c>
      <c r="B4121">
        <v>0.99930955844802105</v>
      </c>
      <c r="C4121">
        <v>0.77067728007258496</v>
      </c>
      <c r="D4121">
        <v>0.64384502568452695</v>
      </c>
      <c r="E4121">
        <v>0.58685170930253205</v>
      </c>
      <c r="F4121">
        <v>0.48448010896212501</v>
      </c>
      <c r="G4121">
        <v>0.41137355856086799</v>
      </c>
      <c r="H4121">
        <v>0.40544001898624998</v>
      </c>
      <c r="I4121">
        <v>0.410613218091961</v>
      </c>
      <c r="J4121">
        <v>0.40419859891056498</v>
      </c>
      <c r="K4121">
        <v>0.29058495470979001</v>
      </c>
      <c r="L4121">
        <v>537.990747260955</v>
      </c>
      <c r="M4121">
        <v>11.6238328835689</v>
      </c>
      <c r="N4121">
        <v>51.822861724624502</v>
      </c>
      <c r="O4121">
        <v>44.977217714547301</v>
      </c>
      <c r="P4121">
        <v>-4.1641369150018002E-2</v>
      </c>
      <c r="Q4121">
        <v>0.35566814396219998</v>
      </c>
      <c r="R4121">
        <v>0.94709671530934403</v>
      </c>
      <c r="S4121" t="s">
        <v>10737</v>
      </c>
      <c r="T4121" t="s">
        <v>13232</v>
      </c>
      <c r="U4121" t="s">
        <v>13232</v>
      </c>
      <c r="V4121" t="s">
        <v>13232</v>
      </c>
      <c r="W4121" t="s">
        <v>17291</v>
      </c>
      <c r="X4121">
        <v>4</v>
      </c>
      <c r="Y4121" t="s">
        <v>23709</v>
      </c>
      <c r="Z4121" t="s">
        <v>30252</v>
      </c>
      <c r="AA4121">
        <v>0.52096920143323178</v>
      </c>
      <c r="AB4121" t="str">
        <f>HYPERLINK("Melting_Curves/meltCurve_Q7Z7K6_3_CENPV.pdf", "Melting_Curves/meltCurve_Q7Z7K6_3_CENPV.pdf")</f>
        <v>Melting_Curves/meltCurve_Q7Z7K6_3_CENPV.pdf</v>
      </c>
    </row>
    <row r="4122" spans="1:28" x14ac:dyDescent="0.25">
      <c r="A4122" t="s">
        <v>4125</v>
      </c>
      <c r="B4122">
        <v>0.99930955844802105</v>
      </c>
      <c r="C4122">
        <v>0.90259806929810205</v>
      </c>
      <c r="D4122">
        <v>0.81224531224889995</v>
      </c>
      <c r="E4122">
        <v>0.51927239054934204</v>
      </c>
      <c r="F4122">
        <v>0.40811176227878698</v>
      </c>
      <c r="G4122">
        <v>0.19305987215184001</v>
      </c>
      <c r="H4122">
        <v>9.1441004206390702E-2</v>
      </c>
      <c r="I4122">
        <v>5.5307764511431802E-2</v>
      </c>
      <c r="J4122">
        <v>3.8219449433588203E-2</v>
      </c>
      <c r="K4122">
        <v>2.6593365518282602E-2</v>
      </c>
      <c r="L4122">
        <v>666.28631482533501</v>
      </c>
      <c r="M4122">
        <v>13.105157614716999</v>
      </c>
      <c r="N4122">
        <v>50.841533223159601</v>
      </c>
      <c r="O4122">
        <v>49.701414028735499</v>
      </c>
      <c r="P4122">
        <v>-6.5930718149886103E-2</v>
      </c>
      <c r="Q4122">
        <v>0</v>
      </c>
      <c r="R4122">
        <v>0.99689908721020004</v>
      </c>
      <c r="S4122" t="s">
        <v>10738</v>
      </c>
      <c r="T4122" t="s">
        <v>13232</v>
      </c>
      <c r="U4122" t="s">
        <v>13232</v>
      </c>
      <c r="V4122" t="s">
        <v>13232</v>
      </c>
      <c r="W4122" t="s">
        <v>17292</v>
      </c>
      <c r="X4122">
        <v>3</v>
      </c>
      <c r="Y4122" t="s">
        <v>23710</v>
      </c>
      <c r="Z4122" t="s">
        <v>30253</v>
      </c>
      <c r="AA4122">
        <v>0.39024168259246128</v>
      </c>
      <c r="AB4122" t="str">
        <f>HYPERLINK("Melting_Curves/meltCurve_Q86SE9_PCGF5.pdf", "Melting_Curves/meltCurve_Q86SE9_PCGF5.pdf")</f>
        <v>Melting_Curves/meltCurve_Q86SE9_PCGF5.pdf</v>
      </c>
    </row>
    <row r="4123" spans="1:28" x14ac:dyDescent="0.25">
      <c r="A4123" t="s">
        <v>4126</v>
      </c>
      <c r="B4123">
        <v>0.99930955844802105</v>
      </c>
      <c r="C4123">
        <v>1.1193951882011</v>
      </c>
      <c r="D4123">
        <v>1.10610280978098</v>
      </c>
      <c r="E4123">
        <v>0.86315389676500198</v>
      </c>
      <c r="F4123">
        <v>0.61371423357120203</v>
      </c>
      <c r="G4123">
        <v>0.20497329872140199</v>
      </c>
      <c r="H4123">
        <v>8.8327715344413693E-2</v>
      </c>
      <c r="I4123">
        <v>7.0374791256954894E-2</v>
      </c>
      <c r="J4123">
        <v>7.4901833538375207E-2</v>
      </c>
      <c r="K4123">
        <v>6.1521830560133703E-2</v>
      </c>
      <c r="L4123">
        <v>1541.14397759442</v>
      </c>
      <c r="M4123">
        <v>28.764457567800498</v>
      </c>
      <c r="N4123">
        <v>53.834598299209198</v>
      </c>
      <c r="O4123">
        <v>53.321134477983101</v>
      </c>
      <c r="P4123">
        <v>-0.12622788509343599</v>
      </c>
      <c r="Q4123">
        <v>6.4045013416723598E-2</v>
      </c>
      <c r="R4123">
        <v>0.98537152881805501</v>
      </c>
      <c r="S4123" t="s">
        <v>10739</v>
      </c>
      <c r="T4123" t="s">
        <v>13232</v>
      </c>
      <c r="U4123" t="s">
        <v>13232</v>
      </c>
      <c r="V4123" t="s">
        <v>13232</v>
      </c>
      <c r="W4123" t="s">
        <v>17293</v>
      </c>
      <c r="X4123">
        <v>1</v>
      </c>
      <c r="Y4123" t="s">
        <v>23711</v>
      </c>
      <c r="Z4123" t="s">
        <v>30254</v>
      </c>
      <c r="AA4123">
        <v>0.49429530430465818</v>
      </c>
      <c r="AB4123" t="str">
        <f>HYPERLINK("Melting_Curves/meltCurve_Q86SG6_NEK8.pdf", "Melting_Curves/meltCurve_Q86SG6_NEK8.pdf")</f>
        <v>Melting_Curves/meltCurve_Q86SG6_NEK8.pdf</v>
      </c>
    </row>
    <row r="4124" spans="1:28" x14ac:dyDescent="0.25">
      <c r="A4124" t="s">
        <v>4127</v>
      </c>
      <c r="B4124">
        <v>0.99930955844802105</v>
      </c>
      <c r="C4124">
        <v>0.89394703157523103</v>
      </c>
      <c r="D4124">
        <v>0.84352675006473599</v>
      </c>
      <c r="E4124">
        <v>0.59239875116239504</v>
      </c>
      <c r="F4124">
        <v>0.34082809456045698</v>
      </c>
      <c r="G4124">
        <v>0.27185043674238402</v>
      </c>
      <c r="H4124">
        <v>0.24015343359397101</v>
      </c>
      <c r="I4124">
        <v>0.22520922692873099</v>
      </c>
      <c r="J4124">
        <v>0.20061557284822101</v>
      </c>
      <c r="K4124">
        <v>0.15447323593206799</v>
      </c>
      <c r="L4124">
        <v>838.865767200248</v>
      </c>
      <c r="M4124">
        <v>16.9254285420201</v>
      </c>
      <c r="N4124">
        <v>50.9522293949925</v>
      </c>
      <c r="O4124">
        <v>48.886105557122697</v>
      </c>
      <c r="P4124">
        <v>-7.0557501516046603E-2</v>
      </c>
      <c r="Q4124">
        <v>0.184879987959047</v>
      </c>
      <c r="R4124">
        <v>0.99089950077230304</v>
      </c>
      <c r="S4124" t="s">
        <v>10740</v>
      </c>
      <c r="T4124" t="s">
        <v>13232</v>
      </c>
      <c r="U4124" t="s">
        <v>13232</v>
      </c>
      <c r="V4124" t="s">
        <v>13232</v>
      </c>
      <c r="W4124" t="s">
        <v>17294</v>
      </c>
      <c r="X4124">
        <v>1</v>
      </c>
      <c r="Y4124" t="s">
        <v>23712</v>
      </c>
      <c r="Z4124" t="s">
        <v>30255</v>
      </c>
      <c r="AA4124">
        <v>0.46044203204770617</v>
      </c>
      <c r="AB4124" t="str">
        <f>HYPERLINK("Melting_Curves/meltCurve_Q86SJ2_AMIGO2.pdf", "Melting_Curves/meltCurve_Q86SJ2_AMIGO2.pdf")</f>
        <v>Melting_Curves/meltCurve_Q86SJ2_AMIGO2.pdf</v>
      </c>
    </row>
    <row r="4125" spans="1:28" x14ac:dyDescent="0.25">
      <c r="A4125" t="s">
        <v>4128</v>
      </c>
      <c r="B4125">
        <v>0.99930955844802105</v>
      </c>
      <c r="C4125">
        <v>1.05364423696652</v>
      </c>
      <c r="D4125">
        <v>0.98803952512447801</v>
      </c>
      <c r="E4125">
        <v>0.88179353786486303</v>
      </c>
      <c r="F4125">
        <v>0.74922517938440103</v>
      </c>
      <c r="G4125">
        <v>0.64275346247701803</v>
      </c>
      <c r="H4125">
        <v>0.57326707672034405</v>
      </c>
      <c r="I4125">
        <v>0.58528899077114604</v>
      </c>
      <c r="J4125">
        <v>0.56988699413304</v>
      </c>
      <c r="K4125">
        <v>0.49429464822570202</v>
      </c>
      <c r="L4125">
        <v>1010.79124993677</v>
      </c>
      <c r="M4125">
        <v>19.132759045114199</v>
      </c>
      <c r="O4125">
        <v>52.263411694323899</v>
      </c>
      <c r="P4125">
        <v>-4.2017801328858899E-2</v>
      </c>
      <c r="Q4125">
        <v>0.54091127723576204</v>
      </c>
      <c r="R4125">
        <v>0.98020379877439701</v>
      </c>
      <c r="S4125" t="s">
        <v>10741</v>
      </c>
      <c r="T4125" t="s">
        <v>13232</v>
      </c>
      <c r="U4125" t="s">
        <v>13232</v>
      </c>
      <c r="V4125" t="s">
        <v>13232</v>
      </c>
      <c r="W4125" t="s">
        <v>17295</v>
      </c>
      <c r="X4125">
        <v>22</v>
      </c>
      <c r="Y4125" t="s">
        <v>23713</v>
      </c>
      <c r="Z4125" t="s">
        <v>30256</v>
      </c>
      <c r="AA4125">
        <v>0.74407251372392713</v>
      </c>
      <c r="AB4125" t="str">
        <f>HYPERLINK("Melting_Curves/meltCurve_Q86SQ7_SDCCAG8.pdf", "Melting_Curves/meltCurve_Q86SQ7_SDCCAG8.pdf")</f>
        <v>Melting_Curves/meltCurve_Q86SQ7_SDCCAG8.pdf</v>
      </c>
    </row>
    <row r="4126" spans="1:28" x14ac:dyDescent="0.25">
      <c r="A4126" t="s">
        <v>4129</v>
      </c>
      <c r="B4126">
        <v>0.99930955844802105</v>
      </c>
      <c r="C4126">
        <v>0.95163038232949204</v>
      </c>
      <c r="D4126">
        <v>0.98933890486397102</v>
      </c>
      <c r="E4126">
        <v>0.89290122713216102</v>
      </c>
      <c r="F4126">
        <v>0.73640674295085595</v>
      </c>
      <c r="G4126">
        <v>0.56345232232486597</v>
      </c>
      <c r="H4126">
        <v>0.45979820656411802</v>
      </c>
      <c r="I4126">
        <v>0.42675173798196397</v>
      </c>
      <c r="J4126">
        <v>0.37053103607365701</v>
      </c>
      <c r="K4126">
        <v>0.28714740591550098</v>
      </c>
      <c r="L4126">
        <v>741.54956536572502</v>
      </c>
      <c r="M4126">
        <v>13.3354695950663</v>
      </c>
      <c r="N4126">
        <v>59.365021761701698</v>
      </c>
      <c r="O4126">
        <v>54.401497537091601</v>
      </c>
      <c r="P4126">
        <v>-4.3822143247837099E-2</v>
      </c>
      <c r="Q4126">
        <v>0.28503188785079703</v>
      </c>
      <c r="R4126">
        <v>0.99002174178910296</v>
      </c>
      <c r="S4126" t="s">
        <v>10742</v>
      </c>
      <c r="T4126" t="s">
        <v>13232</v>
      </c>
      <c r="U4126" t="s">
        <v>13232</v>
      </c>
      <c r="V4126" t="s">
        <v>13232</v>
      </c>
      <c r="W4126" t="s">
        <v>17296</v>
      </c>
      <c r="X4126">
        <v>3</v>
      </c>
      <c r="Y4126" t="s">
        <v>23714</v>
      </c>
      <c r="Z4126" t="s">
        <v>30257</v>
      </c>
      <c r="AA4126">
        <v>0.67148424704439524</v>
      </c>
      <c r="AB4126" t="str">
        <f>HYPERLINK("Melting_Curves/meltCurve_Q86SX6_GLRX5.pdf", "Melting_Curves/meltCurve_Q86SX6_GLRX5.pdf")</f>
        <v>Melting_Curves/meltCurve_Q86SX6_GLRX5.pdf</v>
      </c>
    </row>
    <row r="4127" spans="1:28" x14ac:dyDescent="0.25">
      <c r="A4127" t="s">
        <v>4130</v>
      </c>
      <c r="B4127">
        <v>0.99930955844802105</v>
      </c>
      <c r="C4127">
        <v>0.80744799063759798</v>
      </c>
      <c r="D4127">
        <v>0.88469189304570905</v>
      </c>
      <c r="E4127">
        <v>0.83433134744067705</v>
      </c>
      <c r="F4127">
        <v>1.0449196594015699</v>
      </c>
      <c r="G4127">
        <v>0.40112323978437803</v>
      </c>
      <c r="H4127">
        <v>7.2312775732142995E-2</v>
      </c>
      <c r="I4127">
        <v>4.4523742865305499E-2</v>
      </c>
      <c r="J4127">
        <v>2.8415860969966001E-2</v>
      </c>
      <c r="K4127">
        <v>2.6962503670374002E-2</v>
      </c>
      <c r="L4127">
        <v>9207.2012754955304</v>
      </c>
      <c r="M4127">
        <v>162.04414836075401</v>
      </c>
      <c r="N4127">
        <v>56.8506829032859</v>
      </c>
      <c r="O4127">
        <v>56.8104442844188</v>
      </c>
      <c r="P4127">
        <v>-0.68239316915404002</v>
      </c>
      <c r="Q4127">
        <v>4.3049562793747602E-2</v>
      </c>
      <c r="R4127">
        <v>0.95347929669401699</v>
      </c>
      <c r="S4127" t="s">
        <v>10743</v>
      </c>
      <c r="T4127" t="s">
        <v>13232</v>
      </c>
      <c r="U4127" t="s">
        <v>13232</v>
      </c>
      <c r="V4127" t="s">
        <v>13232</v>
      </c>
      <c r="W4127" t="s">
        <v>17297</v>
      </c>
      <c r="X4127">
        <v>8</v>
      </c>
      <c r="Y4127" t="s">
        <v>23715</v>
      </c>
      <c r="Z4127" t="s">
        <v>30258</v>
      </c>
      <c r="AA4127">
        <v>0.57977798875695719</v>
      </c>
      <c r="AB4127" t="str">
        <f>HYPERLINK("Melting_Curves/meltCurve_Q86SZ2_TRAPPC6B.pdf", "Melting_Curves/meltCurve_Q86SZ2_TRAPPC6B.pdf")</f>
        <v>Melting_Curves/meltCurve_Q86SZ2_TRAPPC6B.pdf</v>
      </c>
    </row>
    <row r="4128" spans="1:28" x14ac:dyDescent="0.25">
      <c r="A4128" t="s">
        <v>4131</v>
      </c>
      <c r="B4128">
        <v>0.99930955844802105</v>
      </c>
      <c r="C4128">
        <v>0.96252201519146796</v>
      </c>
      <c r="D4128">
        <v>0.96440608142342399</v>
      </c>
      <c r="E4128">
        <v>0.83998638817403903</v>
      </c>
      <c r="F4128">
        <v>0.66668729803729099</v>
      </c>
      <c r="G4128">
        <v>0.42496612569126502</v>
      </c>
      <c r="H4128">
        <v>0.19207938728681601</v>
      </c>
      <c r="I4128">
        <v>0.12599263125826299</v>
      </c>
      <c r="J4128">
        <v>9.9495819942249306E-2</v>
      </c>
      <c r="K4128">
        <v>7.3221441026177003E-2</v>
      </c>
      <c r="L4128">
        <v>860.25890200061497</v>
      </c>
      <c r="M4128">
        <v>15.562768413319001</v>
      </c>
      <c r="N4128">
        <v>55.505959214680601</v>
      </c>
      <c r="O4128">
        <v>54.388173268741603</v>
      </c>
      <c r="P4128">
        <v>-6.9314982357139704E-2</v>
      </c>
      <c r="Q4128">
        <v>3.1127227049898801E-2</v>
      </c>
      <c r="R4128">
        <v>0.99864048782704795</v>
      </c>
      <c r="S4128" t="s">
        <v>10744</v>
      </c>
      <c r="T4128" t="s">
        <v>13232</v>
      </c>
      <c r="U4128" t="s">
        <v>13232</v>
      </c>
      <c r="V4128" t="s">
        <v>13232</v>
      </c>
      <c r="W4128" t="s">
        <v>17298</v>
      </c>
      <c r="X4128">
        <v>3</v>
      </c>
      <c r="Y4128" t="s">
        <v>23716</v>
      </c>
      <c r="Z4128" t="s">
        <v>30259</v>
      </c>
      <c r="AA4128">
        <v>0.54211528165058454</v>
      </c>
      <c r="AB4128" t="str">
        <f>HYPERLINK("Melting_Curves/meltCurve_Q86T24_ZBTB33.pdf", "Melting_Curves/meltCurve_Q86T24_ZBTB33.pdf")</f>
        <v>Melting_Curves/meltCurve_Q86T24_ZBTB33.pdf</v>
      </c>
    </row>
    <row r="4129" spans="1:28" x14ac:dyDescent="0.25">
      <c r="A4129" t="s">
        <v>4132</v>
      </c>
      <c r="B4129">
        <v>0.99930955844802105</v>
      </c>
      <c r="C4129">
        <v>1.29569241023949</v>
      </c>
      <c r="D4129">
        <v>1.23857005843013</v>
      </c>
      <c r="E4129">
        <v>0.85270964145239103</v>
      </c>
      <c r="F4129">
        <v>0.25089936551882802</v>
      </c>
      <c r="G4129">
        <v>0.17367051759997301</v>
      </c>
      <c r="H4129">
        <v>0.11133440533632299</v>
      </c>
      <c r="I4129">
        <v>0.108523798131561</v>
      </c>
      <c r="J4129">
        <v>9.0900688854872194E-2</v>
      </c>
      <c r="K4129">
        <v>6.9086874832905903E-2</v>
      </c>
      <c r="L4129">
        <v>2925.1061741327499</v>
      </c>
      <c r="M4129">
        <v>56.8560708587043</v>
      </c>
      <c r="N4129">
        <v>51.672886315455202</v>
      </c>
      <c r="O4129">
        <v>51.3840083671871</v>
      </c>
      <c r="P4129">
        <v>-0.24625041269357001</v>
      </c>
      <c r="Q4129">
        <v>0.109799021064406</v>
      </c>
      <c r="R4129">
        <v>0.93660427624373699</v>
      </c>
      <c r="S4129" t="s">
        <v>10745</v>
      </c>
      <c r="T4129" t="s">
        <v>13232</v>
      </c>
      <c r="U4129" t="s">
        <v>13232</v>
      </c>
      <c r="V4129" t="s">
        <v>13232</v>
      </c>
      <c r="W4129" t="s">
        <v>17299</v>
      </c>
      <c r="X4129">
        <v>8</v>
      </c>
      <c r="Y4129" t="s">
        <v>23717</v>
      </c>
      <c r="Z4129" t="s">
        <v>30260</v>
      </c>
      <c r="AA4129">
        <v>0.45104704241857291</v>
      </c>
      <c r="AB4129" t="str">
        <f>HYPERLINK("Melting_Curves/meltCurve_Q86TA1_MOB3B.pdf", "Melting_Curves/meltCurve_Q86TA1_MOB3B.pdf")</f>
        <v>Melting_Curves/meltCurve_Q86TA1_MOB3B.pdf</v>
      </c>
    </row>
    <row r="4130" spans="1:28" x14ac:dyDescent="0.25">
      <c r="A4130" t="s">
        <v>4133</v>
      </c>
      <c r="B4130">
        <v>0.99930955844802105</v>
      </c>
      <c r="C4130">
        <v>0.96544534128716197</v>
      </c>
      <c r="D4130">
        <v>0.85562968992908395</v>
      </c>
      <c r="E4130">
        <v>0.769603560689751</v>
      </c>
      <c r="F4130">
        <v>0.63893083636102999</v>
      </c>
      <c r="G4130">
        <v>0.47447619803747798</v>
      </c>
      <c r="H4130">
        <v>0.41236985802121801</v>
      </c>
      <c r="I4130">
        <v>0.407098765216241</v>
      </c>
      <c r="J4130">
        <v>0.39784031021454602</v>
      </c>
      <c r="K4130">
        <v>0.30623094055548999</v>
      </c>
      <c r="L4130">
        <v>622.16558240307404</v>
      </c>
      <c r="M4130">
        <v>11.8907266810366</v>
      </c>
      <c r="N4130">
        <v>57.049081698748203</v>
      </c>
      <c r="O4130">
        <v>50.9095395892166</v>
      </c>
      <c r="P4130">
        <v>-4.0109310537796497E-2</v>
      </c>
      <c r="Q4130">
        <v>0.313267653667545</v>
      </c>
      <c r="R4130">
        <v>0.989586941483939</v>
      </c>
      <c r="S4130" t="s">
        <v>10746</v>
      </c>
      <c r="T4130" t="s">
        <v>13232</v>
      </c>
      <c r="U4130" t="s">
        <v>13232</v>
      </c>
      <c r="V4130" t="s">
        <v>13232</v>
      </c>
      <c r="W4130" t="s">
        <v>17300</v>
      </c>
      <c r="X4130">
        <v>17</v>
      </c>
      <c r="Y4130" t="s">
        <v>23718</v>
      </c>
      <c r="Z4130" t="s">
        <v>30261</v>
      </c>
      <c r="AA4130">
        <v>0.61615505723193165</v>
      </c>
      <c r="AB4130" t="str">
        <f>HYPERLINK("Melting_Curves/meltCurve_Q86TB9_4_PATL1.pdf", "Melting_Curves/meltCurve_Q86TB9_4_PATL1.pdf")</f>
        <v>Melting_Curves/meltCurve_Q86TB9_4_PATL1.pdf</v>
      </c>
    </row>
    <row r="4131" spans="1:28" x14ac:dyDescent="0.25">
      <c r="A4131" t="s">
        <v>4134</v>
      </c>
      <c r="B4131">
        <v>0.99930955844802105</v>
      </c>
      <c r="C4131">
        <v>1.11015568388602</v>
      </c>
      <c r="D4131">
        <v>1.1360608960766101</v>
      </c>
      <c r="E4131">
        <v>1.17354053996209</v>
      </c>
      <c r="F4131">
        <v>1.1106627555589701</v>
      </c>
      <c r="G4131">
        <v>1.03214398155186</v>
      </c>
      <c r="H4131">
        <v>1.1062077236594501</v>
      </c>
      <c r="I4131">
        <v>1.1625084317920999</v>
      </c>
      <c r="J4131">
        <v>1.1826317524927601</v>
      </c>
      <c r="K4131">
        <v>0.97264510020981598</v>
      </c>
      <c r="L4131">
        <v>10356.1718762896</v>
      </c>
      <c r="M4131">
        <v>250</v>
      </c>
      <c r="O4131">
        <v>41.422033913493799</v>
      </c>
      <c r="P4131">
        <v>0.165400569931615</v>
      </c>
      <c r="Q4131">
        <v>1.10961965526044</v>
      </c>
      <c r="R4131">
        <v>0.225126832711814</v>
      </c>
      <c r="S4131" t="s">
        <v>10747</v>
      </c>
      <c r="T4131" t="s">
        <v>13232</v>
      </c>
      <c r="U4131" t="s">
        <v>13232</v>
      </c>
      <c r="V4131" t="s">
        <v>13232</v>
      </c>
      <c r="W4131" t="s">
        <v>17301</v>
      </c>
      <c r="X4131">
        <v>6</v>
      </c>
      <c r="Y4131" t="s">
        <v>23719</v>
      </c>
      <c r="Z4131" t="s">
        <v>30262</v>
      </c>
      <c r="AA4131">
        <v>1.1044058180989369</v>
      </c>
      <c r="AB4131" t="str">
        <f>HYPERLINK("Melting_Curves/meltCurve_Q86TI0_TBC1D1.pdf", "Melting_Curves/meltCurve_Q86TI0_TBC1D1.pdf")</f>
        <v>Melting_Curves/meltCurve_Q86TI0_TBC1D1.pdf</v>
      </c>
    </row>
    <row r="4132" spans="1:28" x14ac:dyDescent="0.25">
      <c r="A4132" t="s">
        <v>4135</v>
      </c>
      <c r="B4132">
        <v>0.99930955844802105</v>
      </c>
      <c r="C4132">
        <v>0.88451184368677105</v>
      </c>
      <c r="D4132">
        <v>0.89828317953408698</v>
      </c>
      <c r="E4132">
        <v>0.842596621352107</v>
      </c>
      <c r="F4132">
        <v>0.32990196606379102</v>
      </c>
      <c r="G4132">
        <v>0.161621465610265</v>
      </c>
      <c r="H4132">
        <v>8.9236164410163202E-2</v>
      </c>
      <c r="I4132">
        <v>8.0705849948916594E-2</v>
      </c>
      <c r="J4132">
        <v>6.6778161948778003E-2</v>
      </c>
      <c r="K4132">
        <v>4.7915884725572101E-2</v>
      </c>
      <c r="L4132">
        <v>2017.3872337319799</v>
      </c>
      <c r="M4132">
        <v>38.938929412494403</v>
      </c>
      <c r="N4132">
        <v>52.044813392105901</v>
      </c>
      <c r="O4132">
        <v>51.672926457898697</v>
      </c>
      <c r="P4132">
        <v>-0.17315657855345001</v>
      </c>
      <c r="Q4132">
        <v>8.0869796104943298E-2</v>
      </c>
      <c r="R4132">
        <v>0.98177919922511003</v>
      </c>
      <c r="S4132" t="s">
        <v>10748</v>
      </c>
      <c r="T4132" t="s">
        <v>13232</v>
      </c>
      <c r="U4132" t="s">
        <v>13232</v>
      </c>
      <c r="V4132" t="s">
        <v>13232</v>
      </c>
      <c r="W4132" t="s">
        <v>17302</v>
      </c>
      <c r="X4132">
        <v>20</v>
      </c>
      <c r="Y4132" t="s">
        <v>23720</v>
      </c>
      <c r="Z4132" t="s">
        <v>30263</v>
      </c>
      <c r="AA4132">
        <v>0.44614340022011451</v>
      </c>
      <c r="AB4132" t="str">
        <f>HYPERLINK("Melting_Curves/meltCurve_Q86TI2_DPP9.pdf", "Melting_Curves/meltCurve_Q86TI2_DPP9.pdf")</f>
        <v>Melting_Curves/meltCurve_Q86TI2_DPP9.pdf</v>
      </c>
    </row>
    <row r="4133" spans="1:28" x14ac:dyDescent="0.25">
      <c r="A4133" t="s">
        <v>4136</v>
      </c>
      <c r="B4133">
        <v>0.99930955844802105</v>
      </c>
      <c r="C4133">
        <v>0.80661131366105998</v>
      </c>
      <c r="D4133">
        <v>0.63129035604723704</v>
      </c>
      <c r="E4133">
        <v>0.47185030389955601</v>
      </c>
      <c r="F4133">
        <v>0.35163253943803602</v>
      </c>
      <c r="G4133">
        <v>0.231009777594506</v>
      </c>
      <c r="H4133">
        <v>0.18861920126859</v>
      </c>
      <c r="I4133">
        <v>0.22666625885379901</v>
      </c>
      <c r="J4133">
        <v>0</v>
      </c>
      <c r="K4133">
        <v>0.16201570844693</v>
      </c>
      <c r="L4133">
        <v>546.24418124583804</v>
      </c>
      <c r="M4133">
        <v>11.309284340851599</v>
      </c>
      <c r="N4133">
        <v>49.227248293117697</v>
      </c>
      <c r="O4133">
        <v>46.8642281928906</v>
      </c>
      <c r="P4133">
        <v>-5.4561919609036301E-2</v>
      </c>
      <c r="Q4133">
        <v>9.5883599791825494E-2</v>
      </c>
      <c r="R4133">
        <v>0.96257230143517203</v>
      </c>
      <c r="S4133" t="s">
        <v>10749</v>
      </c>
      <c r="T4133" t="s">
        <v>13232</v>
      </c>
      <c r="U4133" t="s">
        <v>13232</v>
      </c>
      <c r="V4133" t="s">
        <v>13232</v>
      </c>
      <c r="W4133" t="s">
        <v>17303</v>
      </c>
      <c r="X4133">
        <v>3</v>
      </c>
      <c r="Y4133" t="s">
        <v>23721</v>
      </c>
      <c r="Z4133" t="s">
        <v>30264</v>
      </c>
      <c r="AA4133">
        <v>0.38442901161757492</v>
      </c>
      <c r="AB4133" t="str">
        <f>HYPERLINK("Melting_Curves/meltCurve_Q86TJ2_3_TADA2B.pdf", "Melting_Curves/meltCurve_Q86TJ2_3_TADA2B.pdf")</f>
        <v>Melting_Curves/meltCurve_Q86TJ2_3_TADA2B.pdf</v>
      </c>
    </row>
    <row r="4134" spans="1:28" x14ac:dyDescent="0.25">
      <c r="A4134" t="s">
        <v>4137</v>
      </c>
      <c r="B4134">
        <v>0.99930955844802105</v>
      </c>
      <c r="C4134">
        <v>1.1234511961407601</v>
      </c>
      <c r="D4134">
        <v>1.11340067273065</v>
      </c>
      <c r="E4134">
        <v>0.90518219285147405</v>
      </c>
      <c r="F4134">
        <v>0.772351504061903</v>
      </c>
      <c r="G4134">
        <v>0.59023203716412598</v>
      </c>
      <c r="H4134">
        <v>0.57875794885569398</v>
      </c>
      <c r="I4134">
        <v>0.58409640228471704</v>
      </c>
      <c r="J4134">
        <v>0.60570288107263004</v>
      </c>
      <c r="K4134">
        <v>0.49342970096182998</v>
      </c>
      <c r="L4134">
        <v>1661.3372164268201</v>
      </c>
      <c r="M4134">
        <v>31.526628899996702</v>
      </c>
      <c r="O4134">
        <v>52.485655291476803</v>
      </c>
      <c r="P4134">
        <v>-6.5760102879114699E-2</v>
      </c>
      <c r="Q4134">
        <v>0.56209163471303303</v>
      </c>
      <c r="R4134">
        <v>0.92836565572364904</v>
      </c>
      <c r="S4134" t="s">
        <v>10750</v>
      </c>
      <c r="T4134" t="s">
        <v>13232</v>
      </c>
      <c r="U4134" t="s">
        <v>13232</v>
      </c>
      <c r="V4134" t="s">
        <v>13232</v>
      </c>
      <c r="W4134" t="s">
        <v>17304</v>
      </c>
      <c r="X4134">
        <v>3</v>
      </c>
      <c r="Y4134" t="s">
        <v>23722</v>
      </c>
      <c r="Z4134" t="s">
        <v>30265</v>
      </c>
      <c r="AA4134">
        <v>0.74998281725214633</v>
      </c>
      <c r="AB4134" t="str">
        <f>HYPERLINK("Melting_Curves/meltCurve_Q86TN4_2_TRPT1.pdf", "Melting_Curves/meltCurve_Q86TN4_2_TRPT1.pdf")</f>
        <v>Melting_Curves/meltCurve_Q86TN4_2_TRPT1.pdf</v>
      </c>
    </row>
    <row r="4135" spans="1:28" x14ac:dyDescent="0.25">
      <c r="A4135" t="s">
        <v>4138</v>
      </c>
      <c r="B4135">
        <v>0.99930955844802105</v>
      </c>
      <c r="C4135">
        <v>0.99418930640676295</v>
      </c>
      <c r="D4135">
        <v>0.82730546711209196</v>
      </c>
      <c r="E4135">
        <v>0.38628400887576098</v>
      </c>
      <c r="F4135">
        <v>0.19860579490653599</v>
      </c>
      <c r="G4135">
        <v>0.130481829115633</v>
      </c>
      <c r="H4135">
        <v>5.7484090840665497E-2</v>
      </c>
      <c r="I4135">
        <v>4.3645052698436097E-2</v>
      </c>
      <c r="J4135">
        <v>3.5397447407368401E-2</v>
      </c>
      <c r="K4135">
        <v>2.6229936459203799E-2</v>
      </c>
      <c r="L4135">
        <v>1126.1734017992601</v>
      </c>
      <c r="M4135">
        <v>23.018098366028099</v>
      </c>
      <c r="N4135">
        <v>49.139613277103201</v>
      </c>
      <c r="O4135">
        <v>48.560786112362301</v>
      </c>
      <c r="P4135">
        <v>-0.112850874253066</v>
      </c>
      <c r="Q4135">
        <v>4.7701711173331697E-2</v>
      </c>
      <c r="R4135">
        <v>0.99692637140375795</v>
      </c>
      <c r="S4135" t="s">
        <v>10751</v>
      </c>
      <c r="T4135" t="s">
        <v>13232</v>
      </c>
      <c r="U4135" t="s">
        <v>13232</v>
      </c>
      <c r="V4135" t="s">
        <v>13232</v>
      </c>
      <c r="W4135" t="s">
        <v>17305</v>
      </c>
      <c r="X4135">
        <v>14</v>
      </c>
      <c r="Y4135" t="s">
        <v>23723</v>
      </c>
      <c r="Z4135" t="s">
        <v>30266</v>
      </c>
      <c r="AA4135">
        <v>0.34103110357869809</v>
      </c>
      <c r="AB4135" t="str">
        <f>HYPERLINK("Melting_Curves/meltCurve_Q86TP1_PRUNE.pdf", "Melting_Curves/meltCurve_Q86TP1_PRUNE.pdf")</f>
        <v>Melting_Curves/meltCurve_Q86TP1_PRUNE.pdf</v>
      </c>
    </row>
    <row r="4136" spans="1:28" x14ac:dyDescent="0.25">
      <c r="A4136" t="s">
        <v>4139</v>
      </c>
      <c r="B4136">
        <v>0.99930955844802105</v>
      </c>
      <c r="C4136">
        <v>1.0442209793962001</v>
      </c>
      <c r="D4136">
        <v>1.05216116350795</v>
      </c>
      <c r="E4136">
        <v>0.809347147689087</v>
      </c>
      <c r="F4136">
        <v>0.27344219487286398</v>
      </c>
      <c r="G4136">
        <v>0.17955737189461299</v>
      </c>
      <c r="H4136">
        <v>0.121508285998722</v>
      </c>
      <c r="I4136">
        <v>0.12380192434001699</v>
      </c>
      <c r="J4136">
        <v>0.126863231769962</v>
      </c>
      <c r="K4136">
        <v>8.9802402297767703E-2</v>
      </c>
      <c r="L4136">
        <v>2520.2392800289899</v>
      </c>
      <c r="M4136">
        <v>49.124782146234097</v>
      </c>
      <c r="N4136">
        <v>51.608944138508697</v>
      </c>
      <c r="O4136">
        <v>51.217985375799799</v>
      </c>
      <c r="P4136">
        <v>-0.20947670899505899</v>
      </c>
      <c r="Q4136">
        <v>0.12639044500817401</v>
      </c>
      <c r="R4136">
        <v>0.99492218834492596</v>
      </c>
      <c r="S4136" t="s">
        <v>10752</v>
      </c>
      <c r="T4136" t="s">
        <v>13232</v>
      </c>
      <c r="U4136" t="s">
        <v>13232</v>
      </c>
      <c r="V4136" t="s">
        <v>13232</v>
      </c>
      <c r="W4136" t="s">
        <v>17306</v>
      </c>
      <c r="X4136">
        <v>19</v>
      </c>
      <c r="Y4136" t="s">
        <v>23724</v>
      </c>
      <c r="Z4136" t="s">
        <v>30267</v>
      </c>
      <c r="AA4136">
        <v>0.45758017512976068</v>
      </c>
      <c r="AB4136" t="str">
        <f>HYPERLINK("Melting_Curves/meltCurve_Q86TU7_SETD3.pdf", "Melting_Curves/meltCurve_Q86TU7_SETD3.pdf")</f>
        <v>Melting_Curves/meltCurve_Q86TU7_SETD3.pdf</v>
      </c>
    </row>
    <row r="4137" spans="1:28" x14ac:dyDescent="0.25">
      <c r="A4137" t="s">
        <v>4140</v>
      </c>
      <c r="B4137">
        <v>0.99930955844802105</v>
      </c>
      <c r="C4137">
        <v>0.82867710778659098</v>
      </c>
      <c r="D4137">
        <v>0.64838789889272996</v>
      </c>
      <c r="E4137">
        <v>0.43225063558966997</v>
      </c>
      <c r="F4137">
        <v>0.28810502978547298</v>
      </c>
      <c r="G4137">
        <v>0.19504981432290699</v>
      </c>
      <c r="H4137">
        <v>0.111292547569214</v>
      </c>
      <c r="I4137">
        <v>9.0778366141893899E-2</v>
      </c>
      <c r="J4137">
        <v>7.6587877825710596E-2</v>
      </c>
      <c r="K4137">
        <v>6.4006516619087794E-2</v>
      </c>
      <c r="L4137">
        <v>613.99055289231001</v>
      </c>
      <c r="M4137">
        <v>12.7078489860434</v>
      </c>
      <c r="N4137">
        <v>48.748890098086797</v>
      </c>
      <c r="O4137">
        <v>47.166265395110202</v>
      </c>
      <c r="P4137">
        <v>-6.3774110174834198E-2</v>
      </c>
      <c r="Q4137">
        <v>5.3370502591997999E-2</v>
      </c>
      <c r="R4137">
        <v>0.99496352002465804</v>
      </c>
      <c r="S4137" t="s">
        <v>10753</v>
      </c>
      <c r="T4137" t="s">
        <v>13232</v>
      </c>
      <c r="U4137" t="s">
        <v>13232</v>
      </c>
      <c r="V4137" t="s">
        <v>13232</v>
      </c>
      <c r="W4137" t="s">
        <v>17307</v>
      </c>
      <c r="X4137">
        <v>4</v>
      </c>
      <c r="Y4137" t="s">
        <v>23725</v>
      </c>
      <c r="Z4137" t="s">
        <v>30268</v>
      </c>
      <c r="AA4137">
        <v>0.34856123659979787</v>
      </c>
      <c r="AB4137" t="str">
        <f>HYPERLINK("Melting_Curves/meltCurve_Q86TV2_LGMN.pdf", "Melting_Curves/meltCurve_Q86TV2_LGMN.pdf")</f>
        <v>Melting_Curves/meltCurve_Q86TV2_LGMN.pdf</v>
      </c>
    </row>
    <row r="4138" spans="1:28" x14ac:dyDescent="0.25">
      <c r="A4138" t="s">
        <v>4141</v>
      </c>
      <c r="B4138">
        <v>0.99930955844802105</v>
      </c>
      <c r="C4138">
        <v>0.94025223552071102</v>
      </c>
      <c r="D4138">
        <v>0.91387585566904295</v>
      </c>
      <c r="E4138">
        <v>0.85451704716472299</v>
      </c>
      <c r="F4138">
        <v>0.66395940472900605</v>
      </c>
      <c r="G4138">
        <v>0.54459585511205899</v>
      </c>
      <c r="H4138">
        <v>0.45785450924296001</v>
      </c>
      <c r="I4138">
        <v>0.50626997467250201</v>
      </c>
      <c r="J4138">
        <v>0.44920903953409103</v>
      </c>
      <c r="K4138">
        <v>0.380255921406703</v>
      </c>
      <c r="L4138">
        <v>728.543466034728</v>
      </c>
      <c r="M4138">
        <v>13.828086939924599</v>
      </c>
      <c r="N4138">
        <v>59.713625835406603</v>
      </c>
      <c r="O4138">
        <v>51.620598641504202</v>
      </c>
      <c r="P4138">
        <v>-4.0067821202669301E-2</v>
      </c>
      <c r="Q4138">
        <v>0.401786311725223</v>
      </c>
      <c r="R4138">
        <v>0.97933937134412796</v>
      </c>
      <c r="S4138" t="s">
        <v>10754</v>
      </c>
      <c r="T4138" t="s">
        <v>13232</v>
      </c>
      <c r="U4138" t="s">
        <v>13232</v>
      </c>
      <c r="V4138" t="s">
        <v>13232</v>
      </c>
      <c r="W4138" t="s">
        <v>17308</v>
      </c>
      <c r="X4138">
        <v>7</v>
      </c>
      <c r="Y4138" t="s">
        <v>23726</v>
      </c>
      <c r="Z4138" t="s">
        <v>30269</v>
      </c>
      <c r="AA4138">
        <v>0.66934448133027202</v>
      </c>
      <c r="AB4138" t="str">
        <f>HYPERLINK("Melting_Curves/meltCurve_Q86U28_ISCA2.pdf", "Melting_Curves/meltCurve_Q86U28_ISCA2.pdf")</f>
        <v>Melting_Curves/meltCurve_Q86U28_ISCA2.pdf</v>
      </c>
    </row>
    <row r="4139" spans="1:28" x14ac:dyDescent="0.25">
      <c r="A4139" t="s">
        <v>4142</v>
      </c>
      <c r="B4139">
        <v>0.99930955844802105</v>
      </c>
      <c r="C4139">
        <v>1.00834532396164</v>
      </c>
      <c r="D4139">
        <v>0.96101934784750498</v>
      </c>
      <c r="E4139">
        <v>0.86224221327817197</v>
      </c>
      <c r="F4139">
        <v>0.460107195831649</v>
      </c>
      <c r="G4139">
        <v>0.27480062486233198</v>
      </c>
      <c r="H4139">
        <v>0.21108584291190899</v>
      </c>
      <c r="I4139">
        <v>0.20969469902361901</v>
      </c>
      <c r="J4139">
        <v>0.196015312592076</v>
      </c>
      <c r="K4139">
        <v>0.16098937738714</v>
      </c>
      <c r="L4139">
        <v>1804.0115352815601</v>
      </c>
      <c r="M4139">
        <v>34.6611674824305</v>
      </c>
      <c r="N4139">
        <v>52.823106377418597</v>
      </c>
      <c r="O4139">
        <v>51.874717503364401</v>
      </c>
      <c r="P4139">
        <v>-0.133714765440619</v>
      </c>
      <c r="Q4139">
        <v>0.19952029760868001</v>
      </c>
      <c r="R4139">
        <v>0.99624297963977904</v>
      </c>
      <c r="S4139" t="s">
        <v>10755</v>
      </c>
      <c r="T4139" t="s">
        <v>13232</v>
      </c>
      <c r="U4139" t="s">
        <v>13232</v>
      </c>
      <c r="V4139" t="s">
        <v>13232</v>
      </c>
      <c r="W4139" t="s">
        <v>17309</v>
      </c>
      <c r="X4139">
        <v>20</v>
      </c>
      <c r="Y4139" t="s">
        <v>23727</v>
      </c>
      <c r="Z4139" t="s">
        <v>30270</v>
      </c>
      <c r="AA4139">
        <v>0.52480525848107196</v>
      </c>
      <c r="AB4139" t="str">
        <f>HYPERLINK("Melting_Curves/meltCurve_Q86U44_METTL3.pdf", "Melting_Curves/meltCurve_Q86U44_METTL3.pdf")</f>
        <v>Melting_Curves/meltCurve_Q86U44_METTL3.pdf</v>
      </c>
    </row>
    <row r="4140" spans="1:28" x14ac:dyDescent="0.25">
      <c r="A4140" t="s">
        <v>4143</v>
      </c>
      <c r="B4140">
        <v>0.99930955844802105</v>
      </c>
      <c r="C4140">
        <v>0.90067490556144003</v>
      </c>
      <c r="D4140">
        <v>0.86163349400998701</v>
      </c>
      <c r="E4140">
        <v>0.83113113807116001</v>
      </c>
      <c r="F4140">
        <v>0.57147261568629804</v>
      </c>
      <c r="G4140">
        <v>0.295065013683667</v>
      </c>
      <c r="H4140">
        <v>0.14044434860691901</v>
      </c>
      <c r="I4140">
        <v>0.11199368150934599</v>
      </c>
      <c r="J4140">
        <v>8.3864277993263805E-2</v>
      </c>
      <c r="K4140">
        <v>5.7832176519867502E-2</v>
      </c>
      <c r="L4140">
        <v>830.06038918381103</v>
      </c>
      <c r="M4140">
        <v>15.4299407984293</v>
      </c>
      <c r="N4140">
        <v>53.989534935119003</v>
      </c>
      <c r="O4140">
        <v>52.916144889993802</v>
      </c>
      <c r="P4140">
        <v>-7.0937663120323305E-2</v>
      </c>
      <c r="Q4140">
        <v>2.69805228451215E-2</v>
      </c>
      <c r="R4140">
        <v>0.98768505847871901</v>
      </c>
      <c r="S4140" t="s">
        <v>10756</v>
      </c>
      <c r="T4140" t="s">
        <v>13232</v>
      </c>
      <c r="U4140" t="s">
        <v>13232</v>
      </c>
      <c r="V4140" t="s">
        <v>13232</v>
      </c>
      <c r="W4140" t="s">
        <v>17310</v>
      </c>
      <c r="X4140">
        <v>10</v>
      </c>
      <c r="Y4140" t="s">
        <v>23728</v>
      </c>
      <c r="Z4140" t="s">
        <v>30271</v>
      </c>
      <c r="AA4140">
        <v>0.49387772988065298</v>
      </c>
      <c r="AB4140" t="str">
        <f>HYPERLINK("Melting_Curves/meltCurve_Q86U70_3_LDB1.pdf", "Melting_Curves/meltCurve_Q86U70_3_LDB1.pdf")</f>
        <v>Melting_Curves/meltCurve_Q86U70_3_LDB1.pdf</v>
      </c>
    </row>
    <row r="4141" spans="1:28" x14ac:dyDescent="0.25">
      <c r="A4141" t="s">
        <v>4144</v>
      </c>
      <c r="B4141">
        <v>0.99930955844802105</v>
      </c>
      <c r="C4141">
        <v>1.0216939175464701</v>
      </c>
      <c r="D4141">
        <v>0.91754350694453002</v>
      </c>
      <c r="E4141">
        <v>0.66314101574405604</v>
      </c>
      <c r="F4141">
        <v>0.277045179072615</v>
      </c>
      <c r="G4141">
        <v>0.19869387477252901</v>
      </c>
      <c r="H4141">
        <v>0.12349021122920199</v>
      </c>
      <c r="I4141">
        <v>0.11118220578393299</v>
      </c>
      <c r="J4141">
        <v>0.100336671693152</v>
      </c>
      <c r="K4141">
        <v>7.9390692547858896E-2</v>
      </c>
      <c r="L4141">
        <v>1383.5265227201601</v>
      </c>
      <c r="M4141">
        <v>27.289484808680999</v>
      </c>
      <c r="N4141">
        <v>51.149013821348902</v>
      </c>
      <c r="O4141">
        <v>50.428242774285899</v>
      </c>
      <c r="P4141">
        <v>-0.12082752141214401</v>
      </c>
      <c r="Q4141">
        <v>0.10689941957933299</v>
      </c>
      <c r="R4141">
        <v>0.995016952712938</v>
      </c>
      <c r="S4141" t="s">
        <v>10757</v>
      </c>
      <c r="T4141" t="s">
        <v>13232</v>
      </c>
      <c r="U4141" t="s">
        <v>13232</v>
      </c>
      <c r="V4141" t="s">
        <v>13232</v>
      </c>
      <c r="W4141" t="s">
        <v>17311</v>
      </c>
      <c r="X4141">
        <v>46</v>
      </c>
      <c r="Y4141" t="s">
        <v>23729</v>
      </c>
      <c r="Z4141" t="s">
        <v>30272</v>
      </c>
      <c r="AA4141">
        <v>0.43213877504588449</v>
      </c>
      <c r="AB4141" t="str">
        <f>HYPERLINK("Melting_Curves/meltCurve_Q86U86_8_PBRM1.pdf", "Melting_Curves/meltCurve_Q86U86_8_PBRM1.pdf")</f>
        <v>Melting_Curves/meltCurve_Q86U86_8_PBRM1.pdf</v>
      </c>
    </row>
    <row r="4142" spans="1:28" x14ac:dyDescent="0.25">
      <c r="A4142" t="s">
        <v>4145</v>
      </c>
      <c r="B4142">
        <v>0.99930955844802105</v>
      </c>
      <c r="C4142">
        <v>1.12187170819421</v>
      </c>
      <c r="D4142">
        <v>1.1735800171186499</v>
      </c>
      <c r="E4142">
        <v>0.891381484731809</v>
      </c>
      <c r="F4142">
        <v>0.44688564637949002</v>
      </c>
      <c r="G4142">
        <v>0.18986340843358601</v>
      </c>
      <c r="H4142">
        <v>8.3712594358498496E-2</v>
      </c>
      <c r="I4142">
        <v>4.7365893297858397E-2</v>
      </c>
      <c r="J4142">
        <v>4.3654169576638098E-2</v>
      </c>
      <c r="K4142">
        <v>3.3773418570242901E-2</v>
      </c>
      <c r="L4142">
        <v>1861.0278988626801</v>
      </c>
      <c r="M4142">
        <v>35.351309432402601</v>
      </c>
      <c r="N4142">
        <v>52.843419155000397</v>
      </c>
      <c r="O4142">
        <v>52.476212748271699</v>
      </c>
      <c r="P4142">
        <v>-0.15789053365320599</v>
      </c>
      <c r="Q4142">
        <v>6.2499320557385697E-2</v>
      </c>
      <c r="R4142">
        <v>0.97458440486523801</v>
      </c>
      <c r="S4142" t="s">
        <v>10758</v>
      </c>
      <c r="T4142" t="s">
        <v>13232</v>
      </c>
      <c r="U4142" t="s">
        <v>13232</v>
      </c>
      <c r="V4142" t="s">
        <v>13232</v>
      </c>
      <c r="W4142" t="s">
        <v>17312</v>
      </c>
      <c r="X4142">
        <v>13</v>
      </c>
      <c r="Y4142" t="s">
        <v>23730</v>
      </c>
      <c r="Z4142" t="s">
        <v>30273</v>
      </c>
      <c r="AA4142">
        <v>0.46198525287482511</v>
      </c>
      <c r="AB4142" t="str">
        <f>HYPERLINK("Melting_Curves/meltCurve_Q86U90_YRDC.pdf", "Melting_Curves/meltCurve_Q86U90_YRDC.pdf")</f>
        <v>Melting_Curves/meltCurve_Q86U90_YRDC.pdf</v>
      </c>
    </row>
    <row r="4143" spans="1:28" x14ac:dyDescent="0.25">
      <c r="A4143" t="s">
        <v>4146</v>
      </c>
      <c r="B4143">
        <v>0.99930955844802105</v>
      </c>
      <c r="C4143">
        <v>0.88304097020091099</v>
      </c>
      <c r="D4143">
        <v>0.71398176793575996</v>
      </c>
      <c r="E4143">
        <v>0.31302474795754098</v>
      </c>
      <c r="F4143">
        <v>0.15812467701997501</v>
      </c>
      <c r="G4143">
        <v>0.116358349346981</v>
      </c>
      <c r="H4143">
        <v>6.4705174084062705E-2</v>
      </c>
      <c r="I4143">
        <v>5.0177933129324698E-2</v>
      </c>
      <c r="J4143">
        <v>4.6083018878911801E-2</v>
      </c>
      <c r="K4143">
        <v>3.8064309147819601E-2</v>
      </c>
      <c r="L4143">
        <v>945.35310943464594</v>
      </c>
      <c r="M4143">
        <v>19.7975105876688</v>
      </c>
      <c r="N4143">
        <v>47.997848402433199</v>
      </c>
      <c r="O4143">
        <v>47.271910679759401</v>
      </c>
      <c r="P4143">
        <v>-9.9637934310982099E-2</v>
      </c>
      <c r="Q4143">
        <v>4.8382177846371999E-2</v>
      </c>
      <c r="R4143">
        <v>0.99787064991141305</v>
      </c>
      <c r="S4143" t="s">
        <v>10759</v>
      </c>
      <c r="T4143" t="s">
        <v>13232</v>
      </c>
      <c r="U4143" t="s">
        <v>13232</v>
      </c>
      <c r="V4143" t="s">
        <v>13232</v>
      </c>
      <c r="W4143" t="s">
        <v>17313</v>
      </c>
      <c r="X4143">
        <v>20</v>
      </c>
      <c r="Y4143" t="s">
        <v>23731</v>
      </c>
      <c r="Z4143" t="s">
        <v>30274</v>
      </c>
      <c r="AA4143">
        <v>0.30815188448817082</v>
      </c>
      <c r="AB4143" t="str">
        <f>HYPERLINK("Melting_Curves/meltCurve_Q86UA1_PRPF39.pdf", "Melting_Curves/meltCurve_Q86UA1_PRPF39.pdf")</f>
        <v>Melting_Curves/meltCurve_Q86UA1_PRPF39.pdf</v>
      </c>
    </row>
    <row r="4144" spans="1:28" x14ac:dyDescent="0.25">
      <c r="A4144" t="s">
        <v>4147</v>
      </c>
      <c r="B4144">
        <v>0.99930955844802105</v>
      </c>
      <c r="C4144">
        <v>1.0495647409497899</v>
      </c>
      <c r="D4144">
        <v>1.0330606376170299</v>
      </c>
      <c r="E4144">
        <v>1.10864855521482</v>
      </c>
      <c r="F4144">
        <v>1.00753961081569</v>
      </c>
      <c r="G4144">
        <v>0.96177048075101401</v>
      </c>
      <c r="H4144">
        <v>0.98211037953928004</v>
      </c>
      <c r="I4144">
        <v>1.0585101401922801</v>
      </c>
      <c r="J4144">
        <v>1.0394532168175299</v>
      </c>
      <c r="K4144">
        <v>0.84006830025691304</v>
      </c>
      <c r="L4144">
        <v>15000</v>
      </c>
      <c r="M4144">
        <v>212.62694959816201</v>
      </c>
      <c r="Q4144">
        <v>0</v>
      </c>
      <c r="R4144">
        <v>0.52931935389895801</v>
      </c>
      <c r="S4144" t="s">
        <v>10760</v>
      </c>
      <c r="T4144" t="s">
        <v>13232</v>
      </c>
      <c r="U4144" t="s">
        <v>13232</v>
      </c>
      <c r="V4144" t="s">
        <v>13232</v>
      </c>
      <c r="W4144" t="s">
        <v>17314</v>
      </c>
      <c r="X4144">
        <v>28</v>
      </c>
      <c r="Y4144" t="s">
        <v>20497</v>
      </c>
      <c r="Z4144" t="s">
        <v>30275</v>
      </c>
      <c r="AA4144">
        <v>0.99812065743529255</v>
      </c>
      <c r="AB4144" t="str">
        <f>HYPERLINK("Melting_Curves/meltCurve_Q86UE4_MTDH.pdf", "Melting_Curves/meltCurve_Q86UE4_MTDH.pdf")</f>
        <v>Melting_Curves/meltCurve_Q86UE4_MTDH.pdf</v>
      </c>
    </row>
    <row r="4145" spans="1:28" x14ac:dyDescent="0.25">
      <c r="A4145" t="s">
        <v>4148</v>
      </c>
      <c r="B4145">
        <v>0.99930955844802105</v>
      </c>
      <c r="C4145">
        <v>0.926245359499972</v>
      </c>
      <c r="D4145">
        <v>0.73828566963212305</v>
      </c>
      <c r="E4145">
        <v>0.59632159228611703</v>
      </c>
      <c r="F4145">
        <v>0.37769324179308</v>
      </c>
      <c r="G4145">
        <v>0.29019749157254998</v>
      </c>
      <c r="H4145">
        <v>0.24271374107361601</v>
      </c>
      <c r="I4145">
        <v>0.27065218537102598</v>
      </c>
      <c r="J4145">
        <v>0.28833188428675999</v>
      </c>
      <c r="K4145">
        <v>0.21912277849923301</v>
      </c>
      <c r="L4145">
        <v>758.392309601801</v>
      </c>
      <c r="M4145">
        <v>15.5720966844438</v>
      </c>
      <c r="N4145">
        <v>50.774383639607699</v>
      </c>
      <c r="O4145">
        <v>47.920068257333298</v>
      </c>
      <c r="P4145">
        <v>-6.21388769369704E-2</v>
      </c>
      <c r="Q4145">
        <v>0.23518628445258499</v>
      </c>
      <c r="R4145">
        <v>0.98783176342810697</v>
      </c>
      <c r="S4145" t="s">
        <v>10761</v>
      </c>
      <c r="T4145" t="s">
        <v>13232</v>
      </c>
      <c r="U4145" t="s">
        <v>13232</v>
      </c>
      <c r="V4145" t="s">
        <v>13232</v>
      </c>
      <c r="W4145" t="s">
        <v>17315</v>
      </c>
      <c r="X4145">
        <v>18</v>
      </c>
      <c r="Y4145" t="s">
        <v>23732</v>
      </c>
      <c r="Z4145" t="s">
        <v>30276</v>
      </c>
      <c r="AA4145">
        <v>0.47479896369459951</v>
      </c>
      <c r="AB4145" t="str">
        <f>HYPERLINK("Melting_Curves/meltCurve_Q86UE8_2_TLK2.pdf", "Melting_Curves/meltCurve_Q86UE8_2_TLK2.pdf")</f>
        <v>Melting_Curves/meltCurve_Q86UE8_2_TLK2.pdf</v>
      </c>
    </row>
    <row r="4146" spans="1:28" x14ac:dyDescent="0.25">
      <c r="A4146" t="s">
        <v>4149</v>
      </c>
      <c r="B4146">
        <v>0.99930955844802105</v>
      </c>
      <c r="C4146">
        <v>1.0289328048761901</v>
      </c>
      <c r="D4146">
        <v>0.96165695212716695</v>
      </c>
      <c r="E4146">
        <v>0.83340762464695195</v>
      </c>
      <c r="F4146">
        <v>0.60475874329636903</v>
      </c>
      <c r="G4146">
        <v>0.45550428033784301</v>
      </c>
      <c r="H4146">
        <v>0.38351752818690099</v>
      </c>
      <c r="I4146">
        <v>0.38958017886516999</v>
      </c>
      <c r="J4146">
        <v>0.37725100852771198</v>
      </c>
      <c r="K4146">
        <v>0.29746770660275501</v>
      </c>
      <c r="L4146">
        <v>1120.37946148318</v>
      </c>
      <c r="M4146">
        <v>21.4486339079359</v>
      </c>
      <c r="N4146">
        <v>55.344685340241497</v>
      </c>
      <c r="O4146">
        <v>51.787765799388602</v>
      </c>
      <c r="P4146">
        <v>-6.72879170431398E-2</v>
      </c>
      <c r="Q4146">
        <v>0.35014885551783198</v>
      </c>
      <c r="R4146">
        <v>0.99183245197746694</v>
      </c>
      <c r="S4146" t="s">
        <v>10762</v>
      </c>
      <c r="T4146" t="s">
        <v>13232</v>
      </c>
      <c r="U4146" t="s">
        <v>13232</v>
      </c>
      <c r="V4146" t="s">
        <v>13232</v>
      </c>
      <c r="W4146" t="s">
        <v>17316</v>
      </c>
      <c r="X4146">
        <v>34</v>
      </c>
      <c r="Y4146" t="s">
        <v>23733</v>
      </c>
      <c r="Z4146" t="s">
        <v>30277</v>
      </c>
      <c r="AA4146">
        <v>0.62311133182215295</v>
      </c>
      <c r="AB4146" t="str">
        <f>HYPERLINK("Melting_Curves/meltCurve_Q86UK7_3_ZNF598.pdf", "Melting_Curves/meltCurve_Q86UK7_3_ZNF598.pdf")</f>
        <v>Melting_Curves/meltCurve_Q86UK7_3_ZNF598.pdf</v>
      </c>
    </row>
    <row r="4147" spans="1:28" x14ac:dyDescent="0.25">
      <c r="A4147" t="s">
        <v>4150</v>
      </c>
      <c r="B4147">
        <v>0.99930955844802105</v>
      </c>
      <c r="C4147">
        <v>1.00846562697534</v>
      </c>
      <c r="D4147">
        <v>1.01487263356806</v>
      </c>
      <c r="E4147">
        <v>0.94110846222364997</v>
      </c>
      <c r="F4147">
        <v>0.872287912861621</v>
      </c>
      <c r="G4147">
        <v>0.74483097561155798</v>
      </c>
      <c r="H4147">
        <v>0.64783028592131897</v>
      </c>
      <c r="I4147">
        <v>0.63648554453578798</v>
      </c>
      <c r="J4147">
        <v>0.65549526319788598</v>
      </c>
      <c r="K4147">
        <v>0.54868578864252604</v>
      </c>
      <c r="L4147">
        <v>951.14963996713595</v>
      </c>
      <c r="M4147">
        <v>17.1309770513143</v>
      </c>
      <c r="O4147">
        <v>54.7821923742206</v>
      </c>
      <c r="P4147">
        <v>-3.2407920181571001E-2</v>
      </c>
      <c r="Q4147">
        <v>0.58548296118868304</v>
      </c>
      <c r="R4147">
        <v>0.97979707310027697</v>
      </c>
      <c r="S4147" t="s">
        <v>10763</v>
      </c>
      <c r="T4147" t="s">
        <v>13232</v>
      </c>
      <c r="U4147" t="s">
        <v>13232</v>
      </c>
      <c r="V4147" t="s">
        <v>13232</v>
      </c>
      <c r="W4147" t="s">
        <v>17317</v>
      </c>
      <c r="X4147">
        <v>97</v>
      </c>
      <c r="Y4147" t="s">
        <v>23734</v>
      </c>
      <c r="Z4147" t="s">
        <v>30278</v>
      </c>
      <c r="AA4147">
        <v>0.80661423005187016</v>
      </c>
      <c r="AB4147" t="str">
        <f>HYPERLINK("Melting_Curves/meltCurve_Q86UP2_KTN1.pdf", "Melting_Curves/meltCurve_Q86UP2_KTN1.pdf")</f>
        <v>Melting_Curves/meltCurve_Q86UP2_KTN1.pdf</v>
      </c>
    </row>
    <row r="4148" spans="1:28" x14ac:dyDescent="0.25">
      <c r="A4148" t="s">
        <v>4151</v>
      </c>
      <c r="B4148">
        <v>0.99930955844802105</v>
      </c>
      <c r="C4148">
        <v>1.0544204880160899</v>
      </c>
      <c r="D4148">
        <v>0.91360893037783297</v>
      </c>
      <c r="E4148">
        <v>0.61014754504823498</v>
      </c>
      <c r="F4148">
        <v>0.448035589716129</v>
      </c>
      <c r="G4148">
        <v>0.39735584434084298</v>
      </c>
      <c r="H4148">
        <v>0.386526712351141</v>
      </c>
      <c r="I4148">
        <v>0.44846859415954299</v>
      </c>
      <c r="J4148">
        <v>0.44148487157959698</v>
      </c>
      <c r="K4148">
        <v>0.35724426487856098</v>
      </c>
      <c r="L4148">
        <v>1555.7774089193599</v>
      </c>
      <c r="M4148">
        <v>31.804190391476599</v>
      </c>
      <c r="N4148">
        <v>51.604405304066603</v>
      </c>
      <c r="O4148">
        <v>48.725193623869103</v>
      </c>
      <c r="P4148">
        <v>-9.7166406188389801E-2</v>
      </c>
      <c r="Q4148">
        <v>0.40455299139647999</v>
      </c>
      <c r="R4148">
        <v>0.98512660903955696</v>
      </c>
      <c r="S4148" t="s">
        <v>10764</v>
      </c>
      <c r="T4148" t="s">
        <v>13232</v>
      </c>
      <c r="U4148" t="s">
        <v>13232</v>
      </c>
      <c r="V4148" t="s">
        <v>13232</v>
      </c>
      <c r="W4148" t="s">
        <v>17318</v>
      </c>
      <c r="X4148">
        <v>20</v>
      </c>
      <c r="Y4148" t="s">
        <v>23735</v>
      </c>
      <c r="Z4148" t="s">
        <v>30279</v>
      </c>
      <c r="AA4148">
        <v>0.58476090550662663</v>
      </c>
      <c r="AB4148" t="str">
        <f>HYPERLINK("Melting_Curves/meltCurve_Q86US8_SMG6.pdf", "Melting_Curves/meltCurve_Q86US8_SMG6.pdf")</f>
        <v>Melting_Curves/meltCurve_Q86US8_SMG6.pdf</v>
      </c>
    </row>
    <row r="4149" spans="1:28" x14ac:dyDescent="0.25">
      <c r="A4149" t="s">
        <v>4152</v>
      </c>
      <c r="B4149">
        <v>0.99930955844802105</v>
      </c>
      <c r="C4149">
        <v>1.05137867927076</v>
      </c>
      <c r="D4149">
        <v>0.99927675012950701</v>
      </c>
      <c r="E4149">
        <v>0.966928357376588</v>
      </c>
      <c r="F4149">
        <v>0.86402153428006701</v>
      </c>
      <c r="G4149">
        <v>0.75534121452422098</v>
      </c>
      <c r="H4149">
        <v>0.79437283291391503</v>
      </c>
      <c r="I4149">
        <v>0.84069791038298303</v>
      </c>
      <c r="J4149">
        <v>0.86420223798698403</v>
      </c>
      <c r="K4149">
        <v>0.68811029323144801</v>
      </c>
      <c r="L4149">
        <v>2399.55598381852</v>
      </c>
      <c r="M4149">
        <v>46.006886225667998</v>
      </c>
      <c r="O4149">
        <v>52.058197417066701</v>
      </c>
      <c r="P4149">
        <v>-4.6721513873008297E-2</v>
      </c>
      <c r="Q4149">
        <v>0.78853297025340396</v>
      </c>
      <c r="R4149">
        <v>0.82139181001470096</v>
      </c>
      <c r="S4149" t="s">
        <v>10765</v>
      </c>
      <c r="T4149" t="s">
        <v>13232</v>
      </c>
      <c r="U4149" t="s">
        <v>13232</v>
      </c>
      <c r="V4149" t="s">
        <v>13232</v>
      </c>
      <c r="W4149" t="s">
        <v>17319</v>
      </c>
      <c r="X4149">
        <v>15</v>
      </c>
      <c r="Y4149" t="s">
        <v>23736</v>
      </c>
      <c r="Z4149" t="s">
        <v>30280</v>
      </c>
      <c r="AA4149">
        <v>0.87479769762650106</v>
      </c>
      <c r="AB4149" t="str">
        <f>HYPERLINK("Melting_Curves/meltCurve_Q86UU0_3_BCL9L.pdf", "Melting_Curves/meltCurve_Q86UU0_3_BCL9L.pdf")</f>
        <v>Melting_Curves/meltCurve_Q86UU0_3_BCL9L.pdf</v>
      </c>
    </row>
    <row r="4150" spans="1:28" x14ac:dyDescent="0.25">
      <c r="A4150" t="s">
        <v>4153</v>
      </c>
      <c r="B4150">
        <v>0.99930955844802105</v>
      </c>
      <c r="C4150">
        <v>0.99369027966870505</v>
      </c>
      <c r="D4150">
        <v>0.92309280852544495</v>
      </c>
      <c r="E4150">
        <v>0.87908069722785298</v>
      </c>
      <c r="F4150">
        <v>0.76016938406234802</v>
      </c>
      <c r="G4150">
        <v>0.66517842828769902</v>
      </c>
      <c r="H4150">
        <v>0.66022181088208398</v>
      </c>
      <c r="I4150">
        <v>0.72712920907726397</v>
      </c>
      <c r="J4150">
        <v>0.73464876748807695</v>
      </c>
      <c r="K4150">
        <v>0.57400749560473197</v>
      </c>
      <c r="L4150">
        <v>930.69791249350601</v>
      </c>
      <c r="M4150">
        <v>18.374858287560201</v>
      </c>
      <c r="O4150">
        <v>50.062139517721803</v>
      </c>
      <c r="P4150">
        <v>-3.11386128853916E-2</v>
      </c>
      <c r="Q4150">
        <v>0.66066792987772105</v>
      </c>
      <c r="R4150">
        <v>0.90119663633514302</v>
      </c>
      <c r="S4150" t="s">
        <v>10766</v>
      </c>
      <c r="T4150" t="s">
        <v>13232</v>
      </c>
      <c r="U4150" t="s">
        <v>13232</v>
      </c>
      <c r="V4150" t="s">
        <v>13232</v>
      </c>
      <c r="W4150" t="s">
        <v>17320</v>
      </c>
      <c r="X4150">
        <v>17</v>
      </c>
      <c r="Y4150" t="s">
        <v>23737</v>
      </c>
      <c r="Z4150" t="s">
        <v>30281</v>
      </c>
      <c r="AA4150">
        <v>0.78666458232026504</v>
      </c>
      <c r="AB4150" t="str">
        <f>HYPERLINK("Melting_Curves/meltCurve_Q86UU1_2_PHLDB1.pdf", "Melting_Curves/meltCurve_Q86UU1_2_PHLDB1.pdf")</f>
        <v>Melting_Curves/meltCurve_Q86UU1_2_PHLDB1.pdf</v>
      </c>
    </row>
    <row r="4151" spans="1:28" x14ac:dyDescent="0.25">
      <c r="A4151" t="s">
        <v>4154</v>
      </c>
      <c r="B4151">
        <v>0.99930955844802105</v>
      </c>
      <c r="C4151">
        <v>0.87563317757180803</v>
      </c>
      <c r="D4151">
        <v>0.59589175739247502</v>
      </c>
      <c r="E4151">
        <v>0.319289729911856</v>
      </c>
      <c r="F4151">
        <v>0.177247145656758</v>
      </c>
      <c r="G4151">
        <v>0.119431320167183</v>
      </c>
      <c r="H4151">
        <v>6.9985959526474101E-2</v>
      </c>
      <c r="I4151">
        <v>5.65807379609954E-2</v>
      </c>
      <c r="J4151">
        <v>4.9918071930306597E-2</v>
      </c>
      <c r="K4151">
        <v>3.9106331397305301E-2</v>
      </c>
      <c r="L4151">
        <v>822.63549210076303</v>
      </c>
      <c r="M4151">
        <v>17.4457905427785</v>
      </c>
      <c r="N4151">
        <v>47.450276598537499</v>
      </c>
      <c r="O4151">
        <v>46.547328707230299</v>
      </c>
      <c r="P4151">
        <v>-8.8866034263430205E-2</v>
      </c>
      <c r="Q4151">
        <v>5.1634640067525397E-2</v>
      </c>
      <c r="R4151">
        <v>0.99668951930577399</v>
      </c>
      <c r="S4151" t="s">
        <v>10767</v>
      </c>
      <c r="T4151" t="s">
        <v>13232</v>
      </c>
      <c r="U4151" t="s">
        <v>13232</v>
      </c>
      <c r="V4151" t="s">
        <v>13232</v>
      </c>
      <c r="W4151" t="s">
        <v>17321</v>
      </c>
      <c r="X4151">
        <v>36</v>
      </c>
      <c r="Y4151" t="s">
        <v>23738</v>
      </c>
      <c r="Z4151" t="s">
        <v>30282</v>
      </c>
      <c r="AA4151">
        <v>0.29636366895476668</v>
      </c>
      <c r="AB4151" t="str">
        <f>HYPERLINK("Melting_Curves/meltCurve_Q86UV5_USP48.pdf", "Melting_Curves/meltCurve_Q86UV5_USP48.pdf")</f>
        <v>Melting_Curves/meltCurve_Q86UV5_USP48.pdf</v>
      </c>
    </row>
    <row r="4152" spans="1:28" x14ac:dyDescent="0.25">
      <c r="A4152" t="s">
        <v>4155</v>
      </c>
      <c r="B4152">
        <v>0.99930955844802105</v>
      </c>
      <c r="C4152">
        <v>1.00355730256327</v>
      </c>
      <c r="D4152">
        <v>0.95609141201404602</v>
      </c>
      <c r="E4152">
        <v>0.85448628150065098</v>
      </c>
      <c r="F4152">
        <v>0.67907629833474104</v>
      </c>
      <c r="G4152">
        <v>0.53423080314971905</v>
      </c>
      <c r="H4152">
        <v>0.47023214078085901</v>
      </c>
      <c r="I4152">
        <v>0.457261400388561</v>
      </c>
      <c r="J4152">
        <v>0.41589404486258602</v>
      </c>
      <c r="K4152">
        <v>0.34629743755665099</v>
      </c>
      <c r="L4152">
        <v>844.778274403654</v>
      </c>
      <c r="M4152">
        <v>15.866924818021699</v>
      </c>
      <c r="N4152">
        <v>58.547895588847901</v>
      </c>
      <c r="O4152">
        <v>52.417296684049298</v>
      </c>
      <c r="P4152">
        <v>-4.6823874524484298E-2</v>
      </c>
      <c r="Q4152">
        <v>0.381308800207943</v>
      </c>
      <c r="R4152">
        <v>0.99141767226646205</v>
      </c>
      <c r="S4152" t="s">
        <v>10768</v>
      </c>
      <c r="T4152" t="s">
        <v>13232</v>
      </c>
      <c r="U4152" t="s">
        <v>13232</v>
      </c>
      <c r="V4152" t="s">
        <v>13232</v>
      </c>
      <c r="W4152" t="s">
        <v>17322</v>
      </c>
      <c r="X4152">
        <v>29</v>
      </c>
      <c r="Y4152" t="s">
        <v>23739</v>
      </c>
      <c r="Z4152" t="s">
        <v>30283</v>
      </c>
      <c r="AA4152">
        <v>0.66657181419491329</v>
      </c>
      <c r="AB4152" t="str">
        <f>HYPERLINK("Melting_Curves/meltCurve_Q86UW6_2_N4BP2.pdf", "Melting_Curves/meltCurve_Q86UW6_2_N4BP2.pdf")</f>
        <v>Melting_Curves/meltCurve_Q86UW6_2_N4BP2.pdf</v>
      </c>
    </row>
    <row r="4153" spans="1:28" x14ac:dyDescent="0.25">
      <c r="A4153" t="s">
        <v>4156</v>
      </c>
      <c r="B4153">
        <v>0.99930955844802105</v>
      </c>
      <c r="C4153">
        <v>1.29486176344967</v>
      </c>
      <c r="D4153">
        <v>1.3494912215822901</v>
      </c>
      <c r="E4153">
        <v>1.4673959346182801</v>
      </c>
      <c r="F4153">
        <v>1.38872306704405</v>
      </c>
      <c r="G4153">
        <v>1.33152291656199</v>
      </c>
      <c r="H4153">
        <v>1.36735789596594</v>
      </c>
      <c r="I4153">
        <v>1.58692618340624</v>
      </c>
      <c r="J4153">
        <v>1.94317605582631</v>
      </c>
      <c r="K4153">
        <v>1.27221550367814</v>
      </c>
      <c r="L4153">
        <v>740.68851794108105</v>
      </c>
      <c r="M4153">
        <v>17.029985602919002</v>
      </c>
      <c r="O4153">
        <v>42.906768986711498</v>
      </c>
      <c r="P4153">
        <v>4.9077735586393403E-2</v>
      </c>
      <c r="Q4153">
        <v>1.4945718176106799</v>
      </c>
      <c r="R4153">
        <v>0.39484448590565702</v>
      </c>
      <c r="S4153" t="s">
        <v>10769</v>
      </c>
      <c r="T4153" t="s">
        <v>13232</v>
      </c>
      <c r="U4153" t="s">
        <v>13232</v>
      </c>
      <c r="V4153" t="s">
        <v>13232</v>
      </c>
      <c r="W4153" t="s">
        <v>17323</v>
      </c>
      <c r="X4153">
        <v>1</v>
      </c>
      <c r="Y4153" t="s">
        <v>23740</v>
      </c>
      <c r="Z4153" t="s">
        <v>30284</v>
      </c>
      <c r="AA4153">
        <v>1.42208539147393</v>
      </c>
      <c r="AB4153" t="str">
        <f>HYPERLINK("Melting_Curves/meltCurve_Q86UX3_ABCC5.pdf", "Melting_Curves/meltCurve_Q86UX3_ABCC5.pdf")</f>
        <v>Melting_Curves/meltCurve_Q86UX3_ABCC5.pdf</v>
      </c>
    </row>
    <row r="4154" spans="1:28" x14ac:dyDescent="0.25">
      <c r="A4154" t="s">
        <v>4157</v>
      </c>
      <c r="B4154">
        <v>0.99930955844802105</v>
      </c>
      <c r="C4154">
        <v>0.96508219144409302</v>
      </c>
      <c r="D4154">
        <v>0.971949426995665</v>
      </c>
      <c r="E4154">
        <v>1.1094999499201601</v>
      </c>
      <c r="F4154">
        <v>1.1564043649603799</v>
      </c>
      <c r="G4154">
        <v>1.01822819233418</v>
      </c>
      <c r="H4154">
        <v>0.96090758147927102</v>
      </c>
      <c r="I4154">
        <v>1.0834875350233699</v>
      </c>
      <c r="J4154">
        <v>1.0999452017079601</v>
      </c>
      <c r="K4154">
        <v>0.85686494327419005</v>
      </c>
      <c r="L4154">
        <v>15000</v>
      </c>
      <c r="M4154">
        <v>212.49614704344401</v>
      </c>
      <c r="Q4154">
        <v>0</v>
      </c>
      <c r="R4154">
        <v>0.213736735432101</v>
      </c>
      <c r="S4154" t="s">
        <v>10770</v>
      </c>
      <c r="T4154" t="s">
        <v>13232</v>
      </c>
      <c r="U4154" t="s">
        <v>13232</v>
      </c>
      <c r="V4154" t="s">
        <v>13232</v>
      </c>
      <c r="W4154" t="s">
        <v>17324</v>
      </c>
      <c r="X4154">
        <v>5</v>
      </c>
      <c r="Y4154" t="s">
        <v>23741</v>
      </c>
      <c r="Z4154" t="s">
        <v>30285</v>
      </c>
      <c r="AA4154">
        <v>0.9983341431417837</v>
      </c>
      <c r="AB4154" t="str">
        <f>HYPERLINK("Melting_Curves/meltCurve_Q86UX6_STK32C.pdf", "Melting_Curves/meltCurve_Q86UX6_STK32C.pdf")</f>
        <v>Melting_Curves/meltCurve_Q86UX6_STK32C.pdf</v>
      </c>
    </row>
    <row r="4155" spans="1:28" x14ac:dyDescent="0.25">
      <c r="A4155" t="s">
        <v>4158</v>
      </c>
      <c r="B4155">
        <v>0.99930955844802105</v>
      </c>
      <c r="C4155">
        <v>0.96180501367121396</v>
      </c>
      <c r="D4155">
        <v>0.94902785504047305</v>
      </c>
      <c r="E4155">
        <v>0.93277231554562301</v>
      </c>
      <c r="F4155">
        <v>0.8233644522629</v>
      </c>
      <c r="G4155">
        <v>0.60072530259150203</v>
      </c>
      <c r="H4155">
        <v>0.31157546248408402</v>
      </c>
      <c r="I4155">
        <v>0.19248549202095999</v>
      </c>
      <c r="J4155">
        <v>0.14309343632465299</v>
      </c>
      <c r="K4155">
        <v>0.109693578210756</v>
      </c>
      <c r="L4155">
        <v>979.60846684053604</v>
      </c>
      <c r="M4155">
        <v>16.971231061763699</v>
      </c>
      <c r="N4155">
        <v>58.123255582163502</v>
      </c>
      <c r="O4155">
        <v>56.938155526072002</v>
      </c>
      <c r="P4155">
        <v>-7.0398458866892402E-2</v>
      </c>
      <c r="Q4155">
        <v>5.5316836737786E-2</v>
      </c>
      <c r="R4155">
        <v>0.99701644254377697</v>
      </c>
      <c r="S4155" t="s">
        <v>10771</v>
      </c>
      <c r="T4155" t="s">
        <v>13232</v>
      </c>
      <c r="U4155" t="s">
        <v>13232</v>
      </c>
      <c r="V4155" t="s">
        <v>13232</v>
      </c>
      <c r="W4155" t="s">
        <v>17325</v>
      </c>
      <c r="X4155">
        <v>15</v>
      </c>
      <c r="Y4155" t="s">
        <v>23742</v>
      </c>
      <c r="Z4155" t="s">
        <v>30286</v>
      </c>
      <c r="AA4155">
        <v>0.62596296803942908</v>
      </c>
      <c r="AB4155" t="str">
        <f>HYPERLINK("Melting_Curves/meltCurve_Q86UY0_TXNDC5.pdf", "Melting_Curves/meltCurve_Q86UY0_TXNDC5.pdf")</f>
        <v>Melting_Curves/meltCurve_Q86UY0_TXNDC5.pdf</v>
      </c>
    </row>
    <row r="4156" spans="1:28" x14ac:dyDescent="0.25">
      <c r="A4156" t="s">
        <v>4159</v>
      </c>
      <c r="B4156">
        <v>0.99930955844802105</v>
      </c>
      <c r="C4156">
        <v>0.91203909494080904</v>
      </c>
      <c r="D4156">
        <v>0.90496044000924503</v>
      </c>
      <c r="E4156">
        <v>0.81962703550305704</v>
      </c>
      <c r="F4156">
        <v>0.42896097061042598</v>
      </c>
      <c r="G4156">
        <v>0.27958806337502001</v>
      </c>
      <c r="H4156">
        <v>0.20628893559963701</v>
      </c>
      <c r="I4156">
        <v>0.18715303030602001</v>
      </c>
      <c r="J4156">
        <v>0.164096627452296</v>
      </c>
      <c r="K4156">
        <v>0.133436815648037</v>
      </c>
      <c r="L4156">
        <v>1222.77099775734</v>
      </c>
      <c r="M4156">
        <v>23.555938165678601</v>
      </c>
      <c r="N4156">
        <v>52.797367068912699</v>
      </c>
      <c r="O4156">
        <v>51.539480788248902</v>
      </c>
      <c r="P4156">
        <v>-9.5572556763481295E-2</v>
      </c>
      <c r="Q4156">
        <v>0.163578024421797</v>
      </c>
      <c r="R4156">
        <v>0.98398265389750905</v>
      </c>
      <c r="S4156" t="s">
        <v>10772</v>
      </c>
      <c r="T4156" t="s">
        <v>13232</v>
      </c>
      <c r="U4156" t="s">
        <v>13232</v>
      </c>
      <c r="V4156" t="s">
        <v>13232</v>
      </c>
      <c r="W4156" t="s">
        <v>17326</v>
      </c>
      <c r="X4156">
        <v>9</v>
      </c>
      <c r="Y4156" t="s">
        <v>23743</v>
      </c>
      <c r="Z4156" t="s">
        <v>30287</v>
      </c>
      <c r="AA4156">
        <v>0.50416629595588158</v>
      </c>
      <c r="AB4156" t="str">
        <f>HYPERLINK("Melting_Curves/meltCurve_Q86UY5_FAM83A.pdf", "Melting_Curves/meltCurve_Q86UY5_FAM83A.pdf")</f>
        <v>Melting_Curves/meltCurve_Q86UY5_FAM83A.pdf</v>
      </c>
    </row>
    <row r="4157" spans="1:28" x14ac:dyDescent="0.25">
      <c r="A4157" t="s">
        <v>4160</v>
      </c>
      <c r="B4157">
        <v>0.99930955844802105</v>
      </c>
      <c r="C4157">
        <v>0.840631773817754</v>
      </c>
      <c r="D4157">
        <v>0.68985419155936101</v>
      </c>
      <c r="E4157">
        <v>0.56562272652063905</v>
      </c>
      <c r="F4157">
        <v>0.43143087359482102</v>
      </c>
      <c r="G4157">
        <v>0.235637951639385</v>
      </c>
      <c r="H4157">
        <v>0.121643605638665</v>
      </c>
      <c r="I4157">
        <v>9.05662910312037E-2</v>
      </c>
      <c r="J4157">
        <v>8.0293613364104996E-2</v>
      </c>
      <c r="K4157">
        <v>6.2129640556762997E-2</v>
      </c>
      <c r="L4157">
        <v>520.55403672078296</v>
      </c>
      <c r="M4157">
        <v>10.258963429656699</v>
      </c>
      <c r="N4157">
        <v>50.7413872990114</v>
      </c>
      <c r="O4157">
        <v>48.926792553052103</v>
      </c>
      <c r="P4157">
        <v>-5.2443087003127997E-2</v>
      </c>
      <c r="Q4157">
        <v>0</v>
      </c>
      <c r="R4157">
        <v>0.99029834863559496</v>
      </c>
      <c r="S4157" t="s">
        <v>10773</v>
      </c>
      <c r="T4157" t="s">
        <v>13232</v>
      </c>
      <c r="U4157" t="s">
        <v>13232</v>
      </c>
      <c r="V4157" t="s">
        <v>13232</v>
      </c>
      <c r="W4157" t="s">
        <v>17327</v>
      </c>
      <c r="X4157">
        <v>4</v>
      </c>
      <c r="Y4157" t="s">
        <v>23744</v>
      </c>
      <c r="Z4157" t="s">
        <v>30288</v>
      </c>
      <c r="AA4157">
        <v>0.39919382801677122</v>
      </c>
      <c r="AB4157" t="str">
        <f>HYPERLINK("Melting_Curves/meltCurve_Q86UY8_2_NT5DC3.pdf", "Melting_Curves/meltCurve_Q86UY8_2_NT5DC3.pdf")</f>
        <v>Melting_Curves/meltCurve_Q86UY8_2_NT5DC3.pdf</v>
      </c>
    </row>
    <row r="4158" spans="1:28" x14ac:dyDescent="0.25">
      <c r="A4158" t="s">
        <v>4161</v>
      </c>
      <c r="B4158">
        <v>0.99930955844802105</v>
      </c>
      <c r="C4158">
        <v>0.85649277855961403</v>
      </c>
      <c r="D4158">
        <v>0.31309322905033299</v>
      </c>
      <c r="E4158">
        <v>0.28867153695761799</v>
      </c>
      <c r="F4158">
        <v>0.211697893997118</v>
      </c>
      <c r="G4158">
        <v>0.169459758467501</v>
      </c>
      <c r="H4158">
        <v>0.12454993475675501</v>
      </c>
      <c r="I4158">
        <v>0.1093139585519</v>
      </c>
      <c r="J4158">
        <v>9.8372392646686402E-2</v>
      </c>
      <c r="K4158">
        <v>7.0172149780866902E-2</v>
      </c>
      <c r="L4158">
        <v>1768.63956551447</v>
      </c>
      <c r="M4158">
        <v>39.728723686778999</v>
      </c>
      <c r="N4158">
        <v>44.918326903588103</v>
      </c>
      <c r="O4158">
        <v>44.405562656129398</v>
      </c>
      <c r="P4158">
        <v>-0.19031699573960401</v>
      </c>
      <c r="Q4158">
        <v>0.14911792006501501</v>
      </c>
      <c r="R4158">
        <v>0.96690578638528801</v>
      </c>
      <c r="S4158" t="s">
        <v>10774</v>
      </c>
      <c r="T4158" t="s">
        <v>13232</v>
      </c>
      <c r="U4158" t="s">
        <v>13232</v>
      </c>
      <c r="V4158" t="s">
        <v>13232</v>
      </c>
      <c r="W4158" t="s">
        <v>17328</v>
      </c>
      <c r="X4158">
        <v>11</v>
      </c>
      <c r="Y4158" t="s">
        <v>23745</v>
      </c>
      <c r="Z4158" t="s">
        <v>30289</v>
      </c>
      <c r="AA4158">
        <v>0.28018821360766089</v>
      </c>
      <c r="AB4158" t="str">
        <f>HYPERLINK("Melting_Curves/meltCurve_Q86V21_AACS.pdf", "Melting_Curves/meltCurve_Q86V21_AACS.pdf")</f>
        <v>Melting_Curves/meltCurve_Q86V21_AACS.pdf</v>
      </c>
    </row>
    <row r="4159" spans="1:28" x14ac:dyDescent="0.25">
      <c r="A4159" t="s">
        <v>4162</v>
      </c>
      <c r="B4159">
        <v>0.99930955844802105</v>
      </c>
      <c r="C4159">
        <v>1.1168717618688799</v>
      </c>
      <c r="D4159">
        <v>1.0597843634655699</v>
      </c>
      <c r="E4159">
        <v>0.99623597210835302</v>
      </c>
      <c r="F4159">
        <v>0.84413247693924598</v>
      </c>
      <c r="G4159">
        <v>0.68437206338311096</v>
      </c>
      <c r="H4159">
        <v>0.57697243698286804</v>
      </c>
      <c r="I4159">
        <v>0.571334534506453</v>
      </c>
      <c r="J4159">
        <v>0.54644898391711605</v>
      </c>
      <c r="K4159">
        <v>0.44606552937483201</v>
      </c>
      <c r="L4159">
        <v>1185.78252437329</v>
      </c>
      <c r="M4159">
        <v>21.317544451138499</v>
      </c>
      <c r="O4159">
        <v>55.1421714740559</v>
      </c>
      <c r="P4159">
        <v>-4.7897109576435601E-2</v>
      </c>
      <c r="Q4159">
        <v>0.50442998744164602</v>
      </c>
      <c r="R4159">
        <v>0.95116458259138303</v>
      </c>
      <c r="S4159" t="s">
        <v>10775</v>
      </c>
      <c r="T4159" t="s">
        <v>13232</v>
      </c>
      <c r="U4159" t="s">
        <v>13232</v>
      </c>
      <c r="V4159" t="s">
        <v>13232</v>
      </c>
      <c r="W4159" t="s">
        <v>17329</v>
      </c>
      <c r="X4159">
        <v>44</v>
      </c>
      <c r="Y4159" t="s">
        <v>23746</v>
      </c>
      <c r="Z4159" t="s">
        <v>30290</v>
      </c>
      <c r="AA4159">
        <v>0.76843372353291484</v>
      </c>
      <c r="AB4159" t="str">
        <f>HYPERLINK("Melting_Curves/meltCurve_Q86V48_LUZP1.pdf", "Melting_Curves/meltCurve_Q86V48_LUZP1.pdf")</f>
        <v>Melting_Curves/meltCurve_Q86V48_LUZP1.pdf</v>
      </c>
    </row>
    <row r="4160" spans="1:28" x14ac:dyDescent="0.25">
      <c r="A4160" t="s">
        <v>4163</v>
      </c>
      <c r="B4160">
        <v>0.99930955844802105</v>
      </c>
      <c r="C4160">
        <v>1.0783952555852601</v>
      </c>
      <c r="D4160">
        <v>1.11037300837286</v>
      </c>
      <c r="E4160">
        <v>1.01371841796395</v>
      </c>
      <c r="F4160">
        <v>0.85346245973885204</v>
      </c>
      <c r="G4160">
        <v>0.63958269260407297</v>
      </c>
      <c r="H4160">
        <v>0.55259058610858602</v>
      </c>
      <c r="I4160">
        <v>0.58386357370456698</v>
      </c>
      <c r="J4160">
        <v>0.66670204303640102</v>
      </c>
      <c r="K4160">
        <v>0.45779843960475203</v>
      </c>
      <c r="L4160">
        <v>2016.4334999140001</v>
      </c>
      <c r="M4160">
        <v>37.220188964988303</v>
      </c>
      <c r="O4160">
        <v>54.020126098497201</v>
      </c>
      <c r="P4160">
        <v>-7.4823633906044407E-2</v>
      </c>
      <c r="Q4160">
        <v>0.56561523956392501</v>
      </c>
      <c r="R4160">
        <v>0.92009392708360604</v>
      </c>
      <c r="S4160" t="s">
        <v>10776</v>
      </c>
      <c r="T4160" t="s">
        <v>13232</v>
      </c>
      <c r="U4160" t="s">
        <v>13232</v>
      </c>
      <c r="V4160" t="s">
        <v>13232</v>
      </c>
      <c r="W4160" t="s">
        <v>17330</v>
      </c>
      <c r="X4160">
        <v>6</v>
      </c>
      <c r="Y4160" t="s">
        <v>23747</v>
      </c>
      <c r="Z4160" t="s">
        <v>30291</v>
      </c>
      <c r="AA4160">
        <v>0.77274710532440005</v>
      </c>
      <c r="AB4160" t="str">
        <f>HYPERLINK("Melting_Curves/meltCurve_Q86V59_PNMAL1.pdf", "Melting_Curves/meltCurve_Q86V59_PNMAL1.pdf")</f>
        <v>Melting_Curves/meltCurve_Q86V59_PNMAL1.pdf</v>
      </c>
    </row>
    <row r="4161" spans="1:28" x14ac:dyDescent="0.25">
      <c r="A4161" t="s">
        <v>4164</v>
      </c>
      <c r="B4161">
        <v>0.99930955844802105</v>
      </c>
      <c r="C4161">
        <v>0.94702895823476496</v>
      </c>
      <c r="D4161">
        <v>0.97971817441407905</v>
      </c>
      <c r="E4161">
        <v>0.91431269257956105</v>
      </c>
      <c r="F4161">
        <v>0.83910156150634396</v>
      </c>
      <c r="G4161">
        <v>0.55091443752805103</v>
      </c>
      <c r="H4161">
        <v>0.130867437101922</v>
      </c>
      <c r="I4161">
        <v>0.10743220253678901</v>
      </c>
      <c r="J4161">
        <v>7.7947132406509995E-2</v>
      </c>
      <c r="K4161">
        <v>6.4731117278945996E-2</v>
      </c>
      <c r="L4161">
        <v>1374.5350006712199</v>
      </c>
      <c r="M4161">
        <v>24.186551433209299</v>
      </c>
      <c r="N4161">
        <v>57.030455123865202</v>
      </c>
      <c r="O4161">
        <v>56.4463116816396</v>
      </c>
      <c r="P4161">
        <v>-0.102769718398038</v>
      </c>
      <c r="Q4161">
        <v>4.0643007004491298E-2</v>
      </c>
      <c r="R4161">
        <v>0.99189492080356401</v>
      </c>
      <c r="S4161" t="s">
        <v>10777</v>
      </c>
      <c r="T4161" t="s">
        <v>13232</v>
      </c>
      <c r="U4161" t="s">
        <v>13232</v>
      </c>
      <c r="V4161" t="s">
        <v>13232</v>
      </c>
      <c r="W4161" t="s">
        <v>17331</v>
      </c>
      <c r="X4161">
        <v>2</v>
      </c>
      <c r="Y4161" t="s">
        <v>23748</v>
      </c>
      <c r="Z4161" t="s">
        <v>30292</v>
      </c>
      <c r="AA4161">
        <v>0.58799321493605317</v>
      </c>
      <c r="AB4161" t="str">
        <f>HYPERLINK("Melting_Curves/meltCurve_Q86V87_FAM160B2.pdf", "Melting_Curves/meltCurve_Q86V87_FAM160B2.pdf")</f>
        <v>Melting_Curves/meltCurve_Q86V87_FAM160B2.pdf</v>
      </c>
    </row>
    <row r="4162" spans="1:28" x14ac:dyDescent="0.25">
      <c r="A4162" t="s">
        <v>4165</v>
      </c>
      <c r="B4162">
        <v>0.99930955844802105</v>
      </c>
      <c r="C4162">
        <v>0.93495330281491795</v>
      </c>
      <c r="D4162">
        <v>0.96146572982608802</v>
      </c>
      <c r="E4162">
        <v>0.78046589692567803</v>
      </c>
      <c r="F4162">
        <v>0.59451661894376295</v>
      </c>
      <c r="G4162">
        <v>0.47636109424143502</v>
      </c>
      <c r="H4162">
        <v>0.39182933565856098</v>
      </c>
      <c r="I4162">
        <v>0.45528729314897598</v>
      </c>
      <c r="J4162">
        <v>0.40567858896972198</v>
      </c>
      <c r="K4162">
        <v>0.32959759427477398</v>
      </c>
      <c r="L4162">
        <v>952.46583681096604</v>
      </c>
      <c r="M4162">
        <v>18.4971628779352</v>
      </c>
      <c r="N4162">
        <v>55.797668495453202</v>
      </c>
      <c r="O4162">
        <v>50.902012371004602</v>
      </c>
      <c r="P4162">
        <v>-5.6327051112061897E-2</v>
      </c>
      <c r="Q4162">
        <v>0.38000584360115602</v>
      </c>
      <c r="R4162">
        <v>0.98267193212826998</v>
      </c>
      <c r="S4162" t="s">
        <v>10778</v>
      </c>
      <c r="T4162" t="s">
        <v>13232</v>
      </c>
      <c r="U4162" t="s">
        <v>13232</v>
      </c>
      <c r="V4162" t="s">
        <v>13232</v>
      </c>
      <c r="W4162" t="s">
        <v>17332</v>
      </c>
      <c r="X4162">
        <v>4</v>
      </c>
      <c r="Y4162" t="s">
        <v>23749</v>
      </c>
      <c r="Z4162" t="s">
        <v>30293</v>
      </c>
      <c r="AA4162">
        <v>0.62741336649563162</v>
      </c>
      <c r="AB4162" t="str">
        <f>HYPERLINK("Melting_Curves/meltCurve_Q86VG3_C11orf74.pdf", "Melting_Curves/meltCurve_Q86VG3_C11orf74.pdf")</f>
        <v>Melting_Curves/meltCurve_Q86VG3_C11orf74.pdf</v>
      </c>
    </row>
    <row r="4163" spans="1:28" x14ac:dyDescent="0.25">
      <c r="A4163" t="s">
        <v>4166</v>
      </c>
      <c r="B4163">
        <v>0.99930955844802105</v>
      </c>
      <c r="C4163">
        <v>0.86735948171848498</v>
      </c>
      <c r="D4163">
        <v>0.89230589962726203</v>
      </c>
      <c r="E4163">
        <v>0.79400925716713899</v>
      </c>
      <c r="F4163">
        <v>0.68274449239439305</v>
      </c>
      <c r="G4163">
        <v>0.44981611848192099</v>
      </c>
      <c r="H4163">
        <v>0.15084029089964801</v>
      </c>
      <c r="I4163">
        <v>8.1717846597790494E-2</v>
      </c>
      <c r="J4163">
        <v>5.5882187681977197E-2</v>
      </c>
      <c r="K4163">
        <v>4.7521409195338302E-2</v>
      </c>
      <c r="L4163">
        <v>799.04629019264598</v>
      </c>
      <c r="M4163">
        <v>14.4653529100689</v>
      </c>
      <c r="N4163">
        <v>55.238627397528198</v>
      </c>
      <c r="O4163">
        <v>54.2151337662686</v>
      </c>
      <c r="P4163">
        <v>-6.6711252371469701E-2</v>
      </c>
      <c r="Q4163">
        <v>0</v>
      </c>
      <c r="R4163">
        <v>0.98019062854611705</v>
      </c>
      <c r="S4163" t="s">
        <v>10779</v>
      </c>
      <c r="T4163" t="s">
        <v>13232</v>
      </c>
      <c r="U4163" t="s">
        <v>13232</v>
      </c>
      <c r="V4163" t="s">
        <v>13232</v>
      </c>
      <c r="W4163" t="s">
        <v>17333</v>
      </c>
      <c r="X4163">
        <v>1</v>
      </c>
      <c r="Y4163" t="s">
        <v>23750</v>
      </c>
      <c r="Z4163" t="s">
        <v>30294</v>
      </c>
      <c r="AA4163">
        <v>0.52758924824431075</v>
      </c>
      <c r="AB4163" t="str">
        <f>HYPERLINK("Melting_Curves/meltCurve_Q86VH3_hCG_1980662.pdf", "Melting_Curves/meltCurve_Q86VH3_hCG_1980662.pdf")</f>
        <v>Melting_Curves/meltCurve_Q86VH3_hCG_1980662.pdf</v>
      </c>
    </row>
    <row r="4164" spans="1:28" x14ac:dyDescent="0.25">
      <c r="A4164" t="s">
        <v>4167</v>
      </c>
      <c r="B4164">
        <v>0.99930955844802105</v>
      </c>
      <c r="C4164">
        <v>1.11607146140786</v>
      </c>
      <c r="D4164">
        <v>1.04770270603989</v>
      </c>
      <c r="E4164">
        <v>1.05810983622596</v>
      </c>
      <c r="F4164">
        <v>0.97766798496692697</v>
      </c>
      <c r="G4164">
        <v>0.86965297046662304</v>
      </c>
      <c r="H4164">
        <v>0.86002298417140099</v>
      </c>
      <c r="I4164">
        <v>0.92953609915407998</v>
      </c>
      <c r="J4164">
        <v>0.97047463008919299</v>
      </c>
      <c r="K4164">
        <v>0.75216832837292003</v>
      </c>
      <c r="L4164">
        <v>13330.1379354206</v>
      </c>
      <c r="M4164">
        <v>250</v>
      </c>
      <c r="O4164">
        <v>53.317135385073101</v>
      </c>
      <c r="P4164">
        <v>-0.14492173745312201</v>
      </c>
      <c r="Q4164">
        <v>0.87637100006937496</v>
      </c>
      <c r="R4164">
        <v>0.56041155642713303</v>
      </c>
      <c r="S4164" t="s">
        <v>10780</v>
      </c>
      <c r="T4164" t="s">
        <v>13232</v>
      </c>
      <c r="U4164" t="s">
        <v>13232</v>
      </c>
      <c r="V4164" t="s">
        <v>13232</v>
      </c>
      <c r="W4164" t="s">
        <v>17334</v>
      </c>
      <c r="X4164">
        <v>34</v>
      </c>
      <c r="Y4164" t="s">
        <v>23751</v>
      </c>
      <c r="Z4164" t="s">
        <v>30295</v>
      </c>
      <c r="AA4164">
        <v>0.93127611854624492</v>
      </c>
      <c r="AB4164" t="str">
        <f>HYPERLINK("Melting_Curves/meltCurve_Q86VM9_ZC3H18.pdf", "Melting_Curves/meltCurve_Q86VM9_ZC3H18.pdf")</f>
        <v>Melting_Curves/meltCurve_Q86VM9_ZC3H18.pdf</v>
      </c>
    </row>
    <row r="4165" spans="1:28" x14ac:dyDescent="0.25">
      <c r="A4165" t="s">
        <v>4168</v>
      </c>
      <c r="B4165">
        <v>0.99930955844802105</v>
      </c>
      <c r="C4165">
        <v>1.0377380565399901</v>
      </c>
      <c r="D4165">
        <v>0.96554240085187804</v>
      </c>
      <c r="E4165">
        <v>0.84328015218110297</v>
      </c>
      <c r="F4165">
        <v>0.482052483059557</v>
      </c>
      <c r="G4165">
        <v>0.18025525155744601</v>
      </c>
      <c r="H4165">
        <v>0.11418455717635299</v>
      </c>
      <c r="I4165">
        <v>9.6744385834327901E-2</v>
      </c>
      <c r="J4165">
        <v>8.8629787167555596E-2</v>
      </c>
      <c r="K4165">
        <v>6.6829537737678996E-2</v>
      </c>
      <c r="L4165">
        <v>1519.2752011165401</v>
      </c>
      <c r="M4165">
        <v>28.894475623052799</v>
      </c>
      <c r="N4165">
        <v>52.926192778340599</v>
      </c>
      <c r="O4165">
        <v>52.330206844561197</v>
      </c>
      <c r="P4165">
        <v>-0.126158015883025</v>
      </c>
      <c r="Q4165">
        <v>8.6077882373941095E-2</v>
      </c>
      <c r="R4165">
        <v>0.99833554608375896</v>
      </c>
      <c r="S4165" t="s">
        <v>10781</v>
      </c>
      <c r="T4165" t="s">
        <v>13232</v>
      </c>
      <c r="U4165" t="s">
        <v>13232</v>
      </c>
      <c r="V4165" t="s">
        <v>13232</v>
      </c>
      <c r="W4165" t="s">
        <v>17335</v>
      </c>
      <c r="X4165">
        <v>22</v>
      </c>
      <c r="Y4165" t="s">
        <v>23752</v>
      </c>
      <c r="Z4165" t="s">
        <v>30296</v>
      </c>
      <c r="AA4165">
        <v>0.47566173573396608</v>
      </c>
      <c r="AB4165" t="str">
        <f>HYPERLINK("Melting_Curves/meltCurve_Q86VN1_VPS36.pdf", "Melting_Curves/meltCurve_Q86VN1_VPS36.pdf")</f>
        <v>Melting_Curves/meltCurve_Q86VN1_VPS36.pdf</v>
      </c>
    </row>
    <row r="4166" spans="1:28" x14ac:dyDescent="0.25">
      <c r="A4166" t="s">
        <v>4169</v>
      </c>
      <c r="B4166">
        <v>0.99930955844802105</v>
      </c>
      <c r="C4166">
        <v>1.1328235226408501</v>
      </c>
      <c r="D4166">
        <v>1.06095162782081</v>
      </c>
      <c r="E4166">
        <v>0.97926768716852397</v>
      </c>
      <c r="F4166">
        <v>0.72630746215850905</v>
      </c>
      <c r="G4166">
        <v>0.42635927139476198</v>
      </c>
      <c r="H4166">
        <v>0.37654402679216897</v>
      </c>
      <c r="I4166">
        <v>0.37407891034485702</v>
      </c>
      <c r="J4166">
        <v>0.38262322753354899</v>
      </c>
      <c r="K4166">
        <v>0.30144385943498297</v>
      </c>
      <c r="L4166">
        <v>2071.2120948819602</v>
      </c>
      <c r="M4166">
        <v>38.722143405164601</v>
      </c>
      <c r="N4166">
        <v>55.299305079635801</v>
      </c>
      <c r="O4166">
        <v>53.347024007927303</v>
      </c>
      <c r="P4166">
        <v>-0.116274440235879</v>
      </c>
      <c r="Q4166">
        <v>0.35924200691752201</v>
      </c>
      <c r="R4166">
        <v>0.97427471034406499</v>
      </c>
      <c r="S4166" t="s">
        <v>10782</v>
      </c>
      <c r="T4166" t="s">
        <v>13232</v>
      </c>
      <c r="U4166" t="s">
        <v>13232</v>
      </c>
      <c r="V4166" t="s">
        <v>13232</v>
      </c>
      <c r="W4166" t="s">
        <v>17336</v>
      </c>
      <c r="X4166">
        <v>15</v>
      </c>
      <c r="Y4166" t="s">
        <v>23753</v>
      </c>
      <c r="Z4166" t="s">
        <v>30297</v>
      </c>
      <c r="AA4166">
        <v>0.64987445374712705</v>
      </c>
      <c r="AB4166" t="str">
        <f>HYPERLINK("Melting_Curves/meltCurve_Q86VP1_2_TAX1BP1.pdf", "Melting_Curves/meltCurve_Q86VP1_2_TAX1BP1.pdf")</f>
        <v>Melting_Curves/meltCurve_Q86VP1_2_TAX1BP1.pdf</v>
      </c>
    </row>
    <row r="4167" spans="1:28" x14ac:dyDescent="0.25">
      <c r="A4167" t="s">
        <v>4170</v>
      </c>
      <c r="B4167">
        <v>0.99930955844802105</v>
      </c>
      <c r="C4167">
        <v>0.95390173456193805</v>
      </c>
      <c r="D4167">
        <v>0.98074553554293797</v>
      </c>
      <c r="E4167">
        <v>1.02648509505278</v>
      </c>
      <c r="F4167">
        <v>1.08784520882184</v>
      </c>
      <c r="G4167">
        <v>0.88672390031528003</v>
      </c>
      <c r="H4167">
        <v>0.21507171558192201</v>
      </c>
      <c r="I4167">
        <v>0.124011041993392</v>
      </c>
      <c r="J4167">
        <v>9.2833840872460702E-2</v>
      </c>
      <c r="K4167">
        <v>7.4469646666746395E-2</v>
      </c>
      <c r="L4167">
        <v>3304.9106259793102</v>
      </c>
      <c r="M4167">
        <v>56.016150631077899</v>
      </c>
      <c r="N4167">
        <v>59.214933020675701</v>
      </c>
      <c r="O4167">
        <v>58.924202288764498</v>
      </c>
      <c r="P4167">
        <v>-0.21573012097210001</v>
      </c>
      <c r="Q4167">
        <v>9.2282026779405599E-2</v>
      </c>
      <c r="R4167">
        <v>0.99343690145158303</v>
      </c>
      <c r="S4167" t="s">
        <v>10783</v>
      </c>
      <c r="T4167" t="s">
        <v>13232</v>
      </c>
      <c r="U4167" t="s">
        <v>13232</v>
      </c>
      <c r="V4167" t="s">
        <v>13232</v>
      </c>
      <c r="W4167" t="s">
        <v>17337</v>
      </c>
      <c r="X4167">
        <v>65</v>
      </c>
      <c r="Y4167" t="s">
        <v>23754</v>
      </c>
      <c r="Z4167" t="s">
        <v>30298</v>
      </c>
      <c r="AA4167">
        <v>0.66902019369463395</v>
      </c>
      <c r="AB4167" t="str">
        <f>HYPERLINK("Melting_Curves/meltCurve_Q86VP6_CAND1.pdf", "Melting_Curves/meltCurve_Q86VP6_CAND1.pdf")</f>
        <v>Melting_Curves/meltCurve_Q86VP6_CAND1.pdf</v>
      </c>
    </row>
    <row r="4168" spans="1:28" x14ac:dyDescent="0.25">
      <c r="A4168" t="s">
        <v>4171</v>
      </c>
      <c r="B4168">
        <v>0.99930955844802105</v>
      </c>
      <c r="C4168">
        <v>0.99474257893132101</v>
      </c>
      <c r="D4168">
        <v>0.98119755956622501</v>
      </c>
      <c r="E4168">
        <v>0.98635393296290996</v>
      </c>
      <c r="F4168">
        <v>0.961253934150609</v>
      </c>
      <c r="G4168">
        <v>0.82685474242325296</v>
      </c>
      <c r="H4168">
        <v>0.69732585086752596</v>
      </c>
      <c r="I4168">
        <v>0.71845477471581398</v>
      </c>
      <c r="J4168">
        <v>0.69013301373923397</v>
      </c>
      <c r="K4168">
        <v>0.57190917786602702</v>
      </c>
      <c r="L4168">
        <v>946.27972594531195</v>
      </c>
      <c r="M4168">
        <v>16.173446558355199</v>
      </c>
      <c r="O4168">
        <v>57.635687104559302</v>
      </c>
      <c r="P4168">
        <v>-2.8255771155051099E-2</v>
      </c>
      <c r="Q4168">
        <v>0.59726121247508601</v>
      </c>
      <c r="R4168">
        <v>0.96150058286943396</v>
      </c>
      <c r="S4168" t="s">
        <v>10784</v>
      </c>
      <c r="T4168" t="s">
        <v>13232</v>
      </c>
      <c r="U4168" t="s">
        <v>13232</v>
      </c>
      <c r="V4168" t="s">
        <v>13232</v>
      </c>
      <c r="W4168" t="s">
        <v>17338</v>
      </c>
      <c r="X4168">
        <v>7</v>
      </c>
      <c r="Y4168" t="s">
        <v>23755</v>
      </c>
      <c r="Z4168" t="s">
        <v>30299</v>
      </c>
      <c r="AA4168">
        <v>0.85054880629929541</v>
      </c>
      <c r="AB4168" t="str">
        <f>HYPERLINK("Melting_Curves/meltCurve_Q86VQ1_GLCCI1.pdf", "Melting_Curves/meltCurve_Q86VQ1_GLCCI1.pdf")</f>
        <v>Melting_Curves/meltCurve_Q86VQ1_GLCCI1.pdf</v>
      </c>
    </row>
    <row r="4169" spans="1:28" x14ac:dyDescent="0.25">
      <c r="A4169" t="s">
        <v>4172</v>
      </c>
      <c r="B4169">
        <v>0.99930955844802105</v>
      </c>
      <c r="C4169">
        <v>0.93653930786017503</v>
      </c>
      <c r="D4169">
        <v>0.90381423265529004</v>
      </c>
      <c r="E4169">
        <v>0.89454793648717201</v>
      </c>
      <c r="F4169">
        <v>0.86608493826092003</v>
      </c>
      <c r="G4169">
        <v>0.67025376793813296</v>
      </c>
      <c r="H4169">
        <v>0.45657382853279299</v>
      </c>
      <c r="I4169">
        <v>0.36570256493964798</v>
      </c>
      <c r="J4169">
        <v>0.24703321410759299</v>
      </c>
      <c r="K4169">
        <v>0.137142824134736</v>
      </c>
      <c r="L4169">
        <v>692.72991082234603</v>
      </c>
      <c r="M4169">
        <v>11.4742989161984</v>
      </c>
      <c r="N4169">
        <v>60.372308258056002</v>
      </c>
      <c r="O4169">
        <v>58.625888837924101</v>
      </c>
      <c r="P4169">
        <v>-4.89441979714373E-2</v>
      </c>
      <c r="Q4169">
        <v>0</v>
      </c>
      <c r="R4169">
        <v>0.98772012406010301</v>
      </c>
      <c r="S4169" t="s">
        <v>10785</v>
      </c>
      <c r="T4169" t="s">
        <v>13232</v>
      </c>
      <c r="U4169" t="s">
        <v>13232</v>
      </c>
      <c r="V4169" t="s">
        <v>13232</v>
      </c>
      <c r="W4169" t="s">
        <v>17339</v>
      </c>
      <c r="X4169">
        <v>3</v>
      </c>
      <c r="Y4169" t="s">
        <v>23756</v>
      </c>
      <c r="Z4169" t="s">
        <v>30300</v>
      </c>
      <c r="AA4169">
        <v>0.67768290387574148</v>
      </c>
      <c r="AB4169" t="str">
        <f>HYPERLINK("Melting_Curves/meltCurve_Q86VQ6_TXNRD3.pdf", "Melting_Curves/meltCurve_Q86VQ6_TXNRD3.pdf")</f>
        <v>Melting_Curves/meltCurve_Q86VQ6_TXNRD3.pdf</v>
      </c>
    </row>
    <row r="4170" spans="1:28" x14ac:dyDescent="0.25">
      <c r="A4170" t="s">
        <v>4173</v>
      </c>
      <c r="B4170">
        <v>0.99930955844802105</v>
      </c>
      <c r="C4170">
        <v>0.74661373871600001</v>
      </c>
      <c r="D4170">
        <v>0.83119234782070806</v>
      </c>
      <c r="E4170">
        <v>0.57083526375039295</v>
      </c>
      <c r="F4170">
        <v>0.43192748086031402</v>
      </c>
      <c r="G4170">
        <v>0.346067940996867</v>
      </c>
      <c r="H4170">
        <v>0.225158947862725</v>
      </c>
      <c r="I4170">
        <v>0.101774771095908</v>
      </c>
      <c r="J4170">
        <v>7.7894137352026896E-2</v>
      </c>
      <c r="K4170">
        <v>7.5878916371241098E-2</v>
      </c>
      <c r="L4170">
        <v>479.96342747099999</v>
      </c>
      <c r="M4170">
        <v>9.2660906528493907</v>
      </c>
      <c r="N4170">
        <v>51.797827625630099</v>
      </c>
      <c r="O4170">
        <v>49.556783038106197</v>
      </c>
      <c r="P4170">
        <v>-4.6775212932659099E-2</v>
      </c>
      <c r="Q4170">
        <v>0</v>
      </c>
      <c r="R4170">
        <v>0.97001077020285797</v>
      </c>
      <c r="S4170" t="s">
        <v>10786</v>
      </c>
      <c r="T4170" t="s">
        <v>13232</v>
      </c>
      <c r="U4170" t="s">
        <v>13232</v>
      </c>
      <c r="V4170" t="s">
        <v>13232</v>
      </c>
      <c r="W4170" t="s">
        <v>17340</v>
      </c>
      <c r="X4170">
        <v>2</v>
      </c>
      <c r="Y4170" t="s">
        <v>23757</v>
      </c>
      <c r="Z4170" t="s">
        <v>30301</v>
      </c>
      <c r="AA4170">
        <v>0.43527399173746278</v>
      </c>
      <c r="AB4170" t="str">
        <f>HYPERLINK("Melting_Curves/meltCurve_Q86VR2_FAM134C.pdf", "Melting_Curves/meltCurve_Q86VR2_FAM134C.pdf")</f>
        <v>Melting_Curves/meltCurve_Q86VR2_FAM134C.pdf</v>
      </c>
    </row>
    <row r="4171" spans="1:28" x14ac:dyDescent="0.25">
      <c r="A4171" t="s">
        <v>4174</v>
      </c>
      <c r="B4171">
        <v>0.99930955844802105</v>
      </c>
      <c r="C4171">
        <v>0.99944506766445596</v>
      </c>
      <c r="D4171">
        <v>0.94355830030069099</v>
      </c>
      <c r="E4171">
        <v>0.88945164187256698</v>
      </c>
      <c r="F4171">
        <v>0.76109908300455198</v>
      </c>
      <c r="G4171">
        <v>0.55701005453522201</v>
      </c>
      <c r="H4171">
        <v>0.320337564751072</v>
      </c>
      <c r="I4171">
        <v>0.232700888051285</v>
      </c>
      <c r="J4171">
        <v>0.198606081443192</v>
      </c>
      <c r="K4171">
        <v>0.14971433125797401</v>
      </c>
      <c r="L4171">
        <v>818.71937101262495</v>
      </c>
      <c r="M4171">
        <v>14.4047233730148</v>
      </c>
      <c r="N4171">
        <v>57.653752261230601</v>
      </c>
      <c r="O4171">
        <v>55.7751480453176</v>
      </c>
      <c r="P4171">
        <v>-5.8612989337969698E-2</v>
      </c>
      <c r="Q4171">
        <v>9.2308531255454102E-2</v>
      </c>
      <c r="R4171">
        <v>0.99831968757674105</v>
      </c>
      <c r="S4171" t="s">
        <v>10787</v>
      </c>
      <c r="T4171" t="s">
        <v>13232</v>
      </c>
      <c r="U4171" t="s">
        <v>13232</v>
      </c>
      <c r="V4171" t="s">
        <v>13232</v>
      </c>
      <c r="W4171" t="s">
        <v>17341</v>
      </c>
      <c r="X4171">
        <v>32</v>
      </c>
      <c r="Y4171" t="s">
        <v>23758</v>
      </c>
      <c r="Z4171" t="s">
        <v>30302</v>
      </c>
      <c r="AA4171">
        <v>0.61674675753799013</v>
      </c>
      <c r="AB4171" t="str">
        <f>HYPERLINK("Melting_Curves/meltCurve_Q86VS8_HOOK3.pdf", "Melting_Curves/meltCurve_Q86VS8_HOOK3.pdf")</f>
        <v>Melting_Curves/meltCurve_Q86VS8_HOOK3.pdf</v>
      </c>
    </row>
    <row r="4172" spans="1:28" x14ac:dyDescent="0.25">
      <c r="A4172" t="s">
        <v>4175</v>
      </c>
      <c r="B4172">
        <v>0.99930955844802105</v>
      </c>
      <c r="C4172">
        <v>0.96237635844031999</v>
      </c>
      <c r="D4172">
        <v>0.784800860635812</v>
      </c>
      <c r="E4172">
        <v>0.52594136183232698</v>
      </c>
      <c r="F4172">
        <v>0.24827769902801899</v>
      </c>
      <c r="G4172">
        <v>0.148138519369545</v>
      </c>
      <c r="H4172">
        <v>0.10997737435768799</v>
      </c>
      <c r="I4172">
        <v>9.5716966625211605E-2</v>
      </c>
      <c r="J4172">
        <v>8.2832032696517705E-2</v>
      </c>
      <c r="K4172">
        <v>7.7859171499738894E-2</v>
      </c>
      <c r="L4172">
        <v>920.57906073004006</v>
      </c>
      <c r="M4172">
        <v>18.629071184318001</v>
      </c>
      <c r="N4172">
        <v>49.861772067369003</v>
      </c>
      <c r="O4172">
        <v>48.857391862202903</v>
      </c>
      <c r="P4172">
        <v>-8.8019321035017098E-2</v>
      </c>
      <c r="Q4172">
        <v>7.6666889829238E-2</v>
      </c>
      <c r="R4172">
        <v>0.99710879988719503</v>
      </c>
      <c r="S4172" t="s">
        <v>10788</v>
      </c>
      <c r="T4172" t="s">
        <v>13232</v>
      </c>
      <c r="U4172" t="s">
        <v>13232</v>
      </c>
      <c r="V4172" t="s">
        <v>13232</v>
      </c>
      <c r="W4172" t="s">
        <v>13804</v>
      </c>
      <c r="X4172">
        <v>1</v>
      </c>
      <c r="Y4172" t="s">
        <v>23759</v>
      </c>
      <c r="Z4172" t="s">
        <v>30303</v>
      </c>
      <c r="AA4172">
        <v>0.38132156003615819</v>
      </c>
      <c r="AB4172" t="str">
        <f>HYPERLINK("Melting_Curves/meltCurve_Q86VU3_MAP4K2.pdf", "Melting_Curves/meltCurve_Q86VU3_MAP4K2.pdf")</f>
        <v>Melting_Curves/meltCurve_Q86VU3_MAP4K2.pdf</v>
      </c>
    </row>
    <row r="4173" spans="1:28" x14ac:dyDescent="0.25">
      <c r="A4173" t="s">
        <v>4176</v>
      </c>
      <c r="B4173">
        <v>0.99930955844802105</v>
      </c>
      <c r="C4173">
        <v>0.61416922464613199</v>
      </c>
      <c r="D4173">
        <v>0.42098145329481301</v>
      </c>
      <c r="E4173">
        <v>0.25709704806602701</v>
      </c>
      <c r="F4173">
        <v>0.18804829226075101</v>
      </c>
      <c r="G4173">
        <v>0.11517295950687299</v>
      </c>
      <c r="H4173">
        <v>7.5717260858373506E-2</v>
      </c>
      <c r="I4173">
        <v>5.1716341512762998E-2</v>
      </c>
      <c r="J4173">
        <v>4.7940952549541199E-2</v>
      </c>
      <c r="K4173">
        <v>2.7909412170641499E-2</v>
      </c>
      <c r="L4173">
        <v>685.48197695695205</v>
      </c>
      <c r="M4173">
        <v>15.257766584871399</v>
      </c>
      <c r="N4173">
        <v>45.294661423008101</v>
      </c>
      <c r="O4173">
        <v>44.176197571995601</v>
      </c>
      <c r="P4173">
        <v>-8.1321520502737402E-2</v>
      </c>
      <c r="Q4173">
        <v>5.8279503294914603E-2</v>
      </c>
      <c r="R4173">
        <v>0.969359333831607</v>
      </c>
      <c r="S4173" t="s">
        <v>10789</v>
      </c>
      <c r="T4173" t="s">
        <v>13232</v>
      </c>
      <c r="U4173" t="s">
        <v>13232</v>
      </c>
      <c r="V4173" t="s">
        <v>13232</v>
      </c>
      <c r="W4173" t="s">
        <v>17342</v>
      </c>
      <c r="X4173">
        <v>3</v>
      </c>
      <c r="Y4173" t="s">
        <v>23760</v>
      </c>
      <c r="Z4173" t="s">
        <v>30304</v>
      </c>
      <c r="AA4173">
        <v>0.2423515075321081</v>
      </c>
      <c r="AB4173" t="str">
        <f>HYPERLINK("Melting_Curves/meltCurve_Q86VV8_3_RTTN.pdf", "Melting_Curves/meltCurve_Q86VV8_3_RTTN.pdf")</f>
        <v>Melting_Curves/meltCurve_Q86VV8_3_RTTN.pdf</v>
      </c>
    </row>
    <row r="4174" spans="1:28" x14ac:dyDescent="0.25">
      <c r="A4174" t="s">
        <v>4177</v>
      </c>
      <c r="B4174">
        <v>0.99930955844802105</v>
      </c>
      <c r="C4174">
        <v>0.89238534068312103</v>
      </c>
      <c r="D4174">
        <v>0.96183258085504597</v>
      </c>
      <c r="E4174">
        <v>1.1424525757456301</v>
      </c>
      <c r="F4174">
        <v>1.08646866614584</v>
      </c>
      <c r="G4174">
        <v>0.47948930127661299</v>
      </c>
      <c r="H4174">
        <v>0.154741794117362</v>
      </c>
      <c r="I4174">
        <v>0.123260933626168</v>
      </c>
      <c r="J4174">
        <v>8.8921456820942699E-2</v>
      </c>
      <c r="K4174">
        <v>5.9527585601521701E-2</v>
      </c>
      <c r="L4174">
        <v>8026.7397434321101</v>
      </c>
      <c r="M4174">
        <v>141.153387403746</v>
      </c>
      <c r="N4174">
        <v>56.962127196506103</v>
      </c>
      <c r="O4174">
        <v>56.853959289553003</v>
      </c>
      <c r="P4174">
        <v>-0.55452323179032803</v>
      </c>
      <c r="Q4174">
        <v>0.10659344478767301</v>
      </c>
      <c r="R4174">
        <v>0.97582762435254899</v>
      </c>
      <c r="S4174" t="s">
        <v>10790</v>
      </c>
      <c r="T4174" t="s">
        <v>13232</v>
      </c>
      <c r="U4174" t="s">
        <v>13232</v>
      </c>
      <c r="V4174" t="s">
        <v>13232</v>
      </c>
      <c r="W4174" t="s">
        <v>17343</v>
      </c>
      <c r="X4174">
        <v>4</v>
      </c>
      <c r="Y4174" t="s">
        <v>23761</v>
      </c>
      <c r="Z4174" t="s">
        <v>30305</v>
      </c>
      <c r="AA4174">
        <v>0.6091276949571981</v>
      </c>
      <c r="AB4174" t="str">
        <f>HYPERLINK("Melting_Curves/meltCurve_Q86VX2_2_COMMD7.pdf", "Melting_Curves/meltCurve_Q86VX2_2_COMMD7.pdf")</f>
        <v>Melting_Curves/meltCurve_Q86VX2_2_COMMD7.pdf</v>
      </c>
    </row>
    <row r="4175" spans="1:28" x14ac:dyDescent="0.25">
      <c r="A4175" t="s">
        <v>4178</v>
      </c>
      <c r="B4175">
        <v>0.99930955844802105</v>
      </c>
      <c r="C4175">
        <v>0.87691920363397602</v>
      </c>
      <c r="D4175">
        <v>0.92121375941432304</v>
      </c>
      <c r="E4175">
        <v>0.76424097438312399</v>
      </c>
      <c r="F4175">
        <v>0.41635481613339098</v>
      </c>
      <c r="G4175">
        <v>0.26761757348334603</v>
      </c>
      <c r="H4175">
        <v>0.13400702462064501</v>
      </c>
      <c r="I4175">
        <v>0.131659219597734</v>
      </c>
      <c r="J4175">
        <v>0.100367623783247</v>
      </c>
      <c r="K4175">
        <v>8.0929696099109202E-2</v>
      </c>
      <c r="L4175">
        <v>942.30207958664198</v>
      </c>
      <c r="M4175">
        <v>18.089498050018101</v>
      </c>
      <c r="N4175">
        <v>52.624573228926899</v>
      </c>
      <c r="O4175">
        <v>51.467037086763099</v>
      </c>
      <c r="P4175">
        <v>-8.0512267926359099E-2</v>
      </c>
      <c r="Q4175">
        <v>8.37717500463451E-2</v>
      </c>
      <c r="R4175">
        <v>0.98583760924324404</v>
      </c>
      <c r="S4175" t="s">
        <v>10791</v>
      </c>
      <c r="T4175" t="s">
        <v>13232</v>
      </c>
      <c r="U4175" t="s">
        <v>13232</v>
      </c>
      <c r="V4175" t="s">
        <v>13232</v>
      </c>
      <c r="W4175" t="s">
        <v>17344</v>
      </c>
      <c r="X4175">
        <v>8</v>
      </c>
      <c r="Y4175" t="s">
        <v>23762</v>
      </c>
      <c r="Z4175" t="s">
        <v>30306</v>
      </c>
      <c r="AA4175">
        <v>0.46814541438021812</v>
      </c>
      <c r="AB4175" t="str">
        <f>HYPERLINK("Melting_Curves/meltCurve_Q86VX9_MON1A.pdf", "Melting_Curves/meltCurve_Q86VX9_MON1A.pdf")</f>
        <v>Melting_Curves/meltCurve_Q86VX9_MON1A.pdf</v>
      </c>
    </row>
    <row r="4176" spans="1:28" x14ac:dyDescent="0.25">
      <c r="A4176" t="s">
        <v>4179</v>
      </c>
      <c r="B4176">
        <v>0.99930955844802105</v>
      </c>
      <c r="C4176">
        <v>1.1262971690158801</v>
      </c>
      <c r="D4176">
        <v>1.0744134384570601</v>
      </c>
      <c r="E4176">
        <v>1.08133302432095</v>
      </c>
      <c r="F4176">
        <v>1.0206977849633601</v>
      </c>
      <c r="G4176">
        <v>0.98051779620302304</v>
      </c>
      <c r="H4176">
        <v>0.94186215279007701</v>
      </c>
      <c r="I4176">
        <v>0.74494773659621605</v>
      </c>
      <c r="J4176">
        <v>0.47189902309625797</v>
      </c>
      <c r="K4176">
        <v>0.34156914230573199</v>
      </c>
      <c r="L4176">
        <v>2348.48753702364</v>
      </c>
      <c r="M4176">
        <v>36.118571553029298</v>
      </c>
      <c r="N4176">
        <v>66.628905773748102</v>
      </c>
      <c r="O4176">
        <v>64.823230128052998</v>
      </c>
      <c r="P4176">
        <v>-9.8789972003025001E-2</v>
      </c>
      <c r="Q4176">
        <v>0.29079507693399598</v>
      </c>
      <c r="R4176">
        <v>0.95650836909343195</v>
      </c>
      <c r="S4176" t="s">
        <v>10792</v>
      </c>
      <c r="T4176" t="s">
        <v>13232</v>
      </c>
      <c r="U4176" t="s">
        <v>13232</v>
      </c>
      <c r="V4176" t="s">
        <v>13232</v>
      </c>
      <c r="W4176" t="s">
        <v>17345</v>
      </c>
      <c r="X4176">
        <v>12</v>
      </c>
      <c r="Y4176" t="s">
        <v>23763</v>
      </c>
      <c r="Z4176" t="s">
        <v>30307</v>
      </c>
      <c r="AA4176">
        <v>0.88234254068040963</v>
      </c>
      <c r="AB4176" t="str">
        <f>HYPERLINK("Melting_Curves/meltCurve_Q86VY4_TSPYL5.pdf", "Melting_Curves/meltCurve_Q86VY4_TSPYL5.pdf")</f>
        <v>Melting_Curves/meltCurve_Q86VY4_TSPYL5.pdf</v>
      </c>
    </row>
    <row r="4177" spans="1:28" x14ac:dyDescent="0.25">
      <c r="A4177" t="s">
        <v>4180</v>
      </c>
      <c r="B4177">
        <v>0.99930955844802105</v>
      </c>
      <c r="C4177">
        <v>1.44628159657695</v>
      </c>
      <c r="D4177">
        <v>1.26969084523798</v>
      </c>
      <c r="E4177">
        <v>1.32351485063957</v>
      </c>
      <c r="F4177">
        <v>1.13883870093038</v>
      </c>
      <c r="G4177">
        <v>0.96474681000363405</v>
      </c>
      <c r="H4177">
        <v>1.0138799953608399</v>
      </c>
      <c r="I4177">
        <v>0.87035588527613605</v>
      </c>
      <c r="J4177">
        <v>0.86010978049267195</v>
      </c>
      <c r="K4177">
        <v>0.73681872660744596</v>
      </c>
      <c r="L4177">
        <v>1592.36184233523</v>
      </c>
      <c r="M4177">
        <v>23.651350090534699</v>
      </c>
      <c r="O4177">
        <v>66.850692895576103</v>
      </c>
      <c r="P4177">
        <v>-3.1682949225835602E-2</v>
      </c>
      <c r="Q4177">
        <v>0.64179774710366899</v>
      </c>
      <c r="R4177">
        <v>0.13358588490668399</v>
      </c>
      <c r="S4177" t="s">
        <v>10793</v>
      </c>
      <c r="T4177" t="s">
        <v>13232</v>
      </c>
      <c r="U4177" t="s">
        <v>13232</v>
      </c>
      <c r="V4177" t="s">
        <v>13232</v>
      </c>
      <c r="W4177" t="s">
        <v>17346</v>
      </c>
      <c r="X4177">
        <v>2</v>
      </c>
      <c r="Y4177" t="s">
        <v>23764</v>
      </c>
      <c r="Z4177" t="s">
        <v>30308</v>
      </c>
      <c r="AA4177">
        <v>0.95903077038697526</v>
      </c>
      <c r="AB4177" t="str">
        <f>HYPERLINK("Melting_Curves/meltCurve_Q86W11_ZSCAN30.pdf", "Melting_Curves/meltCurve_Q86W11_ZSCAN30.pdf")</f>
        <v>Melting_Curves/meltCurve_Q86W11_ZSCAN30.pdf</v>
      </c>
    </row>
    <row r="4178" spans="1:28" x14ac:dyDescent="0.25">
      <c r="A4178" t="s">
        <v>4181</v>
      </c>
      <c r="B4178">
        <v>0.99930955844802105</v>
      </c>
      <c r="C4178">
        <v>0.811427257552084</v>
      </c>
      <c r="D4178">
        <v>0.85276573799543798</v>
      </c>
      <c r="E4178">
        <v>0.38018731332649902</v>
      </c>
      <c r="F4178">
        <v>0.19023405620237099</v>
      </c>
      <c r="G4178">
        <v>0.13635225057368699</v>
      </c>
      <c r="H4178">
        <v>2.3149347508049999E-2</v>
      </c>
      <c r="I4178">
        <v>2.0695260184306698E-2</v>
      </c>
      <c r="J4178">
        <v>2.5152593752263301E-2</v>
      </c>
      <c r="K4178">
        <v>1.8046202344103E-2</v>
      </c>
      <c r="L4178">
        <v>895.43726963097004</v>
      </c>
      <c r="M4178">
        <v>18.300468508277799</v>
      </c>
      <c r="N4178">
        <v>49.016193489183998</v>
      </c>
      <c r="O4178">
        <v>48.356723147358402</v>
      </c>
      <c r="P4178">
        <v>-9.3113661740853199E-2</v>
      </c>
      <c r="Q4178">
        <v>1.5880232239442401E-2</v>
      </c>
      <c r="R4178">
        <v>0.98101146393487904</v>
      </c>
      <c r="S4178" t="s">
        <v>10794</v>
      </c>
      <c r="T4178" t="s">
        <v>13232</v>
      </c>
      <c r="U4178" t="s">
        <v>13232</v>
      </c>
      <c r="V4178" t="s">
        <v>13232</v>
      </c>
      <c r="W4178" t="s">
        <v>17347</v>
      </c>
      <c r="X4178">
        <v>2</v>
      </c>
      <c r="Y4178" t="s">
        <v>23765</v>
      </c>
      <c r="Z4178" t="s">
        <v>30309</v>
      </c>
      <c r="AA4178">
        <v>0.32532317052357462</v>
      </c>
      <c r="AB4178" t="str">
        <f>HYPERLINK("Melting_Curves/meltCurve_Q86W34_AMZ2.pdf", "Melting_Curves/meltCurve_Q86W34_AMZ2.pdf")</f>
        <v>Melting_Curves/meltCurve_Q86W34_AMZ2.pdf</v>
      </c>
    </row>
    <row r="4179" spans="1:28" x14ac:dyDescent="0.25">
      <c r="A4179" t="s">
        <v>4182</v>
      </c>
      <c r="B4179">
        <v>0.99930955844802105</v>
      </c>
      <c r="C4179">
        <v>0.86703468925400295</v>
      </c>
      <c r="D4179">
        <v>0.802855499667259</v>
      </c>
      <c r="E4179">
        <v>0.89860794048889403</v>
      </c>
      <c r="F4179">
        <v>0.39125687746093002</v>
      </c>
      <c r="G4179">
        <v>0.23352185787086299</v>
      </c>
      <c r="H4179">
        <v>0.13588924185255899</v>
      </c>
      <c r="I4179">
        <v>0.109353044988949</v>
      </c>
      <c r="J4179">
        <v>0.121248483522268</v>
      </c>
      <c r="K4179">
        <v>7.9111639562569794E-2</v>
      </c>
      <c r="L4179">
        <v>1975.1814843449399</v>
      </c>
      <c r="M4179">
        <v>37.908981150545202</v>
      </c>
      <c r="N4179">
        <v>52.500020290345397</v>
      </c>
      <c r="O4179">
        <v>51.958909953846202</v>
      </c>
      <c r="P4179">
        <v>-0.15968078589158599</v>
      </c>
      <c r="Q4179">
        <v>0.124553900740612</v>
      </c>
      <c r="R4179">
        <v>0.94969494562545897</v>
      </c>
      <c r="S4179" t="s">
        <v>10795</v>
      </c>
      <c r="T4179" t="s">
        <v>13232</v>
      </c>
      <c r="U4179" t="s">
        <v>13232</v>
      </c>
      <c r="V4179" t="s">
        <v>13232</v>
      </c>
      <c r="W4179" t="s">
        <v>17348</v>
      </c>
      <c r="X4179">
        <v>7</v>
      </c>
      <c r="Y4179" t="s">
        <v>23766</v>
      </c>
      <c r="Z4179" t="s">
        <v>30310</v>
      </c>
      <c r="AA4179">
        <v>0.48125595208040312</v>
      </c>
      <c r="AB4179" t="str">
        <f>HYPERLINK("Melting_Curves/meltCurve_Q86W42_THOC6.pdf", "Melting_Curves/meltCurve_Q86W42_THOC6.pdf")</f>
        <v>Melting_Curves/meltCurve_Q86W42_THOC6.pdf</v>
      </c>
    </row>
    <row r="4180" spans="1:28" x14ac:dyDescent="0.25">
      <c r="A4180" t="s">
        <v>4183</v>
      </c>
      <c r="B4180">
        <v>0.99930955844802105</v>
      </c>
      <c r="C4180">
        <v>0.98348465742641999</v>
      </c>
      <c r="D4180">
        <v>0.94124617582711401</v>
      </c>
      <c r="E4180">
        <v>0.78092956803715197</v>
      </c>
      <c r="F4180">
        <v>0.37376333262221201</v>
      </c>
      <c r="G4180">
        <v>0.17752829136034501</v>
      </c>
      <c r="H4180">
        <v>0.11670690062613299</v>
      </c>
      <c r="I4180">
        <v>0.100569972600934</v>
      </c>
      <c r="J4180">
        <v>9.6932722730046494E-2</v>
      </c>
      <c r="K4180">
        <v>7.5398786558841205E-2</v>
      </c>
      <c r="L4180">
        <v>1516.04959701809</v>
      </c>
      <c r="M4180">
        <v>29.309048732906099</v>
      </c>
      <c r="N4180">
        <v>52.1091329718354</v>
      </c>
      <c r="O4180">
        <v>51.487321264110101</v>
      </c>
      <c r="P4180">
        <v>-0.12852946820546299</v>
      </c>
      <c r="Q4180">
        <v>9.6853531591297906E-2</v>
      </c>
      <c r="R4180">
        <v>0.99761569183062904</v>
      </c>
      <c r="S4180" t="s">
        <v>10796</v>
      </c>
      <c r="T4180" t="s">
        <v>13232</v>
      </c>
      <c r="U4180" t="s">
        <v>13232</v>
      </c>
      <c r="V4180" t="s">
        <v>13232</v>
      </c>
      <c r="W4180" t="s">
        <v>17349</v>
      </c>
      <c r="X4180">
        <v>17</v>
      </c>
      <c r="Y4180" t="s">
        <v>23767</v>
      </c>
      <c r="Z4180" t="s">
        <v>30311</v>
      </c>
      <c r="AA4180">
        <v>0.4558912135961819</v>
      </c>
      <c r="AB4180" t="str">
        <f>HYPERLINK("Melting_Curves/meltCurve_Q86W50_METTL16.pdf", "Melting_Curves/meltCurve_Q86W50_METTL16.pdf")</f>
        <v>Melting_Curves/meltCurve_Q86W50_METTL16.pdf</v>
      </c>
    </row>
    <row r="4181" spans="1:28" x14ac:dyDescent="0.25">
      <c r="A4181" t="s">
        <v>4184</v>
      </c>
      <c r="B4181">
        <v>0.99930955844802105</v>
      </c>
      <c r="C4181">
        <v>1.0506290288535201</v>
      </c>
      <c r="D4181">
        <v>1.0046667876031401</v>
      </c>
      <c r="E4181">
        <v>0.735142166166046</v>
      </c>
      <c r="F4181">
        <v>0.613982562940111</v>
      </c>
      <c r="G4181">
        <v>0.54178174745711105</v>
      </c>
      <c r="H4181">
        <v>0.54070686889762398</v>
      </c>
      <c r="I4181">
        <v>0.59160155578916396</v>
      </c>
      <c r="J4181">
        <v>0.58448861578434796</v>
      </c>
      <c r="K4181">
        <v>0.47278371532437302</v>
      </c>
      <c r="L4181">
        <v>1910.0803514865599</v>
      </c>
      <c r="M4181">
        <v>38.440679988292402</v>
      </c>
      <c r="O4181">
        <v>49.555142343835598</v>
      </c>
      <c r="P4181">
        <v>-8.7394493835273604E-2</v>
      </c>
      <c r="Q4181">
        <v>0.54934871608227898</v>
      </c>
      <c r="R4181">
        <v>0.96986257979462098</v>
      </c>
      <c r="S4181" t="s">
        <v>10797</v>
      </c>
      <c r="T4181" t="s">
        <v>13232</v>
      </c>
      <c r="U4181" t="s">
        <v>13232</v>
      </c>
      <c r="V4181" t="s">
        <v>13232</v>
      </c>
      <c r="W4181" t="s">
        <v>17350</v>
      </c>
      <c r="X4181">
        <v>27</v>
      </c>
      <c r="Y4181" t="s">
        <v>23768</v>
      </c>
      <c r="Z4181" t="s">
        <v>30312</v>
      </c>
      <c r="AA4181">
        <v>0.69657277381942506</v>
      </c>
      <c r="AB4181" t="str">
        <f>HYPERLINK("Melting_Curves/meltCurve_Q86W56_2_PARG.pdf", "Melting_Curves/meltCurve_Q86W56_2_PARG.pdf")</f>
        <v>Melting_Curves/meltCurve_Q86W56_2_PARG.pdf</v>
      </c>
    </row>
    <row r="4182" spans="1:28" x14ac:dyDescent="0.25">
      <c r="A4182" t="s">
        <v>4185</v>
      </c>
      <c r="B4182">
        <v>0.99930955844802105</v>
      </c>
      <c r="C4182">
        <v>1.0126619778145001</v>
      </c>
      <c r="D4182">
        <v>0.91280913245065798</v>
      </c>
      <c r="E4182">
        <v>0.78887916518563095</v>
      </c>
      <c r="F4182">
        <v>0.57254963102430301</v>
      </c>
      <c r="G4182">
        <v>0.389185181001312</v>
      </c>
      <c r="H4182">
        <v>0.298002450796998</v>
      </c>
      <c r="I4182">
        <v>0.297509936205748</v>
      </c>
      <c r="J4182">
        <v>0.28494503851782799</v>
      </c>
      <c r="K4182">
        <v>0.24892905794838299</v>
      </c>
      <c r="L4182">
        <v>957.62107306270696</v>
      </c>
      <c r="M4182">
        <v>18.339057512710799</v>
      </c>
      <c r="N4182">
        <v>54.378052132364701</v>
      </c>
      <c r="O4182">
        <v>51.608564632783001</v>
      </c>
      <c r="P4182">
        <v>-6.5856979467153506E-2</v>
      </c>
      <c r="Q4182">
        <v>0.25871252957466201</v>
      </c>
      <c r="R4182">
        <v>0.99706109587941405</v>
      </c>
      <c r="S4182" t="s">
        <v>10798</v>
      </c>
      <c r="T4182" t="s">
        <v>13232</v>
      </c>
      <c r="U4182" t="s">
        <v>13232</v>
      </c>
      <c r="V4182" t="s">
        <v>13232</v>
      </c>
      <c r="W4182" t="s">
        <v>17351</v>
      </c>
      <c r="X4182">
        <v>28</v>
      </c>
      <c r="Y4182" t="s">
        <v>23769</v>
      </c>
      <c r="Z4182" t="s">
        <v>30313</v>
      </c>
      <c r="AA4182">
        <v>0.57251895091943306</v>
      </c>
      <c r="AB4182" t="str">
        <f>HYPERLINK("Melting_Curves/meltCurve_Q86W92_4_PPFIBP1.pdf", "Melting_Curves/meltCurve_Q86W92_4_PPFIBP1.pdf")</f>
        <v>Melting_Curves/meltCurve_Q86W92_4_PPFIBP1.pdf</v>
      </c>
    </row>
    <row r="4183" spans="1:28" x14ac:dyDescent="0.25">
      <c r="A4183" t="s">
        <v>4186</v>
      </c>
      <c r="B4183">
        <v>0.99930955844802105</v>
      </c>
      <c r="C4183">
        <v>1.25485503685888</v>
      </c>
      <c r="D4183">
        <v>1.2953096410821801</v>
      </c>
      <c r="E4183">
        <v>1.065732716564</v>
      </c>
      <c r="F4183">
        <v>0.35592228445499802</v>
      </c>
      <c r="G4183">
        <v>0.219998745590085</v>
      </c>
      <c r="H4183">
        <v>0.145125457918828</v>
      </c>
      <c r="I4183">
        <v>0.17173121915800399</v>
      </c>
      <c r="J4183">
        <v>0.12846201121570999</v>
      </c>
      <c r="K4183">
        <v>0.102891612461964</v>
      </c>
      <c r="L4183">
        <v>13188.617450629999</v>
      </c>
      <c r="M4183">
        <v>250</v>
      </c>
      <c r="N4183">
        <v>52.832075898667398</v>
      </c>
      <c r="O4183">
        <v>52.751093870415602</v>
      </c>
      <c r="P4183">
        <v>-1.0027733303092401</v>
      </c>
      <c r="Q4183">
        <v>0.153641759810765</v>
      </c>
      <c r="R4183">
        <v>0.92987221194988401</v>
      </c>
      <c r="S4183" t="s">
        <v>10799</v>
      </c>
      <c r="T4183" t="s">
        <v>13232</v>
      </c>
      <c r="U4183" t="s">
        <v>13232</v>
      </c>
      <c r="V4183" t="s">
        <v>13232</v>
      </c>
      <c r="W4183" t="s">
        <v>17352</v>
      </c>
      <c r="X4183">
        <v>7</v>
      </c>
      <c r="Y4183" t="s">
        <v>23770</v>
      </c>
      <c r="Z4183" t="s">
        <v>30314</v>
      </c>
      <c r="AA4183">
        <v>0.51354847231408252</v>
      </c>
      <c r="AB4183" t="str">
        <f>HYPERLINK("Melting_Curves/meltCurve_Q86WA6_2_BPHL.pdf", "Melting_Curves/meltCurve_Q86WA6_2_BPHL.pdf")</f>
        <v>Melting_Curves/meltCurve_Q86WA6_2_BPHL.pdf</v>
      </c>
    </row>
    <row r="4184" spans="1:28" x14ac:dyDescent="0.25">
      <c r="A4184" t="s">
        <v>4187</v>
      </c>
      <c r="B4184">
        <v>0.99930955844802105</v>
      </c>
      <c r="C4184">
        <v>0.90171421644652205</v>
      </c>
      <c r="D4184">
        <v>0.69960692921383505</v>
      </c>
      <c r="E4184">
        <v>0.51214863322526605</v>
      </c>
      <c r="F4184">
        <v>0.39408688217644</v>
      </c>
      <c r="G4184">
        <v>0.21249335305775999</v>
      </c>
      <c r="H4184">
        <v>0.10419602647848</v>
      </c>
      <c r="I4184">
        <v>8.5735486487633003E-2</v>
      </c>
      <c r="J4184">
        <v>5.4477661605548199E-2</v>
      </c>
      <c r="K4184">
        <v>4.6148495236674601E-2</v>
      </c>
      <c r="L4184">
        <v>576.61644842517399</v>
      </c>
      <c r="M4184">
        <v>11.458880355149001</v>
      </c>
      <c r="N4184">
        <v>50.353042538289799</v>
      </c>
      <c r="O4184">
        <v>48.861109626664202</v>
      </c>
      <c r="P4184">
        <v>-5.8430317722506703E-2</v>
      </c>
      <c r="Q4184">
        <v>3.6905759552017998E-3</v>
      </c>
      <c r="R4184">
        <v>0.99443563060865303</v>
      </c>
      <c r="S4184" t="s">
        <v>10800</v>
      </c>
      <c r="T4184" t="s">
        <v>13232</v>
      </c>
      <c r="U4184" t="s">
        <v>13232</v>
      </c>
      <c r="V4184" t="s">
        <v>13232</v>
      </c>
      <c r="W4184" t="s">
        <v>17353</v>
      </c>
      <c r="X4184">
        <v>2</v>
      </c>
      <c r="Y4184" t="s">
        <v>23771</v>
      </c>
      <c r="Z4184" t="s">
        <v>30315</v>
      </c>
      <c r="AA4184">
        <v>0.38270067464126778</v>
      </c>
      <c r="AB4184" t="str">
        <f>HYPERLINK("Melting_Curves/meltCurve_Q86WH2_RASSF3.pdf", "Melting_Curves/meltCurve_Q86WH2_RASSF3.pdf")</f>
        <v>Melting_Curves/meltCurve_Q86WH2_RASSF3.pdf</v>
      </c>
    </row>
    <row r="4185" spans="1:28" x14ac:dyDescent="0.25">
      <c r="A4185" t="s">
        <v>4188</v>
      </c>
      <c r="B4185">
        <v>0.99930955844802105</v>
      </c>
      <c r="C4185">
        <v>1.0458008378555601</v>
      </c>
      <c r="D4185">
        <v>0.67245549201506205</v>
      </c>
      <c r="E4185">
        <v>0.34322022105043498</v>
      </c>
      <c r="F4185">
        <v>0.24959609382353301</v>
      </c>
      <c r="G4185">
        <v>0.17013407113507401</v>
      </c>
      <c r="H4185">
        <v>0.103571908856707</v>
      </c>
      <c r="I4185">
        <v>9.6381254640760194E-2</v>
      </c>
      <c r="J4185">
        <v>8.2561994157893198E-2</v>
      </c>
      <c r="K4185">
        <v>6.6881973685735105E-2</v>
      </c>
      <c r="L4185">
        <v>1022.69617918167</v>
      </c>
      <c r="M4185">
        <v>21.382318430660401</v>
      </c>
      <c r="N4185">
        <v>48.336061005708899</v>
      </c>
      <c r="O4185">
        <v>47.416611814249201</v>
      </c>
      <c r="P4185">
        <v>-0.101414083974406</v>
      </c>
      <c r="Q4185">
        <v>0.100454502078466</v>
      </c>
      <c r="R4185">
        <v>0.98235530755815204</v>
      </c>
      <c r="S4185" t="s">
        <v>10801</v>
      </c>
      <c r="T4185" t="s">
        <v>13232</v>
      </c>
      <c r="U4185" t="s">
        <v>13232</v>
      </c>
      <c r="V4185" t="s">
        <v>13232</v>
      </c>
      <c r="W4185" t="s">
        <v>17354</v>
      </c>
      <c r="X4185">
        <v>15</v>
      </c>
      <c r="Y4185" t="s">
        <v>23772</v>
      </c>
      <c r="Z4185" t="s">
        <v>30316</v>
      </c>
      <c r="AA4185">
        <v>0.34632892810567401</v>
      </c>
      <c r="AB4185" t="str">
        <f>HYPERLINK("Melting_Curves/meltCurve_Q86WJ1_2_CHD1L.pdf", "Melting_Curves/meltCurve_Q86WJ1_2_CHD1L.pdf")</f>
        <v>Melting_Curves/meltCurve_Q86WJ1_2_CHD1L.pdf</v>
      </c>
    </row>
    <row r="4186" spans="1:28" x14ac:dyDescent="0.25">
      <c r="A4186" t="s">
        <v>4189</v>
      </c>
      <c r="B4186">
        <v>0.99930955844802105</v>
      </c>
      <c r="C4186">
        <v>0.899548594031365</v>
      </c>
      <c r="D4186">
        <v>0.842256282670649</v>
      </c>
      <c r="E4186">
        <v>0.76855357009339997</v>
      </c>
      <c r="F4186">
        <v>0.47208683819533598</v>
      </c>
      <c r="G4186">
        <v>0.207983618220005</v>
      </c>
      <c r="H4186">
        <v>0.13002181997104301</v>
      </c>
      <c r="I4186">
        <v>9.5997574483932202E-2</v>
      </c>
      <c r="J4186">
        <v>6.6013011120373694E-2</v>
      </c>
      <c r="K4186">
        <v>5.2354771221078102E-2</v>
      </c>
      <c r="L4186">
        <v>811.51340842753802</v>
      </c>
      <c r="M4186">
        <v>15.448905265832501</v>
      </c>
      <c r="N4186">
        <v>52.719373507228397</v>
      </c>
      <c r="O4186">
        <v>51.672323182162302</v>
      </c>
      <c r="P4186">
        <v>-7.2721792248645903E-2</v>
      </c>
      <c r="Q4186">
        <v>2.7150281995739101E-2</v>
      </c>
      <c r="R4186">
        <v>0.987992042572028</v>
      </c>
      <c r="S4186" t="s">
        <v>10802</v>
      </c>
      <c r="T4186" t="s">
        <v>13232</v>
      </c>
      <c r="U4186" t="s">
        <v>13232</v>
      </c>
      <c r="V4186" t="s">
        <v>13232</v>
      </c>
      <c r="W4186" t="s">
        <v>17355</v>
      </c>
      <c r="X4186">
        <v>9</v>
      </c>
      <c r="Y4186" t="s">
        <v>23773</v>
      </c>
      <c r="Z4186" t="s">
        <v>30317</v>
      </c>
      <c r="AA4186">
        <v>0.45386675921799052</v>
      </c>
      <c r="AB4186" t="str">
        <f>HYPERLINK("Melting_Curves/meltCurve_Q86WN1_FCHSD1.pdf", "Melting_Curves/meltCurve_Q86WN1_FCHSD1.pdf")</f>
        <v>Melting_Curves/meltCurve_Q86WN1_FCHSD1.pdf</v>
      </c>
    </row>
    <row r="4187" spans="1:28" x14ac:dyDescent="0.25">
      <c r="A4187" t="s">
        <v>4190</v>
      </c>
      <c r="B4187">
        <v>0.99930955844802105</v>
      </c>
      <c r="C4187">
        <v>0.99120679016545099</v>
      </c>
      <c r="D4187">
        <v>0.90760031753398496</v>
      </c>
      <c r="E4187">
        <v>1.13787744785636</v>
      </c>
      <c r="F4187">
        <v>1.01466207727299</v>
      </c>
      <c r="G4187">
        <v>1.0832691262177501</v>
      </c>
      <c r="H4187">
        <v>1.05897913278419</v>
      </c>
      <c r="I4187">
        <v>1.11330504489352</v>
      </c>
      <c r="J4187">
        <v>0.96520700117913605</v>
      </c>
      <c r="K4187">
        <v>0.62029342193633696</v>
      </c>
      <c r="L4187">
        <v>15000</v>
      </c>
      <c r="M4187">
        <v>221.58585561098201</v>
      </c>
      <c r="O4187">
        <v>67.688338364983693</v>
      </c>
      <c r="P4187">
        <v>-0.31096362989306398</v>
      </c>
      <c r="Q4187">
        <v>0.62003691937427896</v>
      </c>
      <c r="R4187">
        <v>0.73840415445470697</v>
      </c>
      <c r="S4187" t="s">
        <v>10803</v>
      </c>
      <c r="T4187" t="s">
        <v>13232</v>
      </c>
      <c r="U4187" t="s">
        <v>13232</v>
      </c>
      <c r="V4187" t="s">
        <v>13232</v>
      </c>
      <c r="W4187" t="s">
        <v>17356</v>
      </c>
      <c r="X4187">
        <v>7</v>
      </c>
      <c r="Y4187" t="s">
        <v>23774</v>
      </c>
      <c r="Z4187" t="s">
        <v>30318</v>
      </c>
      <c r="AA4187">
        <v>0.9708462661122953</v>
      </c>
      <c r="AB4187" t="str">
        <f>HYPERLINK("Melting_Curves/meltCurve_Q86WP2_3_GPBP1.pdf", "Melting_Curves/meltCurve_Q86WP2_3_GPBP1.pdf")</f>
        <v>Melting_Curves/meltCurve_Q86WP2_3_GPBP1.pdf</v>
      </c>
    </row>
    <row r="4188" spans="1:28" x14ac:dyDescent="0.25">
      <c r="A4188" t="s">
        <v>4191</v>
      </c>
      <c r="B4188">
        <v>0.99930955844802105</v>
      </c>
      <c r="C4188">
        <v>1.0271689743968799</v>
      </c>
      <c r="D4188">
        <v>1.0488941060303401</v>
      </c>
      <c r="E4188">
        <v>0.82634288621389795</v>
      </c>
      <c r="F4188">
        <v>0.40659250672443198</v>
      </c>
      <c r="G4188">
        <v>0.215142408445918</v>
      </c>
      <c r="H4188">
        <v>0.15707564179875799</v>
      </c>
      <c r="I4188">
        <v>0.13630872446989201</v>
      </c>
      <c r="J4188">
        <v>0.119512123281724</v>
      </c>
      <c r="K4188">
        <v>8.8596210808613102E-2</v>
      </c>
      <c r="L4188">
        <v>1807.2388532976499</v>
      </c>
      <c r="M4188">
        <v>34.791010976718198</v>
      </c>
      <c r="N4188">
        <v>52.408506778300797</v>
      </c>
      <c r="O4188">
        <v>51.774846476603301</v>
      </c>
      <c r="P4188">
        <v>-0.14576749579454801</v>
      </c>
      <c r="Q4188">
        <v>0.132297429014267</v>
      </c>
      <c r="R4188">
        <v>0.99436944849384601</v>
      </c>
      <c r="S4188" t="s">
        <v>10804</v>
      </c>
      <c r="T4188" t="s">
        <v>13232</v>
      </c>
      <c r="U4188" t="s">
        <v>13232</v>
      </c>
      <c r="V4188" t="s">
        <v>13232</v>
      </c>
      <c r="W4188" t="s">
        <v>17357</v>
      </c>
      <c r="X4188">
        <v>5</v>
      </c>
      <c r="Y4188" t="s">
        <v>23775</v>
      </c>
      <c r="Z4188" t="s">
        <v>30319</v>
      </c>
      <c r="AA4188">
        <v>0.48192553192207299</v>
      </c>
      <c r="AB4188" t="str">
        <f>HYPERLINK("Melting_Curves/meltCurve_Q86WQ0_NR2C2AP.pdf", "Melting_Curves/meltCurve_Q86WQ0_NR2C2AP.pdf")</f>
        <v>Melting_Curves/meltCurve_Q86WQ0_NR2C2AP.pdf</v>
      </c>
    </row>
    <row r="4189" spans="1:28" x14ac:dyDescent="0.25">
      <c r="A4189" t="s">
        <v>4192</v>
      </c>
      <c r="B4189">
        <v>0.99930955844802105</v>
      </c>
      <c r="C4189">
        <v>1.10150614996561</v>
      </c>
      <c r="D4189">
        <v>1.0926008952462001</v>
      </c>
      <c r="E4189">
        <v>0.91524424441028296</v>
      </c>
      <c r="F4189">
        <v>0.28056099518765198</v>
      </c>
      <c r="G4189">
        <v>0.19187629519031599</v>
      </c>
      <c r="H4189">
        <v>0.111209121144596</v>
      </c>
      <c r="I4189">
        <v>9.45503484687399E-2</v>
      </c>
      <c r="J4189">
        <v>7.7796348237641297E-2</v>
      </c>
      <c r="K4189">
        <v>6.2143326619750597E-2</v>
      </c>
      <c r="L4189">
        <v>3190.3479920303598</v>
      </c>
      <c r="M4189">
        <v>61.586997020854497</v>
      </c>
      <c r="N4189">
        <v>52.004048416437797</v>
      </c>
      <c r="O4189">
        <v>51.747764190180298</v>
      </c>
      <c r="P4189">
        <v>-0.26591750295182998</v>
      </c>
      <c r="Q4189">
        <v>0.106263866789313</v>
      </c>
      <c r="R4189">
        <v>0.98539127306607099</v>
      </c>
      <c r="S4189" t="s">
        <v>10805</v>
      </c>
      <c r="T4189" t="s">
        <v>13232</v>
      </c>
      <c r="U4189" t="s">
        <v>13232</v>
      </c>
      <c r="V4189" t="s">
        <v>13232</v>
      </c>
      <c r="W4189" t="s">
        <v>17358</v>
      </c>
      <c r="X4189">
        <v>14</v>
      </c>
      <c r="Y4189" t="s">
        <v>23776</v>
      </c>
      <c r="Z4189" t="s">
        <v>30320</v>
      </c>
      <c r="AA4189">
        <v>0.45921201965783542</v>
      </c>
      <c r="AB4189" t="str">
        <f>HYPERLINK("Melting_Curves/meltCurve_Q86WR0_CCDC25.pdf", "Melting_Curves/meltCurve_Q86WR0_CCDC25.pdf")</f>
        <v>Melting_Curves/meltCurve_Q86WR0_CCDC25.pdf</v>
      </c>
    </row>
    <row r="4190" spans="1:28" x14ac:dyDescent="0.25">
      <c r="A4190" t="s">
        <v>4193</v>
      </c>
      <c r="B4190">
        <v>0.99930955844802105</v>
      </c>
      <c r="C4190">
        <v>1.30125622894112</v>
      </c>
      <c r="D4190">
        <v>1.2416561477716599</v>
      </c>
      <c r="E4190">
        <v>1.17518166027557</v>
      </c>
      <c r="F4190">
        <v>1.10888269592496</v>
      </c>
      <c r="G4190">
        <v>1.0536181959115001</v>
      </c>
      <c r="H4190">
        <v>1.1284775190876799</v>
      </c>
      <c r="I4190">
        <v>1.19433725974657</v>
      </c>
      <c r="J4190">
        <v>1.2090132120913499</v>
      </c>
      <c r="K4190">
        <v>0.92174686684392204</v>
      </c>
      <c r="L4190">
        <v>10247.0034232454</v>
      </c>
      <c r="M4190">
        <v>250</v>
      </c>
      <c r="O4190">
        <v>40.985390741232997</v>
      </c>
      <c r="P4190">
        <v>0.226057454734269</v>
      </c>
      <c r="Q4190">
        <v>1.1482408495887899</v>
      </c>
      <c r="R4190">
        <v>0.16518544793639101</v>
      </c>
      <c r="S4190" t="s">
        <v>10806</v>
      </c>
      <c r="T4190" t="s">
        <v>13232</v>
      </c>
      <c r="U4190" t="s">
        <v>13232</v>
      </c>
      <c r="V4190" t="s">
        <v>13232</v>
      </c>
      <c r="W4190" t="s">
        <v>17359</v>
      </c>
      <c r="X4190">
        <v>6</v>
      </c>
      <c r="Y4190" t="s">
        <v>23777</v>
      </c>
      <c r="Z4190" t="s">
        <v>30321</v>
      </c>
      <c r="AA4190">
        <v>1.1433464618767519</v>
      </c>
      <c r="AB4190" t="str">
        <f>HYPERLINK("Melting_Curves/meltCurve_Q86WR7_PROSER2.pdf", "Melting_Curves/meltCurve_Q86WR7_PROSER2.pdf")</f>
        <v>Melting_Curves/meltCurve_Q86WR7_PROSER2.pdf</v>
      </c>
    </row>
    <row r="4191" spans="1:28" x14ac:dyDescent="0.25">
      <c r="A4191" t="s">
        <v>4194</v>
      </c>
      <c r="B4191">
        <v>0.99930955844802105</v>
      </c>
      <c r="C4191">
        <v>1.0326579772448801</v>
      </c>
      <c r="D4191">
        <v>1.0107693011607399</v>
      </c>
      <c r="E4191">
        <v>0.89069376141896595</v>
      </c>
      <c r="F4191">
        <v>0.76983013667112699</v>
      </c>
      <c r="G4191">
        <v>0.70301830705937596</v>
      </c>
      <c r="H4191">
        <v>0.71513385461477097</v>
      </c>
      <c r="I4191">
        <v>0.82188714711876198</v>
      </c>
      <c r="J4191">
        <v>0.83983168036969902</v>
      </c>
      <c r="K4191">
        <v>0.66401905240302395</v>
      </c>
      <c r="L4191">
        <v>2715.3624913998501</v>
      </c>
      <c r="M4191">
        <v>54.031623760639199</v>
      </c>
      <c r="O4191">
        <v>50.1863609705646</v>
      </c>
      <c r="P4191">
        <v>-6.7370035991430904E-2</v>
      </c>
      <c r="Q4191">
        <v>0.74969807924981802</v>
      </c>
      <c r="R4191">
        <v>0.84598430310196004</v>
      </c>
      <c r="S4191" t="s">
        <v>10807</v>
      </c>
      <c r="T4191" t="s">
        <v>13232</v>
      </c>
      <c r="U4191" t="s">
        <v>13232</v>
      </c>
      <c r="V4191" t="s">
        <v>13232</v>
      </c>
      <c r="W4191" t="s">
        <v>17360</v>
      </c>
      <c r="X4191">
        <v>5</v>
      </c>
      <c r="Y4191" t="s">
        <v>23778</v>
      </c>
      <c r="Z4191" t="s">
        <v>30322</v>
      </c>
      <c r="AA4191">
        <v>0.83573488453249911</v>
      </c>
      <c r="AB4191" t="str">
        <f>HYPERLINK("Melting_Curves/meltCurve_Q86WX3_RPS19BP1.pdf", "Melting_Curves/meltCurve_Q86WX3_RPS19BP1.pdf")</f>
        <v>Melting_Curves/meltCurve_Q86WX3_RPS19BP1.pdf</v>
      </c>
    </row>
    <row r="4192" spans="1:28" x14ac:dyDescent="0.25">
      <c r="A4192" t="s">
        <v>4195</v>
      </c>
      <c r="B4192">
        <v>0.99930955844802105</v>
      </c>
      <c r="C4192">
        <v>0.61639957166795001</v>
      </c>
      <c r="D4192">
        <v>0.63363036161786201</v>
      </c>
      <c r="E4192">
        <v>0.34100496772598998</v>
      </c>
      <c r="F4192">
        <v>0.17579769502625001</v>
      </c>
      <c r="G4192">
        <v>0.110279590537575</v>
      </c>
      <c r="H4192">
        <v>6.7895685849009998E-2</v>
      </c>
      <c r="I4192">
        <v>6.5438803523174605E-2</v>
      </c>
      <c r="J4192">
        <v>5.7257038742278402E-2</v>
      </c>
      <c r="K4192">
        <v>4.7106710716545701E-2</v>
      </c>
      <c r="L4192">
        <v>586.48438901205202</v>
      </c>
      <c r="M4192">
        <v>12.555980430346301</v>
      </c>
      <c r="N4192">
        <v>46.9205436614699</v>
      </c>
      <c r="O4192">
        <v>45.572234096213101</v>
      </c>
      <c r="P4192">
        <v>-6.7002354904486805E-2</v>
      </c>
      <c r="Q4192">
        <v>2.7450016786617001E-2</v>
      </c>
      <c r="R4192">
        <v>0.96097375502904403</v>
      </c>
      <c r="S4192" t="s">
        <v>10808</v>
      </c>
      <c r="T4192" t="s">
        <v>13232</v>
      </c>
      <c r="U4192" t="s">
        <v>13232</v>
      </c>
      <c r="V4192" t="s">
        <v>13232</v>
      </c>
      <c r="W4192" t="s">
        <v>17361</v>
      </c>
      <c r="X4192">
        <v>9</v>
      </c>
      <c r="Y4192" t="s">
        <v>23779</v>
      </c>
      <c r="Z4192" t="s">
        <v>30323</v>
      </c>
      <c r="AA4192">
        <v>0.28332043645108029</v>
      </c>
      <c r="AB4192" t="str">
        <f>HYPERLINK("Melting_Curves/meltCurve_Q86X10_3_RALGAPB.pdf", "Melting_Curves/meltCurve_Q86X10_3_RALGAPB.pdf")</f>
        <v>Melting_Curves/meltCurve_Q86X10_3_RALGAPB.pdf</v>
      </c>
    </row>
    <row r="4193" spans="1:28" x14ac:dyDescent="0.25">
      <c r="A4193" t="s">
        <v>4196</v>
      </c>
      <c r="B4193">
        <v>0.99930955844802105</v>
      </c>
      <c r="C4193">
        <v>1.14688019736226</v>
      </c>
      <c r="D4193">
        <v>1.1014419905753901</v>
      </c>
      <c r="E4193">
        <v>0.88491127884835197</v>
      </c>
      <c r="F4193">
        <v>0.47890444556475698</v>
      </c>
      <c r="G4193">
        <v>0.25787898024025802</v>
      </c>
      <c r="H4193">
        <v>0.16504664740323899</v>
      </c>
      <c r="I4193">
        <v>0.162591741301954</v>
      </c>
      <c r="J4193">
        <v>0.14762218561159399</v>
      </c>
      <c r="K4193">
        <v>0.108603740809468</v>
      </c>
      <c r="L4193">
        <v>1860.4875997618999</v>
      </c>
      <c r="M4193">
        <v>35.4715947475908</v>
      </c>
      <c r="N4193">
        <v>53.0033041551143</v>
      </c>
      <c r="O4193">
        <v>52.284208621470803</v>
      </c>
      <c r="P4193">
        <v>-0.14336843562118301</v>
      </c>
      <c r="Q4193">
        <v>0.15471748714554201</v>
      </c>
      <c r="R4193">
        <v>0.97722327819014498</v>
      </c>
      <c r="S4193" t="s">
        <v>10809</v>
      </c>
      <c r="T4193" t="s">
        <v>13232</v>
      </c>
      <c r="U4193" t="s">
        <v>13232</v>
      </c>
      <c r="V4193" t="s">
        <v>13232</v>
      </c>
      <c r="W4193" t="s">
        <v>17362</v>
      </c>
      <c r="X4193">
        <v>10</v>
      </c>
      <c r="Y4193" t="s">
        <v>23780</v>
      </c>
      <c r="Z4193" t="s">
        <v>30324</v>
      </c>
      <c r="AA4193">
        <v>0.50940859086438572</v>
      </c>
      <c r="AB4193" t="str">
        <f>HYPERLINK("Melting_Curves/meltCurve_Q86X27_RALGPS2.pdf", "Melting_Curves/meltCurve_Q86X27_RALGPS2.pdf")</f>
        <v>Melting_Curves/meltCurve_Q86X27_RALGPS2.pdf</v>
      </c>
    </row>
    <row r="4194" spans="1:28" x14ac:dyDescent="0.25">
      <c r="A4194" t="s">
        <v>4197</v>
      </c>
      <c r="B4194">
        <v>0.99930955844802105</v>
      </c>
      <c r="C4194">
        <v>1.01630122283212</v>
      </c>
      <c r="D4194">
        <v>0.96377331204739602</v>
      </c>
      <c r="E4194">
        <v>0.82721828204619396</v>
      </c>
      <c r="F4194">
        <v>0.63615651389773997</v>
      </c>
      <c r="G4194">
        <v>0.50864298131794705</v>
      </c>
      <c r="H4194">
        <v>0.40479701085497499</v>
      </c>
      <c r="I4194">
        <v>0.40816059537773802</v>
      </c>
      <c r="J4194">
        <v>0.38191709570726501</v>
      </c>
      <c r="K4194">
        <v>0.31397463242955798</v>
      </c>
      <c r="L4194">
        <v>911.222476331091</v>
      </c>
      <c r="M4194">
        <v>17.267097297880799</v>
      </c>
      <c r="N4194">
        <v>56.718141024199603</v>
      </c>
      <c r="O4194">
        <v>52.079627982486699</v>
      </c>
      <c r="P4194">
        <v>-5.3913654473560502E-2</v>
      </c>
      <c r="Q4194">
        <v>0.34959767425042199</v>
      </c>
      <c r="R4194">
        <v>0.99282079252237898</v>
      </c>
      <c r="S4194" t="s">
        <v>10810</v>
      </c>
      <c r="T4194" t="s">
        <v>13232</v>
      </c>
      <c r="U4194" t="s">
        <v>13232</v>
      </c>
      <c r="V4194" t="s">
        <v>13232</v>
      </c>
      <c r="W4194" t="s">
        <v>17363</v>
      </c>
      <c r="X4194">
        <v>10</v>
      </c>
      <c r="Y4194" t="s">
        <v>23781</v>
      </c>
      <c r="Z4194" t="s">
        <v>30325</v>
      </c>
      <c r="AA4194">
        <v>0.63793131037128248</v>
      </c>
      <c r="AB4194" t="str">
        <f>HYPERLINK("Melting_Curves/meltCurve_Q86X53_ERICH1.pdf", "Melting_Curves/meltCurve_Q86X53_ERICH1.pdf")</f>
        <v>Melting_Curves/meltCurve_Q86X53_ERICH1.pdf</v>
      </c>
    </row>
    <row r="4195" spans="1:28" x14ac:dyDescent="0.25">
      <c r="A4195" t="s">
        <v>4198</v>
      </c>
      <c r="B4195">
        <v>0.99930955844802105</v>
      </c>
      <c r="C4195">
        <v>0.832368858114369</v>
      </c>
      <c r="D4195">
        <v>0.88888693977535804</v>
      </c>
      <c r="E4195">
        <v>0.90026401739920403</v>
      </c>
      <c r="F4195">
        <v>0.73339380815211597</v>
      </c>
      <c r="G4195">
        <v>0.25783060917304801</v>
      </c>
      <c r="H4195">
        <v>9.1361366882321604E-2</v>
      </c>
      <c r="I4195">
        <v>6.6963654416504995E-2</v>
      </c>
      <c r="J4195">
        <v>5.7408353802056999E-2</v>
      </c>
      <c r="K4195">
        <v>4.5559707843722701E-2</v>
      </c>
      <c r="L4195">
        <v>1470.57805373678</v>
      </c>
      <c r="M4195">
        <v>26.937708420187899</v>
      </c>
      <c r="N4195">
        <v>54.776543610944003</v>
      </c>
      <c r="O4195">
        <v>54.293607396464402</v>
      </c>
      <c r="P4195">
        <v>-0.118652307486025</v>
      </c>
      <c r="Q4195">
        <v>4.3423094758008401E-2</v>
      </c>
      <c r="R4195">
        <v>0.97352279594253799</v>
      </c>
      <c r="S4195" t="s">
        <v>10811</v>
      </c>
      <c r="T4195" t="s">
        <v>13232</v>
      </c>
      <c r="U4195" t="s">
        <v>13232</v>
      </c>
      <c r="V4195" t="s">
        <v>13232</v>
      </c>
      <c r="W4195" t="s">
        <v>17364</v>
      </c>
      <c r="X4195">
        <v>20</v>
      </c>
      <c r="Y4195" t="s">
        <v>23782</v>
      </c>
      <c r="Z4195" t="s">
        <v>30326</v>
      </c>
      <c r="AA4195">
        <v>0.51643289306120188</v>
      </c>
      <c r="AB4195" t="str">
        <f>HYPERLINK("Melting_Curves/meltCurve_Q86X55_1_CARM1.pdf", "Melting_Curves/meltCurve_Q86X55_1_CARM1.pdf")</f>
        <v>Melting_Curves/meltCurve_Q86X55_1_CARM1.pdf</v>
      </c>
    </row>
    <row r="4196" spans="1:28" x14ac:dyDescent="0.25">
      <c r="A4196" t="s">
        <v>4199</v>
      </c>
      <c r="B4196">
        <v>0.99930955844802105</v>
      </c>
      <c r="C4196">
        <v>1.0741594519917399</v>
      </c>
      <c r="D4196">
        <v>1.05951003665239</v>
      </c>
      <c r="E4196">
        <v>1.00263474269474</v>
      </c>
      <c r="F4196">
        <v>0.96194207460696202</v>
      </c>
      <c r="G4196">
        <v>0.76686839554480701</v>
      </c>
      <c r="H4196">
        <v>0.61265308952768505</v>
      </c>
      <c r="I4196">
        <v>0.57550125777818195</v>
      </c>
      <c r="J4196">
        <v>0.34634244888334098</v>
      </c>
      <c r="K4196">
        <v>0.13788852529957801</v>
      </c>
      <c r="L4196">
        <v>890.50503256328705</v>
      </c>
      <c r="M4196">
        <v>14.0033586608004</v>
      </c>
      <c r="N4196">
        <v>63.592266592175001</v>
      </c>
      <c r="O4196">
        <v>62.337511119964702</v>
      </c>
      <c r="P4196">
        <v>-5.6166864472546603E-2</v>
      </c>
      <c r="Q4196">
        <v>0</v>
      </c>
      <c r="R4196">
        <v>0.966061311867769</v>
      </c>
      <c r="S4196" t="s">
        <v>10812</v>
      </c>
      <c r="T4196" t="s">
        <v>13232</v>
      </c>
      <c r="U4196" t="s">
        <v>13232</v>
      </c>
      <c r="V4196" t="s">
        <v>13232</v>
      </c>
      <c r="W4196" t="s">
        <v>17365</v>
      </c>
      <c r="X4196">
        <v>14</v>
      </c>
      <c r="Y4196" t="s">
        <v>23783</v>
      </c>
      <c r="Z4196" t="s">
        <v>30327</v>
      </c>
      <c r="AA4196">
        <v>0.7697450207681974</v>
      </c>
      <c r="AB4196" t="str">
        <f>HYPERLINK("Melting_Curves/meltCurve_Q86X76_2_NIT1.pdf", "Melting_Curves/meltCurve_Q86X76_2_NIT1.pdf")</f>
        <v>Melting_Curves/meltCurve_Q86X76_2_NIT1.pdf</v>
      </c>
    </row>
    <row r="4197" spans="1:28" x14ac:dyDescent="0.25">
      <c r="A4197" t="s">
        <v>4200</v>
      </c>
      <c r="B4197">
        <v>0.99930955844802105</v>
      </c>
      <c r="C4197">
        <v>0.80070177479518101</v>
      </c>
      <c r="D4197">
        <v>0.755176329599198</v>
      </c>
      <c r="E4197">
        <v>0.59672500452823496</v>
      </c>
      <c r="F4197">
        <v>0.20616961923611099</v>
      </c>
      <c r="G4197">
        <v>9.1033227536421499E-2</v>
      </c>
      <c r="H4197">
        <v>5.8400301381790101E-2</v>
      </c>
      <c r="I4197">
        <v>4.87705254741303E-2</v>
      </c>
      <c r="J4197">
        <v>4.6559030246206203E-2</v>
      </c>
      <c r="K4197">
        <v>3.5000844107619E-2</v>
      </c>
      <c r="L4197">
        <v>719.30391301770101</v>
      </c>
      <c r="M4197">
        <v>14.4853388948813</v>
      </c>
      <c r="N4197">
        <v>49.668412939903803</v>
      </c>
      <c r="O4197">
        <v>48.739751921518902</v>
      </c>
      <c r="P4197">
        <v>-7.4188603616436102E-2</v>
      </c>
      <c r="Q4197">
        <v>1.6070081182224701E-3</v>
      </c>
      <c r="R4197">
        <v>0.97209075017828595</v>
      </c>
      <c r="S4197" t="s">
        <v>10813</v>
      </c>
      <c r="T4197" t="s">
        <v>13232</v>
      </c>
      <c r="U4197" t="s">
        <v>13232</v>
      </c>
      <c r="V4197" t="s">
        <v>13232</v>
      </c>
      <c r="W4197" t="s">
        <v>17366</v>
      </c>
      <c r="X4197">
        <v>2</v>
      </c>
      <c r="Y4197" t="s">
        <v>23784</v>
      </c>
      <c r="Z4197" t="s">
        <v>30328</v>
      </c>
      <c r="AA4197">
        <v>0.34863709592814612</v>
      </c>
      <c r="AB4197" t="str">
        <f>HYPERLINK("Melting_Curves/meltCurve_Q86X83_COMMD2.pdf", "Melting_Curves/meltCurve_Q86X83_COMMD2.pdf")</f>
        <v>Melting_Curves/meltCurve_Q86X83_COMMD2.pdf</v>
      </c>
    </row>
    <row r="4198" spans="1:28" x14ac:dyDescent="0.25">
      <c r="A4198" t="s">
        <v>4201</v>
      </c>
      <c r="B4198">
        <v>0.99930955844802105</v>
      </c>
      <c r="C4198">
        <v>1.0770713894816899</v>
      </c>
      <c r="D4198">
        <v>1.0419635403866501</v>
      </c>
      <c r="E4198">
        <v>0.95976976709164996</v>
      </c>
      <c r="F4198">
        <v>0.78535271161723397</v>
      </c>
      <c r="G4198">
        <v>0.656073443184502</v>
      </c>
      <c r="H4198">
        <v>0.56339808343206599</v>
      </c>
      <c r="I4198">
        <v>0.62617020121074496</v>
      </c>
      <c r="J4198">
        <v>0.56893145861362204</v>
      </c>
      <c r="K4198">
        <v>0.44634575415667099</v>
      </c>
      <c r="L4198">
        <v>1223.8616847379301</v>
      </c>
      <c r="M4198">
        <v>22.668100272606601</v>
      </c>
      <c r="O4198">
        <v>53.575573040440602</v>
      </c>
      <c r="P4198">
        <v>-4.8895365181719802E-2</v>
      </c>
      <c r="Q4198">
        <v>0.53775658678702198</v>
      </c>
      <c r="R4198">
        <v>0.94631605736121804</v>
      </c>
      <c r="S4198" t="s">
        <v>10814</v>
      </c>
      <c r="T4198" t="s">
        <v>13232</v>
      </c>
      <c r="U4198" t="s">
        <v>13232</v>
      </c>
      <c r="V4198" t="s">
        <v>13232</v>
      </c>
      <c r="W4198" t="s">
        <v>17367</v>
      </c>
      <c r="X4198">
        <v>7</v>
      </c>
      <c r="Y4198" t="s">
        <v>23785</v>
      </c>
      <c r="Z4198" t="s">
        <v>30329</v>
      </c>
      <c r="AA4198">
        <v>0.75841640240703312</v>
      </c>
      <c r="AB4198" t="str">
        <f>HYPERLINK("Melting_Curves/meltCurve_Q86X95_2_CIR1.pdf", "Melting_Curves/meltCurve_Q86X95_2_CIR1.pdf")</f>
        <v>Melting_Curves/meltCurve_Q86X95_2_CIR1.pdf</v>
      </c>
    </row>
    <row r="4199" spans="1:28" x14ac:dyDescent="0.25">
      <c r="A4199" t="s">
        <v>4202</v>
      </c>
      <c r="B4199">
        <v>0.99930955844802105</v>
      </c>
      <c r="C4199">
        <v>0.91959321509784198</v>
      </c>
      <c r="D4199">
        <v>0.78884642337133204</v>
      </c>
      <c r="E4199">
        <v>0.55643679608883301</v>
      </c>
      <c r="F4199">
        <v>0.37135578094731903</v>
      </c>
      <c r="G4199">
        <v>0.31578598848483702</v>
      </c>
      <c r="H4199">
        <v>0.19388447824824601</v>
      </c>
      <c r="I4199">
        <v>0.114472957311922</v>
      </c>
      <c r="J4199">
        <v>6.2490514864427797E-2</v>
      </c>
      <c r="K4199">
        <v>5.9939044323881599E-2</v>
      </c>
      <c r="L4199">
        <v>580.46635495513397</v>
      </c>
      <c r="M4199">
        <v>11.3573728637647</v>
      </c>
      <c r="N4199">
        <v>51.375493306772</v>
      </c>
      <c r="O4199">
        <v>49.601636933124297</v>
      </c>
      <c r="P4199">
        <v>-5.5623319226412303E-2</v>
      </c>
      <c r="Q4199">
        <v>2.85835206320133E-2</v>
      </c>
      <c r="R4199">
        <v>0.99162213866483095</v>
      </c>
      <c r="S4199" t="s">
        <v>10815</v>
      </c>
      <c r="T4199" t="s">
        <v>13232</v>
      </c>
      <c r="U4199" t="s">
        <v>13232</v>
      </c>
      <c r="V4199" t="s">
        <v>13232</v>
      </c>
      <c r="W4199" t="s">
        <v>17368</v>
      </c>
      <c r="X4199">
        <v>4</v>
      </c>
      <c r="Y4199" t="s">
        <v>23786</v>
      </c>
      <c r="Z4199" t="s">
        <v>30330</v>
      </c>
      <c r="AA4199">
        <v>0.42227271946230899</v>
      </c>
      <c r="AB4199" t="str">
        <f>HYPERLINK("Melting_Curves/meltCurve_Q86XN6_2_ZNF761.pdf", "Melting_Curves/meltCurve_Q86XN6_2_ZNF761.pdf")</f>
        <v>Melting_Curves/meltCurve_Q86XN6_2_ZNF761.pdf</v>
      </c>
    </row>
    <row r="4200" spans="1:28" x14ac:dyDescent="0.25">
      <c r="A4200" t="s">
        <v>4203</v>
      </c>
      <c r="B4200">
        <v>0.99930955844802105</v>
      </c>
      <c r="C4200">
        <v>0.97336186743856401</v>
      </c>
      <c r="D4200">
        <v>0.942401051959322</v>
      </c>
      <c r="E4200">
        <v>0.85496812730282201</v>
      </c>
      <c r="F4200">
        <v>0.86465629751320106</v>
      </c>
      <c r="G4200">
        <v>0.64089612358869996</v>
      </c>
      <c r="H4200">
        <v>0.64307415886679298</v>
      </c>
      <c r="I4200">
        <v>0.81930290083122803</v>
      </c>
      <c r="J4200">
        <v>0.79008768854095901</v>
      </c>
      <c r="K4200">
        <v>0.67375082687008003</v>
      </c>
      <c r="L4200">
        <v>971.582442662007</v>
      </c>
      <c r="M4200">
        <v>19.3325703949175</v>
      </c>
      <c r="O4200">
        <v>49.7277887111346</v>
      </c>
      <c r="P4200">
        <v>-2.76193875381467E-2</v>
      </c>
      <c r="Q4200">
        <v>0.71583708522728595</v>
      </c>
      <c r="R4200">
        <v>0.75102198928334696</v>
      </c>
      <c r="S4200" t="s">
        <v>10816</v>
      </c>
      <c r="T4200" t="s">
        <v>13232</v>
      </c>
      <c r="U4200" t="s">
        <v>13232</v>
      </c>
      <c r="V4200" t="s">
        <v>13232</v>
      </c>
      <c r="W4200" t="s">
        <v>17369</v>
      </c>
      <c r="X4200">
        <v>2</v>
      </c>
      <c r="Y4200" t="s">
        <v>23787</v>
      </c>
      <c r="Z4200" t="s">
        <v>30331</v>
      </c>
      <c r="AA4200">
        <v>0.8172041367259808</v>
      </c>
      <c r="AB4200" t="str">
        <f>HYPERLINK("Melting_Curves/meltCurve_Q86XN8_MEX3D.pdf", "Melting_Curves/meltCurve_Q86XN8_MEX3D.pdf")</f>
        <v>Melting_Curves/meltCurve_Q86XN8_MEX3D.pdf</v>
      </c>
    </row>
    <row r="4201" spans="1:28" x14ac:dyDescent="0.25">
      <c r="A4201" t="s">
        <v>4204</v>
      </c>
      <c r="B4201">
        <v>0.99930955844802105</v>
      </c>
      <c r="C4201">
        <v>1.00121036729738</v>
      </c>
      <c r="D4201">
        <v>0.98231642351674198</v>
      </c>
      <c r="E4201">
        <v>0.51152449453572602</v>
      </c>
      <c r="F4201">
        <v>0.24628809077596001</v>
      </c>
      <c r="G4201">
        <v>0.19035245792059199</v>
      </c>
      <c r="H4201">
        <v>0.14669631882175099</v>
      </c>
      <c r="I4201">
        <v>0.14831801924247801</v>
      </c>
      <c r="J4201">
        <v>0.13959795299528299</v>
      </c>
      <c r="K4201">
        <v>0.109823763429774</v>
      </c>
      <c r="L4201">
        <v>1779.0035720431799</v>
      </c>
      <c r="M4201">
        <v>35.808279141242302</v>
      </c>
      <c r="N4201">
        <v>50.168554229509503</v>
      </c>
      <c r="O4201">
        <v>49.527168110807203</v>
      </c>
      <c r="P4201">
        <v>-0.15420585975839399</v>
      </c>
      <c r="Q4201">
        <v>0.14686160256358699</v>
      </c>
      <c r="R4201">
        <v>0.997165487173994</v>
      </c>
      <c r="S4201" t="s">
        <v>10817</v>
      </c>
      <c r="T4201" t="s">
        <v>13232</v>
      </c>
      <c r="U4201" t="s">
        <v>13232</v>
      </c>
      <c r="V4201" t="s">
        <v>13232</v>
      </c>
      <c r="W4201" t="s">
        <v>17370</v>
      </c>
      <c r="X4201">
        <v>36</v>
      </c>
      <c r="Y4201" t="s">
        <v>23788</v>
      </c>
      <c r="Z4201" t="s">
        <v>30332</v>
      </c>
      <c r="AA4201">
        <v>0.42584587943642349</v>
      </c>
      <c r="AB4201" t="str">
        <f>HYPERLINK("Melting_Curves/meltCurve_Q86XP3_DDX42.pdf", "Melting_Curves/meltCurve_Q86XP3_DDX42.pdf")</f>
        <v>Melting_Curves/meltCurve_Q86XP3_DDX42.pdf</v>
      </c>
    </row>
    <row r="4202" spans="1:28" x14ac:dyDescent="0.25">
      <c r="A4202" t="s">
        <v>4205</v>
      </c>
      <c r="B4202">
        <v>0.99930955844802105</v>
      </c>
      <c r="C4202">
        <v>0.95102766522720905</v>
      </c>
      <c r="D4202">
        <v>0.87483389025084402</v>
      </c>
      <c r="E4202">
        <v>0.55901348793115402</v>
      </c>
      <c r="F4202">
        <v>0.25109957070745598</v>
      </c>
      <c r="G4202">
        <v>0.18436449547122399</v>
      </c>
      <c r="H4202">
        <v>0.17241726200749599</v>
      </c>
      <c r="I4202">
        <v>0.14892696975025599</v>
      </c>
      <c r="J4202">
        <v>0.15049972600078099</v>
      </c>
      <c r="K4202">
        <v>0.13358564347547999</v>
      </c>
      <c r="L4202">
        <v>1217.2236426628299</v>
      </c>
      <c r="M4202">
        <v>24.548561383782001</v>
      </c>
      <c r="N4202">
        <v>50.283537659323002</v>
      </c>
      <c r="O4202">
        <v>49.258793835618498</v>
      </c>
      <c r="P4202">
        <v>-0.106575428684606</v>
      </c>
      <c r="Q4202">
        <v>0.14460142007996399</v>
      </c>
      <c r="R4202">
        <v>0.99653591353752502</v>
      </c>
      <c r="S4202" t="s">
        <v>10818</v>
      </c>
      <c r="T4202" t="s">
        <v>13232</v>
      </c>
      <c r="U4202" t="s">
        <v>13232</v>
      </c>
      <c r="V4202" t="s">
        <v>13232</v>
      </c>
      <c r="W4202" t="s">
        <v>17371</v>
      </c>
      <c r="X4202">
        <v>5</v>
      </c>
      <c r="Y4202" t="s">
        <v>23789</v>
      </c>
      <c r="Z4202" t="s">
        <v>30333</v>
      </c>
      <c r="AA4202">
        <v>0.42578349581250607</v>
      </c>
      <c r="AB4202" t="str">
        <f>HYPERLINK("Melting_Curves/meltCurve_Q86Y07_5_VRK2.pdf", "Melting_Curves/meltCurve_Q86Y07_5_VRK2.pdf")</f>
        <v>Melting_Curves/meltCurve_Q86Y07_5_VRK2.pdf</v>
      </c>
    </row>
    <row r="4203" spans="1:28" x14ac:dyDescent="0.25">
      <c r="A4203" t="s">
        <v>4206</v>
      </c>
      <c r="B4203">
        <v>0.99930955844802105</v>
      </c>
      <c r="C4203">
        <v>1.14972595681921</v>
      </c>
      <c r="D4203">
        <v>1.06306524524001</v>
      </c>
      <c r="E4203">
        <v>1.46940863099542</v>
      </c>
      <c r="F4203">
        <v>1.4365243134636101</v>
      </c>
      <c r="G4203">
        <v>1.2162465407040199</v>
      </c>
      <c r="H4203">
        <v>1.57752127663496</v>
      </c>
      <c r="I4203">
        <v>1.4108293940465899</v>
      </c>
      <c r="J4203">
        <v>1.5476233069660199</v>
      </c>
      <c r="K4203">
        <v>1.4792310078953801</v>
      </c>
      <c r="L4203">
        <v>11583.2332103876</v>
      </c>
      <c r="M4203">
        <v>250</v>
      </c>
      <c r="O4203">
        <v>46.329967040280799</v>
      </c>
      <c r="P4203">
        <v>0.604627258197451</v>
      </c>
      <c r="Q4203">
        <v>1.4481977823276999</v>
      </c>
      <c r="R4203">
        <v>0.73154569253189705</v>
      </c>
      <c r="S4203" t="s">
        <v>10819</v>
      </c>
      <c r="T4203" t="s">
        <v>13232</v>
      </c>
      <c r="U4203" t="s">
        <v>13232</v>
      </c>
      <c r="V4203" t="s">
        <v>13232</v>
      </c>
      <c r="W4203" t="s">
        <v>17372</v>
      </c>
      <c r="X4203">
        <v>1</v>
      </c>
      <c r="Y4203" t="s">
        <v>23790</v>
      </c>
      <c r="Z4203" t="s">
        <v>30334</v>
      </c>
      <c r="AA4203">
        <v>1.3535477892561421</v>
      </c>
      <c r="AB4203" t="str">
        <f>HYPERLINK("Melting_Curves/meltCurve_Q86Y22_COL23A1.pdf", "Melting_Curves/meltCurve_Q86Y22_COL23A1.pdf")</f>
        <v>Melting_Curves/meltCurve_Q86Y22_COL23A1.pdf</v>
      </c>
    </row>
    <row r="4204" spans="1:28" x14ac:dyDescent="0.25">
      <c r="A4204" t="s">
        <v>4207</v>
      </c>
      <c r="B4204">
        <v>0.99930955844802105</v>
      </c>
      <c r="C4204">
        <v>0.99526226543761898</v>
      </c>
      <c r="D4204">
        <v>0.85288081002012295</v>
      </c>
      <c r="E4204">
        <v>0.407105031703555</v>
      </c>
      <c r="F4204">
        <v>0.203646756015435</v>
      </c>
      <c r="G4204">
        <v>0.141468483559547</v>
      </c>
      <c r="H4204">
        <v>0.105573174242896</v>
      </c>
      <c r="I4204">
        <v>9.4231185044307206E-2</v>
      </c>
      <c r="J4204">
        <v>7.3153964625755602E-2</v>
      </c>
      <c r="K4204">
        <v>6.8887157253011796E-2</v>
      </c>
      <c r="L4204">
        <v>1263.8255755335899</v>
      </c>
      <c r="M4204">
        <v>25.855371749556099</v>
      </c>
      <c r="N4204">
        <v>49.260091791713698</v>
      </c>
      <c r="O4204">
        <v>48.590966283768701</v>
      </c>
      <c r="P4204">
        <v>-0.121014130400769</v>
      </c>
      <c r="Q4204">
        <v>9.0304844474495202E-2</v>
      </c>
      <c r="R4204">
        <v>0.99841131439576702</v>
      </c>
      <c r="S4204" t="s">
        <v>10820</v>
      </c>
      <c r="T4204" t="s">
        <v>13232</v>
      </c>
      <c r="U4204" t="s">
        <v>13232</v>
      </c>
      <c r="V4204" t="s">
        <v>13232</v>
      </c>
      <c r="W4204" t="s">
        <v>17373</v>
      </c>
      <c r="X4204">
        <v>6</v>
      </c>
      <c r="Y4204" t="s">
        <v>23791</v>
      </c>
      <c r="Z4204" t="s">
        <v>30335</v>
      </c>
      <c r="AA4204">
        <v>0.36710650075928369</v>
      </c>
      <c r="AB4204" t="str">
        <f>HYPERLINK("Melting_Curves/meltCurve_Q86Y37_CACUL1.pdf", "Melting_Curves/meltCurve_Q86Y37_CACUL1.pdf")</f>
        <v>Melting_Curves/meltCurve_Q86Y37_CACUL1.pdf</v>
      </c>
    </row>
    <row r="4205" spans="1:28" x14ac:dyDescent="0.25">
      <c r="A4205" t="s">
        <v>4208</v>
      </c>
      <c r="B4205">
        <v>0.99930955844802105</v>
      </c>
      <c r="C4205">
        <v>0.60142154899487199</v>
      </c>
      <c r="D4205">
        <v>0.30173846527979098</v>
      </c>
      <c r="E4205">
        <v>0.24221927993728001</v>
      </c>
      <c r="F4205">
        <v>0.164613740698587</v>
      </c>
      <c r="G4205">
        <v>0.129696563910631</v>
      </c>
      <c r="H4205">
        <v>7.5658198825290901E-2</v>
      </c>
      <c r="I4205">
        <v>5.7614913682357098E-2</v>
      </c>
      <c r="J4205">
        <v>5.3791610132485901E-2</v>
      </c>
      <c r="K4205">
        <v>4.0107589715490201E-2</v>
      </c>
      <c r="L4205">
        <v>977.144872884238</v>
      </c>
      <c r="M4205">
        <v>22.314135991654201</v>
      </c>
      <c r="N4205">
        <v>44.198578454856701</v>
      </c>
      <c r="O4205">
        <v>43.4432248573791</v>
      </c>
      <c r="P4205">
        <v>-0.11645530764191001</v>
      </c>
      <c r="Q4205">
        <v>9.3114748691633997E-2</v>
      </c>
      <c r="R4205">
        <v>0.96344941542209095</v>
      </c>
      <c r="S4205" t="s">
        <v>10821</v>
      </c>
      <c r="T4205" t="s">
        <v>13232</v>
      </c>
      <c r="U4205" t="s">
        <v>13232</v>
      </c>
      <c r="V4205" t="s">
        <v>13232</v>
      </c>
      <c r="W4205" t="s">
        <v>17374</v>
      </c>
      <c r="X4205">
        <v>23</v>
      </c>
      <c r="Y4205" t="s">
        <v>23792</v>
      </c>
      <c r="Z4205" t="s">
        <v>30336</v>
      </c>
      <c r="AA4205">
        <v>0.22187695261522281</v>
      </c>
      <c r="AB4205" t="str">
        <f>HYPERLINK("Melting_Curves/meltCurve_Q86Y56_HEATR2.pdf", "Melting_Curves/meltCurve_Q86Y56_HEATR2.pdf")</f>
        <v>Melting_Curves/meltCurve_Q86Y56_HEATR2.pdf</v>
      </c>
    </row>
    <row r="4206" spans="1:28" x14ac:dyDescent="0.25">
      <c r="A4206" t="s">
        <v>4209</v>
      </c>
      <c r="B4206">
        <v>0.99930955844802105</v>
      </c>
      <c r="C4206">
        <v>0.85649440019332101</v>
      </c>
      <c r="D4206">
        <v>0.80471686535948195</v>
      </c>
      <c r="E4206">
        <v>0.503811673205532</v>
      </c>
      <c r="F4206">
        <v>0.26758619560114899</v>
      </c>
      <c r="G4206">
        <v>0.198102287719708</v>
      </c>
      <c r="H4206">
        <v>0.119344266118642</v>
      </c>
      <c r="I4206">
        <v>0.128596314563934</v>
      </c>
      <c r="J4206">
        <v>0.105139546858011</v>
      </c>
      <c r="K4206">
        <v>7.8952046801542899E-2</v>
      </c>
      <c r="L4206">
        <v>782.20628194537801</v>
      </c>
      <c r="M4206">
        <v>15.896047987776299</v>
      </c>
      <c r="N4206">
        <v>49.802762038466803</v>
      </c>
      <c r="O4206">
        <v>48.448581799046103</v>
      </c>
      <c r="P4206">
        <v>-7.4935679345751099E-2</v>
      </c>
      <c r="Q4206">
        <v>8.6506180650922596E-2</v>
      </c>
      <c r="R4206">
        <v>0.99258466495911601</v>
      </c>
      <c r="S4206" t="s">
        <v>10822</v>
      </c>
      <c r="T4206" t="s">
        <v>13232</v>
      </c>
      <c r="U4206" t="s">
        <v>13232</v>
      </c>
      <c r="V4206" t="s">
        <v>13232</v>
      </c>
      <c r="W4206" t="s">
        <v>17375</v>
      </c>
      <c r="X4206">
        <v>5</v>
      </c>
      <c r="Y4206" t="s">
        <v>23793</v>
      </c>
      <c r="Z4206" t="s">
        <v>30337</v>
      </c>
      <c r="AA4206">
        <v>0.38693762917129387</v>
      </c>
      <c r="AB4206" t="str">
        <f>HYPERLINK("Melting_Curves/meltCurve_Q86Y79_PTRH1.pdf", "Melting_Curves/meltCurve_Q86Y79_PTRH1.pdf")</f>
        <v>Melting_Curves/meltCurve_Q86Y79_PTRH1.pdf</v>
      </c>
    </row>
    <row r="4207" spans="1:28" x14ac:dyDescent="0.25">
      <c r="A4207" t="s">
        <v>4210</v>
      </c>
      <c r="B4207">
        <v>0.99930955844802105</v>
      </c>
      <c r="C4207">
        <v>1.1558120786439601</v>
      </c>
      <c r="D4207">
        <v>1.00216215823579</v>
      </c>
      <c r="E4207">
        <v>1.07081095993352</v>
      </c>
      <c r="F4207">
        <v>0.942811882999535</v>
      </c>
      <c r="G4207">
        <v>0.83510649805859705</v>
      </c>
      <c r="H4207">
        <v>0.90135949893902301</v>
      </c>
      <c r="I4207">
        <v>0.97750059505480402</v>
      </c>
      <c r="J4207">
        <v>0.95254423584363401</v>
      </c>
      <c r="K4207">
        <v>0.76914949805126798</v>
      </c>
      <c r="L4207">
        <v>13248.5835692207</v>
      </c>
      <c r="M4207">
        <v>250</v>
      </c>
      <c r="O4207">
        <v>52.990943461589502</v>
      </c>
      <c r="P4207">
        <v>-0.13312173449697901</v>
      </c>
      <c r="Q4207">
        <v>0.88713206023470004</v>
      </c>
      <c r="R4207">
        <v>0.46781902332416497</v>
      </c>
      <c r="S4207" t="s">
        <v>10823</v>
      </c>
      <c r="T4207" t="s">
        <v>13232</v>
      </c>
      <c r="U4207" t="s">
        <v>13232</v>
      </c>
      <c r="V4207" t="s">
        <v>13232</v>
      </c>
      <c r="W4207" t="s">
        <v>17376</v>
      </c>
      <c r="X4207">
        <v>9</v>
      </c>
      <c r="Y4207" t="s">
        <v>23794</v>
      </c>
      <c r="Z4207" t="s">
        <v>30338</v>
      </c>
      <c r="AA4207">
        <v>0.93603068204585471</v>
      </c>
      <c r="AB4207" t="str">
        <f>HYPERLINK("Melting_Curves/meltCurve_Q86Y82_STX12.pdf", "Melting_Curves/meltCurve_Q86Y82_STX12.pdf")</f>
        <v>Melting_Curves/meltCurve_Q86Y82_STX12.pdf</v>
      </c>
    </row>
    <row r="4208" spans="1:28" x14ac:dyDescent="0.25">
      <c r="A4208" t="s">
        <v>4211</v>
      </c>
      <c r="B4208">
        <v>0.99930955844802105</v>
      </c>
      <c r="C4208">
        <v>0.95765096533981597</v>
      </c>
      <c r="D4208">
        <v>0.89931293435683601</v>
      </c>
      <c r="E4208">
        <v>0.73841645724041505</v>
      </c>
      <c r="F4208">
        <v>0.71923791511856805</v>
      </c>
      <c r="G4208">
        <v>0.68125765825030304</v>
      </c>
      <c r="H4208">
        <v>0.68955769733861005</v>
      </c>
      <c r="I4208">
        <v>0.74997045749092295</v>
      </c>
      <c r="J4208">
        <v>0.73932756071211103</v>
      </c>
      <c r="K4208">
        <v>0.58811462748778198</v>
      </c>
      <c r="L4208">
        <v>1133.0341790935399</v>
      </c>
      <c r="M4208">
        <v>24.0538769482744</v>
      </c>
      <c r="O4208">
        <v>46.782079981797899</v>
      </c>
      <c r="P4208">
        <v>-4.0002359479546397E-2</v>
      </c>
      <c r="Q4208">
        <v>0.68880461474199195</v>
      </c>
      <c r="R4208">
        <v>0.89039010616608205</v>
      </c>
      <c r="S4208" t="s">
        <v>10824</v>
      </c>
      <c r="T4208" t="s">
        <v>13232</v>
      </c>
      <c r="U4208" t="s">
        <v>13232</v>
      </c>
      <c r="V4208" t="s">
        <v>13232</v>
      </c>
      <c r="W4208" t="s">
        <v>17377</v>
      </c>
      <c r="X4208">
        <v>6</v>
      </c>
      <c r="Y4208" t="s">
        <v>23795</v>
      </c>
      <c r="Z4208" t="s">
        <v>30339</v>
      </c>
      <c r="AA4208">
        <v>0.76551459646803133</v>
      </c>
      <c r="AB4208" t="str">
        <f>HYPERLINK("Melting_Curves/meltCurve_Q86Y91_2_KIF18B.pdf", "Melting_Curves/meltCurve_Q86Y91_2_KIF18B.pdf")</f>
        <v>Melting_Curves/meltCurve_Q86Y91_2_KIF18B.pdf</v>
      </c>
    </row>
    <row r="4209" spans="1:28" x14ac:dyDescent="0.25">
      <c r="A4209" t="s">
        <v>4212</v>
      </c>
      <c r="B4209">
        <v>0.99930955844802105</v>
      </c>
      <c r="C4209">
        <v>1.8433494628032301</v>
      </c>
      <c r="D4209">
        <v>1.6096870545347599</v>
      </c>
      <c r="E4209">
        <v>1.4185140209195399</v>
      </c>
      <c r="F4209">
        <v>0.790943237940123</v>
      </c>
      <c r="G4209">
        <v>0.68959805424674603</v>
      </c>
      <c r="H4209">
        <v>0.602876459745184</v>
      </c>
      <c r="I4209">
        <v>0.82581733797406298</v>
      </c>
      <c r="J4209">
        <v>0.59559516101544796</v>
      </c>
      <c r="K4209">
        <v>0.39363602699425398</v>
      </c>
      <c r="L4209">
        <v>13238.864310266699</v>
      </c>
      <c r="M4209">
        <v>250</v>
      </c>
      <c r="O4209">
        <v>52.952069170184998</v>
      </c>
      <c r="P4209">
        <v>-0.44674298098016801</v>
      </c>
      <c r="Q4209">
        <v>0.621504561957544</v>
      </c>
      <c r="R4209">
        <v>0.35730946184453699</v>
      </c>
      <c r="S4209" t="s">
        <v>10825</v>
      </c>
      <c r="T4209" t="s">
        <v>13232</v>
      </c>
      <c r="U4209" t="s">
        <v>13232</v>
      </c>
      <c r="V4209" t="s">
        <v>13232</v>
      </c>
      <c r="W4209" t="s">
        <v>17378</v>
      </c>
      <c r="X4209">
        <v>5</v>
      </c>
      <c r="Y4209" t="s">
        <v>23796</v>
      </c>
      <c r="Z4209" t="s">
        <v>30340</v>
      </c>
      <c r="AA4209">
        <v>0.78499245326074873</v>
      </c>
      <c r="AB4209" t="str">
        <f>HYPERLINK("Melting_Curves/meltCurve_Q86YB8_ERO1LB.pdf", "Melting_Curves/meltCurve_Q86YB8_ERO1LB.pdf")</f>
        <v>Melting_Curves/meltCurve_Q86YB8_ERO1LB.pdf</v>
      </c>
    </row>
    <row r="4210" spans="1:28" x14ac:dyDescent="0.25">
      <c r="A4210" t="s">
        <v>4213</v>
      </c>
      <c r="B4210">
        <v>0.99930955844802105</v>
      </c>
      <c r="C4210">
        <v>1.06931655599602</v>
      </c>
      <c r="D4210">
        <v>1.01078999787909</v>
      </c>
      <c r="E4210">
        <v>0.97704807605807997</v>
      </c>
      <c r="F4210">
        <v>0.88894845387136101</v>
      </c>
      <c r="G4210">
        <v>0.702740839074663</v>
      </c>
      <c r="H4210">
        <v>0.68152293386736196</v>
      </c>
      <c r="I4210">
        <v>0.85336801243489102</v>
      </c>
      <c r="J4210">
        <v>0.77303202532445603</v>
      </c>
      <c r="K4210">
        <v>0.63702577813536998</v>
      </c>
      <c r="L4210">
        <v>5517.0171262232298</v>
      </c>
      <c r="M4210">
        <v>103.73653459284</v>
      </c>
      <c r="O4210">
        <v>53.163219012235302</v>
      </c>
      <c r="P4210">
        <v>-0.13195354971487899</v>
      </c>
      <c r="Q4210">
        <v>0.729504184773488</v>
      </c>
      <c r="R4210">
        <v>0.84023621277052296</v>
      </c>
      <c r="S4210" t="s">
        <v>10826</v>
      </c>
      <c r="T4210" t="s">
        <v>13232</v>
      </c>
      <c r="U4210" t="s">
        <v>13232</v>
      </c>
      <c r="V4210" t="s">
        <v>13232</v>
      </c>
      <c r="W4210" t="s">
        <v>17379</v>
      </c>
      <c r="X4210">
        <v>3</v>
      </c>
      <c r="Y4210" t="s">
        <v>23797</v>
      </c>
      <c r="Z4210" t="s">
        <v>30341</v>
      </c>
      <c r="AA4210">
        <v>0.84851558876145716</v>
      </c>
      <c r="AB4210" t="str">
        <f>HYPERLINK("Melting_Curves/meltCurve_Q86YH2_ZNF280B.pdf", "Melting_Curves/meltCurve_Q86YH2_ZNF280B.pdf")</f>
        <v>Melting_Curves/meltCurve_Q86YH2_ZNF280B.pdf</v>
      </c>
    </row>
    <row r="4211" spans="1:28" x14ac:dyDescent="0.25">
      <c r="A4211" t="s">
        <v>4214</v>
      </c>
      <c r="B4211">
        <v>0.99930955844802105</v>
      </c>
      <c r="C4211">
        <v>0.90976090706018498</v>
      </c>
      <c r="D4211">
        <v>0.86169861701253603</v>
      </c>
      <c r="E4211">
        <v>0.77078949719223799</v>
      </c>
      <c r="F4211">
        <v>0.60679952748523402</v>
      </c>
      <c r="G4211">
        <v>0.40448699572033697</v>
      </c>
      <c r="H4211">
        <v>0.28910556014140598</v>
      </c>
      <c r="I4211">
        <v>0.24082965327274999</v>
      </c>
      <c r="J4211">
        <v>0.20370010643042799</v>
      </c>
      <c r="K4211">
        <v>0.14692387335142801</v>
      </c>
      <c r="L4211">
        <v>570.75589089085997</v>
      </c>
      <c r="M4211">
        <v>10.497072680963701</v>
      </c>
      <c r="N4211">
        <v>55.2250551299785</v>
      </c>
      <c r="O4211">
        <v>52.510723316317303</v>
      </c>
      <c r="P4211">
        <v>-4.62577178160185E-2</v>
      </c>
      <c r="Q4211">
        <v>7.47723274485389E-2</v>
      </c>
      <c r="R4211">
        <v>0.99526787655050497</v>
      </c>
      <c r="S4211" t="s">
        <v>10827</v>
      </c>
      <c r="T4211" t="s">
        <v>13232</v>
      </c>
      <c r="U4211" t="s">
        <v>13232</v>
      </c>
      <c r="V4211" t="s">
        <v>13232</v>
      </c>
      <c r="W4211" t="s">
        <v>17380</v>
      </c>
      <c r="X4211">
        <v>3</v>
      </c>
      <c r="Y4211" t="s">
        <v>23798</v>
      </c>
      <c r="Z4211" t="s">
        <v>30342</v>
      </c>
      <c r="AA4211">
        <v>0.54376441171090228</v>
      </c>
      <c r="AB4211" t="str">
        <f>HYPERLINK("Melting_Curves/meltCurve_Q86YH6_PDSS2.pdf", "Melting_Curves/meltCurve_Q86YH6_PDSS2.pdf")</f>
        <v>Melting_Curves/meltCurve_Q86YH6_PDSS2.pdf</v>
      </c>
    </row>
    <row r="4212" spans="1:28" x14ac:dyDescent="0.25">
      <c r="A4212" t="s">
        <v>4215</v>
      </c>
      <c r="B4212">
        <v>0.99930955844802105</v>
      </c>
      <c r="C4212">
        <v>1.0151146047720001</v>
      </c>
      <c r="D4212">
        <v>0.98588653581803698</v>
      </c>
      <c r="E4212">
        <v>0.91034294555449202</v>
      </c>
      <c r="F4212">
        <v>0.71589284880312998</v>
      </c>
      <c r="G4212">
        <v>0.48406624260074199</v>
      </c>
      <c r="H4212">
        <v>0.29203483214669901</v>
      </c>
      <c r="I4212">
        <v>0.21084099569513401</v>
      </c>
      <c r="J4212">
        <v>0.17192968138922601</v>
      </c>
      <c r="K4212">
        <v>0.143834686909731</v>
      </c>
      <c r="L4212">
        <v>947.96591308056202</v>
      </c>
      <c r="M4212">
        <v>17.0221236782305</v>
      </c>
      <c r="N4212">
        <v>56.637543517730201</v>
      </c>
      <c r="O4212">
        <v>54.9386620334976</v>
      </c>
      <c r="P4212">
        <v>-6.7867813536616306E-2</v>
      </c>
      <c r="Q4212">
        <v>0.123884258320407</v>
      </c>
      <c r="R4212">
        <v>0.99866666255496395</v>
      </c>
      <c r="S4212" t="s">
        <v>10828</v>
      </c>
      <c r="T4212" t="s">
        <v>13232</v>
      </c>
      <c r="U4212" t="s">
        <v>13232</v>
      </c>
      <c r="V4212" t="s">
        <v>13232</v>
      </c>
      <c r="W4212" t="s">
        <v>17381</v>
      </c>
      <c r="X4212">
        <v>16</v>
      </c>
      <c r="Y4212" t="s">
        <v>23799</v>
      </c>
      <c r="Z4212" t="s">
        <v>30343</v>
      </c>
      <c r="AA4212">
        <v>0.59613349173549979</v>
      </c>
      <c r="AB4212" t="str">
        <f>HYPERLINK("Melting_Curves/meltCurve_Q86YM7_HOMER1.pdf", "Melting_Curves/meltCurve_Q86YM7_HOMER1.pdf")</f>
        <v>Melting_Curves/meltCurve_Q86YM7_HOMER1.pdf</v>
      </c>
    </row>
    <row r="4213" spans="1:28" x14ac:dyDescent="0.25">
      <c r="A4213" t="s">
        <v>4216</v>
      </c>
      <c r="B4213">
        <v>0.99930955844802105</v>
      </c>
      <c r="C4213">
        <v>1.02024373287231</v>
      </c>
      <c r="D4213">
        <v>0.94179974832711799</v>
      </c>
      <c r="E4213">
        <v>0.77770137255046901</v>
      </c>
      <c r="F4213">
        <v>0.64524130963520598</v>
      </c>
      <c r="G4213">
        <v>0.56083892323183704</v>
      </c>
      <c r="H4213">
        <v>0.546693112051578</v>
      </c>
      <c r="I4213">
        <v>0.59508389910168302</v>
      </c>
      <c r="J4213">
        <v>0.65274062656439602</v>
      </c>
      <c r="K4213">
        <v>0.51839146059792196</v>
      </c>
      <c r="L4213">
        <v>1347.79924268011</v>
      </c>
      <c r="M4213">
        <v>27.086559365448</v>
      </c>
      <c r="O4213">
        <v>49.490137973649297</v>
      </c>
      <c r="P4213">
        <v>-5.8505396655260701E-2</v>
      </c>
      <c r="Q4213">
        <v>0.57242099676868996</v>
      </c>
      <c r="R4213">
        <v>0.96433435344904295</v>
      </c>
      <c r="S4213" t="s">
        <v>10829</v>
      </c>
      <c r="T4213" t="s">
        <v>13232</v>
      </c>
      <c r="U4213" t="s">
        <v>13232</v>
      </c>
      <c r="V4213" t="s">
        <v>13232</v>
      </c>
      <c r="W4213" t="s">
        <v>17382</v>
      </c>
      <c r="X4213">
        <v>26</v>
      </c>
      <c r="Y4213" t="s">
        <v>23800</v>
      </c>
      <c r="Z4213" t="s">
        <v>30344</v>
      </c>
      <c r="AA4213">
        <v>0.71475317746074052</v>
      </c>
      <c r="AB4213" t="str">
        <f>HYPERLINK("Melting_Curves/meltCurve_Q86YP4_GATAD2A.pdf", "Melting_Curves/meltCurve_Q86YP4_GATAD2A.pdf")</f>
        <v>Melting_Curves/meltCurve_Q86YP4_GATAD2A.pdf</v>
      </c>
    </row>
    <row r="4214" spans="1:28" x14ac:dyDescent="0.25">
      <c r="A4214" t="s">
        <v>4217</v>
      </c>
      <c r="B4214">
        <v>0.99930955844802105</v>
      </c>
      <c r="C4214">
        <v>0.78162483093464497</v>
      </c>
      <c r="D4214">
        <v>0.47019435332454801</v>
      </c>
      <c r="E4214">
        <v>0.44996851368047602</v>
      </c>
      <c r="F4214">
        <v>0.35357128403801502</v>
      </c>
      <c r="G4214">
        <v>0.28575134537517299</v>
      </c>
      <c r="H4214">
        <v>0.29328811662420101</v>
      </c>
      <c r="I4214">
        <v>0.31583188670620199</v>
      </c>
      <c r="J4214">
        <v>0.339226523389347</v>
      </c>
      <c r="K4214">
        <v>0.25574487883001401</v>
      </c>
      <c r="L4214">
        <v>1070.92245144566</v>
      </c>
      <c r="M4214">
        <v>24.194040018587501</v>
      </c>
      <c r="N4214">
        <v>46.159308654237201</v>
      </c>
      <c r="O4214">
        <v>43.964818220178202</v>
      </c>
      <c r="P4214">
        <v>-9.4261375699219802E-2</v>
      </c>
      <c r="Q4214">
        <v>0.31485261939644199</v>
      </c>
      <c r="R4214">
        <v>0.964369581232845</v>
      </c>
      <c r="S4214" t="s">
        <v>10830</v>
      </c>
      <c r="T4214" t="s">
        <v>13232</v>
      </c>
      <c r="U4214" t="s">
        <v>13232</v>
      </c>
      <c r="V4214" t="s">
        <v>13232</v>
      </c>
      <c r="W4214" t="s">
        <v>17383</v>
      </c>
      <c r="X4214">
        <v>11</v>
      </c>
      <c r="Y4214" t="s">
        <v>23801</v>
      </c>
      <c r="Z4214" t="s">
        <v>30345</v>
      </c>
      <c r="AA4214">
        <v>0.42036307963273473</v>
      </c>
      <c r="AB4214" t="str">
        <f>HYPERLINK("Melting_Curves/meltCurve_Q86YR5_4_GPSM1.pdf", "Melting_Curves/meltCurve_Q86YR5_4_GPSM1.pdf")</f>
        <v>Melting_Curves/meltCurve_Q86YR5_4_GPSM1.pdf</v>
      </c>
    </row>
    <row r="4215" spans="1:28" x14ac:dyDescent="0.25">
      <c r="A4215" t="s">
        <v>4218</v>
      </c>
      <c r="B4215">
        <v>0.99930955844802105</v>
      </c>
      <c r="C4215">
        <v>0.91727674075172205</v>
      </c>
      <c r="D4215">
        <v>0.84468069298696602</v>
      </c>
      <c r="E4215">
        <v>0.71045477372924204</v>
      </c>
      <c r="F4215">
        <v>0.44971619545249297</v>
      </c>
      <c r="G4215">
        <v>0.27426957658215001</v>
      </c>
      <c r="H4215">
        <v>0.138964262322569</v>
      </c>
      <c r="I4215">
        <v>0.12430821704317099</v>
      </c>
      <c r="J4215">
        <v>0.101104091434816</v>
      </c>
      <c r="K4215">
        <v>7.45463774674055E-2</v>
      </c>
      <c r="L4215">
        <v>714.837962657807</v>
      </c>
      <c r="M4215">
        <v>13.698516778108999</v>
      </c>
      <c r="N4215">
        <v>52.549699822581303</v>
      </c>
      <c r="O4215">
        <v>51.109208515498402</v>
      </c>
      <c r="P4215">
        <v>-6.3965847309825893E-2</v>
      </c>
      <c r="Q4215">
        <v>4.5510415672063501E-2</v>
      </c>
      <c r="R4215">
        <v>0.99538003900860805</v>
      </c>
      <c r="S4215" t="s">
        <v>10831</v>
      </c>
      <c r="T4215" t="s">
        <v>13232</v>
      </c>
      <c r="U4215" t="s">
        <v>13232</v>
      </c>
      <c r="V4215" t="s">
        <v>13232</v>
      </c>
      <c r="W4215" t="s">
        <v>17384</v>
      </c>
      <c r="X4215">
        <v>10</v>
      </c>
      <c r="Y4215" t="s">
        <v>23802</v>
      </c>
      <c r="Z4215" t="s">
        <v>30346</v>
      </c>
      <c r="AA4215">
        <v>0.45734049686496281</v>
      </c>
      <c r="AB4215" t="str">
        <f>HYPERLINK("Melting_Curves/meltCurve_Q86YS7_C2CD5.pdf", "Melting_Curves/meltCurve_Q86YS7_C2CD5.pdf")</f>
        <v>Melting_Curves/meltCurve_Q86YS7_C2CD5.pdf</v>
      </c>
    </row>
    <row r="4216" spans="1:28" x14ac:dyDescent="0.25">
      <c r="A4216" t="s">
        <v>4219</v>
      </c>
      <c r="B4216">
        <v>0.99930955844802105</v>
      </c>
      <c r="C4216">
        <v>0.97547619252914197</v>
      </c>
      <c r="D4216">
        <v>1.04287222201659</v>
      </c>
      <c r="E4216">
        <v>1.0472162170524399</v>
      </c>
      <c r="F4216">
        <v>1.0460618130060599</v>
      </c>
      <c r="G4216">
        <v>0.893490735730184</v>
      </c>
      <c r="H4216">
        <v>0.89820112994743895</v>
      </c>
      <c r="I4216">
        <v>1.0621719616954499</v>
      </c>
      <c r="J4216">
        <v>1.09053902019309</v>
      </c>
      <c r="K4216">
        <v>0.815510535114785</v>
      </c>
      <c r="L4216">
        <v>15000</v>
      </c>
      <c r="M4216">
        <v>212.79943069801399</v>
      </c>
      <c r="Q4216">
        <v>0</v>
      </c>
      <c r="R4216">
        <v>0.44379425492927099</v>
      </c>
      <c r="S4216" t="s">
        <v>10832</v>
      </c>
      <c r="T4216" t="s">
        <v>13232</v>
      </c>
      <c r="U4216" t="s">
        <v>13232</v>
      </c>
      <c r="V4216" t="s">
        <v>13232</v>
      </c>
      <c r="W4216" t="s">
        <v>17385</v>
      </c>
      <c r="X4216">
        <v>3</v>
      </c>
      <c r="Y4216" t="s">
        <v>23803</v>
      </c>
      <c r="Z4216" t="s">
        <v>30347</v>
      </c>
      <c r="AA4216">
        <v>0.99780093186276964</v>
      </c>
      <c r="AB4216" t="str">
        <f>HYPERLINK("Melting_Curves/meltCurve_Q86YV5_SGK223.pdf", "Melting_Curves/meltCurve_Q86YV5_SGK223.pdf")</f>
        <v>Melting_Curves/meltCurve_Q86YV5_SGK223.pdf</v>
      </c>
    </row>
    <row r="4217" spans="1:28" x14ac:dyDescent="0.25">
      <c r="A4217" t="s">
        <v>4220</v>
      </c>
      <c r="B4217">
        <v>0.99930955844802105</v>
      </c>
      <c r="C4217">
        <v>0.73237746404996096</v>
      </c>
      <c r="D4217">
        <v>0.48740053745901601</v>
      </c>
      <c r="E4217">
        <v>0.35262145312920701</v>
      </c>
      <c r="F4217">
        <v>0.21186037700668101</v>
      </c>
      <c r="G4217">
        <v>0.144083303504352</v>
      </c>
      <c r="H4217">
        <v>0.102389423998964</v>
      </c>
      <c r="I4217">
        <v>6.20546980093395E-2</v>
      </c>
      <c r="J4217">
        <v>4.6981904804682097E-2</v>
      </c>
      <c r="K4217">
        <v>4.3145858349361403E-2</v>
      </c>
      <c r="L4217">
        <v>621.49573911897198</v>
      </c>
      <c r="M4217">
        <v>13.4078624983811</v>
      </c>
      <c r="N4217">
        <v>46.729239314056201</v>
      </c>
      <c r="O4217">
        <v>45.3583847326206</v>
      </c>
      <c r="P4217">
        <v>-7.0130254905518302E-2</v>
      </c>
      <c r="Q4217">
        <v>5.1154683255186399E-2</v>
      </c>
      <c r="R4217">
        <v>0.98131260278797094</v>
      </c>
      <c r="S4217" t="s">
        <v>10833</v>
      </c>
      <c r="T4217" t="s">
        <v>13232</v>
      </c>
      <c r="U4217" t="s">
        <v>13232</v>
      </c>
      <c r="V4217" t="s">
        <v>13232</v>
      </c>
      <c r="W4217" t="s">
        <v>17386</v>
      </c>
      <c r="X4217">
        <v>2</v>
      </c>
      <c r="Y4217" t="s">
        <v>23804</v>
      </c>
      <c r="Z4217" t="s">
        <v>30348</v>
      </c>
      <c r="AA4217">
        <v>0.28596466490959371</v>
      </c>
      <c r="AB4217" t="str">
        <f>HYPERLINK("Melting_Curves/meltCurve_Q86YV9_HPS6.pdf", "Melting_Curves/meltCurve_Q86YV9_HPS6.pdf")</f>
        <v>Melting_Curves/meltCurve_Q86YV9_HPS6.pdf</v>
      </c>
    </row>
    <row r="4218" spans="1:28" x14ac:dyDescent="0.25">
      <c r="A4218" t="s">
        <v>4221</v>
      </c>
      <c r="B4218">
        <v>0.99930955844802105</v>
      </c>
      <c r="C4218">
        <v>2.6095304080406398</v>
      </c>
      <c r="D4218">
        <v>0.60516713717962001</v>
      </c>
      <c r="E4218">
        <v>0.29546255698657098</v>
      </c>
      <c r="F4218">
        <v>0.17232220739915799</v>
      </c>
      <c r="G4218">
        <v>0.17864176380723701</v>
      </c>
      <c r="H4218">
        <v>0.33644788440440199</v>
      </c>
      <c r="I4218">
        <v>4.4817037097960597</v>
      </c>
      <c r="J4218">
        <v>0.23773417136046399</v>
      </c>
      <c r="K4218">
        <v>0.13231783444717399</v>
      </c>
      <c r="L4218">
        <v>15000</v>
      </c>
      <c r="M4218">
        <v>225.76364551777601</v>
      </c>
      <c r="N4218">
        <v>66.528427822500106</v>
      </c>
      <c r="O4218">
        <v>66.435957826642706</v>
      </c>
      <c r="P4218">
        <v>-0.74068879735510396</v>
      </c>
      <c r="Q4218">
        <v>0.128143665163859</v>
      </c>
      <c r="R4218">
        <v>7.2033508211852504E-2</v>
      </c>
      <c r="S4218" t="s">
        <v>10834</v>
      </c>
      <c r="T4218" t="s">
        <v>13232</v>
      </c>
      <c r="U4218" t="s">
        <v>13232</v>
      </c>
      <c r="V4218" t="s">
        <v>13232</v>
      </c>
      <c r="W4218" t="s">
        <v>17387</v>
      </c>
      <c r="X4218">
        <v>5</v>
      </c>
      <c r="Y4218" t="s">
        <v>23805</v>
      </c>
      <c r="Z4218" t="s">
        <v>30349</v>
      </c>
      <c r="AA4218">
        <v>0.89669818765654008</v>
      </c>
      <c r="AB4218" t="str">
        <f>HYPERLINK("Melting_Curves/meltCurve_Q86YZ3_HRNR.pdf", "Melting_Curves/meltCurve_Q86YZ3_HRNR.pdf")</f>
        <v>Melting_Curves/meltCurve_Q86YZ3_HRNR.pdf</v>
      </c>
    </row>
    <row r="4219" spans="1:28" x14ac:dyDescent="0.25">
      <c r="A4219" t="s">
        <v>4222</v>
      </c>
      <c r="B4219">
        <v>0.99930955844802105</v>
      </c>
      <c r="C4219">
        <v>1.00198121126803</v>
      </c>
      <c r="D4219">
        <v>1.02476522367581</v>
      </c>
      <c r="E4219">
        <v>0.77246445280606901</v>
      </c>
      <c r="F4219">
        <v>0.36978868483549299</v>
      </c>
      <c r="G4219">
        <v>0.231694405066314</v>
      </c>
      <c r="H4219">
        <v>0.160315021099521</v>
      </c>
      <c r="I4219">
        <v>0.13217367501615301</v>
      </c>
      <c r="J4219">
        <v>0.12982175722751199</v>
      </c>
      <c r="K4219">
        <v>0.103463921980047</v>
      </c>
      <c r="L4219">
        <v>1680.41830192204</v>
      </c>
      <c r="M4219">
        <v>32.607531664921503</v>
      </c>
      <c r="N4219">
        <v>52.059109704983101</v>
      </c>
      <c r="O4219">
        <v>51.341993750859203</v>
      </c>
      <c r="P4219">
        <v>-0.13654852245481</v>
      </c>
      <c r="Q4219">
        <v>0.139997306071585</v>
      </c>
      <c r="R4219">
        <v>0.99532519977992195</v>
      </c>
      <c r="S4219" t="s">
        <v>10835</v>
      </c>
      <c r="T4219" t="s">
        <v>13232</v>
      </c>
      <c r="U4219" t="s">
        <v>13232</v>
      </c>
      <c r="V4219" t="s">
        <v>13232</v>
      </c>
      <c r="W4219" t="s">
        <v>17388</v>
      </c>
      <c r="X4219">
        <v>8</v>
      </c>
      <c r="Y4219" t="s">
        <v>23806</v>
      </c>
      <c r="Z4219" t="s">
        <v>30350</v>
      </c>
      <c r="AA4219">
        <v>0.4752764717438237</v>
      </c>
      <c r="AB4219" t="str">
        <f>HYPERLINK("Melting_Curves/meltCurve_Q8IU60_2_DCP2.pdf", "Melting_Curves/meltCurve_Q8IU60_2_DCP2.pdf")</f>
        <v>Melting_Curves/meltCurve_Q8IU60_2_DCP2.pdf</v>
      </c>
    </row>
    <row r="4220" spans="1:28" x14ac:dyDescent="0.25">
      <c r="A4220" t="s">
        <v>4223</v>
      </c>
      <c r="B4220">
        <v>0.99930955844802105</v>
      </c>
      <c r="C4220">
        <v>1.02728763494917</v>
      </c>
      <c r="D4220">
        <v>0.84977832376010698</v>
      </c>
      <c r="E4220">
        <v>0.63231915529531701</v>
      </c>
      <c r="F4220">
        <v>0.39493745949264097</v>
      </c>
      <c r="G4220">
        <v>0.30387515080285799</v>
      </c>
      <c r="H4220">
        <v>0.25703595382854999</v>
      </c>
      <c r="I4220">
        <v>0.26038616110257301</v>
      </c>
      <c r="J4220">
        <v>0.26146084878739201</v>
      </c>
      <c r="K4220">
        <v>0.19923557994739599</v>
      </c>
      <c r="L4220">
        <v>1012.21169907221</v>
      </c>
      <c r="M4220">
        <v>20.281640700650598</v>
      </c>
      <c r="N4220">
        <v>51.534875189544003</v>
      </c>
      <c r="O4220">
        <v>49.430168972043298</v>
      </c>
      <c r="P4220">
        <v>-7.8325758507698406E-2</v>
      </c>
      <c r="Q4220">
        <v>0.236444832484558</v>
      </c>
      <c r="R4220">
        <v>0.99247576562813999</v>
      </c>
      <c r="S4220" t="s">
        <v>10836</v>
      </c>
      <c r="T4220" t="s">
        <v>13232</v>
      </c>
      <c r="U4220" t="s">
        <v>13232</v>
      </c>
      <c r="V4220" t="s">
        <v>13232</v>
      </c>
      <c r="W4220" t="s">
        <v>17389</v>
      </c>
      <c r="X4220">
        <v>31</v>
      </c>
      <c r="Y4220" t="s">
        <v>23807</v>
      </c>
      <c r="Z4220" t="s">
        <v>30351</v>
      </c>
      <c r="AA4220">
        <v>0.49896209612322018</v>
      </c>
      <c r="AB4220" t="str">
        <f>HYPERLINK("Melting_Curves/meltCurve_Q8IU81_IRF2BP1.pdf", "Melting_Curves/meltCurve_Q8IU81_IRF2BP1.pdf")</f>
        <v>Melting_Curves/meltCurve_Q8IU81_IRF2BP1.pdf</v>
      </c>
    </row>
    <row r="4221" spans="1:28" x14ac:dyDescent="0.25">
      <c r="A4221" t="s">
        <v>4224</v>
      </c>
      <c r="B4221">
        <v>0.99930955844802105</v>
      </c>
      <c r="C4221">
        <v>0.90660655500076504</v>
      </c>
      <c r="D4221">
        <v>0.82904144855488504</v>
      </c>
      <c r="E4221">
        <v>0.68877305004530998</v>
      </c>
      <c r="F4221">
        <v>0.31158091361935603</v>
      </c>
      <c r="G4221">
        <v>0.18204524267094599</v>
      </c>
      <c r="H4221">
        <v>0.111898143211384</v>
      </c>
      <c r="I4221">
        <v>7.7170582295769494E-2</v>
      </c>
      <c r="J4221">
        <v>7.2617113571337794E-2</v>
      </c>
      <c r="K4221">
        <v>4.1208828668441298E-2</v>
      </c>
      <c r="L4221">
        <v>848.42026176915397</v>
      </c>
      <c r="M4221">
        <v>16.624064617853701</v>
      </c>
      <c r="N4221">
        <v>51.302413812551599</v>
      </c>
      <c r="O4221">
        <v>50.314326957689403</v>
      </c>
      <c r="P4221">
        <v>-7.9186735398664193E-2</v>
      </c>
      <c r="Q4221">
        <v>4.1399757079620098E-2</v>
      </c>
      <c r="R4221">
        <v>0.98773696767616004</v>
      </c>
      <c r="S4221" t="s">
        <v>10837</v>
      </c>
      <c r="T4221" t="s">
        <v>13232</v>
      </c>
      <c r="U4221" t="s">
        <v>13232</v>
      </c>
      <c r="V4221" t="s">
        <v>13232</v>
      </c>
      <c r="W4221" t="s">
        <v>17390</v>
      </c>
      <c r="X4221">
        <v>2</v>
      </c>
      <c r="Y4221" t="s">
        <v>23808</v>
      </c>
      <c r="Z4221" t="s">
        <v>30352</v>
      </c>
      <c r="AA4221">
        <v>0.41261177579968139</v>
      </c>
      <c r="AB4221" t="str">
        <f>HYPERLINK("Melting_Curves/meltCurve_Q8IUC4_RHPN2.pdf", "Melting_Curves/meltCurve_Q8IUC4_RHPN2.pdf")</f>
        <v>Melting_Curves/meltCurve_Q8IUC4_RHPN2.pdf</v>
      </c>
    </row>
    <row r="4222" spans="1:28" x14ac:dyDescent="0.25">
      <c r="A4222" t="s">
        <v>4225</v>
      </c>
      <c r="B4222">
        <v>0.99930955844802105</v>
      </c>
      <c r="C4222">
        <v>1.0247205077263399</v>
      </c>
      <c r="D4222">
        <v>0.95783931148150403</v>
      </c>
      <c r="E4222">
        <v>0.85045960085070404</v>
      </c>
      <c r="F4222">
        <v>0.631925188454599</v>
      </c>
      <c r="G4222">
        <v>0.421284530935783</v>
      </c>
      <c r="H4222">
        <v>0.26545544542328797</v>
      </c>
      <c r="I4222">
        <v>0.23174037301756401</v>
      </c>
      <c r="J4222">
        <v>0.23051465623526499</v>
      </c>
      <c r="K4222">
        <v>0.18210893468040701</v>
      </c>
      <c r="L4222">
        <v>974.21549006666203</v>
      </c>
      <c r="M4222">
        <v>18.098612365709801</v>
      </c>
      <c r="N4222">
        <v>55.268827449541099</v>
      </c>
      <c r="O4222">
        <v>53.183933588055098</v>
      </c>
      <c r="P4222">
        <v>-6.9080769952676702E-2</v>
      </c>
      <c r="Q4222">
        <v>0.188046079948196</v>
      </c>
      <c r="R4222">
        <v>0.99757434965609604</v>
      </c>
      <c r="S4222" t="s">
        <v>10838</v>
      </c>
      <c r="T4222" t="s">
        <v>13232</v>
      </c>
      <c r="U4222" t="s">
        <v>13232</v>
      </c>
      <c r="V4222" t="s">
        <v>13232</v>
      </c>
      <c r="W4222" t="s">
        <v>17391</v>
      </c>
      <c r="X4222">
        <v>30</v>
      </c>
      <c r="Y4222" t="s">
        <v>23809</v>
      </c>
      <c r="Z4222" t="s">
        <v>30353</v>
      </c>
      <c r="AA4222">
        <v>0.57525185446786742</v>
      </c>
      <c r="AB4222" t="str">
        <f>HYPERLINK("Melting_Curves/meltCurve_Q8IUD2_ERC1.pdf", "Melting_Curves/meltCurve_Q8IUD2_ERC1.pdf")</f>
        <v>Melting_Curves/meltCurve_Q8IUD2_ERC1.pdf</v>
      </c>
    </row>
    <row r="4223" spans="1:28" x14ac:dyDescent="0.25">
      <c r="A4223" t="s">
        <v>4226</v>
      </c>
      <c r="B4223">
        <v>0.99930955844802105</v>
      </c>
      <c r="C4223">
        <v>1.31475507151621</v>
      </c>
      <c r="D4223">
        <v>1.1931712368618801</v>
      </c>
      <c r="E4223">
        <v>1.1050390151484499</v>
      </c>
      <c r="F4223">
        <v>1.0854464742173999</v>
      </c>
      <c r="G4223">
        <v>1.0811857168041401</v>
      </c>
      <c r="H4223">
        <v>1.27383178903824</v>
      </c>
      <c r="I4223">
        <v>1.4475821724486799</v>
      </c>
      <c r="J4223">
        <v>1.5047907054465799</v>
      </c>
      <c r="K4223">
        <v>1.1585534580994501</v>
      </c>
      <c r="L4223">
        <v>203.61597624083899</v>
      </c>
      <c r="M4223">
        <v>3.4827160706409899</v>
      </c>
      <c r="O4223">
        <v>45.750577802484301</v>
      </c>
      <c r="P4223">
        <v>9.7042545606143595E-3</v>
      </c>
      <c r="Q4223">
        <v>1.5</v>
      </c>
      <c r="R4223">
        <v>0.24240330497170601</v>
      </c>
      <c r="S4223" t="s">
        <v>10839</v>
      </c>
      <c r="T4223" t="s">
        <v>13232</v>
      </c>
      <c r="U4223" t="s">
        <v>13232</v>
      </c>
      <c r="V4223" t="s">
        <v>13232</v>
      </c>
      <c r="W4223" t="s">
        <v>17392</v>
      </c>
      <c r="X4223">
        <v>5</v>
      </c>
      <c r="Y4223" t="s">
        <v>23810</v>
      </c>
      <c r="Z4223" t="s">
        <v>30354</v>
      </c>
      <c r="AA4223">
        <v>1.2148716051983179</v>
      </c>
      <c r="AB4223" t="str">
        <f>HYPERLINK("Melting_Curves/meltCurve_Q8IUE1_TGIF2LX.pdf", "Melting_Curves/meltCurve_Q8IUE1_TGIF2LX.pdf")</f>
        <v>Melting_Curves/meltCurve_Q8IUE1_TGIF2LX.pdf</v>
      </c>
    </row>
    <row r="4224" spans="1:28" x14ac:dyDescent="0.25">
      <c r="A4224" t="s">
        <v>4227</v>
      </c>
      <c r="B4224">
        <v>0.99930955844802105</v>
      </c>
      <c r="C4224">
        <v>0.72863450809098596</v>
      </c>
      <c r="D4224">
        <v>0.44213092425950901</v>
      </c>
      <c r="E4224">
        <v>0.27831998547014097</v>
      </c>
      <c r="F4224">
        <v>0.149819966857034</v>
      </c>
      <c r="G4224">
        <v>9.8746946237116204E-2</v>
      </c>
      <c r="H4224">
        <v>5.9098700434227103E-2</v>
      </c>
      <c r="I4224">
        <v>5.1608153366871003E-2</v>
      </c>
      <c r="J4224">
        <v>4.8762354807605698E-2</v>
      </c>
      <c r="K4224">
        <v>3.9129576230007901E-2</v>
      </c>
      <c r="L4224">
        <v>756.99612592552796</v>
      </c>
      <c r="M4224">
        <v>16.617879920809699</v>
      </c>
      <c r="N4224">
        <v>45.862173779006</v>
      </c>
      <c r="O4224">
        <v>44.908765820495702</v>
      </c>
      <c r="P4224">
        <v>-8.7614574913189899E-2</v>
      </c>
      <c r="Q4224">
        <v>5.29722322189237E-2</v>
      </c>
      <c r="R4224">
        <v>0.98693878417463599</v>
      </c>
      <c r="S4224" t="s">
        <v>10840</v>
      </c>
      <c r="T4224" t="s">
        <v>13232</v>
      </c>
      <c r="U4224" t="s">
        <v>13232</v>
      </c>
      <c r="V4224" t="s">
        <v>13232</v>
      </c>
      <c r="W4224" t="s">
        <v>17393</v>
      </c>
      <c r="X4224">
        <v>15</v>
      </c>
      <c r="Y4224" t="s">
        <v>23811</v>
      </c>
      <c r="Z4224" t="s">
        <v>30355</v>
      </c>
      <c r="AA4224">
        <v>0.251340264510795</v>
      </c>
      <c r="AB4224" t="str">
        <f>HYPERLINK("Melting_Curves/meltCurve_Q8IUF8_MINA.pdf", "Melting_Curves/meltCurve_Q8IUF8_MINA.pdf")</f>
        <v>Melting_Curves/meltCurve_Q8IUF8_MINA.pdf</v>
      </c>
    </row>
    <row r="4225" spans="1:28" x14ac:dyDescent="0.25">
      <c r="A4225" t="s">
        <v>4228</v>
      </c>
      <c r="B4225">
        <v>0.99930955844802105</v>
      </c>
      <c r="C4225">
        <v>1.07896222840137</v>
      </c>
      <c r="D4225">
        <v>1.0301914273216199</v>
      </c>
      <c r="E4225">
        <v>0.94598727580503394</v>
      </c>
      <c r="F4225">
        <v>0.86371775010131202</v>
      </c>
      <c r="G4225">
        <v>0.73253095527072598</v>
      </c>
      <c r="H4225">
        <v>0.72847821234488197</v>
      </c>
      <c r="I4225">
        <v>0.76694333667093595</v>
      </c>
      <c r="J4225">
        <v>0.79744534391967103</v>
      </c>
      <c r="K4225">
        <v>0.67864276546984204</v>
      </c>
      <c r="L4225">
        <v>1848.8638270111601</v>
      </c>
      <c r="M4225">
        <v>35.164537276891501</v>
      </c>
      <c r="O4225">
        <v>52.408342719422599</v>
      </c>
      <c r="P4225">
        <v>-4.3890373876996999E-2</v>
      </c>
      <c r="Q4225">
        <v>0.738348463086135</v>
      </c>
      <c r="R4225">
        <v>0.91140364998465795</v>
      </c>
      <c r="S4225" t="s">
        <v>10841</v>
      </c>
      <c r="T4225" t="s">
        <v>13232</v>
      </c>
      <c r="U4225" t="s">
        <v>13232</v>
      </c>
      <c r="V4225" t="s">
        <v>13232</v>
      </c>
      <c r="W4225" t="s">
        <v>17394</v>
      </c>
      <c r="X4225">
        <v>7</v>
      </c>
      <c r="Y4225" t="s">
        <v>23812</v>
      </c>
      <c r="Z4225" t="s">
        <v>30356</v>
      </c>
      <c r="AA4225">
        <v>0.84927613168935279</v>
      </c>
      <c r="AB4225" t="str">
        <f>HYPERLINK("Melting_Curves/meltCurve_Q8IUG5_MYO18B.pdf", "Melting_Curves/meltCurve_Q8IUG5_MYO18B.pdf")</f>
        <v>Melting_Curves/meltCurve_Q8IUG5_MYO18B.pdf</v>
      </c>
    </row>
    <row r="4226" spans="1:28" x14ac:dyDescent="0.25">
      <c r="A4226" t="s">
        <v>4229</v>
      </c>
      <c r="B4226">
        <v>0.99930955844802105</v>
      </c>
      <c r="C4226">
        <v>0.82558516635261503</v>
      </c>
      <c r="D4226">
        <v>0.76515524831025905</v>
      </c>
      <c r="E4226">
        <v>0.558707286718642</v>
      </c>
      <c r="F4226">
        <v>0.41879698077354199</v>
      </c>
      <c r="G4226">
        <v>0.28584180434012801</v>
      </c>
      <c r="H4226">
        <v>0.16286473079376601</v>
      </c>
      <c r="I4226">
        <v>0.13462686556303199</v>
      </c>
      <c r="J4226">
        <v>7.8147779791677405E-2</v>
      </c>
      <c r="K4226">
        <v>6.7766167982457007E-2</v>
      </c>
      <c r="L4226">
        <v>504.65688424676802</v>
      </c>
      <c r="M4226">
        <v>9.8414333770985696</v>
      </c>
      <c r="N4226">
        <v>51.2787827895514</v>
      </c>
      <c r="O4226">
        <v>49.296135011178698</v>
      </c>
      <c r="P4226">
        <v>-4.9935569287437302E-2</v>
      </c>
      <c r="Q4226">
        <v>0</v>
      </c>
      <c r="R4226">
        <v>0.99403419642897095</v>
      </c>
      <c r="S4226" t="s">
        <v>10842</v>
      </c>
      <c r="T4226" t="s">
        <v>13232</v>
      </c>
      <c r="U4226" t="s">
        <v>13232</v>
      </c>
      <c r="V4226" t="s">
        <v>13232</v>
      </c>
      <c r="W4226" t="s">
        <v>17395</v>
      </c>
      <c r="X4226">
        <v>2</v>
      </c>
      <c r="Y4226" t="s">
        <v>23813</v>
      </c>
      <c r="Z4226" t="s">
        <v>30357</v>
      </c>
      <c r="AA4226">
        <v>0.41732483016701771</v>
      </c>
      <c r="AB4226" t="str">
        <f>HYPERLINK("Melting_Curves/meltCurve_Q8IUH3_2_RBM45.pdf", "Melting_Curves/meltCurve_Q8IUH3_2_RBM45.pdf")</f>
        <v>Melting_Curves/meltCurve_Q8IUH3_2_RBM45.pdf</v>
      </c>
    </row>
    <row r="4227" spans="1:28" x14ac:dyDescent="0.25">
      <c r="A4227" t="s">
        <v>4230</v>
      </c>
      <c r="B4227">
        <v>0.99930955844802105</v>
      </c>
      <c r="C4227">
        <v>1.0568527589982799</v>
      </c>
      <c r="D4227">
        <v>1.0241549081541901</v>
      </c>
      <c r="E4227">
        <v>0.68130994088461105</v>
      </c>
      <c r="F4227">
        <v>0.26681814570838103</v>
      </c>
      <c r="G4227">
        <v>0.17935467952012599</v>
      </c>
      <c r="H4227">
        <v>0.11008083081079501</v>
      </c>
      <c r="I4227">
        <v>0.10464366402105101</v>
      </c>
      <c r="J4227">
        <v>9.5618245710303099E-2</v>
      </c>
      <c r="K4227">
        <v>7.0991063224515302E-2</v>
      </c>
      <c r="L4227">
        <v>1860.4537139374099</v>
      </c>
      <c r="M4227">
        <v>36.592756278756198</v>
      </c>
      <c r="N4227">
        <v>51.179240990051198</v>
      </c>
      <c r="O4227">
        <v>50.691014746339299</v>
      </c>
      <c r="P4227">
        <v>-0.16114313766441701</v>
      </c>
      <c r="Q4227">
        <v>0.10709283684827101</v>
      </c>
      <c r="R4227">
        <v>0.99413678067442401</v>
      </c>
      <c r="S4227" t="s">
        <v>10843</v>
      </c>
      <c r="T4227" t="s">
        <v>13232</v>
      </c>
      <c r="U4227" t="s">
        <v>13232</v>
      </c>
      <c r="V4227" t="s">
        <v>13232</v>
      </c>
      <c r="W4227" t="s">
        <v>17396</v>
      </c>
      <c r="X4227">
        <v>17</v>
      </c>
      <c r="Y4227" t="s">
        <v>23814</v>
      </c>
      <c r="Z4227" t="s">
        <v>30358</v>
      </c>
      <c r="AA4227">
        <v>0.43354798762852298</v>
      </c>
      <c r="AB4227" t="str">
        <f>HYPERLINK("Melting_Curves/meltCurve_Q8IUI8_CRLF3.pdf", "Melting_Curves/meltCurve_Q8IUI8_CRLF3.pdf")</f>
        <v>Melting_Curves/meltCurve_Q8IUI8_CRLF3.pdf</v>
      </c>
    </row>
    <row r="4228" spans="1:28" x14ac:dyDescent="0.25">
      <c r="A4228" t="s">
        <v>4231</v>
      </c>
      <c r="B4228">
        <v>0.99930955844802105</v>
      </c>
      <c r="C4228">
        <v>0.94201410351431702</v>
      </c>
      <c r="D4228">
        <v>0.88306702013409399</v>
      </c>
      <c r="E4228">
        <v>0.60505092021925599</v>
      </c>
      <c r="F4228">
        <v>0.24770943196679401</v>
      </c>
      <c r="G4228">
        <v>0.14270320414950399</v>
      </c>
      <c r="H4228">
        <v>7.3052678745273603E-2</v>
      </c>
      <c r="I4228">
        <v>6.2338217400405897E-2</v>
      </c>
      <c r="J4228">
        <v>6.4270867183536806E-2</v>
      </c>
      <c r="K4228">
        <v>5.0730041066532797E-2</v>
      </c>
      <c r="L4228">
        <v>1134.4825382254</v>
      </c>
      <c r="M4228">
        <v>22.513737961371501</v>
      </c>
      <c r="N4228">
        <v>50.655299898989597</v>
      </c>
      <c r="O4228">
        <v>49.998168958624703</v>
      </c>
      <c r="P4228">
        <v>-0.106330101292718</v>
      </c>
      <c r="Q4228">
        <v>5.5474127843779399E-2</v>
      </c>
      <c r="R4228">
        <v>0.99621885274133903</v>
      </c>
      <c r="S4228" t="s">
        <v>10844</v>
      </c>
      <c r="T4228" t="s">
        <v>13232</v>
      </c>
      <c r="U4228" t="s">
        <v>13232</v>
      </c>
      <c r="V4228" t="s">
        <v>13232</v>
      </c>
      <c r="W4228" t="s">
        <v>17397</v>
      </c>
      <c r="X4228">
        <v>5</v>
      </c>
      <c r="Y4228" t="s">
        <v>23815</v>
      </c>
      <c r="Z4228" t="s">
        <v>30359</v>
      </c>
      <c r="AA4228">
        <v>0.39304762496022477</v>
      </c>
      <c r="AB4228" t="str">
        <f>HYPERLINK("Melting_Curves/meltCurve_Q8IUR0_TRAPPC5.pdf", "Melting_Curves/meltCurve_Q8IUR0_TRAPPC5.pdf")</f>
        <v>Melting_Curves/meltCurve_Q8IUR0_TRAPPC5.pdf</v>
      </c>
    </row>
    <row r="4229" spans="1:28" x14ac:dyDescent="0.25">
      <c r="A4229" t="s">
        <v>4232</v>
      </c>
      <c r="B4229">
        <v>0.99930955844802105</v>
      </c>
      <c r="C4229">
        <v>1.0281907463079101</v>
      </c>
      <c r="D4229">
        <v>0.94681772237358797</v>
      </c>
      <c r="E4229">
        <v>0.60933293076642003</v>
      </c>
      <c r="F4229">
        <v>0.25091837844590198</v>
      </c>
      <c r="G4229">
        <v>0.187218922629972</v>
      </c>
      <c r="H4229">
        <v>0.14582154014309701</v>
      </c>
      <c r="I4229">
        <v>0.14697182252999699</v>
      </c>
      <c r="J4229">
        <v>0.15364987412828299</v>
      </c>
      <c r="K4229">
        <v>0.12761076498401999</v>
      </c>
      <c r="L4229">
        <v>1729.92339780631</v>
      </c>
      <c r="M4229">
        <v>34.466621527454002</v>
      </c>
      <c r="N4229">
        <v>50.703553044977099</v>
      </c>
      <c r="O4229">
        <v>50.023207801153298</v>
      </c>
      <c r="P4229">
        <v>-0.146926800877308</v>
      </c>
      <c r="Q4229">
        <v>0.14703304435127801</v>
      </c>
      <c r="R4229">
        <v>0.99809242863854897</v>
      </c>
      <c r="S4229" t="s">
        <v>10845</v>
      </c>
      <c r="T4229" t="s">
        <v>13232</v>
      </c>
      <c r="U4229" t="s">
        <v>13232</v>
      </c>
      <c r="V4229" t="s">
        <v>13232</v>
      </c>
      <c r="W4229" t="s">
        <v>17398</v>
      </c>
      <c r="X4229">
        <v>1</v>
      </c>
      <c r="Y4229" t="s">
        <v>23816</v>
      </c>
      <c r="Z4229" t="s">
        <v>30360</v>
      </c>
      <c r="AA4229">
        <v>0.4407915234659176</v>
      </c>
      <c r="AB4229" t="str">
        <f>HYPERLINK("Melting_Curves/meltCurve_Q8IUW1_ANKRD10.pdf", "Melting_Curves/meltCurve_Q8IUW1_ANKRD10.pdf")</f>
        <v>Melting_Curves/meltCurve_Q8IUW1_ANKRD10.pdf</v>
      </c>
    </row>
    <row r="4230" spans="1:28" x14ac:dyDescent="0.25">
      <c r="A4230" t="s">
        <v>4233</v>
      </c>
      <c r="B4230">
        <v>0.99930955844802105</v>
      </c>
      <c r="C4230">
        <v>0.982953935453178</v>
      </c>
      <c r="D4230">
        <v>0.93098635825047504</v>
      </c>
      <c r="E4230">
        <v>0.88969214146272102</v>
      </c>
      <c r="F4230">
        <v>0.86363710467215005</v>
      </c>
      <c r="G4230">
        <v>0.66095859164294701</v>
      </c>
      <c r="H4230">
        <v>0.37014929022098297</v>
      </c>
      <c r="I4230">
        <v>0.26609086946409599</v>
      </c>
      <c r="J4230">
        <v>0.21134354242952999</v>
      </c>
      <c r="K4230">
        <v>0.16687355467729401</v>
      </c>
      <c r="L4230">
        <v>896.85599973015201</v>
      </c>
      <c r="M4230">
        <v>15.368644463651799</v>
      </c>
      <c r="N4230">
        <v>59.141589062121902</v>
      </c>
      <c r="O4230">
        <v>57.394967700464399</v>
      </c>
      <c r="P4230">
        <v>-6.07689691193238E-2</v>
      </c>
      <c r="Q4230">
        <v>9.2304432689156404E-2</v>
      </c>
      <c r="R4230">
        <v>0.99243702389738497</v>
      </c>
      <c r="S4230" t="s">
        <v>10846</v>
      </c>
      <c r="T4230" t="s">
        <v>13232</v>
      </c>
      <c r="U4230" t="s">
        <v>13232</v>
      </c>
      <c r="V4230" t="s">
        <v>13232</v>
      </c>
      <c r="W4230" t="s">
        <v>17399</v>
      </c>
      <c r="X4230">
        <v>12</v>
      </c>
      <c r="Y4230" t="s">
        <v>23817</v>
      </c>
      <c r="Z4230" t="s">
        <v>30361</v>
      </c>
      <c r="AA4230">
        <v>0.6589920325129166</v>
      </c>
      <c r="AB4230" t="str">
        <f>HYPERLINK("Melting_Curves/meltCurve_Q8IUZ5_AGXT2L2.pdf", "Melting_Curves/meltCurve_Q8IUZ5_AGXT2L2.pdf")</f>
        <v>Melting_Curves/meltCurve_Q8IUZ5_AGXT2L2.pdf</v>
      </c>
    </row>
    <row r="4231" spans="1:28" x14ac:dyDescent="0.25">
      <c r="A4231" t="s">
        <v>4234</v>
      </c>
      <c r="B4231">
        <v>0.99930955844802105</v>
      </c>
      <c r="C4231">
        <v>1.1733761071641799</v>
      </c>
      <c r="D4231">
        <v>1.06387443368875</v>
      </c>
      <c r="E4231">
        <v>0.80629746321111895</v>
      </c>
      <c r="F4231">
        <v>0.52321460806587905</v>
      </c>
      <c r="G4231">
        <v>0.35972376961760999</v>
      </c>
      <c r="H4231">
        <v>0.193455122018453</v>
      </c>
      <c r="I4231">
        <v>0.138044821107805</v>
      </c>
      <c r="J4231">
        <v>0.100229947978794</v>
      </c>
      <c r="K4231">
        <v>7.8001837323925904E-2</v>
      </c>
      <c r="L4231">
        <v>1056.06386743504</v>
      </c>
      <c r="M4231">
        <v>19.7729525887639</v>
      </c>
      <c r="N4231">
        <v>54.021156947243497</v>
      </c>
      <c r="O4231">
        <v>52.872245539259097</v>
      </c>
      <c r="P4231">
        <v>-8.4120106260354405E-2</v>
      </c>
      <c r="Q4231">
        <v>0.100293047585626</v>
      </c>
      <c r="R4231">
        <v>0.96937459185655295</v>
      </c>
      <c r="S4231" t="s">
        <v>10847</v>
      </c>
      <c r="T4231" t="s">
        <v>13232</v>
      </c>
      <c r="U4231" t="s">
        <v>13232</v>
      </c>
      <c r="V4231" t="s">
        <v>13232</v>
      </c>
      <c r="W4231" t="s">
        <v>17400</v>
      </c>
      <c r="X4231">
        <v>6</v>
      </c>
      <c r="Y4231" t="s">
        <v>23818</v>
      </c>
      <c r="Z4231" t="s">
        <v>30362</v>
      </c>
      <c r="AA4231">
        <v>0.51500865915795191</v>
      </c>
      <c r="AB4231" t="str">
        <f>HYPERLINK("Melting_Curves/meltCurve_Q8IV08_PLD3.pdf", "Melting_Curves/meltCurve_Q8IV08_PLD3.pdf")</f>
        <v>Melting_Curves/meltCurve_Q8IV08_PLD3.pdf</v>
      </c>
    </row>
    <row r="4232" spans="1:28" x14ac:dyDescent="0.25">
      <c r="A4232" t="s">
        <v>4235</v>
      </c>
      <c r="B4232">
        <v>0.99930955844802105</v>
      </c>
      <c r="C4232">
        <v>0.95143430839723597</v>
      </c>
      <c r="D4232">
        <v>0.83083861301914197</v>
      </c>
      <c r="E4232">
        <v>0.59371371400000705</v>
      </c>
      <c r="F4232">
        <v>0.39087955383749401</v>
      </c>
      <c r="G4232">
        <v>0.29184845490240902</v>
      </c>
      <c r="H4232">
        <v>0.25114694004517302</v>
      </c>
      <c r="I4232">
        <v>0.27485607196301298</v>
      </c>
      <c r="J4232">
        <v>0.243398339658151</v>
      </c>
      <c r="K4232">
        <v>0.22677497808774399</v>
      </c>
      <c r="L4232">
        <v>904.10798932689397</v>
      </c>
      <c r="M4232">
        <v>18.310556360994301</v>
      </c>
      <c r="N4232">
        <v>51.161652310040601</v>
      </c>
      <c r="O4232">
        <v>48.798694975037698</v>
      </c>
      <c r="P4232">
        <v>-7.1663921640618994E-2</v>
      </c>
      <c r="Q4232">
        <v>0.23608119915058901</v>
      </c>
      <c r="R4232">
        <v>0.99794034231530604</v>
      </c>
      <c r="S4232" t="s">
        <v>10848</v>
      </c>
      <c r="T4232" t="s">
        <v>13232</v>
      </c>
      <c r="U4232" t="s">
        <v>13232</v>
      </c>
      <c r="V4232" t="s">
        <v>13232</v>
      </c>
      <c r="W4232" t="s">
        <v>17401</v>
      </c>
      <c r="X4232">
        <v>1</v>
      </c>
      <c r="Y4232" t="s">
        <v>23819</v>
      </c>
      <c r="Z4232" t="s">
        <v>30363</v>
      </c>
      <c r="AA4232">
        <v>0.48755094147548689</v>
      </c>
      <c r="AB4232" t="str">
        <f>HYPERLINK("Melting_Curves/meltCurve_Q8IV32_CCDC71.pdf", "Melting_Curves/meltCurve_Q8IV32_CCDC71.pdf")</f>
        <v>Melting_Curves/meltCurve_Q8IV32_CCDC71.pdf</v>
      </c>
    </row>
    <row r="4233" spans="1:28" x14ac:dyDescent="0.25">
      <c r="A4233" t="s">
        <v>4236</v>
      </c>
      <c r="B4233">
        <v>0.99930955844802105</v>
      </c>
      <c r="C4233">
        <v>1.0800465447165599</v>
      </c>
      <c r="D4233">
        <v>1.01296641108928</v>
      </c>
      <c r="E4233">
        <v>0.75591852273590299</v>
      </c>
      <c r="F4233">
        <v>0.23050845069933801</v>
      </c>
      <c r="G4233">
        <v>0.15949020960101601</v>
      </c>
      <c r="H4233">
        <v>9.0737108724557397E-2</v>
      </c>
      <c r="I4233">
        <v>7.4879939313394497E-2</v>
      </c>
      <c r="J4233">
        <v>7.0787688096608098E-2</v>
      </c>
      <c r="K4233">
        <v>5.1153225301048301E-2</v>
      </c>
      <c r="L4233">
        <v>2307.81155424086</v>
      </c>
      <c r="M4233">
        <v>45.156235592715099</v>
      </c>
      <c r="N4233">
        <v>51.322554658343002</v>
      </c>
      <c r="O4233">
        <v>51.007331183964297</v>
      </c>
      <c r="P4233">
        <v>-0.20222607047378999</v>
      </c>
      <c r="Q4233">
        <v>8.6283501530273296E-2</v>
      </c>
      <c r="R4233">
        <v>0.99301922791915398</v>
      </c>
      <c r="S4233" t="s">
        <v>10849</v>
      </c>
      <c r="T4233" t="s">
        <v>13232</v>
      </c>
      <c r="U4233" t="s">
        <v>13232</v>
      </c>
      <c r="V4233" t="s">
        <v>13232</v>
      </c>
      <c r="W4233" t="s">
        <v>17402</v>
      </c>
      <c r="X4233">
        <v>10</v>
      </c>
      <c r="Y4233" t="s">
        <v>23820</v>
      </c>
      <c r="Z4233" t="s">
        <v>30364</v>
      </c>
      <c r="AA4233">
        <v>0.4271081877582647</v>
      </c>
      <c r="AB4233" t="str">
        <f>HYPERLINK("Melting_Curves/meltCurve_Q8IV38_ANKMY2.pdf", "Melting_Curves/meltCurve_Q8IV38_ANKMY2.pdf")</f>
        <v>Melting_Curves/meltCurve_Q8IV38_ANKMY2.pdf</v>
      </c>
    </row>
    <row r="4234" spans="1:28" x14ac:dyDescent="0.25">
      <c r="A4234" t="s">
        <v>4237</v>
      </c>
      <c r="B4234">
        <v>0.99930955844802105</v>
      </c>
      <c r="C4234">
        <v>0.77835170910117102</v>
      </c>
      <c r="D4234">
        <v>0.29321796314691301</v>
      </c>
      <c r="E4234">
        <v>0.247988406254223</v>
      </c>
      <c r="F4234">
        <v>0.15511147666686201</v>
      </c>
      <c r="G4234">
        <v>0.117823826213139</v>
      </c>
      <c r="H4234">
        <v>8.7169290933261201E-2</v>
      </c>
      <c r="I4234">
        <v>8.2713001983214393E-2</v>
      </c>
      <c r="J4234">
        <v>7.9990541028578305E-2</v>
      </c>
      <c r="K4234">
        <v>6.3640614720152103E-2</v>
      </c>
      <c r="L4234">
        <v>1393.0856289462599</v>
      </c>
      <c r="M4234">
        <v>31.4291717990141</v>
      </c>
      <c r="N4234">
        <v>44.682634385300297</v>
      </c>
      <c r="O4234">
        <v>44.146328372963801</v>
      </c>
      <c r="P4234">
        <v>-0.15817206098612099</v>
      </c>
      <c r="Q4234">
        <v>0.111312726008711</v>
      </c>
      <c r="R4234">
        <v>0.97862098248110796</v>
      </c>
      <c r="S4234" t="s">
        <v>10850</v>
      </c>
      <c r="T4234" t="s">
        <v>13232</v>
      </c>
      <c r="U4234" t="s">
        <v>13232</v>
      </c>
      <c r="V4234" t="s">
        <v>13232</v>
      </c>
      <c r="W4234" t="s">
        <v>17403</v>
      </c>
      <c r="X4234">
        <v>9</v>
      </c>
      <c r="Y4234" t="s">
        <v>23821</v>
      </c>
      <c r="Z4234" t="s">
        <v>30365</v>
      </c>
      <c r="AA4234">
        <v>0.2449146354399874</v>
      </c>
      <c r="AB4234" t="str">
        <f>HYPERLINK("Melting_Curves/meltCurve_Q8IV48_ERI1.pdf", "Melting_Curves/meltCurve_Q8IV48_ERI1.pdf")</f>
        <v>Melting_Curves/meltCurve_Q8IV48_ERI1.pdf</v>
      </c>
    </row>
    <row r="4235" spans="1:28" x14ac:dyDescent="0.25">
      <c r="A4235" t="s">
        <v>4238</v>
      </c>
      <c r="B4235">
        <v>0.99930955844802105</v>
      </c>
      <c r="C4235">
        <v>1.0624899533988601</v>
      </c>
      <c r="D4235">
        <v>1.0573463560471501</v>
      </c>
      <c r="E4235">
        <v>0.926380835424229</v>
      </c>
      <c r="F4235">
        <v>0.82857880197963196</v>
      </c>
      <c r="G4235">
        <v>0.60782566104136104</v>
      </c>
      <c r="H4235">
        <v>0.53288660978284197</v>
      </c>
      <c r="I4235">
        <v>0.506099806135059</v>
      </c>
      <c r="J4235">
        <v>0.47775688082981199</v>
      </c>
      <c r="K4235">
        <v>0.42349683519644299</v>
      </c>
      <c r="L4235">
        <v>1177.7004297768301</v>
      </c>
      <c r="M4235">
        <v>21.482954225580599</v>
      </c>
      <c r="N4235">
        <v>61.977051777770498</v>
      </c>
      <c r="O4235">
        <v>54.3518584699816</v>
      </c>
      <c r="P4235">
        <v>-5.3542854893835597E-2</v>
      </c>
      <c r="Q4235">
        <v>0.45815986197129199</v>
      </c>
      <c r="R4235">
        <v>0.98079303749019597</v>
      </c>
      <c r="S4235" t="s">
        <v>10851</v>
      </c>
      <c r="T4235" t="s">
        <v>13232</v>
      </c>
      <c r="U4235" t="s">
        <v>13232</v>
      </c>
      <c r="V4235" t="s">
        <v>13232</v>
      </c>
      <c r="W4235" t="s">
        <v>17404</v>
      </c>
      <c r="X4235">
        <v>4</v>
      </c>
      <c r="Y4235" t="s">
        <v>23822</v>
      </c>
      <c r="Z4235" t="s">
        <v>30366</v>
      </c>
      <c r="AA4235">
        <v>0.7323129884782893</v>
      </c>
      <c r="AB4235" t="str">
        <f>HYPERLINK("Melting_Curves/meltCurve_Q8IV50_LYSMD2.pdf", "Melting_Curves/meltCurve_Q8IV50_LYSMD2.pdf")</f>
        <v>Melting_Curves/meltCurve_Q8IV50_LYSMD2.pdf</v>
      </c>
    </row>
    <row r="4236" spans="1:28" x14ac:dyDescent="0.25">
      <c r="A4236" t="s">
        <v>4239</v>
      </c>
      <c r="B4236">
        <v>0.99930955844802105</v>
      </c>
      <c r="C4236">
        <v>1.11422759446269</v>
      </c>
      <c r="D4236">
        <v>1.07288757415095</v>
      </c>
      <c r="E4236">
        <v>0.81812524184719304</v>
      </c>
      <c r="F4236">
        <v>0.60569917637795501</v>
      </c>
      <c r="G4236">
        <v>0.48847491241058399</v>
      </c>
      <c r="H4236">
        <v>0.55187963546762797</v>
      </c>
      <c r="I4236">
        <v>0.52725226222101595</v>
      </c>
      <c r="J4236">
        <v>0.68859250459549104</v>
      </c>
      <c r="K4236">
        <v>0.5082983892845</v>
      </c>
      <c r="L4236">
        <v>2618.2722756202402</v>
      </c>
      <c r="M4236">
        <v>51.937422482617002</v>
      </c>
      <c r="O4236">
        <v>50.337487526273698</v>
      </c>
      <c r="P4236">
        <v>-0.114645118750793</v>
      </c>
      <c r="Q4236">
        <v>0.55554645061164998</v>
      </c>
      <c r="R4236">
        <v>0.91783495764719503</v>
      </c>
      <c r="S4236" t="s">
        <v>10852</v>
      </c>
      <c r="T4236" t="s">
        <v>13232</v>
      </c>
      <c r="U4236" t="s">
        <v>13232</v>
      </c>
      <c r="V4236" t="s">
        <v>13232</v>
      </c>
      <c r="W4236" t="s">
        <v>17405</v>
      </c>
      <c r="X4236">
        <v>7</v>
      </c>
      <c r="Y4236" t="s">
        <v>23823</v>
      </c>
      <c r="Z4236" t="s">
        <v>30367</v>
      </c>
      <c r="AA4236">
        <v>0.71071788947585701</v>
      </c>
      <c r="AB4236" t="str">
        <f>HYPERLINK("Melting_Curves/meltCurve_Q8IV63_3_VRK3.pdf", "Melting_Curves/meltCurve_Q8IV63_3_VRK3.pdf")</f>
        <v>Melting_Curves/meltCurve_Q8IV63_3_VRK3.pdf</v>
      </c>
    </row>
    <row r="4237" spans="1:28" x14ac:dyDescent="0.25">
      <c r="A4237" t="s">
        <v>4240</v>
      </c>
      <c r="B4237">
        <v>0.99930955844802105</v>
      </c>
      <c r="C4237">
        <v>1.0375597715481799</v>
      </c>
      <c r="D4237">
        <v>0.86723207319840101</v>
      </c>
      <c r="E4237">
        <v>0.93435071581061102</v>
      </c>
      <c r="F4237">
        <v>0.63500879029578605</v>
      </c>
      <c r="G4237">
        <v>0.32858570963627798</v>
      </c>
      <c r="H4237">
        <v>0.160760831583866</v>
      </c>
      <c r="I4237">
        <v>0.118018509397743</v>
      </c>
      <c r="J4237">
        <v>9.7304842450352605E-2</v>
      </c>
      <c r="K4237">
        <v>7.8720382334529604E-2</v>
      </c>
      <c r="L4237">
        <v>1170.80247379551</v>
      </c>
      <c r="M4237">
        <v>21.555966247652499</v>
      </c>
      <c r="N4237">
        <v>54.754949815501803</v>
      </c>
      <c r="O4237">
        <v>53.853579217711101</v>
      </c>
      <c r="P4237">
        <v>-9.2105391827422098E-2</v>
      </c>
      <c r="Q4237">
        <v>7.9589397829065794E-2</v>
      </c>
      <c r="R4237">
        <v>0.98744365270941004</v>
      </c>
      <c r="S4237" t="s">
        <v>10853</v>
      </c>
      <c r="T4237" t="s">
        <v>13232</v>
      </c>
      <c r="U4237" t="s">
        <v>13232</v>
      </c>
      <c r="V4237" t="s">
        <v>13232</v>
      </c>
      <c r="W4237" t="s">
        <v>17406</v>
      </c>
      <c r="X4237">
        <v>18</v>
      </c>
      <c r="Y4237" t="s">
        <v>23824</v>
      </c>
      <c r="Z4237" t="s">
        <v>30368</v>
      </c>
      <c r="AA4237">
        <v>0.52978523182173753</v>
      </c>
      <c r="AB4237" t="str">
        <f>HYPERLINK("Melting_Curves/meltCurve_Q8IVD9_NUDCD3.pdf", "Melting_Curves/meltCurve_Q8IVD9_NUDCD3.pdf")</f>
        <v>Melting_Curves/meltCurve_Q8IVD9_NUDCD3.pdf</v>
      </c>
    </row>
    <row r="4238" spans="1:28" x14ac:dyDescent="0.25">
      <c r="A4238" t="s">
        <v>4241</v>
      </c>
      <c r="B4238">
        <v>0.99930955844802105</v>
      </c>
      <c r="C4238">
        <v>1.00258229510679</v>
      </c>
      <c r="D4238">
        <v>1.0151402700855501</v>
      </c>
      <c r="E4238">
        <v>0.95411590384964495</v>
      </c>
      <c r="F4238">
        <v>0.84107040015127799</v>
      </c>
      <c r="G4238">
        <v>0.79820116485294901</v>
      </c>
      <c r="H4238">
        <v>0.83850797118348697</v>
      </c>
      <c r="I4238">
        <v>0.97441991870795897</v>
      </c>
      <c r="J4238">
        <v>0.96938061674723897</v>
      </c>
      <c r="K4238">
        <v>0.77930942103370404</v>
      </c>
      <c r="L4238">
        <v>12532.1619351151</v>
      </c>
      <c r="M4238">
        <v>250</v>
      </c>
      <c r="O4238">
        <v>50.125446320694998</v>
      </c>
      <c r="P4238">
        <v>-0.16606475234576701</v>
      </c>
      <c r="Q4238">
        <v>0.86681490007071005</v>
      </c>
      <c r="R4238">
        <v>0.52507453391659897</v>
      </c>
      <c r="S4238" t="s">
        <v>10854</v>
      </c>
      <c r="T4238" t="s">
        <v>13232</v>
      </c>
      <c r="U4238" t="s">
        <v>13232</v>
      </c>
      <c r="V4238" t="s">
        <v>13232</v>
      </c>
      <c r="W4238" t="s">
        <v>17407</v>
      </c>
      <c r="X4238">
        <v>25</v>
      </c>
      <c r="Y4238" t="s">
        <v>23825</v>
      </c>
      <c r="Z4238" t="s">
        <v>30369</v>
      </c>
      <c r="AA4238">
        <v>0.91179278241148476</v>
      </c>
      <c r="AB4238" t="str">
        <f>HYPERLINK("Melting_Curves/meltCurve_Q8IVL1_10_NAV2.pdf", "Melting_Curves/meltCurve_Q8IVL1_10_NAV2.pdf")</f>
        <v>Melting_Curves/meltCurve_Q8IVL1_10_NAV2.pdf</v>
      </c>
    </row>
    <row r="4239" spans="1:28" x14ac:dyDescent="0.25">
      <c r="A4239" t="s">
        <v>4242</v>
      </c>
      <c r="B4239">
        <v>0.99930955844802105</v>
      </c>
      <c r="C4239">
        <v>1.1240794760088899</v>
      </c>
      <c r="D4239">
        <v>1.1070143490077999</v>
      </c>
      <c r="E4239">
        <v>1.00110146322462</v>
      </c>
      <c r="F4239">
        <v>0.87807574787665199</v>
      </c>
      <c r="G4239">
        <v>0.791448875582482</v>
      </c>
      <c r="H4239">
        <v>0.88054137162631196</v>
      </c>
      <c r="I4239">
        <v>0.99716996486389098</v>
      </c>
      <c r="J4239">
        <v>0.97293075777289595</v>
      </c>
      <c r="K4239">
        <v>0.77959916968997001</v>
      </c>
      <c r="L4239">
        <v>12829.0084334454</v>
      </c>
      <c r="M4239">
        <v>250</v>
      </c>
      <c r="O4239">
        <v>51.312749901870099</v>
      </c>
      <c r="P4239">
        <v>-0.14215763485855901</v>
      </c>
      <c r="Q4239">
        <v>0.88328801363312504</v>
      </c>
      <c r="R4239">
        <v>0.47111797142661199</v>
      </c>
      <c r="S4239" t="s">
        <v>10855</v>
      </c>
      <c r="T4239" t="s">
        <v>13232</v>
      </c>
      <c r="U4239" t="s">
        <v>13232</v>
      </c>
      <c r="V4239" t="s">
        <v>13232</v>
      </c>
      <c r="W4239" t="s">
        <v>17408</v>
      </c>
      <c r="X4239">
        <v>19</v>
      </c>
      <c r="Y4239" t="s">
        <v>23826</v>
      </c>
      <c r="Z4239" t="s">
        <v>30370</v>
      </c>
      <c r="AA4239">
        <v>0.92732241707476937</v>
      </c>
      <c r="AB4239" t="str">
        <f>HYPERLINK("Melting_Curves/meltCurve_Q8IVM0_CCDC50.pdf", "Melting_Curves/meltCurve_Q8IVM0_CCDC50.pdf")</f>
        <v>Melting_Curves/meltCurve_Q8IVM0_CCDC50.pdf</v>
      </c>
    </row>
    <row r="4240" spans="1:28" x14ac:dyDescent="0.25">
      <c r="A4240" t="s">
        <v>4243</v>
      </c>
      <c r="B4240">
        <v>0.99930955844802105</v>
      </c>
      <c r="C4240">
        <v>0.99744292966308201</v>
      </c>
      <c r="D4240">
        <v>1.0384794844865699</v>
      </c>
      <c r="E4240">
        <v>0.93388969544298095</v>
      </c>
      <c r="F4240">
        <v>1.0031129601225499</v>
      </c>
      <c r="G4240">
        <v>0.61435569402761303</v>
      </c>
      <c r="H4240">
        <v>0.11779865935034101</v>
      </c>
      <c r="I4240">
        <v>0.106637756484823</v>
      </c>
      <c r="J4240">
        <v>8.96469263976266E-2</v>
      </c>
      <c r="K4240">
        <v>7.6760888660328194E-2</v>
      </c>
      <c r="L4240">
        <v>3330.37137569792</v>
      </c>
      <c r="M4240">
        <v>58.118647205513803</v>
      </c>
      <c r="N4240">
        <v>57.500663198004503</v>
      </c>
      <c r="O4240">
        <v>57.235249691228503</v>
      </c>
      <c r="P4240">
        <v>-0.23087024303486101</v>
      </c>
      <c r="Q4240">
        <v>9.0556269559452202E-2</v>
      </c>
      <c r="R4240">
        <v>0.99646130970202695</v>
      </c>
      <c r="S4240" t="s">
        <v>10856</v>
      </c>
      <c r="T4240" t="s">
        <v>13232</v>
      </c>
      <c r="U4240" t="s">
        <v>13232</v>
      </c>
      <c r="V4240" t="s">
        <v>13232</v>
      </c>
      <c r="W4240" t="s">
        <v>17409</v>
      </c>
      <c r="X4240">
        <v>1</v>
      </c>
      <c r="Y4240" t="s">
        <v>23827</v>
      </c>
      <c r="Z4240" t="s">
        <v>30371</v>
      </c>
      <c r="AA4240">
        <v>0.61679000751480173</v>
      </c>
      <c r="AB4240" t="str">
        <f>HYPERLINK("Melting_Curves/meltCurve_Q8IVV2_LOXHD1.pdf", "Melting_Curves/meltCurve_Q8IVV2_LOXHD1.pdf")</f>
        <v>Melting_Curves/meltCurve_Q8IVV2_LOXHD1.pdf</v>
      </c>
    </row>
    <row r="4241" spans="1:28" x14ac:dyDescent="0.25">
      <c r="A4241" t="s">
        <v>4244</v>
      </c>
      <c r="B4241">
        <v>0.99930955844802105</v>
      </c>
      <c r="C4241">
        <v>0.98140608395408802</v>
      </c>
      <c r="D4241">
        <v>0.946459233909416</v>
      </c>
      <c r="E4241">
        <v>0.85662641407180196</v>
      </c>
      <c r="F4241">
        <v>0.78432828208130101</v>
      </c>
      <c r="G4241">
        <v>0.57278151258265897</v>
      </c>
      <c r="H4241">
        <v>0.520265983373979</v>
      </c>
      <c r="I4241">
        <v>0.54433334882900297</v>
      </c>
      <c r="J4241">
        <v>0.55783031556243701</v>
      </c>
      <c r="K4241">
        <v>0.44558184154365099</v>
      </c>
      <c r="L4241">
        <v>897.12585554522695</v>
      </c>
      <c r="M4241">
        <v>16.905783005213401</v>
      </c>
      <c r="N4241">
        <v>68.179355512239098</v>
      </c>
      <c r="O4241">
        <v>52.340393710156299</v>
      </c>
      <c r="P4241">
        <v>-4.13291518255815E-2</v>
      </c>
      <c r="Q4241">
        <v>0.488211243343455</v>
      </c>
      <c r="R4241">
        <v>0.97561840544624201</v>
      </c>
      <c r="S4241" t="s">
        <v>10857</v>
      </c>
      <c r="T4241" t="s">
        <v>13232</v>
      </c>
      <c r="U4241" t="s">
        <v>13232</v>
      </c>
      <c r="V4241" t="s">
        <v>13232</v>
      </c>
      <c r="W4241" t="s">
        <v>17410</v>
      </c>
      <c r="X4241">
        <v>19</v>
      </c>
      <c r="Y4241" t="s">
        <v>23828</v>
      </c>
      <c r="Z4241" t="s">
        <v>30372</v>
      </c>
      <c r="AA4241">
        <v>0.72034497659603403</v>
      </c>
      <c r="AB4241" t="str">
        <f>HYPERLINK("Melting_Curves/meltCurve_Q8IVW6_4_ARID3B.pdf", "Melting_Curves/meltCurve_Q8IVW6_4_ARID3B.pdf")</f>
        <v>Melting_Curves/meltCurve_Q8IVW6_4_ARID3B.pdf</v>
      </c>
    </row>
    <row r="4242" spans="1:28" x14ac:dyDescent="0.25">
      <c r="A4242" t="s">
        <v>4245</v>
      </c>
      <c r="B4242">
        <v>0.99930955844802105</v>
      </c>
      <c r="C4242">
        <v>0.86373773769708895</v>
      </c>
      <c r="D4242">
        <v>0.863325262103258</v>
      </c>
      <c r="E4242">
        <v>0.83273924278350997</v>
      </c>
      <c r="F4242">
        <v>0.73353354092248402</v>
      </c>
      <c r="G4242">
        <v>0.57735834167742395</v>
      </c>
      <c r="H4242">
        <v>0.41913293965619902</v>
      </c>
      <c r="I4242">
        <v>0.45055641638423</v>
      </c>
      <c r="J4242">
        <v>0.40185837159874299</v>
      </c>
      <c r="K4242">
        <v>0.30457688823703299</v>
      </c>
      <c r="L4242">
        <v>405.45095800962599</v>
      </c>
      <c r="M4242">
        <v>6.9476551262842801</v>
      </c>
      <c r="N4242">
        <v>60.4746052676009</v>
      </c>
      <c r="O4242">
        <v>54.099011672859298</v>
      </c>
      <c r="P4242">
        <v>-2.86955109173328E-2</v>
      </c>
      <c r="Q4242">
        <v>0.10793176620365801</v>
      </c>
      <c r="R4242">
        <v>0.96928484602842802</v>
      </c>
      <c r="S4242" t="s">
        <v>10858</v>
      </c>
      <c r="T4242" t="s">
        <v>13232</v>
      </c>
      <c r="U4242" t="s">
        <v>13232</v>
      </c>
      <c r="V4242" t="s">
        <v>13232</v>
      </c>
      <c r="W4242" t="s">
        <v>17411</v>
      </c>
      <c r="X4242">
        <v>13</v>
      </c>
      <c r="Y4242" t="s">
        <v>23829</v>
      </c>
      <c r="Z4242" t="s">
        <v>30373</v>
      </c>
      <c r="AA4242">
        <v>0.64877824064059852</v>
      </c>
      <c r="AB4242" t="str">
        <f>HYPERLINK("Melting_Curves/meltCurve_Q8IW45_CARKD.pdf", "Melting_Curves/meltCurve_Q8IW45_CARKD.pdf")</f>
        <v>Melting_Curves/meltCurve_Q8IW45_CARKD.pdf</v>
      </c>
    </row>
    <row r="4243" spans="1:28" x14ac:dyDescent="0.25">
      <c r="A4243" t="s">
        <v>4246</v>
      </c>
      <c r="B4243">
        <v>0.99930955844802105</v>
      </c>
      <c r="C4243">
        <v>1.04958610849807</v>
      </c>
      <c r="D4243">
        <v>0.98619467157083596</v>
      </c>
      <c r="E4243">
        <v>0.94485419583202201</v>
      </c>
      <c r="F4243">
        <v>0.78167396541321499</v>
      </c>
      <c r="G4243">
        <v>0.40153864312737803</v>
      </c>
      <c r="H4243">
        <v>0.21867398829860801</v>
      </c>
      <c r="I4243">
        <v>0.137424432198057</v>
      </c>
      <c r="J4243">
        <v>0.11558543189231001</v>
      </c>
      <c r="K4243">
        <v>9.17611162109669E-2</v>
      </c>
      <c r="L4243">
        <v>1303.72227387512</v>
      </c>
      <c r="M4243">
        <v>23.481469777948899</v>
      </c>
      <c r="N4243">
        <v>56.045447021873599</v>
      </c>
      <c r="O4243">
        <v>55.123369505210498</v>
      </c>
      <c r="P4243">
        <v>-9.5998787307135194E-2</v>
      </c>
      <c r="Q4243">
        <v>9.8577202236762806E-2</v>
      </c>
      <c r="R4243">
        <v>0.99768526175813799</v>
      </c>
      <c r="S4243" t="s">
        <v>10859</v>
      </c>
      <c r="T4243" t="s">
        <v>13232</v>
      </c>
      <c r="U4243" t="s">
        <v>13232</v>
      </c>
      <c r="V4243" t="s">
        <v>13232</v>
      </c>
      <c r="W4243" t="s">
        <v>17412</v>
      </c>
      <c r="X4243">
        <v>10</v>
      </c>
      <c r="Y4243" t="s">
        <v>23830</v>
      </c>
      <c r="Z4243" t="s">
        <v>30374</v>
      </c>
      <c r="AA4243">
        <v>0.57418761815455466</v>
      </c>
      <c r="AB4243" t="str">
        <f>HYPERLINK("Melting_Curves/meltCurve_Q8IWB7_WDFY1.pdf", "Melting_Curves/meltCurve_Q8IWB7_WDFY1.pdf")</f>
        <v>Melting_Curves/meltCurve_Q8IWB7_WDFY1.pdf</v>
      </c>
    </row>
    <row r="4244" spans="1:28" x14ac:dyDescent="0.25">
      <c r="A4244" t="s">
        <v>4247</v>
      </c>
      <c r="B4244">
        <v>0.99930955844802105</v>
      </c>
      <c r="C4244">
        <v>1.1146719378485499</v>
      </c>
      <c r="D4244">
        <v>1.05030248699499</v>
      </c>
      <c r="E4244">
        <v>1.0052893545766199</v>
      </c>
      <c r="F4244">
        <v>0.86132769032421497</v>
      </c>
      <c r="G4244">
        <v>0.74762816438159196</v>
      </c>
      <c r="H4244">
        <v>0.71909646071921995</v>
      </c>
      <c r="I4244">
        <v>0.79082466775577198</v>
      </c>
      <c r="J4244">
        <v>0.77256087319289302</v>
      </c>
      <c r="K4244">
        <v>0.63587112570039295</v>
      </c>
      <c r="L4244">
        <v>13245.8099805081</v>
      </c>
      <c r="M4244">
        <v>250</v>
      </c>
      <c r="O4244">
        <v>52.979872721385298</v>
      </c>
      <c r="P4244">
        <v>-0.31474672243551899</v>
      </c>
      <c r="Q4244">
        <v>0.73319625651276898</v>
      </c>
      <c r="R4244">
        <v>0.87082872734202099</v>
      </c>
      <c r="S4244" t="s">
        <v>10860</v>
      </c>
      <c r="T4244" t="s">
        <v>13232</v>
      </c>
      <c r="U4244" t="s">
        <v>13232</v>
      </c>
      <c r="V4244" t="s">
        <v>13232</v>
      </c>
      <c r="W4244" t="s">
        <v>17413</v>
      </c>
      <c r="X4244">
        <v>10</v>
      </c>
      <c r="Y4244" t="s">
        <v>23831</v>
      </c>
      <c r="Z4244" t="s">
        <v>30375</v>
      </c>
      <c r="AA4244">
        <v>0.84868696565491808</v>
      </c>
      <c r="AB4244" t="str">
        <f>HYPERLINK("Melting_Curves/meltCurve_Q8IWC1_2_MAP7D3.pdf", "Melting_Curves/meltCurve_Q8IWC1_2_MAP7D3.pdf")</f>
        <v>Melting_Curves/meltCurve_Q8IWC1_2_MAP7D3.pdf</v>
      </c>
    </row>
    <row r="4245" spans="1:28" x14ac:dyDescent="0.25">
      <c r="A4245" t="s">
        <v>4248</v>
      </c>
      <c r="B4245">
        <v>0.99930955844802105</v>
      </c>
      <c r="C4245">
        <v>1.0686358157190501</v>
      </c>
      <c r="D4245">
        <v>1.0773667980947199</v>
      </c>
      <c r="E4245">
        <v>0.95793019598751805</v>
      </c>
      <c r="F4245">
        <v>0.58907318304988798</v>
      </c>
      <c r="G4245">
        <v>0.56203938969685996</v>
      </c>
      <c r="H4245">
        <v>0.60153329049792204</v>
      </c>
      <c r="I4245">
        <v>0.77826416254958897</v>
      </c>
      <c r="J4245">
        <v>1.0239764164604299</v>
      </c>
      <c r="K4245">
        <v>0.92208955832520501</v>
      </c>
      <c r="L4245">
        <v>12580.8029190535</v>
      </c>
      <c r="M4245">
        <v>250</v>
      </c>
      <c r="O4245">
        <v>50.319991213712001</v>
      </c>
      <c r="P4245">
        <v>-0.31527888140730398</v>
      </c>
      <c r="Q4245">
        <v>0.74616271106232801</v>
      </c>
      <c r="R4245">
        <v>0.48373329392623399</v>
      </c>
      <c r="S4245" t="s">
        <v>10861</v>
      </c>
      <c r="T4245" t="s">
        <v>13232</v>
      </c>
      <c r="U4245" t="s">
        <v>13232</v>
      </c>
      <c r="V4245" t="s">
        <v>13232</v>
      </c>
      <c r="W4245" t="s">
        <v>17414</v>
      </c>
      <c r="X4245">
        <v>10</v>
      </c>
      <c r="Y4245" t="s">
        <v>23832</v>
      </c>
      <c r="Z4245" t="s">
        <v>30376</v>
      </c>
      <c r="AA4245">
        <v>0.83353233123874126</v>
      </c>
      <c r="AB4245" t="str">
        <f>HYPERLINK("Melting_Curves/meltCurve_Q8IWD4_CCDC117.pdf", "Melting_Curves/meltCurve_Q8IWD4_CCDC117.pdf")</f>
        <v>Melting_Curves/meltCurve_Q8IWD4_CCDC117.pdf</v>
      </c>
    </row>
    <row r="4246" spans="1:28" x14ac:dyDescent="0.25">
      <c r="A4246" t="s">
        <v>4249</v>
      </c>
      <c r="B4246">
        <v>0.99930955844802105</v>
      </c>
      <c r="C4246">
        <v>0.96255029896620403</v>
      </c>
      <c r="D4246">
        <v>0.891717864189569</v>
      </c>
      <c r="E4246">
        <v>0.75620117853255098</v>
      </c>
      <c r="F4246">
        <v>0.38952214512744598</v>
      </c>
      <c r="G4246">
        <v>0.223128633996031</v>
      </c>
      <c r="H4246">
        <v>0.12370166601904301</v>
      </c>
      <c r="I4246">
        <v>0.11077816829400899</v>
      </c>
      <c r="J4246">
        <v>7.4565791234426401E-2</v>
      </c>
      <c r="K4246">
        <v>7.1273786496398803E-2</v>
      </c>
      <c r="L4246">
        <v>1047.2166341565401</v>
      </c>
      <c r="M4246">
        <v>20.203044387076901</v>
      </c>
      <c r="N4246">
        <v>52.263348095965597</v>
      </c>
      <c r="O4246">
        <v>51.334760112568297</v>
      </c>
      <c r="P4246">
        <v>-9.0878019254993406E-2</v>
      </c>
      <c r="Q4246">
        <v>7.6365854241526407E-2</v>
      </c>
      <c r="R4246">
        <v>0.99404317593038405</v>
      </c>
      <c r="S4246" t="s">
        <v>10862</v>
      </c>
      <c r="T4246" t="s">
        <v>13232</v>
      </c>
      <c r="U4246" t="s">
        <v>13232</v>
      </c>
      <c r="V4246" t="s">
        <v>13232</v>
      </c>
      <c r="W4246" t="s">
        <v>17415</v>
      </c>
      <c r="X4246">
        <v>8</v>
      </c>
      <c r="Y4246" t="s">
        <v>23833</v>
      </c>
      <c r="Z4246" t="s">
        <v>30377</v>
      </c>
      <c r="AA4246">
        <v>0.45328572672205902</v>
      </c>
      <c r="AB4246" t="str">
        <f>HYPERLINK("Melting_Curves/meltCurve_Q8IWF6_DENND6A.pdf", "Melting_Curves/meltCurve_Q8IWF6_DENND6A.pdf")</f>
        <v>Melting_Curves/meltCurve_Q8IWF6_DENND6A.pdf</v>
      </c>
    </row>
    <row r="4247" spans="1:28" x14ac:dyDescent="0.25">
      <c r="A4247" t="s">
        <v>4250</v>
      </c>
      <c r="B4247">
        <v>0.99930955844802105</v>
      </c>
      <c r="C4247">
        <v>1.1522388898728</v>
      </c>
      <c r="D4247">
        <v>1.13546723075921</v>
      </c>
      <c r="E4247">
        <v>0.88321888384779701</v>
      </c>
      <c r="F4247">
        <v>0.114292217131922</v>
      </c>
      <c r="G4247">
        <v>9.7310507620166103E-2</v>
      </c>
      <c r="H4247">
        <v>5.2152838706678799E-2</v>
      </c>
      <c r="I4247">
        <v>6.2357741843930198E-2</v>
      </c>
      <c r="J4247">
        <v>6.6652304890640598E-2</v>
      </c>
      <c r="K4247">
        <v>5.2024582415410997E-2</v>
      </c>
      <c r="L4247">
        <v>4293.23907396699</v>
      </c>
      <c r="M4247">
        <v>83.917351062679799</v>
      </c>
      <c r="N4247">
        <v>51.246888316215298</v>
      </c>
      <c r="O4247">
        <v>51.1312945532908</v>
      </c>
      <c r="P4247">
        <v>-0.38319084877305798</v>
      </c>
      <c r="Q4247">
        <v>6.6079102263020398E-2</v>
      </c>
      <c r="R4247">
        <v>0.98135616462402298</v>
      </c>
      <c r="S4247" t="s">
        <v>10863</v>
      </c>
      <c r="T4247" t="s">
        <v>13232</v>
      </c>
      <c r="U4247" t="s">
        <v>13232</v>
      </c>
      <c r="V4247" t="s">
        <v>13232</v>
      </c>
      <c r="W4247" t="s">
        <v>17416</v>
      </c>
      <c r="X4247">
        <v>2</v>
      </c>
      <c r="Y4247" t="s">
        <v>23834</v>
      </c>
      <c r="Z4247" t="s">
        <v>30378</v>
      </c>
      <c r="AA4247">
        <v>0.41425334620258347</v>
      </c>
      <c r="AB4247" t="str">
        <f>HYPERLINK("Melting_Curves/meltCurve_Q8IWG1_2_WDR63.pdf", "Melting_Curves/meltCurve_Q8IWG1_2_WDR63.pdf")</f>
        <v>Melting_Curves/meltCurve_Q8IWG1_2_WDR63.pdf</v>
      </c>
    </row>
    <row r="4248" spans="1:28" x14ac:dyDescent="0.25">
      <c r="A4248" t="s">
        <v>4251</v>
      </c>
      <c r="B4248">
        <v>0.99930955844802105</v>
      </c>
      <c r="C4248">
        <v>1.0623867467407599</v>
      </c>
      <c r="D4248">
        <v>1.06171704074762</v>
      </c>
      <c r="E4248">
        <v>0.99763476921430905</v>
      </c>
      <c r="F4248">
        <v>0.86018241010816598</v>
      </c>
      <c r="G4248">
        <v>0.73000495617966699</v>
      </c>
      <c r="H4248">
        <v>0.71243810047478595</v>
      </c>
      <c r="I4248">
        <v>0.73169935745744097</v>
      </c>
      <c r="J4248">
        <v>0.69942682528978195</v>
      </c>
      <c r="K4248">
        <v>0.58490466818517906</v>
      </c>
      <c r="L4248">
        <v>1705.3360209454499</v>
      </c>
      <c r="M4248">
        <v>31.720076732856501</v>
      </c>
      <c r="O4248">
        <v>53.5497144507694</v>
      </c>
      <c r="P4248">
        <v>-4.7452872044860102E-2</v>
      </c>
      <c r="Q4248">
        <v>0.67956263236699799</v>
      </c>
      <c r="R4248">
        <v>0.92221354426177604</v>
      </c>
      <c r="S4248" t="s">
        <v>10864</v>
      </c>
      <c r="T4248" t="s">
        <v>13232</v>
      </c>
      <c r="U4248" t="s">
        <v>13232</v>
      </c>
      <c r="V4248" t="s">
        <v>13232</v>
      </c>
      <c r="W4248" t="s">
        <v>17417</v>
      </c>
      <c r="X4248">
        <v>50</v>
      </c>
      <c r="Y4248" t="s">
        <v>23835</v>
      </c>
      <c r="Z4248" t="s">
        <v>30379</v>
      </c>
      <c r="AA4248">
        <v>0.82844138550893698</v>
      </c>
      <c r="AB4248" t="str">
        <f>HYPERLINK("Melting_Curves/meltCurve_Q8IWI9_MGA.pdf", "Melting_Curves/meltCurve_Q8IWI9_MGA.pdf")</f>
        <v>Melting_Curves/meltCurve_Q8IWI9_MGA.pdf</v>
      </c>
    </row>
    <row r="4249" spans="1:28" x14ac:dyDescent="0.25">
      <c r="A4249" t="s">
        <v>4252</v>
      </c>
      <c r="B4249">
        <v>0.99930955844802105</v>
      </c>
      <c r="C4249">
        <v>1.06908872715114</v>
      </c>
      <c r="D4249">
        <v>0.84038380390554401</v>
      </c>
      <c r="E4249">
        <v>0.73373783199998899</v>
      </c>
      <c r="F4249">
        <v>0.59472742514194299</v>
      </c>
      <c r="G4249">
        <v>0.44869757442428099</v>
      </c>
      <c r="H4249">
        <v>0.33064743111509598</v>
      </c>
      <c r="I4249">
        <v>0.30974967842369699</v>
      </c>
      <c r="J4249">
        <v>0.31280698348667801</v>
      </c>
      <c r="K4249">
        <v>0.26339556928406899</v>
      </c>
      <c r="L4249">
        <v>724.75422073957304</v>
      </c>
      <c r="M4249">
        <v>13.8945714742788</v>
      </c>
      <c r="N4249">
        <v>55.050228334851496</v>
      </c>
      <c r="O4249">
        <v>51.116132437831901</v>
      </c>
      <c r="P4249">
        <v>-5.0371459980400803E-2</v>
      </c>
      <c r="Q4249">
        <v>0.25886355306360598</v>
      </c>
      <c r="R4249">
        <v>0.98094615178715905</v>
      </c>
      <c r="S4249" t="s">
        <v>10865</v>
      </c>
      <c r="T4249" t="s">
        <v>13232</v>
      </c>
      <c r="U4249" t="s">
        <v>13232</v>
      </c>
      <c r="V4249" t="s">
        <v>13232</v>
      </c>
      <c r="W4249" t="s">
        <v>17418</v>
      </c>
      <c r="X4249">
        <v>92</v>
      </c>
      <c r="Y4249" t="s">
        <v>23836</v>
      </c>
      <c r="Z4249" t="s">
        <v>30380</v>
      </c>
      <c r="AA4249">
        <v>0.57772576172655687</v>
      </c>
      <c r="AB4249" t="str">
        <f>HYPERLINK("Melting_Curves/meltCurve_Q8IWJ2_GCC2.pdf", "Melting_Curves/meltCurve_Q8IWJ2_GCC2.pdf")</f>
        <v>Melting_Curves/meltCurve_Q8IWJ2_GCC2.pdf</v>
      </c>
    </row>
    <row r="4250" spans="1:28" x14ac:dyDescent="0.25">
      <c r="A4250" t="s">
        <v>4253</v>
      </c>
      <c r="B4250">
        <v>0.99930955844802105</v>
      </c>
      <c r="C4250">
        <v>1.0983321753462001</v>
      </c>
      <c r="D4250">
        <v>1.1487502991607701</v>
      </c>
      <c r="E4250">
        <v>1.0415193947196699</v>
      </c>
      <c r="F4250">
        <v>0.81874199235437695</v>
      </c>
      <c r="G4250">
        <v>0.40030128112442798</v>
      </c>
      <c r="H4250">
        <v>0.119807555954767</v>
      </c>
      <c r="I4250">
        <v>7.8133179530152405E-2</v>
      </c>
      <c r="J4250">
        <v>6.47459731746442E-2</v>
      </c>
      <c r="K4250">
        <v>4.9097689467758901E-2</v>
      </c>
      <c r="L4250">
        <v>1703.16241362919</v>
      </c>
      <c r="M4250">
        <v>30.476132642328</v>
      </c>
      <c r="N4250">
        <v>56.099427037234797</v>
      </c>
      <c r="O4250">
        <v>55.646163392964198</v>
      </c>
      <c r="P4250">
        <v>-0.129395571844165</v>
      </c>
      <c r="Q4250">
        <v>5.4955893709690298E-2</v>
      </c>
      <c r="R4250">
        <v>0.98183434029271099</v>
      </c>
      <c r="S4250" t="s">
        <v>10866</v>
      </c>
      <c r="T4250" t="s">
        <v>13232</v>
      </c>
      <c r="U4250" t="s">
        <v>13232</v>
      </c>
      <c r="V4250" t="s">
        <v>13232</v>
      </c>
      <c r="W4250" t="s">
        <v>17419</v>
      </c>
      <c r="X4250">
        <v>5</v>
      </c>
      <c r="Y4250" t="s">
        <v>23837</v>
      </c>
      <c r="Z4250" t="s">
        <v>30381</v>
      </c>
      <c r="AA4250">
        <v>0.56148016234244624</v>
      </c>
      <c r="AB4250" t="str">
        <f>HYPERLINK("Melting_Curves/meltCurve_Q8IWL3_HSCB.pdf", "Melting_Curves/meltCurve_Q8IWL3_HSCB.pdf")</f>
        <v>Melting_Curves/meltCurve_Q8IWL3_HSCB.pdf</v>
      </c>
    </row>
    <row r="4251" spans="1:28" x14ac:dyDescent="0.25">
      <c r="A4251" t="s">
        <v>4254</v>
      </c>
      <c r="B4251">
        <v>0.99930955844802105</v>
      </c>
      <c r="C4251">
        <v>0.891261887033311</v>
      </c>
      <c r="D4251">
        <v>0.63600888426156099</v>
      </c>
      <c r="E4251">
        <v>0.41345719525997499</v>
      </c>
      <c r="F4251">
        <v>0.3035590509219</v>
      </c>
      <c r="G4251">
        <v>0.25779633132976898</v>
      </c>
      <c r="H4251">
        <v>0.158333843673436</v>
      </c>
      <c r="I4251">
        <v>0.129846436912603</v>
      </c>
      <c r="J4251">
        <v>0.11433299965921501</v>
      </c>
      <c r="K4251">
        <v>8.6205779971555305E-2</v>
      </c>
      <c r="L4251">
        <v>672.18044449400702</v>
      </c>
      <c r="M4251">
        <v>14.0266461480442</v>
      </c>
      <c r="N4251">
        <v>48.787305963960002</v>
      </c>
      <c r="O4251">
        <v>46.9791848571316</v>
      </c>
      <c r="P4251">
        <v>-6.6428789126944596E-2</v>
      </c>
      <c r="Q4251">
        <v>0.110162252111633</v>
      </c>
      <c r="R4251">
        <v>0.988440894046962</v>
      </c>
      <c r="S4251" t="s">
        <v>10867</v>
      </c>
      <c r="T4251" t="s">
        <v>13232</v>
      </c>
      <c r="U4251" t="s">
        <v>13232</v>
      </c>
      <c r="V4251" t="s">
        <v>13232</v>
      </c>
      <c r="W4251" t="s">
        <v>17420</v>
      </c>
      <c r="X4251">
        <v>8</v>
      </c>
      <c r="Y4251" t="s">
        <v>23838</v>
      </c>
      <c r="Z4251" t="s">
        <v>30382</v>
      </c>
      <c r="AA4251">
        <v>0.37134099727598058</v>
      </c>
      <c r="AB4251" t="str">
        <f>HYPERLINK("Melting_Curves/meltCurve_Q8IWR0_ZC3H7A.pdf", "Melting_Curves/meltCurve_Q8IWR0_ZC3H7A.pdf")</f>
        <v>Melting_Curves/meltCurve_Q8IWR0_ZC3H7A.pdf</v>
      </c>
    </row>
    <row r="4252" spans="1:28" x14ac:dyDescent="0.25">
      <c r="A4252" t="s">
        <v>4255</v>
      </c>
      <c r="B4252">
        <v>0.99930955844802105</v>
      </c>
      <c r="C4252">
        <v>0.98115991589492801</v>
      </c>
      <c r="D4252">
        <v>1.03949516035585</v>
      </c>
      <c r="E4252">
        <v>0.854663302187473</v>
      </c>
      <c r="F4252">
        <v>0.29584327371123398</v>
      </c>
      <c r="G4252">
        <v>0.15920003486045201</v>
      </c>
      <c r="H4252">
        <v>7.4961741405983301E-2</v>
      </c>
      <c r="I4252">
        <v>5.3797864105273603E-2</v>
      </c>
      <c r="J4252">
        <v>4.6795235208888397E-2</v>
      </c>
      <c r="K4252">
        <v>3.4781218013635401E-2</v>
      </c>
      <c r="L4252">
        <v>2386.15162033259</v>
      </c>
      <c r="M4252">
        <v>46.091115029122001</v>
      </c>
      <c r="N4252">
        <v>51.938628114621899</v>
      </c>
      <c r="O4252">
        <v>51.673144486053602</v>
      </c>
      <c r="P4252">
        <v>-0.20752444555130301</v>
      </c>
      <c r="Q4252">
        <v>6.9371367143712503E-2</v>
      </c>
      <c r="R4252">
        <v>0.99447348260189306</v>
      </c>
      <c r="S4252" t="s">
        <v>10868</v>
      </c>
      <c r="T4252" t="s">
        <v>13232</v>
      </c>
      <c r="U4252" t="s">
        <v>13232</v>
      </c>
      <c r="V4252" t="s">
        <v>13232</v>
      </c>
      <c r="W4252" t="s">
        <v>17421</v>
      </c>
      <c r="X4252">
        <v>4</v>
      </c>
      <c r="Y4252" t="s">
        <v>23839</v>
      </c>
      <c r="Z4252" t="s">
        <v>30383</v>
      </c>
      <c r="AA4252">
        <v>0.43700087930424059</v>
      </c>
      <c r="AB4252" t="str">
        <f>HYPERLINK("Melting_Curves/meltCurve_Q8IWT0_ZBTB8OS.pdf", "Melting_Curves/meltCurve_Q8IWT0_ZBTB8OS.pdf")</f>
        <v>Melting_Curves/meltCurve_Q8IWT0_ZBTB8OS.pdf</v>
      </c>
    </row>
    <row r="4253" spans="1:28" x14ac:dyDescent="0.25">
      <c r="A4253" t="s">
        <v>4256</v>
      </c>
      <c r="B4253">
        <v>0.99930955844802105</v>
      </c>
      <c r="C4253">
        <v>1.1238338108832699</v>
      </c>
      <c r="D4253">
        <v>1.1456792391083599</v>
      </c>
      <c r="E4253">
        <v>1.09548754659026</v>
      </c>
      <c r="F4253">
        <v>0.98861599944830303</v>
      </c>
      <c r="G4253">
        <v>0.90101057089150405</v>
      </c>
      <c r="H4253">
        <v>0.89198189035321096</v>
      </c>
      <c r="I4253">
        <v>0.94360341608901899</v>
      </c>
      <c r="J4253">
        <v>0.94878280787439995</v>
      </c>
      <c r="K4253">
        <v>0.80128386401321205</v>
      </c>
      <c r="L4253">
        <v>646.80688746068995</v>
      </c>
      <c r="M4253">
        <v>7.6272827781633898</v>
      </c>
      <c r="Q4253">
        <v>0</v>
      </c>
      <c r="R4253">
        <v>0.43430336164033001</v>
      </c>
      <c r="S4253" t="s">
        <v>10869</v>
      </c>
      <c r="T4253" t="s">
        <v>13232</v>
      </c>
      <c r="U4253" t="s">
        <v>13232</v>
      </c>
      <c r="V4253" t="s">
        <v>13232</v>
      </c>
      <c r="W4253" t="s">
        <v>17422</v>
      </c>
      <c r="X4253">
        <v>12</v>
      </c>
      <c r="Y4253" t="s">
        <v>23840</v>
      </c>
      <c r="Z4253" t="s">
        <v>30384</v>
      </c>
      <c r="AA4253">
        <v>0.96205930674068729</v>
      </c>
      <c r="AB4253" t="str">
        <f>HYPERLINK("Melting_Curves/meltCurve_Q8IWU2_LMTK2.pdf", "Melting_Curves/meltCurve_Q8IWU2_LMTK2.pdf")</f>
        <v>Melting_Curves/meltCurve_Q8IWU2_LMTK2.pdf</v>
      </c>
    </row>
    <row r="4254" spans="1:28" x14ac:dyDescent="0.25">
      <c r="A4254" t="s">
        <v>4257</v>
      </c>
      <c r="B4254">
        <v>0.99930955844802105</v>
      </c>
      <c r="C4254">
        <v>0.82752256974664196</v>
      </c>
      <c r="D4254">
        <v>0.74367620866907003</v>
      </c>
      <c r="E4254">
        <v>0.477755719969993</v>
      </c>
      <c r="F4254">
        <v>0.33390541220459402</v>
      </c>
      <c r="G4254">
        <v>0.160106456500682</v>
      </c>
      <c r="H4254">
        <v>0.101471531249099</v>
      </c>
      <c r="I4254">
        <v>0.12064513440851</v>
      </c>
      <c r="J4254">
        <v>7.2838528985828793E-2</v>
      </c>
      <c r="K4254">
        <v>5.5371801558588001E-2</v>
      </c>
      <c r="L4254">
        <v>634.11521088098596</v>
      </c>
      <c r="M4254">
        <v>12.861921792368999</v>
      </c>
      <c r="N4254">
        <v>49.635187813283999</v>
      </c>
      <c r="O4254">
        <v>48.155550760557297</v>
      </c>
      <c r="P4254">
        <v>-6.4020940243525601E-2</v>
      </c>
      <c r="Q4254">
        <v>4.13883279158173E-2</v>
      </c>
      <c r="R4254">
        <v>0.99383669206955305</v>
      </c>
      <c r="S4254" t="s">
        <v>10870</v>
      </c>
      <c r="T4254" t="s">
        <v>13232</v>
      </c>
      <c r="U4254" t="s">
        <v>13232</v>
      </c>
      <c r="V4254" t="s">
        <v>13232</v>
      </c>
      <c r="W4254" t="s">
        <v>17423</v>
      </c>
      <c r="X4254">
        <v>19</v>
      </c>
      <c r="Y4254" t="s">
        <v>23841</v>
      </c>
      <c r="Z4254" t="s">
        <v>30385</v>
      </c>
      <c r="AA4254">
        <v>0.36939831914417182</v>
      </c>
      <c r="AB4254" t="str">
        <f>HYPERLINK("Melting_Curves/meltCurve_Q8IWV7_UBR1.pdf", "Melting_Curves/meltCurve_Q8IWV7_UBR1.pdf")</f>
        <v>Melting_Curves/meltCurve_Q8IWV7_UBR1.pdf</v>
      </c>
    </row>
    <row r="4255" spans="1:28" x14ac:dyDescent="0.25">
      <c r="A4255" t="s">
        <v>4258</v>
      </c>
      <c r="B4255">
        <v>0.99930955844802105</v>
      </c>
      <c r="C4255">
        <v>0.88261082296406301</v>
      </c>
      <c r="D4255">
        <v>0.84332899129200301</v>
      </c>
      <c r="E4255">
        <v>0.654888514237149</v>
      </c>
      <c r="F4255">
        <v>0.467083073242616</v>
      </c>
      <c r="G4255">
        <v>0.29480834484891599</v>
      </c>
      <c r="H4255">
        <v>0.102054361411585</v>
      </c>
      <c r="I4255">
        <v>8.7122448125079799E-2</v>
      </c>
      <c r="J4255">
        <v>7.5892375625026307E-2</v>
      </c>
      <c r="K4255">
        <v>5.5355961133564703E-2</v>
      </c>
      <c r="L4255">
        <v>638.58234267367095</v>
      </c>
      <c r="M4255">
        <v>12.1944830898729</v>
      </c>
      <c r="N4255">
        <v>52.3665154545454</v>
      </c>
      <c r="O4255">
        <v>51.017956792516998</v>
      </c>
      <c r="P4255">
        <v>-5.9769373224831703E-2</v>
      </c>
      <c r="Q4255">
        <v>0</v>
      </c>
      <c r="R4255">
        <v>0.99447415343386203</v>
      </c>
      <c r="S4255" t="s">
        <v>10871</v>
      </c>
      <c r="T4255" t="s">
        <v>13232</v>
      </c>
      <c r="U4255" t="s">
        <v>13232</v>
      </c>
      <c r="V4255" t="s">
        <v>13232</v>
      </c>
      <c r="W4255" t="s">
        <v>17424</v>
      </c>
      <c r="X4255">
        <v>27</v>
      </c>
      <c r="Y4255" t="s">
        <v>23842</v>
      </c>
      <c r="Z4255" t="s">
        <v>30386</v>
      </c>
      <c r="AA4255">
        <v>0.44147163886643082</v>
      </c>
      <c r="AB4255" t="str">
        <f>HYPERLINK("Melting_Curves/meltCurve_Q8IWV8_UBR2.pdf", "Melting_Curves/meltCurve_Q8IWV8_UBR2.pdf")</f>
        <v>Melting_Curves/meltCurve_Q8IWV8_UBR2.pdf</v>
      </c>
    </row>
    <row r="4256" spans="1:28" x14ac:dyDescent="0.25">
      <c r="A4256" t="s">
        <v>4259</v>
      </c>
      <c r="B4256">
        <v>0.99930955844802105</v>
      </c>
      <c r="C4256">
        <v>1.1358545229433601</v>
      </c>
      <c r="D4256">
        <v>0.85135676059911602</v>
      </c>
      <c r="E4256">
        <v>0.71564839774635003</v>
      </c>
      <c r="F4256">
        <v>0.51035974952874996</v>
      </c>
      <c r="G4256">
        <v>0.406475530091019</v>
      </c>
      <c r="H4256">
        <v>0.34123609274387401</v>
      </c>
      <c r="I4256">
        <v>0.358404181211187</v>
      </c>
      <c r="J4256">
        <v>0.33117066268730699</v>
      </c>
      <c r="K4256">
        <v>0.27089796780164099</v>
      </c>
      <c r="L4256">
        <v>976.45955093775501</v>
      </c>
      <c r="M4256">
        <v>19.261366251093602</v>
      </c>
      <c r="N4256">
        <v>53.468474574369601</v>
      </c>
      <c r="O4256">
        <v>50.158281979056603</v>
      </c>
      <c r="P4256">
        <v>-6.5679801038307797E-2</v>
      </c>
      <c r="Q4256">
        <v>0.31588205806645198</v>
      </c>
      <c r="R4256">
        <v>0.96287066119709597</v>
      </c>
      <c r="S4256" t="s">
        <v>10872</v>
      </c>
      <c r="T4256" t="s">
        <v>13232</v>
      </c>
      <c r="U4256" t="s">
        <v>13232</v>
      </c>
      <c r="V4256" t="s">
        <v>13232</v>
      </c>
      <c r="W4256" t="s">
        <v>17425</v>
      </c>
      <c r="X4256">
        <v>9</v>
      </c>
      <c r="Y4256" t="s">
        <v>23843</v>
      </c>
      <c r="Z4256" t="s">
        <v>30387</v>
      </c>
      <c r="AA4256">
        <v>0.56997812286299754</v>
      </c>
      <c r="AB4256" t="str">
        <f>HYPERLINK("Melting_Curves/meltCurve_Q8IWW6_2_ARHGAP12.pdf", "Melting_Curves/meltCurve_Q8IWW6_2_ARHGAP12.pdf")</f>
        <v>Melting_Curves/meltCurve_Q8IWW6_2_ARHGAP12.pdf</v>
      </c>
    </row>
    <row r="4257" spans="1:28" x14ac:dyDescent="0.25">
      <c r="A4257" t="s">
        <v>4260</v>
      </c>
      <c r="B4257">
        <v>0.99930955844802105</v>
      </c>
      <c r="C4257">
        <v>1.0912250328886599</v>
      </c>
      <c r="D4257">
        <v>1.07930683637119</v>
      </c>
      <c r="E4257">
        <v>0.86870043382269202</v>
      </c>
      <c r="F4257">
        <v>0.50509887634319395</v>
      </c>
      <c r="G4257">
        <v>0.35281810621155602</v>
      </c>
      <c r="H4257">
        <v>0.27300959719669299</v>
      </c>
      <c r="I4257">
        <v>0.28168494382861597</v>
      </c>
      <c r="J4257">
        <v>0.25878100170822699</v>
      </c>
      <c r="K4257">
        <v>0.21023768225321299</v>
      </c>
      <c r="L4257">
        <v>1860.66919738204</v>
      </c>
      <c r="M4257">
        <v>35.730114679080899</v>
      </c>
      <c r="N4257">
        <v>53.203124359202</v>
      </c>
      <c r="O4257">
        <v>51.913357862408098</v>
      </c>
      <c r="P4257">
        <v>-0.12638179733726199</v>
      </c>
      <c r="Q4257">
        <v>0.26550699462717298</v>
      </c>
      <c r="R4257">
        <v>0.98201338978665198</v>
      </c>
      <c r="S4257" t="s">
        <v>10873</v>
      </c>
      <c r="T4257" t="s">
        <v>13232</v>
      </c>
      <c r="U4257" t="s">
        <v>13232</v>
      </c>
      <c r="V4257" t="s">
        <v>13232</v>
      </c>
      <c r="W4257" t="s">
        <v>17426</v>
      </c>
      <c r="X4257">
        <v>20</v>
      </c>
      <c r="Y4257" t="s">
        <v>23844</v>
      </c>
      <c r="Z4257" t="s">
        <v>30388</v>
      </c>
      <c r="AA4257">
        <v>0.56447153660933636</v>
      </c>
      <c r="AB4257" t="str">
        <f>HYPERLINK("Melting_Curves/meltCurve_Q8IWX8_CHERP.pdf", "Melting_Curves/meltCurve_Q8IWX8_CHERP.pdf")</f>
        <v>Melting_Curves/meltCurve_Q8IWX8_CHERP.pdf</v>
      </c>
    </row>
    <row r="4258" spans="1:28" x14ac:dyDescent="0.25">
      <c r="A4258" t="s">
        <v>4261</v>
      </c>
      <c r="B4258">
        <v>0.99930955844802105</v>
      </c>
      <c r="C4258">
        <v>0.76741312641312398</v>
      </c>
      <c r="D4258">
        <v>0.72438958512676299</v>
      </c>
      <c r="E4258">
        <v>0.42125499839741198</v>
      </c>
      <c r="F4258">
        <v>0.20812258714403001</v>
      </c>
      <c r="G4258">
        <v>0.14051757510465401</v>
      </c>
      <c r="H4258">
        <v>9.4113825325747594E-2</v>
      </c>
      <c r="I4258">
        <v>9.0456752752758607E-2</v>
      </c>
      <c r="J4258">
        <v>8.5721896264276398E-2</v>
      </c>
      <c r="K4258">
        <v>7.20072839123891E-2</v>
      </c>
      <c r="L4258">
        <v>697.32246185083795</v>
      </c>
      <c r="M4258">
        <v>14.518129673432099</v>
      </c>
      <c r="N4258">
        <v>48.445816284709203</v>
      </c>
      <c r="O4258">
        <v>47.147456946397703</v>
      </c>
      <c r="P4258">
        <v>-7.2492816782553704E-2</v>
      </c>
      <c r="Q4258">
        <v>5.8429753850868203E-2</v>
      </c>
      <c r="R4258">
        <v>0.98552299523344999</v>
      </c>
      <c r="S4258" t="s">
        <v>10874</v>
      </c>
      <c r="T4258" t="s">
        <v>13232</v>
      </c>
      <c r="U4258" t="s">
        <v>13232</v>
      </c>
      <c r="V4258" t="s">
        <v>13232</v>
      </c>
      <c r="W4258" t="s">
        <v>17427</v>
      </c>
      <c r="X4258">
        <v>9</v>
      </c>
      <c r="Y4258" t="s">
        <v>23845</v>
      </c>
      <c r="Z4258" t="s">
        <v>30389</v>
      </c>
      <c r="AA4258">
        <v>0.33628901401917122</v>
      </c>
      <c r="AB4258" t="str">
        <f>HYPERLINK("Melting_Curves/meltCurve_Q8IWY9_1_CDAN1.pdf", "Melting_Curves/meltCurve_Q8IWY9_1_CDAN1.pdf")</f>
        <v>Melting_Curves/meltCurve_Q8IWY9_1_CDAN1.pdf</v>
      </c>
    </row>
    <row r="4259" spans="1:28" x14ac:dyDescent="0.25">
      <c r="A4259" t="s">
        <v>4262</v>
      </c>
      <c r="B4259">
        <v>0.99930955844802105</v>
      </c>
      <c r="C4259">
        <v>0.93478684623032904</v>
      </c>
      <c r="D4259">
        <v>0.83206747630719202</v>
      </c>
      <c r="E4259">
        <v>0.66972977488055496</v>
      </c>
      <c r="F4259">
        <v>0.55088943272764801</v>
      </c>
      <c r="G4259">
        <v>0.44793367425067199</v>
      </c>
      <c r="H4259">
        <v>0.41669651085946402</v>
      </c>
      <c r="I4259">
        <v>0.42843361002985503</v>
      </c>
      <c r="J4259">
        <v>0.41970181604866402</v>
      </c>
      <c r="K4259">
        <v>0.33728152528509803</v>
      </c>
      <c r="L4259">
        <v>696.99072358450701</v>
      </c>
      <c r="M4259">
        <v>14.0869744576305</v>
      </c>
      <c r="N4259">
        <v>54.890606057472503</v>
      </c>
      <c r="O4259">
        <v>48.512613953426303</v>
      </c>
      <c r="P4259">
        <v>-4.5351411535493998E-2</v>
      </c>
      <c r="Q4259">
        <v>0.375357308638397</v>
      </c>
      <c r="R4259">
        <v>0.99113935898960204</v>
      </c>
      <c r="S4259" t="s">
        <v>10875</v>
      </c>
      <c r="T4259" t="s">
        <v>13232</v>
      </c>
      <c r="U4259" t="s">
        <v>13232</v>
      </c>
      <c r="V4259" t="s">
        <v>13232</v>
      </c>
      <c r="W4259" t="s">
        <v>17428</v>
      </c>
      <c r="X4259">
        <v>48</v>
      </c>
      <c r="Y4259" t="s">
        <v>23846</v>
      </c>
      <c r="Z4259" t="s">
        <v>30390</v>
      </c>
      <c r="AA4259">
        <v>0.58966973757067265</v>
      </c>
      <c r="AB4259" t="str">
        <f>HYPERLINK("Melting_Curves/meltCurve_Q8IWZ3_6_ANKHD1.pdf", "Melting_Curves/meltCurve_Q8IWZ3_6_ANKHD1.pdf")</f>
        <v>Melting_Curves/meltCurve_Q8IWZ3_6_ANKHD1.pdf</v>
      </c>
    </row>
    <row r="4260" spans="1:28" x14ac:dyDescent="0.25">
      <c r="A4260" t="s">
        <v>4263</v>
      </c>
      <c r="B4260">
        <v>0.99930955844802105</v>
      </c>
      <c r="C4260">
        <v>1.0242090087692499</v>
      </c>
      <c r="D4260">
        <v>1.03648028168646</v>
      </c>
      <c r="E4260">
        <v>0.997215921384633</v>
      </c>
      <c r="F4260">
        <v>0.86526224467264501</v>
      </c>
      <c r="G4260">
        <v>0.70661572616200097</v>
      </c>
      <c r="H4260">
        <v>0.64796722499896597</v>
      </c>
      <c r="I4260">
        <v>0.65723530728525603</v>
      </c>
      <c r="J4260">
        <v>0.61623238553085902</v>
      </c>
      <c r="K4260">
        <v>0.52083243434506699</v>
      </c>
      <c r="L4260">
        <v>1242.7164519452499</v>
      </c>
      <c r="M4260">
        <v>22.544647574398901</v>
      </c>
      <c r="O4260">
        <v>54.694257036952003</v>
      </c>
      <c r="P4260">
        <v>-4.2320296878114803E-2</v>
      </c>
      <c r="Q4260">
        <v>0.58932510828732998</v>
      </c>
      <c r="R4260">
        <v>0.964904769399059</v>
      </c>
      <c r="S4260" t="s">
        <v>10876</v>
      </c>
      <c r="T4260" t="s">
        <v>13232</v>
      </c>
      <c r="U4260" t="s">
        <v>13232</v>
      </c>
      <c r="V4260" t="s">
        <v>13232</v>
      </c>
      <c r="W4260" t="s">
        <v>17429</v>
      </c>
      <c r="X4260">
        <v>30</v>
      </c>
      <c r="Y4260" t="s">
        <v>23847</v>
      </c>
      <c r="Z4260" t="s">
        <v>30391</v>
      </c>
      <c r="AA4260">
        <v>0.8008607543406</v>
      </c>
      <c r="AB4260" t="str">
        <f>HYPERLINK("Melting_Curves/meltCurve_Q8IWZ8_SUGP1.pdf", "Melting_Curves/meltCurve_Q8IWZ8_SUGP1.pdf")</f>
        <v>Melting_Curves/meltCurve_Q8IWZ8_SUGP1.pdf</v>
      </c>
    </row>
    <row r="4261" spans="1:28" x14ac:dyDescent="0.25">
      <c r="A4261" t="s">
        <v>4264</v>
      </c>
      <c r="B4261">
        <v>0.99930955844802105</v>
      </c>
      <c r="C4261">
        <v>1.0667308439916501</v>
      </c>
      <c r="D4261">
        <v>1.08629246219591</v>
      </c>
      <c r="E4261">
        <v>1.04793164085762</v>
      </c>
      <c r="F4261">
        <v>0.95163790401837201</v>
      </c>
      <c r="G4261">
        <v>0.85642752869461802</v>
      </c>
      <c r="H4261">
        <v>0.83484790141754595</v>
      </c>
      <c r="I4261">
        <v>0.90465025067593197</v>
      </c>
      <c r="J4261">
        <v>0.88654786800174101</v>
      </c>
      <c r="K4261">
        <v>0.71280977368468301</v>
      </c>
      <c r="L4261">
        <v>2809.9089437247799</v>
      </c>
      <c r="M4261">
        <v>51.941487338508701</v>
      </c>
      <c r="O4261">
        <v>54.017574859323901</v>
      </c>
      <c r="P4261">
        <v>-3.93142779969297E-2</v>
      </c>
      <c r="Q4261">
        <v>0.83645748291684296</v>
      </c>
      <c r="R4261">
        <v>0.70694113250990798</v>
      </c>
      <c r="S4261" t="s">
        <v>10877</v>
      </c>
      <c r="T4261" t="s">
        <v>13232</v>
      </c>
      <c r="U4261" t="s">
        <v>13232</v>
      </c>
      <c r="V4261" t="s">
        <v>13232</v>
      </c>
      <c r="W4261" t="s">
        <v>17430</v>
      </c>
      <c r="X4261">
        <v>17</v>
      </c>
      <c r="Y4261" t="s">
        <v>23848</v>
      </c>
      <c r="Z4261" t="s">
        <v>30392</v>
      </c>
      <c r="AA4261">
        <v>0.9136706948427592</v>
      </c>
      <c r="AB4261" t="str">
        <f>HYPERLINK("Melting_Curves/meltCurve_Q8IX01_4_SUGP2.pdf", "Melting_Curves/meltCurve_Q8IX01_4_SUGP2.pdf")</f>
        <v>Melting_Curves/meltCurve_Q8IX01_4_SUGP2.pdf</v>
      </c>
    </row>
    <row r="4262" spans="1:28" x14ac:dyDescent="0.25">
      <c r="A4262" t="s">
        <v>4265</v>
      </c>
      <c r="B4262">
        <v>0.99930955844802105</v>
      </c>
      <c r="C4262">
        <v>1.1888366992536501</v>
      </c>
      <c r="D4262">
        <v>1.0887568127112901</v>
      </c>
      <c r="E4262">
        <v>0.83298850345756503</v>
      </c>
      <c r="F4262">
        <v>0.39300110061558802</v>
      </c>
      <c r="G4262">
        <v>0.24174156298371699</v>
      </c>
      <c r="H4262">
        <v>0.16802216776762499</v>
      </c>
      <c r="I4262">
        <v>0.12553481789809401</v>
      </c>
      <c r="J4262">
        <v>0.125051284267888</v>
      </c>
      <c r="K4262">
        <v>9.2713262625278597E-2</v>
      </c>
      <c r="L4262">
        <v>1925.3255836860201</v>
      </c>
      <c r="M4262">
        <v>37.108562148373899</v>
      </c>
      <c r="N4262">
        <v>52.351630719593501</v>
      </c>
      <c r="O4262">
        <v>51.733610410576198</v>
      </c>
      <c r="P4262">
        <v>-0.15401028492219901</v>
      </c>
      <c r="Q4262">
        <v>0.14117009136974801</v>
      </c>
      <c r="R4262">
        <v>0.97025120419020605</v>
      </c>
      <c r="S4262" t="s">
        <v>10878</v>
      </c>
      <c r="T4262" t="s">
        <v>13232</v>
      </c>
      <c r="U4262" t="s">
        <v>13232</v>
      </c>
      <c r="V4262" t="s">
        <v>13232</v>
      </c>
      <c r="W4262" t="s">
        <v>17431</v>
      </c>
      <c r="X4262">
        <v>4</v>
      </c>
      <c r="Y4262" t="s">
        <v>23849</v>
      </c>
      <c r="Z4262" t="s">
        <v>30393</v>
      </c>
      <c r="AA4262">
        <v>0.48494964604546531</v>
      </c>
      <c r="AB4262" t="str">
        <f>HYPERLINK("Melting_Curves/meltCurve_Q8IX04_6_UEVLD.pdf", "Melting_Curves/meltCurve_Q8IX04_6_UEVLD.pdf")</f>
        <v>Melting_Curves/meltCurve_Q8IX04_6_UEVLD.pdf</v>
      </c>
    </row>
    <row r="4263" spans="1:28" x14ac:dyDescent="0.25">
      <c r="A4263" t="s">
        <v>4266</v>
      </c>
      <c r="B4263">
        <v>0.99930955844802105</v>
      </c>
      <c r="C4263">
        <v>1.0767839421968199</v>
      </c>
      <c r="D4263">
        <v>0.956023019389316</v>
      </c>
      <c r="E4263">
        <v>0.82839012348427699</v>
      </c>
      <c r="F4263">
        <v>0.61859483861973297</v>
      </c>
      <c r="G4263">
        <v>0.49495306863456201</v>
      </c>
      <c r="H4263">
        <v>0.42020451475786502</v>
      </c>
      <c r="I4263">
        <v>0.48177332349966601</v>
      </c>
      <c r="J4263">
        <v>0.36715866503993899</v>
      </c>
      <c r="K4263">
        <v>0.251462526889423</v>
      </c>
      <c r="L4263">
        <v>889.17089281651897</v>
      </c>
      <c r="M4263">
        <v>16.855565438979799</v>
      </c>
      <c r="N4263">
        <v>56.709260898965702</v>
      </c>
      <c r="O4263">
        <v>52.026652981284897</v>
      </c>
      <c r="P4263">
        <v>-5.2993466262829997E-2</v>
      </c>
      <c r="Q4263">
        <v>0.34576025599249799</v>
      </c>
      <c r="R4263">
        <v>0.95870245938610799</v>
      </c>
      <c r="S4263" t="s">
        <v>10879</v>
      </c>
      <c r="T4263" t="s">
        <v>13232</v>
      </c>
      <c r="U4263" t="s">
        <v>13232</v>
      </c>
      <c r="V4263" t="s">
        <v>13232</v>
      </c>
      <c r="W4263" t="s">
        <v>17432</v>
      </c>
      <c r="X4263">
        <v>10</v>
      </c>
      <c r="Y4263" t="s">
        <v>23850</v>
      </c>
      <c r="Z4263" t="s">
        <v>30394</v>
      </c>
      <c r="AA4263">
        <v>0.63581231611544564</v>
      </c>
      <c r="AB4263" t="str">
        <f>HYPERLINK("Melting_Curves/meltCurve_Q8IX07_ZFPM1.pdf", "Melting_Curves/meltCurve_Q8IX07_ZFPM1.pdf")</f>
        <v>Melting_Curves/meltCurve_Q8IX07_ZFPM1.pdf</v>
      </c>
    </row>
    <row r="4264" spans="1:28" x14ac:dyDescent="0.25">
      <c r="A4264" t="s">
        <v>4267</v>
      </c>
      <c r="B4264">
        <v>0.99930955844802105</v>
      </c>
      <c r="C4264">
        <v>0.96192892303347</v>
      </c>
      <c r="D4264">
        <v>0.94615073407669403</v>
      </c>
      <c r="E4264">
        <v>0.736905932959669</v>
      </c>
      <c r="F4264">
        <v>0.52574594000875197</v>
      </c>
      <c r="G4264">
        <v>0.41918729396396598</v>
      </c>
      <c r="H4264">
        <v>0.34071086347440999</v>
      </c>
      <c r="I4264">
        <v>0.34727501785791198</v>
      </c>
      <c r="J4264">
        <v>0.32375474710372498</v>
      </c>
      <c r="K4264">
        <v>0.26357736595247799</v>
      </c>
      <c r="L4264">
        <v>947.99817766957995</v>
      </c>
      <c r="M4264">
        <v>18.488227248954601</v>
      </c>
      <c r="N4264">
        <v>54.0077737618304</v>
      </c>
      <c r="O4264">
        <v>50.687179014637202</v>
      </c>
      <c r="P4264">
        <v>-6.34921322342102E-2</v>
      </c>
      <c r="Q4264">
        <v>0.30375278173592701</v>
      </c>
      <c r="R4264">
        <v>0.99394667685152005</v>
      </c>
      <c r="S4264" t="s">
        <v>10880</v>
      </c>
      <c r="T4264" t="s">
        <v>13232</v>
      </c>
      <c r="U4264" t="s">
        <v>13232</v>
      </c>
      <c r="V4264" t="s">
        <v>13232</v>
      </c>
      <c r="W4264" t="s">
        <v>17433</v>
      </c>
      <c r="X4264">
        <v>30</v>
      </c>
      <c r="Y4264" t="s">
        <v>23851</v>
      </c>
      <c r="Z4264" t="s">
        <v>30395</v>
      </c>
      <c r="AA4264">
        <v>0.57659089857506962</v>
      </c>
      <c r="AB4264" t="str">
        <f>HYPERLINK("Melting_Curves/meltCurve_Q8IX12_2_CCAR1.pdf", "Melting_Curves/meltCurve_Q8IX12_2_CCAR1.pdf")</f>
        <v>Melting_Curves/meltCurve_Q8IX12_2_CCAR1.pdf</v>
      </c>
    </row>
    <row r="4265" spans="1:28" x14ac:dyDescent="0.25">
      <c r="A4265" t="s">
        <v>4268</v>
      </c>
      <c r="B4265">
        <v>0.99930955844802105</v>
      </c>
      <c r="C4265">
        <v>1.20921364683907</v>
      </c>
      <c r="D4265">
        <v>1.2183731973579699</v>
      </c>
      <c r="E4265">
        <v>1.0705940106428899</v>
      </c>
      <c r="F4265">
        <v>0.98328475469202803</v>
      </c>
      <c r="G4265">
        <v>0.79821615065745499</v>
      </c>
      <c r="H4265">
        <v>0.68483856828234002</v>
      </c>
      <c r="I4265">
        <v>0.63776992065309801</v>
      </c>
      <c r="J4265">
        <v>0.52546725992346799</v>
      </c>
      <c r="K4265">
        <v>0.37065202069445802</v>
      </c>
      <c r="L4265">
        <v>906.37394053746402</v>
      </c>
      <c r="M4265">
        <v>14.4055347846973</v>
      </c>
      <c r="N4265">
        <v>66.577341880835206</v>
      </c>
      <c r="O4265">
        <v>61.743253061192299</v>
      </c>
      <c r="P4265">
        <v>-4.2382880568594697E-2</v>
      </c>
      <c r="Q4265">
        <v>0.27346057647143102</v>
      </c>
      <c r="R4265">
        <v>0.85213688573094004</v>
      </c>
      <c r="S4265" t="s">
        <v>10881</v>
      </c>
      <c r="T4265" t="s">
        <v>13232</v>
      </c>
      <c r="U4265" t="s">
        <v>13232</v>
      </c>
      <c r="V4265" t="s">
        <v>13232</v>
      </c>
      <c r="W4265" t="s">
        <v>17434</v>
      </c>
      <c r="X4265">
        <v>4</v>
      </c>
      <c r="Y4265" t="s">
        <v>23852</v>
      </c>
      <c r="Z4265" t="s">
        <v>30396</v>
      </c>
      <c r="AA4265">
        <v>0.82109182700124206</v>
      </c>
      <c r="AB4265" t="str">
        <f>HYPERLINK("Melting_Curves/meltCurve_Q8IX15_HOMEZ.pdf", "Melting_Curves/meltCurve_Q8IX15_HOMEZ.pdf")</f>
        <v>Melting_Curves/meltCurve_Q8IX15_HOMEZ.pdf</v>
      </c>
    </row>
    <row r="4266" spans="1:28" x14ac:dyDescent="0.25">
      <c r="A4266" t="s">
        <v>4269</v>
      </c>
      <c r="B4266">
        <v>0.99930955844802105</v>
      </c>
      <c r="C4266">
        <v>0.80920479853874305</v>
      </c>
      <c r="D4266">
        <v>0.83353316792407595</v>
      </c>
      <c r="E4266">
        <v>0.60396783453609604</v>
      </c>
      <c r="F4266">
        <v>0.235333828286379</v>
      </c>
      <c r="G4266">
        <v>0.13029541637434799</v>
      </c>
      <c r="H4266">
        <v>6.9523709870050202E-2</v>
      </c>
      <c r="I4266">
        <v>6.9245211111571905E-2</v>
      </c>
      <c r="J4266">
        <v>5.4325788699701297E-2</v>
      </c>
      <c r="K4266">
        <v>4.5758628956955399E-2</v>
      </c>
      <c r="L4266">
        <v>819.62496047223703</v>
      </c>
      <c r="M4266">
        <v>16.364039630843202</v>
      </c>
      <c r="N4266">
        <v>50.259740420436898</v>
      </c>
      <c r="O4266">
        <v>49.356890209612601</v>
      </c>
      <c r="P4266">
        <v>-8.0625017331561702E-2</v>
      </c>
      <c r="Q4266">
        <v>2.73515530105355E-2</v>
      </c>
      <c r="R4266">
        <v>0.97650376404366002</v>
      </c>
      <c r="S4266" t="s">
        <v>10882</v>
      </c>
      <c r="T4266" t="s">
        <v>13232</v>
      </c>
      <c r="U4266" t="s">
        <v>13232</v>
      </c>
      <c r="V4266" t="s">
        <v>13232</v>
      </c>
      <c r="W4266" t="s">
        <v>17435</v>
      </c>
      <c r="X4266">
        <v>12</v>
      </c>
      <c r="Y4266" t="s">
        <v>23853</v>
      </c>
      <c r="Z4266" t="s">
        <v>30397</v>
      </c>
      <c r="AA4266">
        <v>0.37416955108937261</v>
      </c>
      <c r="AB4266" t="str">
        <f>HYPERLINK("Melting_Curves/meltCurve_Q8IX18_3_DHX40.pdf", "Melting_Curves/meltCurve_Q8IX18_3_DHX40.pdf")</f>
        <v>Melting_Curves/meltCurve_Q8IX18_3_DHX40.pdf</v>
      </c>
    </row>
    <row r="4267" spans="1:28" x14ac:dyDescent="0.25">
      <c r="A4267" t="s">
        <v>4270</v>
      </c>
      <c r="B4267">
        <v>0.99930955844802105</v>
      </c>
      <c r="C4267">
        <v>0.88185041507512596</v>
      </c>
      <c r="D4267">
        <v>0.75184871528762298</v>
      </c>
      <c r="E4267">
        <v>0.65002619889179603</v>
      </c>
      <c r="F4267">
        <v>0.564331061261656</v>
      </c>
      <c r="G4267">
        <v>0.52731233775297104</v>
      </c>
      <c r="H4267">
        <v>0.54826227427892704</v>
      </c>
      <c r="I4267">
        <v>0.59247201390584203</v>
      </c>
      <c r="J4267">
        <v>0.56987910597134805</v>
      </c>
      <c r="K4267">
        <v>0.47897382861864202</v>
      </c>
      <c r="L4267">
        <v>820.17361908114503</v>
      </c>
      <c r="M4267">
        <v>17.903525797607699</v>
      </c>
      <c r="O4267">
        <v>45.250667937835999</v>
      </c>
      <c r="P4267">
        <v>-4.5545429527197097E-2</v>
      </c>
      <c r="Q4267">
        <v>0.53956393465791697</v>
      </c>
      <c r="R4267">
        <v>0.961686673749507</v>
      </c>
      <c r="S4267" t="s">
        <v>10883</v>
      </c>
      <c r="T4267" t="s">
        <v>13232</v>
      </c>
      <c r="U4267" t="s">
        <v>13232</v>
      </c>
      <c r="V4267" t="s">
        <v>13232</v>
      </c>
      <c r="W4267" t="s">
        <v>17436</v>
      </c>
      <c r="X4267">
        <v>12</v>
      </c>
      <c r="Y4267" t="s">
        <v>23854</v>
      </c>
      <c r="Z4267" t="s">
        <v>30398</v>
      </c>
      <c r="AA4267">
        <v>0.63803465880162058</v>
      </c>
      <c r="AB4267" t="str">
        <f>HYPERLINK("Melting_Curves/meltCurve_Q8IX90_SKA3.pdf", "Melting_Curves/meltCurve_Q8IX90_SKA3.pdf")</f>
        <v>Melting_Curves/meltCurve_Q8IX90_SKA3.pdf</v>
      </c>
    </row>
    <row r="4268" spans="1:28" x14ac:dyDescent="0.25">
      <c r="A4268" t="s">
        <v>4271</v>
      </c>
      <c r="B4268">
        <v>0.99930955844802105</v>
      </c>
      <c r="C4268">
        <v>0.96674917597393595</v>
      </c>
      <c r="D4268">
        <v>0.81731243781402096</v>
      </c>
      <c r="E4268">
        <v>0.66990442040280196</v>
      </c>
      <c r="F4268">
        <v>0.34189174334014599</v>
      </c>
      <c r="G4268">
        <v>0.23059820560633201</v>
      </c>
      <c r="H4268">
        <v>0.19627619093284401</v>
      </c>
      <c r="I4268">
        <v>0.198581689384937</v>
      </c>
      <c r="J4268">
        <v>0.21618518196426301</v>
      </c>
      <c r="K4268">
        <v>0.146890804178885</v>
      </c>
      <c r="L4268">
        <v>951.26137806934196</v>
      </c>
      <c r="M4268">
        <v>18.961799133665</v>
      </c>
      <c r="N4268">
        <v>51.291543708316098</v>
      </c>
      <c r="O4268">
        <v>49.619298169363297</v>
      </c>
      <c r="P4268">
        <v>-7.9294500880084801E-2</v>
      </c>
      <c r="Q4268">
        <v>0.17004131961587701</v>
      </c>
      <c r="R4268">
        <v>0.98742685092520899</v>
      </c>
      <c r="S4268" t="s">
        <v>10884</v>
      </c>
      <c r="T4268" t="s">
        <v>13232</v>
      </c>
      <c r="U4268" t="s">
        <v>13232</v>
      </c>
      <c r="V4268" t="s">
        <v>13232</v>
      </c>
      <c r="W4268" t="s">
        <v>17437</v>
      </c>
      <c r="X4268">
        <v>8</v>
      </c>
      <c r="Y4268" t="s">
        <v>23855</v>
      </c>
      <c r="Z4268" t="s">
        <v>30399</v>
      </c>
      <c r="AA4268">
        <v>0.46411628937655508</v>
      </c>
      <c r="AB4268" t="str">
        <f>HYPERLINK("Melting_Curves/meltCurve_Q8IXB1_2_DNAJC10.pdf", "Melting_Curves/meltCurve_Q8IXB1_2_DNAJC10.pdf")</f>
        <v>Melting_Curves/meltCurve_Q8IXB1_2_DNAJC10.pdf</v>
      </c>
    </row>
    <row r="4269" spans="1:28" x14ac:dyDescent="0.25">
      <c r="A4269" t="s">
        <v>4272</v>
      </c>
      <c r="B4269">
        <v>0.99930955844802105</v>
      </c>
      <c r="C4269">
        <v>0.94363130451479105</v>
      </c>
      <c r="D4269">
        <v>0.793306477788283</v>
      </c>
      <c r="E4269">
        <v>0.34277835434993298</v>
      </c>
      <c r="F4269">
        <v>0.19865854606480399</v>
      </c>
      <c r="G4269">
        <v>0.12786666432510499</v>
      </c>
      <c r="H4269">
        <v>7.3915340256560297E-2</v>
      </c>
      <c r="I4269">
        <v>6.4755274206579103E-2</v>
      </c>
      <c r="J4269">
        <v>5.86176082848478E-2</v>
      </c>
      <c r="K4269">
        <v>4.2461827736713802E-2</v>
      </c>
      <c r="L4269">
        <v>1086.4418734936401</v>
      </c>
      <c r="M4269">
        <v>22.458058859567501</v>
      </c>
      <c r="N4269">
        <v>48.676388886138803</v>
      </c>
      <c r="O4269">
        <v>47.997817486123402</v>
      </c>
      <c r="P4269">
        <v>-0.109418733004088</v>
      </c>
      <c r="Q4269">
        <v>6.4611597512347393E-2</v>
      </c>
      <c r="R4269">
        <v>0.997757805316702</v>
      </c>
      <c r="S4269" t="s">
        <v>10885</v>
      </c>
      <c r="T4269" t="s">
        <v>13232</v>
      </c>
      <c r="U4269" t="s">
        <v>13232</v>
      </c>
      <c r="V4269" t="s">
        <v>13232</v>
      </c>
      <c r="W4269" t="s">
        <v>17438</v>
      </c>
      <c r="X4269">
        <v>17</v>
      </c>
      <c r="Y4269" t="s">
        <v>23856</v>
      </c>
      <c r="Z4269" t="s">
        <v>30400</v>
      </c>
      <c r="AA4269">
        <v>0.33614244150668737</v>
      </c>
      <c r="AB4269" t="str">
        <f>HYPERLINK("Melting_Curves/meltCurve_Q8IXH7_4_NELFCD.pdf", "Melting_Curves/meltCurve_Q8IXH7_4_NELFCD.pdf")</f>
        <v>Melting_Curves/meltCurve_Q8IXH7_4_NELFCD.pdf</v>
      </c>
    </row>
    <row r="4270" spans="1:28" x14ac:dyDescent="0.25">
      <c r="A4270" t="s">
        <v>4273</v>
      </c>
      <c r="B4270">
        <v>0.99930955844802105</v>
      </c>
      <c r="C4270">
        <v>1.0572784281006999</v>
      </c>
      <c r="D4270">
        <v>1.0166627732770701</v>
      </c>
      <c r="E4270">
        <v>0.82344069484524296</v>
      </c>
      <c r="F4270">
        <v>0.34262322506767201</v>
      </c>
      <c r="G4270">
        <v>0.184902718449168</v>
      </c>
      <c r="H4270">
        <v>0.12761796389410501</v>
      </c>
      <c r="I4270">
        <v>0.11421935371483501</v>
      </c>
      <c r="J4270">
        <v>0.106176532896888</v>
      </c>
      <c r="K4270">
        <v>7.9060477152123498E-2</v>
      </c>
      <c r="L4270">
        <v>2080.4849192930801</v>
      </c>
      <c r="M4270">
        <v>40.258161973352699</v>
      </c>
      <c r="N4270">
        <v>52.020827470395503</v>
      </c>
      <c r="O4270">
        <v>51.551581764545602</v>
      </c>
      <c r="P4270">
        <v>-0.17251839923942</v>
      </c>
      <c r="Q4270">
        <v>0.11634561053916399</v>
      </c>
      <c r="R4270">
        <v>0.99527594093071703</v>
      </c>
      <c r="S4270" t="s">
        <v>10886</v>
      </c>
      <c r="T4270" t="s">
        <v>13232</v>
      </c>
      <c r="U4270" t="s">
        <v>13232</v>
      </c>
      <c r="V4270" t="s">
        <v>13232</v>
      </c>
      <c r="W4270" t="s">
        <v>17439</v>
      </c>
      <c r="X4270">
        <v>11</v>
      </c>
      <c r="Y4270" t="s">
        <v>23857</v>
      </c>
      <c r="Z4270" t="s">
        <v>30401</v>
      </c>
      <c r="AA4270">
        <v>0.46345504139526011</v>
      </c>
      <c r="AB4270" t="str">
        <f>HYPERLINK("Melting_Curves/meltCurve_Q8IXJ6_2_SIRT2.pdf", "Melting_Curves/meltCurve_Q8IXJ6_2_SIRT2.pdf")</f>
        <v>Melting_Curves/meltCurve_Q8IXJ6_2_SIRT2.pdf</v>
      </c>
    </row>
    <row r="4271" spans="1:28" x14ac:dyDescent="0.25">
      <c r="A4271" t="s">
        <v>4274</v>
      </c>
      <c r="B4271">
        <v>0.99930955844802105</v>
      </c>
      <c r="C4271">
        <v>1.0732993893434899</v>
      </c>
      <c r="D4271">
        <v>1.05374366937353</v>
      </c>
      <c r="E4271">
        <v>0.97083231975701501</v>
      </c>
      <c r="F4271">
        <v>0.82895052306820105</v>
      </c>
      <c r="G4271">
        <v>0.64105274540082702</v>
      </c>
      <c r="H4271">
        <v>0.60966139783403905</v>
      </c>
      <c r="I4271">
        <v>0.65809524482044202</v>
      </c>
      <c r="J4271">
        <v>0.65220365997181395</v>
      </c>
      <c r="K4271">
        <v>0.53292578254989198</v>
      </c>
      <c r="L4271">
        <v>2091.29393334</v>
      </c>
      <c r="M4271">
        <v>39.2224763154464</v>
      </c>
      <c r="O4271">
        <v>53.180727069998603</v>
      </c>
      <c r="P4271">
        <v>-7.1472560582586706E-2</v>
      </c>
      <c r="Q4271">
        <v>0.61236978573718104</v>
      </c>
      <c r="R4271">
        <v>0.95224848044580701</v>
      </c>
      <c r="S4271" t="s">
        <v>10887</v>
      </c>
      <c r="T4271" t="s">
        <v>13232</v>
      </c>
      <c r="U4271" t="s">
        <v>13232</v>
      </c>
      <c r="V4271" t="s">
        <v>13232</v>
      </c>
      <c r="W4271" t="s">
        <v>17440</v>
      </c>
      <c r="X4271">
        <v>13</v>
      </c>
      <c r="Y4271" t="s">
        <v>23858</v>
      </c>
      <c r="Z4271" t="s">
        <v>30402</v>
      </c>
      <c r="AA4271">
        <v>0.78594559440876777</v>
      </c>
      <c r="AB4271" t="str">
        <f>HYPERLINK("Melting_Curves/meltCurve_Q8IXJ9_ASXL1.pdf", "Melting_Curves/meltCurve_Q8IXJ9_ASXL1.pdf")</f>
        <v>Melting_Curves/meltCurve_Q8IXJ9_ASXL1.pdf</v>
      </c>
    </row>
    <row r="4272" spans="1:28" x14ac:dyDescent="0.25">
      <c r="A4272" t="s">
        <v>4275</v>
      </c>
      <c r="B4272">
        <v>0.99930955844802105</v>
      </c>
      <c r="C4272">
        <v>1.29325850079572</v>
      </c>
      <c r="D4272">
        <v>1.23741357825721</v>
      </c>
      <c r="E4272">
        <v>1.02251381546131</v>
      </c>
      <c r="F4272">
        <v>0.79734975778941397</v>
      </c>
      <c r="G4272">
        <v>0.57063419424644302</v>
      </c>
      <c r="H4272">
        <v>0.49976614888495602</v>
      </c>
      <c r="I4272">
        <v>0.39883396259606302</v>
      </c>
      <c r="J4272">
        <v>0.40801035704952998</v>
      </c>
      <c r="K4272">
        <v>0.32766374958212802</v>
      </c>
      <c r="L4272">
        <v>1408.5883776303799</v>
      </c>
      <c r="M4272">
        <v>25.5050161868466</v>
      </c>
      <c r="N4272">
        <v>58.608793455447397</v>
      </c>
      <c r="O4272">
        <v>54.891713260100502</v>
      </c>
      <c r="P4272">
        <v>-7.1418235806949698E-2</v>
      </c>
      <c r="Q4272">
        <v>0.38518411854193302</v>
      </c>
      <c r="R4272">
        <v>0.86625708541616897</v>
      </c>
      <c r="S4272" t="s">
        <v>10888</v>
      </c>
      <c r="T4272" t="s">
        <v>13232</v>
      </c>
      <c r="U4272" t="s">
        <v>13232</v>
      </c>
      <c r="V4272" t="s">
        <v>13232</v>
      </c>
      <c r="W4272" t="s">
        <v>17441</v>
      </c>
      <c r="X4272">
        <v>10</v>
      </c>
      <c r="Y4272" t="s">
        <v>23859</v>
      </c>
      <c r="Z4272" t="s">
        <v>30403</v>
      </c>
      <c r="AA4272">
        <v>0.70275032335279897</v>
      </c>
      <c r="AB4272" t="str">
        <f>HYPERLINK("Melting_Curves/meltCurve_Q8IXK0_2_PHC2.pdf", "Melting_Curves/meltCurve_Q8IXK0_2_PHC2.pdf")</f>
        <v>Melting_Curves/meltCurve_Q8IXK0_2_PHC2.pdf</v>
      </c>
    </row>
    <row r="4273" spans="1:28" x14ac:dyDescent="0.25">
      <c r="A4273" t="s">
        <v>4276</v>
      </c>
      <c r="B4273">
        <v>0.99930955844802105</v>
      </c>
      <c r="C4273">
        <v>0.64911342661374904</v>
      </c>
      <c r="D4273">
        <v>0.584736614436696</v>
      </c>
      <c r="E4273">
        <v>0.594137356363721</v>
      </c>
      <c r="F4273">
        <v>0.427940497162619</v>
      </c>
      <c r="G4273">
        <v>0.30095787683526598</v>
      </c>
      <c r="H4273">
        <v>0.185271803762564</v>
      </c>
      <c r="I4273">
        <v>0.178160377699391</v>
      </c>
      <c r="J4273">
        <v>0.15703462100628601</v>
      </c>
      <c r="K4273">
        <v>0.11997346700806701</v>
      </c>
      <c r="L4273">
        <v>354.24730739954401</v>
      </c>
      <c r="M4273">
        <v>7.0529092354254299</v>
      </c>
      <c r="N4273">
        <v>50.2271185153323</v>
      </c>
      <c r="O4273">
        <v>46.657727196349001</v>
      </c>
      <c r="P4273">
        <v>-3.7858828810577699E-2</v>
      </c>
      <c r="Q4273">
        <v>0</v>
      </c>
      <c r="R4273">
        <v>0.93338345222479502</v>
      </c>
      <c r="S4273" t="s">
        <v>10889</v>
      </c>
      <c r="T4273" t="s">
        <v>13232</v>
      </c>
      <c r="U4273" t="s">
        <v>13232</v>
      </c>
      <c r="V4273" t="s">
        <v>13232</v>
      </c>
      <c r="W4273" t="s">
        <v>17442</v>
      </c>
      <c r="X4273">
        <v>1</v>
      </c>
      <c r="Y4273" t="s">
        <v>23860</v>
      </c>
      <c r="Z4273" t="s">
        <v>30404</v>
      </c>
      <c r="AA4273">
        <v>0.40719635140084293</v>
      </c>
      <c r="AB4273" t="str">
        <f>HYPERLINK("Melting_Curves/meltCurve_Q8IXM3_MRPL41.pdf", "Melting_Curves/meltCurve_Q8IXM3_MRPL41.pdf")</f>
        <v>Melting_Curves/meltCurve_Q8IXM3_MRPL41.pdf</v>
      </c>
    </row>
    <row r="4274" spans="1:28" x14ac:dyDescent="0.25">
      <c r="A4274" t="s">
        <v>4277</v>
      </c>
      <c r="B4274">
        <v>0.99930955844802105</v>
      </c>
      <c r="C4274">
        <v>1.20675968547634</v>
      </c>
      <c r="D4274">
        <v>1.07861977035034</v>
      </c>
      <c r="E4274">
        <v>1.1205746056513399</v>
      </c>
      <c r="F4274">
        <v>1.00892752659915</v>
      </c>
      <c r="G4274">
        <v>0.99522776124408796</v>
      </c>
      <c r="H4274">
        <v>1.2054330935384401</v>
      </c>
      <c r="I4274">
        <v>1.3152917989981501</v>
      </c>
      <c r="J4274">
        <v>1.2811127907356901</v>
      </c>
      <c r="K4274">
        <v>1.13091131569909</v>
      </c>
      <c r="L4274">
        <v>198.27373327859101</v>
      </c>
      <c r="M4274">
        <v>2.5811482100762699</v>
      </c>
      <c r="O4274">
        <v>52.664328931500698</v>
      </c>
      <c r="P4274">
        <v>6.4142122387038899E-3</v>
      </c>
      <c r="Q4274">
        <v>1.5</v>
      </c>
      <c r="R4274">
        <v>0.251474304198404</v>
      </c>
      <c r="S4274" t="s">
        <v>10890</v>
      </c>
      <c r="T4274" t="s">
        <v>13232</v>
      </c>
      <c r="U4274" t="s">
        <v>13232</v>
      </c>
      <c r="V4274" t="s">
        <v>13232</v>
      </c>
      <c r="W4274" t="s">
        <v>17443</v>
      </c>
      <c r="X4274">
        <v>6</v>
      </c>
      <c r="Y4274" t="s">
        <v>23861</v>
      </c>
      <c r="Z4274" t="s">
        <v>30405</v>
      </c>
      <c r="AA4274">
        <v>1.1313356689019369</v>
      </c>
      <c r="AB4274" t="str">
        <f>HYPERLINK("Melting_Curves/meltCurve_Q8IXQ3_C9orf40.pdf", "Melting_Curves/meltCurve_Q8IXQ3_C9orf40.pdf")</f>
        <v>Melting_Curves/meltCurve_Q8IXQ3_C9orf40.pdf</v>
      </c>
    </row>
    <row r="4275" spans="1:28" x14ac:dyDescent="0.25">
      <c r="A4275" t="s">
        <v>4278</v>
      </c>
      <c r="B4275">
        <v>0.99930955844802105</v>
      </c>
      <c r="C4275">
        <v>1.1114573095003599</v>
      </c>
      <c r="D4275">
        <v>1.1091360512944199</v>
      </c>
      <c r="E4275">
        <v>1.1024415784815</v>
      </c>
      <c r="F4275">
        <v>1.00751512301871</v>
      </c>
      <c r="G4275">
        <v>0.98018842893318303</v>
      </c>
      <c r="H4275">
        <v>1.0740567105380201</v>
      </c>
      <c r="I4275">
        <v>1.2678330608354</v>
      </c>
      <c r="J4275">
        <v>1.3095163938318799</v>
      </c>
      <c r="K4275">
        <v>1.0254284465008601</v>
      </c>
      <c r="L4275">
        <v>175.359846917504</v>
      </c>
      <c r="M4275">
        <v>1.76367193022826</v>
      </c>
      <c r="O4275">
        <v>54.487447236181303</v>
      </c>
      <c r="P4275">
        <v>4.5319662524794802E-3</v>
      </c>
      <c r="Q4275">
        <v>1.5</v>
      </c>
      <c r="R4275">
        <v>0.14628914688362801</v>
      </c>
      <c r="S4275" t="s">
        <v>10891</v>
      </c>
      <c r="T4275" t="s">
        <v>13232</v>
      </c>
      <c r="U4275" t="s">
        <v>13232</v>
      </c>
      <c r="V4275" t="s">
        <v>13232</v>
      </c>
      <c r="W4275" t="s">
        <v>17444</v>
      </c>
      <c r="X4275">
        <v>16</v>
      </c>
      <c r="Y4275" t="s">
        <v>23862</v>
      </c>
      <c r="Z4275" t="s">
        <v>30406</v>
      </c>
      <c r="AA4275">
        <v>1.0970439806435801</v>
      </c>
      <c r="AB4275" t="str">
        <f>HYPERLINK("Melting_Curves/meltCurve_Q8IXQ4_KIAA1704.pdf", "Melting_Curves/meltCurve_Q8IXQ4_KIAA1704.pdf")</f>
        <v>Melting_Curves/meltCurve_Q8IXQ4_KIAA1704.pdf</v>
      </c>
    </row>
    <row r="4276" spans="1:28" x14ac:dyDescent="0.25">
      <c r="A4276" t="s">
        <v>4279</v>
      </c>
      <c r="B4276">
        <v>0.99930955844802105</v>
      </c>
      <c r="C4276">
        <v>1.06608136237894</v>
      </c>
      <c r="D4276">
        <v>1.1181216455773899</v>
      </c>
      <c r="E4276">
        <v>1.0138574555562001</v>
      </c>
      <c r="F4276">
        <v>0.86126848969904202</v>
      </c>
      <c r="G4276">
        <v>0.79851438877737202</v>
      </c>
      <c r="H4276">
        <v>0.71429705645248698</v>
      </c>
      <c r="I4276">
        <v>0.75674581239297001</v>
      </c>
      <c r="J4276">
        <v>0.76627587904857197</v>
      </c>
      <c r="K4276">
        <v>0.58160187000251395</v>
      </c>
      <c r="L4276">
        <v>1254.6427277523101</v>
      </c>
      <c r="M4276">
        <v>22.8472871970095</v>
      </c>
      <c r="O4276">
        <v>54.498798163618801</v>
      </c>
      <c r="P4276">
        <v>-3.2201314743558099E-2</v>
      </c>
      <c r="Q4276">
        <v>0.69276018442487797</v>
      </c>
      <c r="R4276">
        <v>0.84028167407210297</v>
      </c>
      <c r="S4276" t="s">
        <v>10892</v>
      </c>
      <c r="T4276" t="s">
        <v>13232</v>
      </c>
      <c r="U4276" t="s">
        <v>13232</v>
      </c>
      <c r="V4276" t="s">
        <v>13232</v>
      </c>
      <c r="W4276" t="s">
        <v>17445</v>
      </c>
      <c r="X4276">
        <v>2</v>
      </c>
      <c r="Y4276" t="s">
        <v>23863</v>
      </c>
      <c r="Z4276" t="s">
        <v>30407</v>
      </c>
      <c r="AA4276">
        <v>0.84882014535073413</v>
      </c>
      <c r="AB4276" t="str">
        <f>HYPERLINK("Melting_Curves/meltCurve_Q8IXS8_FAM126B.pdf", "Melting_Curves/meltCurve_Q8IXS8_FAM126B.pdf")</f>
        <v>Melting_Curves/meltCurve_Q8IXS8_FAM126B.pdf</v>
      </c>
    </row>
    <row r="4277" spans="1:28" x14ac:dyDescent="0.25">
      <c r="A4277" t="s">
        <v>4280</v>
      </c>
      <c r="B4277">
        <v>0.99930955844802105</v>
      </c>
      <c r="C4277">
        <v>1.0424496435606301</v>
      </c>
      <c r="D4277">
        <v>1.04507812024708</v>
      </c>
      <c r="E4277">
        <v>0.92396436917550095</v>
      </c>
      <c r="F4277">
        <v>0.745288394485215</v>
      </c>
      <c r="G4277">
        <v>0.65624244711868296</v>
      </c>
      <c r="H4277">
        <v>0.70403691441737604</v>
      </c>
      <c r="I4277">
        <v>0.88037633413807304</v>
      </c>
      <c r="J4277">
        <v>0.74054440700618196</v>
      </c>
      <c r="K4277">
        <v>0.64108573387980805</v>
      </c>
      <c r="L4277">
        <v>3294.3219698296102</v>
      </c>
      <c r="M4277">
        <v>64.9057916462977</v>
      </c>
      <c r="O4277">
        <v>50.707337991831501</v>
      </c>
      <c r="P4277">
        <v>-8.7978649967588501E-2</v>
      </c>
      <c r="Q4277">
        <v>0.72506857072543596</v>
      </c>
      <c r="R4277">
        <v>0.822150073009706</v>
      </c>
      <c r="S4277" t="s">
        <v>10893</v>
      </c>
      <c r="T4277" t="s">
        <v>13232</v>
      </c>
      <c r="U4277" t="s">
        <v>13232</v>
      </c>
      <c r="V4277" t="s">
        <v>13232</v>
      </c>
      <c r="W4277" t="s">
        <v>17446</v>
      </c>
      <c r="X4277">
        <v>11</v>
      </c>
      <c r="Y4277" t="s">
        <v>23864</v>
      </c>
      <c r="Z4277" t="s">
        <v>30408</v>
      </c>
      <c r="AA4277">
        <v>0.82399995753772282</v>
      </c>
      <c r="AB4277" t="str">
        <f>HYPERLINK("Melting_Curves/meltCurve_Q8IXW5_RPAP2.pdf", "Melting_Curves/meltCurve_Q8IXW5_RPAP2.pdf")</f>
        <v>Melting_Curves/meltCurve_Q8IXW5_RPAP2.pdf</v>
      </c>
    </row>
    <row r="4278" spans="1:28" x14ac:dyDescent="0.25">
      <c r="A4278" t="s">
        <v>4281</v>
      </c>
      <c r="B4278">
        <v>0.99930955844802105</v>
      </c>
      <c r="C4278">
        <v>1.08045088272066</v>
      </c>
      <c r="D4278">
        <v>1.00208027514077</v>
      </c>
      <c r="E4278">
        <v>0.96287201139902301</v>
      </c>
      <c r="F4278">
        <v>0.96336514000524598</v>
      </c>
      <c r="G4278">
        <v>0.83080979265858101</v>
      </c>
      <c r="H4278">
        <v>0.76141846745632302</v>
      </c>
      <c r="I4278">
        <v>0.72528440091103397</v>
      </c>
      <c r="J4278">
        <v>0.75827344413618503</v>
      </c>
      <c r="K4278">
        <v>0.60099684668016196</v>
      </c>
      <c r="L4278">
        <v>776.50984606311295</v>
      </c>
      <c r="M4278">
        <v>13.029054539434499</v>
      </c>
      <c r="O4278">
        <v>58.2467703583564</v>
      </c>
      <c r="P4278">
        <v>-2.1913320230326098E-2</v>
      </c>
      <c r="Q4278">
        <v>0.60821205695823399</v>
      </c>
      <c r="R4278">
        <v>0.91750845712817497</v>
      </c>
      <c r="S4278" t="s">
        <v>10894</v>
      </c>
      <c r="T4278" t="s">
        <v>13232</v>
      </c>
      <c r="U4278" t="s">
        <v>13232</v>
      </c>
      <c r="V4278" t="s">
        <v>13232</v>
      </c>
      <c r="W4278" t="s">
        <v>17447</v>
      </c>
      <c r="X4278">
        <v>7</v>
      </c>
      <c r="Y4278" t="s">
        <v>23865</v>
      </c>
      <c r="Z4278" t="s">
        <v>30409</v>
      </c>
      <c r="AA4278">
        <v>0.86668569965077613</v>
      </c>
      <c r="AB4278" t="str">
        <f>HYPERLINK("Melting_Curves/meltCurve_Q8IXZ2_ZC3H3.pdf", "Melting_Curves/meltCurve_Q8IXZ2_ZC3H3.pdf")</f>
        <v>Melting_Curves/meltCurve_Q8IXZ2_ZC3H3.pdf</v>
      </c>
    </row>
    <row r="4279" spans="1:28" x14ac:dyDescent="0.25">
      <c r="A4279" t="s">
        <v>4282</v>
      </c>
      <c r="B4279">
        <v>0.99930955844802105</v>
      </c>
      <c r="C4279">
        <v>0.79815079947100898</v>
      </c>
      <c r="D4279">
        <v>0.78607396334237001</v>
      </c>
      <c r="E4279">
        <v>0.63190758225376498</v>
      </c>
      <c r="F4279">
        <v>0.31843425712113199</v>
      </c>
      <c r="G4279">
        <v>0.253732964386645</v>
      </c>
      <c r="H4279">
        <v>0.16988910897638801</v>
      </c>
      <c r="I4279">
        <v>0.19027393817830299</v>
      </c>
      <c r="J4279">
        <v>0.179671452323626</v>
      </c>
      <c r="K4279">
        <v>0.14413666344573201</v>
      </c>
      <c r="L4279">
        <v>639.303359968417</v>
      </c>
      <c r="M4279">
        <v>12.879840820408001</v>
      </c>
      <c r="N4279">
        <v>50.763049293876698</v>
      </c>
      <c r="O4279">
        <v>48.485086672623801</v>
      </c>
      <c r="P4279">
        <v>-5.8163279947090703E-2</v>
      </c>
      <c r="Q4279">
        <v>0.12435679266025999</v>
      </c>
      <c r="R4279">
        <v>0.971056405228786</v>
      </c>
      <c r="S4279" t="s">
        <v>10895</v>
      </c>
      <c r="T4279" t="s">
        <v>13232</v>
      </c>
      <c r="U4279" t="s">
        <v>13232</v>
      </c>
      <c r="V4279" t="s">
        <v>13232</v>
      </c>
      <c r="W4279" t="s">
        <v>17448</v>
      </c>
      <c r="X4279">
        <v>12</v>
      </c>
      <c r="Y4279" t="s">
        <v>23866</v>
      </c>
      <c r="Z4279" t="s">
        <v>30410</v>
      </c>
      <c r="AA4279">
        <v>0.43318754187745673</v>
      </c>
      <c r="AB4279" t="str">
        <f>HYPERLINK("Melting_Curves/meltCurve_Q8IY18_SMC5.pdf", "Melting_Curves/meltCurve_Q8IY18_SMC5.pdf")</f>
        <v>Melting_Curves/meltCurve_Q8IY18_SMC5.pdf</v>
      </c>
    </row>
    <row r="4280" spans="1:28" x14ac:dyDescent="0.25">
      <c r="A4280" t="s">
        <v>4283</v>
      </c>
      <c r="B4280">
        <v>0.99930955844802105</v>
      </c>
      <c r="C4280">
        <v>0.81568646146053703</v>
      </c>
      <c r="D4280">
        <v>0.29726085252375301</v>
      </c>
      <c r="E4280">
        <v>0.222105381352596</v>
      </c>
      <c r="F4280">
        <v>0.13338792847290201</v>
      </c>
      <c r="G4280">
        <v>9.2384810528779907E-2</v>
      </c>
      <c r="H4280">
        <v>6.5471833068767304E-2</v>
      </c>
      <c r="I4280">
        <v>6.7125224756633906E-2</v>
      </c>
      <c r="J4280">
        <v>6.8467572686457395E-2</v>
      </c>
      <c r="K4280">
        <v>5.30793614378871E-2</v>
      </c>
      <c r="L4280">
        <v>1488.8404084461299</v>
      </c>
      <c r="M4280">
        <v>33.428971360829301</v>
      </c>
      <c r="N4280">
        <v>44.814302974625498</v>
      </c>
      <c r="O4280">
        <v>44.378954152149099</v>
      </c>
      <c r="P4280">
        <v>-0.17074627880514501</v>
      </c>
      <c r="Q4280">
        <v>9.3300348599420296E-2</v>
      </c>
      <c r="R4280">
        <v>0.98328995063481195</v>
      </c>
      <c r="S4280" t="s">
        <v>10896</v>
      </c>
      <c r="T4280" t="s">
        <v>13232</v>
      </c>
      <c r="U4280" t="s">
        <v>13232</v>
      </c>
      <c r="V4280" t="s">
        <v>13232</v>
      </c>
      <c r="W4280" t="s">
        <v>17449</v>
      </c>
      <c r="X4280">
        <v>15</v>
      </c>
      <c r="Y4280" t="s">
        <v>23867</v>
      </c>
      <c r="Z4280" t="s">
        <v>30411</v>
      </c>
      <c r="AA4280">
        <v>0.23513713946277481</v>
      </c>
      <c r="AB4280" t="str">
        <f>HYPERLINK("Melting_Curves/meltCurve_Q8IY22_CMIP.pdf", "Melting_Curves/meltCurve_Q8IY22_CMIP.pdf")</f>
        <v>Melting_Curves/meltCurve_Q8IY22_CMIP.pdf</v>
      </c>
    </row>
    <row r="4281" spans="1:28" x14ac:dyDescent="0.25">
      <c r="A4281" t="s">
        <v>4284</v>
      </c>
      <c r="B4281">
        <v>0.99930955844802105</v>
      </c>
      <c r="C4281">
        <v>0.870873954293784</v>
      </c>
      <c r="D4281">
        <v>0.87569588751138705</v>
      </c>
      <c r="E4281">
        <v>0.72340115845144903</v>
      </c>
      <c r="F4281">
        <v>0.515276292929013</v>
      </c>
      <c r="G4281">
        <v>0.32840523896159002</v>
      </c>
      <c r="H4281">
        <v>0.261468228788724</v>
      </c>
      <c r="I4281">
        <v>0.23276079736438199</v>
      </c>
      <c r="J4281">
        <v>0.168561665431056</v>
      </c>
      <c r="K4281">
        <v>0.146040775399218</v>
      </c>
      <c r="L4281">
        <v>626.673978093085</v>
      </c>
      <c r="M4281">
        <v>11.9409350984943</v>
      </c>
      <c r="N4281">
        <v>53.621246629577399</v>
      </c>
      <c r="O4281">
        <v>51.0742227211597</v>
      </c>
      <c r="P4281">
        <v>-5.19089283051224E-2</v>
      </c>
      <c r="Q4281">
        <v>0.112110994966606</v>
      </c>
      <c r="R4281">
        <v>0.99020572020062902</v>
      </c>
      <c r="S4281" t="s">
        <v>10897</v>
      </c>
      <c r="T4281" t="s">
        <v>13232</v>
      </c>
      <c r="U4281" t="s">
        <v>13232</v>
      </c>
      <c r="V4281" t="s">
        <v>13232</v>
      </c>
      <c r="W4281" t="s">
        <v>17450</v>
      </c>
      <c r="X4281">
        <v>3</v>
      </c>
      <c r="Y4281" t="s">
        <v>23868</v>
      </c>
      <c r="Z4281" t="s">
        <v>30412</v>
      </c>
      <c r="AA4281">
        <v>0.50794380767590697</v>
      </c>
      <c r="AB4281" t="str">
        <f>HYPERLINK("Melting_Curves/meltCurve_Q8IY31_IFT20.pdf", "Melting_Curves/meltCurve_Q8IY31_IFT20.pdf")</f>
        <v>Melting_Curves/meltCurve_Q8IY31_IFT20.pdf</v>
      </c>
    </row>
    <row r="4282" spans="1:28" x14ac:dyDescent="0.25">
      <c r="A4282" t="s">
        <v>4285</v>
      </c>
      <c r="B4282">
        <v>0.99930955844802105</v>
      </c>
      <c r="C4282">
        <v>1.01488231073392</v>
      </c>
      <c r="D4282">
        <v>0.84413048286802095</v>
      </c>
      <c r="E4282">
        <v>0.71078772472830598</v>
      </c>
      <c r="F4282">
        <v>0.57692399483996903</v>
      </c>
      <c r="G4282">
        <v>0.46493473110167799</v>
      </c>
      <c r="H4282">
        <v>0.409434501163561</v>
      </c>
      <c r="I4282">
        <v>0.41891859950107702</v>
      </c>
      <c r="J4282">
        <v>0.42333357244761599</v>
      </c>
      <c r="K4282">
        <v>0.340468226074709</v>
      </c>
      <c r="L4282">
        <v>774.64114967683201</v>
      </c>
      <c r="M4282">
        <v>15.3870519563282</v>
      </c>
      <c r="N4282">
        <v>55.398009506349702</v>
      </c>
      <c r="O4282">
        <v>49.516360769227397</v>
      </c>
      <c r="P4282">
        <v>-4.8389553241128397E-2</v>
      </c>
      <c r="Q4282">
        <v>0.37717620403351299</v>
      </c>
      <c r="R4282">
        <v>0.98607751609334304</v>
      </c>
      <c r="S4282" t="s">
        <v>10898</v>
      </c>
      <c r="T4282" t="s">
        <v>13232</v>
      </c>
      <c r="U4282" t="s">
        <v>13232</v>
      </c>
      <c r="V4282" t="s">
        <v>13232</v>
      </c>
      <c r="W4282" t="s">
        <v>17451</v>
      </c>
      <c r="X4282">
        <v>5</v>
      </c>
      <c r="Y4282" t="s">
        <v>23869</v>
      </c>
      <c r="Z4282" t="s">
        <v>30413</v>
      </c>
      <c r="AA4282">
        <v>0.60597203881713457</v>
      </c>
      <c r="AB4282" t="str">
        <f>HYPERLINK("Melting_Curves/meltCurve_Q8IY33_MICALL2.pdf", "Melting_Curves/meltCurve_Q8IY33_MICALL2.pdf")</f>
        <v>Melting_Curves/meltCurve_Q8IY33_MICALL2.pdf</v>
      </c>
    </row>
    <row r="4283" spans="1:28" x14ac:dyDescent="0.25">
      <c r="A4283" t="s">
        <v>4286</v>
      </c>
      <c r="B4283">
        <v>0.99930955844802105</v>
      </c>
      <c r="C4283">
        <v>0.64468756472715605</v>
      </c>
      <c r="D4283">
        <v>0.32399211986197102</v>
      </c>
      <c r="E4283">
        <v>0.27710893471374298</v>
      </c>
      <c r="F4283">
        <v>0.207933959754876</v>
      </c>
      <c r="G4283">
        <v>0.155820425912335</v>
      </c>
      <c r="H4283">
        <v>0.13445796873683399</v>
      </c>
      <c r="I4283">
        <v>0.12952009185331001</v>
      </c>
      <c r="J4283">
        <v>0.130899690220976</v>
      </c>
      <c r="K4283">
        <v>0.108272491653037</v>
      </c>
      <c r="L4283">
        <v>1123.95776533602</v>
      </c>
      <c r="M4283">
        <v>25.727637757297199</v>
      </c>
      <c r="N4283">
        <v>44.323239081534801</v>
      </c>
      <c r="O4283">
        <v>43.425410835110497</v>
      </c>
      <c r="P4283">
        <v>-0.12524116186513001</v>
      </c>
      <c r="Q4283">
        <v>0.15443718686850999</v>
      </c>
      <c r="R4283">
        <v>0.97336424472542404</v>
      </c>
      <c r="S4283" t="s">
        <v>10899</v>
      </c>
      <c r="T4283" t="s">
        <v>13232</v>
      </c>
      <c r="U4283" t="s">
        <v>13232</v>
      </c>
      <c r="V4283" t="s">
        <v>13232</v>
      </c>
      <c r="W4283" t="s">
        <v>17452</v>
      </c>
      <c r="X4283">
        <v>16</v>
      </c>
      <c r="Y4283" t="s">
        <v>23870</v>
      </c>
      <c r="Z4283" t="s">
        <v>30414</v>
      </c>
      <c r="AA4283">
        <v>0.26794145993281582</v>
      </c>
      <c r="AB4283" t="str">
        <f>HYPERLINK("Melting_Curves/meltCurve_Q8IY37_DHX37.pdf", "Melting_Curves/meltCurve_Q8IY37_DHX37.pdf")</f>
        <v>Melting_Curves/meltCurve_Q8IY37_DHX37.pdf</v>
      </c>
    </row>
    <row r="4284" spans="1:28" x14ac:dyDescent="0.25">
      <c r="A4284" t="s">
        <v>4287</v>
      </c>
      <c r="B4284">
        <v>0.99930955844802105</v>
      </c>
      <c r="C4284">
        <v>0.851543808674179</v>
      </c>
      <c r="D4284">
        <v>0.836956698806678</v>
      </c>
      <c r="E4284">
        <v>0.78457051128279098</v>
      </c>
      <c r="F4284">
        <v>0.63236065548043596</v>
      </c>
      <c r="G4284">
        <v>0.23433331367495</v>
      </c>
      <c r="H4284">
        <v>0.120855947466133</v>
      </c>
      <c r="I4284">
        <v>0.100372656430594</v>
      </c>
      <c r="J4284">
        <v>9.1035392877007404E-2</v>
      </c>
      <c r="K4284">
        <v>6.8287287046748593E-2</v>
      </c>
      <c r="L4284">
        <v>791.26180587491103</v>
      </c>
      <c r="M4284">
        <v>14.7526142001142</v>
      </c>
      <c r="N4284">
        <v>53.755841439164897</v>
      </c>
      <c r="O4284">
        <v>52.678766383824097</v>
      </c>
      <c r="P4284">
        <v>-6.8881088853453107E-2</v>
      </c>
      <c r="Q4284">
        <v>1.62612494286936E-2</v>
      </c>
      <c r="R4284">
        <v>0.97068991665054005</v>
      </c>
      <c r="S4284" t="s">
        <v>10900</v>
      </c>
      <c r="T4284" t="s">
        <v>13232</v>
      </c>
      <c r="U4284" t="s">
        <v>13232</v>
      </c>
      <c r="V4284" t="s">
        <v>13232</v>
      </c>
      <c r="W4284" t="s">
        <v>17453</v>
      </c>
      <c r="X4284">
        <v>9</v>
      </c>
      <c r="Y4284" t="s">
        <v>23871</v>
      </c>
      <c r="Z4284" t="s">
        <v>30415</v>
      </c>
      <c r="AA4284">
        <v>0.48439311032281512</v>
      </c>
      <c r="AB4284" t="str">
        <f>HYPERLINK("Melting_Curves/meltCurve_Q8IY47_KBTBD2.pdf", "Melting_Curves/meltCurve_Q8IY47_KBTBD2.pdf")</f>
        <v>Melting_Curves/meltCurve_Q8IY47_KBTBD2.pdf</v>
      </c>
    </row>
    <row r="4285" spans="1:28" x14ac:dyDescent="0.25">
      <c r="A4285" t="s">
        <v>4288</v>
      </c>
      <c r="B4285">
        <v>0.99930955844802105</v>
      </c>
      <c r="C4285">
        <v>1.1247114724277001</v>
      </c>
      <c r="D4285">
        <v>1.05839922902192</v>
      </c>
      <c r="E4285">
        <v>0.881030961462407</v>
      </c>
      <c r="F4285">
        <v>0.66284941468759895</v>
      </c>
      <c r="G4285">
        <v>0.52719682519491196</v>
      </c>
      <c r="H4285">
        <v>0.44178759287076402</v>
      </c>
      <c r="I4285">
        <v>0.45134640163721101</v>
      </c>
      <c r="J4285">
        <v>0.43037604222888398</v>
      </c>
      <c r="K4285">
        <v>0.35152030896231201</v>
      </c>
      <c r="L4285">
        <v>1332.25361385877</v>
      </c>
      <c r="M4285">
        <v>25.2710514194846</v>
      </c>
      <c r="N4285">
        <v>56.725551598916603</v>
      </c>
      <c r="O4285">
        <v>52.391794218033098</v>
      </c>
      <c r="P4285">
        <v>-7.0410509065025204E-2</v>
      </c>
      <c r="Q4285">
        <v>0.41610915636203499</v>
      </c>
      <c r="R4285">
        <v>0.963696492523064</v>
      </c>
      <c r="S4285" t="s">
        <v>10901</v>
      </c>
      <c r="T4285" t="s">
        <v>13232</v>
      </c>
      <c r="U4285" t="s">
        <v>13232</v>
      </c>
      <c r="V4285" t="s">
        <v>13232</v>
      </c>
      <c r="W4285" t="s">
        <v>17454</v>
      </c>
      <c r="X4285">
        <v>28</v>
      </c>
      <c r="Y4285" t="s">
        <v>23872</v>
      </c>
      <c r="Z4285" t="s">
        <v>30416</v>
      </c>
      <c r="AA4285">
        <v>0.66890713637768828</v>
      </c>
      <c r="AB4285" t="str">
        <f>HYPERLINK("Melting_Curves/meltCurve_Q8IY63_2_AMOTL1.pdf", "Melting_Curves/meltCurve_Q8IY63_2_AMOTL1.pdf")</f>
        <v>Melting_Curves/meltCurve_Q8IY63_2_AMOTL1.pdf</v>
      </c>
    </row>
    <row r="4286" spans="1:28" x14ac:dyDescent="0.25">
      <c r="A4286" t="s">
        <v>4289</v>
      </c>
      <c r="B4286">
        <v>0.99930955844802105</v>
      </c>
      <c r="C4286">
        <v>1.0527257940950201</v>
      </c>
      <c r="D4286">
        <v>0.99412720248498199</v>
      </c>
      <c r="E4286">
        <v>0.93897757082571098</v>
      </c>
      <c r="F4286">
        <v>0.68989634335726502</v>
      </c>
      <c r="G4286">
        <v>0.58981744405969605</v>
      </c>
      <c r="H4286">
        <v>0.54698834034992405</v>
      </c>
      <c r="I4286">
        <v>0.55276713417997103</v>
      </c>
      <c r="J4286">
        <v>0.52413296325525105</v>
      </c>
      <c r="K4286">
        <v>0.39803359529168097</v>
      </c>
      <c r="L4286">
        <v>1458.97588129977</v>
      </c>
      <c r="M4286">
        <v>27.7319043600647</v>
      </c>
      <c r="O4286">
        <v>52.338733856911801</v>
      </c>
      <c r="P4286">
        <v>-6.5571757797983896E-2</v>
      </c>
      <c r="Q4286">
        <v>0.50498719765121403</v>
      </c>
      <c r="R4286">
        <v>0.95980593401814196</v>
      </c>
      <c r="S4286" t="s">
        <v>10902</v>
      </c>
      <c r="T4286" t="s">
        <v>13232</v>
      </c>
      <c r="U4286" t="s">
        <v>13232</v>
      </c>
      <c r="V4286" t="s">
        <v>13232</v>
      </c>
      <c r="W4286" t="s">
        <v>17455</v>
      </c>
      <c r="X4286">
        <v>23</v>
      </c>
      <c r="Y4286" t="s">
        <v>23873</v>
      </c>
      <c r="Z4286" t="s">
        <v>30417</v>
      </c>
      <c r="AA4286">
        <v>0.71678089301010484</v>
      </c>
      <c r="AB4286" t="str">
        <f>HYPERLINK("Melting_Curves/meltCurve_Q8IY81_FTSJ3.pdf", "Melting_Curves/meltCurve_Q8IY81_FTSJ3.pdf")</f>
        <v>Melting_Curves/meltCurve_Q8IY81_FTSJ3.pdf</v>
      </c>
    </row>
    <row r="4287" spans="1:28" x14ac:dyDescent="0.25">
      <c r="A4287" t="s">
        <v>4290</v>
      </c>
      <c r="B4287">
        <v>0.99930955844802105</v>
      </c>
      <c r="C4287">
        <v>0.974547975540072</v>
      </c>
      <c r="D4287">
        <v>0.93026319001350299</v>
      </c>
      <c r="E4287">
        <v>0.82713569647624596</v>
      </c>
      <c r="F4287">
        <v>0.71938701786440695</v>
      </c>
      <c r="G4287">
        <v>0.56587897262091802</v>
      </c>
      <c r="H4287">
        <v>0.20485039147888401</v>
      </c>
      <c r="I4287">
        <v>0.21467511685653901</v>
      </c>
      <c r="J4287">
        <v>0.170807216015637</v>
      </c>
      <c r="K4287">
        <v>0.19538988650053599</v>
      </c>
      <c r="L4287">
        <v>814.88153940571499</v>
      </c>
      <c r="M4287">
        <v>14.6194344820371</v>
      </c>
      <c r="N4287">
        <v>56.657579497751101</v>
      </c>
      <c r="O4287">
        <v>54.7278323939763</v>
      </c>
      <c r="P4287">
        <v>-5.97468250039489E-2</v>
      </c>
      <c r="Q4287">
        <v>0.105451320449262</v>
      </c>
      <c r="R4287">
        <v>0.98102547164222798</v>
      </c>
      <c r="S4287" t="s">
        <v>10903</v>
      </c>
      <c r="T4287" t="s">
        <v>13232</v>
      </c>
      <c r="U4287" t="s">
        <v>13232</v>
      </c>
      <c r="V4287" t="s">
        <v>13232</v>
      </c>
      <c r="W4287" t="s">
        <v>17456</v>
      </c>
      <c r="X4287">
        <v>5</v>
      </c>
      <c r="Y4287" t="s">
        <v>23874</v>
      </c>
      <c r="Z4287" t="s">
        <v>30418</v>
      </c>
      <c r="AA4287">
        <v>0.59141352087975863</v>
      </c>
      <c r="AB4287" t="str">
        <f>HYPERLINK("Melting_Curves/meltCurve_Q8IY92_SLX4.pdf", "Melting_Curves/meltCurve_Q8IY92_SLX4.pdf")</f>
        <v>Melting_Curves/meltCurve_Q8IY92_SLX4.pdf</v>
      </c>
    </row>
    <row r="4288" spans="1:28" x14ac:dyDescent="0.25">
      <c r="A4288" t="s">
        <v>4291</v>
      </c>
      <c r="B4288">
        <v>0.99930955844802105</v>
      </c>
      <c r="C4288">
        <v>1.1920341991188399</v>
      </c>
      <c r="D4288">
        <v>1.00783551921762</v>
      </c>
      <c r="E4288">
        <v>1.0358737807860401</v>
      </c>
      <c r="F4288">
        <v>0.85104728056942602</v>
      </c>
      <c r="G4288">
        <v>0.85215985814276596</v>
      </c>
      <c r="H4288">
        <v>0.83500755878708199</v>
      </c>
      <c r="I4288">
        <v>1.0759561620126501</v>
      </c>
      <c r="J4288">
        <v>1.013280162402</v>
      </c>
      <c r="K4288">
        <v>0.77683623979822203</v>
      </c>
      <c r="L4288">
        <v>5441.07994147918</v>
      </c>
      <c r="M4288">
        <v>105.89329170853399</v>
      </c>
      <c r="O4288">
        <v>51.364350908990197</v>
      </c>
      <c r="P4288">
        <v>-5.11327522325307E-2</v>
      </c>
      <c r="Q4288">
        <v>0.90079067467837004</v>
      </c>
      <c r="R4288">
        <v>0.297976847891468</v>
      </c>
      <c r="S4288" t="s">
        <v>10904</v>
      </c>
      <c r="T4288" t="s">
        <v>13232</v>
      </c>
      <c r="U4288" t="s">
        <v>13232</v>
      </c>
      <c r="V4288" t="s">
        <v>13232</v>
      </c>
      <c r="W4288" t="s">
        <v>17457</v>
      </c>
      <c r="X4288">
        <v>4</v>
      </c>
      <c r="Y4288" t="s">
        <v>23875</v>
      </c>
      <c r="Z4288" t="s">
        <v>30419</v>
      </c>
      <c r="AA4288">
        <v>0.93848281897771291</v>
      </c>
      <c r="AB4288" t="str">
        <f>HYPERLINK("Melting_Curves/meltCurve_Q8IYA6_CKAP2L.pdf", "Melting_Curves/meltCurve_Q8IYA6_CKAP2L.pdf")</f>
        <v>Melting_Curves/meltCurve_Q8IYA6_CKAP2L.pdf</v>
      </c>
    </row>
    <row r="4289" spans="1:28" x14ac:dyDescent="0.25">
      <c r="A4289" t="s">
        <v>4292</v>
      </c>
      <c r="B4289">
        <v>0.99930955844802105</v>
      </c>
      <c r="C4289">
        <v>0.94332246608702797</v>
      </c>
      <c r="D4289">
        <v>0.97838146595286501</v>
      </c>
      <c r="E4289">
        <v>0.82391684332709103</v>
      </c>
      <c r="F4289">
        <v>0.41223805757860499</v>
      </c>
      <c r="G4289">
        <v>0.200577108287223</v>
      </c>
      <c r="H4289">
        <v>0.11133574504310199</v>
      </c>
      <c r="I4289">
        <v>9.9852529379822405E-2</v>
      </c>
      <c r="J4289">
        <v>9.1383567536925503E-2</v>
      </c>
      <c r="K4289">
        <v>7.2653441909242805E-2</v>
      </c>
      <c r="L4289">
        <v>1559.8738510288299</v>
      </c>
      <c r="M4289">
        <v>29.9249238320686</v>
      </c>
      <c r="N4289">
        <v>52.499875033997</v>
      </c>
      <c r="O4289">
        <v>51.895115520198999</v>
      </c>
      <c r="P4289">
        <v>-0.130335002721511</v>
      </c>
      <c r="Q4289">
        <v>9.5909903034602395E-2</v>
      </c>
      <c r="R4289">
        <v>0.995795968977357</v>
      </c>
      <c r="S4289" t="s">
        <v>10905</v>
      </c>
      <c r="T4289" t="s">
        <v>13232</v>
      </c>
      <c r="U4289" t="s">
        <v>13232</v>
      </c>
      <c r="V4289" t="s">
        <v>13232</v>
      </c>
      <c r="W4289" t="s">
        <v>17458</v>
      </c>
      <c r="X4289">
        <v>8</v>
      </c>
      <c r="Y4289" t="s">
        <v>23876</v>
      </c>
      <c r="Z4289" t="s">
        <v>30420</v>
      </c>
      <c r="AA4289">
        <v>0.46716708256259137</v>
      </c>
      <c r="AB4289" t="str">
        <f>HYPERLINK("Melting_Curves/meltCurve_Q8IYB5_3_SMAP1.pdf", "Melting_Curves/meltCurve_Q8IYB5_3_SMAP1.pdf")</f>
        <v>Melting_Curves/meltCurve_Q8IYB5_3_SMAP1.pdf</v>
      </c>
    </row>
    <row r="4290" spans="1:28" x14ac:dyDescent="0.25">
      <c r="A4290" t="s">
        <v>4293</v>
      </c>
      <c r="B4290">
        <v>0.99930955844802105</v>
      </c>
      <c r="C4290">
        <v>1.02503665394003</v>
      </c>
      <c r="D4290">
        <v>0.92280244905437503</v>
      </c>
      <c r="E4290">
        <v>0.60630782473362599</v>
      </c>
      <c r="F4290">
        <v>0.33965314247328299</v>
      </c>
      <c r="G4290">
        <v>0.20888116453095401</v>
      </c>
      <c r="H4290">
        <v>0.126894816984957</v>
      </c>
      <c r="I4290">
        <v>0.107885567754558</v>
      </c>
      <c r="J4290">
        <v>9.5806222641411296E-2</v>
      </c>
      <c r="K4290">
        <v>7.5929532569746605E-2</v>
      </c>
      <c r="L4290">
        <v>1100.0022405924401</v>
      </c>
      <c r="M4290">
        <v>21.697887801096599</v>
      </c>
      <c r="N4290">
        <v>51.2086512571573</v>
      </c>
      <c r="O4290">
        <v>50.271543800426201</v>
      </c>
      <c r="P4290">
        <v>-9.73770820085402E-2</v>
      </c>
      <c r="Q4290">
        <v>9.7574439558128404E-2</v>
      </c>
      <c r="R4290">
        <v>0.99714086839691896</v>
      </c>
      <c r="S4290" t="s">
        <v>10906</v>
      </c>
      <c r="T4290" t="s">
        <v>13232</v>
      </c>
      <c r="U4290" t="s">
        <v>13232</v>
      </c>
      <c r="V4290" t="s">
        <v>13232</v>
      </c>
      <c r="W4290" t="s">
        <v>17459</v>
      </c>
      <c r="X4290">
        <v>28</v>
      </c>
      <c r="Y4290" t="s">
        <v>23877</v>
      </c>
      <c r="Z4290" t="s">
        <v>30421</v>
      </c>
      <c r="AA4290">
        <v>0.43005245752386489</v>
      </c>
      <c r="AB4290" t="str">
        <f>HYPERLINK("Melting_Curves/meltCurve_Q8IYB7_DIS3L2.pdf", "Melting_Curves/meltCurve_Q8IYB7_DIS3L2.pdf")</f>
        <v>Melting_Curves/meltCurve_Q8IYB7_DIS3L2.pdf</v>
      </c>
    </row>
    <row r="4291" spans="1:28" x14ac:dyDescent="0.25">
      <c r="A4291" t="s">
        <v>4294</v>
      </c>
      <c r="B4291">
        <v>0.99930955844802105</v>
      </c>
      <c r="C4291">
        <v>1.0710029797874301</v>
      </c>
      <c r="D4291">
        <v>1.0436500259294501</v>
      </c>
      <c r="E4291">
        <v>0.93031585018944696</v>
      </c>
      <c r="F4291">
        <v>0.63553967554760205</v>
      </c>
      <c r="G4291">
        <v>0.32149191080080503</v>
      </c>
      <c r="H4291">
        <v>0.22865136531814001</v>
      </c>
      <c r="I4291">
        <v>0.22184113370710601</v>
      </c>
      <c r="J4291">
        <v>0.205814995390698</v>
      </c>
      <c r="K4291">
        <v>0.15388515281894499</v>
      </c>
      <c r="L4291">
        <v>1603.59694522665</v>
      </c>
      <c r="M4291">
        <v>29.982071638493601</v>
      </c>
      <c r="N4291">
        <v>54.396326574188102</v>
      </c>
      <c r="O4291">
        <v>53.248925771813603</v>
      </c>
      <c r="P4291">
        <v>-0.11297764837709</v>
      </c>
      <c r="Q4291">
        <v>0.197400128387654</v>
      </c>
      <c r="R4291">
        <v>0.992161584043873</v>
      </c>
      <c r="S4291" t="s">
        <v>10907</v>
      </c>
      <c r="T4291" t="s">
        <v>13232</v>
      </c>
      <c r="U4291" t="s">
        <v>13232</v>
      </c>
      <c r="V4291" t="s">
        <v>13232</v>
      </c>
      <c r="W4291" t="s">
        <v>17460</v>
      </c>
      <c r="X4291">
        <v>24</v>
      </c>
      <c r="Y4291" t="s">
        <v>23878</v>
      </c>
      <c r="Z4291" t="s">
        <v>30422</v>
      </c>
      <c r="AA4291">
        <v>0.56341907108295664</v>
      </c>
      <c r="AB4291" t="str">
        <f>HYPERLINK("Melting_Curves/meltCurve_Q8IYB8_SUPV3L1.pdf", "Melting_Curves/meltCurve_Q8IYB8_SUPV3L1.pdf")</f>
        <v>Melting_Curves/meltCurve_Q8IYB8_SUPV3L1.pdf</v>
      </c>
    </row>
    <row r="4292" spans="1:28" x14ac:dyDescent="0.25">
      <c r="A4292" t="s">
        <v>4295</v>
      </c>
      <c r="B4292">
        <v>0.99930955844802105</v>
      </c>
      <c r="C4292">
        <v>0.94750268433398099</v>
      </c>
      <c r="D4292">
        <v>0.90508264784550996</v>
      </c>
      <c r="E4292">
        <v>0.79405109078080505</v>
      </c>
      <c r="F4292">
        <v>0.59504870438097801</v>
      </c>
      <c r="G4292">
        <v>0.40829104744253603</v>
      </c>
      <c r="H4292">
        <v>0.30488788166499597</v>
      </c>
      <c r="I4292">
        <v>0.319058661604597</v>
      </c>
      <c r="J4292">
        <v>0.29028832579653202</v>
      </c>
      <c r="K4292">
        <v>0.24105564986431399</v>
      </c>
      <c r="L4292">
        <v>814.30764518917601</v>
      </c>
      <c r="M4292">
        <v>15.489332865123</v>
      </c>
      <c r="N4292">
        <v>54.977627701579202</v>
      </c>
      <c r="O4292">
        <v>51.719262120652097</v>
      </c>
      <c r="P4292">
        <v>-5.6450264885467998E-2</v>
      </c>
      <c r="Q4292">
        <v>0.246111887362014</v>
      </c>
      <c r="R4292">
        <v>0.99483468436103895</v>
      </c>
      <c r="S4292" t="s">
        <v>10908</v>
      </c>
      <c r="T4292" t="s">
        <v>13232</v>
      </c>
      <c r="U4292" t="s">
        <v>13232</v>
      </c>
      <c r="V4292" t="s">
        <v>13232</v>
      </c>
      <c r="W4292" t="s">
        <v>17461</v>
      </c>
      <c r="X4292">
        <v>4</v>
      </c>
      <c r="Y4292" t="s">
        <v>23879</v>
      </c>
      <c r="Z4292" t="s">
        <v>30423</v>
      </c>
      <c r="AA4292">
        <v>0.57778940525878753</v>
      </c>
      <c r="AB4292" t="str">
        <f>HYPERLINK("Melting_Curves/meltCurve_Q8IYB9_ZNF595.pdf", "Melting_Curves/meltCurve_Q8IYB9_ZNF595.pdf")</f>
        <v>Melting_Curves/meltCurve_Q8IYB9_ZNF595.pdf</v>
      </c>
    </row>
    <row r="4293" spans="1:28" x14ac:dyDescent="0.25">
      <c r="A4293" t="s">
        <v>4296</v>
      </c>
      <c r="B4293">
        <v>0.99930955844802105</v>
      </c>
      <c r="C4293">
        <v>1.1710442643863099</v>
      </c>
      <c r="D4293">
        <v>1.0179802793730199</v>
      </c>
      <c r="E4293">
        <v>0.61665077425769799</v>
      </c>
      <c r="F4293">
        <v>0.36160703987336601</v>
      </c>
      <c r="G4293">
        <v>0.29258821116480599</v>
      </c>
      <c r="H4293">
        <v>0.22769748695622</v>
      </c>
      <c r="I4293">
        <v>0.212460318951777</v>
      </c>
      <c r="J4293">
        <v>0.22051634506853299</v>
      </c>
      <c r="K4293">
        <v>0.155423058503349</v>
      </c>
      <c r="L4293">
        <v>1656.28821832325</v>
      </c>
      <c r="M4293">
        <v>32.949054543853102</v>
      </c>
      <c r="N4293">
        <v>51.165406340098201</v>
      </c>
      <c r="O4293">
        <v>50.084074432275997</v>
      </c>
      <c r="P4293">
        <v>-0.128378847410901</v>
      </c>
      <c r="Q4293">
        <v>0.219436552373412</v>
      </c>
      <c r="R4293">
        <v>0.96997512893828697</v>
      </c>
      <c r="S4293" t="s">
        <v>10909</v>
      </c>
      <c r="T4293" t="s">
        <v>13232</v>
      </c>
      <c r="U4293" t="s">
        <v>13232</v>
      </c>
      <c r="V4293" t="s">
        <v>13232</v>
      </c>
      <c r="W4293" t="s">
        <v>17462</v>
      </c>
      <c r="X4293">
        <v>23</v>
      </c>
      <c r="Y4293" t="s">
        <v>23880</v>
      </c>
      <c r="Z4293" t="s">
        <v>30424</v>
      </c>
      <c r="AA4293">
        <v>0.49061415707629219</v>
      </c>
      <c r="AB4293" t="str">
        <f>HYPERLINK("Melting_Curves/meltCurve_Q8IYD1_GSPT2.pdf", "Melting_Curves/meltCurve_Q8IYD1_GSPT2.pdf")</f>
        <v>Melting_Curves/meltCurve_Q8IYD1_GSPT2.pdf</v>
      </c>
    </row>
    <row r="4294" spans="1:28" x14ac:dyDescent="0.25">
      <c r="A4294" t="s">
        <v>4297</v>
      </c>
      <c r="B4294">
        <v>0.99930955844802105</v>
      </c>
      <c r="C4294">
        <v>1.08051141065329</v>
      </c>
      <c r="D4294">
        <v>0.84688842048151503</v>
      </c>
      <c r="E4294">
        <v>1.03730473390045</v>
      </c>
      <c r="F4294">
        <v>0.72130919451148301</v>
      </c>
      <c r="G4294">
        <v>0.52766700411678003</v>
      </c>
      <c r="H4294">
        <v>0.51924211067523496</v>
      </c>
      <c r="I4294">
        <v>0.55173007220015202</v>
      </c>
      <c r="J4294">
        <v>0.56677972162928203</v>
      </c>
      <c r="K4294">
        <v>0.111245555242395</v>
      </c>
      <c r="L4294">
        <v>474.59890688892898</v>
      </c>
      <c r="M4294">
        <v>7.6163337178710702</v>
      </c>
      <c r="N4294">
        <v>62.313301820498097</v>
      </c>
      <c r="O4294">
        <v>58.452959464287403</v>
      </c>
      <c r="P4294">
        <v>-3.26188581527957E-2</v>
      </c>
      <c r="Q4294">
        <v>0</v>
      </c>
      <c r="R4294">
        <v>0.80313925468584801</v>
      </c>
      <c r="S4294" t="s">
        <v>10910</v>
      </c>
      <c r="T4294" t="s">
        <v>13232</v>
      </c>
      <c r="U4294" t="s">
        <v>13232</v>
      </c>
      <c r="V4294" t="s">
        <v>13232</v>
      </c>
      <c r="W4294" t="s">
        <v>17463</v>
      </c>
      <c r="X4294">
        <v>2</v>
      </c>
      <c r="Y4294" t="s">
        <v>23881</v>
      </c>
      <c r="Z4294" t="s">
        <v>30425</v>
      </c>
      <c r="AA4294">
        <v>0.69929145515959035</v>
      </c>
      <c r="AB4294" t="str">
        <f>HYPERLINK("Melting_Curves/meltCurve_Q8IYE0_CCDC146.pdf", "Melting_Curves/meltCurve_Q8IYE0_CCDC146.pdf")</f>
        <v>Melting_Curves/meltCurve_Q8IYE0_CCDC146.pdf</v>
      </c>
    </row>
    <row r="4295" spans="1:28" x14ac:dyDescent="0.25">
      <c r="A4295" t="s">
        <v>4298</v>
      </c>
      <c r="B4295">
        <v>0.99930955844802105</v>
      </c>
      <c r="C4295">
        <v>1.0559319066806101</v>
      </c>
      <c r="D4295">
        <v>1.0386634832225901</v>
      </c>
      <c r="E4295">
        <v>0.88660648598997704</v>
      </c>
      <c r="F4295">
        <v>0.75837805371274902</v>
      </c>
      <c r="G4295">
        <v>0.67258708650436005</v>
      </c>
      <c r="H4295">
        <v>0.68140289794524</v>
      </c>
      <c r="I4295">
        <v>0.71299480482719102</v>
      </c>
      <c r="J4295">
        <v>0.72505547553260197</v>
      </c>
      <c r="K4295">
        <v>0.616186957840125</v>
      </c>
      <c r="L4295">
        <v>1872.4359029297</v>
      </c>
      <c r="M4295">
        <v>36.695340766958097</v>
      </c>
      <c r="O4295">
        <v>50.875700077426103</v>
      </c>
      <c r="P4295">
        <v>-5.7425523892706803E-2</v>
      </c>
      <c r="Q4295">
        <v>0.68153394267899503</v>
      </c>
      <c r="R4295">
        <v>0.94811258878806903</v>
      </c>
      <c r="S4295" t="s">
        <v>10911</v>
      </c>
      <c r="T4295" t="s">
        <v>13232</v>
      </c>
      <c r="U4295" t="s">
        <v>13232</v>
      </c>
      <c r="V4295" t="s">
        <v>13232</v>
      </c>
      <c r="W4295" t="s">
        <v>17464</v>
      </c>
      <c r="X4295">
        <v>3</v>
      </c>
      <c r="Y4295" t="s">
        <v>23882</v>
      </c>
      <c r="Z4295" t="s">
        <v>30426</v>
      </c>
      <c r="AA4295">
        <v>0.79992268764377672</v>
      </c>
      <c r="AB4295" t="str">
        <f>HYPERLINK("Melting_Curves/meltCurve_Q8IYH5_4_ZZZ3.pdf", "Melting_Curves/meltCurve_Q8IYH5_4_ZZZ3.pdf")</f>
        <v>Melting_Curves/meltCurve_Q8IYH5_4_ZZZ3.pdf</v>
      </c>
    </row>
    <row r="4296" spans="1:28" x14ac:dyDescent="0.25">
      <c r="A4296" t="s">
        <v>4299</v>
      </c>
      <c r="B4296">
        <v>0.99930955844802105</v>
      </c>
      <c r="C4296">
        <v>0.80924424735099998</v>
      </c>
      <c r="D4296">
        <v>0.73597579434286597</v>
      </c>
      <c r="E4296">
        <v>0.45225543483365399</v>
      </c>
      <c r="F4296">
        <v>0.25001314795179502</v>
      </c>
      <c r="G4296">
        <v>0.17336824034558601</v>
      </c>
      <c r="H4296">
        <v>9.6439379915183102E-2</v>
      </c>
      <c r="I4296">
        <v>8.2135514905530504E-2</v>
      </c>
      <c r="J4296">
        <v>6.82240642959695E-2</v>
      </c>
      <c r="K4296">
        <v>5.5119046978366899E-2</v>
      </c>
      <c r="L4296">
        <v>668.98262763332298</v>
      </c>
      <c r="M4296">
        <v>13.729239427481399</v>
      </c>
      <c r="N4296">
        <v>49.052501731237498</v>
      </c>
      <c r="O4296">
        <v>47.727958545563801</v>
      </c>
      <c r="P4296">
        <v>-6.8791450557066897E-2</v>
      </c>
      <c r="Q4296">
        <v>4.3557543939597702E-2</v>
      </c>
      <c r="R4296">
        <v>0.99273660026618504</v>
      </c>
      <c r="S4296" t="s">
        <v>10912</v>
      </c>
      <c r="T4296" t="s">
        <v>13232</v>
      </c>
      <c r="U4296" t="s">
        <v>13232</v>
      </c>
      <c r="V4296" t="s">
        <v>13232</v>
      </c>
      <c r="W4296" t="s">
        <v>17465</v>
      </c>
      <c r="X4296">
        <v>22</v>
      </c>
      <c r="Y4296" t="s">
        <v>23883</v>
      </c>
      <c r="Z4296" t="s">
        <v>30427</v>
      </c>
      <c r="AA4296">
        <v>0.34993764476435701</v>
      </c>
      <c r="AB4296" t="str">
        <f>HYPERLINK("Melting_Curves/meltCurve_Q8IYI6_EXOC8.pdf", "Melting_Curves/meltCurve_Q8IYI6_EXOC8.pdf")</f>
        <v>Melting_Curves/meltCurve_Q8IYI6_EXOC8.pdf</v>
      </c>
    </row>
    <row r="4297" spans="1:28" x14ac:dyDescent="0.25">
      <c r="A4297" t="s">
        <v>4300</v>
      </c>
      <c r="B4297">
        <v>0.99930955844802105</v>
      </c>
      <c r="C4297">
        <v>0.66218735235249704</v>
      </c>
      <c r="D4297">
        <v>0.35086320271107702</v>
      </c>
      <c r="E4297">
        <v>0.229204657602219</v>
      </c>
      <c r="F4297">
        <v>0.11176473390916</v>
      </c>
      <c r="G4297">
        <v>7.60938883913716E-2</v>
      </c>
      <c r="H4297">
        <v>5.09789832781034E-2</v>
      </c>
      <c r="I4297">
        <v>4.6195359574287297E-2</v>
      </c>
      <c r="J4297">
        <v>4.6617778598966701E-2</v>
      </c>
      <c r="K4297">
        <v>3.48001970450477E-2</v>
      </c>
      <c r="L4297">
        <v>883.788760423604</v>
      </c>
      <c r="M4297">
        <v>19.851887198593701</v>
      </c>
      <c r="N4297">
        <v>44.799533212826098</v>
      </c>
      <c r="O4297">
        <v>44.074759295865903</v>
      </c>
      <c r="P4297">
        <v>-0.106028856331743</v>
      </c>
      <c r="Q4297">
        <v>5.8418839843001703E-2</v>
      </c>
      <c r="R4297">
        <v>0.98188898189399798</v>
      </c>
      <c r="S4297" t="s">
        <v>10913</v>
      </c>
      <c r="T4297" t="s">
        <v>13232</v>
      </c>
      <c r="U4297" t="s">
        <v>13232</v>
      </c>
      <c r="V4297" t="s">
        <v>13232</v>
      </c>
      <c r="W4297" t="s">
        <v>17466</v>
      </c>
      <c r="X4297">
        <v>8</v>
      </c>
      <c r="Y4297" t="s">
        <v>23884</v>
      </c>
      <c r="Z4297" t="s">
        <v>30428</v>
      </c>
      <c r="AA4297">
        <v>0.21747724686010481</v>
      </c>
      <c r="AB4297" t="str">
        <f>HYPERLINK("Melting_Curves/meltCurve_Q8IYK4_COLGALT2.pdf", "Melting_Curves/meltCurve_Q8IYK4_COLGALT2.pdf")</f>
        <v>Melting_Curves/meltCurve_Q8IYK4_COLGALT2.pdf</v>
      </c>
    </row>
    <row r="4298" spans="1:28" x14ac:dyDescent="0.25">
      <c r="A4298" t="s">
        <v>4301</v>
      </c>
      <c r="B4298">
        <v>0.99930955844802105</v>
      </c>
      <c r="C4298">
        <v>1.3238299458357601</v>
      </c>
      <c r="D4298">
        <v>1.2759743216350601</v>
      </c>
      <c r="E4298">
        <v>1.1749056250699199</v>
      </c>
      <c r="F4298">
        <v>1.21547498187928</v>
      </c>
      <c r="G4298">
        <v>1.18476158460075</v>
      </c>
      <c r="H4298">
        <v>1.3997323560208099</v>
      </c>
      <c r="I4298">
        <v>1.5372855864260599</v>
      </c>
      <c r="J4298">
        <v>1.42387369459661</v>
      </c>
      <c r="K4298">
        <v>1.1774033986221999</v>
      </c>
      <c r="L4298">
        <v>273.09888240395799</v>
      </c>
      <c r="M4298">
        <v>6.0451018729228796</v>
      </c>
      <c r="O4298">
        <v>40.978966587658398</v>
      </c>
      <c r="P4298">
        <v>1.4702756867126901E-2</v>
      </c>
      <c r="Q4298">
        <v>1.3974192748943799</v>
      </c>
      <c r="R4298">
        <v>0.29427860850487397</v>
      </c>
      <c r="S4298" t="s">
        <v>10914</v>
      </c>
      <c r="T4298" t="s">
        <v>13232</v>
      </c>
      <c r="U4298" t="s">
        <v>13232</v>
      </c>
      <c r="V4298" t="s">
        <v>13232</v>
      </c>
      <c r="W4298" t="s">
        <v>17467</v>
      </c>
      <c r="X4298">
        <v>2</v>
      </c>
      <c r="Y4298" t="s">
        <v>23885</v>
      </c>
      <c r="Z4298" t="s">
        <v>30429</v>
      </c>
      <c r="AA4298">
        <v>1.276863544749101</v>
      </c>
      <c r="AB4298" t="str">
        <f>HYPERLINK("Melting_Curves/meltCurve_Q8IYL3_C1orf174.pdf", "Melting_Curves/meltCurve_Q8IYL3_C1orf174.pdf")</f>
        <v>Melting_Curves/meltCurve_Q8IYL3_C1orf174.pdf</v>
      </c>
    </row>
    <row r="4299" spans="1:28" x14ac:dyDescent="0.25">
      <c r="A4299" t="s">
        <v>4302</v>
      </c>
      <c r="B4299">
        <v>0.99930955844802105</v>
      </c>
      <c r="C4299">
        <v>0.96581803986373005</v>
      </c>
      <c r="D4299">
        <v>0.94784572290983404</v>
      </c>
      <c r="E4299">
        <v>0.88790688653430305</v>
      </c>
      <c r="F4299">
        <v>0.73918299514526398</v>
      </c>
      <c r="G4299">
        <v>0.58006572732421402</v>
      </c>
      <c r="H4299">
        <v>0.54260734620267004</v>
      </c>
      <c r="I4299">
        <v>0.60149451052276803</v>
      </c>
      <c r="J4299">
        <v>0.55398129609038804</v>
      </c>
      <c r="K4299">
        <v>0.47012397066238099</v>
      </c>
      <c r="L4299">
        <v>1052.4956655373501</v>
      </c>
      <c r="M4299">
        <v>20.077331687096098</v>
      </c>
      <c r="O4299">
        <v>51.910343250357599</v>
      </c>
      <c r="P4299">
        <v>-4.58509115247712E-2</v>
      </c>
      <c r="Q4299">
        <v>0.52582142111470698</v>
      </c>
      <c r="R4299">
        <v>0.971991941285403</v>
      </c>
      <c r="S4299" t="s">
        <v>10915</v>
      </c>
      <c r="T4299" t="s">
        <v>13232</v>
      </c>
      <c r="U4299" t="s">
        <v>13232</v>
      </c>
      <c r="V4299" t="s">
        <v>13232</v>
      </c>
      <c r="W4299" t="s">
        <v>17468</v>
      </c>
      <c r="X4299">
        <v>4</v>
      </c>
      <c r="Y4299" t="s">
        <v>23886</v>
      </c>
      <c r="Z4299" t="s">
        <v>30430</v>
      </c>
      <c r="AA4299">
        <v>0.72866853594082914</v>
      </c>
      <c r="AB4299" t="str">
        <f>HYPERLINK("Melting_Curves/meltCurve_Q8IYN2_TCEAL8.pdf", "Melting_Curves/meltCurve_Q8IYN2_TCEAL8.pdf")</f>
        <v>Melting_Curves/meltCurve_Q8IYN2_TCEAL8.pdf</v>
      </c>
    </row>
    <row r="4300" spans="1:28" x14ac:dyDescent="0.25">
      <c r="A4300" t="s">
        <v>4303</v>
      </c>
      <c r="B4300">
        <v>0.99930955844802105</v>
      </c>
      <c r="C4300">
        <v>0.87575386492255403</v>
      </c>
      <c r="D4300">
        <v>0.93501855073269902</v>
      </c>
      <c r="E4300">
        <v>0.88777127011659596</v>
      </c>
      <c r="F4300">
        <v>0.65201762718739498</v>
      </c>
      <c r="G4300">
        <v>0.53010938506830796</v>
      </c>
      <c r="H4300">
        <v>0.35482302167401097</v>
      </c>
      <c r="I4300">
        <v>0.295740802595442</v>
      </c>
      <c r="J4300">
        <v>0.25775182339893898</v>
      </c>
      <c r="K4300">
        <v>0.17629734628910701</v>
      </c>
      <c r="L4300">
        <v>605.33910960036906</v>
      </c>
      <c r="M4300">
        <v>10.7276086336962</v>
      </c>
      <c r="N4300">
        <v>57.511587664846203</v>
      </c>
      <c r="O4300">
        <v>54.573358954175397</v>
      </c>
      <c r="P4300">
        <v>-4.4663523504648202E-2</v>
      </c>
      <c r="Q4300">
        <v>9.1490568468801603E-2</v>
      </c>
      <c r="R4300">
        <v>0.980379856588943</v>
      </c>
      <c r="S4300" t="s">
        <v>10916</v>
      </c>
      <c r="T4300" t="s">
        <v>13232</v>
      </c>
      <c r="U4300" t="s">
        <v>13232</v>
      </c>
      <c r="V4300" t="s">
        <v>13232</v>
      </c>
      <c r="W4300" t="s">
        <v>17469</v>
      </c>
      <c r="X4300">
        <v>1</v>
      </c>
      <c r="Y4300" t="s">
        <v>23887</v>
      </c>
      <c r="Z4300" t="s">
        <v>30431</v>
      </c>
      <c r="AA4300">
        <v>0.60635646437301216</v>
      </c>
      <c r="AB4300" t="str">
        <f>HYPERLINK("Melting_Curves/meltCurve_Q8IYN6_UBALD2.pdf", "Melting_Curves/meltCurve_Q8IYN6_UBALD2.pdf")</f>
        <v>Melting_Curves/meltCurve_Q8IYN6_UBALD2.pdf</v>
      </c>
    </row>
    <row r="4301" spans="1:28" x14ac:dyDescent="0.25">
      <c r="A4301" t="s">
        <v>4304</v>
      </c>
      <c r="B4301">
        <v>0.99930955844802105</v>
      </c>
      <c r="C4301">
        <v>1.0977526698126101</v>
      </c>
      <c r="D4301">
        <v>1.0840837775166701</v>
      </c>
      <c r="E4301">
        <v>1.01952203741916</v>
      </c>
      <c r="F4301">
        <v>0.81585741225943897</v>
      </c>
      <c r="G4301">
        <v>0.50254767506162601</v>
      </c>
      <c r="H4301">
        <v>0.37473286611258499</v>
      </c>
      <c r="I4301">
        <v>0.29359735613277599</v>
      </c>
      <c r="J4301">
        <v>0.202894362775705</v>
      </c>
      <c r="K4301">
        <v>0.14265956447485501</v>
      </c>
      <c r="L4301">
        <v>1171.4808914503801</v>
      </c>
      <c r="M4301">
        <v>20.745637511466001</v>
      </c>
      <c r="N4301">
        <v>57.717666259430302</v>
      </c>
      <c r="O4301">
        <v>55.951922000464002</v>
      </c>
      <c r="P4301">
        <v>-7.5934158161561405E-2</v>
      </c>
      <c r="Q4301">
        <v>0.180831318515355</v>
      </c>
      <c r="R4301">
        <v>0.97536560201266298</v>
      </c>
      <c r="S4301" t="s">
        <v>10917</v>
      </c>
      <c r="T4301" t="s">
        <v>13232</v>
      </c>
      <c r="U4301" t="s">
        <v>13232</v>
      </c>
      <c r="V4301" t="s">
        <v>13232</v>
      </c>
      <c r="W4301" t="s">
        <v>17470</v>
      </c>
      <c r="X4301">
        <v>42</v>
      </c>
      <c r="Y4301" t="s">
        <v>23888</v>
      </c>
      <c r="Z4301" t="s">
        <v>30432</v>
      </c>
      <c r="AA4301">
        <v>0.6403670309598265</v>
      </c>
      <c r="AB4301" t="str">
        <f>HYPERLINK("Melting_Curves/meltCurve_Q8IYN9_PTK2.pdf", "Melting_Curves/meltCurve_Q8IYN9_PTK2.pdf")</f>
        <v>Melting_Curves/meltCurve_Q8IYN9_PTK2.pdf</v>
      </c>
    </row>
    <row r="4302" spans="1:28" x14ac:dyDescent="0.25">
      <c r="A4302" t="s">
        <v>4305</v>
      </c>
      <c r="B4302">
        <v>0.99930955844802105</v>
      </c>
      <c r="C4302">
        <v>0.996426922787924</v>
      </c>
      <c r="D4302">
        <v>0.92478191919056296</v>
      </c>
      <c r="E4302">
        <v>0.78935976895248705</v>
      </c>
      <c r="F4302">
        <v>0.44722352601373</v>
      </c>
      <c r="G4302">
        <v>0.27557266683222498</v>
      </c>
      <c r="H4302">
        <v>0.171074591273529</v>
      </c>
      <c r="I4302">
        <v>0.14763083035948801</v>
      </c>
      <c r="J4302">
        <v>9.2653358550764203E-2</v>
      </c>
      <c r="K4302">
        <v>9.4015993059487907E-2</v>
      </c>
      <c r="L4302">
        <v>1047.5169285577299</v>
      </c>
      <c r="M4302">
        <v>20.0203833575912</v>
      </c>
      <c r="N4302">
        <v>52.947306518408098</v>
      </c>
      <c r="O4302">
        <v>51.808882409266502</v>
      </c>
      <c r="P4302">
        <v>-8.6446217309403994E-2</v>
      </c>
      <c r="Q4302">
        <v>0.105204601829823</v>
      </c>
      <c r="R4302">
        <v>0.99503397282476302</v>
      </c>
      <c r="S4302" t="s">
        <v>10918</v>
      </c>
      <c r="T4302" t="s">
        <v>13232</v>
      </c>
      <c r="U4302" t="s">
        <v>13232</v>
      </c>
      <c r="V4302" t="s">
        <v>13232</v>
      </c>
      <c r="W4302" t="s">
        <v>17471</v>
      </c>
      <c r="X4302">
        <v>3</v>
      </c>
      <c r="Y4302" t="s">
        <v>23889</v>
      </c>
      <c r="Z4302" t="s">
        <v>30433</v>
      </c>
      <c r="AA4302">
        <v>0.48508422241113358</v>
      </c>
      <c r="AB4302" t="str">
        <f>HYPERLINK("Melting_Curves/meltCurve_Q8IYQ7_THNSL1.pdf", "Melting_Curves/meltCurve_Q8IYQ7_THNSL1.pdf")</f>
        <v>Melting_Curves/meltCurve_Q8IYQ7_THNSL1.pdf</v>
      </c>
    </row>
    <row r="4303" spans="1:28" x14ac:dyDescent="0.25">
      <c r="A4303" t="s">
        <v>4306</v>
      </c>
      <c r="B4303">
        <v>0.99930955844802105</v>
      </c>
      <c r="C4303">
        <v>0.60920915093211503</v>
      </c>
      <c r="D4303">
        <v>0.41174698900676898</v>
      </c>
      <c r="E4303">
        <v>0.36054574098515002</v>
      </c>
      <c r="F4303">
        <v>0.27373052606440101</v>
      </c>
      <c r="G4303">
        <v>0.21084348910495501</v>
      </c>
      <c r="H4303">
        <v>0.116647101267145</v>
      </c>
      <c r="I4303">
        <v>9.1912711628989494E-2</v>
      </c>
      <c r="J4303">
        <v>5.7587331316964398E-2</v>
      </c>
      <c r="K4303">
        <v>4.21445204939319E-2</v>
      </c>
      <c r="L4303">
        <v>522.43057643105703</v>
      </c>
      <c r="M4303">
        <v>11.4762650953787</v>
      </c>
      <c r="N4303">
        <v>46.1079318048833</v>
      </c>
      <c r="O4303">
        <v>44.206261706826702</v>
      </c>
      <c r="P4303">
        <v>-6.0520341097734798E-2</v>
      </c>
      <c r="Q4303">
        <v>6.7776003825073497E-2</v>
      </c>
      <c r="R4303">
        <v>0.93583558623398999</v>
      </c>
      <c r="S4303" t="s">
        <v>10919</v>
      </c>
      <c r="T4303" t="s">
        <v>13232</v>
      </c>
      <c r="U4303" t="s">
        <v>13232</v>
      </c>
      <c r="V4303" t="s">
        <v>13232</v>
      </c>
      <c r="W4303" t="s">
        <v>17472</v>
      </c>
      <c r="X4303">
        <v>2</v>
      </c>
      <c r="Y4303" t="s">
        <v>23890</v>
      </c>
      <c r="Z4303" t="s">
        <v>30434</v>
      </c>
      <c r="AA4303">
        <v>0.28743764041232489</v>
      </c>
      <c r="AB4303" t="str">
        <f>HYPERLINK("Melting_Curves/meltCurve_Q8IYT2_FTSJD1.pdf", "Melting_Curves/meltCurve_Q8IYT2_FTSJD1.pdf")</f>
        <v>Melting_Curves/meltCurve_Q8IYT2_FTSJD1.pdf</v>
      </c>
    </row>
    <row r="4304" spans="1:28" x14ac:dyDescent="0.25">
      <c r="A4304" t="s">
        <v>4307</v>
      </c>
      <c r="B4304">
        <v>0.99930955844802105</v>
      </c>
      <c r="C4304">
        <v>1.4073590612203499</v>
      </c>
      <c r="D4304">
        <v>0.90330624817134098</v>
      </c>
      <c r="E4304">
        <v>0.42949849959904901</v>
      </c>
      <c r="F4304">
        <v>0.270527186400842</v>
      </c>
      <c r="G4304">
        <v>0.232628727000951</v>
      </c>
      <c r="H4304">
        <v>0.22661645078220899</v>
      </c>
      <c r="I4304">
        <v>0.25224463702357902</v>
      </c>
      <c r="J4304">
        <v>0.22607555823705</v>
      </c>
      <c r="K4304">
        <v>0.19471815718010799</v>
      </c>
      <c r="L4304">
        <v>2011.32059448116</v>
      </c>
      <c r="M4304">
        <v>41.291796368594703</v>
      </c>
      <c r="N4304">
        <v>49.443839077113097</v>
      </c>
      <c r="O4304">
        <v>48.596112346269003</v>
      </c>
      <c r="P4304">
        <v>-0.16375496539099199</v>
      </c>
      <c r="Q4304">
        <v>0.229111909613788</v>
      </c>
      <c r="R4304">
        <v>0.89713800643179598</v>
      </c>
      <c r="S4304" t="s">
        <v>10920</v>
      </c>
      <c r="T4304" t="s">
        <v>13232</v>
      </c>
      <c r="U4304" t="s">
        <v>13232</v>
      </c>
      <c r="V4304" t="s">
        <v>13232</v>
      </c>
      <c r="W4304" t="s">
        <v>17473</v>
      </c>
      <c r="X4304">
        <v>2</v>
      </c>
      <c r="Y4304" t="s">
        <v>23891</v>
      </c>
      <c r="Z4304" t="s">
        <v>30435</v>
      </c>
      <c r="AA4304">
        <v>0.4553619460359154</v>
      </c>
      <c r="AB4304" t="str">
        <f>HYPERLINK("Melting_Curves/meltCurve_Q8IYU2_HACE1.pdf", "Melting_Curves/meltCurve_Q8IYU2_HACE1.pdf")</f>
        <v>Melting_Curves/meltCurve_Q8IYU2_HACE1.pdf</v>
      </c>
    </row>
    <row r="4305" spans="1:28" x14ac:dyDescent="0.25">
      <c r="A4305" t="s">
        <v>4308</v>
      </c>
      <c r="B4305">
        <v>0.99930955844802105</v>
      </c>
      <c r="C4305">
        <v>0.89941661959534203</v>
      </c>
      <c r="D4305">
        <v>0.66794499177567201</v>
      </c>
      <c r="E4305">
        <v>0.26982630285147502</v>
      </c>
      <c r="F4305">
        <v>0.16623691606174401</v>
      </c>
      <c r="G4305">
        <v>0.11095524794914401</v>
      </c>
      <c r="H4305">
        <v>5.3639205456762699E-2</v>
      </c>
      <c r="I4305">
        <v>5.1162862026653697E-2</v>
      </c>
      <c r="J4305">
        <v>4.5663092671627298E-2</v>
      </c>
      <c r="K4305">
        <v>3.73097703199275E-2</v>
      </c>
      <c r="L4305">
        <v>972.98378040880596</v>
      </c>
      <c r="M4305">
        <v>20.5490695901576</v>
      </c>
      <c r="N4305">
        <v>47.599783327607497</v>
      </c>
      <c r="O4305">
        <v>46.907713791939301</v>
      </c>
      <c r="P4305">
        <v>-0.10390893238172599</v>
      </c>
      <c r="Q4305">
        <v>5.1248933817276597E-2</v>
      </c>
      <c r="R4305">
        <v>0.99799817362009302</v>
      </c>
      <c r="S4305" t="s">
        <v>10921</v>
      </c>
      <c r="T4305" t="s">
        <v>13232</v>
      </c>
      <c r="U4305" t="s">
        <v>13232</v>
      </c>
      <c r="V4305" t="s">
        <v>13232</v>
      </c>
      <c r="W4305" t="s">
        <v>17474</v>
      </c>
      <c r="X4305">
        <v>1</v>
      </c>
      <c r="Y4305" t="s">
        <v>23892</v>
      </c>
      <c r="Z4305" t="s">
        <v>30436</v>
      </c>
      <c r="AA4305">
        <v>0.29659820948192822</v>
      </c>
      <c r="AB4305" t="str">
        <f>HYPERLINK("Melting_Curves/meltCurve_Q8IYU8_MICU2.pdf", "Melting_Curves/meltCurve_Q8IYU8_MICU2.pdf")</f>
        <v>Melting_Curves/meltCurve_Q8IYU8_MICU2.pdf</v>
      </c>
    </row>
    <row r="4306" spans="1:28" x14ac:dyDescent="0.25">
      <c r="A4306" t="s">
        <v>4309</v>
      </c>
      <c r="B4306">
        <v>0.99930955844802105</v>
      </c>
      <c r="C4306">
        <v>1.1117862039153401</v>
      </c>
      <c r="D4306">
        <v>1.0710842531410401</v>
      </c>
      <c r="E4306">
        <v>1.04398749260466</v>
      </c>
      <c r="F4306">
        <v>0.95156953871663197</v>
      </c>
      <c r="G4306">
        <v>0.93659682502585195</v>
      </c>
      <c r="H4306">
        <v>0.85289785980854005</v>
      </c>
      <c r="I4306">
        <v>0.90093999385759704</v>
      </c>
      <c r="J4306">
        <v>0.91663150572406005</v>
      </c>
      <c r="K4306">
        <v>0.72838342587167204</v>
      </c>
      <c r="L4306">
        <v>597.90105601669597</v>
      </c>
      <c r="M4306">
        <v>7.3151762873766097</v>
      </c>
      <c r="Q4306">
        <v>0</v>
      </c>
      <c r="R4306">
        <v>0.67777357593269705</v>
      </c>
      <c r="S4306" t="s">
        <v>10922</v>
      </c>
      <c r="T4306" t="s">
        <v>13232</v>
      </c>
      <c r="U4306" t="s">
        <v>13232</v>
      </c>
      <c r="V4306" t="s">
        <v>13232</v>
      </c>
      <c r="W4306" t="s">
        <v>17475</v>
      </c>
      <c r="X4306">
        <v>6</v>
      </c>
      <c r="Y4306" t="s">
        <v>23893</v>
      </c>
      <c r="Z4306" t="s">
        <v>30437</v>
      </c>
      <c r="AA4306">
        <v>0.94289099656674591</v>
      </c>
      <c r="AB4306" t="str">
        <f>HYPERLINK("Melting_Curves/meltCurve_Q8IYW5_RNF168.pdf", "Melting_Curves/meltCurve_Q8IYW5_RNF168.pdf")</f>
        <v>Melting_Curves/meltCurve_Q8IYW5_RNF168.pdf</v>
      </c>
    </row>
    <row r="4307" spans="1:28" x14ac:dyDescent="0.25">
      <c r="A4307" t="s">
        <v>4310</v>
      </c>
      <c r="B4307">
        <v>0.99930955844802105</v>
      </c>
      <c r="C4307">
        <v>1.0442276336830301</v>
      </c>
      <c r="D4307">
        <v>1.01913815817708</v>
      </c>
      <c r="E4307">
        <v>0.88585194621490004</v>
      </c>
      <c r="F4307">
        <v>0.39905137380995798</v>
      </c>
      <c r="G4307">
        <v>0.20816273521668999</v>
      </c>
      <c r="H4307">
        <v>0.117619976940926</v>
      </c>
      <c r="I4307">
        <v>9.1206697102247103E-2</v>
      </c>
      <c r="J4307">
        <v>7.6228975176782898E-2</v>
      </c>
      <c r="K4307">
        <v>6.0865057495424903E-2</v>
      </c>
      <c r="L4307">
        <v>2036.8534396994801</v>
      </c>
      <c r="M4307">
        <v>39.011174613035799</v>
      </c>
      <c r="N4307">
        <v>52.513990260591001</v>
      </c>
      <c r="O4307">
        <v>52.075426745991003</v>
      </c>
      <c r="P4307">
        <v>-0.16846752481281099</v>
      </c>
      <c r="Q4307">
        <v>0.100463209409938</v>
      </c>
      <c r="R4307">
        <v>0.99330105339022401</v>
      </c>
      <c r="S4307" t="s">
        <v>10923</v>
      </c>
      <c r="T4307" t="s">
        <v>13232</v>
      </c>
      <c r="U4307" t="s">
        <v>13232</v>
      </c>
      <c r="V4307" t="s">
        <v>13232</v>
      </c>
      <c r="W4307" t="s">
        <v>17476</v>
      </c>
      <c r="X4307">
        <v>13</v>
      </c>
      <c r="Y4307" t="s">
        <v>23894</v>
      </c>
      <c r="Z4307" t="s">
        <v>30438</v>
      </c>
      <c r="AA4307">
        <v>0.47004817071391081</v>
      </c>
      <c r="AB4307" t="str">
        <f>HYPERLINK("Melting_Curves/meltCurve_Q8IZ07_ANKRD13A.pdf", "Melting_Curves/meltCurve_Q8IZ07_ANKRD13A.pdf")</f>
        <v>Melting_Curves/meltCurve_Q8IZ07_ANKRD13A.pdf</v>
      </c>
    </row>
    <row r="4308" spans="1:28" x14ac:dyDescent="0.25">
      <c r="A4308" t="s">
        <v>4311</v>
      </c>
      <c r="B4308">
        <v>0.99930955844802105</v>
      </c>
      <c r="C4308">
        <v>0.91535921201270598</v>
      </c>
      <c r="D4308">
        <v>0.87257160965328096</v>
      </c>
      <c r="E4308">
        <v>0.69297328332200303</v>
      </c>
      <c r="F4308">
        <v>0.381969660219523</v>
      </c>
      <c r="G4308">
        <v>0.19234771157994601</v>
      </c>
      <c r="H4308">
        <v>0.109671013811395</v>
      </c>
      <c r="I4308">
        <v>9.6902666775727994E-2</v>
      </c>
      <c r="J4308">
        <v>7.3439416346734801E-2</v>
      </c>
      <c r="K4308">
        <v>7.8278225984568295E-2</v>
      </c>
      <c r="L4308">
        <v>913.32879259326103</v>
      </c>
      <c r="M4308">
        <v>17.765330316202199</v>
      </c>
      <c r="N4308">
        <v>51.7886339153957</v>
      </c>
      <c r="O4308">
        <v>50.772598562808298</v>
      </c>
      <c r="P4308">
        <v>-8.2161677247099399E-2</v>
      </c>
      <c r="Q4308">
        <v>6.0789742299900203E-2</v>
      </c>
      <c r="R4308">
        <v>0.99471095001828802</v>
      </c>
      <c r="S4308" t="s">
        <v>10924</v>
      </c>
      <c r="T4308" t="s">
        <v>13232</v>
      </c>
      <c r="U4308" t="s">
        <v>13232</v>
      </c>
      <c r="V4308" t="s">
        <v>13232</v>
      </c>
      <c r="W4308" t="s">
        <v>17477</v>
      </c>
      <c r="X4308">
        <v>3</v>
      </c>
      <c r="Y4308" t="s">
        <v>23895</v>
      </c>
      <c r="Z4308" t="s">
        <v>30439</v>
      </c>
      <c r="AA4308">
        <v>0.43414184633785008</v>
      </c>
      <c r="AB4308" t="str">
        <f>HYPERLINK("Melting_Curves/meltCurve_Q8IZ13_C5orf54.pdf", "Melting_Curves/meltCurve_Q8IZ13_C5orf54.pdf")</f>
        <v>Melting_Curves/meltCurve_Q8IZ13_C5orf54.pdf</v>
      </c>
    </row>
    <row r="4309" spans="1:28" x14ac:dyDescent="0.25">
      <c r="A4309" t="s">
        <v>4312</v>
      </c>
      <c r="B4309">
        <v>0.99930955844802105</v>
      </c>
      <c r="C4309">
        <v>1.0145878049294601</v>
      </c>
      <c r="D4309">
        <v>0.96649121616561795</v>
      </c>
      <c r="E4309">
        <v>0.92916646112583401</v>
      </c>
      <c r="F4309">
        <v>0.85480785019635797</v>
      </c>
      <c r="G4309">
        <v>0.56936376694789104</v>
      </c>
      <c r="H4309">
        <v>0.49235528477570201</v>
      </c>
      <c r="I4309">
        <v>0.49224750954231</v>
      </c>
      <c r="J4309">
        <v>0.48789555757191599</v>
      </c>
      <c r="K4309">
        <v>0.398608322489515</v>
      </c>
      <c r="L4309">
        <v>1395.1030146052799</v>
      </c>
      <c r="M4309">
        <v>25.527239223209701</v>
      </c>
      <c r="N4309">
        <v>60.101251692277501</v>
      </c>
      <c r="O4309">
        <v>54.319485000391701</v>
      </c>
      <c r="P4309">
        <v>-6.4547722954766198E-2</v>
      </c>
      <c r="Q4309">
        <v>0.450601874632514</v>
      </c>
      <c r="R4309">
        <v>0.98654001291201499</v>
      </c>
      <c r="S4309" t="s">
        <v>10925</v>
      </c>
      <c r="T4309" t="s">
        <v>13232</v>
      </c>
      <c r="U4309" t="s">
        <v>13232</v>
      </c>
      <c r="V4309" t="s">
        <v>13232</v>
      </c>
      <c r="W4309" t="s">
        <v>17478</v>
      </c>
      <c r="X4309">
        <v>22</v>
      </c>
      <c r="Y4309" t="s">
        <v>23896</v>
      </c>
      <c r="Z4309" t="s">
        <v>30440</v>
      </c>
      <c r="AA4309">
        <v>0.72382037683682154</v>
      </c>
      <c r="AB4309" t="str">
        <f>HYPERLINK("Melting_Curves/meltCurve_Q8IZ21_3_PHACTR4.pdf", "Melting_Curves/meltCurve_Q8IZ21_3_PHACTR4.pdf")</f>
        <v>Melting_Curves/meltCurve_Q8IZ21_3_PHACTR4.pdf</v>
      </c>
    </row>
    <row r="4310" spans="1:28" x14ac:dyDescent="0.25">
      <c r="A4310" t="s">
        <v>4313</v>
      </c>
      <c r="B4310">
        <v>0.99930955844802105</v>
      </c>
      <c r="C4310">
        <v>0.85930428869757403</v>
      </c>
      <c r="D4310">
        <v>0.71993367273429199</v>
      </c>
      <c r="E4310">
        <v>0.55321053175906398</v>
      </c>
      <c r="F4310">
        <v>0.471861523071262</v>
      </c>
      <c r="G4310">
        <v>0.34066406383832598</v>
      </c>
      <c r="H4310">
        <v>0.168352767334989</v>
      </c>
      <c r="I4310">
        <v>0.10929119254670799</v>
      </c>
      <c r="J4310">
        <v>9.5074162054181399E-2</v>
      </c>
      <c r="K4310">
        <v>7.1363296519147301E-2</v>
      </c>
      <c r="L4310">
        <v>485.893407586048</v>
      </c>
      <c r="M4310">
        <v>9.4151744542156006</v>
      </c>
      <c r="N4310">
        <v>51.607468873295701</v>
      </c>
      <c r="O4310">
        <v>49.440008697999701</v>
      </c>
      <c r="P4310">
        <v>-4.76382245767187E-2</v>
      </c>
      <c r="Q4310">
        <v>0</v>
      </c>
      <c r="R4310">
        <v>0.98945301048465295</v>
      </c>
      <c r="S4310" t="s">
        <v>10926</v>
      </c>
      <c r="T4310" t="s">
        <v>13232</v>
      </c>
      <c r="U4310" t="s">
        <v>13232</v>
      </c>
      <c r="V4310" t="s">
        <v>13232</v>
      </c>
      <c r="W4310" t="s">
        <v>17479</v>
      </c>
      <c r="X4310">
        <v>29</v>
      </c>
      <c r="Y4310" t="s">
        <v>23897</v>
      </c>
      <c r="Z4310" t="s">
        <v>30441</v>
      </c>
      <c r="AA4310">
        <v>0.42905029142790202</v>
      </c>
      <c r="AB4310" t="str">
        <f>HYPERLINK("Melting_Curves/meltCurve_Q8IZ69_TRMT2A.pdf", "Melting_Curves/meltCurve_Q8IZ69_TRMT2A.pdf")</f>
        <v>Melting_Curves/meltCurve_Q8IZ69_TRMT2A.pdf</v>
      </c>
    </row>
    <row r="4311" spans="1:28" x14ac:dyDescent="0.25">
      <c r="A4311" t="s">
        <v>4314</v>
      </c>
      <c r="B4311">
        <v>0.99930955844802105</v>
      </c>
      <c r="C4311">
        <v>1.04519657333182</v>
      </c>
      <c r="D4311">
        <v>1.03148737653956</v>
      </c>
      <c r="E4311">
        <v>1.0259960223278899</v>
      </c>
      <c r="F4311">
        <v>0.97263701550641002</v>
      </c>
      <c r="G4311">
        <v>0.59527005261934296</v>
      </c>
      <c r="H4311">
        <v>0.25526042401945098</v>
      </c>
      <c r="I4311">
        <v>0.205452585540847</v>
      </c>
      <c r="J4311">
        <v>0.185295402790883</v>
      </c>
      <c r="K4311">
        <v>0.14265126152583801</v>
      </c>
      <c r="L4311">
        <v>2114.0840834232199</v>
      </c>
      <c r="M4311">
        <v>37.006559268826202</v>
      </c>
      <c r="N4311">
        <v>57.791338146001799</v>
      </c>
      <c r="O4311">
        <v>56.961230300113399</v>
      </c>
      <c r="P4311">
        <v>-0.13429090339753599</v>
      </c>
      <c r="Q4311">
        <v>0.173189441637778</v>
      </c>
      <c r="R4311">
        <v>0.99616348260056198</v>
      </c>
      <c r="S4311" t="s">
        <v>10927</v>
      </c>
      <c r="T4311" t="s">
        <v>13232</v>
      </c>
      <c r="U4311" t="s">
        <v>13232</v>
      </c>
      <c r="V4311" t="s">
        <v>13232</v>
      </c>
      <c r="W4311" t="s">
        <v>17480</v>
      </c>
      <c r="X4311">
        <v>16</v>
      </c>
      <c r="Y4311" t="s">
        <v>23898</v>
      </c>
      <c r="Z4311" t="s">
        <v>30442</v>
      </c>
      <c r="AA4311">
        <v>0.64896867612911946</v>
      </c>
      <c r="AB4311" t="str">
        <f>HYPERLINK("Melting_Curves/meltCurve_Q8IZ73_RPUSD2.pdf", "Melting_Curves/meltCurve_Q8IZ73_RPUSD2.pdf")</f>
        <v>Melting_Curves/meltCurve_Q8IZ73_RPUSD2.pdf</v>
      </c>
    </row>
    <row r="4312" spans="1:28" x14ac:dyDescent="0.25">
      <c r="A4312" t="s">
        <v>4315</v>
      </c>
      <c r="B4312">
        <v>0.99930955844802105</v>
      </c>
      <c r="C4312">
        <v>0.68539707453882603</v>
      </c>
      <c r="D4312">
        <v>0.74870000003602699</v>
      </c>
      <c r="E4312">
        <v>0.91705144877820299</v>
      </c>
      <c r="F4312">
        <v>1.0363214011817301</v>
      </c>
      <c r="G4312">
        <v>0.826980943404656</v>
      </c>
      <c r="H4312">
        <v>0.28675573613558902</v>
      </c>
      <c r="I4312">
        <v>0.19076148614535701</v>
      </c>
      <c r="J4312">
        <v>0.1644153388937</v>
      </c>
      <c r="K4312">
        <v>0.125317883638011</v>
      </c>
      <c r="L4312">
        <v>2605.2528421148299</v>
      </c>
      <c r="M4312">
        <v>44.329306819370501</v>
      </c>
      <c r="N4312">
        <v>59.247604481880998</v>
      </c>
      <c r="O4312">
        <v>58.651218168966402</v>
      </c>
      <c r="P4312">
        <v>-0.16058813853120599</v>
      </c>
      <c r="Q4312">
        <v>0.15011741903374601</v>
      </c>
      <c r="R4312">
        <v>0.85813416240175</v>
      </c>
      <c r="S4312" t="s">
        <v>10928</v>
      </c>
      <c r="T4312" t="s">
        <v>13232</v>
      </c>
      <c r="U4312" t="s">
        <v>13232</v>
      </c>
      <c r="V4312" t="s">
        <v>13232</v>
      </c>
      <c r="W4312" t="s">
        <v>17481</v>
      </c>
      <c r="X4312">
        <v>15</v>
      </c>
      <c r="Y4312" t="s">
        <v>23899</v>
      </c>
      <c r="Z4312" t="s">
        <v>30443</v>
      </c>
      <c r="AA4312">
        <v>0.68463435674005813</v>
      </c>
      <c r="AB4312" t="str">
        <f>HYPERLINK("Melting_Curves/meltCurve_Q8IZ83_ALDH16A1.pdf", "Melting_Curves/meltCurve_Q8IZ83_ALDH16A1.pdf")</f>
        <v>Melting_Curves/meltCurve_Q8IZ83_ALDH16A1.pdf</v>
      </c>
    </row>
    <row r="4313" spans="1:28" x14ac:dyDescent="0.25">
      <c r="A4313" t="s">
        <v>4316</v>
      </c>
      <c r="B4313">
        <v>0.99930955844802105</v>
      </c>
      <c r="C4313">
        <v>1.1275234259101701</v>
      </c>
      <c r="D4313">
        <v>1.1116519607014399</v>
      </c>
      <c r="E4313">
        <v>1.0327566259191101</v>
      </c>
      <c r="F4313">
        <v>0.89228860604275395</v>
      </c>
      <c r="G4313">
        <v>0.767855306245952</v>
      </c>
      <c r="H4313">
        <v>0.70510446774091795</v>
      </c>
      <c r="I4313">
        <v>0.684899868178523</v>
      </c>
      <c r="J4313">
        <v>0.65356409694293904</v>
      </c>
      <c r="K4313">
        <v>0.54549636279639002</v>
      </c>
      <c r="L4313">
        <v>1096.4868752801101</v>
      </c>
      <c r="M4313">
        <v>19.284298203090799</v>
      </c>
      <c r="O4313">
        <v>56.258222525557699</v>
      </c>
      <c r="P4313">
        <v>-3.4080037270923999E-2</v>
      </c>
      <c r="Q4313">
        <v>0.60232725379100704</v>
      </c>
      <c r="R4313">
        <v>0.89074336488473205</v>
      </c>
      <c r="S4313" t="s">
        <v>10929</v>
      </c>
      <c r="T4313" t="s">
        <v>13232</v>
      </c>
      <c r="U4313" t="s">
        <v>13232</v>
      </c>
      <c r="V4313" t="s">
        <v>13232</v>
      </c>
      <c r="W4313" t="s">
        <v>17482</v>
      </c>
      <c r="X4313">
        <v>11</v>
      </c>
      <c r="Y4313" t="s">
        <v>23900</v>
      </c>
      <c r="Z4313" t="s">
        <v>30444</v>
      </c>
      <c r="AA4313">
        <v>0.83093200851515481</v>
      </c>
      <c r="AB4313" t="str">
        <f>HYPERLINK("Melting_Curves/meltCurve_Q8IZD2_6_MLL5.pdf", "Melting_Curves/meltCurve_Q8IZD2_6_MLL5.pdf")</f>
        <v>Melting_Curves/meltCurve_Q8IZD2_6_MLL5.pdf</v>
      </c>
    </row>
    <row r="4314" spans="1:28" x14ac:dyDescent="0.25">
      <c r="A4314" t="s">
        <v>4317</v>
      </c>
      <c r="B4314">
        <v>0.99930955844802105</v>
      </c>
      <c r="C4314">
        <v>1.31103913598246</v>
      </c>
      <c r="D4314">
        <v>0.88075619448248899</v>
      </c>
      <c r="E4314">
        <v>0.684522052779035</v>
      </c>
      <c r="F4314">
        <v>0.53808114042280597</v>
      </c>
      <c r="G4314">
        <v>0.486492443461986</v>
      </c>
      <c r="H4314">
        <v>0.45397673071859301</v>
      </c>
      <c r="I4314">
        <v>0.50336340692257897</v>
      </c>
      <c r="J4314">
        <v>0.44863539593334101</v>
      </c>
      <c r="K4314">
        <v>0.39476854959194202</v>
      </c>
      <c r="L4314">
        <v>1420.2697634277599</v>
      </c>
      <c r="M4314">
        <v>28.730322857457601</v>
      </c>
      <c r="N4314">
        <v>54.008650957872497</v>
      </c>
      <c r="O4314">
        <v>49.196881184227102</v>
      </c>
      <c r="P4314">
        <v>-7.9404670876298003E-2</v>
      </c>
      <c r="Q4314">
        <v>0.45612418541667099</v>
      </c>
      <c r="R4314">
        <v>0.86318378586442801</v>
      </c>
      <c r="S4314" t="s">
        <v>10930</v>
      </c>
      <c r="T4314" t="s">
        <v>13232</v>
      </c>
      <c r="U4314" t="s">
        <v>13232</v>
      </c>
      <c r="V4314" t="s">
        <v>13232</v>
      </c>
      <c r="W4314" t="s">
        <v>17483</v>
      </c>
      <c r="X4314">
        <v>2</v>
      </c>
      <c r="Y4314" t="s">
        <v>23901</v>
      </c>
      <c r="Z4314" t="s">
        <v>30445</v>
      </c>
      <c r="AA4314">
        <v>0.63080562547317431</v>
      </c>
      <c r="AB4314" t="str">
        <f>HYPERLINK("Melting_Curves/meltCurve_Q8IZE3_2_SCYL3.pdf", "Melting_Curves/meltCurve_Q8IZE3_2_SCYL3.pdf")</f>
        <v>Melting_Curves/meltCurve_Q8IZE3_2_SCYL3.pdf</v>
      </c>
    </row>
    <row r="4315" spans="1:28" x14ac:dyDescent="0.25">
      <c r="A4315" t="s">
        <v>4318</v>
      </c>
      <c r="B4315">
        <v>0.99930955844802105</v>
      </c>
      <c r="C4315">
        <v>0.94397152818839902</v>
      </c>
      <c r="D4315">
        <v>0.87286244243100197</v>
      </c>
      <c r="E4315">
        <v>0.60253607834051004</v>
      </c>
      <c r="F4315">
        <v>0.46346708281885901</v>
      </c>
      <c r="G4315">
        <v>0.35382051270415699</v>
      </c>
      <c r="H4315">
        <v>0.28445794023740101</v>
      </c>
      <c r="I4315">
        <v>0.29931798824801897</v>
      </c>
      <c r="J4315">
        <v>0.27689532785870602</v>
      </c>
      <c r="K4315">
        <v>0.21620882715658599</v>
      </c>
      <c r="L4315">
        <v>815.64963231503998</v>
      </c>
      <c r="M4315">
        <v>16.330354535179399</v>
      </c>
      <c r="N4315">
        <v>52.188387049581102</v>
      </c>
      <c r="O4315">
        <v>49.215862223898199</v>
      </c>
      <c r="P4315">
        <v>-6.20484293303201E-2</v>
      </c>
      <c r="Q4315">
        <v>0.25205611556054502</v>
      </c>
      <c r="R4315">
        <v>0.99514577439296403</v>
      </c>
      <c r="S4315" t="s">
        <v>10931</v>
      </c>
      <c r="T4315" t="s">
        <v>13232</v>
      </c>
      <c r="U4315" t="s">
        <v>13232</v>
      </c>
      <c r="V4315" t="s">
        <v>13232</v>
      </c>
      <c r="W4315" t="s">
        <v>17484</v>
      </c>
      <c r="X4315">
        <v>20</v>
      </c>
      <c r="Y4315" t="s">
        <v>23902</v>
      </c>
      <c r="Z4315" t="s">
        <v>30446</v>
      </c>
      <c r="AA4315">
        <v>0.51536409047856635</v>
      </c>
      <c r="AB4315" t="str">
        <f>HYPERLINK("Melting_Curves/meltCurve_Q8IZH2_2_XRN1.pdf", "Melting_Curves/meltCurve_Q8IZH2_2_XRN1.pdf")</f>
        <v>Melting_Curves/meltCurve_Q8IZH2_2_XRN1.pdf</v>
      </c>
    </row>
    <row r="4316" spans="1:28" x14ac:dyDescent="0.25">
      <c r="A4316" t="s">
        <v>4319</v>
      </c>
      <c r="B4316">
        <v>0.99930955844802105</v>
      </c>
      <c r="C4316">
        <v>1.1265019103774301</v>
      </c>
      <c r="D4316">
        <v>1.0930426748851401</v>
      </c>
      <c r="E4316">
        <v>0.97134448085234804</v>
      </c>
      <c r="F4316">
        <v>0.69761924531259401</v>
      </c>
      <c r="G4316">
        <v>0.214506178586997</v>
      </c>
      <c r="H4316">
        <v>0.151100942559728</v>
      </c>
      <c r="I4316">
        <v>0.116824183826148</v>
      </c>
      <c r="J4316">
        <v>0.100598116324936</v>
      </c>
      <c r="K4316">
        <v>8.6450232982863404E-2</v>
      </c>
      <c r="L4316">
        <v>2056.0741963774699</v>
      </c>
      <c r="M4316">
        <v>38.103013713605101</v>
      </c>
      <c r="N4316">
        <v>54.315848303721602</v>
      </c>
      <c r="O4316">
        <v>53.812944914358098</v>
      </c>
      <c r="P4316">
        <v>-0.15750842655821001</v>
      </c>
      <c r="Q4316">
        <v>0.110204684614031</v>
      </c>
      <c r="R4316">
        <v>0.98598364192082699</v>
      </c>
      <c r="S4316" t="s">
        <v>10932</v>
      </c>
      <c r="T4316" t="s">
        <v>13232</v>
      </c>
      <c r="U4316" t="s">
        <v>13232</v>
      </c>
      <c r="V4316" t="s">
        <v>13232</v>
      </c>
      <c r="W4316" t="s">
        <v>17485</v>
      </c>
      <c r="X4316">
        <v>3</v>
      </c>
      <c r="Y4316" t="s">
        <v>23903</v>
      </c>
      <c r="Z4316" t="s">
        <v>30447</v>
      </c>
      <c r="AA4316">
        <v>0.52793350451735876</v>
      </c>
      <c r="AB4316" t="str">
        <f>HYPERLINK("Melting_Curves/meltCurve_Q8IZJ1_2_UNC5B.pdf", "Melting_Curves/meltCurve_Q8IZJ1_2_UNC5B.pdf")</f>
        <v>Melting_Curves/meltCurve_Q8IZJ1_2_UNC5B.pdf</v>
      </c>
    </row>
    <row r="4317" spans="1:28" x14ac:dyDescent="0.25">
      <c r="A4317" t="s">
        <v>4320</v>
      </c>
      <c r="B4317">
        <v>0.99930955844802105</v>
      </c>
      <c r="C4317">
        <v>1.16171934235254</v>
      </c>
      <c r="D4317">
        <v>1.1517797638449701</v>
      </c>
      <c r="E4317">
        <v>1.16416594550916</v>
      </c>
      <c r="F4317">
        <v>1.05944671334205</v>
      </c>
      <c r="G4317">
        <v>1.0174723555129701</v>
      </c>
      <c r="H4317">
        <v>1.1863321439999399</v>
      </c>
      <c r="I4317">
        <v>1.39536891813085</v>
      </c>
      <c r="J4317">
        <v>1.50706682518068</v>
      </c>
      <c r="K4317">
        <v>1.1905532778591399</v>
      </c>
      <c r="L4317">
        <v>303.64276679887502</v>
      </c>
      <c r="M4317">
        <v>4.9151377697688003</v>
      </c>
      <c r="O4317">
        <v>53.6995516833965</v>
      </c>
      <c r="P4317">
        <v>1.15156271618529E-2</v>
      </c>
      <c r="Q4317">
        <v>1.5</v>
      </c>
      <c r="R4317">
        <v>0.37893888470642301</v>
      </c>
      <c r="S4317" t="s">
        <v>10933</v>
      </c>
      <c r="T4317" t="s">
        <v>13232</v>
      </c>
      <c r="U4317" t="s">
        <v>13232</v>
      </c>
      <c r="V4317" t="s">
        <v>13232</v>
      </c>
      <c r="W4317" t="s">
        <v>17486</v>
      </c>
      <c r="X4317">
        <v>8</v>
      </c>
      <c r="Y4317" t="s">
        <v>23904</v>
      </c>
      <c r="Z4317" t="s">
        <v>30448</v>
      </c>
      <c r="AA4317">
        <v>1.1754694690369569</v>
      </c>
      <c r="AB4317" t="str">
        <f>HYPERLINK("Melting_Curves/meltCurve_Q8IZL2_MAML2.pdf", "Melting_Curves/meltCurve_Q8IZL2_MAML2.pdf")</f>
        <v>Melting_Curves/meltCurve_Q8IZL2_MAML2.pdf</v>
      </c>
    </row>
    <row r="4318" spans="1:28" x14ac:dyDescent="0.25">
      <c r="A4318" t="s">
        <v>4321</v>
      </c>
      <c r="B4318">
        <v>0.99930955844802105</v>
      </c>
      <c r="C4318">
        <v>1.3232742609316701</v>
      </c>
      <c r="D4318">
        <v>1.3804566682933399</v>
      </c>
      <c r="E4318">
        <v>1.6110069685661701</v>
      </c>
      <c r="F4318">
        <v>1.5160161126696301</v>
      </c>
      <c r="G4318">
        <v>1.2729686176997099</v>
      </c>
      <c r="H4318">
        <v>1.5923161988097501</v>
      </c>
      <c r="I4318">
        <v>1.3736813996003201</v>
      </c>
      <c r="J4318">
        <v>1.48577408615769</v>
      </c>
      <c r="K4318">
        <v>1.26603771852082</v>
      </c>
      <c r="L4318">
        <v>2901.7771388451201</v>
      </c>
      <c r="M4318">
        <v>68.655683145779307</v>
      </c>
      <c r="O4318">
        <v>42.229835025576897</v>
      </c>
      <c r="P4318">
        <v>0.17788954178462801</v>
      </c>
      <c r="Q4318">
        <v>1.43767646244615</v>
      </c>
      <c r="R4318">
        <v>0.58007856767417298</v>
      </c>
      <c r="S4318" t="s">
        <v>10934</v>
      </c>
      <c r="T4318" t="s">
        <v>13232</v>
      </c>
      <c r="U4318" t="s">
        <v>13232</v>
      </c>
      <c r="V4318" t="s">
        <v>13232</v>
      </c>
      <c r="W4318" t="s">
        <v>17487</v>
      </c>
      <c r="X4318">
        <v>4</v>
      </c>
      <c r="Y4318" t="s">
        <v>23905</v>
      </c>
      <c r="Z4318" t="s">
        <v>30449</v>
      </c>
      <c r="AA4318">
        <v>1.4040320771980559</v>
      </c>
      <c r="AB4318" t="str">
        <f>HYPERLINK("Melting_Curves/meltCurve_Q8IZL8_PELP1.pdf", "Melting_Curves/meltCurve_Q8IZL8_PELP1.pdf")</f>
        <v>Melting_Curves/meltCurve_Q8IZL8_PELP1.pdf</v>
      </c>
    </row>
    <row r="4319" spans="1:28" x14ac:dyDescent="0.25">
      <c r="A4319" t="s">
        <v>4322</v>
      </c>
      <c r="B4319">
        <v>0.99930955844802105</v>
      </c>
      <c r="C4319">
        <v>0.78863228968799004</v>
      </c>
      <c r="D4319">
        <v>0.829286506441131</v>
      </c>
      <c r="E4319">
        <v>0.82963469995841099</v>
      </c>
      <c r="F4319">
        <v>0.493300783298596</v>
      </c>
      <c r="G4319">
        <v>0.32370802500197099</v>
      </c>
      <c r="H4319">
        <v>0.23780812984062999</v>
      </c>
      <c r="I4319">
        <v>0.22903681995185099</v>
      </c>
      <c r="J4319">
        <v>0.21537349093984301</v>
      </c>
      <c r="K4319">
        <v>0.169798283082435</v>
      </c>
      <c r="L4319">
        <v>591.15379033922898</v>
      </c>
      <c r="M4319">
        <v>11.2448499477459</v>
      </c>
      <c r="N4319">
        <v>53.795360940564699</v>
      </c>
      <c r="O4319">
        <v>50.990727984115203</v>
      </c>
      <c r="P4319">
        <v>-4.89228618182284E-2</v>
      </c>
      <c r="Q4319">
        <v>0.112895569220355</v>
      </c>
      <c r="R4319">
        <v>0.944211893541822</v>
      </c>
      <c r="S4319" t="s">
        <v>10935</v>
      </c>
      <c r="T4319" t="s">
        <v>13232</v>
      </c>
      <c r="U4319" t="s">
        <v>13232</v>
      </c>
      <c r="V4319" t="s">
        <v>13232</v>
      </c>
      <c r="W4319" t="s">
        <v>17488</v>
      </c>
      <c r="X4319">
        <v>10</v>
      </c>
      <c r="Y4319" t="s">
        <v>23906</v>
      </c>
      <c r="Z4319" t="s">
        <v>30450</v>
      </c>
      <c r="AA4319">
        <v>0.51274136354341127</v>
      </c>
      <c r="AB4319" t="str">
        <f>HYPERLINK("Melting_Curves/meltCurve_Q8IZP0_10_ABI1.pdf", "Melting_Curves/meltCurve_Q8IZP0_10_ABI1.pdf")</f>
        <v>Melting_Curves/meltCurve_Q8IZP0_10_ABI1.pdf</v>
      </c>
    </row>
    <row r="4320" spans="1:28" x14ac:dyDescent="0.25">
      <c r="A4320" t="s">
        <v>4323</v>
      </c>
      <c r="B4320">
        <v>0.99930955844802105</v>
      </c>
      <c r="C4320">
        <v>0.69926158639810099</v>
      </c>
      <c r="D4320">
        <v>0.55021791309033496</v>
      </c>
      <c r="E4320">
        <v>0.30445870533554997</v>
      </c>
      <c r="F4320">
        <v>0.277899489074864</v>
      </c>
      <c r="G4320">
        <v>0.231515521570166</v>
      </c>
      <c r="H4320">
        <v>0.19039905451373401</v>
      </c>
      <c r="I4320">
        <v>0.16957624092141799</v>
      </c>
      <c r="J4320">
        <v>0.17824566381260601</v>
      </c>
      <c r="K4320">
        <v>0.16128238889493801</v>
      </c>
      <c r="L4320">
        <v>748.80855387937504</v>
      </c>
      <c r="M4320">
        <v>16.559299957025502</v>
      </c>
      <c r="N4320">
        <v>46.469302009722703</v>
      </c>
      <c r="O4320">
        <v>44.575783780152904</v>
      </c>
      <c r="P4320">
        <v>-7.6190719329343307E-2</v>
      </c>
      <c r="Q4320">
        <v>0.17966862831109301</v>
      </c>
      <c r="R4320">
        <v>0.980636875967001</v>
      </c>
      <c r="S4320" t="s">
        <v>10936</v>
      </c>
      <c r="T4320" t="s">
        <v>13232</v>
      </c>
      <c r="U4320" t="s">
        <v>13232</v>
      </c>
      <c r="V4320" t="s">
        <v>13232</v>
      </c>
      <c r="W4320" t="s">
        <v>17489</v>
      </c>
      <c r="X4320">
        <v>2</v>
      </c>
      <c r="Y4320" t="s">
        <v>23907</v>
      </c>
      <c r="Z4320" t="s">
        <v>30451</v>
      </c>
      <c r="AA4320">
        <v>0.34321208249592089</v>
      </c>
      <c r="AB4320" t="str">
        <f>HYPERLINK("Melting_Curves/meltCurve_Q8IZQ1_2_WDFY3.pdf", "Melting_Curves/meltCurve_Q8IZQ1_2_WDFY3.pdf")</f>
        <v>Melting_Curves/meltCurve_Q8IZQ1_2_WDFY3.pdf</v>
      </c>
    </row>
    <row r="4321" spans="1:28" x14ac:dyDescent="0.25">
      <c r="A4321" t="s">
        <v>4324</v>
      </c>
      <c r="B4321">
        <v>0.99930955844802105</v>
      </c>
      <c r="C4321">
        <v>1.3042020697054</v>
      </c>
      <c r="D4321">
        <v>1.49092862402292</v>
      </c>
      <c r="E4321">
        <v>1.2421527301056601</v>
      </c>
      <c r="F4321">
        <v>1.01887620704376</v>
      </c>
      <c r="G4321">
        <v>1.2100866449268399</v>
      </c>
      <c r="H4321">
        <v>1.1915007944837901</v>
      </c>
      <c r="I4321">
        <v>1.2802379903703101</v>
      </c>
      <c r="J4321">
        <v>1.3428115207967299</v>
      </c>
      <c r="K4321">
        <v>0.90241171620175198</v>
      </c>
      <c r="L4321">
        <v>10259.7365349592</v>
      </c>
      <c r="M4321">
        <v>250</v>
      </c>
      <c r="O4321">
        <v>41.036313072317498</v>
      </c>
      <c r="P4321">
        <v>0.33561215110398201</v>
      </c>
      <c r="Q4321">
        <v>1.2203566014629399</v>
      </c>
      <c r="R4321">
        <v>0.153812442517127</v>
      </c>
      <c r="S4321" t="s">
        <v>10937</v>
      </c>
      <c r="T4321" t="s">
        <v>13232</v>
      </c>
      <c r="U4321" t="s">
        <v>13232</v>
      </c>
      <c r="V4321" t="s">
        <v>13232</v>
      </c>
      <c r="W4321" t="s">
        <v>17490</v>
      </c>
      <c r="X4321">
        <v>4</v>
      </c>
      <c r="Y4321" t="s">
        <v>23908</v>
      </c>
      <c r="Z4321" t="s">
        <v>30452</v>
      </c>
      <c r="AA4321">
        <v>1.212707723889485</v>
      </c>
      <c r="AB4321" t="str">
        <f>HYPERLINK("Melting_Curves/meltCurve_Q8IZT6_2_ASPM.pdf", "Melting_Curves/meltCurve_Q8IZT6_2_ASPM.pdf")</f>
        <v>Melting_Curves/meltCurve_Q8IZT6_2_ASPM.pdf</v>
      </c>
    </row>
    <row r="4322" spans="1:28" x14ac:dyDescent="0.25">
      <c r="A4322" t="s">
        <v>4325</v>
      </c>
      <c r="B4322">
        <v>0.99930955844802105</v>
      </c>
      <c r="C4322">
        <v>0.71089020073963305</v>
      </c>
      <c r="D4322">
        <v>0.64095991484335002</v>
      </c>
      <c r="E4322">
        <v>0.67641207023652905</v>
      </c>
      <c r="F4322">
        <v>0.51723761301851801</v>
      </c>
      <c r="G4322">
        <v>0.32095970005615798</v>
      </c>
      <c r="H4322">
        <v>0.13038329737708601</v>
      </c>
      <c r="I4322">
        <v>0.12684146339394201</v>
      </c>
      <c r="J4322">
        <v>0.11480155697731</v>
      </c>
      <c r="K4322">
        <v>8.3405193761359006E-2</v>
      </c>
      <c r="L4322">
        <v>430.706379584091</v>
      </c>
      <c r="M4322">
        <v>8.3669252870946806</v>
      </c>
      <c r="N4322">
        <v>51.477253657953199</v>
      </c>
      <c r="O4322">
        <v>48.788519031207301</v>
      </c>
      <c r="P4322">
        <v>-4.2914425466198697E-2</v>
      </c>
      <c r="Q4322">
        <v>0</v>
      </c>
      <c r="R4322">
        <v>0.93565191535121695</v>
      </c>
      <c r="S4322" t="s">
        <v>10938</v>
      </c>
      <c r="T4322" t="s">
        <v>13232</v>
      </c>
      <c r="U4322" t="s">
        <v>13232</v>
      </c>
      <c r="V4322" t="s">
        <v>13232</v>
      </c>
      <c r="W4322" t="s">
        <v>17491</v>
      </c>
      <c r="X4322">
        <v>5</v>
      </c>
      <c r="Y4322" t="s">
        <v>23909</v>
      </c>
      <c r="Z4322" t="s">
        <v>30453</v>
      </c>
      <c r="AA4322">
        <v>0.4308501148790897</v>
      </c>
      <c r="AB4322" t="str">
        <f>HYPERLINK("Melting_Curves/meltCurve_Q8IZV5_RDH10.pdf", "Melting_Curves/meltCurve_Q8IZV5_RDH10.pdf")</f>
        <v>Melting_Curves/meltCurve_Q8IZV5_RDH10.pdf</v>
      </c>
    </row>
    <row r="4323" spans="1:28" x14ac:dyDescent="0.25">
      <c r="A4323" t="s">
        <v>4326</v>
      </c>
      <c r="B4323">
        <v>0.99930955844802105</v>
      </c>
      <c r="C4323">
        <v>1.1620429604787299</v>
      </c>
      <c r="D4323">
        <v>1.0994157623332601</v>
      </c>
      <c r="E4323">
        <v>0.96595529173675798</v>
      </c>
      <c r="F4323">
        <v>0.83261122174810698</v>
      </c>
      <c r="G4323">
        <v>0.71255749653260902</v>
      </c>
      <c r="H4323">
        <v>0.74613646047975801</v>
      </c>
      <c r="I4323">
        <v>0.80288694303734298</v>
      </c>
      <c r="J4323">
        <v>0.922360126180375</v>
      </c>
      <c r="K4323">
        <v>0.72514225794462295</v>
      </c>
      <c r="L4323">
        <v>2908.6706889184302</v>
      </c>
      <c r="M4323">
        <v>56.252591374402897</v>
      </c>
      <c r="O4323">
        <v>51.642094178486801</v>
      </c>
      <c r="P4323">
        <v>-5.92329448589494E-2</v>
      </c>
      <c r="Q4323">
        <v>0.78248741136109501</v>
      </c>
      <c r="R4323">
        <v>0.70889347183477802</v>
      </c>
      <c r="S4323" t="s">
        <v>10939</v>
      </c>
      <c r="T4323" t="s">
        <v>13232</v>
      </c>
      <c r="U4323" t="s">
        <v>13232</v>
      </c>
      <c r="V4323" t="s">
        <v>13232</v>
      </c>
      <c r="W4323" t="s">
        <v>17492</v>
      </c>
      <c r="X4323">
        <v>20</v>
      </c>
      <c r="Y4323" t="s">
        <v>23910</v>
      </c>
      <c r="Z4323" t="s">
        <v>30454</v>
      </c>
      <c r="AA4323">
        <v>0.86776187122559423</v>
      </c>
      <c r="AB4323" t="str">
        <f>HYPERLINK("Melting_Curves/meltCurve_Q8N0S2_SYCE1.pdf", "Melting_Curves/meltCurve_Q8N0S2_SYCE1.pdf")</f>
        <v>Melting_Curves/meltCurve_Q8N0S2_SYCE1.pdf</v>
      </c>
    </row>
    <row r="4324" spans="1:28" x14ac:dyDescent="0.25">
      <c r="A4324" t="s">
        <v>4327</v>
      </c>
      <c r="B4324">
        <v>0.99930955844802105</v>
      </c>
      <c r="C4324">
        <v>0.92461597564365705</v>
      </c>
      <c r="D4324">
        <v>0.92330830403799902</v>
      </c>
      <c r="E4324">
        <v>0.81984574667143295</v>
      </c>
      <c r="F4324">
        <v>0.73270327676291702</v>
      </c>
      <c r="G4324">
        <v>0.64620373456445401</v>
      </c>
      <c r="H4324">
        <v>0.533455232068901</v>
      </c>
      <c r="I4324">
        <v>0.59537931670566602</v>
      </c>
      <c r="J4324">
        <v>0.58922845236871502</v>
      </c>
      <c r="K4324">
        <v>0.48941871722806002</v>
      </c>
      <c r="L4324">
        <v>582.23556915569998</v>
      </c>
      <c r="M4324">
        <v>11.1388661416754</v>
      </c>
      <c r="O4324">
        <v>50.670779568078899</v>
      </c>
      <c r="P4324">
        <v>-2.7393071700154301E-2</v>
      </c>
      <c r="Q4324">
        <v>0.50171508468467696</v>
      </c>
      <c r="R4324">
        <v>0.96742019570965898</v>
      </c>
      <c r="S4324" t="s">
        <v>10940</v>
      </c>
      <c r="T4324" t="s">
        <v>13232</v>
      </c>
      <c r="U4324" t="s">
        <v>13232</v>
      </c>
      <c r="V4324" t="s">
        <v>13232</v>
      </c>
      <c r="W4324" t="s">
        <v>17493</v>
      </c>
      <c r="X4324">
        <v>4</v>
      </c>
      <c r="Y4324" t="s">
        <v>23911</v>
      </c>
      <c r="Z4324" t="s">
        <v>30455</v>
      </c>
      <c r="AA4324">
        <v>0.72189098733906865</v>
      </c>
      <c r="AB4324" t="str">
        <f>HYPERLINK("Melting_Curves/meltCurve_Q8N0T1_C8orf59.pdf", "Melting_Curves/meltCurve_Q8N0T1_C8orf59.pdf")</f>
        <v>Melting_Curves/meltCurve_Q8N0T1_C8orf59.pdf</v>
      </c>
    </row>
    <row r="4325" spans="1:28" x14ac:dyDescent="0.25">
      <c r="A4325" t="s">
        <v>4328</v>
      </c>
      <c r="B4325">
        <v>0.99930955844802105</v>
      </c>
      <c r="C4325">
        <v>0.79482640020818796</v>
      </c>
      <c r="D4325">
        <v>0.82616507869569999</v>
      </c>
      <c r="E4325">
        <v>0.82593007264908802</v>
      </c>
      <c r="F4325">
        <v>0.78954781269690399</v>
      </c>
      <c r="G4325">
        <v>0.499688372151181</v>
      </c>
      <c r="H4325">
        <v>0.158666844334553</v>
      </c>
      <c r="I4325">
        <v>0.10993434482619301</v>
      </c>
      <c r="J4325">
        <v>9.1731881737311394E-2</v>
      </c>
      <c r="K4325">
        <v>6.6126920542306997E-2</v>
      </c>
      <c r="L4325">
        <v>832.03812598851596</v>
      </c>
      <c r="M4325">
        <v>14.797911031430599</v>
      </c>
      <c r="N4325">
        <v>56.226724427473101</v>
      </c>
      <c r="O4325">
        <v>55.229865632385902</v>
      </c>
      <c r="P4325">
        <v>-6.6990420267661402E-2</v>
      </c>
      <c r="Q4325">
        <v>0</v>
      </c>
      <c r="R4325">
        <v>0.94025639251774495</v>
      </c>
      <c r="S4325" t="s">
        <v>10941</v>
      </c>
      <c r="T4325" t="s">
        <v>13232</v>
      </c>
      <c r="U4325" t="s">
        <v>13232</v>
      </c>
      <c r="V4325" t="s">
        <v>13232</v>
      </c>
      <c r="W4325" t="s">
        <v>17494</v>
      </c>
      <c r="X4325">
        <v>20</v>
      </c>
      <c r="Y4325" t="s">
        <v>23912</v>
      </c>
      <c r="Z4325" t="s">
        <v>30456</v>
      </c>
      <c r="AA4325">
        <v>0.55841756892244154</v>
      </c>
      <c r="AB4325" t="str">
        <f>HYPERLINK("Melting_Curves/meltCurve_Q8N0W3_FUK.pdf", "Melting_Curves/meltCurve_Q8N0W3_FUK.pdf")</f>
        <v>Melting_Curves/meltCurve_Q8N0W3_FUK.pdf</v>
      </c>
    </row>
    <row r="4326" spans="1:28" x14ac:dyDescent="0.25">
      <c r="A4326" t="s">
        <v>4329</v>
      </c>
      <c r="B4326">
        <v>0.99930955844802105</v>
      </c>
      <c r="C4326">
        <v>1.06483342715998</v>
      </c>
      <c r="D4326">
        <v>1.0299331157543301</v>
      </c>
      <c r="E4326">
        <v>0.94242465014551002</v>
      </c>
      <c r="F4326">
        <v>0.81005505402678701</v>
      </c>
      <c r="G4326">
        <v>0.72731027485321498</v>
      </c>
      <c r="H4326">
        <v>0.66584004553215903</v>
      </c>
      <c r="I4326">
        <v>0.66390963930949798</v>
      </c>
      <c r="J4326">
        <v>0.61507970942493395</v>
      </c>
      <c r="K4326">
        <v>0.49367874378265703</v>
      </c>
      <c r="L4326">
        <v>736.40805423706195</v>
      </c>
      <c r="M4326">
        <v>13.073101747255301</v>
      </c>
      <c r="O4326">
        <v>55.0608508814855</v>
      </c>
      <c r="P4326">
        <v>-2.79620127381211E-2</v>
      </c>
      <c r="Q4326">
        <v>0.52900352271969298</v>
      </c>
      <c r="R4326">
        <v>0.943638658051281</v>
      </c>
      <c r="S4326" t="s">
        <v>10942</v>
      </c>
      <c r="T4326" t="s">
        <v>13232</v>
      </c>
      <c r="U4326" t="s">
        <v>13232</v>
      </c>
      <c r="V4326" t="s">
        <v>13232</v>
      </c>
      <c r="W4326" t="s">
        <v>17495</v>
      </c>
      <c r="X4326">
        <v>9</v>
      </c>
      <c r="Y4326" t="s">
        <v>23913</v>
      </c>
      <c r="Z4326" t="s">
        <v>30457</v>
      </c>
      <c r="AA4326">
        <v>0.7941780488982052</v>
      </c>
      <c r="AB4326" t="str">
        <f>HYPERLINK("Melting_Curves/meltCurve_Q8N0X7_SPG20.pdf", "Melting_Curves/meltCurve_Q8N0X7_SPG20.pdf")</f>
        <v>Melting_Curves/meltCurve_Q8N0X7_SPG20.pdf</v>
      </c>
    </row>
    <row r="4327" spans="1:28" x14ac:dyDescent="0.25">
      <c r="A4327" t="s">
        <v>4330</v>
      </c>
      <c r="B4327">
        <v>0.99930955844802105</v>
      </c>
      <c r="C4327">
        <v>1.1068917319137801</v>
      </c>
      <c r="D4327">
        <v>1.1854866165479601</v>
      </c>
      <c r="E4327">
        <v>1.0112360218318699</v>
      </c>
      <c r="F4327">
        <v>0.79878734522536199</v>
      </c>
      <c r="G4327">
        <v>0.635254423314216</v>
      </c>
      <c r="H4327">
        <v>0.59777221430396998</v>
      </c>
      <c r="I4327">
        <v>0.57533336870939999</v>
      </c>
      <c r="J4327">
        <v>0.56466724489354303</v>
      </c>
      <c r="K4327">
        <v>0.45781925832201198</v>
      </c>
      <c r="L4327">
        <v>1722.95798084338</v>
      </c>
      <c r="M4327">
        <v>31.980383357724701</v>
      </c>
      <c r="O4327">
        <v>53.666118023193398</v>
      </c>
      <c r="P4327">
        <v>-6.7418020136778403E-2</v>
      </c>
      <c r="Q4327">
        <v>0.54746694792821404</v>
      </c>
      <c r="R4327">
        <v>0.90153989978265603</v>
      </c>
      <c r="S4327" t="s">
        <v>10943</v>
      </c>
      <c r="T4327" t="s">
        <v>13232</v>
      </c>
      <c r="U4327" t="s">
        <v>13232</v>
      </c>
      <c r="V4327" t="s">
        <v>13232</v>
      </c>
      <c r="W4327" t="s">
        <v>17496</v>
      </c>
      <c r="X4327">
        <v>4</v>
      </c>
      <c r="Y4327" t="s">
        <v>23914</v>
      </c>
      <c r="Z4327" t="s">
        <v>30458</v>
      </c>
      <c r="AA4327">
        <v>0.75939166966360638</v>
      </c>
      <c r="AB4327" t="str">
        <f>HYPERLINK("Melting_Curves/meltCurve_Q8N0Y2_2_ZNF444.pdf", "Melting_Curves/meltCurve_Q8N0Y2_2_ZNF444.pdf")</f>
        <v>Melting_Curves/meltCurve_Q8N0Y2_2_ZNF444.pdf</v>
      </c>
    </row>
    <row r="4328" spans="1:28" x14ac:dyDescent="0.25">
      <c r="A4328" t="s">
        <v>4331</v>
      </c>
      <c r="B4328">
        <v>0.99930955844802105</v>
      </c>
      <c r="C4328">
        <v>0.88723484280783405</v>
      </c>
      <c r="D4328">
        <v>0.68514570888679005</v>
      </c>
      <c r="E4328">
        <v>0.80680654771655003</v>
      </c>
      <c r="F4328">
        <v>0.74739951376860803</v>
      </c>
      <c r="G4328">
        <v>0.53451437976327898</v>
      </c>
      <c r="H4328">
        <v>6.0250628240276903E-2</v>
      </c>
      <c r="I4328">
        <v>3.68598923797408E-2</v>
      </c>
      <c r="J4328">
        <v>3.54430715452081E-2</v>
      </c>
      <c r="K4328">
        <v>2.9884102447057598E-2</v>
      </c>
      <c r="L4328">
        <v>891.47724587777498</v>
      </c>
      <c r="M4328">
        <v>16.042411713953101</v>
      </c>
      <c r="N4328">
        <v>55.570026661198</v>
      </c>
      <c r="O4328">
        <v>54.728056193592103</v>
      </c>
      <c r="P4328">
        <v>-7.3288081431286997E-2</v>
      </c>
      <c r="Q4328">
        <v>0</v>
      </c>
      <c r="R4328">
        <v>0.90414638749278897</v>
      </c>
      <c r="S4328" t="s">
        <v>10944</v>
      </c>
      <c r="T4328" t="s">
        <v>13232</v>
      </c>
      <c r="U4328" t="s">
        <v>13232</v>
      </c>
      <c r="V4328" t="s">
        <v>13232</v>
      </c>
      <c r="W4328" t="s">
        <v>17497</v>
      </c>
      <c r="X4328">
        <v>7</v>
      </c>
      <c r="Y4328" t="s">
        <v>23915</v>
      </c>
      <c r="Z4328" t="s">
        <v>30459</v>
      </c>
      <c r="AA4328">
        <v>0.53624154806405189</v>
      </c>
      <c r="AB4328" t="str">
        <f>HYPERLINK("Melting_Curves/meltCurve_Q8N0Y7_PGAM4.pdf", "Melting_Curves/meltCurve_Q8N0Y7_PGAM4.pdf")</f>
        <v>Melting_Curves/meltCurve_Q8N0Y7_PGAM4.pdf</v>
      </c>
    </row>
    <row r="4329" spans="1:28" x14ac:dyDescent="0.25">
      <c r="A4329" t="s">
        <v>4332</v>
      </c>
      <c r="B4329">
        <v>0.99930955844802105</v>
      </c>
      <c r="C4329">
        <v>1.07748814072208</v>
      </c>
      <c r="D4329">
        <v>1.1524345073334701</v>
      </c>
      <c r="E4329">
        <v>1.13491737316802</v>
      </c>
      <c r="F4329">
        <v>0.97775096358101199</v>
      </c>
      <c r="G4329">
        <v>0.87075660788950304</v>
      </c>
      <c r="H4329">
        <v>0.81259604303209698</v>
      </c>
      <c r="I4329">
        <v>0.87646043353015402</v>
      </c>
      <c r="J4329">
        <v>0.85095168361418805</v>
      </c>
      <c r="K4329">
        <v>0.672245894811209</v>
      </c>
      <c r="L4329">
        <v>712.84879901225997</v>
      </c>
      <c r="M4329">
        <v>10.4814130879423</v>
      </c>
      <c r="O4329">
        <v>65.674956512524204</v>
      </c>
      <c r="P4329">
        <v>-1.9420723536164801E-2</v>
      </c>
      <c r="Q4329">
        <v>0.51344818447261498</v>
      </c>
      <c r="R4329">
        <v>0.65799782608505997</v>
      </c>
      <c r="S4329" t="s">
        <v>10945</v>
      </c>
      <c r="T4329" t="s">
        <v>13232</v>
      </c>
      <c r="U4329" t="s">
        <v>13232</v>
      </c>
      <c r="V4329" t="s">
        <v>13232</v>
      </c>
      <c r="W4329" t="s">
        <v>17498</v>
      </c>
      <c r="X4329">
        <v>5</v>
      </c>
      <c r="Y4329" t="s">
        <v>23916</v>
      </c>
      <c r="Z4329" t="s">
        <v>30460</v>
      </c>
      <c r="AA4329">
        <v>0.92249218950585343</v>
      </c>
      <c r="AB4329" t="str">
        <f>HYPERLINK("Melting_Curves/meltCurve_Q8N0Z3_SPICE1.pdf", "Melting_Curves/meltCurve_Q8N0Z3_SPICE1.pdf")</f>
        <v>Melting_Curves/meltCurve_Q8N0Z3_SPICE1.pdf</v>
      </c>
    </row>
    <row r="4330" spans="1:28" x14ac:dyDescent="0.25">
      <c r="A4330" t="s">
        <v>4333</v>
      </c>
      <c r="B4330">
        <v>0.99930955844802105</v>
      </c>
      <c r="C4330">
        <v>1.0666991571702</v>
      </c>
      <c r="D4330">
        <v>1.0685065577180699</v>
      </c>
      <c r="E4330">
        <v>0.43866991174685499</v>
      </c>
      <c r="F4330">
        <v>0.29406115469368699</v>
      </c>
      <c r="G4330">
        <v>0.192319293593332</v>
      </c>
      <c r="H4330">
        <v>0.133537238202387</v>
      </c>
      <c r="I4330">
        <v>0.12662925779311399</v>
      </c>
      <c r="J4330">
        <v>0.12015398690661901</v>
      </c>
      <c r="K4330">
        <v>9.4005012810428695E-2</v>
      </c>
      <c r="L4330">
        <v>2229.6764860062699</v>
      </c>
      <c r="M4330">
        <v>45.085040240409299</v>
      </c>
      <c r="N4330">
        <v>49.847152863077397</v>
      </c>
      <c r="O4330">
        <v>49.357901115435901</v>
      </c>
      <c r="P4330">
        <v>-0.19425656637584801</v>
      </c>
      <c r="Q4330">
        <v>0.14933337232507601</v>
      </c>
      <c r="R4330">
        <v>0.97972885080067795</v>
      </c>
      <c r="S4330" t="s">
        <v>10946</v>
      </c>
      <c r="T4330" t="s">
        <v>13232</v>
      </c>
      <c r="U4330" t="s">
        <v>13232</v>
      </c>
      <c r="V4330" t="s">
        <v>13232</v>
      </c>
      <c r="W4330" t="s">
        <v>17499</v>
      </c>
      <c r="X4330">
        <v>8</v>
      </c>
      <c r="Y4330" t="s">
        <v>23917</v>
      </c>
      <c r="Z4330" t="s">
        <v>30461</v>
      </c>
      <c r="AA4330">
        <v>0.41971818661599419</v>
      </c>
      <c r="AB4330" t="str">
        <f>HYPERLINK("Melting_Curves/meltCurve_Q8N0Z6_TTC5.pdf", "Melting_Curves/meltCurve_Q8N0Z6_TTC5.pdf")</f>
        <v>Melting_Curves/meltCurve_Q8N0Z6_TTC5.pdf</v>
      </c>
    </row>
    <row r="4331" spans="1:28" x14ac:dyDescent="0.25">
      <c r="A4331" t="s">
        <v>4334</v>
      </c>
      <c r="B4331">
        <v>0.99930955844802105</v>
      </c>
      <c r="C4331">
        <v>1.0019182604243899</v>
      </c>
      <c r="D4331">
        <v>0.95296873682523597</v>
      </c>
      <c r="E4331">
        <v>0.84483885409169202</v>
      </c>
      <c r="F4331">
        <v>0.61630334755750604</v>
      </c>
      <c r="G4331">
        <v>0.47956560735166398</v>
      </c>
      <c r="H4331">
        <v>0.402229070501256</v>
      </c>
      <c r="I4331">
        <v>0.43995739664724298</v>
      </c>
      <c r="J4331">
        <v>0.424230782725116</v>
      </c>
      <c r="K4331">
        <v>0.33445906991435398</v>
      </c>
      <c r="L4331">
        <v>1160.54443472243</v>
      </c>
      <c r="M4331">
        <v>22.2980815790403</v>
      </c>
      <c r="N4331">
        <v>55.876396577107798</v>
      </c>
      <c r="O4331">
        <v>51.633642063950902</v>
      </c>
      <c r="P4331">
        <v>-6.5692482557475201E-2</v>
      </c>
      <c r="Q4331">
        <v>0.39154041945033602</v>
      </c>
      <c r="R4331">
        <v>0.98920220466336095</v>
      </c>
      <c r="S4331" t="s">
        <v>10947</v>
      </c>
      <c r="T4331" t="s">
        <v>13232</v>
      </c>
      <c r="U4331" t="s">
        <v>13232</v>
      </c>
      <c r="V4331" t="s">
        <v>13232</v>
      </c>
      <c r="W4331" t="s">
        <v>17500</v>
      </c>
      <c r="X4331">
        <v>15</v>
      </c>
      <c r="Y4331" t="s">
        <v>23918</v>
      </c>
      <c r="Z4331" t="s">
        <v>30462</v>
      </c>
      <c r="AA4331">
        <v>0.64277556135592617</v>
      </c>
      <c r="AB4331" t="str">
        <f>HYPERLINK("Melting_Curves/meltCurve_Q8N108_17_MIER1.pdf", "Melting_Curves/meltCurve_Q8N108_17_MIER1.pdf")</f>
        <v>Melting_Curves/meltCurve_Q8N108_17_MIER1.pdf</v>
      </c>
    </row>
    <row r="4332" spans="1:28" x14ac:dyDescent="0.25">
      <c r="A4332" t="s">
        <v>4335</v>
      </c>
      <c r="B4332">
        <v>0.99930955844802105</v>
      </c>
      <c r="C4332">
        <v>0.68233482572028703</v>
      </c>
      <c r="D4332">
        <v>0.79005173550719998</v>
      </c>
      <c r="E4332">
        <v>0.67928237859769602</v>
      </c>
      <c r="F4332">
        <v>0.193289679519069</v>
      </c>
      <c r="G4332">
        <v>0.122858984272081</v>
      </c>
      <c r="H4332">
        <v>6.4279466250657696E-2</v>
      </c>
      <c r="I4332">
        <v>5.1844292789753797E-2</v>
      </c>
      <c r="J4332">
        <v>4.7665497244709497E-2</v>
      </c>
      <c r="K4332">
        <v>3.3543826653723303E-2</v>
      </c>
      <c r="L4332">
        <v>653.18009980737395</v>
      </c>
      <c r="M4332">
        <v>13.0822840445902</v>
      </c>
      <c r="N4332">
        <v>49.928597671142001</v>
      </c>
      <c r="O4332">
        <v>48.805183139641699</v>
      </c>
      <c r="P4332">
        <v>-6.7024331337812507E-2</v>
      </c>
      <c r="Q4332">
        <v>0</v>
      </c>
      <c r="R4332">
        <v>0.92118240078556002</v>
      </c>
      <c r="S4332" t="s">
        <v>10948</v>
      </c>
      <c r="T4332" t="s">
        <v>13232</v>
      </c>
      <c r="U4332" t="s">
        <v>13232</v>
      </c>
      <c r="V4332" t="s">
        <v>13232</v>
      </c>
      <c r="W4332" t="s">
        <v>17501</v>
      </c>
      <c r="X4332">
        <v>19</v>
      </c>
      <c r="Y4332" t="s">
        <v>23919</v>
      </c>
      <c r="Z4332" t="s">
        <v>30463</v>
      </c>
      <c r="AA4332">
        <v>0.36119369594371969</v>
      </c>
      <c r="AB4332" t="str">
        <f>HYPERLINK("Melting_Curves/meltCurve_Q8N122_RPTOR.pdf", "Melting_Curves/meltCurve_Q8N122_RPTOR.pdf")</f>
        <v>Melting_Curves/meltCurve_Q8N122_RPTOR.pdf</v>
      </c>
    </row>
    <row r="4333" spans="1:28" x14ac:dyDescent="0.25">
      <c r="A4333" t="s">
        <v>4336</v>
      </c>
      <c r="B4333">
        <v>0.99930955844802105</v>
      </c>
      <c r="C4333">
        <v>0.89147762276904396</v>
      </c>
      <c r="D4333">
        <v>0.90173216246213495</v>
      </c>
      <c r="E4333">
        <v>0.858896630330924</v>
      </c>
      <c r="F4333">
        <v>0.73458042235756704</v>
      </c>
      <c r="G4333">
        <v>0.65577411632845395</v>
      </c>
      <c r="H4333">
        <v>0.48435362720118103</v>
      </c>
      <c r="I4333">
        <v>0.44581633651854102</v>
      </c>
      <c r="J4333">
        <v>0.444277094608724</v>
      </c>
      <c r="K4333">
        <v>0.33891595934194202</v>
      </c>
      <c r="L4333">
        <v>426.902446389403</v>
      </c>
      <c r="M4333">
        <v>7.1880291645066903</v>
      </c>
      <c r="N4333">
        <v>62.126070079872299</v>
      </c>
      <c r="O4333">
        <v>55.309967916460401</v>
      </c>
      <c r="P4333">
        <v>-2.8129946545537399E-2</v>
      </c>
      <c r="Q4333">
        <v>0.13564406831235801</v>
      </c>
      <c r="R4333">
        <v>0.97986764484128097</v>
      </c>
      <c r="S4333" t="s">
        <v>10949</v>
      </c>
      <c r="T4333" t="s">
        <v>13232</v>
      </c>
      <c r="U4333" t="s">
        <v>13232</v>
      </c>
      <c r="V4333" t="s">
        <v>13232</v>
      </c>
      <c r="W4333" t="s">
        <v>17502</v>
      </c>
      <c r="X4333">
        <v>3</v>
      </c>
      <c r="Y4333" t="s">
        <v>23920</v>
      </c>
      <c r="Z4333" t="s">
        <v>30464</v>
      </c>
      <c r="AA4333">
        <v>0.68143584190456863</v>
      </c>
      <c r="AB4333" t="str">
        <f>HYPERLINK("Melting_Curves/meltCurve_Q8N129_CNPY4.pdf", "Melting_Curves/meltCurve_Q8N129_CNPY4.pdf")</f>
        <v>Melting_Curves/meltCurve_Q8N129_CNPY4.pdf</v>
      </c>
    </row>
    <row r="4334" spans="1:28" x14ac:dyDescent="0.25">
      <c r="A4334" t="s">
        <v>4337</v>
      </c>
      <c r="B4334">
        <v>0.99930955844802105</v>
      </c>
      <c r="C4334">
        <v>1.1680896669810601</v>
      </c>
      <c r="D4334">
        <v>1.01991334830613</v>
      </c>
      <c r="E4334">
        <v>0.95813211318902802</v>
      </c>
      <c r="F4334">
        <v>0.69009626610374497</v>
      </c>
      <c r="G4334">
        <v>0.50972075563300501</v>
      </c>
      <c r="H4334">
        <v>0.458646337373879</v>
      </c>
      <c r="I4334">
        <v>0.49368389294800002</v>
      </c>
      <c r="J4334">
        <v>0.44996066952547498</v>
      </c>
      <c r="K4334">
        <v>0.39398305944457201</v>
      </c>
      <c r="L4334">
        <v>2052.208051527</v>
      </c>
      <c r="M4334">
        <v>38.901930961675603</v>
      </c>
      <c r="N4334">
        <v>56.183977725049502</v>
      </c>
      <c r="O4334">
        <v>52.614550441142001</v>
      </c>
      <c r="P4334">
        <v>-0.101015599006472</v>
      </c>
      <c r="Q4334">
        <v>0.453510112830108</v>
      </c>
      <c r="R4334">
        <v>0.95443798397248603</v>
      </c>
      <c r="S4334" t="s">
        <v>10950</v>
      </c>
      <c r="T4334" t="s">
        <v>13232</v>
      </c>
      <c r="U4334" t="s">
        <v>13232</v>
      </c>
      <c r="V4334" t="s">
        <v>13232</v>
      </c>
      <c r="W4334" t="s">
        <v>17503</v>
      </c>
      <c r="X4334">
        <v>2</v>
      </c>
      <c r="Y4334" t="s">
        <v>23921</v>
      </c>
      <c r="Z4334" t="s">
        <v>30465</v>
      </c>
      <c r="AA4334">
        <v>0.68793510961062931</v>
      </c>
      <c r="AB4334" t="str">
        <f>HYPERLINK("Melting_Curves/meltCurve_Q8N137_5_CNTROB.pdf", "Melting_Curves/meltCurve_Q8N137_5_CNTROB.pdf")</f>
        <v>Melting_Curves/meltCurve_Q8N137_5_CNTROB.pdf</v>
      </c>
    </row>
    <row r="4335" spans="1:28" x14ac:dyDescent="0.25">
      <c r="A4335" t="s">
        <v>4338</v>
      </c>
      <c r="B4335">
        <v>0.99930955844802105</v>
      </c>
      <c r="C4335">
        <v>0.92540680107027196</v>
      </c>
      <c r="D4335">
        <v>0.92512904559078701</v>
      </c>
      <c r="E4335">
        <v>0.88446050441103297</v>
      </c>
      <c r="F4335">
        <v>0.54694087989364704</v>
      </c>
      <c r="G4335">
        <v>0.25468275367404403</v>
      </c>
      <c r="H4335">
        <v>0.15603435795135201</v>
      </c>
      <c r="I4335">
        <v>0.122070010808197</v>
      </c>
      <c r="J4335">
        <v>8.9488359299004394E-2</v>
      </c>
      <c r="K4335">
        <v>7.7304945336641603E-2</v>
      </c>
      <c r="L4335">
        <v>1250.94703677862</v>
      </c>
      <c r="M4335">
        <v>23.4840412834711</v>
      </c>
      <c r="N4335">
        <v>53.733051065270601</v>
      </c>
      <c r="O4335">
        <v>52.886230232506897</v>
      </c>
      <c r="P4335">
        <v>-0.10080413582752901</v>
      </c>
      <c r="Q4335">
        <v>9.1969273518668598E-2</v>
      </c>
      <c r="R4335">
        <v>0.99183976962943399</v>
      </c>
      <c r="S4335" t="s">
        <v>10951</v>
      </c>
      <c r="T4335" t="s">
        <v>13232</v>
      </c>
      <c r="U4335" t="s">
        <v>13232</v>
      </c>
      <c r="V4335" t="s">
        <v>13232</v>
      </c>
      <c r="W4335" t="s">
        <v>17504</v>
      </c>
      <c r="X4335">
        <v>14</v>
      </c>
      <c r="Y4335" t="s">
        <v>23922</v>
      </c>
      <c r="Z4335" t="s">
        <v>30466</v>
      </c>
      <c r="AA4335">
        <v>0.50295820272596581</v>
      </c>
      <c r="AB4335" t="str">
        <f>HYPERLINK("Melting_Curves/meltCurve_Q8N142_ADSSL1.pdf", "Melting_Curves/meltCurve_Q8N142_ADSSL1.pdf")</f>
        <v>Melting_Curves/meltCurve_Q8N142_ADSSL1.pdf</v>
      </c>
    </row>
    <row r="4336" spans="1:28" x14ac:dyDescent="0.25">
      <c r="A4336" t="s">
        <v>4339</v>
      </c>
      <c r="B4336">
        <v>0.99930955844802105</v>
      </c>
      <c r="C4336">
        <v>0.93098014878106305</v>
      </c>
      <c r="D4336">
        <v>0.88818448043173004</v>
      </c>
      <c r="E4336">
        <v>0.84011039938850196</v>
      </c>
      <c r="F4336">
        <v>0.66316288020084302</v>
      </c>
      <c r="G4336">
        <v>0.3452262183998</v>
      </c>
      <c r="H4336">
        <v>0.14190612937164701</v>
      </c>
      <c r="I4336">
        <v>9.7051327468395607E-2</v>
      </c>
      <c r="J4336">
        <v>7.5373305887333E-2</v>
      </c>
      <c r="K4336">
        <v>5.8056168488238101E-2</v>
      </c>
      <c r="L4336">
        <v>897.82590803023402</v>
      </c>
      <c r="M4336">
        <v>16.412855401581801</v>
      </c>
      <c r="N4336">
        <v>54.826398918685001</v>
      </c>
      <c r="O4336">
        <v>53.909865897004501</v>
      </c>
      <c r="P4336">
        <v>-7.4733229773151499E-2</v>
      </c>
      <c r="Q4336">
        <v>1.8190687994946501E-2</v>
      </c>
      <c r="R4336">
        <v>0.99267247496156996</v>
      </c>
      <c r="S4336" t="s">
        <v>10952</v>
      </c>
      <c r="T4336" t="s">
        <v>13232</v>
      </c>
      <c r="U4336" t="s">
        <v>13232</v>
      </c>
      <c r="V4336" t="s">
        <v>13232</v>
      </c>
      <c r="W4336" t="s">
        <v>17505</v>
      </c>
      <c r="X4336">
        <v>40</v>
      </c>
      <c r="Y4336" t="s">
        <v>23923</v>
      </c>
      <c r="Z4336" t="s">
        <v>30467</v>
      </c>
      <c r="AA4336">
        <v>0.51672316640004656</v>
      </c>
      <c r="AB4336" t="str">
        <f>HYPERLINK("Melting_Curves/meltCurve_Q8N163_KIAA1967.pdf", "Melting_Curves/meltCurve_Q8N163_KIAA1967.pdf")</f>
        <v>Melting_Curves/meltCurve_Q8N163_KIAA1967.pdf</v>
      </c>
    </row>
    <row r="4337" spans="1:28" x14ac:dyDescent="0.25">
      <c r="A4337" t="s">
        <v>4340</v>
      </c>
      <c r="B4337">
        <v>0.99930955844802105</v>
      </c>
      <c r="C4337">
        <v>0.97089812137723597</v>
      </c>
      <c r="D4337">
        <v>0.946666853795604</v>
      </c>
      <c r="E4337">
        <v>0.874312394421209</v>
      </c>
      <c r="F4337">
        <v>0.75567018084500204</v>
      </c>
      <c r="G4337">
        <v>0.62169447578770898</v>
      </c>
      <c r="H4337">
        <v>0.51262299903634601</v>
      </c>
      <c r="I4337">
        <v>0.58601701499268999</v>
      </c>
      <c r="J4337">
        <v>0.54070321499430496</v>
      </c>
      <c r="K4337">
        <v>0.48284857414897098</v>
      </c>
      <c r="L4337">
        <v>855.33945606224802</v>
      </c>
      <c r="M4337">
        <v>16.143373432290499</v>
      </c>
      <c r="O4337">
        <v>52.190916810157198</v>
      </c>
      <c r="P4337">
        <v>-3.8333869134417997E-2</v>
      </c>
      <c r="Q4337">
        <v>0.50430979401377296</v>
      </c>
      <c r="R4337">
        <v>0.98181846007236395</v>
      </c>
      <c r="S4337" t="s">
        <v>10953</v>
      </c>
      <c r="T4337" t="s">
        <v>13232</v>
      </c>
      <c r="U4337" t="s">
        <v>13232</v>
      </c>
      <c r="V4337" t="s">
        <v>13232</v>
      </c>
      <c r="W4337" t="s">
        <v>17506</v>
      </c>
      <c r="X4337">
        <v>7</v>
      </c>
      <c r="Y4337" t="s">
        <v>23924</v>
      </c>
      <c r="Z4337" t="s">
        <v>30468</v>
      </c>
      <c r="AA4337">
        <v>0.72844727566339051</v>
      </c>
      <c r="AB4337" t="str">
        <f>HYPERLINK("Melting_Curves/meltCurve_Q8N196_SIX5.pdf", "Melting_Curves/meltCurve_Q8N196_SIX5.pdf")</f>
        <v>Melting_Curves/meltCurve_Q8N196_SIX5.pdf</v>
      </c>
    </row>
    <row r="4338" spans="1:28" x14ac:dyDescent="0.25">
      <c r="A4338" t="s">
        <v>4341</v>
      </c>
      <c r="B4338">
        <v>0.99930955844802105</v>
      </c>
      <c r="C4338">
        <v>1.10438067208393</v>
      </c>
      <c r="D4338">
        <v>1.1123136962032401</v>
      </c>
      <c r="E4338">
        <v>0.91776744038694202</v>
      </c>
      <c r="F4338">
        <v>0.47404885474387298</v>
      </c>
      <c r="G4338">
        <v>0.18611319644737601</v>
      </c>
      <c r="H4338">
        <v>9.3881817595576594E-2</v>
      </c>
      <c r="I4338">
        <v>7.4872097210703301E-2</v>
      </c>
      <c r="J4338">
        <v>6.3642362059548499E-2</v>
      </c>
      <c r="K4338">
        <v>4.7846793544683297E-2</v>
      </c>
      <c r="L4338">
        <v>1977.3561192966299</v>
      </c>
      <c r="M4338">
        <v>37.492111132896298</v>
      </c>
      <c r="N4338">
        <v>52.982598776656303</v>
      </c>
      <c r="O4338">
        <v>52.591219084288497</v>
      </c>
      <c r="P4338">
        <v>-0.164199230448793</v>
      </c>
      <c r="Q4338">
        <v>7.8695307498995906E-2</v>
      </c>
      <c r="R4338">
        <v>0.98515203458302303</v>
      </c>
      <c r="S4338" t="s">
        <v>10954</v>
      </c>
      <c r="T4338" t="s">
        <v>13232</v>
      </c>
      <c r="U4338" t="s">
        <v>13232</v>
      </c>
      <c r="V4338" t="s">
        <v>13232</v>
      </c>
      <c r="W4338" t="s">
        <v>17507</v>
      </c>
      <c r="X4338">
        <v>6</v>
      </c>
      <c r="Y4338" t="s">
        <v>23925</v>
      </c>
      <c r="Z4338" t="s">
        <v>30469</v>
      </c>
      <c r="AA4338">
        <v>0.47378196078079232</v>
      </c>
      <c r="AB4338" t="str">
        <f>HYPERLINK("Melting_Curves/meltCurve_Q8N1A6_C4orf33.pdf", "Melting_Curves/meltCurve_Q8N1A6_C4orf33.pdf")</f>
        <v>Melting_Curves/meltCurve_Q8N1A6_C4orf33.pdf</v>
      </c>
    </row>
    <row r="4339" spans="1:28" x14ac:dyDescent="0.25">
      <c r="A4339" t="s">
        <v>4342</v>
      </c>
      <c r="B4339">
        <v>0.99930955844802105</v>
      </c>
      <c r="C4339">
        <v>0.78577712089596496</v>
      </c>
      <c r="D4339">
        <v>0.78629368792571896</v>
      </c>
      <c r="E4339">
        <v>0.51706513742628601</v>
      </c>
      <c r="F4339">
        <v>0.24570281300694599</v>
      </c>
      <c r="G4339">
        <v>0.17529184604026199</v>
      </c>
      <c r="H4339">
        <v>9.7503451417196199E-2</v>
      </c>
      <c r="I4339">
        <v>7.9799312874914E-2</v>
      </c>
      <c r="J4339">
        <v>7.2066384335061198E-2</v>
      </c>
      <c r="K4339">
        <v>5.3917040510075703E-2</v>
      </c>
      <c r="L4339">
        <v>670.54995892987597</v>
      </c>
      <c r="M4339">
        <v>13.591974376294599</v>
      </c>
      <c r="N4339">
        <v>49.600284366670799</v>
      </c>
      <c r="O4339">
        <v>48.303091861028797</v>
      </c>
      <c r="P4339">
        <v>-6.7884502395614693E-2</v>
      </c>
      <c r="Q4339">
        <v>3.5152859857591999E-2</v>
      </c>
      <c r="R4339">
        <v>0.98268447160808403</v>
      </c>
      <c r="S4339" t="s">
        <v>10955</v>
      </c>
      <c r="T4339" t="s">
        <v>13232</v>
      </c>
      <c r="U4339" t="s">
        <v>13232</v>
      </c>
      <c r="V4339" t="s">
        <v>13232</v>
      </c>
      <c r="W4339" t="s">
        <v>17508</v>
      </c>
      <c r="X4339">
        <v>17</v>
      </c>
      <c r="Y4339" t="s">
        <v>23926</v>
      </c>
      <c r="Z4339" t="s">
        <v>30470</v>
      </c>
      <c r="AA4339">
        <v>0.36346380488933439</v>
      </c>
      <c r="AB4339" t="str">
        <f>HYPERLINK("Melting_Curves/meltCurve_Q8N1B4_VPS52.pdf", "Melting_Curves/meltCurve_Q8N1B4_VPS52.pdf")</f>
        <v>Melting_Curves/meltCurve_Q8N1B4_VPS52.pdf</v>
      </c>
    </row>
    <row r="4340" spans="1:28" x14ac:dyDescent="0.25">
      <c r="A4340" t="s">
        <v>4343</v>
      </c>
      <c r="B4340">
        <v>0.99930955844802105</v>
      </c>
      <c r="C4340">
        <v>0.82123980887693904</v>
      </c>
      <c r="D4340">
        <v>0.69209851627208396</v>
      </c>
      <c r="E4340">
        <v>0.41199122964113299</v>
      </c>
      <c r="F4340">
        <v>0.196516990431368</v>
      </c>
      <c r="G4340">
        <v>0.139728504308714</v>
      </c>
      <c r="H4340">
        <v>8.9873305858793204E-2</v>
      </c>
      <c r="I4340">
        <v>8.1779771093327E-2</v>
      </c>
      <c r="J4340">
        <v>7.2947234778848194E-2</v>
      </c>
      <c r="K4340">
        <v>5.62533365922437E-2</v>
      </c>
      <c r="L4340">
        <v>735.59341176206794</v>
      </c>
      <c r="M4340">
        <v>15.3286111216762</v>
      </c>
      <c r="N4340">
        <v>48.355191637732197</v>
      </c>
      <c r="O4340">
        <v>47.193769093027903</v>
      </c>
      <c r="P4340">
        <v>-7.6749193815129998E-2</v>
      </c>
      <c r="Q4340">
        <v>5.4905180475453397E-2</v>
      </c>
      <c r="R4340">
        <v>0.99436077783405896</v>
      </c>
      <c r="S4340" t="s">
        <v>10956</v>
      </c>
      <c r="T4340" t="s">
        <v>13232</v>
      </c>
      <c r="U4340" t="s">
        <v>13232</v>
      </c>
      <c r="V4340" t="s">
        <v>13232</v>
      </c>
      <c r="W4340" t="s">
        <v>17509</v>
      </c>
      <c r="X4340">
        <v>30</v>
      </c>
      <c r="Y4340" t="s">
        <v>23927</v>
      </c>
      <c r="Z4340" t="s">
        <v>30471</v>
      </c>
      <c r="AA4340">
        <v>0.32986835980244039</v>
      </c>
      <c r="AB4340" t="str">
        <f>HYPERLINK("Melting_Curves/meltCurve_Q8N1F7_NUP93.pdf", "Melting_Curves/meltCurve_Q8N1F7_NUP93.pdf")</f>
        <v>Melting_Curves/meltCurve_Q8N1F7_NUP93.pdf</v>
      </c>
    </row>
    <row r="4341" spans="1:28" x14ac:dyDescent="0.25">
      <c r="A4341" t="s">
        <v>4344</v>
      </c>
      <c r="B4341">
        <v>0.99930955844802105</v>
      </c>
      <c r="C4341">
        <v>1.1609297784986501</v>
      </c>
      <c r="D4341">
        <v>1.17485690766135</v>
      </c>
      <c r="E4341">
        <v>1.1476564604287001</v>
      </c>
      <c r="F4341">
        <v>1.0790757334413099</v>
      </c>
      <c r="G4341">
        <v>0.90207292921499005</v>
      </c>
      <c r="H4341">
        <v>0.91534258114007905</v>
      </c>
      <c r="I4341">
        <v>1.0037531965861</v>
      </c>
      <c r="J4341">
        <v>1.02665250230773</v>
      </c>
      <c r="K4341">
        <v>0.82156407977233303</v>
      </c>
      <c r="L4341">
        <v>15000</v>
      </c>
      <c r="M4341">
        <v>212.75871554772399</v>
      </c>
      <c r="Q4341">
        <v>0</v>
      </c>
      <c r="R4341">
        <v>0.206162333002261</v>
      </c>
      <c r="S4341" t="s">
        <v>10957</v>
      </c>
      <c r="T4341" t="s">
        <v>13232</v>
      </c>
      <c r="U4341" t="s">
        <v>13232</v>
      </c>
      <c r="V4341" t="s">
        <v>13232</v>
      </c>
      <c r="W4341" t="s">
        <v>17510</v>
      </c>
      <c r="X4341">
        <v>10</v>
      </c>
      <c r="Y4341" t="s">
        <v>23928</v>
      </c>
      <c r="Z4341" t="s">
        <v>30472</v>
      </c>
      <c r="AA4341">
        <v>0.99788055708544587</v>
      </c>
      <c r="AB4341" t="str">
        <f>HYPERLINK("Melting_Curves/meltCurve_Q8N1G0_ZNF687.pdf", "Melting_Curves/meltCurve_Q8N1G0_ZNF687.pdf")</f>
        <v>Melting_Curves/meltCurve_Q8N1G0_ZNF687.pdf</v>
      </c>
    </row>
    <row r="4342" spans="1:28" x14ac:dyDescent="0.25">
      <c r="A4342" t="s">
        <v>4345</v>
      </c>
      <c r="B4342">
        <v>0.99930955844802105</v>
      </c>
      <c r="C4342">
        <v>1.0030605584582699</v>
      </c>
      <c r="D4342">
        <v>0.957803549306672</v>
      </c>
      <c r="E4342">
        <v>0.75910219978294402</v>
      </c>
      <c r="F4342">
        <v>0.55330051466962205</v>
      </c>
      <c r="G4342">
        <v>0.46959805416679401</v>
      </c>
      <c r="H4342">
        <v>0.42382519898140403</v>
      </c>
      <c r="I4342">
        <v>0.44680092354369699</v>
      </c>
      <c r="J4342">
        <v>0.43539166797462497</v>
      </c>
      <c r="K4342">
        <v>0.33716951634251902</v>
      </c>
      <c r="L4342">
        <v>1197.9763075215899</v>
      </c>
      <c r="M4342">
        <v>23.604180428773699</v>
      </c>
      <c r="N4342">
        <v>54.688920551728003</v>
      </c>
      <c r="O4342">
        <v>50.392649040941798</v>
      </c>
      <c r="P4342">
        <v>-6.9259855099557802E-2</v>
      </c>
      <c r="Q4342">
        <v>0.408557537756846</v>
      </c>
      <c r="R4342">
        <v>0.98770637000000505</v>
      </c>
      <c r="S4342" t="s">
        <v>10958</v>
      </c>
      <c r="T4342" t="s">
        <v>13232</v>
      </c>
      <c r="U4342" t="s">
        <v>13232</v>
      </c>
      <c r="V4342" t="s">
        <v>13232</v>
      </c>
      <c r="W4342" t="s">
        <v>17511</v>
      </c>
      <c r="X4342">
        <v>15</v>
      </c>
      <c r="Y4342" t="s">
        <v>23929</v>
      </c>
      <c r="Z4342" t="s">
        <v>30473</v>
      </c>
      <c r="AA4342">
        <v>0.62651191669050899</v>
      </c>
      <c r="AB4342" t="str">
        <f>HYPERLINK("Melting_Curves/meltCurve_Q8N1G1_REXO1.pdf", "Melting_Curves/meltCurve_Q8N1G1_REXO1.pdf")</f>
        <v>Melting_Curves/meltCurve_Q8N1G1_REXO1.pdf</v>
      </c>
    </row>
    <row r="4343" spans="1:28" x14ac:dyDescent="0.25">
      <c r="A4343" t="s">
        <v>4346</v>
      </c>
      <c r="B4343">
        <v>0.99930955844802105</v>
      </c>
      <c r="C4343">
        <v>0.99163289957349299</v>
      </c>
      <c r="D4343">
        <v>0.92278658822593196</v>
      </c>
      <c r="E4343">
        <v>0.44657832348210602</v>
      </c>
      <c r="F4343">
        <v>0.26660791401566902</v>
      </c>
      <c r="G4343">
        <v>0.17944148967281501</v>
      </c>
      <c r="H4343">
        <v>0.14907471532168401</v>
      </c>
      <c r="I4343">
        <v>0.14330193854890699</v>
      </c>
      <c r="J4343">
        <v>0.13542962884135901</v>
      </c>
      <c r="K4343">
        <v>0.10286543636962101</v>
      </c>
      <c r="L4343">
        <v>1427.68132535928</v>
      </c>
      <c r="M4343">
        <v>29.020936401034302</v>
      </c>
      <c r="N4343">
        <v>49.761772512587903</v>
      </c>
      <c r="O4343">
        <v>48.963051286416402</v>
      </c>
      <c r="P4343">
        <v>-0.12732095715642999</v>
      </c>
      <c r="Q4343">
        <v>0.140761346761102</v>
      </c>
      <c r="R4343">
        <v>0.99684207668637403</v>
      </c>
      <c r="S4343" t="s">
        <v>10959</v>
      </c>
      <c r="T4343" t="s">
        <v>13232</v>
      </c>
      <c r="U4343" t="s">
        <v>13232</v>
      </c>
      <c r="V4343" t="s">
        <v>13232</v>
      </c>
      <c r="W4343" t="s">
        <v>17512</v>
      </c>
      <c r="X4343">
        <v>35</v>
      </c>
      <c r="Y4343" t="s">
        <v>23930</v>
      </c>
      <c r="Z4343" t="s">
        <v>30474</v>
      </c>
      <c r="AA4343">
        <v>0.40973101197480388</v>
      </c>
      <c r="AB4343" t="str">
        <f>HYPERLINK("Melting_Curves/meltCurve_Q8N1G2_FTSJD2.pdf", "Melting_Curves/meltCurve_Q8N1G2_FTSJD2.pdf")</f>
        <v>Melting_Curves/meltCurve_Q8N1G2_FTSJD2.pdf</v>
      </c>
    </row>
    <row r="4344" spans="1:28" x14ac:dyDescent="0.25">
      <c r="A4344" t="s">
        <v>4347</v>
      </c>
      <c r="B4344">
        <v>0.99930955844802105</v>
      </c>
      <c r="C4344">
        <v>1.0922120313507899</v>
      </c>
      <c r="D4344">
        <v>1.0384324534717599</v>
      </c>
      <c r="E4344">
        <v>0.92547552611765405</v>
      </c>
      <c r="F4344">
        <v>0.59319131827673399</v>
      </c>
      <c r="G4344">
        <v>0.202832152906427</v>
      </c>
      <c r="H4344">
        <v>0.109058233287482</v>
      </c>
      <c r="I4344">
        <v>9.0816721166438893E-2</v>
      </c>
      <c r="J4344">
        <v>8.9141618075869705E-2</v>
      </c>
      <c r="K4344">
        <v>6.8725077271426099E-2</v>
      </c>
      <c r="L4344">
        <v>1750.90577055574</v>
      </c>
      <c r="M4344">
        <v>32.766610280012898</v>
      </c>
      <c r="N4344">
        <v>53.745447542388703</v>
      </c>
      <c r="O4344">
        <v>53.237817149329302</v>
      </c>
      <c r="P4344">
        <v>-0.14062939152492199</v>
      </c>
      <c r="Q4344">
        <v>8.6049192598435603E-2</v>
      </c>
      <c r="R4344">
        <v>0.99390153049774799</v>
      </c>
      <c r="S4344" t="s">
        <v>10960</v>
      </c>
      <c r="T4344" t="s">
        <v>13232</v>
      </c>
      <c r="U4344" t="s">
        <v>13232</v>
      </c>
      <c r="V4344" t="s">
        <v>13232</v>
      </c>
      <c r="W4344" t="s">
        <v>17513</v>
      </c>
      <c r="X4344">
        <v>27</v>
      </c>
      <c r="Y4344" t="s">
        <v>23931</v>
      </c>
      <c r="Z4344" t="s">
        <v>30475</v>
      </c>
      <c r="AA4344">
        <v>0.50038217303294164</v>
      </c>
      <c r="AB4344" t="str">
        <f>HYPERLINK("Melting_Curves/meltCurve_Q8N1G4_LRRC47.pdf", "Melting_Curves/meltCurve_Q8N1G4_LRRC47.pdf")</f>
        <v>Melting_Curves/meltCurve_Q8N1G4_LRRC47.pdf</v>
      </c>
    </row>
    <row r="4345" spans="1:28" x14ac:dyDescent="0.25">
      <c r="A4345" t="s">
        <v>4348</v>
      </c>
      <c r="B4345">
        <v>0.99930955844802105</v>
      </c>
      <c r="C4345">
        <v>0.85854568018144395</v>
      </c>
      <c r="D4345">
        <v>0.52338726657885004</v>
      </c>
      <c r="E4345">
        <v>0.33132225036399798</v>
      </c>
      <c r="F4345">
        <v>0.17469413768007999</v>
      </c>
      <c r="G4345">
        <v>0.11489776241779601</v>
      </c>
      <c r="H4345">
        <v>5.82071330022313E-2</v>
      </c>
      <c r="I4345">
        <v>4.2772499926063703E-2</v>
      </c>
      <c r="J4345">
        <v>3.6893241970364199E-2</v>
      </c>
      <c r="K4345">
        <v>3.4732426951656202E-2</v>
      </c>
      <c r="L4345">
        <v>762.30195187315098</v>
      </c>
      <c r="M4345">
        <v>16.269720140866699</v>
      </c>
      <c r="N4345">
        <v>47.1015134259288</v>
      </c>
      <c r="O4345">
        <v>46.163343648680097</v>
      </c>
      <c r="P4345">
        <v>-8.4506179673575404E-2</v>
      </c>
      <c r="Q4345">
        <v>4.0966709798514703E-2</v>
      </c>
      <c r="R4345">
        <v>0.99033378038273601</v>
      </c>
      <c r="S4345" t="s">
        <v>10961</v>
      </c>
      <c r="T4345" t="s">
        <v>13232</v>
      </c>
      <c r="U4345" t="s">
        <v>13232</v>
      </c>
      <c r="V4345" t="s">
        <v>13232</v>
      </c>
      <c r="W4345" t="s">
        <v>17514</v>
      </c>
      <c r="X4345">
        <v>3</v>
      </c>
      <c r="Y4345" t="s">
        <v>23932</v>
      </c>
      <c r="Z4345" t="s">
        <v>30476</v>
      </c>
      <c r="AA4345">
        <v>0.28225032854914112</v>
      </c>
      <c r="AB4345" t="str">
        <f>HYPERLINK("Melting_Curves/meltCurve_Q8N1I1_FAM115C.pdf", "Melting_Curves/meltCurve_Q8N1I1_FAM115C.pdf")</f>
        <v>Melting_Curves/meltCurve_Q8N1I1_FAM115C.pdf</v>
      </c>
    </row>
    <row r="4346" spans="1:28" x14ac:dyDescent="0.25">
      <c r="A4346" t="s">
        <v>4349</v>
      </c>
      <c r="B4346">
        <v>0.99930955844802105</v>
      </c>
      <c r="C4346">
        <v>0.89689140917291998</v>
      </c>
      <c r="D4346">
        <v>0.77589852730075504</v>
      </c>
      <c r="E4346">
        <v>0.84299778020874006</v>
      </c>
      <c r="F4346">
        <v>0.89756833222773802</v>
      </c>
      <c r="G4346">
        <v>0.69472105012735297</v>
      </c>
      <c r="H4346">
        <v>0.93955924487002496</v>
      </c>
      <c r="I4346">
        <v>1.1099132803909899</v>
      </c>
      <c r="J4346">
        <v>1.80378956793001</v>
      </c>
      <c r="K4346">
        <v>1.0776109566166601</v>
      </c>
      <c r="L4346">
        <v>15000</v>
      </c>
      <c r="M4346">
        <v>233.275207542651</v>
      </c>
      <c r="O4346">
        <v>64.297004852721997</v>
      </c>
      <c r="P4346">
        <v>0.39970955198104002</v>
      </c>
      <c r="Q4346">
        <v>1.44068339541943</v>
      </c>
      <c r="R4346">
        <v>0.467208378196524</v>
      </c>
      <c r="S4346" t="s">
        <v>10962</v>
      </c>
      <c r="T4346" t="s">
        <v>13232</v>
      </c>
      <c r="U4346" t="s">
        <v>13232</v>
      </c>
      <c r="V4346" t="s">
        <v>13232</v>
      </c>
      <c r="W4346" t="s">
        <v>17515</v>
      </c>
      <c r="X4346">
        <v>6</v>
      </c>
      <c r="Y4346" t="s">
        <v>23933</v>
      </c>
      <c r="Z4346" t="s">
        <v>30477</v>
      </c>
      <c r="AA4346">
        <v>1.083647276442343</v>
      </c>
      <c r="AB4346" t="str">
        <f>HYPERLINK("Melting_Curves/meltCurve_Q8N1N4_KRT78.pdf", "Melting_Curves/meltCurve_Q8N1N4_KRT78.pdf")</f>
        <v>Melting_Curves/meltCurve_Q8N1N4_KRT78.pdf</v>
      </c>
    </row>
    <row r="4347" spans="1:28" x14ac:dyDescent="0.25">
      <c r="A4347" t="s">
        <v>4350</v>
      </c>
      <c r="B4347">
        <v>0.99930955844802105</v>
      </c>
      <c r="C4347">
        <v>1.17625002273318</v>
      </c>
      <c r="D4347">
        <v>1.2108947802357899</v>
      </c>
      <c r="E4347">
        <v>1.11348223197689</v>
      </c>
      <c r="F4347">
        <v>0.73087285680491199</v>
      </c>
      <c r="G4347">
        <v>0.24861167875234</v>
      </c>
      <c r="H4347">
        <v>9.8515359791204002E-2</v>
      </c>
      <c r="I4347">
        <v>7.7240669176676297E-2</v>
      </c>
      <c r="J4347">
        <v>7.49784366753901E-2</v>
      </c>
      <c r="K4347">
        <v>6.0643265605230902E-2</v>
      </c>
      <c r="L4347">
        <v>2117.99273120626</v>
      </c>
      <c r="M4347">
        <v>38.844623202833702</v>
      </c>
      <c r="N4347">
        <v>54.761849337009103</v>
      </c>
      <c r="O4347">
        <v>54.380836180283403</v>
      </c>
      <c r="P4347">
        <v>-0.16475417209312701</v>
      </c>
      <c r="Q4347">
        <v>7.7406687541309194E-2</v>
      </c>
      <c r="R4347">
        <v>0.95827504578049305</v>
      </c>
      <c r="S4347" t="s">
        <v>10963</v>
      </c>
      <c r="T4347" t="s">
        <v>13232</v>
      </c>
      <c r="U4347" t="s">
        <v>13232</v>
      </c>
      <c r="V4347" t="s">
        <v>13232</v>
      </c>
      <c r="W4347" t="s">
        <v>17516</v>
      </c>
      <c r="X4347">
        <v>8</v>
      </c>
      <c r="Y4347" t="s">
        <v>23934</v>
      </c>
      <c r="Z4347" t="s">
        <v>30478</v>
      </c>
      <c r="AA4347">
        <v>0.52776334192471797</v>
      </c>
      <c r="AB4347" t="str">
        <f>HYPERLINK("Melting_Curves/meltCurve_Q8N1Q1_CA13.pdf", "Melting_Curves/meltCurve_Q8N1Q1_CA13.pdf")</f>
        <v>Melting_Curves/meltCurve_Q8N1Q1_CA13.pdf</v>
      </c>
    </row>
    <row r="4348" spans="1:28" x14ac:dyDescent="0.25">
      <c r="A4348" t="s">
        <v>4351</v>
      </c>
      <c r="B4348">
        <v>0.99930955844802105</v>
      </c>
      <c r="C4348">
        <v>1.0259599296388899</v>
      </c>
      <c r="D4348">
        <v>1.1100820823356099</v>
      </c>
      <c r="E4348">
        <v>0.84723218291716895</v>
      </c>
      <c r="F4348">
        <v>0.68071477823655602</v>
      </c>
      <c r="G4348">
        <v>0.53027513553251204</v>
      </c>
      <c r="H4348">
        <v>0.52608885987759901</v>
      </c>
      <c r="I4348">
        <v>0.53331844908341297</v>
      </c>
      <c r="J4348">
        <v>0.48501088997998498</v>
      </c>
      <c r="K4348">
        <v>0.374765997036966</v>
      </c>
      <c r="L4348">
        <v>1437.7634134448299</v>
      </c>
      <c r="M4348">
        <v>27.594697074777599</v>
      </c>
      <c r="N4348">
        <v>58.689182813392598</v>
      </c>
      <c r="O4348">
        <v>51.831563829151797</v>
      </c>
      <c r="P4348">
        <v>-6.9557283650855395E-2</v>
      </c>
      <c r="Q4348">
        <v>0.47740249099486498</v>
      </c>
      <c r="R4348">
        <v>0.94899838839532302</v>
      </c>
      <c r="S4348" t="s">
        <v>10964</v>
      </c>
      <c r="T4348" t="s">
        <v>13232</v>
      </c>
      <c r="U4348" t="s">
        <v>13232</v>
      </c>
      <c r="V4348" t="s">
        <v>13232</v>
      </c>
      <c r="W4348" t="s">
        <v>17517</v>
      </c>
      <c r="X4348">
        <v>1</v>
      </c>
      <c r="Y4348" t="s">
        <v>23935</v>
      </c>
      <c r="Z4348" t="s">
        <v>30479</v>
      </c>
      <c r="AA4348">
        <v>0.69217669840387031</v>
      </c>
      <c r="AB4348" t="str">
        <f>HYPERLINK("Melting_Curves/meltCurve_Q8N1W2_ZNF710.pdf", "Melting_Curves/meltCurve_Q8N1W2_ZNF710.pdf")</f>
        <v>Melting_Curves/meltCurve_Q8N1W2_ZNF710.pdf</v>
      </c>
    </row>
    <row r="4349" spans="1:28" x14ac:dyDescent="0.25">
      <c r="A4349" t="s">
        <v>4352</v>
      </c>
      <c r="B4349">
        <v>0.99930955844802105</v>
      </c>
      <c r="C4349">
        <v>0.85138425991811095</v>
      </c>
      <c r="D4349">
        <v>0.89415961010401102</v>
      </c>
      <c r="E4349">
        <v>0.84633293237521201</v>
      </c>
      <c r="F4349">
        <v>0.65742903718484502</v>
      </c>
      <c r="G4349">
        <v>0.62816520155073696</v>
      </c>
      <c r="H4349">
        <v>0.60139943944240704</v>
      </c>
      <c r="I4349">
        <v>0.65959016888779198</v>
      </c>
      <c r="J4349">
        <v>0.63552242394382397</v>
      </c>
      <c r="K4349">
        <v>0.50205423062354504</v>
      </c>
      <c r="L4349">
        <v>475.43168822440799</v>
      </c>
      <c r="M4349">
        <v>9.4421992721841992</v>
      </c>
      <c r="O4349">
        <v>48.248327510943298</v>
      </c>
      <c r="P4349">
        <v>-2.2417172207783401E-2</v>
      </c>
      <c r="Q4349">
        <v>0.54208267014702605</v>
      </c>
      <c r="R4349">
        <v>0.87318036638248198</v>
      </c>
      <c r="S4349" t="s">
        <v>10965</v>
      </c>
      <c r="T4349" t="s">
        <v>13232</v>
      </c>
      <c r="U4349" t="s">
        <v>13232</v>
      </c>
      <c r="V4349" t="s">
        <v>13232</v>
      </c>
      <c r="W4349" t="s">
        <v>17518</v>
      </c>
      <c r="X4349">
        <v>19</v>
      </c>
      <c r="Y4349" t="s">
        <v>23936</v>
      </c>
      <c r="Z4349" t="s">
        <v>30480</v>
      </c>
      <c r="AA4349">
        <v>0.72175331105351015</v>
      </c>
      <c r="AB4349" t="str">
        <f>HYPERLINK("Melting_Curves/meltCurve_Q8N201_INTS1.pdf", "Melting_Curves/meltCurve_Q8N201_INTS1.pdf")</f>
        <v>Melting_Curves/meltCurve_Q8N201_INTS1.pdf</v>
      </c>
    </row>
    <row r="4350" spans="1:28" x14ac:dyDescent="0.25">
      <c r="A4350" t="s">
        <v>4353</v>
      </c>
      <c r="B4350">
        <v>0.99930955844802105</v>
      </c>
      <c r="C4350">
        <v>0.84599387810674598</v>
      </c>
      <c r="D4350">
        <v>0.81924980667885905</v>
      </c>
      <c r="E4350">
        <v>0.70636053989982295</v>
      </c>
      <c r="F4350">
        <v>0.29044519273018699</v>
      </c>
      <c r="G4350">
        <v>0.16710594739767901</v>
      </c>
      <c r="H4350">
        <v>0.110779373276745</v>
      </c>
      <c r="I4350">
        <v>0.14644043869929901</v>
      </c>
      <c r="J4350">
        <v>8.2678038885784899E-2</v>
      </c>
      <c r="K4350">
        <v>0.114299260375538</v>
      </c>
      <c r="L4350">
        <v>878.80486587805797</v>
      </c>
      <c r="M4350">
        <v>17.375319058625799</v>
      </c>
      <c r="N4350">
        <v>51.107126734336397</v>
      </c>
      <c r="O4350">
        <v>49.922053317907697</v>
      </c>
      <c r="P4350">
        <v>-7.9851059980981604E-2</v>
      </c>
      <c r="Q4350">
        <v>8.2352444819011994E-2</v>
      </c>
      <c r="R4350">
        <v>0.96808535464682899</v>
      </c>
      <c r="S4350" t="s">
        <v>10966</v>
      </c>
      <c r="T4350" t="s">
        <v>13232</v>
      </c>
      <c r="U4350" t="s">
        <v>13232</v>
      </c>
      <c r="V4350" t="s">
        <v>13232</v>
      </c>
      <c r="W4350" t="s">
        <v>17519</v>
      </c>
      <c r="X4350">
        <v>6</v>
      </c>
      <c r="Y4350" t="s">
        <v>23937</v>
      </c>
      <c r="Z4350" t="s">
        <v>30481</v>
      </c>
      <c r="AA4350">
        <v>0.422484854214697</v>
      </c>
      <c r="AB4350" t="str">
        <f>HYPERLINK("Melting_Curves/meltCurve_Q8N2F6_3_ARMC10.pdf", "Melting_Curves/meltCurve_Q8N2F6_3_ARMC10.pdf")</f>
        <v>Melting_Curves/meltCurve_Q8N2F6_3_ARMC10.pdf</v>
      </c>
    </row>
    <row r="4351" spans="1:28" x14ac:dyDescent="0.25">
      <c r="A4351" t="s">
        <v>4354</v>
      </c>
      <c r="B4351">
        <v>0.99930955844802105</v>
      </c>
      <c r="C4351">
        <v>0.71014175282706005</v>
      </c>
      <c r="D4351">
        <v>0.74813713647868596</v>
      </c>
      <c r="E4351">
        <v>0.54639210754950396</v>
      </c>
      <c r="F4351">
        <v>0.26195565273544802</v>
      </c>
      <c r="G4351">
        <v>0.15781484106107199</v>
      </c>
      <c r="H4351">
        <v>9.8550242771029098E-2</v>
      </c>
      <c r="I4351">
        <v>0.126155886591338</v>
      </c>
      <c r="J4351">
        <v>0.103563488812437</v>
      </c>
      <c r="K4351">
        <v>7.9609078344236597E-2</v>
      </c>
      <c r="L4351">
        <v>579.21439669946096</v>
      </c>
      <c r="M4351">
        <v>11.826494831255401</v>
      </c>
      <c r="N4351">
        <v>49.355141758710403</v>
      </c>
      <c r="O4351">
        <v>47.638642287601101</v>
      </c>
      <c r="P4351">
        <v>-5.9383726500654203E-2</v>
      </c>
      <c r="Q4351">
        <v>4.3422823595679498E-2</v>
      </c>
      <c r="R4351">
        <v>0.961481896082093</v>
      </c>
      <c r="S4351" t="s">
        <v>10967</v>
      </c>
      <c r="T4351" t="s">
        <v>13232</v>
      </c>
      <c r="U4351" t="s">
        <v>13232</v>
      </c>
      <c r="V4351" t="s">
        <v>13232</v>
      </c>
      <c r="W4351" t="s">
        <v>17520</v>
      </c>
      <c r="X4351">
        <v>1</v>
      </c>
      <c r="Y4351" t="s">
        <v>23938</v>
      </c>
      <c r="Z4351" t="s">
        <v>30482</v>
      </c>
      <c r="AA4351">
        <v>0.36569046063691751</v>
      </c>
      <c r="AB4351" t="str">
        <f>HYPERLINK("Melting_Curves/meltCurve_Q8N2I9_3_STK40.pdf", "Melting_Curves/meltCurve_Q8N2I9_3_STK40.pdf")</f>
        <v>Melting_Curves/meltCurve_Q8N2I9_3_STK40.pdf</v>
      </c>
    </row>
    <row r="4352" spans="1:28" x14ac:dyDescent="0.25">
      <c r="A4352" t="s">
        <v>4355</v>
      </c>
      <c r="B4352">
        <v>0.99930955844802105</v>
      </c>
      <c r="C4352">
        <v>0.89564460248086097</v>
      </c>
      <c r="D4352">
        <v>0.73962366684607095</v>
      </c>
      <c r="E4352">
        <v>0.52014441265203404</v>
      </c>
      <c r="F4352">
        <v>0.259120798597476</v>
      </c>
      <c r="G4352">
        <v>0.13672932045959599</v>
      </c>
      <c r="H4352">
        <v>9.0693171535620704E-2</v>
      </c>
      <c r="I4352">
        <v>7.3179185322875595E-2</v>
      </c>
      <c r="J4352">
        <v>4.4411731714011499E-2</v>
      </c>
      <c r="K4352">
        <v>5.2042579918254901E-2</v>
      </c>
      <c r="L4352">
        <v>744.05913529588304</v>
      </c>
      <c r="M4352">
        <v>15.057297192858901</v>
      </c>
      <c r="N4352">
        <v>49.6431349811768</v>
      </c>
      <c r="O4352">
        <v>48.568162767810698</v>
      </c>
      <c r="P4352">
        <v>-7.4924624188771494E-2</v>
      </c>
      <c r="Q4352">
        <v>3.3401751058296798E-2</v>
      </c>
      <c r="R4352">
        <v>0.99619959643755596</v>
      </c>
      <c r="S4352" t="s">
        <v>10968</v>
      </c>
      <c r="T4352" t="s">
        <v>13232</v>
      </c>
      <c r="U4352" t="s">
        <v>13232</v>
      </c>
      <c r="V4352" t="s">
        <v>13232</v>
      </c>
      <c r="W4352" t="s">
        <v>17521</v>
      </c>
      <c r="X4352">
        <v>2</v>
      </c>
      <c r="Y4352" t="s">
        <v>23939</v>
      </c>
      <c r="Z4352" t="s">
        <v>30483</v>
      </c>
      <c r="AA4352">
        <v>0.36009770302291388</v>
      </c>
      <c r="AB4352" t="str">
        <f>HYPERLINK("Melting_Curves/meltCurve_Q8N2W9_PIAS4.pdf", "Melting_Curves/meltCurve_Q8N2W9_PIAS4.pdf")</f>
        <v>Melting_Curves/meltCurve_Q8N2W9_PIAS4.pdf</v>
      </c>
    </row>
    <row r="4353" spans="1:28" x14ac:dyDescent="0.25">
      <c r="A4353" t="s">
        <v>4356</v>
      </c>
      <c r="B4353">
        <v>0.99930955844802105</v>
      </c>
      <c r="C4353">
        <v>1.0046260999622201</v>
      </c>
      <c r="D4353">
        <v>0.96323738606798304</v>
      </c>
      <c r="E4353">
        <v>0.89608641588489102</v>
      </c>
      <c r="F4353">
        <v>0.79600493146539397</v>
      </c>
      <c r="G4353">
        <v>0.71465240883520098</v>
      </c>
      <c r="H4353">
        <v>0.67495462771451298</v>
      </c>
      <c r="I4353">
        <v>0.77839587768722895</v>
      </c>
      <c r="J4353">
        <v>0.66361218109025999</v>
      </c>
      <c r="K4353">
        <v>0.59822123398214</v>
      </c>
      <c r="L4353">
        <v>849.01559449671697</v>
      </c>
      <c r="M4353">
        <v>16.294770057804001</v>
      </c>
      <c r="O4353">
        <v>51.337806869199198</v>
      </c>
      <c r="P4353">
        <v>-2.6954925462506302E-2</v>
      </c>
      <c r="Q4353">
        <v>0.66033144255303799</v>
      </c>
      <c r="R4353">
        <v>0.92051354066117497</v>
      </c>
      <c r="S4353" t="s">
        <v>10969</v>
      </c>
      <c r="T4353" t="s">
        <v>13232</v>
      </c>
      <c r="U4353" t="s">
        <v>13232</v>
      </c>
      <c r="V4353" t="s">
        <v>13232</v>
      </c>
      <c r="W4353" t="s">
        <v>17522</v>
      </c>
      <c r="X4353">
        <v>3</v>
      </c>
      <c r="Y4353" t="s">
        <v>23940</v>
      </c>
      <c r="Z4353" t="s">
        <v>30484</v>
      </c>
      <c r="AA4353">
        <v>0.80402208104277628</v>
      </c>
      <c r="AB4353" t="str">
        <f>HYPERLINK("Melting_Curves/meltCurve_Q8N300_CCDC23.pdf", "Melting_Curves/meltCurve_Q8N300_CCDC23.pdf")</f>
        <v>Melting_Curves/meltCurve_Q8N300_CCDC23.pdf</v>
      </c>
    </row>
    <row r="4354" spans="1:28" x14ac:dyDescent="0.25">
      <c r="A4354" t="s">
        <v>4357</v>
      </c>
      <c r="B4354">
        <v>0.99930955844802105</v>
      </c>
      <c r="C4354">
        <v>0.98564788456741703</v>
      </c>
      <c r="D4354">
        <v>0.93050629825082598</v>
      </c>
      <c r="E4354">
        <v>0.87071638128321105</v>
      </c>
      <c r="F4354">
        <v>0.71816716695213101</v>
      </c>
      <c r="G4354">
        <v>0.65876799667225205</v>
      </c>
      <c r="H4354">
        <v>0.59857702157787496</v>
      </c>
      <c r="I4354">
        <v>0.57950660464884995</v>
      </c>
      <c r="J4354">
        <v>0.61177433798217695</v>
      </c>
      <c r="K4354">
        <v>0.47916174471150003</v>
      </c>
      <c r="L4354">
        <v>684.72304035027003</v>
      </c>
      <c r="M4354">
        <v>12.9914639304146</v>
      </c>
      <c r="O4354">
        <v>51.5036986638451</v>
      </c>
      <c r="P4354">
        <v>-2.9953672880613399E-2</v>
      </c>
      <c r="Q4354">
        <v>0.52508762306877199</v>
      </c>
      <c r="R4354">
        <v>0.968614176078615</v>
      </c>
      <c r="S4354" t="s">
        <v>10970</v>
      </c>
      <c r="T4354" t="s">
        <v>13232</v>
      </c>
      <c r="U4354" t="s">
        <v>13232</v>
      </c>
      <c r="V4354" t="s">
        <v>13232</v>
      </c>
      <c r="W4354" t="s">
        <v>17523</v>
      </c>
      <c r="X4354">
        <v>7</v>
      </c>
      <c r="Y4354" t="s">
        <v>23941</v>
      </c>
      <c r="Z4354" t="s">
        <v>30485</v>
      </c>
      <c r="AA4354">
        <v>0.73877880762346748</v>
      </c>
      <c r="AB4354" t="str">
        <f>HYPERLINK("Melting_Curves/meltCurve_Q8N302_AGGF1.pdf", "Melting_Curves/meltCurve_Q8N302_AGGF1.pdf")</f>
        <v>Melting_Curves/meltCurve_Q8N302_AGGF1.pdf</v>
      </c>
    </row>
    <row r="4355" spans="1:28" x14ac:dyDescent="0.25">
      <c r="A4355" t="s">
        <v>4358</v>
      </c>
      <c r="B4355">
        <v>0.99930955844802105</v>
      </c>
      <c r="C4355">
        <v>0.98968443110648197</v>
      </c>
      <c r="D4355">
        <v>0.90460894074953202</v>
      </c>
      <c r="E4355">
        <v>0.73516202715354295</v>
      </c>
      <c r="F4355">
        <v>0.247531696764515</v>
      </c>
      <c r="G4355">
        <v>0.152695973315672</v>
      </c>
      <c r="H4355">
        <v>7.2018056392592095E-2</v>
      </c>
      <c r="I4355">
        <v>6.7890318629800495E-2</v>
      </c>
      <c r="J4355">
        <v>6.4172806720546594E-2</v>
      </c>
      <c r="K4355">
        <v>3.2211232165846197E-2</v>
      </c>
      <c r="L4355">
        <v>1769.69129397592</v>
      </c>
      <c r="M4355">
        <v>34.607418502185801</v>
      </c>
      <c r="N4355">
        <v>51.351856658712997</v>
      </c>
      <c r="O4355">
        <v>50.966344600365602</v>
      </c>
      <c r="P4355">
        <v>-0.15827460022177001</v>
      </c>
      <c r="Q4355">
        <v>6.7639469049159906E-2</v>
      </c>
      <c r="R4355">
        <v>0.99226606029341502</v>
      </c>
      <c r="S4355" t="s">
        <v>10971</v>
      </c>
      <c r="T4355" t="s">
        <v>13232</v>
      </c>
      <c r="U4355" t="s">
        <v>13232</v>
      </c>
      <c r="V4355" t="s">
        <v>13232</v>
      </c>
      <c r="W4355" t="s">
        <v>17524</v>
      </c>
      <c r="X4355">
        <v>13</v>
      </c>
      <c r="Y4355" t="s">
        <v>23942</v>
      </c>
      <c r="Z4355" t="s">
        <v>30486</v>
      </c>
      <c r="AA4355">
        <v>0.41814801042221511</v>
      </c>
      <c r="AB4355" t="str">
        <f>HYPERLINK("Melting_Curves/meltCurve_Q8N335_GPD1L.pdf", "Melting_Curves/meltCurve_Q8N335_GPD1L.pdf")</f>
        <v>Melting_Curves/meltCurve_Q8N335_GPD1L.pdf</v>
      </c>
    </row>
    <row r="4356" spans="1:28" x14ac:dyDescent="0.25">
      <c r="A4356" t="s">
        <v>4359</v>
      </c>
      <c r="B4356">
        <v>0.99930955844802105</v>
      </c>
      <c r="C4356">
        <v>0.96036919337019699</v>
      </c>
      <c r="D4356">
        <v>0.88380662631649398</v>
      </c>
      <c r="E4356">
        <v>0.79222842451518205</v>
      </c>
      <c r="F4356">
        <v>0.66444795375960597</v>
      </c>
      <c r="G4356">
        <v>0.455697438336997</v>
      </c>
      <c r="H4356">
        <v>0.26309857854372898</v>
      </c>
      <c r="I4356">
        <v>0.20059138320536801</v>
      </c>
      <c r="J4356">
        <v>0.17223748577428999</v>
      </c>
      <c r="K4356">
        <v>0.14218717389414101</v>
      </c>
      <c r="L4356">
        <v>648.328019065945</v>
      </c>
      <c r="M4356">
        <v>11.7281886606859</v>
      </c>
      <c r="N4356">
        <v>55.835926751678997</v>
      </c>
      <c r="O4356">
        <v>53.745733745749298</v>
      </c>
      <c r="P4356">
        <v>-5.1558677981150401E-2</v>
      </c>
      <c r="Q4356">
        <v>5.5155311517985403E-2</v>
      </c>
      <c r="R4356">
        <v>0.99704026836423698</v>
      </c>
      <c r="S4356" t="s">
        <v>10972</v>
      </c>
      <c r="T4356" t="s">
        <v>13232</v>
      </c>
      <c r="U4356" t="s">
        <v>13232</v>
      </c>
      <c r="V4356" t="s">
        <v>13232</v>
      </c>
      <c r="W4356" t="s">
        <v>17525</v>
      </c>
      <c r="X4356">
        <v>6</v>
      </c>
      <c r="Y4356" t="s">
        <v>23943</v>
      </c>
      <c r="Z4356" t="s">
        <v>30487</v>
      </c>
      <c r="AA4356">
        <v>0.55806208955441439</v>
      </c>
      <c r="AB4356" t="str">
        <f>HYPERLINK("Melting_Curves/meltCurve_Q8N344_MIER2.pdf", "Melting_Curves/meltCurve_Q8N344_MIER2.pdf")</f>
        <v>Melting_Curves/meltCurve_Q8N344_MIER2.pdf</v>
      </c>
    </row>
    <row r="4357" spans="1:28" x14ac:dyDescent="0.25">
      <c r="A4357" t="s">
        <v>4360</v>
      </c>
      <c r="B4357">
        <v>0.99930955844802105</v>
      </c>
      <c r="C4357">
        <v>1.1702472633784999</v>
      </c>
      <c r="D4357">
        <v>1.0190155438289501</v>
      </c>
      <c r="E4357">
        <v>0.90804578254343205</v>
      </c>
      <c r="F4357">
        <v>0.78680450586960904</v>
      </c>
      <c r="G4357">
        <v>0.48098635068527301</v>
      </c>
      <c r="H4357">
        <v>0.36700776077805097</v>
      </c>
      <c r="I4357">
        <v>0.36911439847281102</v>
      </c>
      <c r="J4357">
        <v>0.45544765538785198</v>
      </c>
      <c r="K4357">
        <v>0.354331224697569</v>
      </c>
      <c r="L4357">
        <v>1606.1499111241701</v>
      </c>
      <c r="M4357">
        <v>29.7827041260506</v>
      </c>
      <c r="N4357">
        <v>56.646108101779298</v>
      </c>
      <c r="O4357">
        <v>53.687556176936603</v>
      </c>
      <c r="P4357">
        <v>-8.5961054569821102E-2</v>
      </c>
      <c r="Q4357">
        <v>0.38017598119523599</v>
      </c>
      <c r="R4357">
        <v>0.95744305013234299</v>
      </c>
      <c r="S4357" t="s">
        <v>10973</v>
      </c>
      <c r="T4357" t="s">
        <v>13232</v>
      </c>
      <c r="U4357" t="s">
        <v>13232</v>
      </c>
      <c r="V4357" t="s">
        <v>13232</v>
      </c>
      <c r="W4357" t="s">
        <v>17526</v>
      </c>
      <c r="X4357">
        <v>3</v>
      </c>
      <c r="Y4357" t="s">
        <v>23944</v>
      </c>
      <c r="Z4357" t="s">
        <v>30488</v>
      </c>
      <c r="AA4357">
        <v>0.67208477919395571</v>
      </c>
      <c r="AB4357" t="str">
        <f>HYPERLINK("Melting_Curves/meltCurve_Q8N350_DOS.pdf", "Melting_Curves/meltCurve_Q8N350_DOS.pdf")</f>
        <v>Melting_Curves/meltCurve_Q8N350_DOS.pdf</v>
      </c>
    </row>
    <row r="4358" spans="1:28" x14ac:dyDescent="0.25">
      <c r="A4358" t="s">
        <v>4361</v>
      </c>
      <c r="B4358">
        <v>0.99930955844802105</v>
      </c>
      <c r="C4358">
        <v>1.0556406926580999</v>
      </c>
      <c r="D4358">
        <v>1.07714714933524</v>
      </c>
      <c r="E4358">
        <v>0.97506426274427405</v>
      </c>
      <c r="F4358">
        <v>0.71865809148282001</v>
      </c>
      <c r="G4358">
        <v>0.33989719754959702</v>
      </c>
      <c r="H4358">
        <v>0.231116366485525</v>
      </c>
      <c r="I4358">
        <v>0.216404574700233</v>
      </c>
      <c r="J4358">
        <v>0.195404426113376</v>
      </c>
      <c r="K4358">
        <v>0.147057074006366</v>
      </c>
      <c r="L4358">
        <v>1702.8880902067699</v>
      </c>
      <c r="M4358">
        <v>31.407071774717199</v>
      </c>
      <c r="N4358">
        <v>55.055095720608698</v>
      </c>
      <c r="O4358">
        <v>54.001499460303997</v>
      </c>
      <c r="P4358">
        <v>-0.11784521672245001</v>
      </c>
      <c r="Q4358">
        <v>0.18950943498070799</v>
      </c>
      <c r="R4358">
        <v>0.99097477165984904</v>
      </c>
      <c r="S4358" t="s">
        <v>10974</v>
      </c>
      <c r="T4358" t="s">
        <v>13232</v>
      </c>
      <c r="U4358" t="s">
        <v>13232</v>
      </c>
      <c r="V4358" t="s">
        <v>13232</v>
      </c>
      <c r="W4358" t="s">
        <v>17527</v>
      </c>
      <c r="X4358">
        <v>8</v>
      </c>
      <c r="Y4358" t="s">
        <v>23945</v>
      </c>
      <c r="Z4358" t="s">
        <v>30489</v>
      </c>
      <c r="AA4358">
        <v>0.57856408544618332</v>
      </c>
      <c r="AB4358" t="str">
        <f>HYPERLINK("Melting_Curves/meltCurve_Q8N371_KDM8.pdf", "Melting_Curves/meltCurve_Q8N371_KDM8.pdf")</f>
        <v>Melting_Curves/meltCurve_Q8N371_KDM8.pdf</v>
      </c>
    </row>
    <row r="4359" spans="1:28" x14ac:dyDescent="0.25">
      <c r="A4359" t="s">
        <v>4362</v>
      </c>
      <c r="B4359">
        <v>0.99930955844802105</v>
      </c>
      <c r="C4359">
        <v>0.98546342671393505</v>
      </c>
      <c r="D4359">
        <v>0.92589970752038597</v>
      </c>
      <c r="E4359">
        <v>0.65932994472120898</v>
      </c>
      <c r="F4359">
        <v>0.35555787680626399</v>
      </c>
      <c r="G4359">
        <v>0.28414693421794401</v>
      </c>
      <c r="H4359">
        <v>0.230410840080013</v>
      </c>
      <c r="I4359">
        <v>0.237756603099637</v>
      </c>
      <c r="J4359">
        <v>0.22266666327897</v>
      </c>
      <c r="K4359">
        <v>0.183888720690489</v>
      </c>
      <c r="L4359">
        <v>1316.1949275899001</v>
      </c>
      <c r="M4359">
        <v>26.155570747568401</v>
      </c>
      <c r="N4359">
        <v>51.455263083830097</v>
      </c>
      <c r="O4359">
        <v>50.0303918074097</v>
      </c>
      <c r="P4359">
        <v>-0.102079839313481</v>
      </c>
      <c r="Q4359">
        <v>0.21897533520120699</v>
      </c>
      <c r="R4359">
        <v>0.99654746322420995</v>
      </c>
      <c r="S4359" t="s">
        <v>10975</v>
      </c>
      <c r="T4359" t="s">
        <v>13232</v>
      </c>
      <c r="U4359" t="s">
        <v>13232</v>
      </c>
      <c r="V4359" t="s">
        <v>13232</v>
      </c>
      <c r="W4359" t="s">
        <v>17528</v>
      </c>
      <c r="X4359">
        <v>38</v>
      </c>
      <c r="Y4359" t="s">
        <v>23946</v>
      </c>
      <c r="Z4359" t="s">
        <v>30490</v>
      </c>
      <c r="AA4359">
        <v>0.49409288542780888</v>
      </c>
      <c r="AB4359" t="str">
        <f>HYPERLINK("Melting_Curves/meltCurve_Q8N392_ARHGAP18.pdf", "Melting_Curves/meltCurve_Q8N392_ARHGAP18.pdf")</f>
        <v>Melting_Curves/meltCurve_Q8N392_ARHGAP18.pdf</v>
      </c>
    </row>
    <row r="4360" spans="1:28" x14ac:dyDescent="0.25">
      <c r="A4360" t="s">
        <v>4363</v>
      </c>
      <c r="B4360">
        <v>0.99930955844802105</v>
      </c>
      <c r="C4360">
        <v>0.99244354232090004</v>
      </c>
      <c r="D4360">
        <v>0.81156102020262399</v>
      </c>
      <c r="E4360">
        <v>0.40491987039364802</v>
      </c>
      <c r="F4360">
        <v>0.22231443173480001</v>
      </c>
      <c r="G4360">
        <v>0.158023804868275</v>
      </c>
      <c r="H4360">
        <v>9.0558036690781593E-2</v>
      </c>
      <c r="I4360">
        <v>7.3022966774679607E-2</v>
      </c>
      <c r="J4360">
        <v>5.7520209763193997E-2</v>
      </c>
      <c r="K4360">
        <v>4.4232978756412501E-2</v>
      </c>
      <c r="L4360">
        <v>1064.73039223505</v>
      </c>
      <c r="M4360">
        <v>21.7835763274851</v>
      </c>
      <c r="N4360">
        <v>49.224691926642599</v>
      </c>
      <c r="O4360">
        <v>48.471363071775897</v>
      </c>
      <c r="P4360">
        <v>-0.104358039613096</v>
      </c>
      <c r="Q4360">
        <v>7.1179591203630099E-2</v>
      </c>
      <c r="R4360">
        <v>0.99644537548645296</v>
      </c>
      <c r="S4360" t="s">
        <v>10976</v>
      </c>
      <c r="T4360" t="s">
        <v>13232</v>
      </c>
      <c r="U4360" t="s">
        <v>13232</v>
      </c>
      <c r="V4360" t="s">
        <v>13232</v>
      </c>
      <c r="W4360" t="s">
        <v>17529</v>
      </c>
      <c r="X4360">
        <v>8</v>
      </c>
      <c r="Y4360" t="s">
        <v>23947</v>
      </c>
      <c r="Z4360" t="s">
        <v>30491</v>
      </c>
      <c r="AA4360">
        <v>0.35696936204321322</v>
      </c>
      <c r="AB4360" t="str">
        <f>HYPERLINK("Melting_Curves/meltCurve_Q8N3C0_ASCC3.pdf", "Melting_Curves/meltCurve_Q8N3C0_ASCC3.pdf")</f>
        <v>Melting_Curves/meltCurve_Q8N3C0_ASCC3.pdf</v>
      </c>
    </row>
    <row r="4361" spans="1:28" x14ac:dyDescent="0.25">
      <c r="A4361" t="s">
        <v>4364</v>
      </c>
      <c r="B4361">
        <v>0.99930955844802105</v>
      </c>
      <c r="C4361">
        <v>0.98967659073374203</v>
      </c>
      <c r="D4361">
        <v>0.91481359684700003</v>
      </c>
      <c r="E4361">
        <v>0.75253392354912196</v>
      </c>
      <c r="F4361">
        <v>0.60136741886965495</v>
      </c>
      <c r="G4361">
        <v>0.52485046367954402</v>
      </c>
      <c r="H4361">
        <v>0.49244363985620898</v>
      </c>
      <c r="I4361">
        <v>0.52122700032085101</v>
      </c>
      <c r="J4361">
        <v>0.49709124324408699</v>
      </c>
      <c r="K4361">
        <v>0.41305232317376001</v>
      </c>
      <c r="L4361">
        <v>944.21002890938905</v>
      </c>
      <c r="M4361">
        <v>18.8096059570248</v>
      </c>
      <c r="N4361">
        <v>59.187697782414197</v>
      </c>
      <c r="O4361">
        <v>49.641244307525</v>
      </c>
      <c r="P4361">
        <v>-5.0087124061435701E-2</v>
      </c>
      <c r="Q4361">
        <v>0.47127376037244101</v>
      </c>
      <c r="R4361">
        <v>0.98632699826940695</v>
      </c>
      <c r="S4361" t="s">
        <v>10977</v>
      </c>
      <c r="T4361" t="s">
        <v>13232</v>
      </c>
      <c r="U4361" t="s">
        <v>13232</v>
      </c>
      <c r="V4361" t="s">
        <v>13232</v>
      </c>
      <c r="W4361" t="s">
        <v>17530</v>
      </c>
      <c r="X4361">
        <v>38</v>
      </c>
      <c r="Y4361" t="s">
        <v>23948</v>
      </c>
      <c r="Z4361" t="s">
        <v>30492</v>
      </c>
      <c r="AA4361">
        <v>0.65928580806377357</v>
      </c>
      <c r="AB4361" t="str">
        <f>HYPERLINK("Melting_Curves/meltCurve_Q8N3D4_EHBP1L1.pdf", "Melting_Curves/meltCurve_Q8N3D4_EHBP1L1.pdf")</f>
        <v>Melting_Curves/meltCurve_Q8N3D4_EHBP1L1.pdf</v>
      </c>
    </row>
    <row r="4362" spans="1:28" x14ac:dyDescent="0.25">
      <c r="A4362" t="s">
        <v>4365</v>
      </c>
      <c r="B4362">
        <v>0.99930955844802105</v>
      </c>
      <c r="C4362">
        <v>1.0683533269902701</v>
      </c>
      <c r="D4362">
        <v>0.93913788975244705</v>
      </c>
      <c r="E4362">
        <v>0.75951299311611697</v>
      </c>
      <c r="F4362">
        <v>0.593511192049614</v>
      </c>
      <c r="G4362">
        <v>0.498835162623327</v>
      </c>
      <c r="H4362">
        <v>0.485740282186992</v>
      </c>
      <c r="I4362">
        <v>0.51174099525552896</v>
      </c>
      <c r="J4362">
        <v>0.51375930103672496</v>
      </c>
      <c r="K4362">
        <v>0.41253874145893199</v>
      </c>
      <c r="L4362">
        <v>1278.35613183229</v>
      </c>
      <c r="M4362">
        <v>25.407728312190201</v>
      </c>
      <c r="N4362">
        <v>57.351064954142103</v>
      </c>
      <c r="O4362">
        <v>50.005102222100199</v>
      </c>
      <c r="P4362">
        <v>-6.6324650146973696E-2</v>
      </c>
      <c r="Q4362">
        <v>0.477870853837846</v>
      </c>
      <c r="R4362">
        <v>0.97660756512156999</v>
      </c>
      <c r="S4362" t="s">
        <v>10978</v>
      </c>
      <c r="T4362" t="s">
        <v>13232</v>
      </c>
      <c r="U4362" t="s">
        <v>13232</v>
      </c>
      <c r="V4362" t="s">
        <v>13232</v>
      </c>
      <c r="W4362" t="s">
        <v>17531</v>
      </c>
      <c r="X4362">
        <v>23</v>
      </c>
      <c r="Y4362" t="s">
        <v>23949</v>
      </c>
      <c r="Z4362" t="s">
        <v>30493</v>
      </c>
      <c r="AA4362">
        <v>0.66190612751936218</v>
      </c>
      <c r="AB4362" t="str">
        <f>HYPERLINK("Melting_Curves/meltCurve_Q8N3F8_MICALL1.pdf", "Melting_Curves/meltCurve_Q8N3F8_MICALL1.pdf")</f>
        <v>Melting_Curves/meltCurve_Q8N3F8_MICALL1.pdf</v>
      </c>
    </row>
    <row r="4363" spans="1:28" x14ac:dyDescent="0.25">
      <c r="A4363" t="s">
        <v>4366</v>
      </c>
      <c r="B4363">
        <v>0.99930955844802105</v>
      </c>
      <c r="C4363">
        <v>0.96550386972815105</v>
      </c>
      <c r="D4363">
        <v>0.98171648574526005</v>
      </c>
      <c r="E4363">
        <v>0.96091076677998399</v>
      </c>
      <c r="F4363">
        <v>0.98718055449520004</v>
      </c>
      <c r="G4363">
        <v>0.84805887693707604</v>
      </c>
      <c r="H4363">
        <v>0.73495090287700404</v>
      </c>
      <c r="I4363">
        <v>0.80014218804419501</v>
      </c>
      <c r="J4363">
        <v>0.77590566874917799</v>
      </c>
      <c r="K4363">
        <v>0.60857267394160797</v>
      </c>
      <c r="L4363">
        <v>421.101614020152</v>
      </c>
      <c r="M4363">
        <v>5.4019457231997903</v>
      </c>
      <c r="O4363">
        <v>69.206932397807194</v>
      </c>
      <c r="P4363">
        <v>-1.9605278329672401E-2</v>
      </c>
      <c r="Q4363">
        <v>0</v>
      </c>
      <c r="R4363">
        <v>0.87809915541539196</v>
      </c>
      <c r="S4363" t="s">
        <v>10979</v>
      </c>
      <c r="T4363" t="s">
        <v>13232</v>
      </c>
      <c r="U4363" t="s">
        <v>13232</v>
      </c>
      <c r="V4363" t="s">
        <v>13232</v>
      </c>
      <c r="W4363" t="s">
        <v>17532</v>
      </c>
      <c r="X4363">
        <v>4</v>
      </c>
      <c r="Y4363" t="s">
        <v>23950</v>
      </c>
      <c r="Z4363" t="s">
        <v>30494</v>
      </c>
      <c r="AA4363">
        <v>0.87480802588758322</v>
      </c>
      <c r="AB4363" t="str">
        <f>HYPERLINK("Melting_Curves/meltCurve_Q8N3J3_3_C17orf53.pdf", "Melting_Curves/meltCurve_Q8N3J3_3_C17orf53.pdf")</f>
        <v>Melting_Curves/meltCurve_Q8N3J3_3_C17orf53.pdf</v>
      </c>
    </row>
    <row r="4364" spans="1:28" x14ac:dyDescent="0.25">
      <c r="A4364" t="s">
        <v>4367</v>
      </c>
      <c r="B4364">
        <v>0.99930955844802105</v>
      </c>
      <c r="C4364">
        <v>0.75723458493737195</v>
      </c>
      <c r="D4364">
        <v>0.81630605489372299</v>
      </c>
      <c r="E4364">
        <v>0.60730053545793705</v>
      </c>
      <c r="F4364">
        <v>0.28425343979296702</v>
      </c>
      <c r="G4364">
        <v>0.209959272493942</v>
      </c>
      <c r="H4364">
        <v>0.14316856968571701</v>
      </c>
      <c r="I4364">
        <v>0.13747424337049799</v>
      </c>
      <c r="J4364">
        <v>0.10251468424541101</v>
      </c>
      <c r="K4364">
        <v>7.88024574874297E-2</v>
      </c>
      <c r="L4364">
        <v>624.52720777116599</v>
      </c>
      <c r="M4364">
        <v>12.4972604147144</v>
      </c>
      <c r="N4364">
        <v>50.4559615107082</v>
      </c>
      <c r="O4364">
        <v>48.745338153082798</v>
      </c>
      <c r="P4364">
        <v>-6.0494832247154101E-2</v>
      </c>
      <c r="Q4364">
        <v>5.6358394224133003E-2</v>
      </c>
      <c r="R4364">
        <v>0.965382006286165</v>
      </c>
      <c r="S4364" t="s">
        <v>10980</v>
      </c>
      <c r="T4364" t="s">
        <v>13232</v>
      </c>
      <c r="U4364" t="s">
        <v>13232</v>
      </c>
      <c r="V4364" t="s">
        <v>13232</v>
      </c>
      <c r="W4364" t="s">
        <v>17533</v>
      </c>
      <c r="X4364">
        <v>12</v>
      </c>
      <c r="Y4364" t="s">
        <v>23951</v>
      </c>
      <c r="Z4364" t="s">
        <v>30495</v>
      </c>
      <c r="AA4364">
        <v>0.40073786422907942</v>
      </c>
      <c r="AB4364" t="str">
        <f>HYPERLINK("Melting_Curves/meltCurve_Q8N3P4_3_VPS8.pdf", "Melting_Curves/meltCurve_Q8N3P4_3_VPS8.pdf")</f>
        <v>Melting_Curves/meltCurve_Q8N3P4_3_VPS8.pdf</v>
      </c>
    </row>
    <row r="4365" spans="1:28" x14ac:dyDescent="0.25">
      <c r="A4365" t="s">
        <v>4368</v>
      </c>
      <c r="B4365">
        <v>0.99930955844802105</v>
      </c>
      <c r="C4365">
        <v>1.0789551572965901</v>
      </c>
      <c r="D4365">
        <v>0.85728884428744601</v>
      </c>
      <c r="E4365">
        <v>0.67796159635470699</v>
      </c>
      <c r="F4365">
        <v>0.486728689613732</v>
      </c>
      <c r="G4365">
        <v>0.35675091201857001</v>
      </c>
      <c r="H4365">
        <v>0.311519670749485</v>
      </c>
      <c r="I4365">
        <v>0.364005134831832</v>
      </c>
      <c r="J4365">
        <v>0.35876521783119802</v>
      </c>
      <c r="K4365">
        <v>0.29854836232188298</v>
      </c>
      <c r="L4365">
        <v>1068.0219157772101</v>
      </c>
      <c r="M4365">
        <v>21.353649538185898</v>
      </c>
      <c r="N4365">
        <v>52.607753580644598</v>
      </c>
      <c r="O4365">
        <v>49.583432378081199</v>
      </c>
      <c r="P4365">
        <v>-7.2634081961447397E-2</v>
      </c>
      <c r="Q4365">
        <v>0.32538786877234399</v>
      </c>
      <c r="R4365">
        <v>0.98001987009538305</v>
      </c>
      <c r="S4365" t="s">
        <v>10981</v>
      </c>
      <c r="T4365" t="s">
        <v>13232</v>
      </c>
      <c r="U4365" t="s">
        <v>13232</v>
      </c>
      <c r="V4365" t="s">
        <v>13232</v>
      </c>
      <c r="W4365" t="s">
        <v>17534</v>
      </c>
      <c r="X4365">
        <v>4</v>
      </c>
      <c r="Y4365" t="s">
        <v>23952</v>
      </c>
      <c r="Z4365" t="s">
        <v>30496</v>
      </c>
      <c r="AA4365">
        <v>0.55887454510127788</v>
      </c>
      <c r="AB4365" t="str">
        <f>HYPERLINK("Melting_Curves/meltCurve_Q8N3R9_MPP5.pdf", "Melting_Curves/meltCurve_Q8N3R9_MPP5.pdf")</f>
        <v>Melting_Curves/meltCurve_Q8N3R9_MPP5.pdf</v>
      </c>
    </row>
    <row r="4366" spans="1:28" x14ac:dyDescent="0.25">
      <c r="A4366" t="s">
        <v>4369</v>
      </c>
      <c r="B4366">
        <v>0.99930955844802105</v>
      </c>
      <c r="C4366">
        <v>1.17260320857863</v>
      </c>
      <c r="D4366">
        <v>1.11180452176675</v>
      </c>
      <c r="E4366">
        <v>1.12629497570527</v>
      </c>
      <c r="F4366">
        <v>1.09323690824579</v>
      </c>
      <c r="G4366">
        <v>0.91814447485594697</v>
      </c>
      <c r="H4366">
        <v>1.01827531076498</v>
      </c>
      <c r="I4366">
        <v>1.00738610331312</v>
      </c>
      <c r="J4366">
        <v>1.0620678189631101</v>
      </c>
      <c r="K4366">
        <v>0.86289744091498299</v>
      </c>
      <c r="L4366">
        <v>15000</v>
      </c>
      <c r="M4366">
        <v>212.44609971944499</v>
      </c>
      <c r="Q4366">
        <v>0</v>
      </c>
      <c r="R4366">
        <v>5.9828330051298097E-2</v>
      </c>
      <c r="S4366" t="s">
        <v>10982</v>
      </c>
      <c r="T4366" t="s">
        <v>13232</v>
      </c>
      <c r="U4366" t="s">
        <v>13232</v>
      </c>
      <c r="V4366" t="s">
        <v>13232</v>
      </c>
      <c r="W4366" t="s">
        <v>17535</v>
      </c>
      <c r="X4366">
        <v>20</v>
      </c>
      <c r="Y4366" t="s">
        <v>23953</v>
      </c>
      <c r="Z4366" t="s">
        <v>30497</v>
      </c>
      <c r="AA4366">
        <v>0.99840973157923651</v>
      </c>
      <c r="AB4366" t="str">
        <f>HYPERLINK("Melting_Curves/meltCurve_Q8N3X1_FNBP4.pdf", "Melting_Curves/meltCurve_Q8N3X1_FNBP4.pdf")</f>
        <v>Melting_Curves/meltCurve_Q8N3X1_FNBP4.pdf</v>
      </c>
    </row>
    <row r="4367" spans="1:28" x14ac:dyDescent="0.25">
      <c r="A4367" t="s">
        <v>4370</v>
      </c>
      <c r="B4367">
        <v>0.99930955844802105</v>
      </c>
      <c r="C4367">
        <v>0.84027998065172205</v>
      </c>
      <c r="D4367">
        <v>0.83821937153076898</v>
      </c>
      <c r="E4367">
        <v>0.64070288149632604</v>
      </c>
      <c r="F4367">
        <v>0.51040147799788504</v>
      </c>
      <c r="G4367">
        <v>0.450194530493289</v>
      </c>
      <c r="H4367">
        <v>0.399676168537139</v>
      </c>
      <c r="I4367">
        <v>0.41960363493983399</v>
      </c>
      <c r="J4367">
        <v>0.36849591254317199</v>
      </c>
      <c r="K4367">
        <v>0.32581600089247698</v>
      </c>
      <c r="L4367">
        <v>585.40388262403201</v>
      </c>
      <c r="M4367">
        <v>11.9017058800763</v>
      </c>
      <c r="N4367">
        <v>54.377975157964599</v>
      </c>
      <c r="O4367">
        <v>47.859619052734097</v>
      </c>
      <c r="P4367">
        <v>-4.1074098217536097E-2</v>
      </c>
      <c r="Q4367">
        <v>0.33948912641565199</v>
      </c>
      <c r="R4367">
        <v>0.97953595269873195</v>
      </c>
      <c r="S4367" t="s">
        <v>10983</v>
      </c>
      <c r="T4367" t="s">
        <v>13232</v>
      </c>
      <c r="U4367" t="s">
        <v>13232</v>
      </c>
      <c r="V4367" t="s">
        <v>13232</v>
      </c>
      <c r="W4367" t="s">
        <v>17536</v>
      </c>
      <c r="X4367">
        <v>1</v>
      </c>
      <c r="Y4367" t="s">
        <v>23954</v>
      </c>
      <c r="Z4367" t="s">
        <v>30498</v>
      </c>
      <c r="AA4367">
        <v>0.56607156568742656</v>
      </c>
      <c r="AB4367" t="str">
        <f>HYPERLINK("Melting_Curves/meltCurve_Q8N3Y1_2_FBXW8.pdf", "Melting_Curves/meltCurve_Q8N3Y1_2_FBXW8.pdf")</f>
        <v>Melting_Curves/meltCurve_Q8N3Y1_2_FBXW8.pdf</v>
      </c>
    </row>
    <row r="4368" spans="1:28" x14ac:dyDescent="0.25">
      <c r="A4368" t="s">
        <v>4371</v>
      </c>
      <c r="B4368">
        <v>0.99930955844802105</v>
      </c>
      <c r="C4368">
        <v>0.93506734682141901</v>
      </c>
      <c r="D4368">
        <v>0.90374982745597299</v>
      </c>
      <c r="E4368">
        <v>0.83587551845936203</v>
      </c>
      <c r="F4368">
        <v>0.63817877133649503</v>
      </c>
      <c r="G4368">
        <v>0.27385817126327</v>
      </c>
      <c r="H4368">
        <v>0.14804454817102899</v>
      </c>
      <c r="I4368">
        <v>0.13336392201622099</v>
      </c>
      <c r="J4368">
        <v>9.7439798380030099E-2</v>
      </c>
      <c r="K4368">
        <v>6.3165390165710794E-2</v>
      </c>
      <c r="L4368">
        <v>1031.2580154018201</v>
      </c>
      <c r="M4368">
        <v>19.1365203087515</v>
      </c>
      <c r="N4368">
        <v>54.285911567116301</v>
      </c>
      <c r="O4368">
        <v>53.311397670781702</v>
      </c>
      <c r="P4368">
        <v>-8.3891445408664903E-2</v>
      </c>
      <c r="Q4368">
        <v>6.5201650497071495E-2</v>
      </c>
      <c r="R4368">
        <v>0.99249794193598595</v>
      </c>
      <c r="S4368" t="s">
        <v>10984</v>
      </c>
      <c r="T4368" t="s">
        <v>13232</v>
      </c>
      <c r="U4368" t="s">
        <v>13232</v>
      </c>
      <c r="V4368" t="s">
        <v>13232</v>
      </c>
      <c r="W4368" t="s">
        <v>17537</v>
      </c>
      <c r="X4368">
        <v>5</v>
      </c>
      <c r="Y4368" t="s">
        <v>23955</v>
      </c>
      <c r="Z4368" t="s">
        <v>30499</v>
      </c>
      <c r="AA4368">
        <v>0.51165435112227065</v>
      </c>
      <c r="AB4368" t="str">
        <f>HYPERLINK("Melting_Curves/meltCurve_Q8N465_2_D2HGDH.pdf", "Melting_Curves/meltCurve_Q8N465_2_D2HGDH.pdf")</f>
        <v>Melting_Curves/meltCurve_Q8N465_2_D2HGDH.pdf</v>
      </c>
    </row>
    <row r="4369" spans="1:28" x14ac:dyDescent="0.25">
      <c r="A4369" t="s">
        <v>4372</v>
      </c>
      <c r="B4369">
        <v>0.99930955844802105</v>
      </c>
      <c r="C4369">
        <v>1.09903209694344</v>
      </c>
      <c r="D4369">
        <v>1.0574045658543401</v>
      </c>
      <c r="E4369">
        <v>1.0962647372280101</v>
      </c>
      <c r="F4369">
        <v>0.99297207311847502</v>
      </c>
      <c r="G4369">
        <v>0.89835260528164895</v>
      </c>
      <c r="H4369">
        <v>1.0254887355242599</v>
      </c>
      <c r="I4369">
        <v>1.13540864384465</v>
      </c>
      <c r="J4369">
        <v>1.1335305827062401</v>
      </c>
      <c r="K4369">
        <v>0.912990124559381</v>
      </c>
      <c r="L4369">
        <v>1.0000000000000001E-5</v>
      </c>
      <c r="M4369">
        <v>1.0000000000000001E-5</v>
      </c>
      <c r="Q4369">
        <v>1.0701503995765</v>
      </c>
      <c r="R4369">
        <v>-1.3459864334208799E-9</v>
      </c>
      <c r="S4369" t="s">
        <v>10985</v>
      </c>
      <c r="T4369" t="s">
        <v>13232</v>
      </c>
      <c r="U4369" t="s">
        <v>13232</v>
      </c>
      <c r="V4369" t="s">
        <v>13232</v>
      </c>
      <c r="W4369" t="s">
        <v>17538</v>
      </c>
      <c r="X4369">
        <v>5</v>
      </c>
      <c r="Y4369" t="s">
        <v>23956</v>
      </c>
      <c r="Z4369" t="s">
        <v>30500</v>
      </c>
      <c r="AA4369">
        <v>1.0350753718928101</v>
      </c>
      <c r="AB4369" t="str">
        <f>HYPERLINK("Melting_Curves/meltCurve_Q8N488_RYBP.pdf", "Melting_Curves/meltCurve_Q8N488_RYBP.pdf")</f>
        <v>Melting_Curves/meltCurve_Q8N488_RYBP.pdf</v>
      </c>
    </row>
    <row r="4370" spans="1:28" x14ac:dyDescent="0.25">
      <c r="A4370" t="s">
        <v>4373</v>
      </c>
      <c r="B4370">
        <v>0.99930955844802105</v>
      </c>
      <c r="C4370">
        <v>1.18507222963501</v>
      </c>
      <c r="D4370">
        <v>1.1624591938887101</v>
      </c>
      <c r="E4370">
        <v>1.1234853848859001</v>
      </c>
      <c r="F4370">
        <v>1.00247989679099</v>
      </c>
      <c r="G4370">
        <v>0.94497669868419099</v>
      </c>
      <c r="H4370">
        <v>0.97673786849278899</v>
      </c>
      <c r="I4370">
        <v>1.11945874004143</v>
      </c>
      <c r="J4370">
        <v>1.10054941711072</v>
      </c>
      <c r="K4370">
        <v>0.91480974033311702</v>
      </c>
      <c r="L4370">
        <v>10246.778681311</v>
      </c>
      <c r="M4370">
        <v>250</v>
      </c>
      <c r="O4370">
        <v>40.984491835980997</v>
      </c>
      <c r="P4370">
        <v>8.98081063110307E-2</v>
      </c>
      <c r="Q4370">
        <v>1.05889183350909</v>
      </c>
      <c r="R4370">
        <v>3.8444171020750498E-2</v>
      </c>
      <c r="S4370" t="s">
        <v>10986</v>
      </c>
      <c r="T4370" t="s">
        <v>13232</v>
      </c>
      <c r="U4370" t="s">
        <v>13232</v>
      </c>
      <c r="V4370" t="s">
        <v>13232</v>
      </c>
      <c r="W4370" t="s">
        <v>17539</v>
      </c>
      <c r="X4370">
        <v>20</v>
      </c>
      <c r="Y4370" t="s">
        <v>23957</v>
      </c>
      <c r="Z4370" t="s">
        <v>30501</v>
      </c>
      <c r="AA4370">
        <v>1.056949195039764</v>
      </c>
      <c r="AB4370" t="str">
        <f>HYPERLINK("Melting_Curves/meltCurve_Q8N4C8_4_MINK1.pdf", "Melting_Curves/meltCurve_Q8N4C8_4_MINK1.pdf")</f>
        <v>Melting_Curves/meltCurve_Q8N4C8_4_MINK1.pdf</v>
      </c>
    </row>
    <row r="4371" spans="1:28" x14ac:dyDescent="0.25">
      <c r="A4371" t="s">
        <v>4374</v>
      </c>
      <c r="B4371">
        <v>0.99930955844802105</v>
      </c>
      <c r="C4371">
        <v>1.2637444477006701</v>
      </c>
      <c r="D4371">
        <v>1.2483950731962301</v>
      </c>
      <c r="E4371">
        <v>1.2875964984873201</v>
      </c>
      <c r="F4371">
        <v>0.699331410611711</v>
      </c>
      <c r="G4371">
        <v>0.30641848058555698</v>
      </c>
      <c r="H4371">
        <v>0.212648734095057</v>
      </c>
      <c r="I4371">
        <v>0.19876538417490799</v>
      </c>
      <c r="J4371">
        <v>0.21772578911107501</v>
      </c>
      <c r="K4371">
        <v>0.146231848308254</v>
      </c>
      <c r="L4371">
        <v>13275.119576302999</v>
      </c>
      <c r="M4371">
        <v>250</v>
      </c>
      <c r="N4371">
        <v>53.221180527373598</v>
      </c>
      <c r="O4371">
        <v>53.097081664193801</v>
      </c>
      <c r="P4371">
        <v>-0.92241650383305696</v>
      </c>
      <c r="Q4371">
        <v>0.21635803120479999</v>
      </c>
      <c r="R4371">
        <v>0.89753926551094998</v>
      </c>
      <c r="S4371" t="s">
        <v>10987</v>
      </c>
      <c r="T4371" t="s">
        <v>13232</v>
      </c>
      <c r="U4371" t="s">
        <v>13232</v>
      </c>
      <c r="V4371" t="s">
        <v>13232</v>
      </c>
      <c r="W4371" t="s">
        <v>17540</v>
      </c>
      <c r="X4371">
        <v>5</v>
      </c>
      <c r="Y4371" t="s">
        <v>23958</v>
      </c>
      <c r="Z4371" t="s">
        <v>30502</v>
      </c>
      <c r="AA4371">
        <v>0.55863387957705113</v>
      </c>
      <c r="AB4371" t="str">
        <f>HYPERLINK("Melting_Curves/meltCurve_Q8N4J0_C9orf41.pdf", "Melting_Curves/meltCurve_Q8N4J0_C9orf41.pdf")</f>
        <v>Melting_Curves/meltCurve_Q8N4J0_C9orf41.pdf</v>
      </c>
    </row>
    <row r="4372" spans="1:28" x14ac:dyDescent="0.25">
      <c r="A4372" t="s">
        <v>4375</v>
      </c>
      <c r="B4372">
        <v>0.99930955844802105</v>
      </c>
      <c r="C4372">
        <v>0.97079088300323602</v>
      </c>
      <c r="D4372">
        <v>0.83403876846531999</v>
      </c>
      <c r="E4372">
        <v>0.558724405422374</v>
      </c>
      <c r="F4372">
        <v>0.21839597851739001</v>
      </c>
      <c r="G4372">
        <v>0.15828371228272001</v>
      </c>
      <c r="H4372">
        <v>9.3218273720122605E-2</v>
      </c>
      <c r="I4372">
        <v>0.10456339386094</v>
      </c>
      <c r="J4372">
        <v>0.103474932518066</v>
      </c>
      <c r="K4372">
        <v>7.3498661993843903E-2</v>
      </c>
      <c r="L4372">
        <v>1090.79749697382</v>
      </c>
      <c r="M4372">
        <v>21.951046517279</v>
      </c>
      <c r="N4372">
        <v>50.1246486017141</v>
      </c>
      <c r="O4372">
        <v>49.285381784628797</v>
      </c>
      <c r="P4372">
        <v>-0.101745257289469</v>
      </c>
      <c r="Q4372">
        <v>8.62502320376861E-2</v>
      </c>
      <c r="R4372">
        <v>0.99484744284197302</v>
      </c>
      <c r="S4372" t="s">
        <v>10988</v>
      </c>
      <c r="T4372" t="s">
        <v>13232</v>
      </c>
      <c r="U4372" t="s">
        <v>13232</v>
      </c>
      <c r="V4372" t="s">
        <v>13232</v>
      </c>
      <c r="W4372" t="s">
        <v>17541</v>
      </c>
      <c r="X4372">
        <v>11</v>
      </c>
      <c r="Y4372" t="s">
        <v>23959</v>
      </c>
      <c r="Z4372" t="s">
        <v>30503</v>
      </c>
      <c r="AA4372">
        <v>0.39204415003176057</v>
      </c>
      <c r="AB4372" t="str">
        <f>HYPERLINK("Melting_Curves/meltCurve_Q8N4N3_2_KLHL36.pdf", "Melting_Curves/meltCurve_Q8N4N3_2_KLHL36.pdf")</f>
        <v>Melting_Curves/meltCurve_Q8N4N3_2_KLHL36.pdf</v>
      </c>
    </row>
    <row r="4373" spans="1:28" x14ac:dyDescent="0.25">
      <c r="A4373" t="s">
        <v>4376</v>
      </c>
      <c r="B4373">
        <v>0.99930955844802105</v>
      </c>
      <c r="C4373">
        <v>0.955629243535283</v>
      </c>
      <c r="D4373">
        <v>0.84727460825830103</v>
      </c>
      <c r="E4373">
        <v>0.644740401243734</v>
      </c>
      <c r="F4373">
        <v>0.338778766107796</v>
      </c>
      <c r="G4373">
        <v>0.18830228814140801</v>
      </c>
      <c r="H4373">
        <v>0.111381252423598</v>
      </c>
      <c r="I4373">
        <v>8.8814490235780405E-2</v>
      </c>
      <c r="J4373">
        <v>8.67475076301083E-2</v>
      </c>
      <c r="K4373">
        <v>6.5364746267228296E-2</v>
      </c>
      <c r="L4373">
        <v>901.36957557488199</v>
      </c>
      <c r="M4373">
        <v>17.722187594595901</v>
      </c>
      <c r="N4373">
        <v>51.257196849378502</v>
      </c>
      <c r="O4373">
        <v>50.226765621324397</v>
      </c>
      <c r="P4373">
        <v>-8.2570046176732595E-2</v>
      </c>
      <c r="Q4373">
        <v>6.3996565424395802E-2</v>
      </c>
      <c r="R4373">
        <v>0.99711534000435398</v>
      </c>
      <c r="S4373" t="s">
        <v>10989</v>
      </c>
      <c r="T4373" t="s">
        <v>13232</v>
      </c>
      <c r="U4373" t="s">
        <v>13232</v>
      </c>
      <c r="V4373" t="s">
        <v>13232</v>
      </c>
      <c r="W4373" t="s">
        <v>17542</v>
      </c>
      <c r="X4373">
        <v>7</v>
      </c>
      <c r="Y4373" t="s">
        <v>23960</v>
      </c>
      <c r="Z4373" t="s">
        <v>30504</v>
      </c>
      <c r="AA4373">
        <v>0.41911147248944891</v>
      </c>
      <c r="AB4373" t="str">
        <f>HYPERLINK("Melting_Curves/meltCurve_Q8N4P3_HDDC3.pdf", "Melting_Curves/meltCurve_Q8N4P3_HDDC3.pdf")</f>
        <v>Melting_Curves/meltCurve_Q8N4P3_HDDC3.pdf</v>
      </c>
    </row>
    <row r="4374" spans="1:28" x14ac:dyDescent="0.25">
      <c r="A4374" t="s">
        <v>4377</v>
      </c>
      <c r="B4374">
        <v>0.99930955844802105</v>
      </c>
      <c r="C4374">
        <v>0.97778859371107996</v>
      </c>
      <c r="D4374">
        <v>0.81518962115822802</v>
      </c>
      <c r="E4374">
        <v>0.44153402019821197</v>
      </c>
      <c r="F4374">
        <v>0.28754391221759901</v>
      </c>
      <c r="G4374">
        <v>0.22394669090529601</v>
      </c>
      <c r="H4374">
        <v>0.147250342997269</v>
      </c>
      <c r="I4374">
        <v>0.10299490280463899</v>
      </c>
      <c r="J4374">
        <v>7.0562842419681998E-2</v>
      </c>
      <c r="K4374">
        <v>5.1061657423594302E-2</v>
      </c>
      <c r="L4374">
        <v>895.39933844404402</v>
      </c>
      <c r="M4374">
        <v>18.1893383300491</v>
      </c>
      <c r="N4374">
        <v>49.773372300286098</v>
      </c>
      <c r="O4374">
        <v>48.643175119887204</v>
      </c>
      <c r="P4374">
        <v>-8.5021855486747094E-2</v>
      </c>
      <c r="Q4374">
        <v>9.0557984821883195E-2</v>
      </c>
      <c r="R4374">
        <v>0.99162739403628197</v>
      </c>
      <c r="S4374" t="s">
        <v>10990</v>
      </c>
      <c r="T4374" t="s">
        <v>13232</v>
      </c>
      <c r="U4374" t="s">
        <v>13232</v>
      </c>
      <c r="V4374" t="s">
        <v>13232</v>
      </c>
      <c r="W4374" t="s">
        <v>17543</v>
      </c>
      <c r="X4374">
        <v>2</v>
      </c>
      <c r="Y4374" t="s">
        <v>23961</v>
      </c>
      <c r="Z4374" t="s">
        <v>30505</v>
      </c>
      <c r="AA4374">
        <v>0.38562744888115202</v>
      </c>
      <c r="AB4374" t="str">
        <f>HYPERLINK("Melting_Curves/meltCurve_Q8N4Q0_ZADH2.pdf", "Melting_Curves/meltCurve_Q8N4Q0_ZADH2.pdf")</f>
        <v>Melting_Curves/meltCurve_Q8N4Q0_ZADH2.pdf</v>
      </c>
    </row>
    <row r="4375" spans="1:28" x14ac:dyDescent="0.25">
      <c r="A4375" t="s">
        <v>4378</v>
      </c>
      <c r="B4375">
        <v>0.99930955844802105</v>
      </c>
      <c r="C4375">
        <v>1.13499350935043</v>
      </c>
      <c r="D4375">
        <v>1.1022680239540501</v>
      </c>
      <c r="E4375">
        <v>1.1900486693458701</v>
      </c>
      <c r="F4375">
        <v>1.19700920714423</v>
      </c>
      <c r="G4375">
        <v>1.1938530959050999</v>
      </c>
      <c r="H4375">
        <v>1.4690255765811899</v>
      </c>
      <c r="I4375">
        <v>1.5152305260704</v>
      </c>
      <c r="J4375">
        <v>1.9533023350374701</v>
      </c>
      <c r="K4375">
        <v>1.21531217778225</v>
      </c>
      <c r="L4375">
        <v>745.84207840279998</v>
      </c>
      <c r="M4375">
        <v>13.9912880284315</v>
      </c>
      <c r="O4375">
        <v>52.254040190730201</v>
      </c>
      <c r="P4375">
        <v>3.34738327739851E-2</v>
      </c>
      <c r="Q4375">
        <v>1.5</v>
      </c>
      <c r="R4375">
        <v>0.49232723622552499</v>
      </c>
      <c r="S4375" t="s">
        <v>10991</v>
      </c>
      <c r="T4375" t="s">
        <v>13232</v>
      </c>
      <c r="U4375" t="s">
        <v>13232</v>
      </c>
      <c r="V4375" t="s">
        <v>13232</v>
      </c>
      <c r="W4375" t="s">
        <v>17544</v>
      </c>
      <c r="X4375">
        <v>3</v>
      </c>
      <c r="Y4375" t="s">
        <v>23962</v>
      </c>
      <c r="Z4375" t="s">
        <v>30506</v>
      </c>
      <c r="AA4375">
        <v>1.266583126199434</v>
      </c>
      <c r="AB4375" t="str">
        <f>HYPERLINK("Melting_Curves/meltCurve_Q8N4Q1_CHCHD4.pdf", "Melting_Curves/meltCurve_Q8N4Q1_CHCHD4.pdf")</f>
        <v>Melting_Curves/meltCurve_Q8N4Q1_CHCHD4.pdf</v>
      </c>
    </row>
    <row r="4376" spans="1:28" x14ac:dyDescent="0.25">
      <c r="A4376" t="s">
        <v>4379</v>
      </c>
      <c r="B4376">
        <v>0.99930955844802105</v>
      </c>
      <c r="C4376">
        <v>0.93324646190495297</v>
      </c>
      <c r="D4376">
        <v>0.88377792410112099</v>
      </c>
      <c r="E4376">
        <v>0.78841740590256704</v>
      </c>
      <c r="F4376">
        <v>0.71840528625337396</v>
      </c>
      <c r="G4376">
        <v>0.55249078687486397</v>
      </c>
      <c r="H4376">
        <v>0.36197897162181403</v>
      </c>
      <c r="I4376">
        <v>0.283240291639558</v>
      </c>
      <c r="J4376">
        <v>0.17551975069207701</v>
      </c>
      <c r="K4376">
        <v>0.109804288746205</v>
      </c>
      <c r="L4376">
        <v>564.65353279854696</v>
      </c>
      <c r="M4376">
        <v>9.8243914835946402</v>
      </c>
      <c r="N4376">
        <v>57.4746572074258</v>
      </c>
      <c r="O4376">
        <v>55.245203281553103</v>
      </c>
      <c r="P4376">
        <v>-4.4481258269294797E-2</v>
      </c>
      <c r="Q4376">
        <v>0</v>
      </c>
      <c r="R4376">
        <v>0.99302451635595201</v>
      </c>
      <c r="S4376" t="s">
        <v>10992</v>
      </c>
      <c r="T4376" t="s">
        <v>13232</v>
      </c>
      <c r="U4376" t="s">
        <v>13232</v>
      </c>
      <c r="V4376" t="s">
        <v>13232</v>
      </c>
      <c r="W4376" t="s">
        <v>17545</v>
      </c>
      <c r="X4376">
        <v>4</v>
      </c>
      <c r="Y4376" t="s">
        <v>23963</v>
      </c>
      <c r="Z4376" t="s">
        <v>30507</v>
      </c>
      <c r="AA4376">
        <v>0.59528943547211921</v>
      </c>
      <c r="AB4376" t="str">
        <f>HYPERLINK("Melting_Curves/meltCurve_Q8N4T8_CBR4.pdf", "Melting_Curves/meltCurve_Q8N4T8_CBR4.pdf")</f>
        <v>Melting_Curves/meltCurve_Q8N4T8_CBR4.pdf</v>
      </c>
    </row>
    <row r="4377" spans="1:28" x14ac:dyDescent="0.25">
      <c r="A4377" t="s">
        <v>4380</v>
      </c>
      <c r="B4377">
        <v>0.99930955844802105</v>
      </c>
      <c r="C4377">
        <v>1.6297605914572999</v>
      </c>
      <c r="D4377">
        <v>1.3523596580995401</v>
      </c>
      <c r="E4377">
        <v>1.4270529338822699</v>
      </c>
      <c r="F4377">
        <v>1.2846664839316499</v>
      </c>
      <c r="G4377">
        <v>1.95168353609697</v>
      </c>
      <c r="H4377">
        <v>2.5967678639773299</v>
      </c>
      <c r="I4377">
        <v>3.2812064156856402</v>
      </c>
      <c r="J4377">
        <v>3.73263820353929</v>
      </c>
      <c r="K4377">
        <v>2.9872626767253299</v>
      </c>
      <c r="L4377">
        <v>10259.204675901299</v>
      </c>
      <c r="M4377">
        <v>250</v>
      </c>
      <c r="O4377">
        <v>41.034188318215399</v>
      </c>
      <c r="P4377">
        <v>0.76156000731132401</v>
      </c>
      <c r="Q4377">
        <v>1.5</v>
      </c>
      <c r="R4377">
        <v>-0.44360139938355603</v>
      </c>
      <c r="S4377" t="s">
        <v>10993</v>
      </c>
      <c r="T4377" t="s">
        <v>13232</v>
      </c>
      <c r="U4377" t="s">
        <v>13232</v>
      </c>
      <c r="V4377" t="s">
        <v>13232</v>
      </c>
      <c r="W4377" t="s">
        <v>17546</v>
      </c>
      <c r="X4377">
        <v>2</v>
      </c>
      <c r="Y4377" t="s">
        <v>23964</v>
      </c>
      <c r="Z4377" t="s">
        <v>30508</v>
      </c>
      <c r="AA4377">
        <v>1.482679726197567</v>
      </c>
      <c r="AB4377" t="str">
        <f>HYPERLINK("Melting_Curves/meltCurve_Q8N4W9_2_ZNF808.pdf", "Melting_Curves/meltCurve_Q8N4W9_2_ZNF808.pdf")</f>
        <v>Melting_Curves/meltCurve_Q8N4W9_2_ZNF808.pdf</v>
      </c>
    </row>
    <row r="4378" spans="1:28" x14ac:dyDescent="0.25">
      <c r="A4378" t="s">
        <v>4381</v>
      </c>
      <c r="B4378">
        <v>0.99930955844802105</v>
      </c>
      <c r="C4378">
        <v>1.0123254019412999</v>
      </c>
      <c r="D4378">
        <v>0.98121173576276899</v>
      </c>
      <c r="E4378">
        <v>0.85809905677732401</v>
      </c>
      <c r="F4378">
        <v>0.62089382063642196</v>
      </c>
      <c r="G4378">
        <v>0.458807767851594</v>
      </c>
      <c r="H4378">
        <v>0.41527057234980302</v>
      </c>
      <c r="I4378">
        <v>0.42859371879249802</v>
      </c>
      <c r="J4378">
        <v>0.42672615355399401</v>
      </c>
      <c r="K4378">
        <v>0.34103020796605099</v>
      </c>
      <c r="L4378">
        <v>1403.1685583600699</v>
      </c>
      <c r="M4378">
        <v>26.950142961510501</v>
      </c>
      <c r="N4378">
        <v>55.352258278498702</v>
      </c>
      <c r="O4378">
        <v>51.781206729012297</v>
      </c>
      <c r="P4378">
        <v>-7.8188901498213698E-2</v>
      </c>
      <c r="Q4378">
        <v>0.39908656211357701</v>
      </c>
      <c r="R4378">
        <v>0.99253732635060499</v>
      </c>
      <c r="S4378" t="s">
        <v>10994</v>
      </c>
      <c r="T4378" t="s">
        <v>13232</v>
      </c>
      <c r="U4378" t="s">
        <v>13232</v>
      </c>
      <c r="V4378" t="s">
        <v>13232</v>
      </c>
      <c r="W4378" t="s">
        <v>17547</v>
      </c>
      <c r="X4378">
        <v>7</v>
      </c>
      <c r="Y4378" t="s">
        <v>23965</v>
      </c>
      <c r="Z4378" t="s">
        <v>30509</v>
      </c>
      <c r="AA4378">
        <v>0.64550673445602791</v>
      </c>
      <c r="AB4378" t="str">
        <f>HYPERLINK("Melting_Curves/meltCurve_Q8N556_AFAP1.pdf", "Melting_Curves/meltCurve_Q8N556_AFAP1.pdf")</f>
        <v>Melting_Curves/meltCurve_Q8N556_AFAP1.pdf</v>
      </c>
    </row>
    <row r="4379" spans="1:28" x14ac:dyDescent="0.25">
      <c r="A4379" t="s">
        <v>4382</v>
      </c>
      <c r="B4379">
        <v>0.99930955844802105</v>
      </c>
      <c r="C4379">
        <v>1.10283706214368</v>
      </c>
      <c r="D4379">
        <v>1.00606173151028</v>
      </c>
      <c r="E4379">
        <v>1.0574301363029599</v>
      </c>
      <c r="F4379">
        <v>1.02770651683492</v>
      </c>
      <c r="G4379">
        <v>0.94973002235654602</v>
      </c>
      <c r="H4379">
        <v>0.97811460287184404</v>
      </c>
      <c r="I4379">
        <v>1.20196275565511</v>
      </c>
      <c r="J4379">
        <v>1.3522863610639699</v>
      </c>
      <c r="K4379">
        <v>1.01257348109916</v>
      </c>
      <c r="L4379">
        <v>15000</v>
      </c>
      <c r="M4379">
        <v>239.88725569501401</v>
      </c>
      <c r="O4379">
        <v>62.5250179449014</v>
      </c>
      <c r="P4379">
        <v>0.18143376536559899</v>
      </c>
      <c r="Q4379">
        <v>1.1891580490232001</v>
      </c>
      <c r="R4379">
        <v>0.44105410095056702</v>
      </c>
      <c r="S4379" t="s">
        <v>10995</v>
      </c>
      <c r="T4379" t="s">
        <v>13232</v>
      </c>
      <c r="U4379" t="s">
        <v>13232</v>
      </c>
      <c r="V4379" t="s">
        <v>13232</v>
      </c>
      <c r="W4379" t="s">
        <v>17548</v>
      </c>
      <c r="X4379">
        <v>4</v>
      </c>
      <c r="Y4379" t="s">
        <v>23966</v>
      </c>
      <c r="Z4379" t="s">
        <v>30510</v>
      </c>
      <c r="AA4379">
        <v>1.047081754138433</v>
      </c>
      <c r="AB4379" t="str">
        <f>HYPERLINK("Melting_Curves/meltCurve_Q8N567_ZCCHC9.pdf", "Melting_Curves/meltCurve_Q8N567_ZCCHC9.pdf")</f>
        <v>Melting_Curves/meltCurve_Q8N567_ZCCHC9.pdf</v>
      </c>
    </row>
    <row r="4380" spans="1:28" x14ac:dyDescent="0.25">
      <c r="A4380" t="s">
        <v>4383</v>
      </c>
      <c r="B4380">
        <v>0.99930955844802105</v>
      </c>
      <c r="C4380">
        <v>1.1217297310537899</v>
      </c>
      <c r="D4380">
        <v>1.0721621854743599</v>
      </c>
      <c r="E4380">
        <v>1.0362954024190001</v>
      </c>
      <c r="F4380">
        <v>0.94210541100395295</v>
      </c>
      <c r="G4380">
        <v>0.71374533957818898</v>
      </c>
      <c r="H4380">
        <v>0.48512232363466701</v>
      </c>
      <c r="I4380">
        <v>0.44537945258786998</v>
      </c>
      <c r="J4380">
        <v>0.44501813232245002</v>
      </c>
      <c r="K4380">
        <v>0.35328220917161501</v>
      </c>
      <c r="L4380">
        <v>1635.9720647184699</v>
      </c>
      <c r="M4380">
        <v>28.572562409764</v>
      </c>
      <c r="N4380">
        <v>60.655963199643999</v>
      </c>
      <c r="O4380">
        <v>56.978478920575803</v>
      </c>
      <c r="P4380">
        <v>-7.5323249257988903E-2</v>
      </c>
      <c r="Q4380">
        <v>0.39917596031376801</v>
      </c>
      <c r="R4380">
        <v>0.96852763381728402</v>
      </c>
      <c r="S4380" t="s">
        <v>10996</v>
      </c>
      <c r="T4380" t="s">
        <v>13232</v>
      </c>
      <c r="U4380" t="s">
        <v>13232</v>
      </c>
      <c r="V4380" t="s">
        <v>13232</v>
      </c>
      <c r="W4380" t="s">
        <v>17549</v>
      </c>
      <c r="X4380">
        <v>27</v>
      </c>
      <c r="Y4380" t="s">
        <v>23967</v>
      </c>
      <c r="Z4380" t="s">
        <v>30511</v>
      </c>
      <c r="AA4380">
        <v>0.74912528808149326</v>
      </c>
      <c r="AB4380" t="str">
        <f>HYPERLINK("Melting_Curves/meltCurve_Q8N573_8_OXR1.pdf", "Melting_Curves/meltCurve_Q8N573_8_OXR1.pdf")</f>
        <v>Melting_Curves/meltCurve_Q8N573_8_OXR1.pdf</v>
      </c>
    </row>
    <row r="4381" spans="1:28" x14ac:dyDescent="0.25">
      <c r="A4381" t="s">
        <v>4384</v>
      </c>
      <c r="B4381">
        <v>0.99930955844802105</v>
      </c>
      <c r="C4381">
        <v>1.03536692746133</v>
      </c>
      <c r="D4381">
        <v>0.94241014455952299</v>
      </c>
      <c r="E4381">
        <v>0.72164402145550599</v>
      </c>
      <c r="F4381">
        <v>0.50461939784473298</v>
      </c>
      <c r="G4381">
        <v>0.39680624725472502</v>
      </c>
      <c r="H4381">
        <v>0.33467841655004099</v>
      </c>
      <c r="I4381">
        <v>0.36992929850764</v>
      </c>
      <c r="J4381">
        <v>0.34537953185706999</v>
      </c>
      <c r="K4381">
        <v>0.32002318678760999</v>
      </c>
      <c r="L4381">
        <v>1233.9341144313</v>
      </c>
      <c r="M4381">
        <v>24.361594008601099</v>
      </c>
      <c r="N4381">
        <v>53.151134761220703</v>
      </c>
      <c r="O4381">
        <v>50.313210848476999</v>
      </c>
      <c r="P4381">
        <v>-7.9766865510277701E-2</v>
      </c>
      <c r="Q4381">
        <v>0.34105021975608601</v>
      </c>
      <c r="R4381">
        <v>0.99558299232830105</v>
      </c>
      <c r="S4381" t="s">
        <v>10997</v>
      </c>
      <c r="T4381" t="s">
        <v>13232</v>
      </c>
      <c r="U4381" t="s">
        <v>13232</v>
      </c>
      <c r="V4381" t="s">
        <v>13232</v>
      </c>
      <c r="W4381" t="s">
        <v>17550</v>
      </c>
      <c r="X4381">
        <v>7</v>
      </c>
      <c r="Y4381" t="s">
        <v>23968</v>
      </c>
      <c r="Z4381" t="s">
        <v>30512</v>
      </c>
      <c r="AA4381">
        <v>0.58123664754157478</v>
      </c>
      <c r="AB4381" t="str">
        <f>HYPERLINK("Melting_Curves/meltCurve_Q8N5A5_3_ZGPAT.pdf", "Melting_Curves/meltCurve_Q8N5A5_3_ZGPAT.pdf")</f>
        <v>Melting_Curves/meltCurve_Q8N5A5_3_ZGPAT.pdf</v>
      </c>
    </row>
    <row r="4382" spans="1:28" x14ac:dyDescent="0.25">
      <c r="A4382" t="s">
        <v>4385</v>
      </c>
      <c r="B4382">
        <v>0.99930955844802105</v>
      </c>
      <c r="C4382">
        <v>0.84376410484964903</v>
      </c>
      <c r="D4382">
        <v>0.71448134993911105</v>
      </c>
      <c r="E4382">
        <v>0.53841046118427205</v>
      </c>
      <c r="F4382">
        <v>0.37649597688791597</v>
      </c>
      <c r="G4382">
        <v>0.29693942831478798</v>
      </c>
      <c r="H4382">
        <v>0.20342757561576599</v>
      </c>
      <c r="I4382">
        <v>0.19697151473159899</v>
      </c>
      <c r="J4382">
        <v>0.18859022345687201</v>
      </c>
      <c r="K4382">
        <v>0.121691081083207</v>
      </c>
      <c r="L4382">
        <v>568.05483144551602</v>
      </c>
      <c r="M4382">
        <v>11.5449126266357</v>
      </c>
      <c r="N4382">
        <v>50.496837547495801</v>
      </c>
      <c r="O4382">
        <v>47.797107374735504</v>
      </c>
      <c r="P4382">
        <v>-5.2673081830531501E-2</v>
      </c>
      <c r="Q4382">
        <v>0.12795658847803801</v>
      </c>
      <c r="R4382">
        <v>0.992335551214231</v>
      </c>
      <c r="S4382" t="s">
        <v>10998</v>
      </c>
      <c r="T4382" t="s">
        <v>13232</v>
      </c>
      <c r="U4382" t="s">
        <v>13232</v>
      </c>
      <c r="V4382" t="s">
        <v>13232</v>
      </c>
      <c r="W4382" t="s">
        <v>17551</v>
      </c>
      <c r="X4382">
        <v>2</v>
      </c>
      <c r="Y4382" t="s">
        <v>23969</v>
      </c>
      <c r="Z4382" t="s">
        <v>30513</v>
      </c>
      <c r="AA4382">
        <v>0.42920313838110058</v>
      </c>
      <c r="AB4382" t="str">
        <f>HYPERLINK("Melting_Curves/meltCurve_Q8N5C6_SRBD1.pdf", "Melting_Curves/meltCurve_Q8N5C6_SRBD1.pdf")</f>
        <v>Melting_Curves/meltCurve_Q8N5C6_SRBD1.pdf</v>
      </c>
    </row>
    <row r="4383" spans="1:28" x14ac:dyDescent="0.25">
      <c r="A4383" t="s">
        <v>4386</v>
      </c>
      <c r="B4383">
        <v>0.99930955844802105</v>
      </c>
      <c r="C4383">
        <v>0.74174291260377301</v>
      </c>
      <c r="D4383">
        <v>0.56885879849023502</v>
      </c>
      <c r="E4383">
        <v>0.32161871825986099</v>
      </c>
      <c r="F4383">
        <v>0.16175384959992301</v>
      </c>
      <c r="G4383">
        <v>0.12929830955454499</v>
      </c>
      <c r="H4383">
        <v>7.7623333034234104E-2</v>
      </c>
      <c r="I4383">
        <v>9.1780033952372095E-2</v>
      </c>
      <c r="J4383">
        <v>0.120170082487234</v>
      </c>
      <c r="K4383">
        <v>0.119027334667292</v>
      </c>
      <c r="L4383">
        <v>761.84009412246201</v>
      </c>
      <c r="M4383">
        <v>16.5142944956098</v>
      </c>
      <c r="N4383">
        <v>46.7155025426053</v>
      </c>
      <c r="O4383">
        <v>45.471630838636003</v>
      </c>
      <c r="P4383">
        <v>-8.2340757473187004E-2</v>
      </c>
      <c r="Q4383">
        <v>9.3171268262182499E-2</v>
      </c>
      <c r="R4383">
        <v>0.98810641561662504</v>
      </c>
      <c r="S4383" t="s">
        <v>10999</v>
      </c>
      <c r="T4383" t="s">
        <v>13232</v>
      </c>
      <c r="U4383" t="s">
        <v>13232</v>
      </c>
      <c r="V4383" t="s">
        <v>13232</v>
      </c>
      <c r="W4383" t="s">
        <v>17552</v>
      </c>
      <c r="X4383">
        <v>2</v>
      </c>
      <c r="Y4383" t="s">
        <v>23970</v>
      </c>
      <c r="Z4383" t="s">
        <v>30514</v>
      </c>
      <c r="AA4383">
        <v>0.29985591829273539</v>
      </c>
      <c r="AB4383" t="str">
        <f>HYPERLINK("Melting_Curves/meltCurve_Q8N5C7_DTWD1.pdf", "Melting_Curves/meltCurve_Q8N5C7_DTWD1.pdf")</f>
        <v>Melting_Curves/meltCurve_Q8N5C7_DTWD1.pdf</v>
      </c>
    </row>
    <row r="4384" spans="1:28" x14ac:dyDescent="0.25">
      <c r="A4384" t="s">
        <v>4387</v>
      </c>
      <c r="B4384">
        <v>0.99930955844802105</v>
      </c>
      <c r="C4384">
        <v>1.1491076043880799</v>
      </c>
      <c r="D4384">
        <v>1.11989340627019</v>
      </c>
      <c r="E4384">
        <v>0.97607348364830504</v>
      </c>
      <c r="F4384">
        <v>0.87896984562300895</v>
      </c>
      <c r="G4384">
        <v>0.69269226506875103</v>
      </c>
      <c r="H4384">
        <v>0.63953587812017698</v>
      </c>
      <c r="I4384">
        <v>0.63048535856499599</v>
      </c>
      <c r="J4384">
        <v>0.60432645908733595</v>
      </c>
      <c r="K4384">
        <v>0.47347499280326399</v>
      </c>
      <c r="L4384">
        <v>1216.4844091398199</v>
      </c>
      <c r="M4384">
        <v>21.894476937452399</v>
      </c>
      <c r="O4384">
        <v>55.103968482079701</v>
      </c>
      <c r="P4384">
        <v>-4.3897198058443998E-2</v>
      </c>
      <c r="Q4384">
        <v>0.55808857234878195</v>
      </c>
      <c r="R4384">
        <v>0.89940522423009595</v>
      </c>
      <c r="S4384" t="s">
        <v>11000</v>
      </c>
      <c r="T4384" t="s">
        <v>13232</v>
      </c>
      <c r="U4384" t="s">
        <v>13232</v>
      </c>
      <c r="V4384" t="s">
        <v>13232</v>
      </c>
      <c r="W4384" t="s">
        <v>17553</v>
      </c>
      <c r="X4384">
        <v>10</v>
      </c>
      <c r="Y4384" t="s">
        <v>23971</v>
      </c>
      <c r="Z4384" t="s">
        <v>30515</v>
      </c>
      <c r="AA4384">
        <v>0.79236946221921722</v>
      </c>
      <c r="AB4384" t="str">
        <f>HYPERLINK("Melting_Curves/meltCurve_Q8N5C8_2_TAB3.pdf", "Melting_Curves/meltCurve_Q8N5C8_2_TAB3.pdf")</f>
        <v>Melting_Curves/meltCurve_Q8N5C8_2_TAB3.pdf</v>
      </c>
    </row>
    <row r="4385" spans="1:28" x14ac:dyDescent="0.25">
      <c r="A4385" t="s">
        <v>4388</v>
      </c>
      <c r="B4385">
        <v>0.99930955844802105</v>
      </c>
      <c r="C4385">
        <v>0.78402709212336197</v>
      </c>
      <c r="D4385">
        <v>0.56522889648367702</v>
      </c>
      <c r="E4385">
        <v>0.43197286630677501</v>
      </c>
      <c r="F4385">
        <v>0.27630252454998999</v>
      </c>
      <c r="G4385">
        <v>0.19529607814296901</v>
      </c>
      <c r="H4385">
        <v>0.13958470184141999</v>
      </c>
      <c r="I4385">
        <v>0.14291021110682001</v>
      </c>
      <c r="J4385">
        <v>0.12733560064888499</v>
      </c>
      <c r="K4385">
        <v>0.106394782641433</v>
      </c>
      <c r="L4385">
        <v>617.27801356316195</v>
      </c>
      <c r="M4385">
        <v>13.129108522912199</v>
      </c>
      <c r="N4385">
        <v>47.913121755467898</v>
      </c>
      <c r="O4385">
        <v>45.965370539844798</v>
      </c>
      <c r="P4385">
        <v>-6.3636806674938595E-2</v>
      </c>
      <c r="Q4385">
        <v>0.108974750714507</v>
      </c>
      <c r="R4385">
        <v>0.98640115142354001</v>
      </c>
      <c r="S4385" t="s">
        <v>11001</v>
      </c>
      <c r="T4385" t="s">
        <v>13232</v>
      </c>
      <c r="U4385" t="s">
        <v>13232</v>
      </c>
      <c r="V4385" t="s">
        <v>13232</v>
      </c>
      <c r="W4385" t="s">
        <v>17554</v>
      </c>
      <c r="X4385">
        <v>3</v>
      </c>
      <c r="Y4385" t="s">
        <v>23972</v>
      </c>
      <c r="Z4385" t="s">
        <v>30516</v>
      </c>
      <c r="AA4385">
        <v>0.34890527853514891</v>
      </c>
      <c r="AB4385" t="str">
        <f>HYPERLINK("Melting_Curves/meltCurve_Q8N5D0_4_WDTC1.pdf", "Melting_Curves/meltCurve_Q8N5D0_4_WDTC1.pdf")</f>
        <v>Melting_Curves/meltCurve_Q8N5D0_4_WDTC1.pdf</v>
      </c>
    </row>
    <row r="4386" spans="1:28" x14ac:dyDescent="0.25">
      <c r="A4386" t="s">
        <v>4389</v>
      </c>
      <c r="B4386">
        <v>0.99930955844802105</v>
      </c>
      <c r="C4386">
        <v>1.03246199962861</v>
      </c>
      <c r="D4386">
        <v>1.16863712172969</v>
      </c>
      <c r="E4386">
        <v>1.1971689401494601</v>
      </c>
      <c r="F4386">
        <v>1.0289669022797101</v>
      </c>
      <c r="G4386">
        <v>0.74112183278608301</v>
      </c>
      <c r="H4386">
        <v>0.69824710025924797</v>
      </c>
      <c r="I4386">
        <v>0.75279074474134999</v>
      </c>
      <c r="J4386">
        <v>0.78221750332006801</v>
      </c>
      <c r="K4386">
        <v>0.61512480440052197</v>
      </c>
      <c r="L4386">
        <v>14125.276180245901</v>
      </c>
      <c r="M4386">
        <v>250</v>
      </c>
      <c r="O4386">
        <v>56.497489117260898</v>
      </c>
      <c r="P4386">
        <v>-0.31849310055650398</v>
      </c>
      <c r="Q4386">
        <v>0.71209503308555699</v>
      </c>
      <c r="R4386">
        <v>0.77946743868815505</v>
      </c>
      <c r="S4386" t="s">
        <v>11002</v>
      </c>
      <c r="T4386" t="s">
        <v>13232</v>
      </c>
      <c r="U4386" t="s">
        <v>13232</v>
      </c>
      <c r="V4386" t="s">
        <v>13232</v>
      </c>
      <c r="W4386" t="s">
        <v>17555</v>
      </c>
      <c r="X4386">
        <v>11</v>
      </c>
      <c r="Y4386" t="s">
        <v>23973</v>
      </c>
      <c r="Z4386" t="s">
        <v>30517</v>
      </c>
      <c r="AA4386">
        <v>0.87048191495221583</v>
      </c>
      <c r="AB4386" t="str">
        <f>HYPERLINK("Melting_Curves/meltCurve_Q8N5F7_NKAP.pdf", "Melting_Curves/meltCurve_Q8N5F7_NKAP.pdf")</f>
        <v>Melting_Curves/meltCurve_Q8N5F7_NKAP.pdf</v>
      </c>
    </row>
    <row r="4387" spans="1:28" x14ac:dyDescent="0.25">
      <c r="A4387" t="s">
        <v>4390</v>
      </c>
      <c r="B4387">
        <v>0.99930955844802105</v>
      </c>
      <c r="C4387">
        <v>1.30016251099383</v>
      </c>
      <c r="D4387">
        <v>1.1513426625032399</v>
      </c>
      <c r="E4387">
        <v>1.10303073763876</v>
      </c>
      <c r="F4387">
        <v>1.05201435187534</v>
      </c>
      <c r="G4387">
        <v>0.87464084415797105</v>
      </c>
      <c r="H4387">
        <v>0.93859788735685101</v>
      </c>
      <c r="I4387">
        <v>0.99768055198787298</v>
      </c>
      <c r="J4387">
        <v>1.0182093421415599</v>
      </c>
      <c r="K4387">
        <v>0.82080995241690302</v>
      </c>
      <c r="L4387">
        <v>15000</v>
      </c>
      <c r="M4387">
        <v>212.763857127498</v>
      </c>
      <c r="Q4387">
        <v>0</v>
      </c>
      <c r="R4387">
        <v>0.14888505191958201</v>
      </c>
      <c r="S4387" t="s">
        <v>11003</v>
      </c>
      <c r="T4387" t="s">
        <v>13232</v>
      </c>
      <c r="U4387" t="s">
        <v>13232</v>
      </c>
      <c r="V4387" t="s">
        <v>13232</v>
      </c>
      <c r="W4387" t="s">
        <v>17556</v>
      </c>
      <c r="X4387">
        <v>13</v>
      </c>
      <c r="Y4387" t="s">
        <v>23974</v>
      </c>
      <c r="Z4387" t="s">
        <v>30518</v>
      </c>
      <c r="AA4387">
        <v>0.99787064763906208</v>
      </c>
      <c r="AB4387" t="str">
        <f>HYPERLINK("Melting_Curves/meltCurve_Q8N5G2_TMEM57.pdf", "Melting_Curves/meltCurve_Q8N5G2_TMEM57.pdf")</f>
        <v>Melting_Curves/meltCurve_Q8N5G2_TMEM57.pdf</v>
      </c>
    </row>
    <row r="4388" spans="1:28" x14ac:dyDescent="0.25">
      <c r="A4388" t="s">
        <v>4391</v>
      </c>
      <c r="B4388">
        <v>0.99930955844802105</v>
      </c>
      <c r="C4388">
        <v>1.0693677215425801</v>
      </c>
      <c r="D4388">
        <v>1.0236204955519499</v>
      </c>
      <c r="E4388">
        <v>0.88847070396932404</v>
      </c>
      <c r="F4388">
        <v>0.79169460823191196</v>
      </c>
      <c r="G4388">
        <v>0.57872152145602795</v>
      </c>
      <c r="H4388">
        <v>0.49103185669191801</v>
      </c>
      <c r="I4388">
        <v>0.52458157961595198</v>
      </c>
      <c r="J4388">
        <v>0.49527901260685703</v>
      </c>
      <c r="K4388">
        <v>0.437160125795168</v>
      </c>
      <c r="L4388">
        <v>1204.6755202224399</v>
      </c>
      <c r="M4388">
        <v>22.425052691502199</v>
      </c>
      <c r="N4388">
        <v>61.6605019270486</v>
      </c>
      <c r="O4388">
        <v>53.298358048109101</v>
      </c>
      <c r="P4388">
        <v>-5.5523663883252E-2</v>
      </c>
      <c r="Q4388">
        <v>0.47215127313564198</v>
      </c>
      <c r="R4388">
        <v>0.98085022817591005</v>
      </c>
      <c r="S4388" t="s">
        <v>11004</v>
      </c>
      <c r="T4388" t="s">
        <v>13232</v>
      </c>
      <c r="U4388" t="s">
        <v>13232</v>
      </c>
      <c r="V4388" t="s">
        <v>13232</v>
      </c>
      <c r="W4388" t="s">
        <v>17557</v>
      </c>
      <c r="X4388">
        <v>3</v>
      </c>
      <c r="Y4388" t="s">
        <v>23975</v>
      </c>
      <c r="Z4388" t="s">
        <v>30519</v>
      </c>
      <c r="AA4388">
        <v>0.71948749510608268</v>
      </c>
      <c r="AB4388" t="str">
        <f>HYPERLINK("Melting_Curves/meltCurve_Q8N5I9_C12orf45.pdf", "Melting_Curves/meltCurve_Q8N5I9_C12orf45.pdf")</f>
        <v>Melting_Curves/meltCurve_Q8N5I9_C12orf45.pdf</v>
      </c>
    </row>
    <row r="4389" spans="1:28" x14ac:dyDescent="0.25">
      <c r="A4389" t="s">
        <v>4392</v>
      </c>
      <c r="B4389">
        <v>0.99930955844802105</v>
      </c>
      <c r="C4389">
        <v>1.03351096825174</v>
      </c>
      <c r="D4389">
        <v>1.09597200887497</v>
      </c>
      <c r="E4389">
        <v>0.742713213268959</v>
      </c>
      <c r="F4389">
        <v>0.327300010335215</v>
      </c>
      <c r="G4389">
        <v>0.29901616583881602</v>
      </c>
      <c r="H4389">
        <v>0.25896897591435802</v>
      </c>
      <c r="I4389">
        <v>0.25097001814138897</v>
      </c>
      <c r="J4389">
        <v>0.23092860970246201</v>
      </c>
      <c r="K4389">
        <v>0.174662413266957</v>
      </c>
      <c r="L4389">
        <v>2512.9199233868299</v>
      </c>
      <c r="M4389">
        <v>49.558603852588298</v>
      </c>
      <c r="N4389">
        <v>51.395550595248402</v>
      </c>
      <c r="O4389">
        <v>50.623660108181298</v>
      </c>
      <c r="P4389">
        <v>-0.185309506068497</v>
      </c>
      <c r="Q4389">
        <v>0.24283266968165801</v>
      </c>
      <c r="R4389">
        <v>0.98518498203167404</v>
      </c>
      <c r="S4389" t="s">
        <v>11005</v>
      </c>
      <c r="T4389" t="s">
        <v>13232</v>
      </c>
      <c r="U4389" t="s">
        <v>13232</v>
      </c>
      <c r="V4389" t="s">
        <v>13232</v>
      </c>
      <c r="W4389" t="s">
        <v>17558</v>
      </c>
      <c r="X4389">
        <v>2</v>
      </c>
      <c r="Y4389" t="s">
        <v>23976</v>
      </c>
      <c r="Z4389" t="s">
        <v>30520</v>
      </c>
      <c r="AA4389">
        <v>0.51476511318448248</v>
      </c>
      <c r="AB4389" t="str">
        <f>HYPERLINK("Melting_Curves/meltCurve_Q8N5J2_FAM63A.pdf", "Melting_Curves/meltCurve_Q8N5J2_FAM63A.pdf")</f>
        <v>Melting_Curves/meltCurve_Q8N5J2_FAM63A.pdf</v>
      </c>
    </row>
    <row r="4390" spans="1:28" x14ac:dyDescent="0.25">
      <c r="A4390" t="s">
        <v>4393</v>
      </c>
      <c r="B4390">
        <v>0.99930955844802105</v>
      </c>
      <c r="C4390">
        <v>1.00895103065278</v>
      </c>
      <c r="D4390">
        <v>1.0210443243606</v>
      </c>
      <c r="E4390">
        <v>0.949437074884109</v>
      </c>
      <c r="F4390">
        <v>0.74972944784477902</v>
      </c>
      <c r="G4390">
        <v>0.441409451666325</v>
      </c>
      <c r="H4390">
        <v>0.215874053185411</v>
      </c>
      <c r="I4390">
        <v>0.14001593776021101</v>
      </c>
      <c r="J4390">
        <v>0.121211895024741</v>
      </c>
      <c r="K4390">
        <v>9.6018709470383101E-2</v>
      </c>
      <c r="L4390">
        <v>1198.89895781767</v>
      </c>
      <c r="M4390">
        <v>21.535924501902102</v>
      </c>
      <c r="N4390">
        <v>56.200425622751901</v>
      </c>
      <c r="O4390">
        <v>55.196388536533298</v>
      </c>
      <c r="P4390">
        <v>-8.8569598825903997E-2</v>
      </c>
      <c r="Q4390">
        <v>9.2009565273333704E-2</v>
      </c>
      <c r="R4390">
        <v>0.99857828008382798</v>
      </c>
      <c r="S4390" t="s">
        <v>11006</v>
      </c>
      <c r="T4390" t="s">
        <v>13232</v>
      </c>
      <c r="U4390" t="s">
        <v>13232</v>
      </c>
      <c r="V4390" t="s">
        <v>13232</v>
      </c>
      <c r="W4390" t="s">
        <v>17559</v>
      </c>
      <c r="X4390">
        <v>5</v>
      </c>
      <c r="Y4390" t="s">
        <v>23977</v>
      </c>
      <c r="Z4390" t="s">
        <v>30521</v>
      </c>
      <c r="AA4390">
        <v>0.57690562314861638</v>
      </c>
      <c r="AB4390" t="str">
        <f>HYPERLINK("Melting_Curves/meltCurve_Q8N5L8_RPP25L.pdf", "Melting_Curves/meltCurve_Q8N5L8_RPP25L.pdf")</f>
        <v>Melting_Curves/meltCurve_Q8N5L8_RPP25L.pdf</v>
      </c>
    </row>
    <row r="4391" spans="1:28" x14ac:dyDescent="0.25">
      <c r="A4391" t="s">
        <v>4394</v>
      </c>
      <c r="B4391">
        <v>0.99930955844802105</v>
      </c>
      <c r="C4391">
        <v>0.95575528696679102</v>
      </c>
      <c r="D4391">
        <v>0.94344330457290404</v>
      </c>
      <c r="E4391">
        <v>0.92015444190506901</v>
      </c>
      <c r="F4391">
        <v>0.82557408258784304</v>
      </c>
      <c r="G4391">
        <v>0.64100954504237695</v>
      </c>
      <c r="H4391">
        <v>0.40591048880980901</v>
      </c>
      <c r="I4391">
        <v>0.186286683067027</v>
      </c>
      <c r="J4391">
        <v>0.107499978167684</v>
      </c>
      <c r="K4391">
        <v>7.8114444070943603E-2</v>
      </c>
      <c r="L4391">
        <v>908.93831498091799</v>
      </c>
      <c r="M4391">
        <v>15.4485177300039</v>
      </c>
      <c r="N4391">
        <v>58.836604066858598</v>
      </c>
      <c r="O4391">
        <v>57.877174916316399</v>
      </c>
      <c r="P4391">
        <v>-6.6735769404803497E-2</v>
      </c>
      <c r="Q4391">
        <v>0</v>
      </c>
      <c r="R4391">
        <v>0.99359012782787903</v>
      </c>
      <c r="S4391" t="s">
        <v>11007</v>
      </c>
      <c r="T4391" t="s">
        <v>13232</v>
      </c>
      <c r="U4391" t="s">
        <v>13232</v>
      </c>
      <c r="V4391" t="s">
        <v>13232</v>
      </c>
      <c r="W4391" t="s">
        <v>17560</v>
      </c>
      <c r="X4391">
        <v>6</v>
      </c>
      <c r="Y4391" t="s">
        <v>23978</v>
      </c>
      <c r="Z4391" t="s">
        <v>30522</v>
      </c>
      <c r="AA4391">
        <v>0.63898067876512066</v>
      </c>
      <c r="AB4391" t="str">
        <f>HYPERLINK("Melting_Curves/meltCurve_Q8N5M1_ATPAF2.pdf", "Melting_Curves/meltCurve_Q8N5M1_ATPAF2.pdf")</f>
        <v>Melting_Curves/meltCurve_Q8N5M1_ATPAF2.pdf</v>
      </c>
    </row>
    <row r="4392" spans="1:28" x14ac:dyDescent="0.25">
      <c r="A4392" t="s">
        <v>4395</v>
      </c>
      <c r="B4392">
        <v>0.99930955844802105</v>
      </c>
      <c r="C4392">
        <v>0.91942589855511803</v>
      </c>
      <c r="D4392">
        <v>0.86686355265431803</v>
      </c>
      <c r="E4392">
        <v>0.79784727800677002</v>
      </c>
      <c r="F4392">
        <v>0.74331932547036395</v>
      </c>
      <c r="G4392">
        <v>0.62755660177301298</v>
      </c>
      <c r="H4392">
        <v>0.57550890916357</v>
      </c>
      <c r="I4392">
        <v>0.59833419516512898</v>
      </c>
      <c r="J4392">
        <v>0.29308711511474</v>
      </c>
      <c r="K4392">
        <v>0.44903357896283702</v>
      </c>
      <c r="L4392">
        <v>340.422516035336</v>
      </c>
      <c r="M4392">
        <v>5.4562983094778401</v>
      </c>
      <c r="N4392">
        <v>63.851326362164997</v>
      </c>
      <c r="O4392">
        <v>55.5048724923641</v>
      </c>
      <c r="P4392">
        <v>-2.3238731714916701E-2</v>
      </c>
      <c r="Q4392">
        <v>5.8668265806014801E-2</v>
      </c>
      <c r="R4392">
        <v>0.91191064111031395</v>
      </c>
      <c r="S4392" t="s">
        <v>11008</v>
      </c>
      <c r="T4392" t="s">
        <v>13232</v>
      </c>
      <c r="U4392" t="s">
        <v>13232</v>
      </c>
      <c r="V4392" t="s">
        <v>13232</v>
      </c>
      <c r="W4392" t="s">
        <v>17561</v>
      </c>
      <c r="X4392">
        <v>5</v>
      </c>
      <c r="Y4392" t="s">
        <v>23979</v>
      </c>
      <c r="Z4392" t="s">
        <v>30523</v>
      </c>
      <c r="AA4392">
        <v>0.68929875820093933</v>
      </c>
      <c r="AB4392" t="str">
        <f>HYPERLINK("Melting_Curves/meltCurve_Q8N5N7_MRPL50.pdf", "Melting_Curves/meltCurve_Q8N5N7_MRPL50.pdf")</f>
        <v>Melting_Curves/meltCurve_Q8N5N7_MRPL50.pdf</v>
      </c>
    </row>
    <row r="4393" spans="1:28" x14ac:dyDescent="0.25">
      <c r="A4393" t="s">
        <v>4396</v>
      </c>
      <c r="B4393">
        <v>0.99930955844802105</v>
      </c>
      <c r="C4393">
        <v>1.31618407262173</v>
      </c>
      <c r="D4393">
        <v>1.3176710748670499</v>
      </c>
      <c r="E4393">
        <v>1.2597525565784899</v>
      </c>
      <c r="F4393">
        <v>1.1425555182046101</v>
      </c>
      <c r="G4393">
        <v>1.15577281166598</v>
      </c>
      <c r="H4393">
        <v>1.3371010126336</v>
      </c>
      <c r="I4393">
        <v>1.5863142101275201</v>
      </c>
      <c r="J4393">
        <v>1.7604984335684499</v>
      </c>
      <c r="K4393">
        <v>1.3487254516560101</v>
      </c>
      <c r="L4393">
        <v>310.25352245217698</v>
      </c>
      <c r="M4393">
        <v>6.4393884752448196</v>
      </c>
      <c r="O4393">
        <v>44.1644190475009</v>
      </c>
      <c r="P4393">
        <v>1.8271399423170201E-2</v>
      </c>
      <c r="Q4393">
        <v>1.5</v>
      </c>
      <c r="R4393">
        <v>0.36169293335921099</v>
      </c>
      <c r="S4393" t="s">
        <v>11009</v>
      </c>
      <c r="T4393" t="s">
        <v>13232</v>
      </c>
      <c r="U4393" t="s">
        <v>13232</v>
      </c>
      <c r="V4393" t="s">
        <v>13232</v>
      </c>
      <c r="W4393" t="s">
        <v>17562</v>
      </c>
      <c r="X4393">
        <v>7</v>
      </c>
      <c r="Y4393" t="s">
        <v>23980</v>
      </c>
      <c r="Z4393" t="s">
        <v>30524</v>
      </c>
      <c r="AA4393">
        <v>1.3179069949584521</v>
      </c>
      <c r="AB4393" t="str">
        <f>HYPERLINK("Melting_Curves/meltCurve_Q8N5P1_ZC3H8.pdf", "Melting_Curves/meltCurve_Q8N5P1_ZC3H8.pdf")</f>
        <v>Melting_Curves/meltCurve_Q8N5P1_ZC3H8.pdf</v>
      </c>
    </row>
    <row r="4394" spans="1:28" x14ac:dyDescent="0.25">
      <c r="A4394" t="s">
        <v>4397</v>
      </c>
      <c r="B4394">
        <v>0.99930955844802105</v>
      </c>
      <c r="C4394">
        <v>0.96782520353574397</v>
      </c>
      <c r="D4394">
        <v>0.98508448967251405</v>
      </c>
      <c r="E4394">
        <v>0.95577187504156402</v>
      </c>
      <c r="F4394">
        <v>0.83912047314073002</v>
      </c>
      <c r="G4394">
        <v>0.73876069713600601</v>
      </c>
      <c r="H4394">
        <v>0.70142846246453905</v>
      </c>
      <c r="I4394">
        <v>0.74156498261680004</v>
      </c>
      <c r="J4394">
        <v>0.70495920337718598</v>
      </c>
      <c r="K4394">
        <v>0.59436195319572005</v>
      </c>
      <c r="L4394">
        <v>898.12612193951202</v>
      </c>
      <c r="M4394">
        <v>16.652502589310501</v>
      </c>
      <c r="O4394">
        <v>53.173637575424102</v>
      </c>
      <c r="P4394">
        <v>-2.6663546373072201E-2</v>
      </c>
      <c r="Q4394">
        <v>0.65946193063024705</v>
      </c>
      <c r="R4394">
        <v>0.93731545897513602</v>
      </c>
      <c r="S4394" t="s">
        <v>11010</v>
      </c>
      <c r="T4394" t="s">
        <v>13232</v>
      </c>
      <c r="U4394" t="s">
        <v>13232</v>
      </c>
      <c r="V4394" t="s">
        <v>13232</v>
      </c>
      <c r="W4394" t="s">
        <v>17563</v>
      </c>
      <c r="X4394">
        <v>3</v>
      </c>
      <c r="Y4394" t="s">
        <v>23981</v>
      </c>
      <c r="Z4394" t="s">
        <v>30525</v>
      </c>
      <c r="AA4394">
        <v>0.82373084486882386</v>
      </c>
      <c r="AB4394" t="str">
        <f>HYPERLINK("Melting_Curves/meltCurve_Q8N5U6_RNF10.pdf", "Melting_Curves/meltCurve_Q8N5U6_RNF10.pdf")</f>
        <v>Melting_Curves/meltCurve_Q8N5U6_RNF10.pdf</v>
      </c>
    </row>
    <row r="4395" spans="1:28" x14ac:dyDescent="0.25">
      <c r="A4395" t="s">
        <v>4398</v>
      </c>
      <c r="B4395">
        <v>0.99930955844802105</v>
      </c>
      <c r="C4395">
        <v>1.7408320642067201</v>
      </c>
      <c r="D4395">
        <v>1.4995016987469301</v>
      </c>
      <c r="E4395">
        <v>1.78431545414152</v>
      </c>
      <c r="F4395">
        <v>1.8698303800077001</v>
      </c>
      <c r="G4395">
        <v>2.0947245184251999</v>
      </c>
      <c r="H4395">
        <v>3.5786484507569001</v>
      </c>
      <c r="I4395">
        <v>4.4168833781422796</v>
      </c>
      <c r="J4395">
        <v>5.2854225880726498</v>
      </c>
      <c r="K4395">
        <v>3.64021808302348</v>
      </c>
      <c r="L4395">
        <v>10248.4236506587</v>
      </c>
      <c r="M4395">
        <v>250</v>
      </c>
      <c r="O4395">
        <v>40.991094836472797</v>
      </c>
      <c r="P4395">
        <v>0.76236114112350695</v>
      </c>
      <c r="Q4395">
        <v>1.5</v>
      </c>
      <c r="R4395">
        <v>-0.75581598215088897</v>
      </c>
      <c r="S4395" t="s">
        <v>11011</v>
      </c>
      <c r="T4395" t="s">
        <v>13232</v>
      </c>
      <c r="U4395" t="s">
        <v>13232</v>
      </c>
      <c r="V4395" t="s">
        <v>13232</v>
      </c>
      <c r="W4395" t="s">
        <v>17564</v>
      </c>
      <c r="X4395">
        <v>3</v>
      </c>
      <c r="Y4395" t="s">
        <v>23982</v>
      </c>
      <c r="Z4395" t="s">
        <v>30526</v>
      </c>
      <c r="AA4395">
        <v>1.4833972721783599</v>
      </c>
      <c r="AB4395" t="str">
        <f>HYPERLINK("Melting_Curves/meltCurve_Q8N5Y2_4_MSL3.pdf", "Melting_Curves/meltCurve_Q8N5Y2_4_MSL3.pdf")</f>
        <v>Melting_Curves/meltCurve_Q8N5Y2_4_MSL3.pdf</v>
      </c>
    </row>
    <row r="4396" spans="1:28" x14ac:dyDescent="0.25">
      <c r="A4396" t="s">
        <v>4399</v>
      </c>
      <c r="B4396">
        <v>0.99930955844802105</v>
      </c>
      <c r="C4396">
        <v>0.92198777804073995</v>
      </c>
      <c r="D4396">
        <v>0.89223365564158896</v>
      </c>
      <c r="E4396">
        <v>0.57625054904823902</v>
      </c>
      <c r="F4396">
        <v>0.34617821110003599</v>
      </c>
      <c r="G4396">
        <v>0.22301236150061199</v>
      </c>
      <c r="H4396">
        <v>0.18266059260618001</v>
      </c>
      <c r="I4396">
        <v>0.16228911775304999</v>
      </c>
      <c r="J4396">
        <v>0.14713539633356701</v>
      </c>
      <c r="K4396">
        <v>0.107348388869138</v>
      </c>
      <c r="L4396">
        <v>954.17655492426195</v>
      </c>
      <c r="M4396">
        <v>19.043620492357402</v>
      </c>
      <c r="N4396">
        <v>50.955403562235503</v>
      </c>
      <c r="O4396">
        <v>49.562092336019198</v>
      </c>
      <c r="P4396">
        <v>-8.2983088120100107E-2</v>
      </c>
      <c r="Q4396">
        <v>0.13616141695346101</v>
      </c>
      <c r="R4396">
        <v>0.99608548507330597</v>
      </c>
      <c r="S4396" t="s">
        <v>11012</v>
      </c>
      <c r="T4396" t="s">
        <v>13232</v>
      </c>
      <c r="U4396" t="s">
        <v>13232</v>
      </c>
      <c r="V4396" t="s">
        <v>13232</v>
      </c>
      <c r="W4396" t="s">
        <v>17565</v>
      </c>
      <c r="X4396">
        <v>7</v>
      </c>
      <c r="Y4396" t="s">
        <v>23983</v>
      </c>
      <c r="Z4396" t="s">
        <v>30527</v>
      </c>
      <c r="AA4396">
        <v>0.44033916306504689</v>
      </c>
      <c r="AB4396" t="str">
        <f>HYPERLINK("Melting_Curves/meltCurve_Q8N612_3_FAM160A2.pdf", "Melting_Curves/meltCurve_Q8N612_3_FAM160A2.pdf")</f>
        <v>Melting_Curves/meltCurve_Q8N612_3_FAM160A2.pdf</v>
      </c>
    </row>
    <row r="4397" spans="1:28" x14ac:dyDescent="0.25">
      <c r="A4397" t="s">
        <v>4400</v>
      </c>
      <c r="B4397">
        <v>0.99930955844802105</v>
      </c>
      <c r="C4397">
        <v>0.55471578856078896</v>
      </c>
      <c r="D4397">
        <v>0.308613914127019</v>
      </c>
      <c r="E4397">
        <v>0.237249330615942</v>
      </c>
      <c r="F4397">
        <v>0.171319261853698</v>
      </c>
      <c r="G4397">
        <v>0.11183547210485401</v>
      </c>
      <c r="H4397">
        <v>5.6279431028456998E-2</v>
      </c>
      <c r="I4397">
        <v>3.6328133910317702E-2</v>
      </c>
      <c r="J4397">
        <v>3.0829089458857501E-2</v>
      </c>
      <c r="K4397">
        <v>1.70655078020415E-2</v>
      </c>
      <c r="L4397">
        <v>856.35818249455804</v>
      </c>
      <c r="M4397">
        <v>19.543357096693601</v>
      </c>
      <c r="N4397">
        <v>44.1629604062312</v>
      </c>
      <c r="O4397">
        <v>43.367329068253099</v>
      </c>
      <c r="P4397">
        <v>-0.104698563886764</v>
      </c>
      <c r="Q4397">
        <v>7.0715408917045294E-2</v>
      </c>
      <c r="R4397">
        <v>0.95143749735056904</v>
      </c>
      <c r="S4397" t="s">
        <v>11013</v>
      </c>
      <c r="T4397" t="s">
        <v>13232</v>
      </c>
      <c r="U4397" t="s">
        <v>13232</v>
      </c>
      <c r="V4397" t="s">
        <v>13232</v>
      </c>
      <c r="W4397" t="s">
        <v>17566</v>
      </c>
      <c r="X4397">
        <v>6</v>
      </c>
      <c r="Y4397" t="s">
        <v>23984</v>
      </c>
      <c r="Z4397" t="s">
        <v>30528</v>
      </c>
      <c r="AA4397">
        <v>0.2086251356350412</v>
      </c>
      <c r="AB4397" t="str">
        <f>HYPERLINK("Melting_Curves/meltCurve_Q8N653_LZTR1.pdf", "Melting_Curves/meltCurve_Q8N653_LZTR1.pdf")</f>
        <v>Melting_Curves/meltCurve_Q8N653_LZTR1.pdf</v>
      </c>
    </row>
    <row r="4398" spans="1:28" x14ac:dyDescent="0.25">
      <c r="A4398" t="s">
        <v>4401</v>
      </c>
      <c r="B4398">
        <v>0.99930955844802105</v>
      </c>
      <c r="C4398">
        <v>1.1353103927804</v>
      </c>
      <c r="D4398">
        <v>1.10414731537368</v>
      </c>
      <c r="E4398">
        <v>1.02659902898439</v>
      </c>
      <c r="F4398">
        <v>0.87693362376835704</v>
      </c>
      <c r="G4398">
        <v>0.79309346499442401</v>
      </c>
      <c r="H4398">
        <v>0.81134973786224796</v>
      </c>
      <c r="I4398">
        <v>0.87611022009102502</v>
      </c>
      <c r="J4398">
        <v>0.86654637996061401</v>
      </c>
      <c r="K4398">
        <v>0.69753249759873404</v>
      </c>
      <c r="L4398">
        <v>13218.5652165514</v>
      </c>
      <c r="M4398">
        <v>250</v>
      </c>
      <c r="O4398">
        <v>52.870877002233897</v>
      </c>
      <c r="P4398">
        <v>-0.225872867559816</v>
      </c>
      <c r="Q4398">
        <v>0.80892645369473504</v>
      </c>
      <c r="R4398">
        <v>0.72320015475589505</v>
      </c>
      <c r="S4398" t="s">
        <v>11014</v>
      </c>
      <c r="T4398" t="s">
        <v>13232</v>
      </c>
      <c r="U4398" t="s">
        <v>13232</v>
      </c>
      <c r="V4398" t="s">
        <v>13232</v>
      </c>
      <c r="W4398" t="s">
        <v>17567</v>
      </c>
      <c r="X4398">
        <v>12</v>
      </c>
      <c r="Y4398" t="s">
        <v>23985</v>
      </c>
      <c r="Z4398" t="s">
        <v>30529</v>
      </c>
      <c r="AA4398">
        <v>0.89094187340429287</v>
      </c>
      <c r="AB4398" t="str">
        <f>HYPERLINK("Melting_Curves/meltCurve_Q8N655_C10orf12.pdf", "Melting_Curves/meltCurve_Q8N655_C10orf12.pdf")</f>
        <v>Melting_Curves/meltCurve_Q8N655_C10orf12.pdf</v>
      </c>
    </row>
    <row r="4399" spans="1:28" x14ac:dyDescent="0.25">
      <c r="A4399" t="s">
        <v>4402</v>
      </c>
      <c r="B4399">
        <v>0.99930955844802105</v>
      </c>
      <c r="C4399">
        <v>0.67150830105965797</v>
      </c>
      <c r="D4399">
        <v>0.67736738113152095</v>
      </c>
      <c r="E4399">
        <v>0.56752085415823905</v>
      </c>
      <c r="F4399">
        <v>0.409077875160337</v>
      </c>
      <c r="G4399">
        <v>0.28192816908454199</v>
      </c>
      <c r="H4399">
        <v>0.103515294261985</v>
      </c>
      <c r="I4399">
        <v>6.1539360189434199E-2</v>
      </c>
      <c r="J4399">
        <v>4.114859507924E-2</v>
      </c>
      <c r="K4399">
        <v>3.7150195353692503E-2</v>
      </c>
      <c r="L4399">
        <v>468.33694550394699</v>
      </c>
      <c r="M4399">
        <v>9.3758316693308092</v>
      </c>
      <c r="N4399">
        <v>49.951514066143503</v>
      </c>
      <c r="O4399">
        <v>47.837163687435101</v>
      </c>
      <c r="P4399">
        <v>-4.9029150582361999E-2</v>
      </c>
      <c r="Q4399">
        <v>0</v>
      </c>
      <c r="R4399">
        <v>0.95329678339280599</v>
      </c>
      <c r="S4399" t="s">
        <v>11015</v>
      </c>
      <c r="T4399" t="s">
        <v>13232</v>
      </c>
      <c r="U4399" t="s">
        <v>13232</v>
      </c>
      <c r="V4399" t="s">
        <v>13232</v>
      </c>
      <c r="W4399" t="s">
        <v>17568</v>
      </c>
      <c r="X4399">
        <v>3</v>
      </c>
      <c r="Y4399" t="s">
        <v>23986</v>
      </c>
      <c r="Z4399" t="s">
        <v>30530</v>
      </c>
      <c r="AA4399">
        <v>0.38117643647880139</v>
      </c>
      <c r="AB4399" t="str">
        <f>HYPERLINK("Melting_Curves/meltCurve_Q8N668_COMMD1.pdf", "Melting_Curves/meltCurve_Q8N668_COMMD1.pdf")</f>
        <v>Melting_Curves/meltCurve_Q8N668_COMMD1.pdf</v>
      </c>
    </row>
    <row r="4400" spans="1:28" x14ac:dyDescent="0.25">
      <c r="A4400" t="s">
        <v>4403</v>
      </c>
      <c r="B4400">
        <v>0.99930955844802105</v>
      </c>
      <c r="C4400">
        <v>0.96053738454203696</v>
      </c>
      <c r="D4400">
        <v>0.75179781004093404</v>
      </c>
      <c r="E4400">
        <v>0.79598014569555298</v>
      </c>
      <c r="F4400">
        <v>0.67877315752868395</v>
      </c>
      <c r="G4400">
        <v>0.56748260463120404</v>
      </c>
      <c r="H4400">
        <v>0.50445704933894198</v>
      </c>
      <c r="I4400">
        <v>0.49314260299809698</v>
      </c>
      <c r="J4400">
        <v>0.43495209033579602</v>
      </c>
      <c r="K4400">
        <v>0.31497334736542698</v>
      </c>
      <c r="L4400">
        <v>353.12455168863403</v>
      </c>
      <c r="M4400">
        <v>6.1148934066535698</v>
      </c>
      <c r="N4400">
        <v>61.229194003307398</v>
      </c>
      <c r="O4400">
        <v>52.4863361596434</v>
      </c>
      <c r="P4400">
        <v>-2.4924969951187599E-2</v>
      </c>
      <c r="Q4400">
        <v>0.14682186085705001</v>
      </c>
      <c r="R4400">
        <v>0.95092410606230304</v>
      </c>
      <c r="S4400" t="s">
        <v>11016</v>
      </c>
      <c r="T4400" t="s">
        <v>13232</v>
      </c>
      <c r="U4400" t="s">
        <v>13232</v>
      </c>
      <c r="V4400" t="s">
        <v>13232</v>
      </c>
      <c r="W4400" t="s">
        <v>17569</v>
      </c>
      <c r="X4400">
        <v>5</v>
      </c>
      <c r="Y4400" t="s">
        <v>23987</v>
      </c>
      <c r="Z4400" t="s">
        <v>30531</v>
      </c>
      <c r="AA4400">
        <v>0.64759743583022633</v>
      </c>
      <c r="AB4400" t="str">
        <f>HYPERLINK("Melting_Curves/meltCurve_Q8N680_ZBTB2.pdf", "Melting_Curves/meltCurve_Q8N680_ZBTB2.pdf")</f>
        <v>Melting_Curves/meltCurve_Q8N680_ZBTB2.pdf</v>
      </c>
    </row>
    <row r="4401" spans="1:28" x14ac:dyDescent="0.25">
      <c r="A4401" t="s">
        <v>4404</v>
      </c>
      <c r="B4401">
        <v>0.99930955844802105</v>
      </c>
      <c r="C4401">
        <v>1.05768349375188</v>
      </c>
      <c r="D4401">
        <v>1.02817368940669</v>
      </c>
      <c r="E4401">
        <v>0.94032923230182197</v>
      </c>
      <c r="F4401">
        <v>0.73678582183575003</v>
      </c>
      <c r="G4401">
        <v>0.56745778004272196</v>
      </c>
      <c r="H4401">
        <v>0.48012003053012298</v>
      </c>
      <c r="I4401">
        <v>0.48283900844715799</v>
      </c>
      <c r="J4401">
        <v>0.40732355203287302</v>
      </c>
      <c r="K4401">
        <v>0.30023639010658998</v>
      </c>
      <c r="L4401">
        <v>967.903063598975</v>
      </c>
      <c r="M4401">
        <v>17.642429181138301</v>
      </c>
      <c r="N4401">
        <v>59.3220145841128</v>
      </c>
      <c r="O4401">
        <v>54.171926765521697</v>
      </c>
      <c r="P4401">
        <v>-5.15182618599496E-2</v>
      </c>
      <c r="Q4401">
        <v>0.367276594899757</v>
      </c>
      <c r="R4401">
        <v>0.97113206127278595</v>
      </c>
      <c r="S4401" t="s">
        <v>11017</v>
      </c>
      <c r="T4401" t="s">
        <v>13232</v>
      </c>
      <c r="U4401" t="s">
        <v>13232</v>
      </c>
      <c r="V4401" t="s">
        <v>13232</v>
      </c>
      <c r="W4401" t="s">
        <v>17570</v>
      </c>
      <c r="X4401">
        <v>19</v>
      </c>
      <c r="Y4401" t="s">
        <v>23988</v>
      </c>
      <c r="Z4401" t="s">
        <v>30532</v>
      </c>
      <c r="AA4401">
        <v>0.69084528859880356</v>
      </c>
      <c r="AB4401" t="str">
        <f>HYPERLINK("Melting_Curves/meltCurve_Q8N684_CPSF7.pdf", "Melting_Curves/meltCurve_Q8N684_CPSF7.pdf")</f>
        <v>Melting_Curves/meltCurve_Q8N684_CPSF7.pdf</v>
      </c>
    </row>
    <row r="4402" spans="1:28" x14ac:dyDescent="0.25">
      <c r="A4402" t="s">
        <v>4405</v>
      </c>
      <c r="B4402">
        <v>0.99930955844802105</v>
      </c>
      <c r="C4402">
        <v>0.90615655883949997</v>
      </c>
      <c r="D4402">
        <v>0.89855951877719797</v>
      </c>
      <c r="E4402">
        <v>0.95001870537750899</v>
      </c>
      <c r="F4402">
        <v>0.58858732826346905</v>
      </c>
      <c r="G4402">
        <v>0.46402937616280898</v>
      </c>
      <c r="H4402">
        <v>0.42284571391811399</v>
      </c>
      <c r="I4402">
        <v>0.452991949806756</v>
      </c>
      <c r="J4402">
        <v>0.42236393347193202</v>
      </c>
      <c r="K4402">
        <v>0.34796973582920798</v>
      </c>
      <c r="L4402">
        <v>2671.3571582146601</v>
      </c>
      <c r="M4402">
        <v>51.248135277583202</v>
      </c>
      <c r="N4402">
        <v>54.0566053217687</v>
      </c>
      <c r="O4402">
        <v>52.046752043344803</v>
      </c>
      <c r="P4402">
        <v>-0.14281880971709199</v>
      </c>
      <c r="Q4402">
        <v>0.41982284615499499</v>
      </c>
      <c r="R4402">
        <v>0.95625919505064505</v>
      </c>
      <c r="S4402" t="s">
        <v>11018</v>
      </c>
      <c r="T4402" t="s">
        <v>13232</v>
      </c>
      <c r="U4402" t="s">
        <v>13232</v>
      </c>
      <c r="V4402" t="s">
        <v>13232</v>
      </c>
      <c r="W4402" t="s">
        <v>17571</v>
      </c>
      <c r="X4402">
        <v>20</v>
      </c>
      <c r="Y4402" t="s">
        <v>23989</v>
      </c>
      <c r="Z4402" t="s">
        <v>30533</v>
      </c>
      <c r="AA4402">
        <v>0.65559865952846863</v>
      </c>
      <c r="AB4402" t="str">
        <f>HYPERLINK("Melting_Curves/meltCurve_Q8N6H7_ARFGAP2.pdf", "Melting_Curves/meltCurve_Q8N6H7_ARFGAP2.pdf")</f>
        <v>Melting_Curves/meltCurve_Q8N6H7_ARFGAP2.pdf</v>
      </c>
    </row>
    <row r="4403" spans="1:28" x14ac:dyDescent="0.25">
      <c r="A4403" t="s">
        <v>4406</v>
      </c>
      <c r="B4403">
        <v>0.99930955844802105</v>
      </c>
      <c r="C4403">
        <v>1.1794262036735501</v>
      </c>
      <c r="D4403">
        <v>1.0823101623598499</v>
      </c>
      <c r="E4403">
        <v>0.71124370627339595</v>
      </c>
      <c r="F4403">
        <v>0.35675782656011001</v>
      </c>
      <c r="G4403">
        <v>0.27429493193336502</v>
      </c>
      <c r="H4403">
        <v>0.21705869355145699</v>
      </c>
      <c r="I4403">
        <v>0.23781042898893301</v>
      </c>
      <c r="J4403">
        <v>0.21901962207342099</v>
      </c>
      <c r="K4403">
        <v>0.145026706384764</v>
      </c>
      <c r="L4403">
        <v>1982.1268208712199</v>
      </c>
      <c r="M4403">
        <v>39.0133760135244</v>
      </c>
      <c r="N4403">
        <v>51.557805305325701</v>
      </c>
      <c r="O4403">
        <v>50.673410168549204</v>
      </c>
      <c r="P4403">
        <v>-0.15073701962927499</v>
      </c>
      <c r="Q4403">
        <v>0.21684913478225001</v>
      </c>
      <c r="R4403">
        <v>0.96696894021568303</v>
      </c>
      <c r="S4403" t="s">
        <v>11019</v>
      </c>
      <c r="T4403" t="s">
        <v>13232</v>
      </c>
      <c r="U4403" t="s">
        <v>13232</v>
      </c>
      <c r="V4403" t="s">
        <v>13232</v>
      </c>
      <c r="W4403" t="s">
        <v>17572</v>
      </c>
      <c r="X4403">
        <v>16</v>
      </c>
      <c r="Y4403" t="s">
        <v>23990</v>
      </c>
      <c r="Z4403" t="s">
        <v>30534</v>
      </c>
      <c r="AA4403">
        <v>0.50184125129494606</v>
      </c>
      <c r="AB4403" t="str">
        <f>HYPERLINK("Melting_Curves/meltCurve_Q8N6M0_OTUD6B.pdf", "Melting_Curves/meltCurve_Q8N6M0_OTUD6B.pdf")</f>
        <v>Melting_Curves/meltCurve_Q8N6M0_OTUD6B.pdf</v>
      </c>
    </row>
    <row r="4404" spans="1:28" x14ac:dyDescent="0.25">
      <c r="A4404" t="s">
        <v>4407</v>
      </c>
      <c r="B4404">
        <v>0.99930955844802105</v>
      </c>
      <c r="C4404">
        <v>0.97976965097522295</v>
      </c>
      <c r="D4404">
        <v>0.99403265783574302</v>
      </c>
      <c r="E4404">
        <v>0.99125802916932804</v>
      </c>
      <c r="F4404">
        <v>0.90825970628298702</v>
      </c>
      <c r="G4404">
        <v>0.93303691463513005</v>
      </c>
      <c r="H4404">
        <v>0.88803535154192204</v>
      </c>
      <c r="I4404">
        <v>0.98609464063855901</v>
      </c>
      <c r="J4404">
        <v>0.95521969221791703</v>
      </c>
      <c r="K4404">
        <v>0.78943525989527996</v>
      </c>
      <c r="L4404">
        <v>304.855399586896</v>
      </c>
      <c r="M4404">
        <v>2.4882553604189201</v>
      </c>
      <c r="Q4404">
        <v>0</v>
      </c>
      <c r="R4404">
        <v>0.44446763733427902</v>
      </c>
      <c r="S4404" t="s">
        <v>11020</v>
      </c>
      <c r="T4404" t="s">
        <v>13232</v>
      </c>
      <c r="U4404" t="s">
        <v>13232</v>
      </c>
      <c r="V4404" t="s">
        <v>13232</v>
      </c>
      <c r="W4404" t="s">
        <v>17573</v>
      </c>
      <c r="X4404">
        <v>8</v>
      </c>
      <c r="Y4404" t="s">
        <v>23991</v>
      </c>
      <c r="Z4404" t="s">
        <v>30535</v>
      </c>
      <c r="AA4404">
        <v>0.94641740246494344</v>
      </c>
      <c r="AB4404" t="str">
        <f>HYPERLINK("Melting_Curves/meltCurve_Q8N6N3_C1orf52.pdf", "Melting_Curves/meltCurve_Q8N6N3_C1orf52.pdf")</f>
        <v>Melting_Curves/meltCurve_Q8N6N3_C1orf52.pdf</v>
      </c>
    </row>
    <row r="4405" spans="1:28" x14ac:dyDescent="0.25">
      <c r="A4405" t="s">
        <v>4408</v>
      </c>
      <c r="B4405">
        <v>0.99930955844802105</v>
      </c>
      <c r="C4405">
        <v>0.94081971111667395</v>
      </c>
      <c r="D4405">
        <v>0.850481965260102</v>
      </c>
      <c r="E4405">
        <v>0.80568266788347098</v>
      </c>
      <c r="F4405">
        <v>0.60666162517463096</v>
      </c>
      <c r="G4405">
        <v>0.44544801433430198</v>
      </c>
      <c r="H4405">
        <v>0.40139660163152402</v>
      </c>
      <c r="I4405">
        <v>0.35976618127244098</v>
      </c>
      <c r="J4405">
        <v>0.33622405735203797</v>
      </c>
      <c r="K4405">
        <v>0.28709691851614799</v>
      </c>
      <c r="L4405">
        <v>627.51572722019</v>
      </c>
      <c r="M4405">
        <v>11.9091203221575</v>
      </c>
      <c r="N4405">
        <v>56.3257176505129</v>
      </c>
      <c r="O4405">
        <v>51.272210387846599</v>
      </c>
      <c r="P4405">
        <v>-4.2510862451050901E-2</v>
      </c>
      <c r="Q4405">
        <v>0.26809534041474598</v>
      </c>
      <c r="R4405">
        <v>0.98863508077716999</v>
      </c>
      <c r="S4405" t="s">
        <v>11021</v>
      </c>
      <c r="T4405" t="s">
        <v>13232</v>
      </c>
      <c r="U4405" t="s">
        <v>13232</v>
      </c>
      <c r="V4405" t="s">
        <v>13232</v>
      </c>
      <c r="W4405" t="s">
        <v>17574</v>
      </c>
      <c r="X4405">
        <v>2</v>
      </c>
      <c r="Y4405" t="s">
        <v>23992</v>
      </c>
      <c r="Z4405" t="s">
        <v>30536</v>
      </c>
      <c r="AA4405">
        <v>0.59926314732682173</v>
      </c>
      <c r="AB4405" t="str">
        <f>HYPERLINK("Melting_Curves/meltCurve_Q8N6N7_ACBD7.pdf", "Melting_Curves/meltCurve_Q8N6N7_ACBD7.pdf")</f>
        <v>Melting_Curves/meltCurve_Q8N6N7_ACBD7.pdf</v>
      </c>
    </row>
    <row r="4406" spans="1:28" x14ac:dyDescent="0.25">
      <c r="A4406" t="s">
        <v>4409</v>
      </c>
      <c r="B4406">
        <v>0.99930955844802105</v>
      </c>
      <c r="C4406">
        <v>0.77836251529767098</v>
      </c>
      <c r="D4406">
        <v>0.61098904666531095</v>
      </c>
      <c r="E4406">
        <v>0.43727736913295601</v>
      </c>
      <c r="F4406">
        <v>0.25967573813179001</v>
      </c>
      <c r="G4406">
        <v>0.191269309538356</v>
      </c>
      <c r="H4406">
        <v>0.141040098522213</v>
      </c>
      <c r="I4406">
        <v>0.13266557525341699</v>
      </c>
      <c r="J4406">
        <v>0.103883088059727</v>
      </c>
      <c r="K4406">
        <v>8.08366000064763E-2</v>
      </c>
      <c r="L4406">
        <v>605.79378798115204</v>
      </c>
      <c r="M4406">
        <v>12.7533712773637</v>
      </c>
      <c r="N4406">
        <v>48.2100738221733</v>
      </c>
      <c r="O4406">
        <v>46.378228623886997</v>
      </c>
      <c r="P4406">
        <v>-6.2877053925426293E-2</v>
      </c>
      <c r="Q4406">
        <v>8.5552730527673801E-2</v>
      </c>
      <c r="R4406">
        <v>0.98928358444126796</v>
      </c>
      <c r="S4406" t="s">
        <v>11022</v>
      </c>
      <c r="T4406" t="s">
        <v>13232</v>
      </c>
      <c r="U4406" t="s">
        <v>13232</v>
      </c>
      <c r="V4406" t="s">
        <v>13232</v>
      </c>
      <c r="W4406" t="s">
        <v>17575</v>
      </c>
      <c r="X4406">
        <v>4</v>
      </c>
      <c r="Y4406" t="s">
        <v>23993</v>
      </c>
      <c r="Z4406" t="s">
        <v>30537</v>
      </c>
      <c r="AA4406">
        <v>0.34729224738656378</v>
      </c>
      <c r="AB4406" t="str">
        <f>HYPERLINK("Melting_Curves/meltCurve_Q8N6T7_2_SIRT6.pdf", "Melting_Curves/meltCurve_Q8N6T7_2_SIRT6.pdf")</f>
        <v>Melting_Curves/meltCurve_Q8N6T7_2_SIRT6.pdf</v>
      </c>
    </row>
    <row r="4407" spans="1:28" x14ac:dyDescent="0.25">
      <c r="A4407" t="s">
        <v>4410</v>
      </c>
      <c r="B4407">
        <v>0.99930955844802105</v>
      </c>
      <c r="C4407">
        <v>1.17419825948257</v>
      </c>
      <c r="D4407">
        <v>1.1009852589782601</v>
      </c>
      <c r="E4407">
        <v>0.96949519912016902</v>
      </c>
      <c r="F4407">
        <v>1.0663760884973901</v>
      </c>
      <c r="G4407">
        <v>1.0027236754115001</v>
      </c>
      <c r="H4407">
        <v>0.97627462807964804</v>
      </c>
      <c r="I4407">
        <v>1.18607075780833</v>
      </c>
      <c r="J4407">
        <v>1.1329583043351099</v>
      </c>
      <c r="K4407">
        <v>0.91989333951993602</v>
      </c>
      <c r="L4407">
        <v>10248.4732786598</v>
      </c>
      <c r="M4407">
        <v>250</v>
      </c>
      <c r="O4407">
        <v>40.991289610957701</v>
      </c>
      <c r="P4407">
        <v>8.9614787163664902E-2</v>
      </c>
      <c r="Q4407">
        <v>1.0587747828126599</v>
      </c>
      <c r="R4407">
        <v>4.1181940103240597E-2</v>
      </c>
      <c r="S4407" t="s">
        <v>11023</v>
      </c>
      <c r="T4407" t="s">
        <v>13232</v>
      </c>
      <c r="U4407" t="s">
        <v>13232</v>
      </c>
      <c r="V4407" t="s">
        <v>13232</v>
      </c>
      <c r="W4407" t="s">
        <v>17576</v>
      </c>
      <c r="X4407">
        <v>4</v>
      </c>
      <c r="Y4407" t="s">
        <v>23994</v>
      </c>
      <c r="Z4407" t="s">
        <v>30538</v>
      </c>
      <c r="AA4407">
        <v>1.0568227511889769</v>
      </c>
      <c r="AB4407" t="str">
        <f>HYPERLINK("Melting_Curves/meltCurve_Q8N720_3_ZNF655.pdf", "Melting_Curves/meltCurve_Q8N720_3_ZNF655.pdf")</f>
        <v>Melting_Curves/meltCurve_Q8N720_3_ZNF655.pdf</v>
      </c>
    </row>
    <row r="4408" spans="1:28" x14ac:dyDescent="0.25">
      <c r="A4408" t="s">
        <v>4411</v>
      </c>
      <c r="B4408">
        <v>0.99930955844802105</v>
      </c>
      <c r="C4408">
        <v>0.78667923688598296</v>
      </c>
      <c r="D4408">
        <v>0.63069006817981499</v>
      </c>
      <c r="E4408">
        <v>0.49745194704953899</v>
      </c>
      <c r="F4408">
        <v>0.29641028890377802</v>
      </c>
      <c r="G4408">
        <v>0.22161262828505901</v>
      </c>
      <c r="H4408">
        <v>0.110475854290549</v>
      </c>
      <c r="I4408">
        <v>7.7198616070860704E-2</v>
      </c>
      <c r="J4408">
        <v>5.6317742901191299E-2</v>
      </c>
      <c r="K4408">
        <v>2.9237634352229699E-2</v>
      </c>
      <c r="L4408">
        <v>514.29348387063305</v>
      </c>
      <c r="M4408">
        <v>10.4594309377896</v>
      </c>
      <c r="N4408">
        <v>49.170326771892597</v>
      </c>
      <c r="O4408">
        <v>47.474890900511099</v>
      </c>
      <c r="P4408">
        <v>-5.5101306989681E-2</v>
      </c>
      <c r="Q4408">
        <v>0</v>
      </c>
      <c r="R4408">
        <v>0.98747220406802305</v>
      </c>
      <c r="S4408" t="s">
        <v>11024</v>
      </c>
      <c r="T4408" t="s">
        <v>13232</v>
      </c>
      <c r="U4408" t="s">
        <v>13232</v>
      </c>
      <c r="V4408" t="s">
        <v>13232</v>
      </c>
      <c r="W4408" t="s">
        <v>17577</v>
      </c>
      <c r="X4408">
        <v>3</v>
      </c>
      <c r="Y4408" t="s">
        <v>23995</v>
      </c>
      <c r="Z4408" t="s">
        <v>30539</v>
      </c>
      <c r="AA4408">
        <v>0.35086570960071939</v>
      </c>
      <c r="AB4408" t="str">
        <f>HYPERLINK("Melting_Curves/meltCurve_Q8N7R7_3_CCNYL1.pdf", "Melting_Curves/meltCurve_Q8N7R7_3_CCNYL1.pdf")</f>
        <v>Melting_Curves/meltCurve_Q8N7R7_3_CCNYL1.pdf</v>
      </c>
    </row>
    <row r="4409" spans="1:28" x14ac:dyDescent="0.25">
      <c r="A4409" t="s">
        <v>4412</v>
      </c>
      <c r="B4409">
        <v>0.99930955844802105</v>
      </c>
      <c r="C4409">
        <v>0.908424573331853</v>
      </c>
      <c r="D4409">
        <v>0.79316386470121003</v>
      </c>
      <c r="E4409">
        <v>0.51710931602221699</v>
      </c>
      <c r="F4409">
        <v>0.19649694029422601</v>
      </c>
      <c r="G4409">
        <v>9.7652530102720403E-2</v>
      </c>
      <c r="H4409">
        <v>5.6968072005620998E-2</v>
      </c>
      <c r="I4409">
        <v>3.22783134129173E-2</v>
      </c>
      <c r="J4409">
        <v>3.7171528092041502E-2</v>
      </c>
      <c r="K4409">
        <v>2.3340063574817799E-2</v>
      </c>
      <c r="L4409">
        <v>905.18472012360496</v>
      </c>
      <c r="M4409">
        <v>18.2768100782747</v>
      </c>
      <c r="N4409">
        <v>49.627489401766503</v>
      </c>
      <c r="O4409">
        <v>48.944923614101199</v>
      </c>
      <c r="P4409">
        <v>-9.1652532090343297E-2</v>
      </c>
      <c r="Q4409">
        <v>1.82712532752673E-2</v>
      </c>
      <c r="R4409">
        <v>0.99525782534662599</v>
      </c>
      <c r="S4409" t="s">
        <v>11025</v>
      </c>
      <c r="T4409" t="s">
        <v>13232</v>
      </c>
      <c r="U4409" t="s">
        <v>13232</v>
      </c>
      <c r="V4409" t="s">
        <v>13232</v>
      </c>
      <c r="W4409" t="s">
        <v>17578</v>
      </c>
      <c r="X4409">
        <v>1</v>
      </c>
      <c r="Y4409" t="s">
        <v>23996</v>
      </c>
      <c r="Z4409" t="s">
        <v>30540</v>
      </c>
      <c r="AA4409">
        <v>0.34637626468219629</v>
      </c>
      <c r="AB4409" t="str">
        <f>HYPERLINK("Melting_Curves/meltCurve_Q8N7X4_MAGEB6.pdf", "Melting_Curves/meltCurve_Q8N7X4_MAGEB6.pdf")</f>
        <v>Melting_Curves/meltCurve_Q8N7X4_MAGEB6.pdf</v>
      </c>
    </row>
    <row r="4410" spans="1:28" x14ac:dyDescent="0.25">
      <c r="A4410" t="s">
        <v>4413</v>
      </c>
      <c r="B4410">
        <v>0.99930955844802105</v>
      </c>
      <c r="C4410">
        <v>0.97896950798857796</v>
      </c>
      <c r="D4410">
        <v>0.95453068731019497</v>
      </c>
      <c r="E4410">
        <v>0.937170434704101</v>
      </c>
      <c r="F4410">
        <v>0.67065020715423096</v>
      </c>
      <c r="G4410">
        <v>0.43948514378379999</v>
      </c>
      <c r="H4410">
        <v>0.28720472788880302</v>
      </c>
      <c r="I4410">
        <v>0.22837659394882801</v>
      </c>
      <c r="J4410">
        <v>0.16673587208545099</v>
      </c>
      <c r="K4410">
        <v>0.13496192208813099</v>
      </c>
      <c r="L4410">
        <v>968.26853866674003</v>
      </c>
      <c r="M4410">
        <v>17.581353138427701</v>
      </c>
      <c r="N4410">
        <v>56.095957711526196</v>
      </c>
      <c r="O4410">
        <v>54.375929659406502</v>
      </c>
      <c r="P4410">
        <v>-6.9755708044821105E-2</v>
      </c>
      <c r="Q4410">
        <v>0.13707997668843899</v>
      </c>
      <c r="R4410">
        <v>0.99387958770917095</v>
      </c>
      <c r="S4410" t="s">
        <v>11026</v>
      </c>
      <c r="T4410" t="s">
        <v>13232</v>
      </c>
      <c r="U4410" t="s">
        <v>13232</v>
      </c>
      <c r="V4410" t="s">
        <v>13232</v>
      </c>
      <c r="W4410" t="s">
        <v>17579</v>
      </c>
      <c r="X4410">
        <v>20</v>
      </c>
      <c r="Y4410" t="s">
        <v>23997</v>
      </c>
      <c r="Z4410" t="s">
        <v>30541</v>
      </c>
      <c r="AA4410">
        <v>0.58438643395975376</v>
      </c>
      <c r="AB4410" t="str">
        <f>HYPERLINK("Melting_Curves/meltCurve_Q8N806_UBR7.pdf", "Melting_Curves/meltCurve_Q8N806_UBR7.pdf")</f>
        <v>Melting_Curves/meltCurve_Q8N806_UBR7.pdf</v>
      </c>
    </row>
    <row r="4411" spans="1:28" x14ac:dyDescent="0.25">
      <c r="A4411" t="s">
        <v>4414</v>
      </c>
      <c r="B4411">
        <v>0.99930955844802105</v>
      </c>
      <c r="C4411">
        <v>1.16576086497881</v>
      </c>
      <c r="D4411">
        <v>1.1259004678459701</v>
      </c>
      <c r="E4411">
        <v>0.84269454322960102</v>
      </c>
      <c r="F4411">
        <v>0.194851152203905</v>
      </c>
      <c r="G4411">
        <v>0.14474241890637099</v>
      </c>
      <c r="H4411">
        <v>6.8585045392854593E-2</v>
      </c>
      <c r="I4411">
        <v>3.9395724677014798E-2</v>
      </c>
      <c r="J4411">
        <v>5.8143660816083902E-2</v>
      </c>
      <c r="K4411">
        <v>3.3877725724424199E-2</v>
      </c>
      <c r="L4411">
        <v>3027.6522370674702</v>
      </c>
      <c r="M4411">
        <v>58.953778143315702</v>
      </c>
      <c r="N4411">
        <v>51.483989720358103</v>
      </c>
      <c r="O4411">
        <v>51.297381283973401</v>
      </c>
      <c r="P4411">
        <v>-0.26778294753109599</v>
      </c>
      <c r="Q4411">
        <v>6.7977786614755994E-2</v>
      </c>
      <c r="R4411">
        <v>0.97697483988370604</v>
      </c>
      <c r="S4411" t="s">
        <v>11027</v>
      </c>
      <c r="T4411" t="s">
        <v>13232</v>
      </c>
      <c r="U4411" t="s">
        <v>13232</v>
      </c>
      <c r="V4411" t="s">
        <v>13232</v>
      </c>
      <c r="W4411" t="s">
        <v>17580</v>
      </c>
      <c r="X4411">
        <v>1</v>
      </c>
      <c r="Y4411" t="s">
        <v>23998</v>
      </c>
      <c r="Z4411" t="s">
        <v>30542</v>
      </c>
      <c r="AA4411">
        <v>0.42230718070448758</v>
      </c>
      <c r="AB4411" t="str">
        <f>HYPERLINK("Melting_Curves/meltCurve_Q8N819_2_PPM1N.pdf", "Melting_Curves/meltCurve_Q8N819_2_PPM1N.pdf")</f>
        <v>Melting_Curves/meltCurve_Q8N819_2_PPM1N.pdf</v>
      </c>
    </row>
    <row r="4412" spans="1:28" x14ac:dyDescent="0.25">
      <c r="A4412" t="s">
        <v>4415</v>
      </c>
      <c r="B4412">
        <v>0.99930955844802105</v>
      </c>
      <c r="C4412">
        <v>1.23011493545392</v>
      </c>
      <c r="D4412">
        <v>1.0960356801097499</v>
      </c>
      <c r="E4412">
        <v>1.23555916443406</v>
      </c>
      <c r="F4412">
        <v>1.22155178588618</v>
      </c>
      <c r="G4412">
        <v>1.1594362452547999</v>
      </c>
      <c r="H4412">
        <v>1.2464346723556701</v>
      </c>
      <c r="I4412">
        <v>1.45052903378424</v>
      </c>
      <c r="J4412">
        <v>1.4273825075370701</v>
      </c>
      <c r="K4412">
        <v>1.1528518281967799</v>
      </c>
      <c r="L4412">
        <v>322.77486332026598</v>
      </c>
      <c r="M4412">
        <v>6.7491618817673498</v>
      </c>
      <c r="O4412">
        <v>44.151558959758503</v>
      </c>
      <c r="P4412">
        <v>1.33928266567166E-2</v>
      </c>
      <c r="Q4412">
        <v>1.34971110716322</v>
      </c>
      <c r="R4412">
        <v>0.40706042453931501</v>
      </c>
      <c r="S4412" t="s">
        <v>11028</v>
      </c>
      <c r="T4412" t="s">
        <v>13232</v>
      </c>
      <c r="U4412" t="s">
        <v>13232</v>
      </c>
      <c r="V4412" t="s">
        <v>13232</v>
      </c>
      <c r="W4412" t="s">
        <v>17581</v>
      </c>
      <c r="X4412">
        <v>3</v>
      </c>
      <c r="Y4412" t="s">
        <v>23999</v>
      </c>
      <c r="Z4412" t="s">
        <v>30543</v>
      </c>
      <c r="AA4412">
        <v>1.226907568630407</v>
      </c>
      <c r="AB4412" t="str">
        <f>HYPERLINK("Melting_Curves/meltCurve_Q8N8A6_DDX51.pdf", "Melting_Curves/meltCurve_Q8N8A6_DDX51.pdf")</f>
        <v>Melting_Curves/meltCurve_Q8N8A6_DDX51.pdf</v>
      </c>
    </row>
    <row r="4413" spans="1:28" x14ac:dyDescent="0.25">
      <c r="A4413" t="s">
        <v>4416</v>
      </c>
      <c r="B4413">
        <v>0.99930955844802105</v>
      </c>
      <c r="C4413">
        <v>1.2519514804141001</v>
      </c>
      <c r="D4413">
        <v>1.1852833245243799</v>
      </c>
      <c r="E4413">
        <v>0.60535237985160695</v>
      </c>
      <c r="F4413">
        <v>0.29952044987001197</v>
      </c>
      <c r="G4413">
        <v>0.20524151902860299</v>
      </c>
      <c r="H4413">
        <v>0.14896422204809501</v>
      </c>
      <c r="I4413">
        <v>9.7916524673098707E-2</v>
      </c>
      <c r="J4413">
        <v>0.113452907927686</v>
      </c>
      <c r="K4413">
        <v>6.9680246436990806E-2</v>
      </c>
      <c r="L4413">
        <v>1956.45128810031</v>
      </c>
      <c r="M4413">
        <v>38.725055131338003</v>
      </c>
      <c r="N4413">
        <v>50.917030618281501</v>
      </c>
      <c r="O4413">
        <v>50.387441165151699</v>
      </c>
      <c r="P4413">
        <v>-0.16718419462251199</v>
      </c>
      <c r="Q4413">
        <v>0.129869643568439</v>
      </c>
      <c r="R4413">
        <v>0.94148984784892698</v>
      </c>
      <c r="S4413" t="s">
        <v>11029</v>
      </c>
      <c r="T4413" t="s">
        <v>13232</v>
      </c>
      <c r="U4413" t="s">
        <v>13232</v>
      </c>
      <c r="V4413" t="s">
        <v>13232</v>
      </c>
      <c r="W4413" t="s">
        <v>17582</v>
      </c>
      <c r="X4413">
        <v>8</v>
      </c>
      <c r="Y4413" t="s">
        <v>24000</v>
      </c>
      <c r="Z4413" t="s">
        <v>30544</v>
      </c>
      <c r="AA4413">
        <v>0.43828555520776091</v>
      </c>
      <c r="AB4413" t="str">
        <f>HYPERLINK("Melting_Curves/meltCurve_Q8N8N7_PTGR2.pdf", "Melting_Curves/meltCurve_Q8N8N7_PTGR2.pdf")</f>
        <v>Melting_Curves/meltCurve_Q8N8N7_PTGR2.pdf</v>
      </c>
    </row>
    <row r="4414" spans="1:28" x14ac:dyDescent="0.25">
      <c r="A4414" t="s">
        <v>4417</v>
      </c>
      <c r="B4414">
        <v>0.99930955844802105</v>
      </c>
      <c r="C4414">
        <v>1.04143837405689</v>
      </c>
      <c r="D4414">
        <v>1.04515575582109</v>
      </c>
      <c r="E4414">
        <v>0.98126954608214501</v>
      </c>
      <c r="F4414">
        <v>0.83802455189671499</v>
      </c>
      <c r="G4414">
        <v>0.45563549281843901</v>
      </c>
      <c r="H4414">
        <v>0.30740302738176301</v>
      </c>
      <c r="I4414">
        <v>0.25554438995113599</v>
      </c>
      <c r="J4414">
        <v>0.27057887558002303</v>
      </c>
      <c r="K4414">
        <v>0.20363449574239501</v>
      </c>
      <c r="L4414">
        <v>1653.6660618457499</v>
      </c>
      <c r="M4414">
        <v>29.894003530139099</v>
      </c>
      <c r="N4414">
        <v>56.569649450678398</v>
      </c>
      <c r="O4414">
        <v>55.071863395692297</v>
      </c>
      <c r="P4414">
        <v>-0.102865905293594</v>
      </c>
      <c r="Q4414">
        <v>0.24199094432132101</v>
      </c>
      <c r="R4414">
        <v>0.99449312072708795</v>
      </c>
      <c r="S4414" t="s">
        <v>11030</v>
      </c>
      <c r="T4414" t="s">
        <v>13232</v>
      </c>
      <c r="U4414" t="s">
        <v>13232</v>
      </c>
      <c r="V4414" t="s">
        <v>13232</v>
      </c>
      <c r="W4414" t="s">
        <v>17583</v>
      </c>
      <c r="X4414">
        <v>6</v>
      </c>
      <c r="Y4414" t="s">
        <v>24001</v>
      </c>
      <c r="Z4414" t="s">
        <v>30545</v>
      </c>
      <c r="AA4414">
        <v>0.63409448885481312</v>
      </c>
      <c r="AB4414" t="str">
        <f>HYPERLINK("Melting_Curves/meltCurve_Q8N8R5_C2orf69.pdf", "Melting_Curves/meltCurve_Q8N8R5_C2orf69.pdf")</f>
        <v>Melting_Curves/meltCurve_Q8N8R5_C2orf69.pdf</v>
      </c>
    </row>
    <row r="4415" spans="1:28" x14ac:dyDescent="0.25">
      <c r="A4415" t="s">
        <v>4418</v>
      </c>
      <c r="B4415">
        <v>0.99930955844802105</v>
      </c>
      <c r="C4415">
        <v>1.0603343021438201</v>
      </c>
      <c r="D4415">
        <v>0.96813176354187003</v>
      </c>
      <c r="E4415">
        <v>0.91052459682269304</v>
      </c>
      <c r="F4415">
        <v>0.877376566727193</v>
      </c>
      <c r="G4415">
        <v>0.76587799628174202</v>
      </c>
      <c r="H4415">
        <v>0.68529627038892105</v>
      </c>
      <c r="I4415">
        <v>0.79463720833441998</v>
      </c>
      <c r="J4415">
        <v>0.74425828677930095</v>
      </c>
      <c r="K4415">
        <v>0.57952139826641202</v>
      </c>
      <c r="L4415">
        <v>677.024567022974</v>
      </c>
      <c r="M4415">
        <v>12.276978205330201</v>
      </c>
      <c r="O4415">
        <v>53.743970225936003</v>
      </c>
      <c r="P4415">
        <v>-2.0106810304024399E-2</v>
      </c>
      <c r="Q4415">
        <v>0.64799757010658499</v>
      </c>
      <c r="R4415">
        <v>0.86058899499700903</v>
      </c>
      <c r="S4415" t="s">
        <v>11031</v>
      </c>
      <c r="T4415" t="s">
        <v>13232</v>
      </c>
      <c r="U4415" t="s">
        <v>13232</v>
      </c>
      <c r="V4415" t="s">
        <v>13232</v>
      </c>
      <c r="W4415" t="s">
        <v>17584</v>
      </c>
      <c r="X4415">
        <v>3</v>
      </c>
      <c r="Y4415" t="s">
        <v>24002</v>
      </c>
      <c r="Z4415" t="s">
        <v>30546</v>
      </c>
      <c r="AA4415">
        <v>0.83369406760431641</v>
      </c>
      <c r="AB4415" t="str">
        <f>HYPERLINK("Melting_Curves/meltCurve_Q8N8R7_ARL14EP.pdf", "Melting_Curves/meltCurve_Q8N8R7_ARL14EP.pdf")</f>
        <v>Melting_Curves/meltCurve_Q8N8R7_ARL14EP.pdf</v>
      </c>
    </row>
    <row r="4416" spans="1:28" x14ac:dyDescent="0.25">
      <c r="A4416" t="s">
        <v>4419</v>
      </c>
      <c r="B4416">
        <v>0.99930955844802105</v>
      </c>
      <c r="C4416">
        <v>1.1577015973202001</v>
      </c>
      <c r="D4416">
        <v>1.09713184883846</v>
      </c>
      <c r="E4416">
        <v>1.06386391644131</v>
      </c>
      <c r="F4416">
        <v>0.95425051729204202</v>
      </c>
      <c r="G4416">
        <v>0.74048316371185496</v>
      </c>
      <c r="H4416">
        <v>0.674023687251607</v>
      </c>
      <c r="I4416">
        <v>0.60887034186023203</v>
      </c>
      <c r="J4416">
        <v>0.54558138581832405</v>
      </c>
      <c r="K4416">
        <v>0.387079536452902</v>
      </c>
      <c r="L4416">
        <v>886.83977753283204</v>
      </c>
      <c r="M4416">
        <v>14.578249227466101</v>
      </c>
      <c r="N4416">
        <v>66.725449454946101</v>
      </c>
      <c r="O4416">
        <v>59.722787939539799</v>
      </c>
      <c r="P4416">
        <v>-3.8937991161182801E-2</v>
      </c>
      <c r="Q4416">
        <v>0.36200220318357301</v>
      </c>
      <c r="R4416">
        <v>0.90699764732436505</v>
      </c>
      <c r="S4416" t="s">
        <v>11032</v>
      </c>
      <c r="T4416" t="s">
        <v>13232</v>
      </c>
      <c r="U4416" t="s">
        <v>13232</v>
      </c>
      <c r="V4416" t="s">
        <v>13232</v>
      </c>
      <c r="W4416" t="s">
        <v>17585</v>
      </c>
      <c r="X4416">
        <v>5</v>
      </c>
      <c r="Y4416" t="s">
        <v>24003</v>
      </c>
      <c r="Z4416" t="s">
        <v>30547</v>
      </c>
      <c r="AA4416">
        <v>0.80676305393122283</v>
      </c>
      <c r="AB4416" t="str">
        <f>HYPERLINK("Melting_Curves/meltCurve_Q8N8S7_2_ENAH.pdf", "Melting_Curves/meltCurve_Q8N8S7_2_ENAH.pdf")</f>
        <v>Melting_Curves/meltCurve_Q8N8S7_2_ENAH.pdf</v>
      </c>
    </row>
    <row r="4417" spans="1:28" x14ac:dyDescent="0.25">
      <c r="A4417" t="s">
        <v>4420</v>
      </c>
      <c r="B4417">
        <v>0.99930955844802105</v>
      </c>
      <c r="C4417">
        <v>0.88227341645596502</v>
      </c>
      <c r="D4417">
        <v>0.78553521068129895</v>
      </c>
      <c r="E4417">
        <v>0.49734577755176301</v>
      </c>
      <c r="F4417">
        <v>0.22874977387786299</v>
      </c>
      <c r="G4417">
        <v>0.16433870146785701</v>
      </c>
      <c r="H4417">
        <v>8.6946100069673599E-2</v>
      </c>
      <c r="I4417">
        <v>8.7148326317507005E-2</v>
      </c>
      <c r="J4417">
        <v>8.1847316979448997E-2</v>
      </c>
      <c r="K4417">
        <v>4.5377851374085697E-2</v>
      </c>
      <c r="L4417">
        <v>820.18166029490601</v>
      </c>
      <c r="M4417">
        <v>16.6677219403519</v>
      </c>
      <c r="N4417">
        <v>49.565140572996498</v>
      </c>
      <c r="O4417">
        <v>48.515833521554299</v>
      </c>
      <c r="P4417">
        <v>-8.1030851558047901E-2</v>
      </c>
      <c r="Q4417">
        <v>5.6615838803170199E-2</v>
      </c>
      <c r="R4417">
        <v>0.99474574522797499</v>
      </c>
      <c r="S4417" t="s">
        <v>11033</v>
      </c>
      <c r="T4417" t="s">
        <v>13232</v>
      </c>
      <c r="U4417" t="s">
        <v>13232</v>
      </c>
      <c r="V4417" t="s">
        <v>13232</v>
      </c>
      <c r="W4417" t="s">
        <v>17586</v>
      </c>
      <c r="X4417">
        <v>1</v>
      </c>
      <c r="Y4417" t="s">
        <v>24004</v>
      </c>
      <c r="Z4417" t="s">
        <v>30548</v>
      </c>
      <c r="AA4417">
        <v>0.36508362799141242</v>
      </c>
      <c r="AB4417" t="str">
        <f>HYPERLINK("Melting_Curves/meltCurve_Q8N8Z6_2_DCBLD1.pdf", "Melting_Curves/meltCurve_Q8N8Z6_2_DCBLD1.pdf")</f>
        <v>Melting_Curves/meltCurve_Q8N8Z6_2_DCBLD1.pdf</v>
      </c>
    </row>
    <row r="4418" spans="1:28" x14ac:dyDescent="0.25">
      <c r="A4418" t="s">
        <v>4421</v>
      </c>
      <c r="B4418">
        <v>0.99930955844802105</v>
      </c>
      <c r="C4418">
        <v>1.2059224723111499</v>
      </c>
      <c r="D4418">
        <v>1.1468858895788401</v>
      </c>
      <c r="E4418">
        <v>1.1325088887542401</v>
      </c>
      <c r="F4418">
        <v>1.1083047284723899</v>
      </c>
      <c r="G4418">
        <v>0.752222250304734</v>
      </c>
      <c r="H4418">
        <v>0.62304610743225797</v>
      </c>
      <c r="I4418">
        <v>0.70293897968046004</v>
      </c>
      <c r="J4418">
        <v>0.87321667196613195</v>
      </c>
      <c r="K4418">
        <v>0.60741360755817697</v>
      </c>
      <c r="L4418">
        <v>14159.415340200199</v>
      </c>
      <c r="M4418">
        <v>250</v>
      </c>
      <c r="O4418">
        <v>56.634038576813801</v>
      </c>
      <c r="P4418">
        <v>-0.32924785528344802</v>
      </c>
      <c r="Q4418">
        <v>0.701653837242175</v>
      </c>
      <c r="R4418">
        <v>0.71492130171522295</v>
      </c>
      <c r="S4418" t="s">
        <v>11034</v>
      </c>
      <c r="T4418" t="s">
        <v>13232</v>
      </c>
      <c r="U4418" t="s">
        <v>13232</v>
      </c>
      <c r="V4418" t="s">
        <v>13232</v>
      </c>
      <c r="W4418" t="s">
        <v>17587</v>
      </c>
      <c r="X4418">
        <v>7</v>
      </c>
      <c r="Y4418" t="s">
        <v>24005</v>
      </c>
      <c r="Z4418" t="s">
        <v>30549</v>
      </c>
      <c r="AA4418">
        <v>0.86714290645993819</v>
      </c>
      <c r="AB4418" t="str">
        <f>HYPERLINK("Melting_Curves/meltCurve_Q8N954_GPATCH11.pdf", "Melting_Curves/meltCurve_Q8N954_GPATCH11.pdf")</f>
        <v>Melting_Curves/meltCurve_Q8N954_GPATCH11.pdf</v>
      </c>
    </row>
    <row r="4419" spans="1:28" x14ac:dyDescent="0.25">
      <c r="A4419" t="s">
        <v>4422</v>
      </c>
      <c r="B4419">
        <v>0.99930955844802105</v>
      </c>
      <c r="C4419">
        <v>0.90903969636572401</v>
      </c>
      <c r="D4419">
        <v>0.906297886932935</v>
      </c>
      <c r="E4419">
        <v>0.72596146586111099</v>
      </c>
      <c r="F4419">
        <v>0.41027315050752799</v>
      </c>
      <c r="G4419">
        <v>0.197338965696609</v>
      </c>
      <c r="H4419">
        <v>0.11919118406835399</v>
      </c>
      <c r="I4419">
        <v>9.8304265208190203E-2</v>
      </c>
      <c r="J4419">
        <v>8.9189797062278697E-2</v>
      </c>
      <c r="K4419">
        <v>7.0893622023413497E-2</v>
      </c>
      <c r="L4419">
        <v>1005.53730429705</v>
      </c>
      <c r="M4419">
        <v>19.425727140547099</v>
      </c>
      <c r="N4419">
        <v>52.171983020285502</v>
      </c>
      <c r="O4419">
        <v>51.223985783611496</v>
      </c>
      <c r="P4419">
        <v>-8.81177424104925E-2</v>
      </c>
      <c r="Q4419">
        <v>7.0598055998181294E-2</v>
      </c>
      <c r="R4419">
        <v>0.99420524613121697</v>
      </c>
      <c r="S4419" t="s">
        <v>11035</v>
      </c>
      <c r="T4419" t="s">
        <v>13232</v>
      </c>
      <c r="U4419" t="s">
        <v>13232</v>
      </c>
      <c r="V4419" t="s">
        <v>13232</v>
      </c>
      <c r="W4419" t="s">
        <v>17588</v>
      </c>
      <c r="X4419">
        <v>8</v>
      </c>
      <c r="Y4419" t="s">
        <v>24006</v>
      </c>
      <c r="Z4419" t="s">
        <v>30550</v>
      </c>
      <c r="AA4419">
        <v>0.44858884769971219</v>
      </c>
      <c r="AB4419" t="str">
        <f>HYPERLINK("Melting_Curves/meltCurve_Q8N960_CEP120.pdf", "Melting_Curves/meltCurve_Q8N960_CEP120.pdf")</f>
        <v>Melting_Curves/meltCurve_Q8N960_CEP120.pdf</v>
      </c>
    </row>
    <row r="4420" spans="1:28" x14ac:dyDescent="0.25">
      <c r="A4420" t="s">
        <v>4423</v>
      </c>
      <c r="B4420">
        <v>0.99930955844802105</v>
      </c>
      <c r="C4420">
        <v>1.05185749352089</v>
      </c>
      <c r="D4420">
        <v>1.0264540668895501</v>
      </c>
      <c r="E4420">
        <v>1.0878846924941801</v>
      </c>
      <c r="F4420">
        <v>1.14051708719347</v>
      </c>
      <c r="G4420">
        <v>0.874326248550088</v>
      </c>
      <c r="H4420">
        <v>0.70576275318137505</v>
      </c>
      <c r="I4420">
        <v>0.66526404271563</v>
      </c>
      <c r="J4420">
        <v>0.57200559325477596</v>
      </c>
      <c r="K4420">
        <v>0.33997728991130999</v>
      </c>
      <c r="L4420">
        <v>973.83033327440103</v>
      </c>
      <c r="M4420">
        <v>14.8552381208798</v>
      </c>
      <c r="N4420">
        <v>67.0421250499937</v>
      </c>
      <c r="O4420">
        <v>64.401153106356901</v>
      </c>
      <c r="P4420">
        <v>-4.9576157219648802E-2</v>
      </c>
      <c r="Q4420">
        <v>0.140390637818577</v>
      </c>
      <c r="R4420">
        <v>0.91180133539555097</v>
      </c>
      <c r="S4420" t="s">
        <v>11036</v>
      </c>
      <c r="T4420" t="s">
        <v>13232</v>
      </c>
      <c r="U4420" t="s">
        <v>13232</v>
      </c>
      <c r="V4420" t="s">
        <v>13232</v>
      </c>
      <c r="W4420" t="s">
        <v>17589</v>
      </c>
      <c r="X4420">
        <v>1</v>
      </c>
      <c r="Y4420" t="s">
        <v>24007</v>
      </c>
      <c r="Z4420" t="s">
        <v>30551</v>
      </c>
      <c r="AA4420">
        <v>0.8454295218860679</v>
      </c>
      <c r="AB4420" t="str">
        <f>HYPERLINK("Melting_Curves/meltCurve_Q8N998_CCDC89.pdf", "Melting_Curves/meltCurve_Q8N998_CCDC89.pdf")</f>
        <v>Melting_Curves/meltCurve_Q8N998_CCDC89.pdf</v>
      </c>
    </row>
    <row r="4421" spans="1:28" x14ac:dyDescent="0.25">
      <c r="A4421" t="s">
        <v>4424</v>
      </c>
      <c r="B4421">
        <v>0.99930955844802105</v>
      </c>
      <c r="C4421">
        <v>1.11631519653362</v>
      </c>
      <c r="D4421">
        <v>0.78048802247409799</v>
      </c>
      <c r="E4421">
        <v>0.79839564265611995</v>
      </c>
      <c r="F4421">
        <v>0.63463577686115802</v>
      </c>
      <c r="G4421">
        <v>0.31811459155495098</v>
      </c>
      <c r="H4421">
        <v>0.190233951002024</v>
      </c>
      <c r="I4421">
        <v>0.21433430237097201</v>
      </c>
      <c r="J4421">
        <v>0.221288630067975</v>
      </c>
      <c r="K4421">
        <v>0.13641660850168999</v>
      </c>
      <c r="L4421">
        <v>853.92016792709398</v>
      </c>
      <c r="M4421">
        <v>16.052262356298101</v>
      </c>
      <c r="N4421">
        <v>54.302384335834297</v>
      </c>
      <c r="O4421">
        <v>52.3912111716105</v>
      </c>
      <c r="P4421">
        <v>-6.5921446157367697E-2</v>
      </c>
      <c r="Q4421">
        <v>0.13945165672811299</v>
      </c>
      <c r="R4421">
        <v>0.95667372795721695</v>
      </c>
      <c r="S4421" t="s">
        <v>11037</v>
      </c>
      <c r="T4421" t="s">
        <v>13232</v>
      </c>
      <c r="U4421" t="s">
        <v>13232</v>
      </c>
      <c r="V4421" t="s">
        <v>13232</v>
      </c>
      <c r="W4421" t="s">
        <v>17590</v>
      </c>
      <c r="X4421">
        <v>4</v>
      </c>
      <c r="Y4421" t="s">
        <v>24008</v>
      </c>
      <c r="Z4421" t="s">
        <v>30552</v>
      </c>
      <c r="AA4421">
        <v>0.53467852628149903</v>
      </c>
      <c r="AB4421" t="str">
        <f>HYPERLINK("Melting_Curves/meltCurve_Q8N999_C12orf29.pdf", "Melting_Curves/meltCurve_Q8N999_C12orf29.pdf")</f>
        <v>Melting_Curves/meltCurve_Q8N999_C12orf29.pdf</v>
      </c>
    </row>
    <row r="4422" spans="1:28" x14ac:dyDescent="0.25">
      <c r="A4422" t="s">
        <v>4425</v>
      </c>
      <c r="B4422">
        <v>0.99930955844802105</v>
      </c>
      <c r="C4422">
        <v>1.1670514692818801</v>
      </c>
      <c r="D4422">
        <v>1.2184645542952399</v>
      </c>
      <c r="E4422">
        <v>1.32943592039884</v>
      </c>
      <c r="F4422">
        <v>1.26567039175396</v>
      </c>
      <c r="G4422">
        <v>1.3118007322866601</v>
      </c>
      <c r="H4422">
        <v>1.3442798081154701</v>
      </c>
      <c r="I4422">
        <v>1.33019558506646</v>
      </c>
      <c r="J4422">
        <v>1.29134535434413</v>
      </c>
      <c r="K4422">
        <v>1.06762571242629</v>
      </c>
      <c r="L4422">
        <v>1609.6012727411801</v>
      </c>
      <c r="M4422">
        <v>37.761500883239599</v>
      </c>
      <c r="O4422">
        <v>42.506442188714502</v>
      </c>
      <c r="P4422">
        <v>6.0642951064988501E-2</v>
      </c>
      <c r="Q4422">
        <v>1.27305157847669</v>
      </c>
      <c r="R4422">
        <v>0.54895195046499101</v>
      </c>
      <c r="S4422" t="s">
        <v>11038</v>
      </c>
      <c r="T4422" t="s">
        <v>13232</v>
      </c>
      <c r="U4422" t="s">
        <v>13232</v>
      </c>
      <c r="V4422" t="s">
        <v>13232</v>
      </c>
      <c r="W4422" t="s">
        <v>17591</v>
      </c>
      <c r="X4422">
        <v>3</v>
      </c>
      <c r="Y4422" t="s">
        <v>24009</v>
      </c>
      <c r="Z4422" t="s">
        <v>30553</v>
      </c>
      <c r="AA4422">
        <v>1.2475572183332</v>
      </c>
      <c r="AB4422" t="str">
        <f>HYPERLINK("Melting_Curves/meltCurve_Q8N9B5_2_JMY.pdf", "Melting_Curves/meltCurve_Q8N9B5_2_JMY.pdf")</f>
        <v>Melting_Curves/meltCurve_Q8N9B5_2_JMY.pdf</v>
      </c>
    </row>
    <row r="4423" spans="1:28" x14ac:dyDescent="0.25">
      <c r="A4423" t="s">
        <v>4426</v>
      </c>
      <c r="B4423">
        <v>0.99930955844802105</v>
      </c>
      <c r="C4423">
        <v>1.03041133964457</v>
      </c>
      <c r="D4423">
        <v>0.97449515439907097</v>
      </c>
      <c r="E4423">
        <v>0.84720040650575401</v>
      </c>
      <c r="F4423">
        <v>0.70284303625595101</v>
      </c>
      <c r="G4423">
        <v>0.62865098591781299</v>
      </c>
      <c r="H4423">
        <v>0.61374836243517195</v>
      </c>
      <c r="I4423">
        <v>0.71423283670247695</v>
      </c>
      <c r="J4423">
        <v>0.68353429927430898</v>
      </c>
      <c r="K4423">
        <v>0.57155574329190395</v>
      </c>
      <c r="L4423">
        <v>1699.7861440050799</v>
      </c>
      <c r="M4423">
        <v>33.711914824993698</v>
      </c>
      <c r="O4423">
        <v>50.244507543374603</v>
      </c>
      <c r="P4423">
        <v>-6.0169290968404898E-2</v>
      </c>
      <c r="Q4423">
        <v>0.64129432409252296</v>
      </c>
      <c r="R4423">
        <v>0.94645849311124397</v>
      </c>
      <c r="S4423" t="s">
        <v>11039</v>
      </c>
      <c r="T4423" t="s">
        <v>13232</v>
      </c>
      <c r="U4423" t="s">
        <v>13232</v>
      </c>
      <c r="V4423" t="s">
        <v>13232</v>
      </c>
      <c r="W4423" t="s">
        <v>17592</v>
      </c>
      <c r="X4423">
        <v>8</v>
      </c>
      <c r="Y4423" t="s">
        <v>24010</v>
      </c>
      <c r="Z4423" t="s">
        <v>30554</v>
      </c>
      <c r="AA4423">
        <v>0.76766152667285392</v>
      </c>
      <c r="AB4423" t="str">
        <f>HYPERLINK("Melting_Curves/meltCurve_Q8N9M1_C19orf47.pdf", "Melting_Curves/meltCurve_Q8N9M1_C19orf47.pdf")</f>
        <v>Melting_Curves/meltCurve_Q8N9M1_C19orf47.pdf</v>
      </c>
    </row>
    <row r="4424" spans="1:28" x14ac:dyDescent="0.25">
      <c r="A4424" t="s">
        <v>4427</v>
      </c>
      <c r="B4424">
        <v>0.99930955844802105</v>
      </c>
      <c r="C4424">
        <v>0.91888611359660899</v>
      </c>
      <c r="D4424">
        <v>0.66678342952952796</v>
      </c>
      <c r="E4424">
        <v>0.42505475525723202</v>
      </c>
      <c r="F4424">
        <v>0.222130661387902</v>
      </c>
      <c r="G4424">
        <v>0.136005691717316</v>
      </c>
      <c r="H4424">
        <v>9.0550991729977798E-2</v>
      </c>
      <c r="I4424">
        <v>7.4171890982083793E-2</v>
      </c>
      <c r="J4424">
        <v>4.80303237638635E-2</v>
      </c>
      <c r="K4424">
        <v>4.3388327358174501E-2</v>
      </c>
      <c r="L4424">
        <v>773.327024047696</v>
      </c>
      <c r="M4424">
        <v>15.9976388067633</v>
      </c>
      <c r="N4424">
        <v>48.648583856049498</v>
      </c>
      <c r="O4424">
        <v>47.603653879822197</v>
      </c>
      <c r="P4424">
        <v>-7.9968517848005502E-2</v>
      </c>
      <c r="Q4424">
        <v>4.8235989370908901E-2</v>
      </c>
      <c r="R4424">
        <v>0.99608268462800298</v>
      </c>
      <c r="S4424" t="s">
        <v>11040</v>
      </c>
      <c r="T4424" t="s">
        <v>13232</v>
      </c>
      <c r="U4424" t="s">
        <v>13232</v>
      </c>
      <c r="V4424" t="s">
        <v>13232</v>
      </c>
      <c r="W4424" t="s">
        <v>17593</v>
      </c>
      <c r="X4424">
        <v>2</v>
      </c>
      <c r="Y4424" t="s">
        <v>24011</v>
      </c>
      <c r="Z4424" t="s">
        <v>30555</v>
      </c>
      <c r="AA4424">
        <v>0.33407308218036452</v>
      </c>
      <c r="AB4424" t="str">
        <f>HYPERLINK("Melting_Curves/meltCurve_Q8N9M5_TMEM102.pdf", "Melting_Curves/meltCurve_Q8N9M5_TMEM102.pdf")</f>
        <v>Melting_Curves/meltCurve_Q8N9M5_TMEM102.pdf</v>
      </c>
    </row>
    <row r="4425" spans="1:28" x14ac:dyDescent="0.25">
      <c r="A4425" t="s">
        <v>4428</v>
      </c>
      <c r="B4425">
        <v>0.99930955844802105</v>
      </c>
      <c r="C4425">
        <v>0.84401313169155101</v>
      </c>
      <c r="D4425">
        <v>0.70362177462545195</v>
      </c>
      <c r="E4425">
        <v>0.46464898482851402</v>
      </c>
      <c r="F4425">
        <v>0.301108633266781</v>
      </c>
      <c r="G4425">
        <v>0.20965251333933299</v>
      </c>
      <c r="H4425">
        <v>0.15931138668810901</v>
      </c>
      <c r="I4425">
        <v>0.13513918272084</v>
      </c>
      <c r="J4425">
        <v>0.13336679828569001</v>
      </c>
      <c r="K4425">
        <v>0.100016263859252</v>
      </c>
      <c r="L4425">
        <v>667.62386040610704</v>
      </c>
      <c r="M4425">
        <v>13.7969992643465</v>
      </c>
      <c r="N4425">
        <v>49.226777209190203</v>
      </c>
      <c r="O4425">
        <v>47.406490018072702</v>
      </c>
      <c r="P4425">
        <v>-6.5155262636602804E-2</v>
      </c>
      <c r="Q4425">
        <v>0.10463149926580501</v>
      </c>
      <c r="R4425">
        <v>0.99649776230037401</v>
      </c>
      <c r="S4425" t="s">
        <v>11041</v>
      </c>
      <c r="T4425" t="s">
        <v>13232</v>
      </c>
      <c r="U4425" t="s">
        <v>13232</v>
      </c>
      <c r="V4425" t="s">
        <v>13232</v>
      </c>
      <c r="W4425" t="s">
        <v>17594</v>
      </c>
      <c r="X4425">
        <v>7</v>
      </c>
      <c r="Y4425" t="s">
        <v>24012</v>
      </c>
      <c r="Z4425" t="s">
        <v>30556</v>
      </c>
      <c r="AA4425">
        <v>0.38156733158851242</v>
      </c>
      <c r="AB4425" t="str">
        <f>HYPERLINK("Melting_Curves/meltCurve_Q8N9N5_7_BANP.pdf", "Melting_Curves/meltCurve_Q8N9N5_7_BANP.pdf")</f>
        <v>Melting_Curves/meltCurve_Q8N9N5_7_BANP.pdf</v>
      </c>
    </row>
    <row r="4426" spans="1:28" x14ac:dyDescent="0.25">
      <c r="A4426" t="s">
        <v>4429</v>
      </c>
      <c r="B4426">
        <v>0.99930955844802105</v>
      </c>
      <c r="C4426">
        <v>1.11143698124473</v>
      </c>
      <c r="D4426">
        <v>1.121229312034</v>
      </c>
      <c r="E4426">
        <v>1.02775916596808</v>
      </c>
      <c r="F4426">
        <v>0.79908420053186702</v>
      </c>
      <c r="G4426">
        <v>0.38915004453708602</v>
      </c>
      <c r="H4426">
        <v>0.18034294323965699</v>
      </c>
      <c r="I4426">
        <v>0.16394239818353701</v>
      </c>
      <c r="J4426">
        <v>0.11638093574214201</v>
      </c>
      <c r="K4426">
        <v>8.9266926045220102E-2</v>
      </c>
      <c r="L4426">
        <v>1667.8798571934999</v>
      </c>
      <c r="M4426">
        <v>30.087551901901801</v>
      </c>
      <c r="N4426">
        <v>55.936066626650401</v>
      </c>
      <c r="O4426">
        <v>55.191062368903197</v>
      </c>
      <c r="P4426">
        <v>-0.120167747667924</v>
      </c>
      <c r="Q4426">
        <v>0.11828746093985</v>
      </c>
      <c r="R4426">
        <v>0.98145922055559198</v>
      </c>
      <c r="S4426" t="s">
        <v>11042</v>
      </c>
      <c r="T4426" t="s">
        <v>13232</v>
      </c>
      <c r="U4426" t="s">
        <v>13232</v>
      </c>
      <c r="V4426" t="s">
        <v>13232</v>
      </c>
      <c r="W4426" t="s">
        <v>17595</v>
      </c>
      <c r="X4426">
        <v>7</v>
      </c>
      <c r="Y4426" t="s">
        <v>24013</v>
      </c>
      <c r="Z4426" t="s">
        <v>30557</v>
      </c>
      <c r="AA4426">
        <v>0.57773968012558219</v>
      </c>
      <c r="AB4426" t="str">
        <f>HYPERLINK("Melting_Curves/meltCurve_Q8N9N7_LRRC57.pdf", "Melting_Curves/meltCurve_Q8N9N7_LRRC57.pdf")</f>
        <v>Melting_Curves/meltCurve_Q8N9N7_LRRC57.pdf</v>
      </c>
    </row>
    <row r="4427" spans="1:28" x14ac:dyDescent="0.25">
      <c r="A4427" t="s">
        <v>4430</v>
      </c>
      <c r="B4427">
        <v>0.99930955844802105</v>
      </c>
      <c r="C4427">
        <v>0.96786120197251202</v>
      </c>
      <c r="D4427">
        <v>0.98001096489387496</v>
      </c>
      <c r="E4427">
        <v>0.88606225947250095</v>
      </c>
      <c r="F4427">
        <v>0.73068813578313396</v>
      </c>
      <c r="G4427">
        <v>0.55522723808266805</v>
      </c>
      <c r="H4427">
        <v>0.496279364898218</v>
      </c>
      <c r="I4427">
        <v>0.45001617185581899</v>
      </c>
      <c r="J4427">
        <v>0.475142639684207</v>
      </c>
      <c r="K4427">
        <v>0.38677232151642099</v>
      </c>
      <c r="L4427">
        <v>973.68933112283503</v>
      </c>
      <c r="M4427">
        <v>18.187620393744002</v>
      </c>
      <c r="N4427">
        <v>59.6549473359849</v>
      </c>
      <c r="O4427">
        <v>52.901213904904203</v>
      </c>
      <c r="P4427">
        <v>-4.9630561810874697E-2</v>
      </c>
      <c r="Q4427">
        <v>0.42259792978118599</v>
      </c>
      <c r="R4427">
        <v>0.99146036274349503</v>
      </c>
      <c r="S4427" t="s">
        <v>11043</v>
      </c>
      <c r="T4427" t="s">
        <v>13232</v>
      </c>
      <c r="U4427" t="s">
        <v>13232</v>
      </c>
      <c r="V4427" t="s">
        <v>13232</v>
      </c>
      <c r="W4427" t="s">
        <v>17596</v>
      </c>
      <c r="X4427">
        <v>8</v>
      </c>
      <c r="Y4427" t="s">
        <v>24014</v>
      </c>
      <c r="Z4427" t="s">
        <v>30558</v>
      </c>
      <c r="AA4427">
        <v>0.69231781045076846</v>
      </c>
      <c r="AB4427" t="str">
        <f>HYPERLINK("Melting_Curves/meltCurve_Q8N9N8_EIF1AD.pdf", "Melting_Curves/meltCurve_Q8N9N8_EIF1AD.pdf")</f>
        <v>Melting_Curves/meltCurve_Q8N9N8_EIF1AD.pdf</v>
      </c>
    </row>
    <row r="4428" spans="1:28" x14ac:dyDescent="0.25">
      <c r="A4428" t="s">
        <v>4431</v>
      </c>
      <c r="B4428">
        <v>0.99930955844802105</v>
      </c>
      <c r="C4428">
        <v>0.99927267737796299</v>
      </c>
      <c r="D4428">
        <v>0.96688568864197799</v>
      </c>
      <c r="E4428">
        <v>0.68991938352447901</v>
      </c>
      <c r="F4428">
        <v>0.36660921811811897</v>
      </c>
      <c r="G4428">
        <v>0.30813971015432601</v>
      </c>
      <c r="H4428">
        <v>0.23529657221950501</v>
      </c>
      <c r="I4428">
        <v>0.213600375715263</v>
      </c>
      <c r="J4428">
        <v>0.1649023082337</v>
      </c>
      <c r="K4428">
        <v>0.113918424231088</v>
      </c>
      <c r="L4428">
        <v>1244.67335386331</v>
      </c>
      <c r="M4428">
        <v>24.4528178826268</v>
      </c>
      <c r="N4428">
        <v>51.8834322509217</v>
      </c>
      <c r="O4428">
        <v>50.564281842935898</v>
      </c>
      <c r="P4428">
        <v>-9.8497467966079097E-2</v>
      </c>
      <c r="Q4428">
        <v>0.18530807430433799</v>
      </c>
      <c r="R4428">
        <v>0.98801772661429599</v>
      </c>
      <c r="S4428" t="s">
        <v>11044</v>
      </c>
      <c r="T4428" t="s">
        <v>13232</v>
      </c>
      <c r="U4428" t="s">
        <v>13232</v>
      </c>
      <c r="V4428" t="s">
        <v>13232</v>
      </c>
      <c r="W4428" t="s">
        <v>17597</v>
      </c>
      <c r="X4428">
        <v>7</v>
      </c>
      <c r="Y4428" t="s">
        <v>24015</v>
      </c>
      <c r="Z4428" t="s">
        <v>30559</v>
      </c>
      <c r="AA4428">
        <v>0.48901980003373191</v>
      </c>
      <c r="AB4428" t="str">
        <f>HYPERLINK("Melting_Curves/meltCurve_Q8N9R8_SCAI.pdf", "Melting_Curves/meltCurve_Q8N9R8_SCAI.pdf")</f>
        <v>Melting_Curves/meltCurve_Q8N9R8_SCAI.pdf</v>
      </c>
    </row>
    <row r="4429" spans="1:28" x14ac:dyDescent="0.25">
      <c r="A4429" t="s">
        <v>4432</v>
      </c>
      <c r="B4429">
        <v>0.99930955844802105</v>
      </c>
      <c r="C4429">
        <v>1.0709560710903201</v>
      </c>
      <c r="D4429">
        <v>1.0481654806090901</v>
      </c>
      <c r="E4429">
        <v>0.94356742207297095</v>
      </c>
      <c r="F4429">
        <v>0.81079435632713404</v>
      </c>
      <c r="G4429">
        <v>0.55529840119366602</v>
      </c>
      <c r="H4429">
        <v>0.339135734376867</v>
      </c>
      <c r="I4429">
        <v>0.209096970851748</v>
      </c>
      <c r="J4429">
        <v>0.16345770547145</v>
      </c>
      <c r="K4429">
        <v>0.12738450432088699</v>
      </c>
      <c r="L4429">
        <v>1030.5783268135101</v>
      </c>
      <c r="M4429">
        <v>18.027744514512001</v>
      </c>
      <c r="N4429">
        <v>57.894852204314397</v>
      </c>
      <c r="O4429">
        <v>56.476753313736197</v>
      </c>
      <c r="P4429">
        <v>-7.1705872732345494E-2</v>
      </c>
      <c r="Q4429">
        <v>0.101492435771811</v>
      </c>
      <c r="R4429">
        <v>0.99301090015195304</v>
      </c>
      <c r="S4429" t="s">
        <v>11045</v>
      </c>
      <c r="T4429" t="s">
        <v>13232</v>
      </c>
      <c r="U4429" t="s">
        <v>13232</v>
      </c>
      <c r="V4429" t="s">
        <v>13232</v>
      </c>
      <c r="W4429" t="s">
        <v>17598</v>
      </c>
      <c r="X4429">
        <v>11</v>
      </c>
      <c r="Y4429" t="s">
        <v>24016</v>
      </c>
      <c r="Z4429" t="s">
        <v>30560</v>
      </c>
      <c r="AA4429">
        <v>0.627758706399972</v>
      </c>
      <c r="AB4429" t="str">
        <f>HYPERLINK("Melting_Curves/meltCurve_Q8N9V3_WDSUB1.pdf", "Melting_Curves/meltCurve_Q8N9V3_WDSUB1.pdf")</f>
        <v>Melting_Curves/meltCurve_Q8N9V3_WDSUB1.pdf</v>
      </c>
    </row>
    <row r="4430" spans="1:28" x14ac:dyDescent="0.25">
      <c r="A4430" t="s">
        <v>4433</v>
      </c>
      <c r="B4430">
        <v>0.99930955844802105</v>
      </c>
      <c r="C4430">
        <v>0.865771116809954</v>
      </c>
      <c r="D4430">
        <v>0.79280622538955603</v>
      </c>
      <c r="E4430">
        <v>0.69744148485903401</v>
      </c>
      <c r="F4430">
        <v>0.59156968075511696</v>
      </c>
      <c r="G4430">
        <v>0.41389159821510202</v>
      </c>
      <c r="H4430">
        <v>0.32581712472196001</v>
      </c>
      <c r="I4430">
        <v>0.31169351668085699</v>
      </c>
      <c r="J4430">
        <v>0.306369239966089</v>
      </c>
      <c r="K4430">
        <v>0.21699781912501601</v>
      </c>
      <c r="L4430">
        <v>466.10072436803802</v>
      </c>
      <c r="M4430">
        <v>8.8521175773889595</v>
      </c>
      <c r="N4430">
        <v>54.982144165984003</v>
      </c>
      <c r="O4430">
        <v>50.174727949269503</v>
      </c>
      <c r="P4430">
        <v>-3.7241884656783499E-2</v>
      </c>
      <c r="Q4430">
        <v>0.15628890036141699</v>
      </c>
      <c r="R4430">
        <v>0.98711711268897495</v>
      </c>
      <c r="S4430" t="s">
        <v>11046</v>
      </c>
      <c r="T4430" t="s">
        <v>13232</v>
      </c>
      <c r="U4430" t="s">
        <v>13232</v>
      </c>
      <c r="V4430" t="s">
        <v>13232</v>
      </c>
      <c r="W4430" t="s">
        <v>17599</v>
      </c>
      <c r="X4430">
        <v>2</v>
      </c>
      <c r="Y4430" t="s">
        <v>24017</v>
      </c>
      <c r="Z4430" t="s">
        <v>30561</v>
      </c>
      <c r="AA4430">
        <v>0.54563198101401544</v>
      </c>
      <c r="AB4430" t="str">
        <f>HYPERLINK("Melting_Curves/meltCurve_Q8N9Z2_CCDC71L.pdf", "Melting_Curves/meltCurve_Q8N9Z2_CCDC71L.pdf")</f>
        <v>Melting_Curves/meltCurve_Q8N9Z2_CCDC71L.pdf</v>
      </c>
    </row>
    <row r="4431" spans="1:28" x14ac:dyDescent="0.25">
      <c r="A4431" t="s">
        <v>4434</v>
      </c>
      <c r="B4431">
        <v>0.99930955844802105</v>
      </c>
      <c r="C4431">
        <v>1.2670715618217601</v>
      </c>
      <c r="D4431">
        <v>1.0527521762232299</v>
      </c>
      <c r="E4431">
        <v>1.0720434185072301</v>
      </c>
      <c r="F4431">
        <v>1.18280028236265</v>
      </c>
      <c r="G4431">
        <v>0.85152817872389797</v>
      </c>
      <c r="H4431">
        <v>0.856763837171864</v>
      </c>
      <c r="I4431">
        <v>0.833692005918376</v>
      </c>
      <c r="J4431">
        <v>0.85150456522937301</v>
      </c>
      <c r="K4431">
        <v>0.64964701992170404</v>
      </c>
      <c r="L4431">
        <v>805.40361830938605</v>
      </c>
      <c r="M4431">
        <v>11.256454081800801</v>
      </c>
      <c r="O4431">
        <v>69.403708764634203</v>
      </c>
      <c r="P4431">
        <v>-2.93195250833637E-2</v>
      </c>
      <c r="Q4431">
        <v>0.27712376134668998</v>
      </c>
      <c r="R4431">
        <v>0.54658314132350205</v>
      </c>
      <c r="S4431" t="s">
        <v>11047</v>
      </c>
      <c r="T4431" t="s">
        <v>13232</v>
      </c>
      <c r="U4431" t="s">
        <v>13232</v>
      </c>
      <c r="V4431" t="s">
        <v>13232</v>
      </c>
      <c r="W4431" t="s">
        <v>17600</v>
      </c>
      <c r="X4431">
        <v>9</v>
      </c>
      <c r="Y4431" t="s">
        <v>24018</v>
      </c>
      <c r="Z4431" t="s">
        <v>30562</v>
      </c>
      <c r="AA4431">
        <v>0.92891630783660084</v>
      </c>
      <c r="AB4431" t="str">
        <f>HYPERLINK("Melting_Curves/meltCurve_Q8NAF0_ZNF579.pdf", "Melting_Curves/meltCurve_Q8NAF0_ZNF579.pdf")</f>
        <v>Melting_Curves/meltCurve_Q8NAF0_ZNF579.pdf</v>
      </c>
    </row>
    <row r="4432" spans="1:28" x14ac:dyDescent="0.25">
      <c r="A4432" t="s">
        <v>4435</v>
      </c>
      <c r="B4432">
        <v>0.99930955844802105</v>
      </c>
      <c r="C4432">
        <v>0.99436328379688199</v>
      </c>
      <c r="D4432">
        <v>1.0424853264424601</v>
      </c>
      <c r="E4432">
        <v>1.02125065447581</v>
      </c>
      <c r="F4432">
        <v>0.90325240250793204</v>
      </c>
      <c r="G4432">
        <v>0.83387640472199998</v>
      </c>
      <c r="H4432">
        <v>0.75236890191036099</v>
      </c>
      <c r="I4432">
        <v>0.90697007412747999</v>
      </c>
      <c r="J4432">
        <v>0</v>
      </c>
      <c r="K4432">
        <v>0.64693983073225003</v>
      </c>
      <c r="L4432">
        <v>15000</v>
      </c>
      <c r="M4432">
        <v>232.54475275669901</v>
      </c>
      <c r="N4432">
        <v>64.7938031180758</v>
      </c>
      <c r="O4432">
        <v>64.498939039951495</v>
      </c>
      <c r="P4432">
        <v>-0.60978931832149796</v>
      </c>
      <c r="Q4432">
        <v>0.32347188108333502</v>
      </c>
      <c r="R4432">
        <v>0.64508259181312999</v>
      </c>
      <c r="S4432" t="s">
        <v>11048</v>
      </c>
      <c r="T4432" t="s">
        <v>13232</v>
      </c>
      <c r="U4432" t="s">
        <v>13232</v>
      </c>
      <c r="V4432" t="s">
        <v>13232</v>
      </c>
      <c r="W4432" t="s">
        <v>17601</v>
      </c>
      <c r="X4432">
        <v>4</v>
      </c>
      <c r="Y4432" t="s">
        <v>24019</v>
      </c>
      <c r="Z4432" t="s">
        <v>30563</v>
      </c>
      <c r="AA4432">
        <v>0.87614209404038457</v>
      </c>
      <c r="AB4432" t="str">
        <f>HYPERLINK("Melting_Curves/meltCurve_Q8NAP3_ZBTB38.pdf", "Melting_Curves/meltCurve_Q8NAP3_ZBTB38.pdf")</f>
        <v>Melting_Curves/meltCurve_Q8NAP3_ZBTB38.pdf</v>
      </c>
    </row>
    <row r="4433" spans="1:28" x14ac:dyDescent="0.25">
      <c r="A4433" t="s">
        <v>4436</v>
      </c>
      <c r="B4433">
        <v>0.99930955844802105</v>
      </c>
      <c r="C4433">
        <v>1.0551282187792701</v>
      </c>
      <c r="D4433">
        <v>1.0853710033142601</v>
      </c>
      <c r="E4433">
        <v>0.86236437599398996</v>
      </c>
      <c r="F4433">
        <v>0.27346589144635602</v>
      </c>
      <c r="G4433">
        <v>0.13120977930206201</v>
      </c>
      <c r="H4433">
        <v>6.6934574611436204E-2</v>
      </c>
      <c r="I4433">
        <v>3.8705291930477802E-2</v>
      </c>
      <c r="J4433">
        <v>2.5317331571162199E-2</v>
      </c>
      <c r="K4433">
        <v>2.1012414276153898E-2</v>
      </c>
      <c r="L4433">
        <v>2561.2513899115502</v>
      </c>
      <c r="M4433">
        <v>49.4792721291671</v>
      </c>
      <c r="N4433">
        <v>51.882648757817996</v>
      </c>
      <c r="O4433">
        <v>51.679807146367999</v>
      </c>
      <c r="P4433">
        <v>-0.226562707422581</v>
      </c>
      <c r="Q4433">
        <v>5.3445967722064801E-2</v>
      </c>
      <c r="R4433">
        <v>0.99145698489676903</v>
      </c>
      <c r="S4433" t="s">
        <v>11049</v>
      </c>
      <c r="T4433" t="s">
        <v>13232</v>
      </c>
      <c r="U4433" t="s">
        <v>13232</v>
      </c>
      <c r="V4433" t="s">
        <v>13232</v>
      </c>
      <c r="W4433" t="s">
        <v>17602</v>
      </c>
      <c r="X4433">
        <v>1</v>
      </c>
      <c r="Y4433" t="s">
        <v>24020</v>
      </c>
      <c r="Z4433" t="s">
        <v>30564</v>
      </c>
      <c r="AA4433">
        <v>0.42683254912706592</v>
      </c>
      <c r="AB4433" t="str">
        <f>HYPERLINK("Melting_Curves/meltCurve_Q8NAT2_TDRD5.pdf", "Melting_Curves/meltCurve_Q8NAT2_TDRD5.pdf")</f>
        <v>Melting_Curves/meltCurve_Q8NAT2_TDRD5.pdf</v>
      </c>
    </row>
    <row r="4434" spans="1:28" x14ac:dyDescent="0.25">
      <c r="A4434" t="s">
        <v>4437</v>
      </c>
      <c r="B4434">
        <v>0.99930955844802105</v>
      </c>
      <c r="C4434">
        <v>0.63964350411960802</v>
      </c>
      <c r="D4434">
        <v>0.31385028585316499</v>
      </c>
      <c r="E4434">
        <v>0.18617738083077301</v>
      </c>
      <c r="F4434">
        <v>0.11556254245556501</v>
      </c>
      <c r="G4434">
        <v>8.1839628875031295E-2</v>
      </c>
      <c r="H4434">
        <v>4.4435480389085402E-2</v>
      </c>
      <c r="I4434">
        <v>2.61660293196244E-2</v>
      </c>
      <c r="J4434">
        <v>2.16405821357574E-2</v>
      </c>
      <c r="K4434">
        <v>1.8688707666236801E-2</v>
      </c>
      <c r="L4434">
        <v>962.64170307459597</v>
      </c>
      <c r="M4434">
        <v>21.7805566569014</v>
      </c>
      <c r="N4434">
        <v>44.420542353497602</v>
      </c>
      <c r="O4434">
        <v>43.829787118985799</v>
      </c>
      <c r="P4434">
        <v>-0.11779602151606799</v>
      </c>
      <c r="Q4434">
        <v>5.1841607909611898E-2</v>
      </c>
      <c r="R4434">
        <v>0.98093433238767702</v>
      </c>
      <c r="S4434" t="s">
        <v>11050</v>
      </c>
      <c r="T4434" t="s">
        <v>13232</v>
      </c>
      <c r="U4434" t="s">
        <v>13232</v>
      </c>
      <c r="V4434" t="s">
        <v>13232</v>
      </c>
      <c r="W4434" t="s">
        <v>17603</v>
      </c>
      <c r="X4434">
        <v>3</v>
      </c>
      <c r="Y4434" t="s">
        <v>24021</v>
      </c>
      <c r="Z4434" t="s">
        <v>30565</v>
      </c>
      <c r="AA4434">
        <v>0.1991292713219773</v>
      </c>
      <c r="AB4434" t="str">
        <f>HYPERLINK("Melting_Curves/meltCurve_Q8NAV1_PRPF38A.pdf", "Melting_Curves/meltCurve_Q8NAV1_PRPF38A.pdf")</f>
        <v>Melting_Curves/meltCurve_Q8NAV1_PRPF38A.pdf</v>
      </c>
    </row>
    <row r="4435" spans="1:28" x14ac:dyDescent="0.25">
      <c r="A4435" t="s">
        <v>4438</v>
      </c>
      <c r="B4435">
        <v>0.99930955844802105</v>
      </c>
      <c r="C4435">
        <v>0.92340485691497398</v>
      </c>
      <c r="D4435">
        <v>0.73013656777642499</v>
      </c>
      <c r="E4435">
        <v>0.65568308290166799</v>
      </c>
      <c r="F4435">
        <v>0.43881112473130601</v>
      </c>
      <c r="G4435">
        <v>0.31222808845972599</v>
      </c>
      <c r="H4435">
        <v>0.264720923807858</v>
      </c>
      <c r="I4435">
        <v>0.22480937975602799</v>
      </c>
      <c r="J4435">
        <v>0.210450793419451</v>
      </c>
      <c r="K4435">
        <v>0.15811049054097501</v>
      </c>
      <c r="L4435">
        <v>585.51439319059398</v>
      </c>
      <c r="M4435">
        <v>11.590362242202801</v>
      </c>
      <c r="N4435">
        <v>52.102316437494601</v>
      </c>
      <c r="O4435">
        <v>49.083773611334998</v>
      </c>
      <c r="P4435">
        <v>-5.0277152780166298E-2</v>
      </c>
      <c r="Q4435">
        <v>0.14856429102566401</v>
      </c>
      <c r="R4435">
        <v>0.98772253639510499</v>
      </c>
      <c r="S4435" t="s">
        <v>11051</v>
      </c>
      <c r="T4435" t="s">
        <v>13232</v>
      </c>
      <c r="U4435" t="s">
        <v>13232</v>
      </c>
      <c r="V4435" t="s">
        <v>13232</v>
      </c>
      <c r="W4435" t="s">
        <v>17604</v>
      </c>
      <c r="X4435">
        <v>1</v>
      </c>
      <c r="Y4435" t="s">
        <v>24022</v>
      </c>
      <c r="Z4435" t="s">
        <v>30566</v>
      </c>
      <c r="AA4435">
        <v>0.47715111919752551</v>
      </c>
      <c r="AB4435" t="str">
        <f>HYPERLINK("Melting_Curves/meltCurve_Q8NAX2_C1orf172.pdf", "Melting_Curves/meltCurve_Q8NAX2_C1orf172.pdf")</f>
        <v>Melting_Curves/meltCurve_Q8NAX2_C1orf172.pdf</v>
      </c>
    </row>
    <row r="4436" spans="1:28" x14ac:dyDescent="0.25">
      <c r="A4436" t="s">
        <v>4439</v>
      </c>
      <c r="B4436">
        <v>0.99930955844802105</v>
      </c>
      <c r="C4436">
        <v>0.84131911746682597</v>
      </c>
      <c r="D4436">
        <v>0.67728194111217499</v>
      </c>
      <c r="E4436">
        <v>0.52450244114413302</v>
      </c>
      <c r="F4436">
        <v>0.28193122102495499</v>
      </c>
      <c r="G4436">
        <v>0.132746378253324</v>
      </c>
      <c r="H4436">
        <v>8.5827106873944597E-2</v>
      </c>
      <c r="I4436">
        <v>6.8614571513031006E-2</v>
      </c>
      <c r="J4436">
        <v>6.2657883477441501E-2</v>
      </c>
      <c r="K4436">
        <v>4.5460668836642799E-2</v>
      </c>
      <c r="L4436">
        <v>626.21251172050404</v>
      </c>
      <c r="M4436">
        <v>12.7200798959342</v>
      </c>
      <c r="N4436">
        <v>49.357805680146903</v>
      </c>
      <c r="O4436">
        <v>48.061032392343698</v>
      </c>
      <c r="P4436">
        <v>-6.5108793149002295E-2</v>
      </c>
      <c r="Q4436">
        <v>1.6171050904944102E-2</v>
      </c>
      <c r="R4436">
        <v>0.99121066357168597</v>
      </c>
      <c r="S4436" t="s">
        <v>11052</v>
      </c>
      <c r="T4436" t="s">
        <v>13232</v>
      </c>
      <c r="U4436" t="s">
        <v>13232</v>
      </c>
      <c r="V4436" t="s">
        <v>13232</v>
      </c>
      <c r="W4436" t="s">
        <v>17605</v>
      </c>
      <c r="X4436">
        <v>6</v>
      </c>
      <c r="Y4436" t="s">
        <v>24023</v>
      </c>
      <c r="Z4436" t="s">
        <v>30567</v>
      </c>
      <c r="AA4436">
        <v>0.35119163417322219</v>
      </c>
      <c r="AB4436" t="str">
        <f>HYPERLINK("Melting_Curves/meltCurve_Q8NB16_MLKL.pdf", "Melting_Curves/meltCurve_Q8NB16_MLKL.pdf")</f>
        <v>Melting_Curves/meltCurve_Q8NB16_MLKL.pdf</v>
      </c>
    </row>
    <row r="4437" spans="1:28" x14ac:dyDescent="0.25">
      <c r="A4437" t="s">
        <v>4440</v>
      </c>
      <c r="B4437">
        <v>0.99930955844802105</v>
      </c>
      <c r="C4437">
        <v>0.83605212061554901</v>
      </c>
      <c r="D4437">
        <v>0.80702430962081895</v>
      </c>
      <c r="E4437">
        <v>0.77424280354555097</v>
      </c>
      <c r="F4437">
        <v>0.57827752016758505</v>
      </c>
      <c r="G4437">
        <v>0.35075692602118502</v>
      </c>
      <c r="H4437">
        <v>0.24494902409664801</v>
      </c>
      <c r="I4437">
        <v>0.17915366338136601</v>
      </c>
      <c r="J4437">
        <v>0.129757148419444</v>
      </c>
      <c r="K4437">
        <v>9.2286777346423196E-2</v>
      </c>
      <c r="L4437">
        <v>531.90261185409099</v>
      </c>
      <c r="M4437">
        <v>9.8071765159624604</v>
      </c>
      <c r="N4437">
        <v>54.236059648902597</v>
      </c>
      <c r="O4437">
        <v>52.125308809087599</v>
      </c>
      <c r="P4437">
        <v>-4.7061183281254602E-2</v>
      </c>
      <c r="Q4437">
        <v>0</v>
      </c>
      <c r="R4437">
        <v>0.98110835471219704</v>
      </c>
      <c r="S4437" t="s">
        <v>11053</v>
      </c>
      <c r="T4437" t="s">
        <v>13232</v>
      </c>
      <c r="U4437" t="s">
        <v>13232</v>
      </c>
      <c r="V4437" t="s">
        <v>13232</v>
      </c>
      <c r="W4437" t="s">
        <v>17606</v>
      </c>
      <c r="X4437">
        <v>6</v>
      </c>
      <c r="Y4437" t="s">
        <v>24024</v>
      </c>
      <c r="Z4437" t="s">
        <v>30568</v>
      </c>
      <c r="AA4437">
        <v>0.50410170622605777</v>
      </c>
      <c r="AB4437" t="str">
        <f>HYPERLINK("Melting_Curves/meltCurve_Q8NB37_3_PDDC1.pdf", "Melting_Curves/meltCurve_Q8NB37_3_PDDC1.pdf")</f>
        <v>Melting_Curves/meltCurve_Q8NB37_3_PDDC1.pdf</v>
      </c>
    </row>
    <row r="4438" spans="1:28" x14ac:dyDescent="0.25">
      <c r="A4438" t="s">
        <v>4441</v>
      </c>
      <c r="B4438">
        <v>0.99930955844802105</v>
      </c>
      <c r="C4438">
        <v>0.73407986565743699</v>
      </c>
      <c r="D4438">
        <v>0.63686662218286305</v>
      </c>
      <c r="E4438">
        <v>0.52091258404870799</v>
      </c>
      <c r="F4438">
        <v>0.33840484722414399</v>
      </c>
      <c r="G4438">
        <v>0.20167496834549101</v>
      </c>
      <c r="H4438">
        <v>0.13468172878149101</v>
      </c>
      <c r="I4438">
        <v>0.144565132928617</v>
      </c>
      <c r="J4438">
        <v>9.8715890118277902E-2</v>
      </c>
      <c r="K4438">
        <v>7.4256094697560296E-2</v>
      </c>
      <c r="L4438">
        <v>486.50286179039199</v>
      </c>
      <c r="M4438">
        <v>9.9464723174951697</v>
      </c>
      <c r="N4438">
        <v>49.267796286597999</v>
      </c>
      <c r="O4438">
        <v>47.0581909176545</v>
      </c>
      <c r="P4438">
        <v>-5.1035907601843997E-2</v>
      </c>
      <c r="Q4438">
        <v>3.4645979815606902E-2</v>
      </c>
      <c r="R4438">
        <v>0.97845733955187097</v>
      </c>
      <c r="S4438" t="s">
        <v>11054</v>
      </c>
      <c r="T4438" t="s">
        <v>13232</v>
      </c>
      <c r="U4438" t="s">
        <v>13232</v>
      </c>
      <c r="V4438" t="s">
        <v>13232</v>
      </c>
      <c r="W4438" t="s">
        <v>17607</v>
      </c>
      <c r="X4438">
        <v>5</v>
      </c>
      <c r="Y4438" t="s">
        <v>24025</v>
      </c>
      <c r="Z4438" t="s">
        <v>30569</v>
      </c>
      <c r="AA4438">
        <v>0.36938093399093719</v>
      </c>
      <c r="AB4438" t="str">
        <f>HYPERLINK("Melting_Curves/meltCurve_Q8NB46_ANKRD52.pdf", "Melting_Curves/meltCurve_Q8NB46_ANKRD52.pdf")</f>
        <v>Melting_Curves/meltCurve_Q8NB46_ANKRD52.pdf</v>
      </c>
    </row>
    <row r="4439" spans="1:28" x14ac:dyDescent="0.25">
      <c r="A4439" t="s">
        <v>4442</v>
      </c>
      <c r="B4439">
        <v>0.99930955844802105</v>
      </c>
      <c r="C4439">
        <v>0.94720216858506001</v>
      </c>
      <c r="D4439">
        <v>0.89673667557538295</v>
      </c>
      <c r="E4439">
        <v>0.70588265640955405</v>
      </c>
      <c r="F4439">
        <v>0.51543492534337798</v>
      </c>
      <c r="G4439">
        <v>0.29727588694755702</v>
      </c>
      <c r="H4439">
        <v>0.101833934268542</v>
      </c>
      <c r="I4439">
        <v>7.6706852807934905E-2</v>
      </c>
      <c r="J4439">
        <v>6.1271886917733498E-2</v>
      </c>
      <c r="K4439">
        <v>4.5536203218913697E-2</v>
      </c>
      <c r="L4439">
        <v>751.06964291480097</v>
      </c>
      <c r="M4439">
        <v>14.133307435653901</v>
      </c>
      <c r="N4439">
        <v>53.141822671349097</v>
      </c>
      <c r="O4439">
        <v>52.111857638742897</v>
      </c>
      <c r="P4439">
        <v>-6.7811388684935706E-2</v>
      </c>
      <c r="Q4439">
        <v>0</v>
      </c>
      <c r="R4439">
        <v>0.998132806194579</v>
      </c>
      <c r="S4439" t="s">
        <v>11055</v>
      </c>
      <c r="T4439" t="s">
        <v>13232</v>
      </c>
      <c r="U4439" t="s">
        <v>13232</v>
      </c>
      <c r="V4439" t="s">
        <v>13232</v>
      </c>
      <c r="W4439" t="s">
        <v>17608</v>
      </c>
      <c r="X4439">
        <v>12</v>
      </c>
      <c r="Y4439" t="s">
        <v>24026</v>
      </c>
      <c r="Z4439" t="s">
        <v>30570</v>
      </c>
      <c r="AA4439">
        <v>0.46121678458483789</v>
      </c>
      <c r="AB4439" t="str">
        <f>HYPERLINK("Melting_Curves/meltCurve_Q8NB78_KDM1B.pdf", "Melting_Curves/meltCurve_Q8NB78_KDM1B.pdf")</f>
        <v>Melting_Curves/meltCurve_Q8NB78_KDM1B.pdf</v>
      </c>
    </row>
    <row r="4440" spans="1:28" x14ac:dyDescent="0.25">
      <c r="A4440" t="s">
        <v>4443</v>
      </c>
      <c r="B4440">
        <v>0.99930955844802105</v>
      </c>
      <c r="C4440">
        <v>0.63681406029217902</v>
      </c>
      <c r="D4440">
        <v>0.63799077354365796</v>
      </c>
      <c r="E4440">
        <v>0.62839134497989602</v>
      </c>
      <c r="F4440">
        <v>0.374184336904133</v>
      </c>
      <c r="G4440">
        <v>0.22560728033157501</v>
      </c>
      <c r="H4440">
        <v>0.177128248251232</v>
      </c>
      <c r="I4440">
        <v>0.182129826398228</v>
      </c>
      <c r="J4440">
        <v>0.176875510964566</v>
      </c>
      <c r="K4440">
        <v>0.149777084329941</v>
      </c>
      <c r="L4440">
        <v>416.22054050257799</v>
      </c>
      <c r="M4440">
        <v>8.4905507725520994</v>
      </c>
      <c r="N4440">
        <v>49.851351107505998</v>
      </c>
      <c r="O4440">
        <v>46.529049890442899</v>
      </c>
      <c r="P4440">
        <v>-4.2652172053996101E-2</v>
      </c>
      <c r="Q4440">
        <v>6.5892891913663404E-2</v>
      </c>
      <c r="R4440">
        <v>0.92021473225661998</v>
      </c>
      <c r="S4440" t="s">
        <v>11056</v>
      </c>
      <c r="T4440" t="s">
        <v>13232</v>
      </c>
      <c r="U4440" t="s">
        <v>13232</v>
      </c>
      <c r="V4440" t="s">
        <v>13232</v>
      </c>
      <c r="W4440" t="s">
        <v>17609</v>
      </c>
      <c r="X4440">
        <v>15</v>
      </c>
      <c r="Y4440" t="s">
        <v>24027</v>
      </c>
      <c r="Z4440" t="s">
        <v>30571</v>
      </c>
      <c r="AA4440">
        <v>0.40394039544959309</v>
      </c>
      <c r="AB4440" t="str">
        <f>HYPERLINK("Melting_Curves/meltCurve_Q8NB90_SPATA5.pdf", "Melting_Curves/meltCurve_Q8NB90_SPATA5.pdf")</f>
        <v>Melting_Curves/meltCurve_Q8NB90_SPATA5.pdf</v>
      </c>
    </row>
    <row r="4441" spans="1:28" x14ac:dyDescent="0.25">
      <c r="A4441" t="s">
        <v>4444</v>
      </c>
      <c r="B4441">
        <v>0.99930955844802105</v>
      </c>
      <c r="C4441">
        <v>0.81571836269349596</v>
      </c>
      <c r="D4441">
        <v>0.65918985855615397</v>
      </c>
      <c r="E4441">
        <v>0.39675981813153299</v>
      </c>
      <c r="F4441">
        <v>0.25098703162421898</v>
      </c>
      <c r="G4441">
        <v>0.198304512949811</v>
      </c>
      <c r="H4441">
        <v>0.12366087428161</v>
      </c>
      <c r="I4441">
        <v>0.142329377515234</v>
      </c>
      <c r="J4441">
        <v>0.13553823688979499</v>
      </c>
      <c r="K4441">
        <v>8.7137317549420196E-2</v>
      </c>
      <c r="L4441">
        <v>707.21978887279101</v>
      </c>
      <c r="M4441">
        <v>14.910588439612299</v>
      </c>
      <c r="N4441">
        <v>48.2228164996732</v>
      </c>
      <c r="O4441">
        <v>46.602103297375599</v>
      </c>
      <c r="P4441">
        <v>-7.1308079336421706E-2</v>
      </c>
      <c r="Q4441">
        <v>0.10861683103377499</v>
      </c>
      <c r="R4441">
        <v>0.99390360714931403</v>
      </c>
      <c r="S4441" t="s">
        <v>11057</v>
      </c>
      <c r="T4441" t="s">
        <v>13232</v>
      </c>
      <c r="U4441" t="s">
        <v>13232</v>
      </c>
      <c r="V4441" t="s">
        <v>13232</v>
      </c>
      <c r="W4441" t="s">
        <v>17610</v>
      </c>
      <c r="X4441">
        <v>4</v>
      </c>
      <c r="Y4441" t="s">
        <v>24028</v>
      </c>
      <c r="Z4441" t="s">
        <v>30572</v>
      </c>
      <c r="AA4441">
        <v>0.35330544942236392</v>
      </c>
      <c r="AB4441" t="str">
        <f>HYPERLINK("Melting_Curves/meltCurve_Q8NBA8_DTWD2.pdf", "Melting_Curves/meltCurve_Q8NBA8_DTWD2.pdf")</f>
        <v>Melting_Curves/meltCurve_Q8NBA8_DTWD2.pdf</v>
      </c>
    </row>
    <row r="4442" spans="1:28" x14ac:dyDescent="0.25">
      <c r="A4442" t="s">
        <v>4445</v>
      </c>
      <c r="B4442">
        <v>0.99930955844802105</v>
      </c>
      <c r="C4442">
        <v>1.06542600029581</v>
      </c>
      <c r="D4442">
        <v>1.0418161718899801</v>
      </c>
      <c r="E4442">
        <v>0.82581680805574997</v>
      </c>
      <c r="F4442">
        <v>0.219385075854728</v>
      </c>
      <c r="G4442">
        <v>0.13080266786681699</v>
      </c>
      <c r="H4442">
        <v>7.4663418865716494E-2</v>
      </c>
      <c r="I4442">
        <v>6.2722639624102905E-2</v>
      </c>
      <c r="J4442">
        <v>5.1662768530412698E-2</v>
      </c>
      <c r="K4442">
        <v>4.11285402488809E-2</v>
      </c>
      <c r="L4442">
        <v>2730.2782552482299</v>
      </c>
      <c r="M4442">
        <v>53.143715216282402</v>
      </c>
      <c r="N4442">
        <v>51.522865080546701</v>
      </c>
      <c r="O4442">
        <v>51.302785308984397</v>
      </c>
      <c r="P4442">
        <v>-0.24069775234189</v>
      </c>
      <c r="Q4442">
        <v>7.0561316143503597E-2</v>
      </c>
      <c r="R4442">
        <v>0.99456150228497597</v>
      </c>
      <c r="S4442" t="s">
        <v>11058</v>
      </c>
      <c r="T4442" t="s">
        <v>13232</v>
      </c>
      <c r="U4442" t="s">
        <v>13232</v>
      </c>
      <c r="V4442" t="s">
        <v>13232</v>
      </c>
      <c r="W4442" t="s">
        <v>17611</v>
      </c>
      <c r="X4442">
        <v>21</v>
      </c>
      <c r="Y4442" t="s">
        <v>24029</v>
      </c>
      <c r="Z4442" t="s">
        <v>30573</v>
      </c>
      <c r="AA4442">
        <v>0.42484829536397478</v>
      </c>
      <c r="AB4442" t="str">
        <f>HYPERLINK("Melting_Curves/meltCurve_Q8NBF2_NHLRC2.pdf", "Melting_Curves/meltCurve_Q8NBF2_NHLRC2.pdf")</f>
        <v>Melting_Curves/meltCurve_Q8NBF2_NHLRC2.pdf</v>
      </c>
    </row>
    <row r="4443" spans="1:28" x14ac:dyDescent="0.25">
      <c r="A4443" t="s">
        <v>4446</v>
      </c>
      <c r="B4443">
        <v>0.99930955844802105</v>
      </c>
      <c r="C4443">
        <v>1.0746686353211301</v>
      </c>
      <c r="D4443">
        <v>1.02910816469061</v>
      </c>
      <c r="E4443">
        <v>0.94596445872638002</v>
      </c>
      <c r="F4443">
        <v>0.76745274350233705</v>
      </c>
      <c r="G4443">
        <v>0.39792380388430598</v>
      </c>
      <c r="H4443">
        <v>0.186656859866032</v>
      </c>
      <c r="I4443">
        <v>0.17543039005311201</v>
      </c>
      <c r="J4443">
        <v>0.14898678909452001</v>
      </c>
      <c r="K4443">
        <v>0.10936892886775</v>
      </c>
      <c r="L4443">
        <v>1414.96655951241</v>
      </c>
      <c r="M4443">
        <v>25.6524303713724</v>
      </c>
      <c r="N4443">
        <v>55.808713548331397</v>
      </c>
      <c r="O4443">
        <v>54.827229620399699</v>
      </c>
      <c r="P4443">
        <v>-0.101874810979989</v>
      </c>
      <c r="Q4443">
        <v>0.12905783012882299</v>
      </c>
      <c r="R4443">
        <v>0.99472551445522694</v>
      </c>
      <c r="S4443" t="s">
        <v>11059</v>
      </c>
      <c r="T4443" t="s">
        <v>13232</v>
      </c>
      <c r="U4443" t="s">
        <v>13232</v>
      </c>
      <c r="V4443" t="s">
        <v>13232</v>
      </c>
      <c r="W4443" t="s">
        <v>17612</v>
      </c>
      <c r="X4443">
        <v>12</v>
      </c>
      <c r="Y4443" t="s">
        <v>24030</v>
      </c>
      <c r="Z4443" t="s">
        <v>30574</v>
      </c>
      <c r="AA4443">
        <v>0.57684695668523545</v>
      </c>
      <c r="AB4443" t="str">
        <f>HYPERLINK("Melting_Curves/meltCurve_Q8NBF6_2_AVL9.pdf", "Melting_Curves/meltCurve_Q8NBF6_2_AVL9.pdf")</f>
        <v>Melting_Curves/meltCurve_Q8NBF6_2_AVL9.pdf</v>
      </c>
    </row>
    <row r="4444" spans="1:28" x14ac:dyDescent="0.25">
      <c r="A4444" t="s">
        <v>4447</v>
      </c>
      <c r="B4444">
        <v>0.99930955844802105</v>
      </c>
      <c r="C4444">
        <v>0.85003523852973795</v>
      </c>
      <c r="D4444">
        <v>0.79737749762287202</v>
      </c>
      <c r="E4444">
        <v>0.70808306293127099</v>
      </c>
      <c r="F4444">
        <v>0.54802185713056395</v>
      </c>
      <c r="G4444">
        <v>0.35801201561940799</v>
      </c>
      <c r="H4444">
        <v>0.165744341786521</v>
      </c>
      <c r="I4444">
        <v>0.12662057417410899</v>
      </c>
      <c r="J4444">
        <v>9.43163047736294E-2</v>
      </c>
      <c r="K4444">
        <v>7.9635817460299005E-2</v>
      </c>
      <c r="L4444">
        <v>558.63442065742697</v>
      </c>
      <c r="M4444">
        <v>10.4748990195774</v>
      </c>
      <c r="N4444">
        <v>53.330768035486003</v>
      </c>
      <c r="O4444">
        <v>51.4970138518187</v>
      </c>
      <c r="P4444">
        <v>-5.0872679207805901E-2</v>
      </c>
      <c r="Q4444">
        <v>0</v>
      </c>
      <c r="R4444">
        <v>0.98694134040666304</v>
      </c>
      <c r="S4444" t="s">
        <v>11060</v>
      </c>
      <c r="T4444" t="s">
        <v>13232</v>
      </c>
      <c r="U4444" t="s">
        <v>13232</v>
      </c>
      <c r="V4444" t="s">
        <v>13232</v>
      </c>
      <c r="W4444" t="s">
        <v>17613</v>
      </c>
      <c r="X4444">
        <v>10</v>
      </c>
      <c r="Y4444" t="s">
        <v>24031</v>
      </c>
      <c r="Z4444" t="s">
        <v>30575</v>
      </c>
      <c r="AA4444">
        <v>0.47599094024548139</v>
      </c>
      <c r="AB4444" t="str">
        <f>HYPERLINK("Melting_Curves/meltCurve_Q8NBJ5_COLGALT1.pdf", "Melting_Curves/meltCurve_Q8NBJ5_COLGALT1.pdf")</f>
        <v>Melting_Curves/meltCurve_Q8NBJ5_COLGALT1.pdf</v>
      </c>
    </row>
    <row r="4445" spans="1:28" x14ac:dyDescent="0.25">
      <c r="A4445" t="s">
        <v>4448</v>
      </c>
      <c r="B4445">
        <v>0.99930955844802105</v>
      </c>
      <c r="C4445">
        <v>0.52782929696759895</v>
      </c>
      <c r="D4445">
        <v>0.26684937707980899</v>
      </c>
      <c r="E4445">
        <v>0.23630682039522499</v>
      </c>
      <c r="F4445">
        <v>0.13682994436298199</v>
      </c>
      <c r="G4445">
        <v>0.101230730614301</v>
      </c>
      <c r="H4445">
        <v>6.3085855399191093E-2</v>
      </c>
      <c r="I4445">
        <v>5.6656483229233702E-2</v>
      </c>
      <c r="J4445">
        <v>5.4031950665166903E-2</v>
      </c>
      <c r="K4445">
        <v>4.4798298558557402E-2</v>
      </c>
      <c r="L4445">
        <v>1131.3399188528699</v>
      </c>
      <c r="M4445">
        <v>26.176103796137099</v>
      </c>
      <c r="N4445">
        <v>43.5636562245856</v>
      </c>
      <c r="O4445">
        <v>42.970448566240201</v>
      </c>
      <c r="P4445">
        <v>-0.138098914283972</v>
      </c>
      <c r="Q4445">
        <v>9.3202587033446596E-2</v>
      </c>
      <c r="R4445">
        <v>0.95736382207234405</v>
      </c>
      <c r="S4445" t="s">
        <v>11061</v>
      </c>
      <c r="T4445" t="s">
        <v>13232</v>
      </c>
      <c r="U4445" t="s">
        <v>13232</v>
      </c>
      <c r="V4445" t="s">
        <v>13232</v>
      </c>
      <c r="W4445" t="s">
        <v>17614</v>
      </c>
      <c r="X4445">
        <v>6</v>
      </c>
      <c r="Y4445" t="s">
        <v>24032</v>
      </c>
      <c r="Z4445" t="s">
        <v>30576</v>
      </c>
      <c r="AA4445">
        <v>0.20152160716352041</v>
      </c>
      <c r="AB4445" t="str">
        <f>HYPERLINK("Melting_Curves/meltCurve_Q8NBJ7_SUMF2.pdf", "Melting_Curves/meltCurve_Q8NBJ7_SUMF2.pdf")</f>
        <v>Melting_Curves/meltCurve_Q8NBJ7_SUMF2.pdf</v>
      </c>
    </row>
    <row r="4446" spans="1:28" x14ac:dyDescent="0.25">
      <c r="A4446" t="s">
        <v>4449</v>
      </c>
      <c r="B4446">
        <v>0.99930955844802105</v>
      </c>
      <c r="C4446">
        <v>1.02891256238638</v>
      </c>
      <c r="D4446">
        <v>0.95220817333083496</v>
      </c>
      <c r="E4446">
        <v>0.92448377282057204</v>
      </c>
      <c r="F4446">
        <v>0.77376469473228404</v>
      </c>
      <c r="G4446">
        <v>0.492393286438221</v>
      </c>
      <c r="H4446">
        <v>0.30764293634631901</v>
      </c>
      <c r="I4446">
        <v>0.25090753875376598</v>
      </c>
      <c r="J4446">
        <v>0.23429103470704199</v>
      </c>
      <c r="K4446">
        <v>0.18632005912986199</v>
      </c>
      <c r="L4446">
        <v>1079.6213348675201</v>
      </c>
      <c r="M4446">
        <v>19.433411383596599</v>
      </c>
      <c r="N4446">
        <v>56.944004929619702</v>
      </c>
      <c r="O4446">
        <v>54.976670311724099</v>
      </c>
      <c r="P4446">
        <v>-7.1692369896866504E-2</v>
      </c>
      <c r="Q4446">
        <v>0.18876537407864299</v>
      </c>
      <c r="R4446">
        <v>0.997483277991279</v>
      </c>
      <c r="S4446" t="s">
        <v>11062</v>
      </c>
      <c r="T4446" t="s">
        <v>13232</v>
      </c>
      <c r="U4446" t="s">
        <v>13232</v>
      </c>
      <c r="V4446" t="s">
        <v>13232</v>
      </c>
      <c r="W4446" t="s">
        <v>17615</v>
      </c>
      <c r="X4446">
        <v>2</v>
      </c>
      <c r="Y4446" t="s">
        <v>24033</v>
      </c>
      <c r="Z4446" t="s">
        <v>30577</v>
      </c>
      <c r="AA4446">
        <v>0.62044949017057172</v>
      </c>
      <c r="AB4446" t="str">
        <f>HYPERLINK("Melting_Curves/meltCurve_Q8NBK3_2_SUMF1.pdf", "Melting_Curves/meltCurve_Q8NBK3_2_SUMF1.pdf")</f>
        <v>Melting_Curves/meltCurve_Q8NBK3_2_SUMF1.pdf</v>
      </c>
    </row>
    <row r="4447" spans="1:28" x14ac:dyDescent="0.25">
      <c r="A4447" t="s">
        <v>4450</v>
      </c>
      <c r="B4447">
        <v>0.99930955844802105</v>
      </c>
      <c r="C4447">
        <v>1.06494082333189</v>
      </c>
      <c r="D4447">
        <v>0.99446630801174396</v>
      </c>
      <c r="E4447">
        <v>0.67083975412715002</v>
      </c>
      <c r="F4447">
        <v>0.30739139416599698</v>
      </c>
      <c r="G4447">
        <v>0.239682894508537</v>
      </c>
      <c r="H4447">
        <v>0.19626256021108901</v>
      </c>
      <c r="I4447">
        <v>0.201972974752471</v>
      </c>
      <c r="J4447">
        <v>0.200622440761732</v>
      </c>
      <c r="K4447">
        <v>0.156375173679244</v>
      </c>
      <c r="L4447">
        <v>1933.0295823521799</v>
      </c>
      <c r="M4447">
        <v>38.282457844376097</v>
      </c>
      <c r="N4447">
        <v>51.159606654711403</v>
      </c>
      <c r="O4447">
        <v>50.356697054839501</v>
      </c>
      <c r="P4447">
        <v>-0.15277205865326801</v>
      </c>
      <c r="Q4447">
        <v>0.19617753676072899</v>
      </c>
      <c r="R4447">
        <v>0.99455367655718496</v>
      </c>
      <c r="S4447" t="s">
        <v>11063</v>
      </c>
      <c r="T4447" t="s">
        <v>13232</v>
      </c>
      <c r="U4447" t="s">
        <v>13232</v>
      </c>
      <c r="V4447" t="s">
        <v>13232</v>
      </c>
      <c r="W4447" t="s">
        <v>17616</v>
      </c>
      <c r="X4447">
        <v>7</v>
      </c>
      <c r="Y4447" t="s">
        <v>24034</v>
      </c>
      <c r="Z4447" t="s">
        <v>30578</v>
      </c>
      <c r="AA4447">
        <v>0.48041681074840281</v>
      </c>
      <c r="AB4447" t="str">
        <f>HYPERLINK("Melting_Curves/meltCurve_Q8NBL1_POGLUT1.pdf", "Melting_Curves/meltCurve_Q8NBL1_POGLUT1.pdf")</f>
        <v>Melting_Curves/meltCurve_Q8NBL1_POGLUT1.pdf</v>
      </c>
    </row>
    <row r="4448" spans="1:28" x14ac:dyDescent="0.25">
      <c r="A4448" t="s">
        <v>4451</v>
      </c>
      <c r="B4448">
        <v>0.99930955844802105</v>
      </c>
      <c r="C4448">
        <v>0.43881369644766499</v>
      </c>
      <c r="D4448">
        <v>0.21014244321883899</v>
      </c>
      <c r="E4448">
        <v>0.20349926775387001</v>
      </c>
      <c r="F4448">
        <v>0.11571375660732899</v>
      </c>
      <c r="G4448">
        <v>6.5470121715413804E-2</v>
      </c>
      <c r="H4448">
        <v>2.9659465916528301E-2</v>
      </c>
      <c r="I4448">
        <v>2.1698706817675498E-2</v>
      </c>
      <c r="J4448">
        <v>1.9444474941659701E-2</v>
      </c>
      <c r="K4448">
        <v>1.4533249378078299E-2</v>
      </c>
      <c r="L4448">
        <v>1611.0826695626999</v>
      </c>
      <c r="M4448">
        <v>37.805238357267598</v>
      </c>
      <c r="N4448">
        <v>42.799127355864897</v>
      </c>
      <c r="O4448">
        <v>42.496615275290402</v>
      </c>
      <c r="P4448">
        <v>-0.205738425619992</v>
      </c>
      <c r="Q4448">
        <v>7.4925661462167503E-2</v>
      </c>
      <c r="R4448">
        <v>0.95005226340132298</v>
      </c>
      <c r="S4448" t="s">
        <v>11064</v>
      </c>
      <c r="T4448" t="s">
        <v>13232</v>
      </c>
      <c r="U4448" t="s">
        <v>13232</v>
      </c>
      <c r="V4448" t="s">
        <v>13232</v>
      </c>
      <c r="W4448" t="s">
        <v>17617</v>
      </c>
      <c r="X4448">
        <v>5</v>
      </c>
      <c r="Y4448" t="s">
        <v>24035</v>
      </c>
      <c r="Z4448" t="s">
        <v>30579</v>
      </c>
      <c r="AA4448">
        <v>0.16099115944244749</v>
      </c>
      <c r="AB4448" t="str">
        <f>HYPERLINK("Melting_Curves/meltCurve_Q8NBN7_RDH13.pdf", "Melting_Curves/meltCurve_Q8NBN7_RDH13.pdf")</f>
        <v>Melting_Curves/meltCurve_Q8NBN7_RDH13.pdf</v>
      </c>
    </row>
    <row r="4449" spans="1:28" x14ac:dyDescent="0.25">
      <c r="A4449" t="s">
        <v>4452</v>
      </c>
      <c r="B4449">
        <v>0.99930955844802105</v>
      </c>
      <c r="C4449">
        <v>0.64877680172635599</v>
      </c>
      <c r="D4449">
        <v>0.52051898568432098</v>
      </c>
      <c r="E4449">
        <v>0.543357120641348</v>
      </c>
      <c r="F4449">
        <v>0.32158229203691802</v>
      </c>
      <c r="G4449">
        <v>0.13750239382392501</v>
      </c>
      <c r="H4449">
        <v>6.6239748286956293E-2</v>
      </c>
      <c r="I4449">
        <v>5.2088491046592703E-2</v>
      </c>
      <c r="J4449">
        <v>5.02675006747915E-2</v>
      </c>
      <c r="K4449">
        <v>4.0901640002573798E-2</v>
      </c>
      <c r="L4449">
        <v>467.29992607865802</v>
      </c>
      <c r="M4449">
        <v>9.7307961514561701</v>
      </c>
      <c r="N4449">
        <v>48.022784974303697</v>
      </c>
      <c r="O4449">
        <v>46.126286882233501</v>
      </c>
      <c r="P4449">
        <v>-5.2768440894432202E-2</v>
      </c>
      <c r="Q4449">
        <v>0</v>
      </c>
      <c r="R4449">
        <v>0.93825599210680899</v>
      </c>
      <c r="S4449" t="s">
        <v>11065</v>
      </c>
      <c r="T4449" t="s">
        <v>13232</v>
      </c>
      <c r="U4449" t="s">
        <v>13232</v>
      </c>
      <c r="V4449" t="s">
        <v>13232</v>
      </c>
      <c r="W4449" t="s">
        <v>17618</v>
      </c>
      <c r="X4449">
        <v>4</v>
      </c>
      <c r="Y4449" t="s">
        <v>24036</v>
      </c>
      <c r="Z4449" t="s">
        <v>30580</v>
      </c>
      <c r="AA4449">
        <v>0.3225584636052648</v>
      </c>
      <c r="AB4449" t="str">
        <f>HYPERLINK("Melting_Curves/meltCurve_Q8NBX0_SCCPDH.pdf", "Melting_Curves/meltCurve_Q8NBX0_SCCPDH.pdf")</f>
        <v>Melting_Curves/meltCurve_Q8NBX0_SCCPDH.pdf</v>
      </c>
    </row>
    <row r="4450" spans="1:28" x14ac:dyDescent="0.25">
      <c r="A4450" t="s">
        <v>4453</v>
      </c>
      <c r="B4450">
        <v>0.99930955844802105</v>
      </c>
      <c r="C4450">
        <v>1.0636427123307199</v>
      </c>
      <c r="D4450">
        <v>1.13605912777532</v>
      </c>
      <c r="E4450">
        <v>1.01780900420429</v>
      </c>
      <c r="F4450">
        <v>0.98806118204689697</v>
      </c>
      <c r="G4450">
        <v>0.94238347136138301</v>
      </c>
      <c r="H4450">
        <v>0.84992979744438502</v>
      </c>
      <c r="I4450">
        <v>0.98843804506539301</v>
      </c>
      <c r="J4450">
        <v>0.926320337108261</v>
      </c>
      <c r="K4450">
        <v>0.76523809492947104</v>
      </c>
      <c r="L4450">
        <v>760.69471788595001</v>
      </c>
      <c r="M4450">
        <v>9.4493251193385301</v>
      </c>
      <c r="Q4450">
        <v>0</v>
      </c>
      <c r="R4450">
        <v>0.54715004523643496</v>
      </c>
      <c r="S4450" t="s">
        <v>11066</v>
      </c>
      <c r="T4450" t="s">
        <v>13232</v>
      </c>
      <c r="U4450" t="s">
        <v>13232</v>
      </c>
      <c r="V4450" t="s">
        <v>13232</v>
      </c>
      <c r="W4450" t="s">
        <v>17619</v>
      </c>
      <c r="X4450">
        <v>3</v>
      </c>
      <c r="Y4450" t="s">
        <v>24037</v>
      </c>
      <c r="Z4450" t="s">
        <v>30581</v>
      </c>
      <c r="AA4450">
        <v>0.96057328840294565</v>
      </c>
      <c r="AB4450" t="str">
        <f>HYPERLINK("Melting_Curves/meltCurve_Q8NBZ0_INO80E.pdf", "Melting_Curves/meltCurve_Q8NBZ0_INO80E.pdf")</f>
        <v>Melting_Curves/meltCurve_Q8NBZ0_INO80E.pdf</v>
      </c>
    </row>
    <row r="4451" spans="1:28" x14ac:dyDescent="0.25">
      <c r="A4451" t="s">
        <v>4454</v>
      </c>
      <c r="B4451">
        <v>0.99930955844802105</v>
      </c>
      <c r="C4451">
        <v>1.14517386603191</v>
      </c>
      <c r="D4451">
        <v>1.1239747740796</v>
      </c>
      <c r="E4451">
        <v>1.18019409675439</v>
      </c>
      <c r="F4451">
        <v>1.07650054072621</v>
      </c>
      <c r="G4451">
        <v>1.00113895521598</v>
      </c>
      <c r="H4451">
        <v>1.21482528576404</v>
      </c>
      <c r="I4451">
        <v>1.31990123636086</v>
      </c>
      <c r="J4451">
        <v>1.4913264206655601</v>
      </c>
      <c r="K4451">
        <v>1.12819385752733</v>
      </c>
      <c r="L4451">
        <v>249.73701218126399</v>
      </c>
      <c r="M4451">
        <v>3.8497489013667199</v>
      </c>
      <c r="O4451">
        <v>52.597253254326397</v>
      </c>
      <c r="P4451">
        <v>9.2819914817107701E-3</v>
      </c>
      <c r="Q4451">
        <v>1.5</v>
      </c>
      <c r="R4451">
        <v>0.32315555131576701</v>
      </c>
      <c r="S4451" t="s">
        <v>11067</v>
      </c>
      <c r="T4451" t="s">
        <v>13232</v>
      </c>
      <c r="U4451" t="s">
        <v>13232</v>
      </c>
      <c r="V4451" t="s">
        <v>13232</v>
      </c>
      <c r="W4451" t="s">
        <v>17620</v>
      </c>
      <c r="X4451">
        <v>24</v>
      </c>
      <c r="Y4451" t="s">
        <v>24038</v>
      </c>
      <c r="Z4451" t="s">
        <v>30582</v>
      </c>
      <c r="AA4451">
        <v>1.1650627143927961</v>
      </c>
      <c r="AB4451" t="str">
        <f>HYPERLINK("Melting_Curves/meltCurve_Q8NC51_2_SERBP1.pdf", "Melting_Curves/meltCurve_Q8NC51_2_SERBP1.pdf")</f>
        <v>Melting_Curves/meltCurve_Q8NC51_2_SERBP1.pdf</v>
      </c>
    </row>
    <row r="4452" spans="1:28" x14ac:dyDescent="0.25">
      <c r="A4452" t="s">
        <v>4455</v>
      </c>
      <c r="B4452">
        <v>0.99930955844802105</v>
      </c>
      <c r="C4452">
        <v>0.98415651853474795</v>
      </c>
      <c r="D4452">
        <v>1.01314971075951</v>
      </c>
      <c r="E4452">
        <v>0.90989734486051899</v>
      </c>
      <c r="F4452">
        <v>0.76043123125613199</v>
      </c>
      <c r="G4452">
        <v>0.67592518626108899</v>
      </c>
      <c r="H4452">
        <v>0.65292306911832099</v>
      </c>
      <c r="I4452">
        <v>0.69168079492102597</v>
      </c>
      <c r="J4452">
        <v>0.64038842147101205</v>
      </c>
      <c r="K4452">
        <v>0.60258231203030599</v>
      </c>
      <c r="L4452">
        <v>1569.9835097745199</v>
      </c>
      <c r="M4452">
        <v>30.318548060506298</v>
      </c>
      <c r="O4452">
        <v>51.559226088373698</v>
      </c>
      <c r="P4452">
        <v>-5.1905320522739801E-2</v>
      </c>
      <c r="Q4452">
        <v>0.64692487199604198</v>
      </c>
      <c r="R4452">
        <v>0.98090484335140005</v>
      </c>
      <c r="S4452" t="s">
        <v>11068</v>
      </c>
      <c r="T4452" t="s">
        <v>13232</v>
      </c>
      <c r="U4452" t="s">
        <v>13232</v>
      </c>
      <c r="V4452" t="s">
        <v>13232</v>
      </c>
      <c r="W4452" t="s">
        <v>17621</v>
      </c>
      <c r="X4452">
        <v>6</v>
      </c>
      <c r="Y4452" t="s">
        <v>24039</v>
      </c>
      <c r="Z4452" t="s">
        <v>30583</v>
      </c>
      <c r="AA4452">
        <v>0.78780179290225072</v>
      </c>
      <c r="AB4452" t="str">
        <f>HYPERLINK("Melting_Curves/meltCurve_Q8NC56_LEMD2.pdf", "Melting_Curves/meltCurve_Q8NC56_LEMD2.pdf")</f>
        <v>Melting_Curves/meltCurve_Q8NC56_LEMD2.pdf</v>
      </c>
    </row>
    <row r="4453" spans="1:28" x14ac:dyDescent="0.25">
      <c r="A4453" t="s">
        <v>4456</v>
      </c>
      <c r="B4453">
        <v>0.99930955844802105</v>
      </c>
      <c r="C4453">
        <v>0.83759194174891904</v>
      </c>
      <c r="D4453">
        <v>0.65953612355691704</v>
      </c>
      <c r="E4453">
        <v>0.46598235402122201</v>
      </c>
      <c r="F4453">
        <v>0.32594478528877102</v>
      </c>
      <c r="G4453">
        <v>0.181208086633983</v>
      </c>
      <c r="H4453">
        <v>0.11962867233122999</v>
      </c>
      <c r="I4453">
        <v>8.6845032539559094E-2</v>
      </c>
      <c r="J4453">
        <v>4.9495917013033998E-2</v>
      </c>
      <c r="K4453">
        <v>4.6355962267728E-2</v>
      </c>
      <c r="L4453">
        <v>572.14266848944396</v>
      </c>
      <c r="M4453">
        <v>11.6519987609508</v>
      </c>
      <c r="N4453">
        <v>49.280099833809203</v>
      </c>
      <c r="O4453">
        <v>47.723130617284397</v>
      </c>
      <c r="P4453">
        <v>-5.98009902853733E-2</v>
      </c>
      <c r="Q4453">
        <v>2.0556122795775199E-2</v>
      </c>
      <c r="R4453">
        <v>0.99470500236020798</v>
      </c>
      <c r="S4453" t="s">
        <v>11069</v>
      </c>
      <c r="T4453" t="s">
        <v>13232</v>
      </c>
      <c r="U4453" t="s">
        <v>13232</v>
      </c>
      <c r="V4453" t="s">
        <v>13232</v>
      </c>
      <c r="W4453" t="s">
        <v>17622</v>
      </c>
      <c r="X4453">
        <v>3</v>
      </c>
      <c r="Y4453" t="s">
        <v>24040</v>
      </c>
      <c r="Z4453" t="s">
        <v>30584</v>
      </c>
      <c r="AA4453">
        <v>0.35527369943576498</v>
      </c>
      <c r="AB4453" t="str">
        <f>HYPERLINK("Melting_Curves/meltCurve_Q8NC60_NOA1.pdf", "Melting_Curves/meltCurve_Q8NC60_NOA1.pdf")</f>
        <v>Melting_Curves/meltCurve_Q8NC60_NOA1.pdf</v>
      </c>
    </row>
    <row r="4454" spans="1:28" x14ac:dyDescent="0.25">
      <c r="A4454" t="s">
        <v>4457</v>
      </c>
      <c r="B4454">
        <v>0.99930955844802105</v>
      </c>
      <c r="C4454">
        <v>1.2013840777331399</v>
      </c>
      <c r="D4454">
        <v>1.1289377506455001</v>
      </c>
      <c r="E4454">
        <v>1.21918036696012</v>
      </c>
      <c r="F4454">
        <v>1.10846216079055</v>
      </c>
      <c r="G4454">
        <v>0.93409574400598705</v>
      </c>
      <c r="H4454">
        <v>0.590106607544581</v>
      </c>
      <c r="I4454">
        <v>0.14323495850683801</v>
      </c>
      <c r="J4454">
        <v>8.8539829671860706E-2</v>
      </c>
      <c r="K4454">
        <v>7.30289667457346E-2</v>
      </c>
      <c r="L4454">
        <v>3132.8769445880098</v>
      </c>
      <c r="M4454">
        <v>51.158468203960403</v>
      </c>
      <c r="N4454">
        <v>61.414674190436898</v>
      </c>
      <c r="O4454">
        <v>61.145321098319499</v>
      </c>
      <c r="P4454">
        <v>-0.19490612497656101</v>
      </c>
      <c r="Q4454">
        <v>6.8182554300627696E-2</v>
      </c>
      <c r="R4454">
        <v>0.94253182996946405</v>
      </c>
      <c r="S4454" t="s">
        <v>11070</v>
      </c>
      <c r="T4454" t="s">
        <v>13232</v>
      </c>
      <c r="U4454" t="s">
        <v>13232</v>
      </c>
      <c r="V4454" t="s">
        <v>13232</v>
      </c>
      <c r="W4454" t="s">
        <v>17623</v>
      </c>
      <c r="X4454">
        <v>1</v>
      </c>
      <c r="Y4454" t="s">
        <v>24041</v>
      </c>
      <c r="Z4454" t="s">
        <v>30585</v>
      </c>
      <c r="AA4454">
        <v>0.73018774248049356</v>
      </c>
      <c r="AB4454" t="str">
        <f>HYPERLINK("Melting_Curves/meltCurve_Q8NC81_CARD10.pdf", "Melting_Curves/meltCurve_Q8NC81_CARD10.pdf")</f>
        <v>Melting_Curves/meltCurve_Q8NC81_CARD10.pdf</v>
      </c>
    </row>
    <row r="4455" spans="1:28" x14ac:dyDescent="0.25">
      <c r="A4455" t="s">
        <v>4458</v>
      </c>
      <c r="B4455">
        <v>0.99930955844802105</v>
      </c>
      <c r="C4455">
        <v>1.0161557077107</v>
      </c>
      <c r="D4455">
        <v>1.0549955535239599</v>
      </c>
      <c r="E4455">
        <v>0.96864154822515403</v>
      </c>
      <c r="F4455">
        <v>0.75438681383222495</v>
      </c>
      <c r="G4455">
        <v>0.63285922887378998</v>
      </c>
      <c r="H4455">
        <v>0.41486152384623098</v>
      </c>
      <c r="I4455">
        <v>0.27787502151556298</v>
      </c>
      <c r="J4455">
        <v>0.15891794845028401</v>
      </c>
      <c r="K4455">
        <v>0.107170730496548</v>
      </c>
      <c r="L4455">
        <v>794.45542896073903</v>
      </c>
      <c r="M4455">
        <v>13.4271097800655</v>
      </c>
      <c r="N4455">
        <v>59.168014840222199</v>
      </c>
      <c r="O4455">
        <v>57.901830239275</v>
      </c>
      <c r="P4455">
        <v>-5.7982628767417103E-2</v>
      </c>
      <c r="Q4455">
        <v>0</v>
      </c>
      <c r="R4455">
        <v>0.98863957192975305</v>
      </c>
      <c r="S4455" t="s">
        <v>11071</v>
      </c>
      <c r="T4455" t="s">
        <v>13232</v>
      </c>
      <c r="U4455" t="s">
        <v>13232</v>
      </c>
      <c r="V4455" t="s">
        <v>13232</v>
      </c>
      <c r="W4455" t="s">
        <v>17624</v>
      </c>
      <c r="X4455">
        <v>7</v>
      </c>
      <c r="Y4455" t="s">
        <v>24042</v>
      </c>
      <c r="Z4455" t="s">
        <v>30586</v>
      </c>
      <c r="AA4455">
        <v>0.6478195438056874</v>
      </c>
      <c r="AB4455" t="str">
        <f>HYPERLINK("Melting_Curves/meltCurve_Q8NC96_NECAP1.pdf", "Melting_Curves/meltCurve_Q8NC96_NECAP1.pdf")</f>
        <v>Melting_Curves/meltCurve_Q8NC96_NECAP1.pdf</v>
      </c>
    </row>
    <row r="4456" spans="1:28" x14ac:dyDescent="0.25">
      <c r="A4456" t="s">
        <v>4459</v>
      </c>
      <c r="B4456">
        <v>0.99930955844802105</v>
      </c>
      <c r="C4456">
        <v>0.85089459636875997</v>
      </c>
      <c r="D4456">
        <v>0.85386069480361704</v>
      </c>
      <c r="E4456">
        <v>0.65846837724496399</v>
      </c>
      <c r="F4456">
        <v>0.317570270691719</v>
      </c>
      <c r="G4456">
        <v>0.209555151506748</v>
      </c>
      <c r="H4456">
        <v>0.112951730426708</v>
      </c>
      <c r="I4456">
        <v>7.8418028897598302E-2</v>
      </c>
      <c r="J4456">
        <v>6.6223232045265507E-2</v>
      </c>
      <c r="K4456">
        <v>4.9288518338728E-2</v>
      </c>
      <c r="L4456">
        <v>763.42674217399997</v>
      </c>
      <c r="M4456">
        <v>14.9655381481991</v>
      </c>
      <c r="N4456">
        <v>51.250391088718999</v>
      </c>
      <c r="O4456">
        <v>50.127467654141</v>
      </c>
      <c r="P4456">
        <v>-7.2138270405640303E-2</v>
      </c>
      <c r="Q4456">
        <v>3.35822679802672E-2</v>
      </c>
      <c r="R4456">
        <v>0.98544641839115799</v>
      </c>
      <c r="S4456" t="s">
        <v>11072</v>
      </c>
      <c r="T4456" t="s">
        <v>13232</v>
      </c>
      <c r="U4456" t="s">
        <v>13232</v>
      </c>
      <c r="V4456" t="s">
        <v>13232</v>
      </c>
      <c r="W4456" t="s">
        <v>17625</v>
      </c>
      <c r="X4456">
        <v>11</v>
      </c>
      <c r="Y4456" t="s">
        <v>24043</v>
      </c>
      <c r="Z4456" t="s">
        <v>30587</v>
      </c>
      <c r="AA4456">
        <v>0.41073729657318497</v>
      </c>
      <c r="AB4456" t="str">
        <f>HYPERLINK("Melting_Curves/meltCurve_Q8NCA5_2_FAM98A.pdf", "Melting_Curves/meltCurve_Q8NCA5_2_FAM98A.pdf")</f>
        <v>Melting_Curves/meltCurve_Q8NCA5_2_FAM98A.pdf</v>
      </c>
    </row>
    <row r="4457" spans="1:28" x14ac:dyDescent="0.25">
      <c r="A4457" t="s">
        <v>4460</v>
      </c>
      <c r="B4457">
        <v>0.99930955844802105</v>
      </c>
      <c r="C4457">
        <v>0.60668910489620798</v>
      </c>
      <c r="D4457">
        <v>0.565777810879596</v>
      </c>
      <c r="E4457">
        <v>0.40764544032845301</v>
      </c>
      <c r="F4457">
        <v>0.25287977562269698</v>
      </c>
      <c r="G4457">
        <v>0.188511935632625</v>
      </c>
      <c r="H4457">
        <v>0.11279075484263899</v>
      </c>
      <c r="I4457">
        <v>0.12795229860101501</v>
      </c>
      <c r="J4457">
        <v>0.127814938076145</v>
      </c>
      <c r="K4457">
        <v>0.106809449261575</v>
      </c>
      <c r="L4457">
        <v>534.40017376214405</v>
      </c>
      <c r="M4457">
        <v>11.5706574092337</v>
      </c>
      <c r="N4457">
        <v>47.014224259871497</v>
      </c>
      <c r="O4457">
        <v>44.870911663866799</v>
      </c>
      <c r="P4457">
        <v>-5.8537520643185001E-2</v>
      </c>
      <c r="Q4457">
        <v>9.2220305391236601E-2</v>
      </c>
      <c r="R4457">
        <v>0.95309996557326904</v>
      </c>
      <c r="S4457" t="s">
        <v>11073</v>
      </c>
      <c r="T4457" t="s">
        <v>13232</v>
      </c>
      <c r="U4457" t="s">
        <v>13232</v>
      </c>
      <c r="V4457" t="s">
        <v>13232</v>
      </c>
      <c r="W4457" t="s">
        <v>17626</v>
      </c>
      <c r="X4457">
        <v>2</v>
      </c>
      <c r="Y4457" t="s">
        <v>24044</v>
      </c>
      <c r="Z4457" t="s">
        <v>30588</v>
      </c>
      <c r="AA4457">
        <v>0.32286786213881091</v>
      </c>
      <c r="AB4457" t="str">
        <f>HYPERLINK("Melting_Curves/meltCurve_Q8NCA9_ZNF784.pdf", "Melting_Curves/meltCurve_Q8NCA9_ZNF784.pdf")</f>
        <v>Melting_Curves/meltCurve_Q8NCA9_ZNF784.pdf</v>
      </c>
    </row>
    <row r="4458" spans="1:28" x14ac:dyDescent="0.25">
      <c r="A4458" t="s">
        <v>4461</v>
      </c>
      <c r="B4458">
        <v>0.99930955844802105</v>
      </c>
      <c r="C4458">
        <v>1.0121029351004001</v>
      </c>
      <c r="D4458">
        <v>0.99331945806154598</v>
      </c>
      <c r="E4458">
        <v>0.98232720559310505</v>
      </c>
      <c r="F4458">
        <v>0.93609210728089898</v>
      </c>
      <c r="G4458">
        <v>0.72675159351010599</v>
      </c>
      <c r="H4458">
        <v>0.69631717087851996</v>
      </c>
      <c r="I4458">
        <v>0.67293682704535895</v>
      </c>
      <c r="J4458">
        <v>0.60511969606013405</v>
      </c>
      <c r="K4458">
        <v>0.40762877047763402</v>
      </c>
      <c r="L4458">
        <v>519.16837183966902</v>
      </c>
      <c r="M4458">
        <v>7.5779060114177001</v>
      </c>
      <c r="N4458">
        <v>68.510795862991301</v>
      </c>
      <c r="O4458">
        <v>64.227721335818899</v>
      </c>
      <c r="P4458">
        <v>-2.9537054269807E-2</v>
      </c>
      <c r="Q4458">
        <v>0</v>
      </c>
      <c r="R4458">
        <v>0.945900735886814</v>
      </c>
      <c r="S4458" t="s">
        <v>11074</v>
      </c>
      <c r="T4458" t="s">
        <v>13232</v>
      </c>
      <c r="U4458" t="s">
        <v>13232</v>
      </c>
      <c r="V4458" t="s">
        <v>13232</v>
      </c>
      <c r="W4458" t="s">
        <v>17627</v>
      </c>
      <c r="X4458">
        <v>8</v>
      </c>
      <c r="Y4458" t="s">
        <v>24045</v>
      </c>
      <c r="Z4458" t="s">
        <v>30589</v>
      </c>
      <c r="AA4458">
        <v>0.8123679993898768</v>
      </c>
      <c r="AB4458" t="str">
        <f>HYPERLINK("Melting_Curves/meltCurve_Q8NCC3_PLA2G15.pdf", "Melting_Curves/meltCurve_Q8NCC3_PLA2G15.pdf")</f>
        <v>Melting_Curves/meltCurve_Q8NCC3_PLA2G15.pdf</v>
      </c>
    </row>
    <row r="4459" spans="1:28" x14ac:dyDescent="0.25">
      <c r="A4459" t="s">
        <v>4462</v>
      </c>
      <c r="B4459">
        <v>0.99930955844802105</v>
      </c>
      <c r="C4459">
        <v>0.97152962613413696</v>
      </c>
      <c r="D4459">
        <v>0.96312732241404098</v>
      </c>
      <c r="E4459">
        <v>0.86398692134913702</v>
      </c>
      <c r="F4459">
        <v>0.75589476305058201</v>
      </c>
      <c r="G4459">
        <v>0.58799912234946405</v>
      </c>
      <c r="H4459">
        <v>0.50610770764623003</v>
      </c>
      <c r="I4459">
        <v>0.50976906043310999</v>
      </c>
      <c r="J4459">
        <v>0.52161929785615602</v>
      </c>
      <c r="K4459">
        <v>0.42211527962322298</v>
      </c>
      <c r="L4459">
        <v>858.77194882913102</v>
      </c>
      <c r="M4459">
        <v>16.0720120398076</v>
      </c>
      <c r="N4459">
        <v>62.875616313404301</v>
      </c>
      <c r="O4459">
        <v>52.626076477456003</v>
      </c>
      <c r="P4459">
        <v>-4.1594108351643899E-2</v>
      </c>
      <c r="Q4459">
        <v>0.45526022387637899</v>
      </c>
      <c r="R4459">
        <v>0.98834476587249298</v>
      </c>
      <c r="S4459" t="s">
        <v>11075</v>
      </c>
      <c r="T4459" t="s">
        <v>13232</v>
      </c>
      <c r="U4459" t="s">
        <v>13232</v>
      </c>
      <c r="V4459" t="s">
        <v>13232</v>
      </c>
      <c r="W4459" t="s">
        <v>17628</v>
      </c>
      <c r="X4459">
        <v>3</v>
      </c>
      <c r="Y4459" t="s">
        <v>24046</v>
      </c>
      <c r="Z4459" t="s">
        <v>30590</v>
      </c>
      <c r="AA4459">
        <v>0.70963204722489626</v>
      </c>
      <c r="AB4459" t="str">
        <f>HYPERLINK("Melting_Curves/meltCurve_Q8NCD3_HJURP.pdf", "Melting_Curves/meltCurve_Q8NCD3_HJURP.pdf")</f>
        <v>Melting_Curves/meltCurve_Q8NCD3_HJURP.pdf</v>
      </c>
    </row>
    <row r="4460" spans="1:28" x14ac:dyDescent="0.25">
      <c r="A4460" t="s">
        <v>4463</v>
      </c>
      <c r="B4460">
        <v>0.99930955844802105</v>
      </c>
      <c r="C4460">
        <v>0.86018651011144898</v>
      </c>
      <c r="D4460">
        <v>0.77943522467279502</v>
      </c>
      <c r="E4460">
        <v>0.39427491229552503</v>
      </c>
      <c r="F4460">
        <v>0.24311254423638401</v>
      </c>
      <c r="G4460">
        <v>0.19375362632374499</v>
      </c>
      <c r="H4460">
        <v>0.14698850188287499</v>
      </c>
      <c r="I4460">
        <v>0.111474799496574</v>
      </c>
      <c r="J4460">
        <v>0.104578911487545</v>
      </c>
      <c r="K4460">
        <v>8.2179909625247502E-2</v>
      </c>
      <c r="L4460">
        <v>853.27266239551795</v>
      </c>
      <c r="M4460">
        <v>17.6793766062945</v>
      </c>
      <c r="N4460">
        <v>48.907026984785503</v>
      </c>
      <c r="O4460">
        <v>47.658932452365399</v>
      </c>
      <c r="P4460">
        <v>-8.3122428496211195E-2</v>
      </c>
      <c r="Q4460">
        <v>0.103742967891702</v>
      </c>
      <c r="R4460">
        <v>0.99272476219641703</v>
      </c>
      <c r="S4460" t="s">
        <v>11076</v>
      </c>
      <c r="T4460" t="s">
        <v>13232</v>
      </c>
      <c r="U4460" t="s">
        <v>13232</v>
      </c>
      <c r="V4460" t="s">
        <v>13232</v>
      </c>
      <c r="W4460" t="s">
        <v>17629</v>
      </c>
      <c r="X4460">
        <v>8</v>
      </c>
      <c r="Y4460" t="s">
        <v>24047</v>
      </c>
      <c r="Z4460" t="s">
        <v>30591</v>
      </c>
      <c r="AA4460">
        <v>0.36700208245528909</v>
      </c>
      <c r="AB4460" t="str">
        <f>HYPERLINK("Melting_Curves/meltCurve_Q8NCE0_4_TSEN2.pdf", "Melting_Curves/meltCurve_Q8NCE0_4_TSEN2.pdf")</f>
        <v>Melting_Curves/meltCurve_Q8NCE0_4_TSEN2.pdf</v>
      </c>
    </row>
    <row r="4461" spans="1:28" x14ac:dyDescent="0.25">
      <c r="A4461" t="s">
        <v>4464</v>
      </c>
      <c r="B4461">
        <v>0.99930955844802105</v>
      </c>
      <c r="C4461">
        <v>0.94158618328738697</v>
      </c>
      <c r="D4461">
        <v>0.92153224248517795</v>
      </c>
      <c r="E4461">
        <v>0.78086912199277003</v>
      </c>
      <c r="F4461">
        <v>0.58214443392010395</v>
      </c>
      <c r="G4461">
        <v>0.26385441954699701</v>
      </c>
      <c r="H4461">
        <v>0.109808771413953</v>
      </c>
      <c r="I4461">
        <v>8.8651816023106803E-2</v>
      </c>
      <c r="J4461">
        <v>6.6092769275996999E-2</v>
      </c>
      <c r="K4461">
        <v>5.76023882454305E-2</v>
      </c>
      <c r="L4461">
        <v>939.45151923293304</v>
      </c>
      <c r="M4461">
        <v>17.5562266272544</v>
      </c>
      <c r="N4461">
        <v>53.712954686478099</v>
      </c>
      <c r="O4461">
        <v>52.831221966087298</v>
      </c>
      <c r="P4461">
        <v>-8.0428229735636195E-2</v>
      </c>
      <c r="Q4461">
        <v>3.19354073583566E-2</v>
      </c>
      <c r="R4461">
        <v>0.99702705691642801</v>
      </c>
      <c r="S4461" t="s">
        <v>11077</v>
      </c>
      <c r="T4461" t="s">
        <v>13232</v>
      </c>
      <c r="U4461" t="s">
        <v>13232</v>
      </c>
      <c r="V4461" t="s">
        <v>13232</v>
      </c>
      <c r="W4461" t="s">
        <v>17630</v>
      </c>
      <c r="X4461">
        <v>10</v>
      </c>
      <c r="Y4461" t="s">
        <v>24048</v>
      </c>
      <c r="Z4461" t="s">
        <v>30592</v>
      </c>
      <c r="AA4461">
        <v>0.48421175396720811</v>
      </c>
      <c r="AB4461" t="str">
        <f>HYPERLINK("Melting_Curves/meltCurve_Q8NCE2_2_MTMR14.pdf", "Melting_Curves/meltCurve_Q8NCE2_2_MTMR14.pdf")</f>
        <v>Melting_Curves/meltCurve_Q8NCE2_2_MTMR14.pdf</v>
      </c>
    </row>
    <row r="4462" spans="1:28" x14ac:dyDescent="0.25">
      <c r="A4462" t="s">
        <v>4465</v>
      </c>
      <c r="B4462">
        <v>0.99930955844802105</v>
      </c>
      <c r="C4462">
        <v>0.94529601037373301</v>
      </c>
      <c r="D4462">
        <v>0.94668967517686697</v>
      </c>
      <c r="E4462">
        <v>0.92066770135000597</v>
      </c>
      <c r="F4462">
        <v>0.74798993991617801</v>
      </c>
      <c r="G4462">
        <v>0.601735850818502</v>
      </c>
      <c r="H4462">
        <v>0.51543267375813095</v>
      </c>
      <c r="I4462">
        <v>0.49431671148339301</v>
      </c>
      <c r="J4462">
        <v>0.44186744090234897</v>
      </c>
      <c r="K4462">
        <v>0.36954071204470201</v>
      </c>
      <c r="L4462">
        <v>696.84805855315699</v>
      </c>
      <c r="M4462">
        <v>12.5681327210795</v>
      </c>
      <c r="N4462">
        <v>61.677191341139498</v>
      </c>
      <c r="O4462">
        <v>54.098091897809802</v>
      </c>
      <c r="P4462">
        <v>-3.7204484633706202E-2</v>
      </c>
      <c r="Q4462">
        <v>0.359559218645504</v>
      </c>
      <c r="R4462">
        <v>0.985129265771718</v>
      </c>
      <c r="S4462" t="s">
        <v>11078</v>
      </c>
      <c r="T4462" t="s">
        <v>13232</v>
      </c>
      <c r="U4462" t="s">
        <v>13232</v>
      </c>
      <c r="V4462" t="s">
        <v>13232</v>
      </c>
      <c r="W4462" t="s">
        <v>17631</v>
      </c>
      <c r="X4462">
        <v>6</v>
      </c>
      <c r="Y4462" t="s">
        <v>24049</v>
      </c>
      <c r="Z4462" t="s">
        <v>30593</v>
      </c>
      <c r="AA4462">
        <v>0.70307774369344611</v>
      </c>
      <c r="AB4462" t="str">
        <f>HYPERLINK("Melting_Curves/meltCurve_Q8NCF5_NFATC2IP.pdf", "Melting_Curves/meltCurve_Q8NCF5_NFATC2IP.pdf")</f>
        <v>Melting_Curves/meltCurve_Q8NCF5_NFATC2IP.pdf</v>
      </c>
    </row>
    <row r="4463" spans="1:28" x14ac:dyDescent="0.25">
      <c r="A4463" t="s">
        <v>4466</v>
      </c>
      <c r="B4463">
        <v>0.99930955844802105</v>
      </c>
      <c r="C4463">
        <v>0.92876761903785798</v>
      </c>
      <c r="D4463">
        <v>0.91981716894647603</v>
      </c>
      <c r="E4463">
        <v>0.80876411737118903</v>
      </c>
      <c r="F4463">
        <v>0.67762592337837402</v>
      </c>
      <c r="G4463">
        <v>0.598136386758643</v>
      </c>
      <c r="H4463">
        <v>0.58076492447502004</v>
      </c>
      <c r="I4463">
        <v>0.59630162339293702</v>
      </c>
      <c r="J4463">
        <v>0.58992178808913098</v>
      </c>
      <c r="K4463">
        <v>0.395546669999845</v>
      </c>
      <c r="L4463">
        <v>535.95215522250101</v>
      </c>
      <c r="M4463">
        <v>10.251373750108399</v>
      </c>
      <c r="O4463">
        <v>50.408752141574801</v>
      </c>
      <c r="P4463">
        <v>-2.7164276073726699E-2</v>
      </c>
      <c r="Q4463">
        <v>0.46594016864392601</v>
      </c>
      <c r="R4463">
        <v>0.928330187320352</v>
      </c>
      <c r="S4463" t="s">
        <v>11079</v>
      </c>
      <c r="T4463" t="s">
        <v>13232</v>
      </c>
      <c r="U4463" t="s">
        <v>13232</v>
      </c>
      <c r="V4463" t="s">
        <v>13232</v>
      </c>
      <c r="W4463" t="s">
        <v>17632</v>
      </c>
      <c r="X4463">
        <v>13</v>
      </c>
      <c r="Y4463" t="s">
        <v>24050</v>
      </c>
      <c r="Z4463" t="s">
        <v>30594</v>
      </c>
      <c r="AA4463">
        <v>0.70378228300006207</v>
      </c>
      <c r="AB4463" t="str">
        <f>HYPERLINK("Melting_Curves/meltCurve_Q8NCN2_ZBTB34.pdf", "Melting_Curves/meltCurve_Q8NCN2_ZBTB34.pdf")</f>
        <v>Melting_Curves/meltCurve_Q8NCN2_ZBTB34.pdf</v>
      </c>
    </row>
    <row r="4464" spans="1:28" x14ac:dyDescent="0.25">
      <c r="A4464" t="s">
        <v>4467</v>
      </c>
      <c r="B4464">
        <v>0.99930955844802105</v>
      </c>
      <c r="C4464">
        <v>1.1305517579033799</v>
      </c>
      <c r="D4464">
        <v>1.0966930228943901</v>
      </c>
      <c r="E4464">
        <v>1.0482708499798601</v>
      </c>
      <c r="F4464">
        <v>0.97098981291789899</v>
      </c>
      <c r="G4464">
        <v>0.90749151663209604</v>
      </c>
      <c r="H4464">
        <v>0.94464139073828002</v>
      </c>
      <c r="I4464">
        <v>1.0588296711018499</v>
      </c>
      <c r="J4464">
        <v>1.0709719671019999</v>
      </c>
      <c r="K4464">
        <v>0.84978518330500097</v>
      </c>
      <c r="L4464">
        <v>15000</v>
      </c>
      <c r="M4464">
        <v>212.552744652364</v>
      </c>
      <c r="Q4464">
        <v>0</v>
      </c>
      <c r="R4464">
        <v>0.30651625743516298</v>
      </c>
      <c r="S4464" t="s">
        <v>11080</v>
      </c>
      <c r="T4464" t="s">
        <v>13232</v>
      </c>
      <c r="U4464" t="s">
        <v>13232</v>
      </c>
      <c r="V4464" t="s">
        <v>13232</v>
      </c>
      <c r="W4464" t="s">
        <v>17633</v>
      </c>
      <c r="X4464">
        <v>20</v>
      </c>
      <c r="Y4464" t="s">
        <v>24051</v>
      </c>
      <c r="Z4464" t="s">
        <v>30595</v>
      </c>
      <c r="AA4464">
        <v>0.99824466814937185</v>
      </c>
      <c r="AB4464" t="str">
        <f>HYPERLINK("Melting_Curves/meltCurve_Q8NCN4_RNF169.pdf", "Melting_Curves/meltCurve_Q8NCN4_RNF169.pdf")</f>
        <v>Melting_Curves/meltCurve_Q8NCN4_RNF169.pdf</v>
      </c>
    </row>
    <row r="4465" spans="1:28" x14ac:dyDescent="0.25">
      <c r="A4465" t="s">
        <v>4468</v>
      </c>
      <c r="B4465">
        <v>0.99930955844802105</v>
      </c>
      <c r="C4465">
        <v>0.98036523835591605</v>
      </c>
      <c r="D4465">
        <v>0.95769785852172495</v>
      </c>
      <c r="E4465">
        <v>0.72627144165548896</v>
      </c>
      <c r="F4465">
        <v>0.596841691021887</v>
      </c>
      <c r="G4465">
        <v>0.20453182672449199</v>
      </c>
      <c r="H4465">
        <v>0.110109040891335</v>
      </c>
      <c r="I4465">
        <v>9.38262764554917E-2</v>
      </c>
      <c r="J4465">
        <v>7.9047120679360094E-2</v>
      </c>
      <c r="K4465">
        <v>5.6823574730885E-2</v>
      </c>
      <c r="L4465">
        <v>1011.7066575779299</v>
      </c>
      <c r="M4465">
        <v>19.056854088704799</v>
      </c>
      <c r="N4465">
        <v>53.365380919450899</v>
      </c>
      <c r="O4465">
        <v>52.514633273177203</v>
      </c>
      <c r="P4465">
        <v>-8.6460079736897399E-2</v>
      </c>
      <c r="Q4465">
        <v>4.7011515033110997E-2</v>
      </c>
      <c r="R4465">
        <v>0.99384863762519504</v>
      </c>
      <c r="S4465" t="s">
        <v>11081</v>
      </c>
      <c r="T4465" t="s">
        <v>13232</v>
      </c>
      <c r="U4465" t="s">
        <v>13232</v>
      </c>
      <c r="V4465" t="s">
        <v>13232</v>
      </c>
      <c r="W4465" t="s">
        <v>17634</v>
      </c>
      <c r="X4465">
        <v>12</v>
      </c>
      <c r="Y4465" t="s">
        <v>24052</v>
      </c>
      <c r="Z4465" t="s">
        <v>30596</v>
      </c>
      <c r="AA4465">
        <v>0.47699675210028492</v>
      </c>
      <c r="AB4465" t="str">
        <f>HYPERLINK("Melting_Curves/meltCurve_Q8NCN5_PDPR.pdf", "Melting_Curves/meltCurve_Q8NCN5_PDPR.pdf")</f>
        <v>Melting_Curves/meltCurve_Q8NCN5_PDPR.pdf</v>
      </c>
    </row>
    <row r="4466" spans="1:28" x14ac:dyDescent="0.25">
      <c r="A4466" t="s">
        <v>4469</v>
      </c>
      <c r="B4466">
        <v>0.99930955844802105</v>
      </c>
      <c r="C4466">
        <v>0.989569680939138</v>
      </c>
      <c r="D4466">
        <v>0.93457407664745196</v>
      </c>
      <c r="E4466">
        <v>0.86783128727060499</v>
      </c>
      <c r="F4466">
        <v>0.75752716195139203</v>
      </c>
      <c r="G4466">
        <v>0.57226146796073596</v>
      </c>
      <c r="H4466">
        <v>0.44958253694681199</v>
      </c>
      <c r="I4466">
        <v>0.38213041133140802</v>
      </c>
      <c r="J4466">
        <v>0.19800164842197199</v>
      </c>
      <c r="K4466">
        <v>0.11786646520421</v>
      </c>
      <c r="L4466">
        <v>607.20270397510296</v>
      </c>
      <c r="M4466">
        <v>10.2645392182605</v>
      </c>
      <c r="N4466">
        <v>59.1553657853554</v>
      </c>
      <c r="O4466">
        <v>57.042049019049699</v>
      </c>
      <c r="P4466">
        <v>-4.5006522107563798E-2</v>
      </c>
      <c r="Q4466">
        <v>0</v>
      </c>
      <c r="R4466">
        <v>0.98979416935582198</v>
      </c>
      <c r="S4466" t="s">
        <v>11082</v>
      </c>
      <c r="T4466" t="s">
        <v>13232</v>
      </c>
      <c r="U4466" t="s">
        <v>13232</v>
      </c>
      <c r="V4466" t="s">
        <v>13232</v>
      </c>
      <c r="W4466" t="s">
        <v>17635</v>
      </c>
      <c r="X4466">
        <v>7</v>
      </c>
      <c r="Y4466" t="s">
        <v>24053</v>
      </c>
      <c r="Z4466" t="s">
        <v>30597</v>
      </c>
      <c r="AA4466">
        <v>0.6416055547983317</v>
      </c>
      <c r="AB4466" t="str">
        <f>HYPERLINK("Melting_Curves/meltCurve_Q8NCP5_3_ZBTB44.pdf", "Melting_Curves/meltCurve_Q8NCP5_3_ZBTB44.pdf")</f>
        <v>Melting_Curves/meltCurve_Q8NCP5_3_ZBTB44.pdf</v>
      </c>
    </row>
    <row r="4467" spans="1:28" x14ac:dyDescent="0.25">
      <c r="A4467" t="s">
        <v>4470</v>
      </c>
      <c r="B4467">
        <v>0.99930955844802105</v>
      </c>
      <c r="C4467">
        <v>0.95276603721601105</v>
      </c>
      <c r="D4467">
        <v>0.97544336627714401</v>
      </c>
      <c r="E4467">
        <v>0.88224619758518397</v>
      </c>
      <c r="F4467">
        <v>0.77780421077765904</v>
      </c>
      <c r="G4467">
        <v>0.65545766849859899</v>
      </c>
      <c r="H4467">
        <v>0.538455026925453</v>
      </c>
      <c r="I4467">
        <v>0.51589418678486298</v>
      </c>
      <c r="J4467">
        <v>0.28246009537414102</v>
      </c>
      <c r="K4467">
        <v>7.4896230587917806E-2</v>
      </c>
      <c r="L4467">
        <v>618.93256151261903</v>
      </c>
      <c r="M4467">
        <v>10.1279812624217</v>
      </c>
      <c r="N4467">
        <v>61.111163015308598</v>
      </c>
      <c r="O4467">
        <v>58.8722313339902</v>
      </c>
      <c r="P4467">
        <v>-4.3028237608685398E-2</v>
      </c>
      <c r="Q4467">
        <v>0</v>
      </c>
      <c r="R4467">
        <v>0.95237944970170996</v>
      </c>
      <c r="S4467" t="s">
        <v>11083</v>
      </c>
      <c r="T4467" t="s">
        <v>13232</v>
      </c>
      <c r="U4467" t="s">
        <v>13232</v>
      </c>
      <c r="V4467" t="s">
        <v>13232</v>
      </c>
      <c r="W4467" t="s">
        <v>17636</v>
      </c>
      <c r="X4467">
        <v>16</v>
      </c>
      <c r="Y4467" t="s">
        <v>24054</v>
      </c>
      <c r="Z4467" t="s">
        <v>30598</v>
      </c>
      <c r="AA4467">
        <v>0.69125772693060972</v>
      </c>
      <c r="AB4467" t="str">
        <f>HYPERLINK("Melting_Curves/meltCurve_Q8NCW5_APOA1BP.pdf", "Melting_Curves/meltCurve_Q8NCW5_APOA1BP.pdf")</f>
        <v>Melting_Curves/meltCurve_Q8NCW5_APOA1BP.pdf</v>
      </c>
    </row>
    <row r="4468" spans="1:28" x14ac:dyDescent="0.25">
      <c r="A4468" t="s">
        <v>4471</v>
      </c>
      <c r="B4468">
        <v>0.99930955844802105</v>
      </c>
      <c r="C4468">
        <v>0.94881581136365101</v>
      </c>
      <c r="D4468">
        <v>0.91496674348832296</v>
      </c>
      <c r="E4468">
        <v>0.81353794714921901</v>
      </c>
      <c r="F4468">
        <v>0.58804549231006598</v>
      </c>
      <c r="G4468">
        <v>0.42957865630912301</v>
      </c>
      <c r="H4468">
        <v>0.34625865482615298</v>
      </c>
      <c r="I4468">
        <v>0.34393436983588599</v>
      </c>
      <c r="J4468">
        <v>0.30570102891385997</v>
      </c>
      <c r="K4468">
        <v>0.22190239985738</v>
      </c>
      <c r="L4468">
        <v>773.08395491586896</v>
      </c>
      <c r="M4468">
        <v>14.6293888410337</v>
      </c>
      <c r="N4468">
        <v>55.477865316629</v>
      </c>
      <c r="O4468">
        <v>51.8866241491843</v>
      </c>
      <c r="P4468">
        <v>-5.2849453325017302E-2</v>
      </c>
      <c r="Q4468">
        <v>0.250310666473059</v>
      </c>
      <c r="R4468">
        <v>0.99024250226533705</v>
      </c>
      <c r="S4468" t="s">
        <v>11084</v>
      </c>
      <c r="T4468" t="s">
        <v>13232</v>
      </c>
      <c r="U4468" t="s">
        <v>13232</v>
      </c>
      <c r="V4468" t="s">
        <v>13232</v>
      </c>
      <c r="W4468" t="s">
        <v>17637</v>
      </c>
      <c r="X4468">
        <v>5</v>
      </c>
      <c r="Y4468" t="s">
        <v>24055</v>
      </c>
      <c r="Z4468" t="s">
        <v>30599</v>
      </c>
      <c r="AA4468">
        <v>0.58810726799875002</v>
      </c>
      <c r="AB4468" t="str">
        <f>HYPERLINK("Melting_Curves/meltCurve_Q8NCY6_MSANTD4.pdf", "Melting_Curves/meltCurve_Q8NCY6_MSANTD4.pdf")</f>
        <v>Melting_Curves/meltCurve_Q8NCY6_MSANTD4.pdf</v>
      </c>
    </row>
    <row r="4469" spans="1:28" x14ac:dyDescent="0.25">
      <c r="A4469" t="s">
        <v>4472</v>
      </c>
      <c r="B4469">
        <v>0.99930955844802105</v>
      </c>
      <c r="C4469">
        <v>0.604247399975406</v>
      </c>
      <c r="D4469">
        <v>0.58223280745370698</v>
      </c>
      <c r="E4469">
        <v>0.27290731896503001</v>
      </c>
      <c r="F4469">
        <v>0.18093317163073</v>
      </c>
      <c r="G4469">
        <v>0.124988195553209</v>
      </c>
      <c r="H4469">
        <v>6.0439037602780799E-2</v>
      </c>
      <c r="I4469">
        <v>5.8556825639570598E-2</v>
      </c>
      <c r="J4469">
        <v>4.2888497708439999E-2</v>
      </c>
      <c r="K4469">
        <v>4.0005723553479602E-2</v>
      </c>
      <c r="L4469">
        <v>606.10770973396995</v>
      </c>
      <c r="M4469">
        <v>13.158800189937899</v>
      </c>
      <c r="N4469">
        <v>46.304074103012802</v>
      </c>
      <c r="O4469">
        <v>45.036224186084397</v>
      </c>
      <c r="P4469">
        <v>-7.0620001694579104E-2</v>
      </c>
      <c r="Q4469">
        <v>3.3370605034733103E-2</v>
      </c>
      <c r="R4469">
        <v>0.96375650738337004</v>
      </c>
      <c r="S4469" t="s">
        <v>11085</v>
      </c>
      <c r="T4469" t="s">
        <v>13232</v>
      </c>
      <c r="U4469" t="s">
        <v>13232</v>
      </c>
      <c r="V4469" t="s">
        <v>13232</v>
      </c>
      <c r="W4469" t="s">
        <v>17638</v>
      </c>
      <c r="X4469">
        <v>7</v>
      </c>
      <c r="Y4469" t="s">
        <v>24056</v>
      </c>
      <c r="Z4469" t="s">
        <v>30600</v>
      </c>
      <c r="AA4469">
        <v>0.26533793323453292</v>
      </c>
      <c r="AB4469" t="str">
        <f>HYPERLINK("Melting_Curves/meltCurve_Q8ND04_SMG8.pdf", "Melting_Curves/meltCurve_Q8ND04_SMG8.pdf")</f>
        <v>Melting_Curves/meltCurve_Q8ND04_SMG8.pdf</v>
      </c>
    </row>
    <row r="4470" spans="1:28" x14ac:dyDescent="0.25">
      <c r="A4470" t="s">
        <v>4473</v>
      </c>
      <c r="B4470">
        <v>0.99930955844802105</v>
      </c>
      <c r="C4470">
        <v>1.09712277219291</v>
      </c>
      <c r="D4470">
        <v>1.0389721674086001</v>
      </c>
      <c r="E4470">
        <v>0.86901607029408501</v>
      </c>
      <c r="F4470">
        <v>0.63303557990274495</v>
      </c>
      <c r="G4470">
        <v>0.47404917837768601</v>
      </c>
      <c r="H4470">
        <v>0.38475652974551</v>
      </c>
      <c r="I4470">
        <v>0.37337885069034699</v>
      </c>
      <c r="J4470">
        <v>0.37421229249695198</v>
      </c>
      <c r="K4470">
        <v>0.301750191116824</v>
      </c>
      <c r="L4470">
        <v>1298.72127235731</v>
      </c>
      <c r="M4470">
        <v>24.620677862412599</v>
      </c>
      <c r="N4470">
        <v>55.518241063923298</v>
      </c>
      <c r="O4470">
        <v>52.404926579943201</v>
      </c>
      <c r="P4470">
        <v>-7.5928245487934407E-2</v>
      </c>
      <c r="Q4470">
        <v>0.35355863928909997</v>
      </c>
      <c r="R4470">
        <v>0.97994487122981599</v>
      </c>
      <c r="S4470" t="s">
        <v>11086</v>
      </c>
      <c r="T4470" t="s">
        <v>13232</v>
      </c>
      <c r="U4470" t="s">
        <v>13232</v>
      </c>
      <c r="V4470" t="s">
        <v>13232</v>
      </c>
      <c r="W4470" t="s">
        <v>17639</v>
      </c>
      <c r="X4470">
        <v>25</v>
      </c>
      <c r="Y4470" t="s">
        <v>24057</v>
      </c>
      <c r="Z4470" t="s">
        <v>30601</v>
      </c>
      <c r="AA4470">
        <v>0.63439371229772157</v>
      </c>
      <c r="AB4470" t="str">
        <f>HYPERLINK("Melting_Curves/meltCurve_Q8ND24_RNF214.pdf", "Melting_Curves/meltCurve_Q8ND24_RNF214.pdf")</f>
        <v>Melting_Curves/meltCurve_Q8ND24_RNF214.pdf</v>
      </c>
    </row>
    <row r="4471" spans="1:28" x14ac:dyDescent="0.25">
      <c r="A4471" t="s">
        <v>4474</v>
      </c>
      <c r="B4471">
        <v>0.99930955844802105</v>
      </c>
      <c r="C4471">
        <v>1.0537467455268701</v>
      </c>
      <c r="D4471">
        <v>1.0367936919479099</v>
      </c>
      <c r="E4471">
        <v>0.878755618970816</v>
      </c>
      <c r="F4471">
        <v>0.66278014123323203</v>
      </c>
      <c r="G4471">
        <v>0.39605822843501798</v>
      </c>
      <c r="H4471">
        <v>0.27097282994134197</v>
      </c>
      <c r="I4471">
        <v>0.26154867912017199</v>
      </c>
      <c r="J4471">
        <v>0.253936238606223</v>
      </c>
      <c r="K4471">
        <v>0.206094442435069</v>
      </c>
      <c r="L4471">
        <v>1268.5422400720299</v>
      </c>
      <c r="M4471">
        <v>23.6426093899669</v>
      </c>
      <c r="N4471">
        <v>55.110277558104599</v>
      </c>
      <c r="O4471">
        <v>53.275482213525997</v>
      </c>
      <c r="P4471">
        <v>-8.5185357553827598E-2</v>
      </c>
      <c r="Q4471">
        <v>0.23219732193543</v>
      </c>
      <c r="R4471">
        <v>0.99385199775815203</v>
      </c>
      <c r="S4471" t="s">
        <v>11087</v>
      </c>
      <c r="T4471" t="s">
        <v>13232</v>
      </c>
      <c r="U4471" t="s">
        <v>13232</v>
      </c>
      <c r="V4471" t="s">
        <v>13232</v>
      </c>
      <c r="W4471" t="s">
        <v>17640</v>
      </c>
      <c r="X4471">
        <v>22</v>
      </c>
      <c r="Y4471" t="s">
        <v>24058</v>
      </c>
      <c r="Z4471" t="s">
        <v>30602</v>
      </c>
      <c r="AA4471">
        <v>0.58952917498234103</v>
      </c>
      <c r="AB4471" t="str">
        <f>HYPERLINK("Melting_Curves/meltCurve_Q8ND30_PPFIBP2.pdf", "Melting_Curves/meltCurve_Q8ND30_PPFIBP2.pdf")</f>
        <v>Melting_Curves/meltCurve_Q8ND30_PPFIBP2.pdf</v>
      </c>
    </row>
    <row r="4472" spans="1:28" x14ac:dyDescent="0.25">
      <c r="A4472" t="s">
        <v>4475</v>
      </c>
      <c r="B4472">
        <v>0.99930955844802105</v>
      </c>
      <c r="C4472">
        <v>1.0669951120779899</v>
      </c>
      <c r="D4472">
        <v>1.0651577165174599</v>
      </c>
      <c r="E4472">
        <v>1.03833979006864</v>
      </c>
      <c r="F4472">
        <v>0.900651756087121</v>
      </c>
      <c r="G4472">
        <v>0.83000981331437496</v>
      </c>
      <c r="H4472">
        <v>0.86263079951431998</v>
      </c>
      <c r="I4472">
        <v>0.93598361914327899</v>
      </c>
      <c r="J4472">
        <v>0.91156702003673296</v>
      </c>
      <c r="K4472">
        <v>0.73944778777217701</v>
      </c>
      <c r="L4472">
        <v>13207.699770407</v>
      </c>
      <c r="M4472">
        <v>250</v>
      </c>
      <c r="O4472">
        <v>52.827426779333003</v>
      </c>
      <c r="P4472">
        <v>-0.17045150291964201</v>
      </c>
      <c r="Q4472">
        <v>0.855927794703498</v>
      </c>
      <c r="R4472">
        <v>0.67751230260577</v>
      </c>
      <c r="S4472" t="s">
        <v>11088</v>
      </c>
      <c r="T4472" t="s">
        <v>13232</v>
      </c>
      <c r="U4472" t="s">
        <v>13232</v>
      </c>
      <c r="V4472" t="s">
        <v>13232</v>
      </c>
      <c r="W4472" t="s">
        <v>17641</v>
      </c>
      <c r="X4472">
        <v>21</v>
      </c>
      <c r="Y4472" t="s">
        <v>24059</v>
      </c>
      <c r="Z4472" t="s">
        <v>30603</v>
      </c>
      <c r="AA4472">
        <v>0.91755986999286443</v>
      </c>
      <c r="AB4472" t="str">
        <f>HYPERLINK("Melting_Curves/meltCurve_Q8ND56_2_LSM14A.pdf", "Melting_Curves/meltCurve_Q8ND56_2_LSM14A.pdf")</f>
        <v>Melting_Curves/meltCurve_Q8ND56_2_LSM14A.pdf</v>
      </c>
    </row>
    <row r="4473" spans="1:28" x14ac:dyDescent="0.25">
      <c r="A4473" t="s">
        <v>4476</v>
      </c>
      <c r="B4473">
        <v>0.99930955844802105</v>
      </c>
      <c r="C4473">
        <v>1.0098200933155801</v>
      </c>
      <c r="D4473">
        <v>1.01447549797207</v>
      </c>
      <c r="E4473">
        <v>0.85826245769681997</v>
      </c>
      <c r="F4473">
        <v>0.53801581554011901</v>
      </c>
      <c r="G4473">
        <v>0.32407812272375502</v>
      </c>
      <c r="H4473">
        <v>0.26033833741853402</v>
      </c>
      <c r="I4473">
        <v>0.21734489239681501</v>
      </c>
      <c r="J4473">
        <v>0.21578168877339701</v>
      </c>
      <c r="K4473">
        <v>0.15883317981773101</v>
      </c>
      <c r="L4473">
        <v>1394.2512133360999</v>
      </c>
      <c r="M4473">
        <v>26.502422104445401</v>
      </c>
      <c r="N4473">
        <v>53.698166655746398</v>
      </c>
      <c r="O4473">
        <v>52.311635570375799</v>
      </c>
      <c r="P4473">
        <v>-0.100313982001719</v>
      </c>
      <c r="Q4473">
        <v>0.20799170025386199</v>
      </c>
      <c r="R4473">
        <v>0.99480581112741295</v>
      </c>
      <c r="S4473" t="s">
        <v>11089</v>
      </c>
      <c r="T4473" t="s">
        <v>13232</v>
      </c>
      <c r="U4473" t="s">
        <v>13232</v>
      </c>
      <c r="V4473" t="s">
        <v>13232</v>
      </c>
      <c r="W4473" t="s">
        <v>17642</v>
      </c>
      <c r="X4473">
        <v>7</v>
      </c>
      <c r="Y4473" t="s">
        <v>24060</v>
      </c>
      <c r="Z4473" t="s">
        <v>30604</v>
      </c>
      <c r="AA4473">
        <v>0.54736101198508225</v>
      </c>
      <c r="AB4473" t="str">
        <f>HYPERLINK("Melting_Curves/meltCurve_Q8ND76_3_CCNY.pdf", "Melting_Curves/meltCurve_Q8ND76_3_CCNY.pdf")</f>
        <v>Melting_Curves/meltCurve_Q8ND76_3_CCNY.pdf</v>
      </c>
    </row>
    <row r="4474" spans="1:28" x14ac:dyDescent="0.25">
      <c r="A4474" t="s">
        <v>4477</v>
      </c>
      <c r="B4474">
        <v>0.99930955844802105</v>
      </c>
      <c r="C4474">
        <v>0.95019630340053396</v>
      </c>
      <c r="D4474">
        <v>0.896056178415086</v>
      </c>
      <c r="E4474">
        <v>0.85707038655426204</v>
      </c>
      <c r="F4474">
        <v>0.76927626267097704</v>
      </c>
      <c r="G4474">
        <v>0.72383895976061197</v>
      </c>
      <c r="H4474">
        <v>0.56184795933118503</v>
      </c>
      <c r="I4474">
        <v>0.52986135098071396</v>
      </c>
      <c r="J4474">
        <v>0.55809441220453304</v>
      </c>
      <c r="K4474">
        <v>0.47324215882147802</v>
      </c>
      <c r="L4474">
        <v>457.37397425968499</v>
      </c>
      <c r="M4474">
        <v>8.0278349175566799</v>
      </c>
      <c r="N4474">
        <v>68.345164584308407</v>
      </c>
      <c r="O4474">
        <v>53.764415352559297</v>
      </c>
      <c r="P4474">
        <v>-2.35988532504838E-2</v>
      </c>
      <c r="Q4474">
        <v>0.36851506454564498</v>
      </c>
      <c r="R4474">
        <v>0.97875471715236995</v>
      </c>
      <c r="S4474" t="s">
        <v>11090</v>
      </c>
      <c r="T4474" t="s">
        <v>13232</v>
      </c>
      <c r="U4474" t="s">
        <v>13232</v>
      </c>
      <c r="V4474" t="s">
        <v>13232</v>
      </c>
      <c r="W4474" t="s">
        <v>17643</v>
      </c>
      <c r="X4474">
        <v>2</v>
      </c>
      <c r="Y4474" t="s">
        <v>24061</v>
      </c>
      <c r="Z4474" t="s">
        <v>30605</v>
      </c>
      <c r="AA4474">
        <v>0.73355055851686179</v>
      </c>
      <c r="AB4474" t="str">
        <f>HYPERLINK("Melting_Curves/meltCurve_Q8NDC0_MAPK1IP1L.pdf", "Melting_Curves/meltCurve_Q8NDC0_MAPK1IP1L.pdf")</f>
        <v>Melting_Curves/meltCurve_Q8NDC0_MAPK1IP1L.pdf</v>
      </c>
    </row>
    <row r="4475" spans="1:28" x14ac:dyDescent="0.25">
      <c r="A4475" t="s">
        <v>4478</v>
      </c>
      <c r="B4475">
        <v>0.99930955844802105</v>
      </c>
      <c r="C4475">
        <v>1.14004785756097</v>
      </c>
      <c r="D4475">
        <v>1.1294185259674501</v>
      </c>
      <c r="E4475">
        <v>1.0789571072267801</v>
      </c>
      <c r="F4475">
        <v>0.96070417785735795</v>
      </c>
      <c r="G4475">
        <v>0.87961577009577496</v>
      </c>
      <c r="H4475">
        <v>0.80993893919040305</v>
      </c>
      <c r="I4475">
        <v>0.79488661208092104</v>
      </c>
      <c r="J4475">
        <v>0.83224079423527098</v>
      </c>
      <c r="K4475">
        <v>0.66787433534086504</v>
      </c>
      <c r="L4475">
        <v>1192.2460163518199</v>
      </c>
      <c r="M4475">
        <v>20.382885486716901</v>
      </c>
      <c r="O4475">
        <v>57.938215370852397</v>
      </c>
      <c r="P4475">
        <v>-2.3094597279299901E-2</v>
      </c>
      <c r="Q4475">
        <v>0.73742295293931504</v>
      </c>
      <c r="R4475">
        <v>0.74568726380773298</v>
      </c>
      <c r="S4475" t="s">
        <v>11091</v>
      </c>
      <c r="T4475" t="s">
        <v>13232</v>
      </c>
      <c r="U4475" t="s">
        <v>13232</v>
      </c>
      <c r="V4475" t="s">
        <v>13232</v>
      </c>
      <c r="W4475" t="s">
        <v>17644</v>
      </c>
      <c r="X4475">
        <v>8</v>
      </c>
      <c r="Y4475" t="s">
        <v>24062</v>
      </c>
      <c r="Z4475" t="s">
        <v>30606</v>
      </c>
      <c r="AA4475">
        <v>0.90206023768111365</v>
      </c>
      <c r="AB4475" t="str">
        <f>HYPERLINK("Melting_Curves/meltCurve_Q8NDD1_3_C1orf131.pdf", "Melting_Curves/meltCurve_Q8NDD1_3_C1orf131.pdf")</f>
        <v>Melting_Curves/meltCurve_Q8NDD1_3_C1orf131.pdf</v>
      </c>
    </row>
    <row r="4476" spans="1:28" x14ac:dyDescent="0.25">
      <c r="A4476" t="s">
        <v>4479</v>
      </c>
      <c r="B4476">
        <v>0.99930955844802105</v>
      </c>
      <c r="C4476">
        <v>1.0229211839312</v>
      </c>
      <c r="D4476">
        <v>1.05251565534459</v>
      </c>
      <c r="E4476">
        <v>1.0856959375605999</v>
      </c>
      <c r="F4476">
        <v>1.0305333052640699</v>
      </c>
      <c r="G4476">
        <v>0.98810440250417997</v>
      </c>
      <c r="H4476">
        <v>0.96500135762725603</v>
      </c>
      <c r="I4476">
        <v>1.08512370768861</v>
      </c>
      <c r="J4476">
        <v>1.10185345973583</v>
      </c>
      <c r="K4476">
        <v>0.89671641010627801</v>
      </c>
      <c r="L4476">
        <v>10300.4784821467</v>
      </c>
      <c r="M4476">
        <v>242.216942315154</v>
      </c>
      <c r="O4476">
        <v>42.522939098814803</v>
      </c>
      <c r="P4476">
        <v>3.6587822577333701E-2</v>
      </c>
      <c r="Q4476">
        <v>1.0256930292931301</v>
      </c>
      <c r="R4476">
        <v>1.7162457429148299E-2</v>
      </c>
      <c r="S4476" t="s">
        <v>11092</v>
      </c>
      <c r="T4476" t="s">
        <v>13232</v>
      </c>
      <c r="U4476" t="s">
        <v>13232</v>
      </c>
      <c r="V4476" t="s">
        <v>13232</v>
      </c>
      <c r="W4476" t="s">
        <v>17645</v>
      </c>
      <c r="X4476">
        <v>1</v>
      </c>
      <c r="Y4476" t="s">
        <v>24063</v>
      </c>
      <c r="Z4476" t="s">
        <v>30607</v>
      </c>
      <c r="AA4476">
        <v>1.023527772057923</v>
      </c>
      <c r="AB4476" t="str">
        <f>HYPERLINK("Melting_Curves/meltCurve_Q8NDF8_PAPD5.pdf", "Melting_Curves/meltCurve_Q8NDF8_PAPD5.pdf")</f>
        <v>Melting_Curves/meltCurve_Q8NDF8_PAPD5.pdf</v>
      </c>
    </row>
    <row r="4477" spans="1:28" x14ac:dyDescent="0.25">
      <c r="A4477" t="s">
        <v>4480</v>
      </c>
      <c r="B4477">
        <v>0.99930955844802105</v>
      </c>
      <c r="C4477">
        <v>1.1609902769120599</v>
      </c>
      <c r="D4477">
        <v>1.07792427499944</v>
      </c>
      <c r="E4477">
        <v>0.96506959286248095</v>
      </c>
      <c r="F4477">
        <v>0.80963854759141196</v>
      </c>
      <c r="G4477">
        <v>0.69061438527115504</v>
      </c>
      <c r="H4477">
        <v>0.72800805678297098</v>
      </c>
      <c r="I4477">
        <v>0.78458673262817302</v>
      </c>
      <c r="J4477">
        <v>0.77614762529973502</v>
      </c>
      <c r="K4477">
        <v>0.61731006472232397</v>
      </c>
      <c r="L4477">
        <v>2681.0778497613201</v>
      </c>
      <c r="M4477">
        <v>51.404487330381698</v>
      </c>
      <c r="O4477">
        <v>52.077741406410603</v>
      </c>
      <c r="P4477">
        <v>-6.9300781553812807E-2</v>
      </c>
      <c r="Q4477">
        <v>0.71916651275322196</v>
      </c>
      <c r="R4477">
        <v>0.82300937786148398</v>
      </c>
      <c r="S4477" t="s">
        <v>11093</v>
      </c>
      <c r="T4477" t="s">
        <v>13232</v>
      </c>
      <c r="U4477" t="s">
        <v>13232</v>
      </c>
      <c r="V4477" t="s">
        <v>13232</v>
      </c>
      <c r="W4477" t="s">
        <v>17646</v>
      </c>
      <c r="X4477">
        <v>25</v>
      </c>
      <c r="Y4477" t="s">
        <v>24064</v>
      </c>
      <c r="Z4477" t="s">
        <v>30608</v>
      </c>
      <c r="AA4477">
        <v>0.83357592234866873</v>
      </c>
      <c r="AB4477" t="str">
        <f>HYPERLINK("Melting_Curves/meltCurve_Q8NDI1_3_EHBP1.pdf", "Melting_Curves/meltCurve_Q8NDI1_3_EHBP1.pdf")</f>
        <v>Melting_Curves/meltCurve_Q8NDI1_3_EHBP1.pdf</v>
      </c>
    </row>
    <row r="4478" spans="1:28" x14ac:dyDescent="0.25">
      <c r="A4478" t="s">
        <v>4481</v>
      </c>
      <c r="B4478">
        <v>0.99930955844802105</v>
      </c>
      <c r="C4478">
        <v>0.92819511722516401</v>
      </c>
      <c r="D4478">
        <v>0.93322679140454901</v>
      </c>
      <c r="E4478">
        <v>0.88803029925557297</v>
      </c>
      <c r="F4478">
        <v>0.79865237860400196</v>
      </c>
      <c r="G4478">
        <v>0.48401240723700101</v>
      </c>
      <c r="H4478">
        <v>0.13270713586479599</v>
      </c>
      <c r="I4478">
        <v>0.12508128224870901</v>
      </c>
      <c r="J4478">
        <v>8.8965898929959403E-2</v>
      </c>
      <c r="K4478">
        <v>8.1696642674366798E-2</v>
      </c>
      <c r="L4478">
        <v>1179.7869956680599</v>
      </c>
      <c r="M4478">
        <v>21.025380202899399</v>
      </c>
      <c r="N4478">
        <v>56.3921960396396</v>
      </c>
      <c r="O4478">
        <v>55.612315119912402</v>
      </c>
      <c r="P4478">
        <v>-8.9840306434758294E-2</v>
      </c>
      <c r="Q4478">
        <v>4.9511814612727099E-2</v>
      </c>
      <c r="R4478">
        <v>0.98868820078356101</v>
      </c>
      <c r="S4478" t="s">
        <v>11094</v>
      </c>
      <c r="T4478" t="s">
        <v>13232</v>
      </c>
      <c r="U4478" t="s">
        <v>13232</v>
      </c>
      <c r="V4478" t="s">
        <v>13232</v>
      </c>
      <c r="W4478" t="s">
        <v>17647</v>
      </c>
      <c r="X4478">
        <v>2</v>
      </c>
      <c r="Y4478" t="s">
        <v>24065</v>
      </c>
      <c r="Z4478" t="s">
        <v>30609</v>
      </c>
      <c r="AA4478">
        <v>0.57137698459373243</v>
      </c>
      <c r="AB4478" t="str">
        <f>HYPERLINK("Melting_Curves/meltCurve_Q8NDV3_2_SMC1B.pdf", "Melting_Curves/meltCurve_Q8NDV3_2_SMC1B.pdf")</f>
        <v>Melting_Curves/meltCurve_Q8NDV3_2_SMC1B.pdf</v>
      </c>
    </row>
    <row r="4479" spans="1:28" x14ac:dyDescent="0.25">
      <c r="A4479" t="s">
        <v>4482</v>
      </c>
      <c r="B4479">
        <v>0.99930955844802105</v>
      </c>
      <c r="C4479">
        <v>0.99128313649280597</v>
      </c>
      <c r="D4479">
        <v>0.93474483012490295</v>
      </c>
      <c r="E4479">
        <v>0.93232588128107596</v>
      </c>
      <c r="F4479">
        <v>0.80617628656695794</v>
      </c>
      <c r="G4479">
        <v>0.98858712581935404</v>
      </c>
      <c r="H4479">
        <v>0.97743192434092396</v>
      </c>
      <c r="I4479">
        <v>0.87468113371675005</v>
      </c>
      <c r="J4479">
        <v>0.70834498558097703</v>
      </c>
      <c r="K4479">
        <v>0.50112125332336699</v>
      </c>
      <c r="L4479">
        <v>1590.82305451672</v>
      </c>
      <c r="M4479">
        <v>23.084394298623401</v>
      </c>
      <c r="O4479">
        <v>68.402471395954706</v>
      </c>
      <c r="P4479">
        <v>-7.1616127756956902E-2</v>
      </c>
      <c r="Q4479">
        <v>0.15117920602547599</v>
      </c>
      <c r="R4479">
        <v>0.79906886499281005</v>
      </c>
      <c r="S4479" t="s">
        <v>11095</v>
      </c>
      <c r="T4479" t="s">
        <v>13232</v>
      </c>
      <c r="U4479" t="s">
        <v>13232</v>
      </c>
      <c r="V4479" t="s">
        <v>13232</v>
      </c>
      <c r="W4479" t="s">
        <v>17648</v>
      </c>
      <c r="X4479">
        <v>5</v>
      </c>
      <c r="Y4479" t="s">
        <v>24066</v>
      </c>
      <c r="Z4479" t="s">
        <v>30610</v>
      </c>
      <c r="AA4479">
        <v>0.92999295723141218</v>
      </c>
      <c r="AB4479" t="str">
        <f>HYPERLINK("Melting_Curves/meltCurve_Q8NDV7_2_TNRC6A.pdf", "Melting_Curves/meltCurve_Q8NDV7_2_TNRC6A.pdf")</f>
        <v>Melting_Curves/meltCurve_Q8NDV7_2_TNRC6A.pdf</v>
      </c>
    </row>
    <row r="4480" spans="1:28" x14ac:dyDescent="0.25">
      <c r="A4480" t="s">
        <v>4483</v>
      </c>
      <c r="B4480">
        <v>0.99930955844802105</v>
      </c>
      <c r="C4480">
        <v>1.2050965690248701</v>
      </c>
      <c r="D4480">
        <v>1.0267294734118599</v>
      </c>
      <c r="E4480">
        <v>0.805885410409657</v>
      </c>
      <c r="F4480">
        <v>0.721302252775331</v>
      </c>
      <c r="G4480">
        <v>0.60171757390078295</v>
      </c>
      <c r="H4480">
        <v>0.76016043971334502</v>
      </c>
      <c r="I4480">
        <v>0.74945699126813803</v>
      </c>
      <c r="J4480">
        <v>0.75788399891798797</v>
      </c>
      <c r="K4480">
        <v>0.63646983891745501</v>
      </c>
      <c r="L4480">
        <v>3943.4091425459301</v>
      </c>
      <c r="M4480">
        <v>79.504472530732798</v>
      </c>
      <c r="O4480">
        <v>49.568486182347101</v>
      </c>
      <c r="P4480">
        <v>-0.118641638436497</v>
      </c>
      <c r="Q4480">
        <v>0.70412303077320204</v>
      </c>
      <c r="R4480">
        <v>0.79722086284349203</v>
      </c>
      <c r="S4480" t="s">
        <v>11096</v>
      </c>
      <c r="T4480" t="s">
        <v>13232</v>
      </c>
      <c r="U4480" t="s">
        <v>13232</v>
      </c>
      <c r="V4480" t="s">
        <v>13232</v>
      </c>
      <c r="W4480" t="s">
        <v>17649</v>
      </c>
      <c r="X4480">
        <v>5</v>
      </c>
      <c r="Y4480" t="s">
        <v>24067</v>
      </c>
      <c r="Z4480" t="s">
        <v>30611</v>
      </c>
      <c r="AA4480">
        <v>0.79905724965346159</v>
      </c>
      <c r="AB4480" t="str">
        <f>HYPERLINK("Melting_Curves/meltCurve_Q8NDX1_PSD4.pdf", "Melting_Curves/meltCurve_Q8NDX1_PSD4.pdf")</f>
        <v>Melting_Curves/meltCurve_Q8NDX1_PSD4.pdf</v>
      </c>
    </row>
    <row r="4481" spans="1:28" x14ac:dyDescent="0.25">
      <c r="A4481" t="s">
        <v>4484</v>
      </c>
      <c r="B4481">
        <v>0.99930955844802105</v>
      </c>
      <c r="C4481">
        <v>1.11445472037489</v>
      </c>
      <c r="D4481">
        <v>1.1968752982411901</v>
      </c>
      <c r="E4481">
        <v>1.0836919911334499</v>
      </c>
      <c r="F4481">
        <v>0.92483595965901499</v>
      </c>
      <c r="G4481">
        <v>0.79450258964698794</v>
      </c>
      <c r="H4481">
        <v>0.787063473538966</v>
      </c>
      <c r="I4481">
        <v>0.87563875090554999</v>
      </c>
      <c r="J4481">
        <v>0.91563389393124395</v>
      </c>
      <c r="K4481">
        <v>0.72068894630480695</v>
      </c>
      <c r="L4481">
        <v>13268.284872596099</v>
      </c>
      <c r="M4481">
        <v>250</v>
      </c>
      <c r="O4481">
        <v>53.069743319066198</v>
      </c>
      <c r="P4481">
        <v>-0.21350969291158201</v>
      </c>
      <c r="Q4481">
        <v>0.81870552716760203</v>
      </c>
      <c r="R4481">
        <v>0.62099507860620096</v>
      </c>
      <c r="S4481" t="s">
        <v>11097</v>
      </c>
      <c r="T4481" t="s">
        <v>13232</v>
      </c>
      <c r="U4481" t="s">
        <v>13232</v>
      </c>
      <c r="V4481" t="s">
        <v>13232</v>
      </c>
      <c r="W4481" t="s">
        <v>17650</v>
      </c>
      <c r="X4481">
        <v>9</v>
      </c>
      <c r="Y4481" t="s">
        <v>24068</v>
      </c>
      <c r="Z4481" t="s">
        <v>30612</v>
      </c>
      <c r="AA4481">
        <v>0.89772534446662133</v>
      </c>
      <c r="AB4481" t="str">
        <f>HYPERLINK("Melting_Curves/meltCurve_Q8NDX5_7_PHC3.pdf", "Melting_Curves/meltCurve_Q8NDX5_7_PHC3.pdf")</f>
        <v>Melting_Curves/meltCurve_Q8NDX5_7_PHC3.pdf</v>
      </c>
    </row>
    <row r="4482" spans="1:28" x14ac:dyDescent="0.25">
      <c r="A4482" t="s">
        <v>4485</v>
      </c>
      <c r="B4482">
        <v>0.99930955844802105</v>
      </c>
      <c r="C4482">
        <v>1.5345716285390201</v>
      </c>
      <c r="D4482">
        <v>1.1641820351021199</v>
      </c>
      <c r="E4482">
        <v>0.86170346812270904</v>
      </c>
      <c r="F4482">
        <v>0.85655129628522597</v>
      </c>
      <c r="G4482">
        <v>0.76121106854113996</v>
      </c>
      <c r="H4482">
        <v>0.78148224792987298</v>
      </c>
      <c r="I4482">
        <v>0.83515136647671195</v>
      </c>
      <c r="J4482">
        <v>0.80098552566980397</v>
      </c>
      <c r="K4482">
        <v>0.62045977443063705</v>
      </c>
      <c r="L4482">
        <v>1973.4592364370201</v>
      </c>
      <c r="M4482">
        <v>39.057333060171899</v>
      </c>
      <c r="O4482">
        <v>50.3953401743195</v>
      </c>
      <c r="P4482">
        <v>-4.5264330290052002E-2</v>
      </c>
      <c r="Q4482">
        <v>0.76638389323621103</v>
      </c>
      <c r="R4482">
        <v>0.427112973366227</v>
      </c>
      <c r="S4482" t="s">
        <v>11098</v>
      </c>
      <c r="T4482" t="s">
        <v>13232</v>
      </c>
      <c r="U4482" t="s">
        <v>13232</v>
      </c>
      <c r="V4482" t="s">
        <v>13232</v>
      </c>
      <c r="W4482" t="s">
        <v>17651</v>
      </c>
      <c r="X4482">
        <v>2</v>
      </c>
      <c r="Y4482" t="s">
        <v>24069</v>
      </c>
      <c r="Z4482" t="s">
        <v>30613</v>
      </c>
      <c r="AA4482">
        <v>0.84921786790149034</v>
      </c>
      <c r="AB4482" t="str">
        <f>HYPERLINK("Melting_Curves/meltCurve_Q8NDX6_ZNF740.pdf", "Melting_Curves/meltCurve_Q8NDX6_ZNF740.pdf")</f>
        <v>Melting_Curves/meltCurve_Q8NDX6_ZNF740.pdf</v>
      </c>
    </row>
    <row r="4483" spans="1:28" x14ac:dyDescent="0.25">
      <c r="A4483" t="s">
        <v>4486</v>
      </c>
      <c r="B4483">
        <v>0.99930955844802105</v>
      </c>
      <c r="C4483">
        <v>0.86079724679944702</v>
      </c>
      <c r="D4483">
        <v>0.67994309996684599</v>
      </c>
      <c r="E4483">
        <v>0.40636044675426702</v>
      </c>
      <c r="F4483">
        <v>0.28361742613018498</v>
      </c>
      <c r="G4483">
        <v>0.24029149220701199</v>
      </c>
      <c r="H4483">
        <v>0.20049724240569899</v>
      </c>
      <c r="I4483">
        <v>0.22135095550063599</v>
      </c>
      <c r="J4483">
        <v>0.196201601359135</v>
      </c>
      <c r="K4483">
        <v>0.159521065187335</v>
      </c>
      <c r="L4483">
        <v>824.136262155807</v>
      </c>
      <c r="M4483">
        <v>17.496074505536601</v>
      </c>
      <c r="N4483">
        <v>48.418078119975902</v>
      </c>
      <c r="O4483">
        <v>46.501629846739903</v>
      </c>
      <c r="P4483">
        <v>-7.6287939717129105E-2</v>
      </c>
      <c r="Q4483">
        <v>0.18900256311083399</v>
      </c>
      <c r="R4483">
        <v>0.99614189173092405</v>
      </c>
      <c r="S4483" t="s">
        <v>11099</v>
      </c>
      <c r="T4483" t="s">
        <v>13232</v>
      </c>
      <c r="U4483" t="s">
        <v>13232</v>
      </c>
      <c r="V4483" t="s">
        <v>13232</v>
      </c>
      <c r="W4483" t="s">
        <v>17652</v>
      </c>
      <c r="X4483">
        <v>40</v>
      </c>
      <c r="Y4483" t="s">
        <v>24070</v>
      </c>
      <c r="Z4483" t="s">
        <v>30614</v>
      </c>
      <c r="AA4483">
        <v>0.39687880178621121</v>
      </c>
      <c r="AB4483" t="str">
        <f>HYPERLINK("Melting_Curves/meltCurve_Q8NE71_ABCF1.pdf", "Melting_Curves/meltCurve_Q8NE71_ABCF1.pdf")</f>
        <v>Melting_Curves/meltCurve_Q8NE71_ABCF1.pdf</v>
      </c>
    </row>
    <row r="4484" spans="1:28" x14ac:dyDescent="0.25">
      <c r="A4484" t="s">
        <v>4487</v>
      </c>
      <c r="B4484">
        <v>0.99930955844802105</v>
      </c>
      <c r="C4484">
        <v>0.82565048021236098</v>
      </c>
      <c r="D4484">
        <v>0.77843380925449601</v>
      </c>
      <c r="E4484">
        <v>0.57088481033051097</v>
      </c>
      <c r="F4484">
        <v>0.26612006223921902</v>
      </c>
      <c r="G4484">
        <v>0.139328892861311</v>
      </c>
      <c r="H4484">
        <v>7.3275717373062502E-2</v>
      </c>
      <c r="I4484">
        <v>6.6421825259151399E-2</v>
      </c>
      <c r="J4484">
        <v>5.34726865058218E-2</v>
      </c>
      <c r="K4484">
        <v>4.2425473349245998E-2</v>
      </c>
      <c r="L4484">
        <v>702.22741617085899</v>
      </c>
      <c r="M4484">
        <v>14.0730102496293</v>
      </c>
      <c r="N4484">
        <v>50.003594000861398</v>
      </c>
      <c r="O4484">
        <v>48.923733077258397</v>
      </c>
      <c r="P4484">
        <v>-7.0877967868414493E-2</v>
      </c>
      <c r="Q4484">
        <v>1.45206636099192E-2</v>
      </c>
      <c r="R4484">
        <v>0.98707439599415203</v>
      </c>
      <c r="S4484" t="s">
        <v>11100</v>
      </c>
      <c r="T4484" t="s">
        <v>13232</v>
      </c>
      <c r="U4484" t="s">
        <v>13232</v>
      </c>
      <c r="V4484" t="s">
        <v>13232</v>
      </c>
      <c r="W4484" t="s">
        <v>17653</v>
      </c>
      <c r="X4484">
        <v>20</v>
      </c>
      <c r="Y4484" t="s">
        <v>24071</v>
      </c>
      <c r="Z4484" t="s">
        <v>30615</v>
      </c>
      <c r="AA4484">
        <v>0.36606355498131249</v>
      </c>
      <c r="AB4484" t="str">
        <f>HYPERLINK("Melting_Curves/meltCurve_Q8NEB9_PIK3C3.pdf", "Melting_Curves/meltCurve_Q8NEB9_PIK3C3.pdf")</f>
        <v>Melting_Curves/meltCurve_Q8NEB9_PIK3C3.pdf</v>
      </c>
    </row>
    <row r="4485" spans="1:28" x14ac:dyDescent="0.25">
      <c r="A4485" t="s">
        <v>4488</v>
      </c>
      <c r="B4485">
        <v>0.99930955844802105</v>
      </c>
      <c r="C4485">
        <v>1.0076092447385401</v>
      </c>
      <c r="D4485">
        <v>0.80157122459314301</v>
      </c>
      <c r="E4485">
        <v>0.40207523260724498</v>
      </c>
      <c r="F4485">
        <v>0.21486141519454699</v>
      </c>
      <c r="G4485">
        <v>0.14718934782794399</v>
      </c>
      <c r="H4485">
        <v>8.8279274989971804E-2</v>
      </c>
      <c r="I4485">
        <v>7.7226665340717704E-2</v>
      </c>
      <c r="J4485">
        <v>6.9315288363886396E-2</v>
      </c>
      <c r="K4485">
        <v>5.4726480509820499E-2</v>
      </c>
      <c r="L4485">
        <v>1102.13775155904</v>
      </c>
      <c r="M4485">
        <v>22.599105818373101</v>
      </c>
      <c r="N4485">
        <v>49.1315593498231</v>
      </c>
      <c r="O4485">
        <v>48.392052380665497</v>
      </c>
      <c r="P4485">
        <v>-0.10778768562152</v>
      </c>
      <c r="Q4485">
        <v>7.6784571127636994E-2</v>
      </c>
      <c r="R4485">
        <v>0.99678570028480695</v>
      </c>
      <c r="S4485" t="s">
        <v>11101</v>
      </c>
      <c r="T4485" t="s">
        <v>13232</v>
      </c>
      <c r="U4485" t="s">
        <v>13232</v>
      </c>
      <c r="V4485" t="s">
        <v>13232</v>
      </c>
      <c r="W4485" t="s">
        <v>17654</v>
      </c>
      <c r="X4485">
        <v>17</v>
      </c>
      <c r="Y4485" t="s">
        <v>24072</v>
      </c>
      <c r="Z4485" t="s">
        <v>30616</v>
      </c>
      <c r="AA4485">
        <v>0.35671642168801881</v>
      </c>
      <c r="AB4485" t="str">
        <f>HYPERLINK("Melting_Curves/meltCurve_Q8NEC7_GSTCD.pdf", "Melting_Curves/meltCurve_Q8NEC7_GSTCD.pdf")</f>
        <v>Melting_Curves/meltCurve_Q8NEC7_GSTCD.pdf</v>
      </c>
    </row>
    <row r="4486" spans="1:28" x14ac:dyDescent="0.25">
      <c r="A4486" t="s">
        <v>4489</v>
      </c>
      <c r="B4486">
        <v>0.99930955844802105</v>
      </c>
      <c r="C4486">
        <v>1.2766401737223301</v>
      </c>
      <c r="D4486">
        <v>1.2593306342760899</v>
      </c>
      <c r="E4486">
        <v>1.3149919080232499</v>
      </c>
      <c r="F4486">
        <v>1.2315166759184</v>
      </c>
      <c r="G4486">
        <v>1.1327845718551299</v>
      </c>
      <c r="H4486">
        <v>1.1494282906889199</v>
      </c>
      <c r="I4486">
        <v>1.0859106740693301</v>
      </c>
      <c r="J4486">
        <v>1.1687817128418201</v>
      </c>
      <c r="K4486">
        <v>0.93767613809053696</v>
      </c>
      <c r="L4486">
        <v>10254.808362063801</v>
      </c>
      <c r="M4486">
        <v>250</v>
      </c>
      <c r="O4486">
        <v>41.0165977906547</v>
      </c>
      <c r="P4486">
        <v>0.26362293597324898</v>
      </c>
      <c r="Q4486">
        <v>1.17300670003964</v>
      </c>
      <c r="R4486">
        <v>0.20249668918601299</v>
      </c>
      <c r="S4486" t="s">
        <v>11102</v>
      </c>
      <c r="T4486" t="s">
        <v>13232</v>
      </c>
      <c r="U4486" t="s">
        <v>13232</v>
      </c>
      <c r="V4486" t="s">
        <v>13232</v>
      </c>
      <c r="W4486" t="s">
        <v>17655</v>
      </c>
      <c r="X4486">
        <v>5</v>
      </c>
      <c r="Y4486" t="s">
        <v>24073</v>
      </c>
      <c r="Z4486" t="s">
        <v>30617</v>
      </c>
      <c r="AA4486">
        <v>1.1671149113837089</v>
      </c>
      <c r="AB4486" t="str">
        <f>HYPERLINK("Melting_Curves/meltCurve_Q8NEF9_SRFBP1.pdf", "Melting_Curves/meltCurve_Q8NEF9_SRFBP1.pdf")</f>
        <v>Melting_Curves/meltCurve_Q8NEF9_SRFBP1.pdf</v>
      </c>
    </row>
    <row r="4487" spans="1:28" x14ac:dyDescent="0.25">
      <c r="A4487" t="s">
        <v>4490</v>
      </c>
      <c r="B4487">
        <v>0.99930955844802105</v>
      </c>
      <c r="C4487">
        <v>1.01545100367657</v>
      </c>
      <c r="D4487">
        <v>0.931476066879103</v>
      </c>
      <c r="E4487">
        <v>0.64700194754322804</v>
      </c>
      <c r="F4487">
        <v>0.40777439206214</v>
      </c>
      <c r="G4487">
        <v>0.27047877857194902</v>
      </c>
      <c r="H4487">
        <v>0.20097903678940701</v>
      </c>
      <c r="I4487">
        <v>0.18830106517963999</v>
      </c>
      <c r="J4487">
        <v>0.18540908744563001</v>
      </c>
      <c r="K4487">
        <v>0.14668124054425799</v>
      </c>
      <c r="L4487">
        <v>1091.4921788154199</v>
      </c>
      <c r="M4487">
        <v>21.490453542093199</v>
      </c>
      <c r="N4487">
        <v>51.824306781251103</v>
      </c>
      <c r="O4487">
        <v>50.355993413402601</v>
      </c>
      <c r="P4487">
        <v>-8.8083424403211194E-2</v>
      </c>
      <c r="Q4487">
        <v>0.17443919221470899</v>
      </c>
      <c r="R4487">
        <v>0.99769527002276204</v>
      </c>
      <c r="S4487" t="s">
        <v>11103</v>
      </c>
      <c r="T4487" t="s">
        <v>13232</v>
      </c>
      <c r="U4487" t="s">
        <v>13232</v>
      </c>
      <c r="V4487" t="s">
        <v>13232</v>
      </c>
      <c r="W4487" t="s">
        <v>17656</v>
      </c>
      <c r="X4487">
        <v>9</v>
      </c>
      <c r="Y4487" t="s">
        <v>24074</v>
      </c>
      <c r="Z4487" t="s">
        <v>30618</v>
      </c>
      <c r="AA4487">
        <v>0.48135328384675258</v>
      </c>
      <c r="AB4487" t="str">
        <f>HYPERLINK("Melting_Curves/meltCurve_Q8NEJ9_2_NGDN.pdf", "Melting_Curves/meltCurve_Q8NEJ9_2_NGDN.pdf")</f>
        <v>Melting_Curves/meltCurve_Q8NEJ9_2_NGDN.pdf</v>
      </c>
    </row>
    <row r="4488" spans="1:28" x14ac:dyDescent="0.25">
      <c r="A4488" t="s">
        <v>4491</v>
      </c>
      <c r="B4488">
        <v>0.99930955844802105</v>
      </c>
      <c r="C4488">
        <v>1.11885037036374</v>
      </c>
      <c r="D4488">
        <v>1.0779193590798599</v>
      </c>
      <c r="E4488">
        <v>1.05477755879547</v>
      </c>
      <c r="F4488">
        <v>0.87212091390582003</v>
      </c>
      <c r="G4488">
        <v>0.84276079082274802</v>
      </c>
      <c r="H4488">
        <v>0.82857329164165205</v>
      </c>
      <c r="I4488">
        <v>0.82787781555474405</v>
      </c>
      <c r="J4488">
        <v>0.87233759964618696</v>
      </c>
      <c r="K4488">
        <v>0.81533433767248698</v>
      </c>
      <c r="L4488">
        <v>13180.937972789099</v>
      </c>
      <c r="M4488">
        <v>250</v>
      </c>
      <c r="O4488">
        <v>52.720377945746101</v>
      </c>
      <c r="P4488">
        <v>-0.19278988116989701</v>
      </c>
      <c r="Q4488">
        <v>0.83737671387745904</v>
      </c>
      <c r="R4488">
        <v>0.80086382468776796</v>
      </c>
      <c r="S4488" t="s">
        <v>11104</v>
      </c>
      <c r="T4488" t="s">
        <v>13232</v>
      </c>
      <c r="U4488" t="s">
        <v>13232</v>
      </c>
      <c r="V4488" t="s">
        <v>13232</v>
      </c>
      <c r="W4488" t="s">
        <v>17657</v>
      </c>
      <c r="X4488">
        <v>1</v>
      </c>
      <c r="Y4488" t="s">
        <v>24075</v>
      </c>
      <c r="Z4488" t="s">
        <v>30619</v>
      </c>
      <c r="AA4488">
        <v>0.90636437278495707</v>
      </c>
      <c r="AB4488" t="str">
        <f>HYPERLINK("Melting_Curves/meltCurve_Q8NEM0_2_MCPH1.pdf", "Melting_Curves/meltCurve_Q8NEM0_2_MCPH1.pdf")</f>
        <v>Melting_Curves/meltCurve_Q8NEM0_2_MCPH1.pdf</v>
      </c>
    </row>
    <row r="4489" spans="1:28" x14ac:dyDescent="0.25">
      <c r="A4489" t="s">
        <v>4492</v>
      </c>
      <c r="B4489">
        <v>0.99930955844802105</v>
      </c>
      <c r="C4489">
        <v>0.69707305667613595</v>
      </c>
      <c r="D4489">
        <v>0.50926187298673598</v>
      </c>
      <c r="E4489">
        <v>0.41841887990141902</v>
      </c>
      <c r="F4489">
        <v>0.261813371692667</v>
      </c>
      <c r="G4489">
        <v>0.176992807242905</v>
      </c>
      <c r="H4489">
        <v>0.11595358616479801</v>
      </c>
      <c r="I4489">
        <v>0.105394548613834</v>
      </c>
      <c r="J4489">
        <v>9.8442721883582607E-2</v>
      </c>
      <c r="K4489">
        <v>7.5539484176154095E-2</v>
      </c>
      <c r="L4489">
        <v>550.03780596819502</v>
      </c>
      <c r="M4489">
        <v>11.8048083033809</v>
      </c>
      <c r="N4489">
        <v>47.222392653019597</v>
      </c>
      <c r="O4489">
        <v>45.317595528075103</v>
      </c>
      <c r="P4489">
        <v>-6.0407390770786398E-2</v>
      </c>
      <c r="Q4489">
        <v>7.2644091060924398E-2</v>
      </c>
      <c r="R4489">
        <v>0.971791671178309</v>
      </c>
      <c r="S4489" t="s">
        <v>11105</v>
      </c>
      <c r="T4489" t="s">
        <v>13232</v>
      </c>
      <c r="U4489" t="s">
        <v>13232</v>
      </c>
      <c r="V4489" t="s">
        <v>13232</v>
      </c>
      <c r="W4489" t="s">
        <v>17658</v>
      </c>
      <c r="X4489">
        <v>5</v>
      </c>
      <c r="Y4489" t="s">
        <v>24076</v>
      </c>
      <c r="Z4489" t="s">
        <v>30620</v>
      </c>
      <c r="AA4489">
        <v>0.31788684620798502</v>
      </c>
      <c r="AB4489" t="str">
        <f>HYPERLINK("Melting_Curves/meltCurve_Q8NEM2_SHCBP1.pdf", "Melting_Curves/meltCurve_Q8NEM2_SHCBP1.pdf")</f>
        <v>Melting_Curves/meltCurve_Q8NEM2_SHCBP1.pdf</v>
      </c>
    </row>
    <row r="4490" spans="1:28" x14ac:dyDescent="0.25">
      <c r="A4490" t="s">
        <v>4493</v>
      </c>
      <c r="B4490">
        <v>0.99930955844802105</v>
      </c>
      <c r="C4490">
        <v>0.88664880110279998</v>
      </c>
      <c r="D4490">
        <v>0.89531858633799599</v>
      </c>
      <c r="E4490">
        <v>0.76692706300914204</v>
      </c>
      <c r="F4490">
        <v>0.55388875492400502</v>
      </c>
      <c r="G4490">
        <v>0.34936405493932499</v>
      </c>
      <c r="H4490">
        <v>0.18806737056339401</v>
      </c>
      <c r="I4490">
        <v>0.15495930555690601</v>
      </c>
      <c r="J4490">
        <v>0.128049947209988</v>
      </c>
      <c r="K4490">
        <v>0.105521649657283</v>
      </c>
      <c r="L4490">
        <v>697.86500470438</v>
      </c>
      <c r="M4490">
        <v>13.031887263417801</v>
      </c>
      <c r="N4490">
        <v>54.025922779064103</v>
      </c>
      <c r="O4490">
        <v>52.336673080813298</v>
      </c>
      <c r="P4490">
        <v>-5.8888807405449002E-2</v>
      </c>
      <c r="Q4490">
        <v>5.4164629007861197E-2</v>
      </c>
      <c r="R4490">
        <v>0.99287055284707404</v>
      </c>
      <c r="S4490" t="s">
        <v>11106</v>
      </c>
      <c r="T4490" t="s">
        <v>13232</v>
      </c>
      <c r="U4490" t="s">
        <v>13232</v>
      </c>
      <c r="V4490" t="s">
        <v>13232</v>
      </c>
      <c r="W4490" t="s">
        <v>17659</v>
      </c>
      <c r="X4490">
        <v>3</v>
      </c>
      <c r="Y4490" t="s">
        <v>24077</v>
      </c>
      <c r="Z4490" t="s">
        <v>30621</v>
      </c>
      <c r="AA4490">
        <v>0.50494794787257413</v>
      </c>
      <c r="AB4490" t="str">
        <f>HYPERLINK("Melting_Curves/meltCurve_Q8NEN9_PDZD8.pdf", "Melting_Curves/meltCurve_Q8NEN9_PDZD8.pdf")</f>
        <v>Melting_Curves/meltCurve_Q8NEN9_PDZD8.pdf</v>
      </c>
    </row>
    <row r="4491" spans="1:28" x14ac:dyDescent="0.25">
      <c r="A4491" t="s">
        <v>4494</v>
      </c>
      <c r="B4491">
        <v>0.99930955844802105</v>
      </c>
      <c r="C4491">
        <v>1.0463447621046</v>
      </c>
      <c r="D4491">
        <v>0.85106712362393599</v>
      </c>
      <c r="E4491">
        <v>0.46061838016308598</v>
      </c>
      <c r="F4491">
        <v>0.32121396552980103</v>
      </c>
      <c r="G4491">
        <v>0.17717724409639299</v>
      </c>
      <c r="H4491">
        <v>0.105406275954727</v>
      </c>
      <c r="I4491">
        <v>9.0820993923401899E-2</v>
      </c>
      <c r="J4491">
        <v>8.4955002764220494E-2</v>
      </c>
      <c r="K4491">
        <v>6.1361184841870503E-2</v>
      </c>
      <c r="L4491">
        <v>1011.69012414449</v>
      </c>
      <c r="M4491">
        <v>20.3840621371927</v>
      </c>
      <c r="N4491">
        <v>50.094002097065697</v>
      </c>
      <c r="O4491">
        <v>49.161154166742598</v>
      </c>
      <c r="P4491">
        <v>-9.4769593283845002E-2</v>
      </c>
      <c r="Q4491">
        <v>8.5787091794037998E-2</v>
      </c>
      <c r="R4491">
        <v>0.99140644394234201</v>
      </c>
      <c r="S4491" t="s">
        <v>11107</v>
      </c>
      <c r="T4491" t="s">
        <v>13232</v>
      </c>
      <c r="U4491" t="s">
        <v>13232</v>
      </c>
      <c r="V4491" t="s">
        <v>13232</v>
      </c>
      <c r="W4491" t="s">
        <v>17660</v>
      </c>
      <c r="X4491">
        <v>7</v>
      </c>
      <c r="Y4491" t="s">
        <v>24078</v>
      </c>
      <c r="Z4491" t="s">
        <v>30622</v>
      </c>
      <c r="AA4491">
        <v>0.39156920056425681</v>
      </c>
      <c r="AB4491" t="str">
        <f>HYPERLINK("Melting_Curves/meltCurve_Q8NEU8_2_APPL2.pdf", "Melting_Curves/meltCurve_Q8NEU8_2_APPL2.pdf")</f>
        <v>Melting_Curves/meltCurve_Q8NEU8_2_APPL2.pdf</v>
      </c>
    </row>
    <row r="4492" spans="1:28" x14ac:dyDescent="0.25">
      <c r="A4492" t="s">
        <v>4495</v>
      </c>
      <c r="B4492">
        <v>0.99930955844802105</v>
      </c>
      <c r="C4492">
        <v>0.99953092717872405</v>
      </c>
      <c r="D4492">
        <v>0.96822301485784601</v>
      </c>
      <c r="E4492">
        <v>0.90263458971654997</v>
      </c>
      <c r="F4492">
        <v>0.76469682204289802</v>
      </c>
      <c r="G4492">
        <v>0.663959977238893</v>
      </c>
      <c r="H4492">
        <v>0.63121410183061899</v>
      </c>
      <c r="I4492">
        <v>0.65607917455244602</v>
      </c>
      <c r="J4492">
        <v>0.614646524485986</v>
      </c>
      <c r="K4492">
        <v>0.50579105038051897</v>
      </c>
      <c r="L4492">
        <v>838.49080208855003</v>
      </c>
      <c r="M4492">
        <v>15.807403840168099</v>
      </c>
      <c r="O4492">
        <v>52.217033632466801</v>
      </c>
      <c r="P4492">
        <v>-3.2400939800836401E-2</v>
      </c>
      <c r="Q4492">
        <v>0.57191158272031195</v>
      </c>
      <c r="R4492">
        <v>0.96293569685913205</v>
      </c>
      <c r="S4492" t="s">
        <v>11108</v>
      </c>
      <c r="T4492" t="s">
        <v>13232</v>
      </c>
      <c r="U4492" t="s">
        <v>13232</v>
      </c>
      <c r="V4492" t="s">
        <v>13232</v>
      </c>
      <c r="W4492" t="s">
        <v>17661</v>
      </c>
      <c r="X4492">
        <v>37</v>
      </c>
      <c r="Y4492" t="s">
        <v>24079</v>
      </c>
      <c r="Z4492" t="s">
        <v>30623</v>
      </c>
      <c r="AA4492">
        <v>0.7665832930576999</v>
      </c>
      <c r="AB4492" t="str">
        <f>HYPERLINK("Melting_Curves/meltCurve_Q8NEY1_2_NAV1.pdf", "Melting_Curves/meltCurve_Q8NEY1_2_NAV1.pdf")</f>
        <v>Melting_Curves/meltCurve_Q8NEY1_2_NAV1.pdf</v>
      </c>
    </row>
    <row r="4493" spans="1:28" x14ac:dyDescent="0.25">
      <c r="A4493" t="s">
        <v>4496</v>
      </c>
      <c r="B4493">
        <v>0.99930955844802105</v>
      </c>
      <c r="C4493">
        <v>0.86341857283283796</v>
      </c>
      <c r="D4493">
        <v>0.75269368276860105</v>
      </c>
      <c r="E4493">
        <v>0.58644356650281004</v>
      </c>
      <c r="F4493">
        <v>0.30070539718206302</v>
      </c>
      <c r="G4493">
        <v>0.212358112027903</v>
      </c>
      <c r="H4493">
        <v>0.173018186828718</v>
      </c>
      <c r="I4493">
        <v>0.14739970433897101</v>
      </c>
      <c r="J4493">
        <v>0.15073742755092601</v>
      </c>
      <c r="K4493">
        <v>9.0861230152490702E-2</v>
      </c>
      <c r="L4493">
        <v>683.41159969203795</v>
      </c>
      <c r="M4493">
        <v>13.810732375106699</v>
      </c>
      <c r="N4493">
        <v>50.297678877457301</v>
      </c>
      <c r="O4493">
        <v>48.481217680623303</v>
      </c>
      <c r="P4493">
        <v>-6.4097052361187207E-2</v>
      </c>
      <c r="Q4493">
        <v>0.100099984263534</v>
      </c>
      <c r="R4493">
        <v>0.988100859518945</v>
      </c>
      <c r="S4493" t="s">
        <v>11109</v>
      </c>
      <c r="T4493" t="s">
        <v>13232</v>
      </c>
      <c r="U4493" t="s">
        <v>13232</v>
      </c>
      <c r="V4493" t="s">
        <v>13232</v>
      </c>
      <c r="W4493" t="s">
        <v>17662</v>
      </c>
      <c r="X4493">
        <v>15</v>
      </c>
      <c r="Y4493" t="s">
        <v>24080</v>
      </c>
      <c r="Z4493" t="s">
        <v>30624</v>
      </c>
      <c r="AA4493">
        <v>0.40990932539879599</v>
      </c>
      <c r="AB4493" t="str">
        <f>HYPERLINK("Melting_Curves/meltCurve_Q8NEY8_PPHLN1.pdf", "Melting_Curves/meltCurve_Q8NEY8_PPHLN1.pdf")</f>
        <v>Melting_Curves/meltCurve_Q8NEY8_PPHLN1.pdf</v>
      </c>
    </row>
    <row r="4494" spans="1:28" x14ac:dyDescent="0.25">
      <c r="A4494" t="s">
        <v>4497</v>
      </c>
      <c r="B4494">
        <v>0.99930955844802105</v>
      </c>
      <c r="C4494">
        <v>1.1202816685555099</v>
      </c>
      <c r="D4494">
        <v>1.08029311318859</v>
      </c>
      <c r="E4494">
        <v>1.06969562597042</v>
      </c>
      <c r="F4494">
        <v>0.95527850499544797</v>
      </c>
      <c r="G4494">
        <v>0.83405225838473296</v>
      </c>
      <c r="H4494">
        <v>0.86098584659393795</v>
      </c>
      <c r="I4494">
        <v>0.93993803102986695</v>
      </c>
      <c r="J4494">
        <v>0.91653024292158602</v>
      </c>
      <c r="K4494">
        <v>0.77878817141564105</v>
      </c>
      <c r="L4494">
        <v>13286.6043379438</v>
      </c>
      <c r="M4494">
        <v>250</v>
      </c>
      <c r="O4494">
        <v>53.143007443056298</v>
      </c>
      <c r="P4494">
        <v>-0.157524333668873</v>
      </c>
      <c r="Q4494">
        <v>0.86605890830466903</v>
      </c>
      <c r="R4494">
        <v>0.62884146108272998</v>
      </c>
      <c r="S4494" t="s">
        <v>11110</v>
      </c>
      <c r="T4494" t="s">
        <v>13232</v>
      </c>
      <c r="U4494" t="s">
        <v>13232</v>
      </c>
      <c r="V4494" t="s">
        <v>13232</v>
      </c>
      <c r="W4494" t="s">
        <v>17663</v>
      </c>
      <c r="X4494">
        <v>16</v>
      </c>
      <c r="Y4494" t="s">
        <v>24080</v>
      </c>
      <c r="Z4494" t="s">
        <v>30625</v>
      </c>
      <c r="AA4494">
        <v>0.92476625087499675</v>
      </c>
      <c r="AB4494" t="str">
        <f>HYPERLINK("Melting_Curves/meltCurve_Q8NEY8_2_PPHLN1.pdf", "Melting_Curves/meltCurve_Q8NEY8_2_PPHLN1.pdf")</f>
        <v>Melting_Curves/meltCurve_Q8NEY8_2_PPHLN1.pdf</v>
      </c>
    </row>
    <row r="4495" spans="1:28" x14ac:dyDescent="0.25">
      <c r="A4495" t="s">
        <v>4498</v>
      </c>
      <c r="B4495">
        <v>0.99930955844802105</v>
      </c>
      <c r="C4495">
        <v>0.981113037403328</v>
      </c>
      <c r="D4495">
        <v>0.97214348683017304</v>
      </c>
      <c r="E4495">
        <v>1.08149565098413</v>
      </c>
      <c r="F4495">
        <v>0.90182863892656795</v>
      </c>
      <c r="G4495">
        <v>0.846324632011623</v>
      </c>
      <c r="H4495">
        <v>0.70741592140230503</v>
      </c>
      <c r="I4495">
        <v>0.82981111768392402</v>
      </c>
      <c r="J4495">
        <v>0.75667784725417597</v>
      </c>
      <c r="K4495">
        <v>0.61928894792151101</v>
      </c>
      <c r="L4495">
        <v>1179.14952568801</v>
      </c>
      <c r="M4495">
        <v>20.8349660537212</v>
      </c>
      <c r="O4495">
        <v>56.081099290442502</v>
      </c>
      <c r="P4495">
        <v>-2.73929823297091E-2</v>
      </c>
      <c r="Q4495">
        <v>0.70507530693062503</v>
      </c>
      <c r="R4495">
        <v>0.81451745299532297</v>
      </c>
      <c r="S4495" t="s">
        <v>11111</v>
      </c>
      <c r="T4495" t="s">
        <v>13232</v>
      </c>
      <c r="U4495" t="s">
        <v>13232</v>
      </c>
      <c r="V4495" t="s">
        <v>13232</v>
      </c>
      <c r="W4495" t="s">
        <v>17664</v>
      </c>
      <c r="X4495">
        <v>13</v>
      </c>
      <c r="Y4495" t="s">
        <v>24080</v>
      </c>
      <c r="Z4495" t="s">
        <v>30626</v>
      </c>
      <c r="AA4495">
        <v>0.87171976578617771</v>
      </c>
      <c r="AB4495" t="str">
        <f>HYPERLINK("Melting_Curves/meltCurve_Q8NEY8_3_PPHLN1.pdf", "Melting_Curves/meltCurve_Q8NEY8_3_PPHLN1.pdf")</f>
        <v>Melting_Curves/meltCurve_Q8NEY8_3_PPHLN1.pdf</v>
      </c>
    </row>
    <row r="4496" spans="1:28" x14ac:dyDescent="0.25">
      <c r="A4496" t="s">
        <v>4499</v>
      </c>
      <c r="B4496">
        <v>0.99930955844802105</v>
      </c>
      <c r="C4496">
        <v>1.1160271407056701</v>
      </c>
      <c r="D4496">
        <v>1.03302230619264</v>
      </c>
      <c r="E4496">
        <v>0.92596722286199795</v>
      </c>
      <c r="F4496">
        <v>0.55362946310112404</v>
      </c>
      <c r="G4496">
        <v>0.28287335923584001</v>
      </c>
      <c r="H4496">
        <v>0.16283976690903201</v>
      </c>
      <c r="I4496">
        <v>0.134546358152657</v>
      </c>
      <c r="J4496">
        <v>0.11607984575703</v>
      </c>
      <c r="K4496">
        <v>8.8381151106212294E-2</v>
      </c>
      <c r="L4496">
        <v>1515.5502262543</v>
      </c>
      <c r="M4496">
        <v>28.432591298857002</v>
      </c>
      <c r="N4496">
        <v>53.833328215352097</v>
      </c>
      <c r="O4496">
        <v>53.041688455633</v>
      </c>
      <c r="P4496">
        <v>-0.117650162846532</v>
      </c>
      <c r="Q4496">
        <v>0.12209019107940999</v>
      </c>
      <c r="R4496">
        <v>0.98676102748648098</v>
      </c>
      <c r="S4496" t="s">
        <v>11112</v>
      </c>
      <c r="T4496" t="s">
        <v>13232</v>
      </c>
      <c r="U4496" t="s">
        <v>13232</v>
      </c>
      <c r="V4496" t="s">
        <v>13232</v>
      </c>
      <c r="W4496" t="s">
        <v>17665</v>
      </c>
      <c r="X4496">
        <v>6</v>
      </c>
      <c r="Y4496" t="s">
        <v>24081</v>
      </c>
      <c r="Z4496" t="s">
        <v>30627</v>
      </c>
      <c r="AA4496">
        <v>0.51773703018239448</v>
      </c>
      <c r="AB4496" t="str">
        <f>HYPERLINK("Melting_Curves/meltCurve_Q8NEZ2_VPS37A.pdf", "Melting_Curves/meltCurve_Q8NEZ2_VPS37A.pdf")</f>
        <v>Melting_Curves/meltCurve_Q8NEZ2_VPS37A.pdf</v>
      </c>
    </row>
    <row r="4497" spans="1:28" x14ac:dyDescent="0.25">
      <c r="A4497" t="s">
        <v>4500</v>
      </c>
      <c r="B4497">
        <v>0.99930955844802105</v>
      </c>
      <c r="C4497">
        <v>0.94166464969010499</v>
      </c>
      <c r="D4497">
        <v>0.93942911408851903</v>
      </c>
      <c r="E4497">
        <v>0.87674270844000401</v>
      </c>
      <c r="F4497">
        <v>0.72262100219247305</v>
      </c>
      <c r="G4497">
        <v>0.56994245598897497</v>
      </c>
      <c r="H4497">
        <v>0.50767009512287098</v>
      </c>
      <c r="I4497">
        <v>0.49449831477491901</v>
      </c>
      <c r="J4497">
        <v>0.37743218403787498</v>
      </c>
      <c r="K4497">
        <v>0.36216525857056697</v>
      </c>
      <c r="L4497">
        <v>606.080704488842</v>
      </c>
      <c r="M4497">
        <v>10.933148685520999</v>
      </c>
      <c r="N4497">
        <v>60.858602964865703</v>
      </c>
      <c r="O4497">
        <v>53.6773400313906</v>
      </c>
      <c r="P4497">
        <v>-3.5082454869454001E-2</v>
      </c>
      <c r="Q4497">
        <v>0.31127520235531803</v>
      </c>
      <c r="R4497">
        <v>0.985770721505837</v>
      </c>
      <c r="S4497" t="s">
        <v>11113</v>
      </c>
      <c r="T4497" t="s">
        <v>13232</v>
      </c>
      <c r="U4497" t="s">
        <v>13232</v>
      </c>
      <c r="V4497" t="s">
        <v>13232</v>
      </c>
      <c r="W4497" t="s">
        <v>17666</v>
      </c>
      <c r="X4497">
        <v>18</v>
      </c>
      <c r="Y4497" t="s">
        <v>24082</v>
      </c>
      <c r="Z4497" t="s">
        <v>30628</v>
      </c>
      <c r="AA4497">
        <v>0.68160035903858351</v>
      </c>
      <c r="AB4497" t="str">
        <f>HYPERLINK("Melting_Curves/meltCurve_Q8NEZ4_MLL3.pdf", "Melting_Curves/meltCurve_Q8NEZ4_MLL3.pdf")</f>
        <v>Melting_Curves/meltCurve_Q8NEZ4_MLL3.pdf</v>
      </c>
    </row>
    <row r="4498" spans="1:28" x14ac:dyDescent="0.25">
      <c r="A4498" t="s">
        <v>4501</v>
      </c>
      <c r="B4498">
        <v>0.99930955844802105</v>
      </c>
      <c r="C4498">
        <v>1.02753031757798</v>
      </c>
      <c r="D4498">
        <v>1.0241824568803899</v>
      </c>
      <c r="E4498">
        <v>0.89534008771556295</v>
      </c>
      <c r="F4498">
        <v>0.55197891757505602</v>
      </c>
      <c r="G4498">
        <v>0.16741154987681001</v>
      </c>
      <c r="H4498">
        <v>9.3420315014121E-2</v>
      </c>
      <c r="I4498">
        <v>6.7564711702976399E-2</v>
      </c>
      <c r="J4498">
        <v>6.6668037624303497E-2</v>
      </c>
      <c r="K4498">
        <v>5.0679125338756001E-2</v>
      </c>
      <c r="L4498">
        <v>1702.2406346887401</v>
      </c>
      <c r="M4498">
        <v>32.012802733784198</v>
      </c>
      <c r="N4498">
        <v>53.405841134820001</v>
      </c>
      <c r="O4498">
        <v>52.967542041793003</v>
      </c>
      <c r="P4498">
        <v>-0.14128481069460899</v>
      </c>
      <c r="Q4498">
        <v>6.49401663588869E-2</v>
      </c>
      <c r="R4498">
        <v>0.998803304101335</v>
      </c>
      <c r="S4498" t="s">
        <v>11114</v>
      </c>
      <c r="T4498" t="s">
        <v>13232</v>
      </c>
      <c r="U4498" t="s">
        <v>13232</v>
      </c>
      <c r="V4498" t="s">
        <v>13232</v>
      </c>
      <c r="W4498" t="s">
        <v>17667</v>
      </c>
      <c r="X4498">
        <v>11</v>
      </c>
      <c r="Y4498" t="s">
        <v>24083</v>
      </c>
      <c r="Z4498" t="s">
        <v>30629</v>
      </c>
      <c r="AA4498">
        <v>0.48089872499329378</v>
      </c>
      <c r="AB4498" t="str">
        <f>HYPERLINK("Melting_Curves/meltCurve_Q8NEZ5_FBXO22.pdf", "Melting_Curves/meltCurve_Q8NEZ5_FBXO22.pdf")</f>
        <v>Melting_Curves/meltCurve_Q8NEZ5_FBXO22.pdf</v>
      </c>
    </row>
    <row r="4499" spans="1:28" x14ac:dyDescent="0.25">
      <c r="A4499" t="s">
        <v>4502</v>
      </c>
      <c r="B4499">
        <v>0.99930955844802105</v>
      </c>
      <c r="C4499">
        <v>0.86652303737275405</v>
      </c>
      <c r="D4499">
        <v>0.75583466361770402</v>
      </c>
      <c r="E4499">
        <v>0.74584033092025703</v>
      </c>
      <c r="F4499">
        <v>0.45164300604696</v>
      </c>
      <c r="G4499">
        <v>0.26821297857715798</v>
      </c>
      <c r="H4499">
        <v>0.14540491377078599</v>
      </c>
      <c r="I4499">
        <v>0.108948276154823</v>
      </c>
      <c r="J4499">
        <v>0.113416744386493</v>
      </c>
      <c r="K4499">
        <v>9.9509729725678703E-2</v>
      </c>
      <c r="L4499">
        <v>590.55896108085994</v>
      </c>
      <c r="M4499">
        <v>11.300569639781299</v>
      </c>
      <c r="N4499">
        <v>52.424439523212499</v>
      </c>
      <c r="O4499">
        <v>50.702944355627899</v>
      </c>
      <c r="P4499">
        <v>-5.4761315909676901E-2</v>
      </c>
      <c r="Q4499">
        <v>1.7495222120586001E-2</v>
      </c>
      <c r="R4499">
        <v>0.97722487181520001</v>
      </c>
      <c r="S4499" t="s">
        <v>11115</v>
      </c>
      <c r="T4499" t="s">
        <v>13232</v>
      </c>
      <c r="U4499" t="s">
        <v>13232</v>
      </c>
      <c r="V4499" t="s">
        <v>13232</v>
      </c>
      <c r="W4499" t="s">
        <v>17668</v>
      </c>
      <c r="X4499">
        <v>2</v>
      </c>
      <c r="Y4499" t="s">
        <v>24084</v>
      </c>
      <c r="Z4499" t="s">
        <v>30630</v>
      </c>
      <c r="AA4499">
        <v>0.45075024401561697</v>
      </c>
      <c r="AB4499" t="str">
        <f>HYPERLINK("Melting_Curves/meltCurve_Q8NF37_LPCAT1.pdf", "Melting_Curves/meltCurve_Q8NF37_LPCAT1.pdf")</f>
        <v>Melting_Curves/meltCurve_Q8NF37_LPCAT1.pdf</v>
      </c>
    </row>
    <row r="4500" spans="1:28" x14ac:dyDescent="0.25">
      <c r="A4500" t="s">
        <v>4503</v>
      </c>
      <c r="B4500">
        <v>0.99930955844802105</v>
      </c>
      <c r="C4500">
        <v>0.66859692069271104</v>
      </c>
      <c r="D4500">
        <v>0.52978505284863098</v>
      </c>
      <c r="E4500">
        <v>0.32747918810597898</v>
      </c>
      <c r="F4500">
        <v>0.22442350686647899</v>
      </c>
      <c r="G4500">
        <v>0.14984211591586</v>
      </c>
      <c r="H4500">
        <v>0.118052623167478</v>
      </c>
      <c r="I4500">
        <v>9.5189952218291296E-2</v>
      </c>
      <c r="J4500">
        <v>0.108767895737046</v>
      </c>
      <c r="K4500">
        <v>7.1683055442854193E-2</v>
      </c>
      <c r="L4500">
        <v>635.01541364945501</v>
      </c>
      <c r="M4500">
        <v>13.850868145253701</v>
      </c>
      <c r="N4500">
        <v>46.494690559429998</v>
      </c>
      <c r="O4500">
        <v>44.922667817708799</v>
      </c>
      <c r="P4500">
        <v>-7.0324825643828207E-2</v>
      </c>
      <c r="Q4500">
        <v>8.77851113074683E-2</v>
      </c>
      <c r="R4500">
        <v>0.97844176980484698</v>
      </c>
      <c r="S4500" t="s">
        <v>11116</v>
      </c>
      <c r="T4500" t="s">
        <v>13232</v>
      </c>
      <c r="U4500" t="s">
        <v>13232</v>
      </c>
      <c r="V4500" t="s">
        <v>13232</v>
      </c>
      <c r="W4500" t="s">
        <v>17669</v>
      </c>
      <c r="X4500">
        <v>22</v>
      </c>
      <c r="Y4500" t="s">
        <v>24085</v>
      </c>
      <c r="Z4500" t="s">
        <v>30631</v>
      </c>
      <c r="AA4500">
        <v>0.29738816277577451</v>
      </c>
      <c r="AB4500" t="str">
        <f>HYPERLINK("Melting_Curves/meltCurve_Q8NF50_4_DOCK8.pdf", "Melting_Curves/meltCurve_Q8NF50_4_DOCK8.pdf")</f>
        <v>Melting_Curves/meltCurve_Q8NF50_4_DOCK8.pdf</v>
      </c>
    </row>
    <row r="4501" spans="1:28" x14ac:dyDescent="0.25">
      <c r="A4501" t="s">
        <v>4504</v>
      </c>
      <c r="B4501">
        <v>0.99930955844802105</v>
      </c>
      <c r="C4501">
        <v>1.02267941807587</v>
      </c>
      <c r="D4501">
        <v>1.0602358648865899</v>
      </c>
      <c r="E4501">
        <v>0.957996238612003</v>
      </c>
      <c r="F4501">
        <v>0.83727755315868202</v>
      </c>
      <c r="G4501">
        <v>0.570835865663196</v>
      </c>
      <c r="H4501">
        <v>0.29058164008179399</v>
      </c>
      <c r="I4501">
        <v>0.130434512657779</v>
      </c>
      <c r="J4501">
        <v>7.6570543665586605E-2</v>
      </c>
      <c r="K4501">
        <v>4.6640100643965801E-2</v>
      </c>
      <c r="L4501">
        <v>1103.6815352240701</v>
      </c>
      <c r="M4501">
        <v>19.088495226185</v>
      </c>
      <c r="N4501">
        <v>57.873273253579903</v>
      </c>
      <c r="O4501">
        <v>57.195845212234602</v>
      </c>
      <c r="P4501">
        <v>-8.2700636619087206E-2</v>
      </c>
      <c r="Q4501">
        <v>8.8380220094625896E-3</v>
      </c>
      <c r="R4501">
        <v>0.99646012224285596</v>
      </c>
      <c r="S4501" t="s">
        <v>11117</v>
      </c>
      <c r="T4501" t="s">
        <v>13232</v>
      </c>
      <c r="U4501" t="s">
        <v>13232</v>
      </c>
      <c r="V4501" t="s">
        <v>13232</v>
      </c>
      <c r="W4501" t="s">
        <v>17670</v>
      </c>
      <c r="X4501">
        <v>6</v>
      </c>
      <c r="Y4501" t="s">
        <v>24086</v>
      </c>
      <c r="Z4501" t="s">
        <v>30632</v>
      </c>
      <c r="AA4501">
        <v>0.60949651560824114</v>
      </c>
      <c r="AB4501" t="str">
        <f>HYPERLINK("Melting_Curves/meltCurve_Q8NF64_3_ZMIZ2.pdf", "Melting_Curves/meltCurve_Q8NF64_3_ZMIZ2.pdf")</f>
        <v>Melting_Curves/meltCurve_Q8NF64_3_ZMIZ2.pdf</v>
      </c>
    </row>
    <row r="4502" spans="1:28" x14ac:dyDescent="0.25">
      <c r="A4502" t="s">
        <v>4505</v>
      </c>
      <c r="B4502">
        <v>0.99930955844802105</v>
      </c>
      <c r="C4502">
        <v>0.75176795460053603</v>
      </c>
      <c r="D4502">
        <v>0.53846981632234103</v>
      </c>
      <c r="E4502">
        <v>0.40131684671746798</v>
      </c>
      <c r="F4502">
        <v>0.28270461129027302</v>
      </c>
      <c r="G4502">
        <v>0.162675472671965</v>
      </c>
      <c r="H4502">
        <v>8.5727126612216806E-2</v>
      </c>
      <c r="I4502">
        <v>8.7492402632358204E-2</v>
      </c>
      <c r="J4502">
        <v>6.7680128796182404E-2</v>
      </c>
      <c r="K4502">
        <v>5.4890617448258502E-2</v>
      </c>
      <c r="L4502">
        <v>559.75525147198005</v>
      </c>
      <c r="M4502">
        <v>11.8350264809699</v>
      </c>
      <c r="N4502">
        <v>47.655729952878602</v>
      </c>
      <c r="O4502">
        <v>46.006780389946599</v>
      </c>
      <c r="P4502">
        <v>-6.1582613205451997E-2</v>
      </c>
      <c r="Q4502">
        <v>4.2673178602460497E-2</v>
      </c>
      <c r="R4502">
        <v>0.98280149759956703</v>
      </c>
      <c r="S4502" t="s">
        <v>11118</v>
      </c>
      <c r="T4502" t="s">
        <v>13232</v>
      </c>
      <c r="U4502" t="s">
        <v>13232</v>
      </c>
      <c r="V4502" t="s">
        <v>13232</v>
      </c>
      <c r="W4502" t="s">
        <v>17671</v>
      </c>
      <c r="X4502">
        <v>8</v>
      </c>
      <c r="Y4502" t="s">
        <v>24087</v>
      </c>
      <c r="Z4502" t="s">
        <v>30633</v>
      </c>
      <c r="AA4502">
        <v>0.31583119100827878</v>
      </c>
      <c r="AB4502" t="str">
        <f>HYPERLINK("Melting_Curves/meltCurve_Q8NFA0_USP32.pdf", "Melting_Curves/meltCurve_Q8NFA0_USP32.pdf")</f>
        <v>Melting_Curves/meltCurve_Q8NFA0_USP32.pdf</v>
      </c>
    </row>
    <row r="4503" spans="1:28" x14ac:dyDescent="0.25">
      <c r="A4503" t="s">
        <v>4506</v>
      </c>
      <c r="B4503">
        <v>0.99930955844802105</v>
      </c>
      <c r="C4503">
        <v>1.0986846139972399</v>
      </c>
      <c r="D4503">
        <v>1.08829982233475</v>
      </c>
      <c r="E4503">
        <v>1.07294973517768</v>
      </c>
      <c r="F4503">
        <v>0.98141821142053598</v>
      </c>
      <c r="G4503">
        <v>0.90837898510209403</v>
      </c>
      <c r="H4503">
        <v>0.91323743367304799</v>
      </c>
      <c r="I4503">
        <v>0.999190542300748</v>
      </c>
      <c r="J4503">
        <v>0.978075858299432</v>
      </c>
      <c r="K4503">
        <v>0.80336408108604695</v>
      </c>
      <c r="L4503">
        <v>3645.4623800705599</v>
      </c>
      <c r="M4503">
        <v>50.6697409589313</v>
      </c>
      <c r="Q4503">
        <v>0</v>
      </c>
      <c r="R4503">
        <v>0.48409300739849798</v>
      </c>
      <c r="S4503" t="s">
        <v>11119</v>
      </c>
      <c r="T4503" t="s">
        <v>13232</v>
      </c>
      <c r="U4503" t="s">
        <v>13232</v>
      </c>
      <c r="V4503" t="s">
        <v>13232</v>
      </c>
      <c r="W4503" t="s">
        <v>17672</v>
      </c>
      <c r="X4503">
        <v>104</v>
      </c>
      <c r="Y4503" t="s">
        <v>24088</v>
      </c>
      <c r="Z4503" t="s">
        <v>30634</v>
      </c>
      <c r="AA4503">
        <v>0.99057322242351553</v>
      </c>
      <c r="AB4503" t="str">
        <f>HYPERLINK("Melting_Curves/meltCurve_Q8NFC6_BOD1L1.pdf", "Melting_Curves/meltCurve_Q8NFC6_BOD1L1.pdf")</f>
        <v>Melting_Curves/meltCurve_Q8NFC6_BOD1L1.pdf</v>
      </c>
    </row>
    <row r="4504" spans="1:28" x14ac:dyDescent="0.25">
      <c r="A4504" t="s">
        <v>4507</v>
      </c>
      <c r="B4504">
        <v>0.99930955844802105</v>
      </c>
      <c r="C4504">
        <v>0.97443160539239404</v>
      </c>
      <c r="D4504">
        <v>0.81220800232574797</v>
      </c>
      <c r="E4504">
        <v>0.44657658391106703</v>
      </c>
      <c r="F4504">
        <v>0.27716438719387099</v>
      </c>
      <c r="G4504">
        <v>0.13065146475601999</v>
      </c>
      <c r="H4504">
        <v>7.8515697249601807E-2</v>
      </c>
      <c r="I4504">
        <v>6.6562242549525197E-2</v>
      </c>
      <c r="J4504">
        <v>5.7616108543754999E-2</v>
      </c>
      <c r="K4504">
        <v>4.2078444532055198E-2</v>
      </c>
      <c r="L4504">
        <v>936.13680816963904</v>
      </c>
      <c r="M4504">
        <v>18.961713693290999</v>
      </c>
      <c r="N4504">
        <v>49.661940329929102</v>
      </c>
      <c r="O4504">
        <v>48.830560484763701</v>
      </c>
      <c r="P4504">
        <v>-9.1960268893665903E-2</v>
      </c>
      <c r="Q4504">
        <v>5.27666885645897E-2</v>
      </c>
      <c r="R4504">
        <v>0.99853709213700903</v>
      </c>
      <c r="S4504" t="s">
        <v>11120</v>
      </c>
      <c r="T4504" t="s">
        <v>13232</v>
      </c>
      <c r="U4504" t="s">
        <v>13232</v>
      </c>
      <c r="V4504" t="s">
        <v>13232</v>
      </c>
      <c r="W4504" t="s">
        <v>17673</v>
      </c>
      <c r="X4504">
        <v>16</v>
      </c>
      <c r="Y4504" t="s">
        <v>24089</v>
      </c>
      <c r="Z4504" t="s">
        <v>30635</v>
      </c>
      <c r="AA4504">
        <v>0.36332629693310708</v>
      </c>
      <c r="AB4504" t="str">
        <f>HYPERLINK("Melting_Curves/meltCurve_Q8NFF5_3_FLAD1.pdf", "Melting_Curves/meltCurve_Q8NFF5_3_FLAD1.pdf")</f>
        <v>Melting_Curves/meltCurve_Q8NFF5_3_FLAD1.pdf</v>
      </c>
    </row>
    <row r="4505" spans="1:28" x14ac:dyDescent="0.25">
      <c r="A4505" t="s">
        <v>4508</v>
      </c>
      <c r="B4505">
        <v>0.99930955844802105</v>
      </c>
      <c r="C4505">
        <v>0.90031707061354704</v>
      </c>
      <c r="D4505">
        <v>0.77813208395509703</v>
      </c>
      <c r="E4505">
        <v>0.59107469884767305</v>
      </c>
      <c r="F4505">
        <v>0.36387546880330301</v>
      </c>
      <c r="G4505">
        <v>0.201693813715902</v>
      </c>
      <c r="H4505">
        <v>0.110181209928001</v>
      </c>
      <c r="I4505">
        <v>7.8154019907867606E-2</v>
      </c>
      <c r="J4505">
        <v>6.9280614000677795E-2</v>
      </c>
      <c r="K4505">
        <v>5.8743569242918001E-2</v>
      </c>
      <c r="L4505">
        <v>670.71622209496797</v>
      </c>
      <c r="M4505">
        <v>13.231187866549501</v>
      </c>
      <c r="N4505">
        <v>50.888829465251703</v>
      </c>
      <c r="O4505">
        <v>49.576071303260903</v>
      </c>
      <c r="P4505">
        <v>-6.5068575851732299E-2</v>
      </c>
      <c r="Q4505">
        <v>2.49363843869739E-2</v>
      </c>
      <c r="R4505">
        <v>0.99749851405365797</v>
      </c>
      <c r="S4505" t="s">
        <v>11121</v>
      </c>
      <c r="T4505" t="s">
        <v>13232</v>
      </c>
      <c r="U4505" t="s">
        <v>13232</v>
      </c>
      <c r="V4505" t="s">
        <v>13232</v>
      </c>
      <c r="W4505" t="s">
        <v>17674</v>
      </c>
      <c r="X4505">
        <v>6</v>
      </c>
      <c r="Y4505" t="s">
        <v>24090</v>
      </c>
      <c r="Z4505" t="s">
        <v>30636</v>
      </c>
      <c r="AA4505">
        <v>0.40037081882634151</v>
      </c>
      <c r="AB4505" t="str">
        <f>HYPERLINK("Melting_Curves/meltCurve_Q8NFG4_FLCN.pdf", "Melting_Curves/meltCurve_Q8NFG4_FLCN.pdf")</f>
        <v>Melting_Curves/meltCurve_Q8NFG4_FLCN.pdf</v>
      </c>
    </row>
    <row r="4506" spans="1:28" x14ac:dyDescent="0.25">
      <c r="A4506" t="s">
        <v>4509</v>
      </c>
      <c r="B4506">
        <v>0.99930955844802105</v>
      </c>
      <c r="C4506">
        <v>0.99004270770604497</v>
      </c>
      <c r="D4506">
        <v>0.99379863877616204</v>
      </c>
      <c r="E4506">
        <v>0.92989835725255698</v>
      </c>
      <c r="F4506">
        <v>0.83538058871795795</v>
      </c>
      <c r="G4506">
        <v>0.54585392941353295</v>
      </c>
      <c r="H4506">
        <v>0.24225629182371899</v>
      </c>
      <c r="I4506">
        <v>0.13763575042874299</v>
      </c>
      <c r="J4506">
        <v>0.115650775887935</v>
      </c>
      <c r="K4506">
        <v>7.7921599475562806E-2</v>
      </c>
      <c r="L4506">
        <v>1165.76020146208</v>
      </c>
      <c r="M4506">
        <v>20.438172252848801</v>
      </c>
      <c r="N4506">
        <v>57.379084991300402</v>
      </c>
      <c r="O4506">
        <v>56.500748997540001</v>
      </c>
      <c r="P4506">
        <v>-8.5268228362894202E-2</v>
      </c>
      <c r="Q4506">
        <v>5.7141749571192203E-2</v>
      </c>
      <c r="R4506">
        <v>0.99919028890417105</v>
      </c>
      <c r="S4506" t="s">
        <v>11122</v>
      </c>
      <c r="T4506" t="s">
        <v>13232</v>
      </c>
      <c r="U4506" t="s">
        <v>13232</v>
      </c>
      <c r="V4506" t="s">
        <v>13232</v>
      </c>
      <c r="W4506" t="s">
        <v>17675</v>
      </c>
      <c r="X4506">
        <v>8</v>
      </c>
      <c r="Y4506" t="s">
        <v>24091</v>
      </c>
      <c r="Z4506" t="s">
        <v>30637</v>
      </c>
      <c r="AA4506">
        <v>0.6038530356328129</v>
      </c>
      <c r="AB4506" t="str">
        <f>HYPERLINK("Melting_Curves/meltCurve_Q8NFH3_NUP43.pdf", "Melting_Curves/meltCurve_Q8NFH3_NUP43.pdf")</f>
        <v>Melting_Curves/meltCurve_Q8NFH3_NUP43.pdf</v>
      </c>
    </row>
    <row r="4507" spans="1:28" x14ac:dyDescent="0.25">
      <c r="A4507" t="s">
        <v>4510</v>
      </c>
      <c r="B4507">
        <v>0.99930955844802105</v>
      </c>
      <c r="C4507">
        <v>1.0564249703258</v>
      </c>
      <c r="D4507">
        <v>0.48022318462104202</v>
      </c>
      <c r="E4507">
        <v>0.82578660158846695</v>
      </c>
      <c r="F4507">
        <v>0.60088036575431802</v>
      </c>
      <c r="G4507">
        <v>0.34070360921031001</v>
      </c>
      <c r="H4507">
        <v>9.9330948927877999E-2</v>
      </c>
      <c r="I4507">
        <v>4.6533062263778999E-2</v>
      </c>
      <c r="J4507">
        <v>3.1830748366907302E-2</v>
      </c>
      <c r="K4507">
        <v>2.4472729445626E-2</v>
      </c>
      <c r="L4507">
        <v>628.41054077743695</v>
      </c>
      <c r="M4507">
        <v>11.8305065668852</v>
      </c>
      <c r="N4507">
        <v>53.117803009276898</v>
      </c>
      <c r="O4507">
        <v>51.6682904281368</v>
      </c>
      <c r="P4507">
        <v>-5.7257168495467199E-2</v>
      </c>
      <c r="Q4507">
        <v>0</v>
      </c>
      <c r="R4507">
        <v>0.86195387375791399</v>
      </c>
      <c r="S4507" t="s">
        <v>11123</v>
      </c>
      <c r="T4507" t="s">
        <v>13232</v>
      </c>
      <c r="U4507" t="s">
        <v>13232</v>
      </c>
      <c r="V4507" t="s">
        <v>13232</v>
      </c>
      <c r="W4507" t="s">
        <v>17676</v>
      </c>
      <c r="X4507">
        <v>7</v>
      </c>
      <c r="Y4507" t="s">
        <v>24092</v>
      </c>
      <c r="Z4507" t="s">
        <v>30638</v>
      </c>
      <c r="AA4507">
        <v>0.4659066048768406</v>
      </c>
      <c r="AB4507" t="str">
        <f>HYPERLINK("Melting_Curves/meltCurve_Q8NFH4_NUP37.pdf", "Melting_Curves/meltCurve_Q8NFH4_NUP37.pdf")</f>
        <v>Melting_Curves/meltCurve_Q8NFH4_NUP37.pdf</v>
      </c>
    </row>
    <row r="4508" spans="1:28" x14ac:dyDescent="0.25">
      <c r="A4508" t="s">
        <v>4511</v>
      </c>
      <c r="B4508">
        <v>0.99930955844802105</v>
      </c>
      <c r="C4508">
        <v>1.01762302341568</v>
      </c>
      <c r="D4508">
        <v>0.97210887800231005</v>
      </c>
      <c r="E4508">
        <v>0.86289461015966895</v>
      </c>
      <c r="F4508">
        <v>0.64225322597573598</v>
      </c>
      <c r="G4508">
        <v>0.27902859365745503</v>
      </c>
      <c r="H4508">
        <v>0.13541028601615299</v>
      </c>
      <c r="I4508">
        <v>9.7488417553642098E-2</v>
      </c>
      <c r="J4508">
        <v>0.10193992870230199</v>
      </c>
      <c r="K4508">
        <v>7.9764275535389104E-2</v>
      </c>
      <c r="L4508">
        <v>1250.60674486988</v>
      </c>
      <c r="M4508">
        <v>23.187621451758599</v>
      </c>
      <c r="N4508">
        <v>54.337784904939603</v>
      </c>
      <c r="O4508">
        <v>53.537904986066899</v>
      </c>
      <c r="P4508">
        <v>-9.9714146023946806E-2</v>
      </c>
      <c r="Q4508">
        <v>7.9096743796273697E-2</v>
      </c>
      <c r="R4508">
        <v>0.99939093958508096</v>
      </c>
      <c r="S4508" t="s">
        <v>11124</v>
      </c>
      <c r="T4508" t="s">
        <v>13232</v>
      </c>
      <c r="U4508" t="s">
        <v>13232</v>
      </c>
      <c r="V4508" t="s">
        <v>13232</v>
      </c>
      <c r="W4508" t="s">
        <v>17677</v>
      </c>
      <c r="X4508">
        <v>11</v>
      </c>
      <c r="Y4508" t="s">
        <v>24093</v>
      </c>
      <c r="Z4508" t="s">
        <v>30639</v>
      </c>
      <c r="AA4508">
        <v>0.51658594231043464</v>
      </c>
      <c r="AB4508" t="str">
        <f>HYPERLINK("Melting_Curves/meltCurve_Q8NFI3_ENGASE.pdf", "Melting_Curves/meltCurve_Q8NFI3_ENGASE.pdf")</f>
        <v>Melting_Curves/meltCurve_Q8NFI3_ENGASE.pdf</v>
      </c>
    </row>
    <row r="4509" spans="1:28" x14ac:dyDescent="0.25">
      <c r="A4509" t="s">
        <v>4512</v>
      </c>
      <c r="B4509">
        <v>0.99930955844802105</v>
      </c>
      <c r="C4509">
        <v>0.98285369767422104</v>
      </c>
      <c r="D4509">
        <v>0.99132265019606003</v>
      </c>
      <c r="E4509">
        <v>1.12506403330017</v>
      </c>
      <c r="F4509">
        <v>1.01865447073811</v>
      </c>
      <c r="G4509">
        <v>1.0634113900764099</v>
      </c>
      <c r="H4509">
        <v>1.03612983010712</v>
      </c>
      <c r="I4509">
        <v>1.1744021571474901</v>
      </c>
      <c r="J4509">
        <v>1.1302953364243</v>
      </c>
      <c r="K4509">
        <v>0.92712347110384996</v>
      </c>
      <c r="L4509">
        <v>11935.1256822466</v>
      </c>
      <c r="M4509">
        <v>250</v>
      </c>
      <c r="O4509">
        <v>47.7374478274361</v>
      </c>
      <c r="P4509">
        <v>8.88565940256901E-2</v>
      </c>
      <c r="Q4509">
        <v>1.0678685920159301</v>
      </c>
      <c r="R4509">
        <v>0.22336784090771</v>
      </c>
      <c r="S4509" t="s">
        <v>11125</v>
      </c>
      <c r="T4509" t="s">
        <v>13232</v>
      </c>
      <c r="U4509" t="s">
        <v>13232</v>
      </c>
      <c r="V4509" t="s">
        <v>13232</v>
      </c>
      <c r="W4509" t="s">
        <v>17678</v>
      </c>
      <c r="X4509">
        <v>3</v>
      </c>
      <c r="Y4509" t="s">
        <v>24094</v>
      </c>
      <c r="Z4509" t="s">
        <v>30640</v>
      </c>
      <c r="AA4509">
        <v>1.050351671667666</v>
      </c>
      <c r="AB4509" t="str">
        <f>HYPERLINK("Melting_Curves/meltCurve_Q8NFQ8_TOR1AIP2.pdf", "Melting_Curves/meltCurve_Q8NFQ8_TOR1AIP2.pdf")</f>
        <v>Melting_Curves/meltCurve_Q8NFQ8_TOR1AIP2.pdf</v>
      </c>
    </row>
    <row r="4510" spans="1:28" x14ac:dyDescent="0.25">
      <c r="A4510" t="s">
        <v>4513</v>
      </c>
      <c r="B4510">
        <v>0.99930955844802105</v>
      </c>
      <c r="C4510">
        <v>1.34658372008821</v>
      </c>
      <c r="D4510">
        <v>1.2234272126826899</v>
      </c>
      <c r="E4510">
        <v>0.85522061616123801</v>
      </c>
      <c r="F4510">
        <v>0.27413004316019202</v>
      </c>
      <c r="G4510">
        <v>0.212308903250225</v>
      </c>
      <c r="H4510">
        <v>0.132192810498619</v>
      </c>
      <c r="I4510">
        <v>0.107699744187281</v>
      </c>
      <c r="J4510">
        <v>8.4106887015562903E-2</v>
      </c>
      <c r="K4510">
        <v>6.7148803298358997E-2</v>
      </c>
      <c r="L4510">
        <v>2793.4632764585899</v>
      </c>
      <c r="M4510">
        <v>54.223633515135198</v>
      </c>
      <c r="N4510">
        <v>51.777081578888499</v>
      </c>
      <c r="O4510">
        <v>51.447520638995996</v>
      </c>
      <c r="P4510">
        <v>-0.23212640497557099</v>
      </c>
      <c r="Q4510">
        <v>0.11903206152794001</v>
      </c>
      <c r="R4510">
        <v>0.92354552674830903</v>
      </c>
      <c r="S4510" t="s">
        <v>11126</v>
      </c>
      <c r="T4510" t="s">
        <v>13232</v>
      </c>
      <c r="U4510" t="s">
        <v>13232</v>
      </c>
      <c r="V4510" t="s">
        <v>13232</v>
      </c>
      <c r="W4510" t="s">
        <v>17679</v>
      </c>
      <c r="X4510">
        <v>12</v>
      </c>
      <c r="Y4510" t="s">
        <v>24095</v>
      </c>
      <c r="Z4510" t="s">
        <v>30641</v>
      </c>
      <c r="AA4510">
        <v>0.45894960690674691</v>
      </c>
      <c r="AB4510" t="str">
        <f>HYPERLINK("Melting_Curves/meltCurve_Q8NFV4_ABHD11.pdf", "Melting_Curves/meltCurve_Q8NFV4_ABHD11.pdf")</f>
        <v>Melting_Curves/meltCurve_Q8NFV4_ABHD11.pdf</v>
      </c>
    </row>
    <row r="4511" spans="1:28" x14ac:dyDescent="0.25">
      <c r="A4511" t="s">
        <v>4514</v>
      </c>
      <c r="B4511">
        <v>0.99930955844802105</v>
      </c>
      <c r="C4511">
        <v>0.81627167654133204</v>
      </c>
      <c r="D4511">
        <v>0.80377731442139699</v>
      </c>
      <c r="E4511">
        <v>0.75509040055491905</v>
      </c>
      <c r="F4511">
        <v>0.17409593241754701</v>
      </c>
      <c r="G4511">
        <v>0.12552551836523901</v>
      </c>
      <c r="H4511">
        <v>7.4492360061632207E-2</v>
      </c>
      <c r="I4511">
        <v>6.5927810866280301E-2</v>
      </c>
      <c r="J4511">
        <v>6.3071030805950098E-2</v>
      </c>
      <c r="K4511">
        <v>4.7420225239229202E-2</v>
      </c>
      <c r="L4511">
        <v>2527.3369232912</v>
      </c>
      <c r="M4511">
        <v>49.592583228873899</v>
      </c>
      <c r="N4511">
        <v>51.121520224391197</v>
      </c>
      <c r="O4511">
        <v>50.879327638964398</v>
      </c>
      <c r="P4511">
        <v>-0.22620933353723099</v>
      </c>
      <c r="Q4511">
        <v>7.1686187864701906E-2</v>
      </c>
      <c r="R4511">
        <v>0.94716414699551699</v>
      </c>
      <c r="S4511" t="s">
        <v>11127</v>
      </c>
      <c r="T4511" t="s">
        <v>13232</v>
      </c>
      <c r="U4511" t="s">
        <v>13232</v>
      </c>
      <c r="V4511" t="s">
        <v>13232</v>
      </c>
      <c r="W4511" t="s">
        <v>17680</v>
      </c>
      <c r="X4511">
        <v>22</v>
      </c>
      <c r="Y4511" t="s">
        <v>24096</v>
      </c>
      <c r="Z4511" t="s">
        <v>30642</v>
      </c>
      <c r="AA4511">
        <v>0.41301323566951431</v>
      </c>
      <c r="AB4511" t="str">
        <f>HYPERLINK("Melting_Curves/meltCurve_Q8NFW8_CMAS.pdf", "Melting_Curves/meltCurve_Q8NFW8_CMAS.pdf")</f>
        <v>Melting_Curves/meltCurve_Q8NFW8_CMAS.pdf</v>
      </c>
    </row>
    <row r="4512" spans="1:28" x14ac:dyDescent="0.25">
      <c r="A4512" t="s">
        <v>4515</v>
      </c>
      <c r="B4512">
        <v>0.99930955844802105</v>
      </c>
      <c r="C4512">
        <v>0.85554501515798698</v>
      </c>
      <c r="D4512">
        <v>0.82636130566944599</v>
      </c>
      <c r="E4512">
        <v>0.59672934934814004</v>
      </c>
      <c r="F4512">
        <v>0.243871716348453</v>
      </c>
      <c r="G4512">
        <v>0.15962653721406</v>
      </c>
      <c r="H4512">
        <v>9.3094938332250396E-2</v>
      </c>
      <c r="I4512">
        <v>7.6838486545590404E-2</v>
      </c>
      <c r="J4512">
        <v>6.8838278553958701E-2</v>
      </c>
      <c r="K4512">
        <v>5.7743790738302603E-2</v>
      </c>
      <c r="L4512">
        <v>838.49092922942305</v>
      </c>
      <c r="M4512">
        <v>16.759831490835399</v>
      </c>
      <c r="N4512">
        <v>50.3284422812077</v>
      </c>
      <c r="O4512">
        <v>49.3338128415783</v>
      </c>
      <c r="P4512">
        <v>-8.0915975753451705E-2</v>
      </c>
      <c r="Q4512">
        <v>4.7333450250716599E-2</v>
      </c>
      <c r="R4512">
        <v>0.98584980782195097</v>
      </c>
      <c r="S4512" t="s">
        <v>11128</v>
      </c>
      <c r="T4512" t="s">
        <v>13232</v>
      </c>
      <c r="U4512" t="s">
        <v>13232</v>
      </c>
      <c r="V4512" t="s">
        <v>13232</v>
      </c>
      <c r="W4512" t="s">
        <v>17681</v>
      </c>
      <c r="X4512">
        <v>7</v>
      </c>
      <c r="Y4512" t="s">
        <v>24097</v>
      </c>
      <c r="Z4512" t="s">
        <v>30643</v>
      </c>
      <c r="AA4512">
        <v>0.38440013596006151</v>
      </c>
      <c r="AB4512" t="str">
        <f>HYPERLINK("Melting_Curves/meltCurve_Q8NFY9_KBTBD8.pdf", "Melting_Curves/meltCurve_Q8NFY9_KBTBD8.pdf")</f>
        <v>Melting_Curves/meltCurve_Q8NFY9_KBTBD8.pdf</v>
      </c>
    </row>
    <row r="4513" spans="1:28" x14ac:dyDescent="0.25">
      <c r="A4513" t="s">
        <v>4516</v>
      </c>
      <c r="B4513">
        <v>0.99930955844802105</v>
      </c>
      <c r="C4513">
        <v>1.1135179741082499</v>
      </c>
      <c r="D4513">
        <v>0.92963933344657002</v>
      </c>
      <c r="E4513">
        <v>0.92244192453085205</v>
      </c>
      <c r="F4513">
        <v>0.63337013312492496</v>
      </c>
      <c r="G4513">
        <v>0.21435437034192101</v>
      </c>
      <c r="H4513">
        <v>0.116244081312948</v>
      </c>
      <c r="I4513">
        <v>0.118838348631508</v>
      </c>
      <c r="J4513">
        <v>3.6760081783191803E-2</v>
      </c>
      <c r="K4513">
        <v>8.3261309098324701E-2</v>
      </c>
      <c r="L4513">
        <v>1602.7280833403599</v>
      </c>
      <c r="M4513">
        <v>29.818756024054402</v>
      </c>
      <c r="N4513">
        <v>54.057114827415496</v>
      </c>
      <c r="O4513">
        <v>53.508997676748798</v>
      </c>
      <c r="P4513">
        <v>-0.12842938308264701</v>
      </c>
      <c r="Q4513">
        <v>7.8153225539903004E-2</v>
      </c>
      <c r="R4513">
        <v>0.98839800238637099</v>
      </c>
      <c r="S4513" t="s">
        <v>11129</v>
      </c>
      <c r="T4513" t="s">
        <v>13232</v>
      </c>
      <c r="U4513" t="s">
        <v>13232</v>
      </c>
      <c r="V4513" t="s">
        <v>13232</v>
      </c>
      <c r="W4513" t="s">
        <v>17682</v>
      </c>
      <c r="X4513">
        <v>4</v>
      </c>
      <c r="Y4513" t="s">
        <v>24098</v>
      </c>
      <c r="Z4513" t="s">
        <v>30644</v>
      </c>
      <c r="AA4513">
        <v>0.50674396575770853</v>
      </c>
      <c r="AB4513" t="str">
        <f>HYPERLINK("Melting_Curves/meltCurve_Q8NFZ0_FBXO18.pdf", "Melting_Curves/meltCurve_Q8NFZ0_FBXO18.pdf")</f>
        <v>Melting_Curves/meltCurve_Q8NFZ0_FBXO18.pdf</v>
      </c>
    </row>
    <row r="4514" spans="1:28" x14ac:dyDescent="0.25">
      <c r="A4514" t="s">
        <v>4517</v>
      </c>
      <c r="B4514">
        <v>0.99930955844802105</v>
      </c>
      <c r="C4514">
        <v>1.0516943055267101</v>
      </c>
      <c r="D4514">
        <v>0.89311949878063701</v>
      </c>
      <c r="E4514">
        <v>0.84502126532995203</v>
      </c>
      <c r="F4514">
        <v>0.48304476335089902</v>
      </c>
      <c r="G4514">
        <v>0.227479727851818</v>
      </c>
      <c r="H4514">
        <v>0.17035983609969799</v>
      </c>
      <c r="I4514">
        <v>0.15846810678925999</v>
      </c>
      <c r="J4514">
        <v>0.17870469895087299</v>
      </c>
      <c r="K4514">
        <v>0.13613980712174301</v>
      </c>
      <c r="L4514">
        <v>1506.7185816584499</v>
      </c>
      <c r="M4514">
        <v>28.828656714402701</v>
      </c>
      <c r="N4514">
        <v>52.948926508689297</v>
      </c>
      <c r="O4514">
        <v>52.0150638362976</v>
      </c>
      <c r="P4514">
        <v>-0.117010805243663</v>
      </c>
      <c r="Q4514">
        <v>0.155523855572822</v>
      </c>
      <c r="R4514">
        <v>0.99069030281127202</v>
      </c>
      <c r="S4514" t="s">
        <v>11130</v>
      </c>
      <c r="T4514" t="s">
        <v>13232</v>
      </c>
      <c r="U4514" t="s">
        <v>13232</v>
      </c>
      <c r="V4514" t="s">
        <v>13232</v>
      </c>
      <c r="W4514" t="s">
        <v>17683</v>
      </c>
      <c r="X4514">
        <v>8</v>
      </c>
      <c r="Y4514" t="s">
        <v>24099</v>
      </c>
      <c r="Z4514" t="s">
        <v>30645</v>
      </c>
      <c r="AA4514">
        <v>0.50662329076265189</v>
      </c>
      <c r="AB4514" t="str">
        <f>HYPERLINK("Melting_Curves/meltCurve_Q8NG08_HELB.pdf", "Melting_Curves/meltCurve_Q8NG08_HELB.pdf")</f>
        <v>Melting_Curves/meltCurve_Q8NG08_HELB.pdf</v>
      </c>
    </row>
    <row r="4515" spans="1:28" x14ac:dyDescent="0.25">
      <c r="A4515" t="s">
        <v>4518</v>
      </c>
      <c r="B4515">
        <v>0.99930955844802105</v>
      </c>
      <c r="C4515">
        <v>1.00228992513941</v>
      </c>
      <c r="D4515">
        <v>0.99032076286465898</v>
      </c>
      <c r="E4515">
        <v>0.85507578967540598</v>
      </c>
      <c r="F4515">
        <v>0.71903540233171104</v>
      </c>
      <c r="G4515">
        <v>0.63358179298052997</v>
      </c>
      <c r="H4515">
        <v>0.62281742898536296</v>
      </c>
      <c r="I4515">
        <v>0.671083439848147</v>
      </c>
      <c r="J4515">
        <v>0.62796355314232999</v>
      </c>
      <c r="K4515">
        <v>0.53635381729681297</v>
      </c>
      <c r="L4515">
        <v>1341.7119574865301</v>
      </c>
      <c r="M4515">
        <v>26.278642513442801</v>
      </c>
      <c r="O4515">
        <v>50.764209742757402</v>
      </c>
      <c r="P4515">
        <v>-5.0235926095971002E-2</v>
      </c>
      <c r="Q4515">
        <v>0.61182790447046398</v>
      </c>
      <c r="R4515">
        <v>0.96733564740160305</v>
      </c>
      <c r="S4515" t="s">
        <v>11131</v>
      </c>
      <c r="T4515" t="s">
        <v>13232</v>
      </c>
      <c r="U4515" t="s">
        <v>13232</v>
      </c>
      <c r="V4515" t="s">
        <v>13232</v>
      </c>
      <c r="W4515" t="s">
        <v>17684</v>
      </c>
      <c r="X4515">
        <v>21</v>
      </c>
      <c r="Y4515" t="s">
        <v>24100</v>
      </c>
      <c r="Z4515" t="s">
        <v>30646</v>
      </c>
      <c r="AA4515">
        <v>0.75807701401918715</v>
      </c>
      <c r="AB4515" t="str">
        <f>HYPERLINK("Melting_Curves/meltCurve_Q8NG31_2_CASC5.pdf", "Melting_Curves/meltCurve_Q8NG31_2_CASC5.pdf")</f>
        <v>Melting_Curves/meltCurve_Q8NG31_2_CASC5.pdf</v>
      </c>
    </row>
    <row r="4516" spans="1:28" x14ac:dyDescent="0.25">
      <c r="A4516" t="s">
        <v>4519</v>
      </c>
      <c r="B4516">
        <v>0.99930955844802105</v>
      </c>
      <c r="C4516">
        <v>1.06030864518739</v>
      </c>
      <c r="D4516">
        <v>0.847006991889379</v>
      </c>
      <c r="E4516">
        <v>0.44933574175687602</v>
      </c>
      <c r="F4516">
        <v>0.28898138923321398</v>
      </c>
      <c r="G4516">
        <v>0.23737942845448401</v>
      </c>
      <c r="H4516">
        <v>0.18362832768446</v>
      </c>
      <c r="I4516">
        <v>0.18043744085478999</v>
      </c>
      <c r="J4516">
        <v>0.16711851538973199</v>
      </c>
      <c r="K4516">
        <v>0.135264665813107</v>
      </c>
      <c r="L4516">
        <v>1265.4877335533899</v>
      </c>
      <c r="M4516">
        <v>25.933118567801898</v>
      </c>
      <c r="N4516">
        <v>49.632770632050999</v>
      </c>
      <c r="O4516">
        <v>48.510740242772002</v>
      </c>
      <c r="P4516">
        <v>-0.110029159603989</v>
      </c>
      <c r="Q4516">
        <v>0.176723194521306</v>
      </c>
      <c r="R4516">
        <v>0.99087739902181804</v>
      </c>
      <c r="S4516" t="s">
        <v>11132</v>
      </c>
      <c r="T4516" t="s">
        <v>13232</v>
      </c>
      <c r="U4516" t="s">
        <v>13232</v>
      </c>
      <c r="V4516" t="s">
        <v>13232</v>
      </c>
      <c r="W4516" t="s">
        <v>17685</v>
      </c>
      <c r="X4516">
        <v>6</v>
      </c>
      <c r="Y4516" t="s">
        <v>24101</v>
      </c>
      <c r="Z4516" t="s">
        <v>30647</v>
      </c>
      <c r="AA4516">
        <v>0.42492071857966152</v>
      </c>
      <c r="AB4516" t="str">
        <f>HYPERLINK("Melting_Curves/meltCurve_Q8NG68_TTL.pdf", "Melting_Curves/meltCurve_Q8NG68_TTL.pdf")</f>
        <v>Melting_Curves/meltCurve_Q8NG68_TTL.pdf</v>
      </c>
    </row>
    <row r="4517" spans="1:28" x14ac:dyDescent="0.25">
      <c r="A4517" t="s">
        <v>4520</v>
      </c>
      <c r="B4517">
        <v>0.99930955844802105</v>
      </c>
      <c r="C4517">
        <v>0.903778365700454</v>
      </c>
      <c r="D4517">
        <v>0.85778140051324803</v>
      </c>
      <c r="E4517">
        <v>0.84961780885184901</v>
      </c>
      <c r="F4517">
        <v>0.60193335544258797</v>
      </c>
      <c r="G4517">
        <v>0.48945516274413597</v>
      </c>
      <c r="H4517">
        <v>0.36228620766002401</v>
      </c>
      <c r="I4517">
        <v>0.35364043281121699</v>
      </c>
      <c r="J4517">
        <v>0.34060384239261499</v>
      </c>
      <c r="K4517">
        <v>0.35642161003144202</v>
      </c>
      <c r="L4517">
        <v>687.07869828418802</v>
      </c>
      <c r="M4517">
        <v>13.061827780676699</v>
      </c>
      <c r="N4517">
        <v>56.541774310887902</v>
      </c>
      <c r="O4517">
        <v>51.414899406206203</v>
      </c>
      <c r="P4517">
        <v>-4.4544576116875997E-2</v>
      </c>
      <c r="Q4517">
        <v>0.29876353387888999</v>
      </c>
      <c r="R4517">
        <v>0.973449536489157</v>
      </c>
      <c r="S4517" t="s">
        <v>11133</v>
      </c>
      <c r="T4517" t="s">
        <v>13232</v>
      </c>
      <c r="U4517" t="s">
        <v>13232</v>
      </c>
      <c r="V4517" t="s">
        <v>13232</v>
      </c>
      <c r="W4517" t="s">
        <v>17686</v>
      </c>
      <c r="X4517">
        <v>2</v>
      </c>
      <c r="Y4517" t="s">
        <v>24102</v>
      </c>
      <c r="Z4517" t="s">
        <v>30648</v>
      </c>
      <c r="AA4517">
        <v>0.61185826669489674</v>
      </c>
      <c r="AB4517" t="str">
        <f>HYPERLINK("Melting_Curves/meltCurve_Q8NHG7_SVIP.pdf", "Melting_Curves/meltCurve_Q8NHG7_SVIP.pdf")</f>
        <v>Melting_Curves/meltCurve_Q8NHG7_SVIP.pdf</v>
      </c>
    </row>
    <row r="4518" spans="1:28" x14ac:dyDescent="0.25">
      <c r="A4518" t="s">
        <v>4521</v>
      </c>
      <c r="B4518">
        <v>0.99930955844802105</v>
      </c>
      <c r="C4518">
        <v>1.03033167764698</v>
      </c>
      <c r="D4518">
        <v>1.0322376521713501</v>
      </c>
      <c r="E4518">
        <v>0.97540767315870003</v>
      </c>
      <c r="F4518">
        <v>0.95061526937307295</v>
      </c>
      <c r="G4518">
        <v>0.73612036273376003</v>
      </c>
      <c r="H4518">
        <v>0.47937613875878798</v>
      </c>
      <c r="I4518">
        <v>0.40432951241081799</v>
      </c>
      <c r="J4518">
        <v>0.383800166431502</v>
      </c>
      <c r="K4518">
        <v>0.29384785000540098</v>
      </c>
      <c r="L4518">
        <v>1352.3941520631199</v>
      </c>
      <c r="M4518">
        <v>23.243123267477699</v>
      </c>
      <c r="N4518">
        <v>60.824313111569303</v>
      </c>
      <c r="O4518">
        <v>57.759138122846799</v>
      </c>
      <c r="P4518">
        <v>-6.8647991882045803E-2</v>
      </c>
      <c r="Q4518">
        <v>0.31765149251712599</v>
      </c>
      <c r="R4518">
        <v>0.99366978130926198</v>
      </c>
      <c r="S4518" t="s">
        <v>11134</v>
      </c>
      <c r="T4518" t="s">
        <v>13232</v>
      </c>
      <c r="U4518" t="s">
        <v>13232</v>
      </c>
      <c r="V4518" t="s">
        <v>13232</v>
      </c>
      <c r="W4518" t="s">
        <v>17687</v>
      </c>
      <c r="X4518">
        <v>7</v>
      </c>
      <c r="Y4518" t="s">
        <v>24103</v>
      </c>
      <c r="Z4518" t="s">
        <v>30649</v>
      </c>
      <c r="AA4518">
        <v>0.73772531755700876</v>
      </c>
      <c r="AB4518" t="str">
        <f>HYPERLINK("Melting_Curves/meltCurve_Q8NHG8_ZNRF2.pdf", "Melting_Curves/meltCurve_Q8NHG8_ZNRF2.pdf")</f>
        <v>Melting_Curves/meltCurve_Q8NHG8_ZNRF2.pdf</v>
      </c>
    </row>
    <row r="4519" spans="1:28" x14ac:dyDescent="0.25">
      <c r="A4519" t="s">
        <v>4522</v>
      </c>
      <c r="B4519">
        <v>0.99930955844802105</v>
      </c>
      <c r="C4519">
        <v>0.91306705791817799</v>
      </c>
      <c r="D4519">
        <v>0.86274306136318002</v>
      </c>
      <c r="E4519">
        <v>0.71354259585705404</v>
      </c>
      <c r="F4519">
        <v>0.498715861509689</v>
      </c>
      <c r="G4519">
        <v>0.28794566227625101</v>
      </c>
      <c r="H4519">
        <v>0.34592244790091098</v>
      </c>
      <c r="I4519">
        <v>0.35906497154747802</v>
      </c>
      <c r="J4519">
        <v>0.33678815413180702</v>
      </c>
      <c r="K4519">
        <v>0.28101769799500498</v>
      </c>
      <c r="L4519">
        <v>902.36736727461903</v>
      </c>
      <c r="M4519">
        <v>17.965322673124302</v>
      </c>
      <c r="N4519">
        <v>52.950975539281302</v>
      </c>
      <c r="O4519">
        <v>49.6183245789083</v>
      </c>
      <c r="P4519">
        <v>-6.3230721685466798E-2</v>
      </c>
      <c r="Q4519">
        <v>0.30148809623112099</v>
      </c>
      <c r="R4519">
        <v>0.976125534047522</v>
      </c>
      <c r="S4519" t="s">
        <v>11135</v>
      </c>
      <c r="T4519" t="s">
        <v>13232</v>
      </c>
      <c r="U4519" t="s">
        <v>13232</v>
      </c>
      <c r="V4519" t="s">
        <v>13232</v>
      </c>
      <c r="W4519" t="s">
        <v>17688</v>
      </c>
      <c r="X4519">
        <v>18</v>
      </c>
      <c r="Y4519" t="s">
        <v>24104</v>
      </c>
      <c r="Z4519" t="s">
        <v>30650</v>
      </c>
      <c r="AA4519">
        <v>0.55156137940708883</v>
      </c>
      <c r="AB4519" t="str">
        <f>HYPERLINK("Melting_Curves/meltCurve_Q8NHM5_4_KDM2B.pdf", "Melting_Curves/meltCurve_Q8NHM5_4_KDM2B.pdf")</f>
        <v>Melting_Curves/meltCurve_Q8NHM5_4_KDM2B.pdf</v>
      </c>
    </row>
    <row r="4520" spans="1:28" x14ac:dyDescent="0.25">
      <c r="A4520" t="s">
        <v>4523</v>
      </c>
      <c r="B4520">
        <v>0.99930955844802105</v>
      </c>
      <c r="C4520">
        <v>0.98337581821317299</v>
      </c>
      <c r="D4520">
        <v>0.97655479883041896</v>
      </c>
      <c r="E4520">
        <v>0.95097560061488096</v>
      </c>
      <c r="F4520">
        <v>0.93100434816347</v>
      </c>
      <c r="G4520">
        <v>0.64192251785450405</v>
      </c>
      <c r="H4520">
        <v>0.47671304691074901</v>
      </c>
      <c r="I4520">
        <v>0.34434284767358297</v>
      </c>
      <c r="J4520">
        <v>0.203800624982762</v>
      </c>
      <c r="K4520">
        <v>0.12675550304202801</v>
      </c>
      <c r="L4520">
        <v>843.71899089247495</v>
      </c>
      <c r="M4520">
        <v>13.980934609522601</v>
      </c>
      <c r="N4520">
        <v>60.443862040058796</v>
      </c>
      <c r="O4520">
        <v>59.153406169770498</v>
      </c>
      <c r="P4520">
        <v>-5.8446343272718401E-2</v>
      </c>
      <c r="Q4520">
        <v>1.0984454026041399E-2</v>
      </c>
      <c r="R4520">
        <v>0.99331286158763199</v>
      </c>
      <c r="S4520" t="s">
        <v>11136</v>
      </c>
      <c r="T4520" t="s">
        <v>13232</v>
      </c>
      <c r="U4520" t="s">
        <v>13232</v>
      </c>
      <c r="V4520" t="s">
        <v>13232</v>
      </c>
      <c r="W4520" t="s">
        <v>17689</v>
      </c>
      <c r="X4520">
        <v>8</v>
      </c>
      <c r="Y4520" t="s">
        <v>24105</v>
      </c>
      <c r="Z4520" t="s">
        <v>30651</v>
      </c>
      <c r="AA4520">
        <v>0.68592712601683936</v>
      </c>
      <c r="AB4520" t="str">
        <f>HYPERLINK("Melting_Curves/meltCurve_Q8NHP8_PLBD2.pdf", "Melting_Curves/meltCurve_Q8NHP8_PLBD2.pdf")</f>
        <v>Melting_Curves/meltCurve_Q8NHP8_PLBD2.pdf</v>
      </c>
    </row>
    <row r="4521" spans="1:28" x14ac:dyDescent="0.25">
      <c r="A4521" t="s">
        <v>4524</v>
      </c>
      <c r="B4521">
        <v>0.99930955844802105</v>
      </c>
      <c r="C4521">
        <v>0.96214076310082097</v>
      </c>
      <c r="D4521">
        <v>0.93556287527314697</v>
      </c>
      <c r="E4521">
        <v>0.80574188467728602</v>
      </c>
      <c r="F4521">
        <v>0.63932169358808399</v>
      </c>
      <c r="G4521">
        <v>0.48353040291385802</v>
      </c>
      <c r="H4521">
        <v>0.39972667110594301</v>
      </c>
      <c r="I4521">
        <v>0.40088760214792302</v>
      </c>
      <c r="J4521">
        <v>0.37900621999185502</v>
      </c>
      <c r="K4521">
        <v>0.30289420278887402</v>
      </c>
      <c r="L4521">
        <v>791.33590151840201</v>
      </c>
      <c r="M4521">
        <v>15.017888569924301</v>
      </c>
      <c r="N4521">
        <v>56.715302692162702</v>
      </c>
      <c r="O4521">
        <v>51.785071092958503</v>
      </c>
      <c r="P4521">
        <v>-4.8750585619551E-2</v>
      </c>
      <c r="Q4521">
        <v>0.32765550040392899</v>
      </c>
      <c r="R4521">
        <v>0.994305659357135</v>
      </c>
      <c r="S4521" t="s">
        <v>11137</v>
      </c>
      <c r="T4521" t="s">
        <v>13232</v>
      </c>
      <c r="U4521" t="s">
        <v>13232</v>
      </c>
      <c r="V4521" t="s">
        <v>13232</v>
      </c>
      <c r="W4521" t="s">
        <v>17690</v>
      </c>
      <c r="X4521">
        <v>6</v>
      </c>
      <c r="Y4521" t="s">
        <v>24106</v>
      </c>
      <c r="Z4521" t="s">
        <v>30652</v>
      </c>
      <c r="AA4521">
        <v>0.62674733292502283</v>
      </c>
      <c r="AB4521" t="str">
        <f>HYPERLINK("Melting_Curves/meltCurve_Q8NHQ8_2_RASSF8.pdf", "Melting_Curves/meltCurve_Q8NHQ8_2_RASSF8.pdf")</f>
        <v>Melting_Curves/meltCurve_Q8NHQ8_2_RASSF8.pdf</v>
      </c>
    </row>
    <row r="4522" spans="1:28" x14ac:dyDescent="0.25">
      <c r="A4522" t="s">
        <v>4525</v>
      </c>
      <c r="B4522">
        <v>0.99930955844802105</v>
      </c>
      <c r="C4522">
        <v>1.05416508747217</v>
      </c>
      <c r="D4522">
        <v>0.94840195974533403</v>
      </c>
      <c r="E4522">
        <v>0.62802065477288405</v>
      </c>
      <c r="F4522">
        <v>0.33681874973384801</v>
      </c>
      <c r="G4522">
        <v>0.25039675580014098</v>
      </c>
      <c r="H4522">
        <v>0.18097481346331501</v>
      </c>
      <c r="I4522">
        <v>0.18499230820488199</v>
      </c>
      <c r="J4522">
        <v>0.15556744919176901</v>
      </c>
      <c r="K4522">
        <v>0.11703431701068701</v>
      </c>
      <c r="L4522">
        <v>1327.4510829816199</v>
      </c>
      <c r="M4522">
        <v>26.30564007944</v>
      </c>
      <c r="N4522">
        <v>51.240679326164297</v>
      </c>
      <c r="O4522">
        <v>50.173686095460702</v>
      </c>
      <c r="P4522">
        <v>-0.109492477433301</v>
      </c>
      <c r="Q4522">
        <v>0.164653541553473</v>
      </c>
      <c r="R4522">
        <v>0.99315160245828304</v>
      </c>
      <c r="S4522" t="s">
        <v>11138</v>
      </c>
      <c r="T4522" t="s">
        <v>13232</v>
      </c>
      <c r="U4522" t="s">
        <v>13232</v>
      </c>
      <c r="V4522" t="s">
        <v>13232</v>
      </c>
      <c r="W4522" t="s">
        <v>17691</v>
      </c>
      <c r="X4522">
        <v>16</v>
      </c>
      <c r="Y4522" t="s">
        <v>24107</v>
      </c>
      <c r="Z4522" t="s">
        <v>30653</v>
      </c>
      <c r="AA4522">
        <v>0.46276132251170948</v>
      </c>
      <c r="AB4522" t="str">
        <f>HYPERLINK("Melting_Curves/meltCurve_Q8NHU6_TDRD7.pdf", "Melting_Curves/meltCurve_Q8NHU6_TDRD7.pdf")</f>
        <v>Melting_Curves/meltCurve_Q8NHU6_TDRD7.pdf</v>
      </c>
    </row>
    <row r="4523" spans="1:28" x14ac:dyDescent="0.25">
      <c r="A4523" t="s">
        <v>4526</v>
      </c>
      <c r="B4523">
        <v>0.99930955844802105</v>
      </c>
      <c r="C4523">
        <v>1.1082394524864501</v>
      </c>
      <c r="D4523">
        <v>1.09281993305679</v>
      </c>
      <c r="E4523">
        <v>1.0905367684429601</v>
      </c>
      <c r="F4523">
        <v>0.95721877018992396</v>
      </c>
      <c r="G4523">
        <v>0.75913237876565898</v>
      </c>
      <c r="H4523">
        <v>0.73905229842146902</v>
      </c>
      <c r="I4523">
        <v>0.71633457296414904</v>
      </c>
      <c r="J4523">
        <v>0.65123137494790595</v>
      </c>
      <c r="K4523">
        <v>0.52586450372229399</v>
      </c>
      <c r="L4523">
        <v>978.20192093188905</v>
      </c>
      <c r="M4523">
        <v>16.5338991505058</v>
      </c>
      <c r="O4523">
        <v>58.318283761348702</v>
      </c>
      <c r="P4523">
        <v>-3.1170632880009E-2</v>
      </c>
      <c r="Q4523">
        <v>0.56025091959949502</v>
      </c>
      <c r="R4523">
        <v>0.87311588031467102</v>
      </c>
      <c r="S4523" t="s">
        <v>11139</v>
      </c>
      <c r="T4523" t="s">
        <v>13232</v>
      </c>
      <c r="U4523" t="s">
        <v>13232</v>
      </c>
      <c r="V4523" t="s">
        <v>13232</v>
      </c>
      <c r="W4523" t="s">
        <v>17692</v>
      </c>
      <c r="X4523">
        <v>16</v>
      </c>
      <c r="Y4523" t="s">
        <v>24108</v>
      </c>
      <c r="Z4523" t="s">
        <v>30654</v>
      </c>
      <c r="AA4523">
        <v>0.84568136779190617</v>
      </c>
      <c r="AB4523" t="str">
        <f>HYPERLINK("Melting_Curves/meltCurve_Q8NHV4_NEDD1.pdf", "Melting_Curves/meltCurve_Q8NHV4_NEDD1.pdf")</f>
        <v>Melting_Curves/meltCurve_Q8NHV4_NEDD1.pdf</v>
      </c>
    </row>
    <row r="4524" spans="1:28" x14ac:dyDescent="0.25">
      <c r="A4524" t="s">
        <v>4527</v>
      </c>
      <c r="B4524">
        <v>0.99930955844802105</v>
      </c>
      <c r="C4524">
        <v>0.849068701307648</v>
      </c>
      <c r="D4524">
        <v>0.73812650692992998</v>
      </c>
      <c r="E4524">
        <v>0.74941005622328005</v>
      </c>
      <c r="F4524">
        <v>0.67120953878483502</v>
      </c>
      <c r="G4524">
        <v>0.81844323738404801</v>
      </c>
      <c r="H4524">
        <v>0.90358489858517199</v>
      </c>
      <c r="I4524">
        <v>1.1130083931949999</v>
      </c>
      <c r="J4524">
        <v>1.19497040984136</v>
      </c>
      <c r="K4524">
        <v>0.88288436455946395</v>
      </c>
      <c r="L4524">
        <v>10204.554052867599</v>
      </c>
      <c r="M4524">
        <v>250</v>
      </c>
      <c r="O4524">
        <v>40.8156043551108</v>
      </c>
      <c r="P4524">
        <v>-0.18363316883289199</v>
      </c>
      <c r="Q4524">
        <v>0.880078420593007</v>
      </c>
      <c r="R4524">
        <v>5.0695123294805397E-2</v>
      </c>
      <c r="S4524" t="s">
        <v>11140</v>
      </c>
      <c r="T4524" t="s">
        <v>13232</v>
      </c>
      <c r="U4524" t="s">
        <v>13232</v>
      </c>
      <c r="V4524" t="s">
        <v>13232</v>
      </c>
      <c r="W4524" t="s">
        <v>17693</v>
      </c>
      <c r="X4524">
        <v>5</v>
      </c>
      <c r="Y4524" t="s">
        <v>24109</v>
      </c>
      <c r="Z4524" t="s">
        <v>30655</v>
      </c>
      <c r="AA4524">
        <v>0.88336146542410254</v>
      </c>
      <c r="AB4524" t="str">
        <f>HYPERLINK("Melting_Curves/meltCurve_Q8NHZ8_CDC26.pdf", "Melting_Curves/meltCurve_Q8NHZ8_CDC26.pdf")</f>
        <v>Melting_Curves/meltCurve_Q8NHZ8_CDC26.pdf</v>
      </c>
    </row>
    <row r="4525" spans="1:28" x14ac:dyDescent="0.25">
      <c r="A4525" t="s">
        <v>4528</v>
      </c>
      <c r="B4525">
        <v>0.99930955844802105</v>
      </c>
      <c r="C4525">
        <v>1.1636729198223099</v>
      </c>
      <c r="D4525">
        <v>1.09900606912399</v>
      </c>
      <c r="E4525">
        <v>1.0118672840224701</v>
      </c>
      <c r="F4525">
        <v>0.72897807686730298</v>
      </c>
      <c r="G4525">
        <v>0.61121127134855902</v>
      </c>
      <c r="H4525">
        <v>0.66603266524091198</v>
      </c>
      <c r="I4525">
        <v>0.69732584509615203</v>
      </c>
      <c r="J4525">
        <v>0.72811707629725797</v>
      </c>
      <c r="K4525">
        <v>0.60728133420240804</v>
      </c>
      <c r="L4525">
        <v>13175.919926831601</v>
      </c>
      <c r="M4525">
        <v>250</v>
      </c>
      <c r="O4525">
        <v>52.700307172314602</v>
      </c>
      <c r="P4525">
        <v>-0.40085911610443298</v>
      </c>
      <c r="Q4525">
        <v>0.66199362453965604</v>
      </c>
      <c r="R4525">
        <v>0.88248805841334199</v>
      </c>
      <c r="S4525" t="s">
        <v>11141</v>
      </c>
      <c r="T4525" t="s">
        <v>13232</v>
      </c>
      <c r="U4525" t="s">
        <v>13232</v>
      </c>
      <c r="V4525" t="s">
        <v>13232</v>
      </c>
      <c r="W4525" t="s">
        <v>17694</v>
      </c>
      <c r="X4525">
        <v>25</v>
      </c>
      <c r="Y4525" t="s">
        <v>24110</v>
      </c>
      <c r="Z4525" t="s">
        <v>30656</v>
      </c>
      <c r="AA4525">
        <v>0.80515571257729157</v>
      </c>
      <c r="AB4525" t="str">
        <f>HYPERLINK("Melting_Curves/meltCurve_Q8NI08_2_NCOA7.pdf", "Melting_Curves/meltCurve_Q8NI08_2_NCOA7.pdf")</f>
        <v>Melting_Curves/meltCurve_Q8NI08_2_NCOA7.pdf</v>
      </c>
    </row>
    <row r="4526" spans="1:28" x14ac:dyDescent="0.25">
      <c r="A4526" t="s">
        <v>4529</v>
      </c>
      <c r="B4526">
        <v>0.99930955844802105</v>
      </c>
      <c r="C4526">
        <v>1.09671075131002</v>
      </c>
      <c r="D4526">
        <v>1.04986178368687</v>
      </c>
      <c r="E4526">
        <v>1.1825775500856099</v>
      </c>
      <c r="F4526">
        <v>0.99880373557777202</v>
      </c>
      <c r="G4526">
        <v>0.84413293882720497</v>
      </c>
      <c r="H4526">
        <v>0.90522912597092997</v>
      </c>
      <c r="I4526">
        <v>0.817391477746641</v>
      </c>
      <c r="J4526">
        <v>0.83730491465111601</v>
      </c>
      <c r="K4526">
        <v>0.75657842022278099</v>
      </c>
      <c r="L4526">
        <v>5160.0046018410403</v>
      </c>
      <c r="M4526">
        <v>92.831829244701495</v>
      </c>
      <c r="O4526">
        <v>55.5586669759535</v>
      </c>
      <c r="P4526">
        <v>-7.1420424819261003E-2</v>
      </c>
      <c r="Q4526">
        <v>0.82902319810079605</v>
      </c>
      <c r="R4526">
        <v>0.67057538134804895</v>
      </c>
      <c r="S4526" t="s">
        <v>11142</v>
      </c>
      <c r="T4526" t="s">
        <v>13232</v>
      </c>
      <c r="U4526" t="s">
        <v>13232</v>
      </c>
      <c r="V4526" t="s">
        <v>13232</v>
      </c>
      <c r="W4526" t="s">
        <v>17695</v>
      </c>
      <c r="X4526">
        <v>3</v>
      </c>
      <c r="Y4526" t="s">
        <v>24111</v>
      </c>
      <c r="Z4526" t="s">
        <v>30657</v>
      </c>
      <c r="AA4526">
        <v>0.91796354585325135</v>
      </c>
      <c r="AB4526" t="str">
        <f>HYPERLINK("Melting_Curves/meltCurve_Q8NI22_2_MCFD2.pdf", "Melting_Curves/meltCurve_Q8NI22_2_MCFD2.pdf")</f>
        <v>Melting_Curves/meltCurve_Q8NI22_2_MCFD2.pdf</v>
      </c>
    </row>
    <row r="4527" spans="1:28" x14ac:dyDescent="0.25">
      <c r="A4527" t="s">
        <v>4530</v>
      </c>
      <c r="B4527">
        <v>0.99930955844802105</v>
      </c>
      <c r="C4527">
        <v>0.90980476453935799</v>
      </c>
      <c r="D4527">
        <v>0.86238092744060701</v>
      </c>
      <c r="E4527">
        <v>0.92741724010627802</v>
      </c>
      <c r="F4527">
        <v>0.85976496167810501</v>
      </c>
      <c r="G4527">
        <v>0.88536062362026002</v>
      </c>
      <c r="H4527">
        <v>0.91463092275989999</v>
      </c>
      <c r="I4527">
        <v>1.09810564059445</v>
      </c>
      <c r="J4527">
        <v>1.1578892954661899</v>
      </c>
      <c r="K4527">
        <v>0.87472881688201498</v>
      </c>
      <c r="L4527">
        <v>15000</v>
      </c>
      <c r="M4527">
        <v>212.34215301748401</v>
      </c>
      <c r="Q4527">
        <v>0</v>
      </c>
      <c r="R4527">
        <v>-0.107461027713895</v>
      </c>
      <c r="S4527" t="s">
        <v>11143</v>
      </c>
      <c r="T4527" t="s">
        <v>13232</v>
      </c>
      <c r="U4527" t="s">
        <v>13232</v>
      </c>
      <c r="V4527" t="s">
        <v>13232</v>
      </c>
      <c r="W4527" t="s">
        <v>17696</v>
      </c>
      <c r="X4527">
        <v>36</v>
      </c>
      <c r="Y4527" t="s">
        <v>24112</v>
      </c>
      <c r="Z4527" t="s">
        <v>30658</v>
      </c>
      <c r="AA4527">
        <v>0.99855665698258034</v>
      </c>
      <c r="AB4527" t="str">
        <f>HYPERLINK("Melting_Curves/meltCurve_Q8NI27_THOC2.pdf", "Melting_Curves/meltCurve_Q8NI27_THOC2.pdf")</f>
        <v>Melting_Curves/meltCurve_Q8NI27_THOC2.pdf</v>
      </c>
    </row>
    <row r="4528" spans="1:28" x14ac:dyDescent="0.25">
      <c r="A4528" t="s">
        <v>4531</v>
      </c>
      <c r="B4528">
        <v>0.99930955844802105</v>
      </c>
      <c r="C4528">
        <v>0.74866843544550499</v>
      </c>
      <c r="D4528">
        <v>0.63600555822993399</v>
      </c>
      <c r="E4528">
        <v>0.45507491394377902</v>
      </c>
      <c r="F4528">
        <v>0.37138774594023399</v>
      </c>
      <c r="G4528">
        <v>0.24756968613870101</v>
      </c>
      <c r="H4528">
        <v>0.190140580259093</v>
      </c>
      <c r="I4528">
        <v>0.122435300700263</v>
      </c>
      <c r="J4528">
        <v>0.11813777125371901</v>
      </c>
      <c r="K4528">
        <v>7.0103240879346801E-2</v>
      </c>
      <c r="L4528">
        <v>474.05852406576901</v>
      </c>
      <c r="M4528">
        <v>9.7221790524371396</v>
      </c>
      <c r="N4528">
        <v>49.281231469872502</v>
      </c>
      <c r="O4528">
        <v>46.831691393868702</v>
      </c>
      <c r="P4528">
        <v>-4.9392962389336798E-2</v>
      </c>
      <c r="Q4528">
        <v>4.8812436100007101E-2</v>
      </c>
      <c r="R4528">
        <v>0.98219454718680699</v>
      </c>
      <c r="S4528" t="s">
        <v>11144</v>
      </c>
      <c r="T4528" t="s">
        <v>13232</v>
      </c>
      <c r="U4528" t="s">
        <v>13232</v>
      </c>
      <c r="V4528" t="s">
        <v>13232</v>
      </c>
      <c r="W4528" t="s">
        <v>17697</v>
      </c>
      <c r="X4528">
        <v>7</v>
      </c>
      <c r="Y4528" t="s">
        <v>24113</v>
      </c>
      <c r="Z4528" t="s">
        <v>30659</v>
      </c>
      <c r="AA4528">
        <v>0.37603311207590828</v>
      </c>
      <c r="AB4528" t="str">
        <f>HYPERLINK("Melting_Curves/meltCurve_Q8NI36_WDR36.pdf", "Melting_Curves/meltCurve_Q8NI36_WDR36.pdf")</f>
        <v>Melting_Curves/meltCurve_Q8NI36_WDR36.pdf</v>
      </c>
    </row>
    <row r="4529" spans="1:28" x14ac:dyDescent="0.25">
      <c r="A4529" t="s">
        <v>4532</v>
      </c>
      <c r="B4529">
        <v>0.99930955844802105</v>
      </c>
      <c r="C4529">
        <v>1.27629113390336</v>
      </c>
      <c r="D4529">
        <v>1.1302373041598801</v>
      </c>
      <c r="E4529">
        <v>1.1038650168189199</v>
      </c>
      <c r="F4529">
        <v>1.12511407285245</v>
      </c>
      <c r="G4529">
        <v>1.0332414893706701</v>
      </c>
      <c r="H4529">
        <v>1.3035574145712101</v>
      </c>
      <c r="I4529">
        <v>1.5590153926160899</v>
      </c>
      <c r="J4529">
        <v>1.55877852912057</v>
      </c>
      <c r="K4529">
        <v>1.19471947976033</v>
      </c>
      <c r="L4529">
        <v>352.19776347854798</v>
      </c>
      <c r="M4529">
        <v>6.2058572086490704</v>
      </c>
      <c r="O4529">
        <v>51.710465745523798</v>
      </c>
      <c r="P4529">
        <v>1.50445086163061E-2</v>
      </c>
      <c r="Q4529">
        <v>1.5</v>
      </c>
      <c r="R4529">
        <v>0.34994191391412299</v>
      </c>
      <c r="S4529" t="s">
        <v>11145</v>
      </c>
      <c r="T4529" t="s">
        <v>13232</v>
      </c>
      <c r="U4529" t="s">
        <v>13232</v>
      </c>
      <c r="V4529" t="s">
        <v>13232</v>
      </c>
      <c r="W4529" t="s">
        <v>17698</v>
      </c>
      <c r="X4529">
        <v>2</v>
      </c>
      <c r="Y4529" t="s">
        <v>24114</v>
      </c>
      <c r="Z4529" t="s">
        <v>30660</v>
      </c>
      <c r="AA4529">
        <v>1.217109184135537</v>
      </c>
      <c r="AB4529" t="str">
        <f>HYPERLINK("Melting_Curves/meltCurve_Q8NI51_8_CTCFL.pdf", "Melting_Curves/meltCurve_Q8NI51_8_CTCFL.pdf")</f>
        <v>Melting_Curves/meltCurve_Q8NI51_8_CTCFL.pdf</v>
      </c>
    </row>
    <row r="4530" spans="1:28" x14ac:dyDescent="0.25">
      <c r="A4530" t="s">
        <v>4533</v>
      </c>
      <c r="B4530">
        <v>0.99930955844802105</v>
      </c>
      <c r="C4530">
        <v>0.98787851441150099</v>
      </c>
      <c r="D4530">
        <v>1.09029551903708</v>
      </c>
      <c r="E4530">
        <v>0.85881013503756998</v>
      </c>
      <c r="F4530">
        <v>0.74427895037194403</v>
      </c>
      <c r="G4530">
        <v>0.70695764637934899</v>
      </c>
      <c r="H4530">
        <v>0.75829353235248198</v>
      </c>
      <c r="I4530">
        <v>0.82107132261187099</v>
      </c>
      <c r="J4530">
        <v>0.82606713165544599</v>
      </c>
      <c r="K4530">
        <v>0.58925442297846997</v>
      </c>
      <c r="L4530">
        <v>6801.4480195370998</v>
      </c>
      <c r="M4530">
        <v>136.20961251563</v>
      </c>
      <c r="O4530">
        <v>49.922924395910798</v>
      </c>
      <c r="P4530">
        <v>-0.17668420941139101</v>
      </c>
      <c r="Q4530">
        <v>0.74097005037784802</v>
      </c>
      <c r="R4530">
        <v>0.77583147332268398</v>
      </c>
      <c r="S4530" t="s">
        <v>11146</v>
      </c>
      <c r="T4530" t="s">
        <v>13232</v>
      </c>
      <c r="U4530" t="s">
        <v>13232</v>
      </c>
      <c r="V4530" t="s">
        <v>13232</v>
      </c>
      <c r="W4530" t="s">
        <v>17699</v>
      </c>
      <c r="X4530">
        <v>10</v>
      </c>
      <c r="Y4530" t="s">
        <v>24115</v>
      </c>
      <c r="Z4530" t="s">
        <v>30661</v>
      </c>
      <c r="AA4530">
        <v>0.82681729813576088</v>
      </c>
      <c r="AB4530" t="str">
        <f>HYPERLINK("Melting_Curves/meltCurve_Q8TA86_RP9.pdf", "Melting_Curves/meltCurve_Q8TA86_RP9.pdf")</f>
        <v>Melting_Curves/meltCurve_Q8TA86_RP9.pdf</v>
      </c>
    </row>
    <row r="4531" spans="1:28" x14ac:dyDescent="0.25">
      <c r="A4531" t="s">
        <v>4534</v>
      </c>
      <c r="B4531">
        <v>0.99930955844802105</v>
      </c>
      <c r="C4531">
        <v>1.1623137397152601</v>
      </c>
      <c r="D4531">
        <v>1.1600672792806299</v>
      </c>
      <c r="E4531">
        <v>1.14599253841833</v>
      </c>
      <c r="F4531">
        <v>0.72209003941644101</v>
      </c>
      <c r="G4531">
        <v>0.37934261340152098</v>
      </c>
      <c r="H4531">
        <v>0.21489304630900699</v>
      </c>
      <c r="I4531">
        <v>0.16471627916714399</v>
      </c>
      <c r="J4531">
        <v>0.142735061203662</v>
      </c>
      <c r="K4531">
        <v>0.107874432056492</v>
      </c>
      <c r="L4531">
        <v>1739.6650118305399</v>
      </c>
      <c r="M4531">
        <v>31.660651549689799</v>
      </c>
      <c r="N4531">
        <v>55.560067410769904</v>
      </c>
      <c r="O4531">
        <v>54.729401189110099</v>
      </c>
      <c r="P4531">
        <v>-0.123309140273866</v>
      </c>
      <c r="Q4531">
        <v>0.14738316486320199</v>
      </c>
      <c r="R4531">
        <v>0.95113114506695795</v>
      </c>
      <c r="S4531" t="s">
        <v>11147</v>
      </c>
      <c r="T4531" t="s">
        <v>13232</v>
      </c>
      <c r="U4531" t="s">
        <v>13232</v>
      </c>
      <c r="V4531" t="s">
        <v>13232</v>
      </c>
      <c r="W4531" t="s">
        <v>17700</v>
      </c>
      <c r="X4531">
        <v>8</v>
      </c>
      <c r="Y4531" t="s">
        <v>24116</v>
      </c>
      <c r="Z4531" t="s">
        <v>30662</v>
      </c>
      <c r="AA4531">
        <v>0.57729367093755835</v>
      </c>
      <c r="AB4531" t="str">
        <f>HYPERLINK("Melting_Curves/meltCurve_Q8TAC1_RFESD.pdf", "Melting_Curves/meltCurve_Q8TAC1_RFESD.pdf")</f>
        <v>Melting_Curves/meltCurve_Q8TAC1_RFESD.pdf</v>
      </c>
    </row>
    <row r="4532" spans="1:28" x14ac:dyDescent="0.25">
      <c r="A4532" t="s">
        <v>4535</v>
      </c>
      <c r="B4532">
        <v>0.99930955844802105</v>
      </c>
      <c r="C4532">
        <v>1.15971793672629</v>
      </c>
      <c r="D4532">
        <v>0.71464856138547395</v>
      </c>
      <c r="E4532">
        <v>0.63132192090950801</v>
      </c>
      <c r="F4532">
        <v>0.52870196162319005</v>
      </c>
      <c r="G4532">
        <v>0.56607170955326003</v>
      </c>
      <c r="H4532">
        <v>0.64639716780692602</v>
      </c>
      <c r="I4532">
        <v>0.73460999713258102</v>
      </c>
      <c r="J4532">
        <v>0.74165361861676704</v>
      </c>
      <c r="K4532">
        <v>0.58590585643426696</v>
      </c>
      <c r="L4532">
        <v>11442.1446643161</v>
      </c>
      <c r="M4532">
        <v>250</v>
      </c>
      <c r="O4532">
        <v>45.765649748961899</v>
      </c>
      <c r="P4532">
        <v>-0.50048020597823595</v>
      </c>
      <c r="Q4532">
        <v>0.63352317123721202</v>
      </c>
      <c r="R4532">
        <v>0.81957384271686595</v>
      </c>
      <c r="S4532" t="s">
        <v>11148</v>
      </c>
      <c r="T4532" t="s">
        <v>13232</v>
      </c>
      <c r="U4532" t="s">
        <v>13232</v>
      </c>
      <c r="V4532" t="s">
        <v>13232</v>
      </c>
      <c r="W4532" t="s">
        <v>17701</v>
      </c>
      <c r="X4532">
        <v>3</v>
      </c>
      <c r="Y4532" t="s">
        <v>24117</v>
      </c>
      <c r="Z4532" t="s">
        <v>30663</v>
      </c>
      <c r="AA4532">
        <v>0.70402095490078642</v>
      </c>
      <c r="AB4532" t="str">
        <f>HYPERLINK("Melting_Curves/meltCurve_Q8TAD8_SNIP1.pdf", "Melting_Curves/meltCurve_Q8TAD8_SNIP1.pdf")</f>
        <v>Melting_Curves/meltCurve_Q8TAD8_SNIP1.pdf</v>
      </c>
    </row>
    <row r="4533" spans="1:28" x14ac:dyDescent="0.25">
      <c r="A4533" t="s">
        <v>4536</v>
      </c>
      <c r="B4533">
        <v>0.99930955844802105</v>
      </c>
      <c r="C4533">
        <v>1.00126229069405</v>
      </c>
      <c r="D4533">
        <v>1.05236453978318</v>
      </c>
      <c r="E4533">
        <v>0.94004210170411096</v>
      </c>
      <c r="F4533">
        <v>0.75920824641589102</v>
      </c>
      <c r="G4533">
        <v>0.71120414517010699</v>
      </c>
      <c r="H4533">
        <v>0.68989388628646597</v>
      </c>
      <c r="I4533">
        <v>0.66201410328686505</v>
      </c>
      <c r="J4533">
        <v>0.64608190784643904</v>
      </c>
      <c r="K4533">
        <v>0.474459686756385</v>
      </c>
      <c r="L4533">
        <v>707.989229509344</v>
      </c>
      <c r="M4533">
        <v>12.7816058213823</v>
      </c>
      <c r="O4533">
        <v>54.087903862501101</v>
      </c>
      <c r="P4533">
        <v>-2.6903846955847199E-2</v>
      </c>
      <c r="Q4533">
        <v>0.544690028894111</v>
      </c>
      <c r="R4533">
        <v>0.90586129761109102</v>
      </c>
      <c r="S4533" t="s">
        <v>11149</v>
      </c>
      <c r="T4533" t="s">
        <v>13232</v>
      </c>
      <c r="U4533" t="s">
        <v>13232</v>
      </c>
      <c r="V4533" t="s">
        <v>13232</v>
      </c>
      <c r="W4533" t="s">
        <v>17702</v>
      </c>
      <c r="X4533">
        <v>3</v>
      </c>
      <c r="Y4533" t="s">
        <v>24118</v>
      </c>
      <c r="Z4533" t="s">
        <v>30664</v>
      </c>
      <c r="AA4533">
        <v>0.78803632125748857</v>
      </c>
      <c r="AB4533" t="str">
        <f>HYPERLINK("Melting_Curves/meltCurve_Q8TAE6_PPP1R14C.pdf", "Melting_Curves/meltCurve_Q8TAE6_PPP1R14C.pdf")</f>
        <v>Melting_Curves/meltCurve_Q8TAE6_PPP1R14C.pdf</v>
      </c>
    </row>
    <row r="4534" spans="1:28" x14ac:dyDescent="0.25">
      <c r="A4534" t="s">
        <v>4537</v>
      </c>
      <c r="B4534">
        <v>0.99930955844802105</v>
      </c>
      <c r="C4534">
        <v>0.82710426322778297</v>
      </c>
      <c r="D4534">
        <v>0.83972834304099897</v>
      </c>
      <c r="E4534">
        <v>0.69219051103260298</v>
      </c>
      <c r="F4534">
        <v>0.61602002162209801</v>
      </c>
      <c r="G4534">
        <v>0.43638628146956598</v>
      </c>
      <c r="H4534">
        <v>0.337690488891848</v>
      </c>
      <c r="I4534">
        <v>0.286854072301163</v>
      </c>
      <c r="J4534">
        <v>0.24760211345917399</v>
      </c>
      <c r="K4534">
        <v>0.24422236411788201</v>
      </c>
      <c r="L4534">
        <v>444.83580620390001</v>
      </c>
      <c r="M4534">
        <v>8.2676959326359594</v>
      </c>
      <c r="N4534">
        <v>55.432288207154997</v>
      </c>
      <c r="O4534">
        <v>50.931820845203603</v>
      </c>
      <c r="P4534">
        <v>-3.6243456814537597E-2</v>
      </c>
      <c r="Q4534">
        <v>0.107803903194978</v>
      </c>
      <c r="R4534">
        <v>0.98496355761113596</v>
      </c>
      <c r="S4534" t="s">
        <v>11150</v>
      </c>
      <c r="T4534" t="s">
        <v>13232</v>
      </c>
      <c r="U4534" t="s">
        <v>13232</v>
      </c>
      <c r="V4534" t="s">
        <v>13232</v>
      </c>
      <c r="W4534" t="s">
        <v>17703</v>
      </c>
      <c r="X4534">
        <v>3</v>
      </c>
      <c r="Y4534" t="s">
        <v>24119</v>
      </c>
      <c r="Z4534" t="s">
        <v>30665</v>
      </c>
      <c r="AA4534">
        <v>0.54943261528811382</v>
      </c>
      <c r="AB4534" t="str">
        <f>HYPERLINK("Melting_Curves/meltCurve_Q8TAE8_GADD45GIP1.pdf", "Melting_Curves/meltCurve_Q8TAE8_GADD45GIP1.pdf")</f>
        <v>Melting_Curves/meltCurve_Q8TAE8_GADD45GIP1.pdf</v>
      </c>
    </row>
    <row r="4535" spans="1:28" x14ac:dyDescent="0.25">
      <c r="A4535" t="s">
        <v>4538</v>
      </c>
      <c r="B4535">
        <v>0.99930955844802105</v>
      </c>
      <c r="C4535">
        <v>0.93691526776040202</v>
      </c>
      <c r="D4535">
        <v>0.93325777550627198</v>
      </c>
      <c r="E4535">
        <v>0.91618548612218798</v>
      </c>
      <c r="F4535">
        <v>0.81857596462202398</v>
      </c>
      <c r="G4535">
        <v>0.57465144976420302</v>
      </c>
      <c r="H4535">
        <v>0.142650265879979</v>
      </c>
      <c r="I4535">
        <v>0.11226207421501</v>
      </c>
      <c r="J4535">
        <v>9.3605340697500802E-2</v>
      </c>
      <c r="K4535">
        <v>6.9214431506695401E-2</v>
      </c>
      <c r="L4535">
        <v>1263.0047002906899</v>
      </c>
      <c r="M4535">
        <v>22.1913054969211</v>
      </c>
      <c r="N4535">
        <v>57.122546871731799</v>
      </c>
      <c r="O4535">
        <v>56.458264753062799</v>
      </c>
      <c r="P4535">
        <v>-9.4449576990409095E-2</v>
      </c>
      <c r="Q4535">
        <v>3.8840839580245097E-2</v>
      </c>
      <c r="R4535">
        <v>0.98657115725722799</v>
      </c>
      <c r="S4535" t="s">
        <v>11151</v>
      </c>
      <c r="T4535" t="s">
        <v>13232</v>
      </c>
      <c r="U4535" t="s">
        <v>13232</v>
      </c>
      <c r="V4535" t="s">
        <v>13232</v>
      </c>
      <c r="W4535" t="s">
        <v>17704</v>
      </c>
      <c r="X4535">
        <v>19</v>
      </c>
      <c r="Y4535" t="s">
        <v>24120</v>
      </c>
      <c r="Z4535" t="s">
        <v>30666</v>
      </c>
      <c r="AA4535">
        <v>0.59109487802805605</v>
      </c>
      <c r="AB4535" t="str">
        <f>HYPERLINK("Melting_Curves/meltCurve_Q8TAF3_WDR48.pdf", "Melting_Curves/meltCurve_Q8TAF3_WDR48.pdf")</f>
        <v>Melting_Curves/meltCurve_Q8TAF3_WDR48.pdf</v>
      </c>
    </row>
    <row r="4536" spans="1:28" x14ac:dyDescent="0.25">
      <c r="A4536" t="s">
        <v>4539</v>
      </c>
      <c r="B4536">
        <v>0.99930955844802105</v>
      </c>
      <c r="C4536">
        <v>0.96543990590472895</v>
      </c>
      <c r="D4536">
        <v>0.84174721191037705</v>
      </c>
      <c r="E4536">
        <v>0.75411276731401899</v>
      </c>
      <c r="F4536">
        <v>0.59934940563231098</v>
      </c>
      <c r="G4536">
        <v>0.42532669749615398</v>
      </c>
      <c r="H4536">
        <v>0.146533043171301</v>
      </c>
      <c r="I4536">
        <v>8.9293559593374996E-2</v>
      </c>
      <c r="J4536">
        <v>4.5779161124489501E-2</v>
      </c>
      <c r="K4536">
        <v>4.1415136557342101E-2</v>
      </c>
      <c r="L4536">
        <v>715.71097116976102</v>
      </c>
      <c r="M4536">
        <v>13.162955338038399</v>
      </c>
      <c r="N4536">
        <v>54.373121516288201</v>
      </c>
      <c r="O4536">
        <v>53.164105716416799</v>
      </c>
      <c r="P4536">
        <v>-6.1908173447930197E-2</v>
      </c>
      <c r="Q4536">
        <v>0</v>
      </c>
      <c r="R4536">
        <v>0.98873212587423798</v>
      </c>
      <c r="S4536" t="s">
        <v>11152</v>
      </c>
      <c r="T4536" t="s">
        <v>13232</v>
      </c>
      <c r="U4536" t="s">
        <v>13232</v>
      </c>
      <c r="V4536" t="s">
        <v>13232</v>
      </c>
      <c r="W4536" t="s">
        <v>17705</v>
      </c>
      <c r="X4536">
        <v>3</v>
      </c>
      <c r="Y4536" t="s">
        <v>24121</v>
      </c>
      <c r="Z4536" t="s">
        <v>30667</v>
      </c>
      <c r="AA4536">
        <v>0.50223380327576128</v>
      </c>
      <c r="AB4536" t="str">
        <f>HYPERLINK("Melting_Curves/meltCurve_Q8TAP6_CEP76.pdf", "Melting_Curves/meltCurve_Q8TAP6_CEP76.pdf")</f>
        <v>Melting_Curves/meltCurve_Q8TAP6_CEP76.pdf</v>
      </c>
    </row>
    <row r="4537" spans="1:28" x14ac:dyDescent="0.25">
      <c r="A4537" t="s">
        <v>4540</v>
      </c>
      <c r="B4537">
        <v>0.99930955844802105</v>
      </c>
      <c r="C4537">
        <v>0.88635932771297898</v>
      </c>
      <c r="D4537">
        <v>0.86742452545912296</v>
      </c>
      <c r="E4537">
        <v>0.80174289536175003</v>
      </c>
      <c r="F4537">
        <v>0.66765682400720305</v>
      </c>
      <c r="G4537">
        <v>0.60897449736148501</v>
      </c>
      <c r="H4537">
        <v>0.56086551885041303</v>
      </c>
      <c r="I4537">
        <v>0.62165551893594295</v>
      </c>
      <c r="J4537">
        <v>0.59996570050282205</v>
      </c>
      <c r="K4537">
        <v>0.48748120019820301</v>
      </c>
      <c r="L4537">
        <v>519.41243272020199</v>
      </c>
      <c r="M4537">
        <v>10.376495507351001</v>
      </c>
      <c r="O4537">
        <v>48.304539683562901</v>
      </c>
      <c r="P4537">
        <v>-2.56793468204101E-2</v>
      </c>
      <c r="Q4537">
        <v>0.52203303899355302</v>
      </c>
      <c r="R4537">
        <v>0.94259107884019699</v>
      </c>
      <c r="S4537" t="s">
        <v>11153</v>
      </c>
      <c r="T4537" t="s">
        <v>13232</v>
      </c>
      <c r="U4537" t="s">
        <v>13232</v>
      </c>
      <c r="V4537" t="s">
        <v>13232</v>
      </c>
      <c r="W4537" t="s">
        <v>17706</v>
      </c>
      <c r="X4537">
        <v>7</v>
      </c>
      <c r="Y4537" t="s">
        <v>24122</v>
      </c>
      <c r="Z4537" t="s">
        <v>30668</v>
      </c>
      <c r="AA4537">
        <v>0.7026976387475965</v>
      </c>
      <c r="AB4537" t="str">
        <f>HYPERLINK("Melting_Curves/meltCurve_Q8TAP8_PPP1R35.pdf", "Melting_Curves/meltCurve_Q8TAP8_PPP1R35.pdf")</f>
        <v>Melting_Curves/meltCurve_Q8TAP8_PPP1R35.pdf</v>
      </c>
    </row>
    <row r="4538" spans="1:28" x14ac:dyDescent="0.25">
      <c r="A4538" t="s">
        <v>4541</v>
      </c>
      <c r="B4538">
        <v>0.99930955844802105</v>
      </c>
      <c r="C4538">
        <v>1.9638661686408001</v>
      </c>
      <c r="D4538">
        <v>1.6069396826225599</v>
      </c>
      <c r="E4538">
        <v>1.30740812108236</v>
      </c>
      <c r="F4538">
        <v>1.6257804459170699</v>
      </c>
      <c r="G4538">
        <v>1.60914579261268</v>
      </c>
      <c r="H4538">
        <v>2.0955358856867798</v>
      </c>
      <c r="I4538">
        <v>2.4828544397382801</v>
      </c>
      <c r="J4538">
        <v>2.5788171903236599</v>
      </c>
      <c r="K4538">
        <v>2.1436432389987599</v>
      </c>
      <c r="L4538">
        <v>10238.2349460108</v>
      </c>
      <c r="M4538">
        <v>250</v>
      </c>
      <c r="O4538">
        <v>40.950315819673598</v>
      </c>
      <c r="P4538">
        <v>0.76311981799232298</v>
      </c>
      <c r="Q4538">
        <v>1.5</v>
      </c>
      <c r="R4538">
        <v>-0.40177523157123102</v>
      </c>
      <c r="S4538" t="s">
        <v>11154</v>
      </c>
      <c r="T4538" t="s">
        <v>13232</v>
      </c>
      <c r="U4538" t="s">
        <v>13232</v>
      </c>
      <c r="V4538" t="s">
        <v>13232</v>
      </c>
      <c r="W4538" t="s">
        <v>17707</v>
      </c>
      <c r="X4538">
        <v>1</v>
      </c>
      <c r="Y4538" t="s">
        <v>24123</v>
      </c>
      <c r="Z4538" t="s">
        <v>30669</v>
      </c>
      <c r="AA4538">
        <v>1.484075047722027</v>
      </c>
      <c r="AB4538" t="str">
        <f>HYPERLINK("Melting_Curves/meltCurve_Q8TAP9_MPLKIP.pdf", "Melting_Curves/meltCurve_Q8TAP9_MPLKIP.pdf")</f>
        <v>Melting_Curves/meltCurve_Q8TAP9_MPLKIP.pdf</v>
      </c>
    </row>
    <row r="4539" spans="1:28" x14ac:dyDescent="0.25">
      <c r="A4539" t="s">
        <v>4542</v>
      </c>
      <c r="B4539">
        <v>0.99930955844802105</v>
      </c>
      <c r="C4539">
        <v>0.86261835358453698</v>
      </c>
      <c r="D4539">
        <v>0.860737762360408</v>
      </c>
      <c r="E4539">
        <v>0.68896231568543098</v>
      </c>
      <c r="F4539">
        <v>0.470844029872104</v>
      </c>
      <c r="G4539">
        <v>0.31841333583409998</v>
      </c>
      <c r="H4539">
        <v>0.179741667598244</v>
      </c>
      <c r="I4539">
        <v>0.145106261112848</v>
      </c>
      <c r="J4539">
        <v>0.12889685168746301</v>
      </c>
      <c r="K4539">
        <v>9.5870150018865299E-2</v>
      </c>
      <c r="L4539">
        <v>615.34607301839299</v>
      </c>
      <c r="M4539">
        <v>11.7392692592305</v>
      </c>
      <c r="N4539">
        <v>52.850482564455902</v>
      </c>
      <c r="O4539">
        <v>50.966033092479002</v>
      </c>
      <c r="P4539">
        <v>-5.4959585108061898E-2</v>
      </c>
      <c r="Q4539">
        <v>4.58223562582123E-2</v>
      </c>
      <c r="R4539">
        <v>0.99256613175995501</v>
      </c>
      <c r="S4539" t="s">
        <v>11155</v>
      </c>
      <c r="T4539" t="s">
        <v>13232</v>
      </c>
      <c r="U4539" t="s">
        <v>13232</v>
      </c>
      <c r="V4539" t="s">
        <v>13232</v>
      </c>
      <c r="W4539" t="s">
        <v>17708</v>
      </c>
      <c r="X4539">
        <v>49</v>
      </c>
      <c r="Y4539" t="s">
        <v>24124</v>
      </c>
      <c r="Z4539" t="s">
        <v>30670</v>
      </c>
      <c r="AA4539">
        <v>0.46991144324803058</v>
      </c>
      <c r="AB4539" t="str">
        <f>HYPERLINK("Melting_Curves/meltCurve_Q8TAQ2_SMARCC2.pdf", "Melting_Curves/meltCurve_Q8TAQ2_SMARCC2.pdf")</f>
        <v>Melting_Curves/meltCurve_Q8TAQ2_SMARCC2.pdf</v>
      </c>
    </row>
    <row r="4540" spans="1:28" x14ac:dyDescent="0.25">
      <c r="A4540" t="s">
        <v>4543</v>
      </c>
      <c r="B4540">
        <v>0.99930955844802105</v>
      </c>
      <c r="C4540">
        <v>0.80387424814849395</v>
      </c>
      <c r="D4540">
        <v>0.79041226761643801</v>
      </c>
      <c r="E4540">
        <v>0.68571765987013</v>
      </c>
      <c r="F4540">
        <v>0.64322366228576</v>
      </c>
      <c r="G4540">
        <v>0.45616717531582501</v>
      </c>
      <c r="H4540">
        <v>0.196657764709744</v>
      </c>
      <c r="I4540">
        <v>0.117579047653844</v>
      </c>
      <c r="J4540">
        <v>8.1021284201762897E-2</v>
      </c>
      <c r="K4540">
        <v>7.3793855215018606E-2</v>
      </c>
      <c r="L4540">
        <v>536.74457595965896</v>
      </c>
      <c r="M4540">
        <v>9.9219833531611599</v>
      </c>
      <c r="N4540">
        <v>54.096500161776802</v>
      </c>
      <c r="O4540">
        <v>52.036605308902502</v>
      </c>
      <c r="P4540">
        <v>-4.7692176550896297E-2</v>
      </c>
      <c r="Q4540">
        <v>0</v>
      </c>
      <c r="R4540">
        <v>0.95901503556414802</v>
      </c>
      <c r="S4540" t="s">
        <v>11156</v>
      </c>
      <c r="T4540" t="s">
        <v>13232</v>
      </c>
      <c r="U4540" t="s">
        <v>13232</v>
      </c>
      <c r="V4540" t="s">
        <v>13232</v>
      </c>
      <c r="W4540" t="s">
        <v>17709</v>
      </c>
      <c r="X4540">
        <v>49</v>
      </c>
      <c r="Y4540" t="s">
        <v>24124</v>
      </c>
      <c r="Z4540" t="s">
        <v>30671</v>
      </c>
      <c r="AA4540">
        <v>0.49984358280276542</v>
      </c>
      <c r="AB4540" t="str">
        <f>HYPERLINK("Melting_Curves/meltCurve_Q8TAQ2_2_SMARCC2.pdf", "Melting_Curves/meltCurve_Q8TAQ2_2_SMARCC2.pdf")</f>
        <v>Melting_Curves/meltCurve_Q8TAQ2_2_SMARCC2.pdf</v>
      </c>
    </row>
    <row r="4541" spans="1:28" x14ac:dyDescent="0.25">
      <c r="A4541" t="s">
        <v>4544</v>
      </c>
      <c r="B4541">
        <v>0.99930955844802105</v>
      </c>
      <c r="C4541">
        <v>1.0824339287539899</v>
      </c>
      <c r="D4541">
        <v>1.0539729517615599</v>
      </c>
      <c r="E4541">
        <v>0.90004654119141803</v>
      </c>
      <c r="F4541">
        <v>0.52003768561501895</v>
      </c>
      <c r="G4541">
        <v>0.220970915351933</v>
      </c>
      <c r="H4541">
        <v>0.12391872637958801</v>
      </c>
      <c r="I4541">
        <v>9.9558997590361603E-2</v>
      </c>
      <c r="J4541">
        <v>8.68017851362861E-2</v>
      </c>
      <c r="K4541">
        <v>6.6642021242629093E-2</v>
      </c>
      <c r="L4541">
        <v>1646.99249418524</v>
      </c>
      <c r="M4541">
        <v>31.079383080487698</v>
      </c>
      <c r="N4541">
        <v>53.352091902527498</v>
      </c>
      <c r="O4541">
        <v>52.775157236867301</v>
      </c>
      <c r="P4541">
        <v>-0.13333499638579799</v>
      </c>
      <c r="Q4541">
        <v>9.4353517829503505E-2</v>
      </c>
      <c r="R4541">
        <v>0.99206580327996496</v>
      </c>
      <c r="S4541" t="s">
        <v>11157</v>
      </c>
      <c r="T4541" t="s">
        <v>13232</v>
      </c>
      <c r="U4541" t="s">
        <v>13232</v>
      </c>
      <c r="V4541" t="s">
        <v>13232</v>
      </c>
      <c r="W4541" t="s">
        <v>17710</v>
      </c>
      <c r="X4541">
        <v>33</v>
      </c>
      <c r="Y4541" t="s">
        <v>24125</v>
      </c>
      <c r="Z4541" t="s">
        <v>30672</v>
      </c>
      <c r="AA4541">
        <v>0.49207029397337299</v>
      </c>
      <c r="AB4541" t="str">
        <f>HYPERLINK("Melting_Curves/meltCurve_Q8TAT6_NPLOC4.pdf", "Melting_Curves/meltCurve_Q8TAT6_NPLOC4.pdf")</f>
        <v>Melting_Curves/meltCurve_Q8TAT6_NPLOC4.pdf</v>
      </c>
    </row>
    <row r="4542" spans="1:28" x14ac:dyDescent="0.25">
      <c r="A4542" t="s">
        <v>4545</v>
      </c>
      <c r="B4542">
        <v>0.99930955844802105</v>
      </c>
      <c r="C4542">
        <v>0.96687907548518504</v>
      </c>
      <c r="D4542">
        <v>0.91461030696498002</v>
      </c>
      <c r="E4542">
        <v>0.674960716088297</v>
      </c>
      <c r="F4542">
        <v>0.292444412673247</v>
      </c>
      <c r="G4542">
        <v>0.18205012048701399</v>
      </c>
      <c r="H4542">
        <v>0.110765205648214</v>
      </c>
      <c r="I4542">
        <v>9.3451888821696E-2</v>
      </c>
      <c r="J4542">
        <v>9.1274287574374904E-2</v>
      </c>
      <c r="K4542">
        <v>7.1496945635033698E-2</v>
      </c>
      <c r="L4542">
        <v>1282.9721233795101</v>
      </c>
      <c r="M4542">
        <v>25.219295181848501</v>
      </c>
      <c r="N4542">
        <v>51.2754298201437</v>
      </c>
      <c r="O4542">
        <v>50.556015913005602</v>
      </c>
      <c r="P4542">
        <v>-0.113504824605138</v>
      </c>
      <c r="Q4542">
        <v>8.9859400745358503E-2</v>
      </c>
      <c r="R4542">
        <v>0.99612846899161001</v>
      </c>
      <c r="S4542" t="s">
        <v>11158</v>
      </c>
      <c r="T4542" t="s">
        <v>13232</v>
      </c>
      <c r="U4542" t="s">
        <v>13232</v>
      </c>
      <c r="V4542" t="s">
        <v>13232</v>
      </c>
      <c r="W4542" t="s">
        <v>17711</v>
      </c>
      <c r="X4542">
        <v>5</v>
      </c>
      <c r="Y4542" t="s">
        <v>24126</v>
      </c>
      <c r="Z4542" t="s">
        <v>30673</v>
      </c>
      <c r="AA4542">
        <v>0.42778416880641662</v>
      </c>
      <c r="AB4542" t="str">
        <f>HYPERLINK("Melting_Curves/meltCurve_Q8TAV0_2_FAM76A.pdf", "Melting_Curves/meltCurve_Q8TAV0_2_FAM76A.pdf")</f>
        <v>Melting_Curves/meltCurve_Q8TAV0_2_FAM76A.pdf</v>
      </c>
    </row>
    <row r="4543" spans="1:28" x14ac:dyDescent="0.25">
      <c r="A4543" t="s">
        <v>4546</v>
      </c>
      <c r="B4543">
        <v>0.99930955844802105</v>
      </c>
      <c r="C4543">
        <v>1.11303489999663</v>
      </c>
      <c r="D4543">
        <v>1.0965194509312099</v>
      </c>
      <c r="E4543">
        <v>0.97878230179731396</v>
      </c>
      <c r="F4543">
        <v>0.576776127020176</v>
      </c>
      <c r="G4543">
        <v>0.19348553949983199</v>
      </c>
      <c r="H4543">
        <v>0.109328304745735</v>
      </c>
      <c r="I4543">
        <v>9.1138677552699193E-2</v>
      </c>
      <c r="J4543">
        <v>8.1498070712844498E-2</v>
      </c>
      <c r="K4543">
        <v>5.2256142878679301E-2</v>
      </c>
      <c r="L4543">
        <v>2083.1597243747501</v>
      </c>
      <c r="M4543">
        <v>39.061744669312397</v>
      </c>
      <c r="N4543">
        <v>53.596468486431903</v>
      </c>
      <c r="O4543">
        <v>53.190739835992296</v>
      </c>
      <c r="P4543">
        <v>-0.16738528222283</v>
      </c>
      <c r="Q4543">
        <v>8.8282030128944602E-2</v>
      </c>
      <c r="R4543">
        <v>0.98615814837416105</v>
      </c>
      <c r="S4543" t="s">
        <v>11159</v>
      </c>
      <c r="T4543" t="s">
        <v>13232</v>
      </c>
      <c r="U4543" t="s">
        <v>13232</v>
      </c>
      <c r="V4543" t="s">
        <v>13232</v>
      </c>
      <c r="W4543" t="s">
        <v>17712</v>
      </c>
      <c r="X4543">
        <v>9</v>
      </c>
      <c r="Y4543" t="s">
        <v>24127</v>
      </c>
      <c r="Z4543" t="s">
        <v>30674</v>
      </c>
      <c r="AA4543">
        <v>0.49690615004057098</v>
      </c>
      <c r="AB4543" t="str">
        <f>HYPERLINK("Melting_Curves/meltCurve_Q8TB03_CXorf38.pdf", "Melting_Curves/meltCurve_Q8TB03_CXorf38.pdf")</f>
        <v>Melting_Curves/meltCurve_Q8TB03_CXorf38.pdf</v>
      </c>
    </row>
    <row r="4544" spans="1:28" x14ac:dyDescent="0.25">
      <c r="A4544" t="s">
        <v>4547</v>
      </c>
      <c r="B4544">
        <v>0.99930955844802105</v>
      </c>
      <c r="C4544">
        <v>1.0464785932187799</v>
      </c>
      <c r="D4544">
        <v>0.92580302144720505</v>
      </c>
      <c r="E4544">
        <v>0.65834539599068098</v>
      </c>
      <c r="F4544">
        <v>0.384220043921353</v>
      </c>
      <c r="G4544">
        <v>0.29055400562240402</v>
      </c>
      <c r="H4544">
        <v>0.26398505835382002</v>
      </c>
      <c r="I4544">
        <v>0.26141158554821098</v>
      </c>
      <c r="J4544">
        <v>0.27162339908959199</v>
      </c>
      <c r="K4544">
        <v>0.202033692889452</v>
      </c>
      <c r="L4544">
        <v>1368.4047532807399</v>
      </c>
      <c r="M4544">
        <v>27.230814980164102</v>
      </c>
      <c r="N4544">
        <v>51.555690296705002</v>
      </c>
      <c r="O4544">
        <v>49.983407333201797</v>
      </c>
      <c r="P4544">
        <v>-0.102307518976714</v>
      </c>
      <c r="Q4544">
        <v>0.24884672607666999</v>
      </c>
      <c r="R4544">
        <v>0.99388543723329403</v>
      </c>
      <c r="S4544" t="s">
        <v>11160</v>
      </c>
      <c r="T4544" t="s">
        <v>13232</v>
      </c>
      <c r="U4544" t="s">
        <v>13232</v>
      </c>
      <c r="V4544" t="s">
        <v>13232</v>
      </c>
      <c r="W4544" t="s">
        <v>17713</v>
      </c>
      <c r="X4544">
        <v>4</v>
      </c>
      <c r="Y4544" t="s">
        <v>24128</v>
      </c>
      <c r="Z4544" t="s">
        <v>30675</v>
      </c>
      <c r="AA4544">
        <v>0.51121307700603447</v>
      </c>
      <c r="AB4544" t="str">
        <f>HYPERLINK("Melting_Curves/meltCurve_Q8TB24_RIN3.pdf", "Melting_Curves/meltCurve_Q8TB24_RIN3.pdf")</f>
        <v>Melting_Curves/meltCurve_Q8TB24_RIN3.pdf</v>
      </c>
    </row>
    <row r="4545" spans="1:28" x14ac:dyDescent="0.25">
      <c r="A4545" t="s">
        <v>4548</v>
      </c>
      <c r="B4545">
        <v>0.99930955844802105</v>
      </c>
      <c r="C4545">
        <v>0.86693320405869401</v>
      </c>
      <c r="D4545">
        <v>0.79474127613248802</v>
      </c>
      <c r="E4545">
        <v>0.54073610157080798</v>
      </c>
      <c r="F4545">
        <v>0.24103907008884001</v>
      </c>
      <c r="G4545">
        <v>0.164729718865602</v>
      </c>
      <c r="H4545">
        <v>9.4529752819345794E-2</v>
      </c>
      <c r="I4545">
        <v>9.2180157872082003E-2</v>
      </c>
      <c r="J4545">
        <v>7.4174394646807501E-2</v>
      </c>
      <c r="K4545">
        <v>6.5736357374127405E-2</v>
      </c>
      <c r="L4545">
        <v>800.19049376938995</v>
      </c>
      <c r="M4545">
        <v>16.165632510654401</v>
      </c>
      <c r="N4545">
        <v>49.8716984607534</v>
      </c>
      <c r="O4545">
        <v>48.760602179924497</v>
      </c>
      <c r="P4545">
        <v>-7.8178468172207694E-2</v>
      </c>
      <c r="Q4545">
        <v>5.6828233567819603E-2</v>
      </c>
      <c r="R4545">
        <v>0.99181293419822003</v>
      </c>
      <c r="S4545" t="s">
        <v>11161</v>
      </c>
      <c r="T4545" t="s">
        <v>13232</v>
      </c>
      <c r="U4545" t="s">
        <v>13232</v>
      </c>
      <c r="V4545" t="s">
        <v>13232</v>
      </c>
      <c r="W4545" t="s">
        <v>17714</v>
      </c>
      <c r="X4545">
        <v>11</v>
      </c>
      <c r="Y4545" t="s">
        <v>24129</v>
      </c>
      <c r="Z4545" t="s">
        <v>30676</v>
      </c>
      <c r="AA4545">
        <v>0.37538562780155232</v>
      </c>
      <c r="AB4545" t="str">
        <f>HYPERLINK("Melting_Curves/meltCurve_Q8TB52_FBXO30.pdf", "Melting_Curves/meltCurve_Q8TB52_FBXO30.pdf")</f>
        <v>Melting_Curves/meltCurve_Q8TB52_FBXO30.pdf</v>
      </c>
    </row>
    <row r="4546" spans="1:28" x14ac:dyDescent="0.25">
      <c r="A4546" t="s">
        <v>4549</v>
      </c>
      <c r="B4546">
        <v>0.99930955844802105</v>
      </c>
      <c r="C4546">
        <v>0.63101157926574203</v>
      </c>
      <c r="D4546">
        <v>0.68621542957780401</v>
      </c>
      <c r="E4546">
        <v>1.03029960288389</v>
      </c>
      <c r="F4546">
        <v>0.82044622980840098</v>
      </c>
      <c r="G4546">
        <v>0.27934513750863499</v>
      </c>
      <c r="H4546">
        <v>0.143910179511933</v>
      </c>
      <c r="I4546">
        <v>0.109969368471345</v>
      </c>
      <c r="J4546">
        <v>9.6020226082410898E-2</v>
      </c>
      <c r="K4546">
        <v>7.9513112334641201E-2</v>
      </c>
      <c r="L4546">
        <v>2115.4614767389398</v>
      </c>
      <c r="M4546">
        <v>38.485374157314901</v>
      </c>
      <c r="N4546">
        <v>55.289949357661499</v>
      </c>
      <c r="O4546">
        <v>54.820148900742502</v>
      </c>
      <c r="P4546">
        <v>-0.15788657512423501</v>
      </c>
      <c r="Q4546">
        <v>0.100401665623589</v>
      </c>
      <c r="R4546">
        <v>0.82395355194376396</v>
      </c>
      <c r="S4546" t="s">
        <v>11162</v>
      </c>
      <c r="T4546" t="s">
        <v>13232</v>
      </c>
      <c r="U4546" t="s">
        <v>13232</v>
      </c>
      <c r="V4546" t="s">
        <v>13232</v>
      </c>
      <c r="W4546" t="s">
        <v>17715</v>
      </c>
      <c r="X4546">
        <v>5</v>
      </c>
      <c r="Y4546" t="s">
        <v>24130</v>
      </c>
      <c r="Z4546" t="s">
        <v>30677</v>
      </c>
      <c r="AA4546">
        <v>0.55291617649384006</v>
      </c>
      <c r="AB4546" t="str">
        <f>HYPERLINK("Melting_Curves/meltCurve_Q8TB70_TXNDC9.pdf", "Melting_Curves/meltCurve_Q8TB70_TXNDC9.pdf")</f>
        <v>Melting_Curves/meltCurve_Q8TB70_TXNDC9.pdf</v>
      </c>
    </row>
    <row r="4547" spans="1:28" x14ac:dyDescent="0.25">
      <c r="A4547" t="s">
        <v>4550</v>
      </c>
      <c r="B4547">
        <v>0.99930955844802105</v>
      </c>
      <c r="C4547">
        <v>1.16852904264074</v>
      </c>
      <c r="D4547">
        <v>1.16296800791383</v>
      </c>
      <c r="E4547">
        <v>1.09340350377514</v>
      </c>
      <c r="F4547">
        <v>0.98748594595426198</v>
      </c>
      <c r="G4547">
        <v>0.64923460345818396</v>
      </c>
      <c r="H4547">
        <v>0.906575469387638</v>
      </c>
      <c r="I4547">
        <v>0.97590467098660405</v>
      </c>
      <c r="J4547">
        <v>0.98531478535156403</v>
      </c>
      <c r="K4547">
        <v>0.80037564192434996</v>
      </c>
      <c r="L4547">
        <v>13371.551729807499</v>
      </c>
      <c r="M4547">
        <v>250</v>
      </c>
      <c r="O4547">
        <v>53.482784171729897</v>
      </c>
      <c r="P4547">
        <v>-0.15953609690464499</v>
      </c>
      <c r="Q4547">
        <v>0.86348104598462705</v>
      </c>
      <c r="R4547">
        <v>0.37570941506470301</v>
      </c>
      <c r="S4547" t="s">
        <v>11163</v>
      </c>
      <c r="T4547" t="s">
        <v>13232</v>
      </c>
      <c r="U4547" t="s">
        <v>13232</v>
      </c>
      <c r="V4547" t="s">
        <v>13232</v>
      </c>
      <c r="W4547" t="s">
        <v>17716</v>
      </c>
      <c r="X4547">
        <v>14</v>
      </c>
      <c r="Y4547" t="s">
        <v>24131</v>
      </c>
      <c r="Z4547" t="s">
        <v>30678</v>
      </c>
      <c r="AA4547">
        <v>0.92486462274711867</v>
      </c>
      <c r="AB4547" t="str">
        <f>HYPERLINK("Melting_Curves/meltCurve_Q8TB72_3_PUM2.pdf", "Melting_Curves/meltCurve_Q8TB72_3_PUM2.pdf")</f>
        <v>Melting_Curves/meltCurve_Q8TB72_3_PUM2.pdf</v>
      </c>
    </row>
    <row r="4548" spans="1:28" x14ac:dyDescent="0.25">
      <c r="A4548" t="s">
        <v>4551</v>
      </c>
      <c r="B4548">
        <v>0.99930955844802105</v>
      </c>
      <c r="C4548">
        <v>1.1082727948608899</v>
      </c>
      <c r="D4548">
        <v>1.0674376523150599</v>
      </c>
      <c r="E4548">
        <v>1.0442909185125</v>
      </c>
      <c r="F4548">
        <v>0.96181266664113896</v>
      </c>
      <c r="G4548">
        <v>0.85827515756371797</v>
      </c>
      <c r="H4548">
        <v>0.83717204756649599</v>
      </c>
      <c r="I4548">
        <v>0.93527762648770096</v>
      </c>
      <c r="J4548">
        <v>0.92911501781902495</v>
      </c>
      <c r="K4548">
        <v>0.73537590172117595</v>
      </c>
      <c r="L4548">
        <v>13302.469248949899</v>
      </c>
      <c r="M4548">
        <v>250</v>
      </c>
      <c r="O4548">
        <v>53.206463968430597</v>
      </c>
      <c r="P4548">
        <v>-0.16557766243809999</v>
      </c>
      <c r="Q4548">
        <v>0.85904314817145999</v>
      </c>
      <c r="R4548">
        <v>0.62130078108395204</v>
      </c>
      <c r="S4548" t="s">
        <v>11164</v>
      </c>
      <c r="T4548" t="s">
        <v>13232</v>
      </c>
      <c r="U4548" t="s">
        <v>13232</v>
      </c>
      <c r="V4548" t="s">
        <v>13232</v>
      </c>
      <c r="W4548" t="s">
        <v>17717</v>
      </c>
      <c r="X4548">
        <v>6</v>
      </c>
      <c r="Y4548" t="s">
        <v>24132</v>
      </c>
      <c r="Z4548" t="s">
        <v>30679</v>
      </c>
      <c r="AA4548">
        <v>0.92112373355452692</v>
      </c>
      <c r="AB4548" t="str">
        <f>HYPERLINK("Melting_Curves/meltCurve_Q8TBA6_2_GOLGA5.pdf", "Melting_Curves/meltCurve_Q8TBA6_2_GOLGA5.pdf")</f>
        <v>Melting_Curves/meltCurve_Q8TBA6_2_GOLGA5.pdf</v>
      </c>
    </row>
    <row r="4549" spans="1:28" x14ac:dyDescent="0.25">
      <c r="A4549" t="s">
        <v>4552</v>
      </c>
      <c r="B4549">
        <v>0.99930955844802105</v>
      </c>
      <c r="C4549">
        <v>0.95422340975847497</v>
      </c>
      <c r="D4549">
        <v>0.75376014698264604</v>
      </c>
      <c r="E4549">
        <v>0.53398404024718205</v>
      </c>
      <c r="F4549">
        <v>0.41012279309513799</v>
      </c>
      <c r="G4549">
        <v>0.25620031295411499</v>
      </c>
      <c r="H4549">
        <v>0.145880648557485</v>
      </c>
      <c r="I4549">
        <v>0.11517336168818</v>
      </c>
      <c r="J4549">
        <v>0.104894730954703</v>
      </c>
      <c r="K4549">
        <v>8.5045142722375705E-2</v>
      </c>
      <c r="L4549">
        <v>646.88055130556597</v>
      </c>
      <c r="M4549">
        <v>12.838565053923601</v>
      </c>
      <c r="N4549">
        <v>50.936939972888098</v>
      </c>
      <c r="O4549">
        <v>49.210273651532901</v>
      </c>
      <c r="P4549">
        <v>-6.1004258411976701E-2</v>
      </c>
      <c r="Q4549">
        <v>6.4855488777819006E-2</v>
      </c>
      <c r="R4549">
        <v>0.99518767972906597</v>
      </c>
      <c r="S4549" t="s">
        <v>11165</v>
      </c>
      <c r="T4549" t="s">
        <v>13232</v>
      </c>
      <c r="U4549" t="s">
        <v>13232</v>
      </c>
      <c r="V4549" t="s">
        <v>13232</v>
      </c>
      <c r="W4549" t="s">
        <v>17718</v>
      </c>
      <c r="X4549">
        <v>12</v>
      </c>
      <c r="Y4549" t="s">
        <v>24133</v>
      </c>
      <c r="Z4549" t="s">
        <v>30680</v>
      </c>
      <c r="AA4549">
        <v>0.41709647063793731</v>
      </c>
      <c r="AB4549" t="str">
        <f>HYPERLINK("Melting_Curves/meltCurve_Q8TBB5_3_KLHDC4.pdf", "Melting_Curves/meltCurve_Q8TBB5_3_KLHDC4.pdf")</f>
        <v>Melting_Curves/meltCurve_Q8TBB5_3_KLHDC4.pdf</v>
      </c>
    </row>
    <row r="4550" spans="1:28" x14ac:dyDescent="0.25">
      <c r="A4550" t="s">
        <v>4553</v>
      </c>
      <c r="B4550">
        <v>0.99930955844802105</v>
      </c>
      <c r="C4550">
        <v>0.99665291148931201</v>
      </c>
      <c r="D4550">
        <v>0.96610467745215001</v>
      </c>
      <c r="E4550">
        <v>0.77901569386138103</v>
      </c>
      <c r="F4550">
        <v>0.30181970917068701</v>
      </c>
      <c r="G4550">
        <v>0.14722976685971401</v>
      </c>
      <c r="H4550">
        <v>7.2236428009794504E-2</v>
      </c>
      <c r="I4550">
        <v>5.8929137075921303E-2</v>
      </c>
      <c r="J4550">
        <v>5.0450384902891401E-2</v>
      </c>
      <c r="K4550">
        <v>3.9970535510875503E-2</v>
      </c>
      <c r="L4550">
        <v>1814.80138122117</v>
      </c>
      <c r="M4550">
        <v>35.204917360541202</v>
      </c>
      <c r="N4550">
        <v>51.750272369514803</v>
      </c>
      <c r="O4550">
        <v>51.384173952228799</v>
      </c>
      <c r="P4550">
        <v>-0.160357904163177</v>
      </c>
      <c r="Q4550">
        <v>6.3786463855390593E-2</v>
      </c>
      <c r="R4550">
        <v>0.99731165130622201</v>
      </c>
      <c r="S4550" t="s">
        <v>11166</v>
      </c>
      <c r="T4550" t="s">
        <v>13232</v>
      </c>
      <c r="U4550" t="s">
        <v>13232</v>
      </c>
      <c r="V4550" t="s">
        <v>13232</v>
      </c>
      <c r="W4550" t="s">
        <v>17719</v>
      </c>
      <c r="X4550">
        <v>17</v>
      </c>
      <c r="Y4550" t="s">
        <v>24134</v>
      </c>
      <c r="Z4550" t="s">
        <v>30681</v>
      </c>
      <c r="AA4550">
        <v>0.42852949674183821</v>
      </c>
      <c r="AB4550" t="str">
        <f>HYPERLINK("Melting_Curves/meltCurve_Q8TBC4_UBA3.pdf", "Melting_Curves/meltCurve_Q8TBC4_UBA3.pdf")</f>
        <v>Melting_Curves/meltCurve_Q8TBC4_UBA3.pdf</v>
      </c>
    </row>
    <row r="4551" spans="1:28" x14ac:dyDescent="0.25">
      <c r="A4551" t="s">
        <v>4554</v>
      </c>
      <c r="B4551">
        <v>0.99930955844802105</v>
      </c>
      <c r="C4551">
        <v>1.0920097716666399</v>
      </c>
      <c r="D4551">
        <v>0.98389932256373402</v>
      </c>
      <c r="E4551">
        <v>0.78963811285633201</v>
      </c>
      <c r="F4551">
        <v>0.63242186129695599</v>
      </c>
      <c r="G4551">
        <v>0.426278642291265</v>
      </c>
      <c r="H4551">
        <v>0.33203804466888998</v>
      </c>
      <c r="I4551">
        <v>0.30982569190576198</v>
      </c>
      <c r="J4551">
        <v>0.29283652658610598</v>
      </c>
      <c r="K4551">
        <v>0.23835968082417999</v>
      </c>
      <c r="L4551">
        <v>986.29566754874099</v>
      </c>
      <c r="M4551">
        <v>18.625265586032398</v>
      </c>
      <c r="N4551">
        <v>55.2081206790632</v>
      </c>
      <c r="O4551">
        <v>52.355594187749297</v>
      </c>
      <c r="P4551">
        <v>-6.5262729862261601E-2</v>
      </c>
      <c r="Q4551">
        <v>0.26621790093359599</v>
      </c>
      <c r="R4551">
        <v>0.98657357771626297</v>
      </c>
      <c r="S4551" t="s">
        <v>11167</v>
      </c>
      <c r="T4551" t="s">
        <v>13232</v>
      </c>
      <c r="U4551" t="s">
        <v>13232</v>
      </c>
      <c r="V4551" t="s">
        <v>13232</v>
      </c>
      <c r="W4551" t="s">
        <v>17720</v>
      </c>
      <c r="X4551">
        <v>2</v>
      </c>
      <c r="Y4551" t="s">
        <v>24135</v>
      </c>
      <c r="Z4551" t="s">
        <v>30682</v>
      </c>
      <c r="AA4551">
        <v>0.59445910521123224</v>
      </c>
      <c r="AB4551" t="str">
        <f>HYPERLINK("Melting_Curves/meltCurve_Q8TBC5_4_ZSCAN18.pdf", "Melting_Curves/meltCurve_Q8TBC5_4_ZSCAN18.pdf")</f>
        <v>Melting_Curves/meltCurve_Q8TBC5_4_ZSCAN18.pdf</v>
      </c>
    </row>
    <row r="4552" spans="1:28" x14ac:dyDescent="0.25">
      <c r="A4552" t="s">
        <v>4555</v>
      </c>
      <c r="B4552">
        <v>0.99930955844802105</v>
      </c>
      <c r="C4552">
        <v>1.0560356930932</v>
      </c>
      <c r="D4552">
        <v>1.09870500734806</v>
      </c>
      <c r="E4552">
        <v>1.04065571839833</v>
      </c>
      <c r="F4552">
        <v>0.97083174587243304</v>
      </c>
      <c r="G4552">
        <v>0.94772825681918005</v>
      </c>
      <c r="H4552">
        <v>0.84767587007739598</v>
      </c>
      <c r="I4552">
        <v>1.0203707842388801</v>
      </c>
      <c r="J4552">
        <v>1.1038660862382099</v>
      </c>
      <c r="K4552">
        <v>0.89472090725409403</v>
      </c>
      <c r="L4552">
        <v>13181.170100031</v>
      </c>
      <c r="M4552">
        <v>250</v>
      </c>
      <c r="O4552">
        <v>52.721306391652497</v>
      </c>
      <c r="P4552">
        <v>-4.4014057673388403E-2</v>
      </c>
      <c r="Q4552">
        <v>0.96287234213634298</v>
      </c>
      <c r="R4552">
        <v>0.12117188669915301</v>
      </c>
      <c r="S4552" t="s">
        <v>11168</v>
      </c>
      <c r="T4552" t="s">
        <v>13232</v>
      </c>
      <c r="U4552" t="s">
        <v>13232</v>
      </c>
      <c r="V4552" t="s">
        <v>13232</v>
      </c>
      <c r="W4552" t="s">
        <v>17721</v>
      </c>
      <c r="X4552">
        <v>3</v>
      </c>
      <c r="Y4552" t="s">
        <v>24136</v>
      </c>
      <c r="Z4552" t="s">
        <v>30683</v>
      </c>
      <c r="AA4552">
        <v>0.97862369693941909</v>
      </c>
      <c r="AB4552" t="str">
        <f>HYPERLINK("Melting_Curves/meltCurve_Q8TBE0_3_BAHD1.pdf", "Melting_Curves/meltCurve_Q8TBE0_3_BAHD1.pdf")</f>
        <v>Melting_Curves/meltCurve_Q8TBE0_3_BAHD1.pdf</v>
      </c>
    </row>
    <row r="4553" spans="1:28" x14ac:dyDescent="0.25">
      <c r="A4553" t="s">
        <v>4556</v>
      </c>
      <c r="B4553">
        <v>0.99930955844802105</v>
      </c>
      <c r="C4553">
        <v>1.15651025056979</v>
      </c>
      <c r="D4553">
        <v>1.10564108688999</v>
      </c>
      <c r="E4553">
        <v>0.69977902188580099</v>
      </c>
      <c r="F4553">
        <v>0.28070058595615799</v>
      </c>
      <c r="G4553">
        <v>0.19665597110665001</v>
      </c>
      <c r="H4553">
        <v>0.120623973471744</v>
      </c>
      <c r="I4553">
        <v>8.5456922506076005E-2</v>
      </c>
      <c r="J4553">
        <v>7.4343678404272195E-2</v>
      </c>
      <c r="K4553">
        <v>8.6125881600686502E-2</v>
      </c>
      <c r="L4553">
        <v>1953.9673351127601</v>
      </c>
      <c r="M4553">
        <v>38.317703746497003</v>
      </c>
      <c r="N4553">
        <v>51.322007168086401</v>
      </c>
      <c r="O4553">
        <v>50.855555686115899</v>
      </c>
      <c r="P4553">
        <v>-0.16789953006696501</v>
      </c>
      <c r="Q4553">
        <v>0.108651922412021</v>
      </c>
      <c r="R4553">
        <v>0.97523836859188895</v>
      </c>
      <c r="S4553" t="s">
        <v>11169</v>
      </c>
      <c r="T4553" t="s">
        <v>13232</v>
      </c>
      <c r="U4553" t="s">
        <v>13232</v>
      </c>
      <c r="V4553" t="s">
        <v>13232</v>
      </c>
      <c r="W4553" t="s">
        <v>17722</v>
      </c>
      <c r="X4553">
        <v>6</v>
      </c>
      <c r="Y4553" t="s">
        <v>24137</v>
      </c>
      <c r="Z4553" t="s">
        <v>30684</v>
      </c>
      <c r="AA4553">
        <v>0.43872261182597661</v>
      </c>
      <c r="AB4553" t="str">
        <f>HYPERLINK("Melting_Curves/meltCurve_Q8TBE9_NANP.pdf", "Melting_Curves/meltCurve_Q8TBE9_NANP.pdf")</f>
        <v>Melting_Curves/meltCurve_Q8TBE9_NANP.pdf</v>
      </c>
    </row>
    <row r="4554" spans="1:28" x14ac:dyDescent="0.25">
      <c r="A4554" t="s">
        <v>4557</v>
      </c>
      <c r="B4554">
        <v>0.99930955844802105</v>
      </c>
      <c r="C4554">
        <v>1.3150190700181901</v>
      </c>
      <c r="D4554">
        <v>1.20394355594397</v>
      </c>
      <c r="E4554">
        <v>1.1369449141361201</v>
      </c>
      <c r="F4554">
        <v>0.95757918908759998</v>
      </c>
      <c r="G4554">
        <v>0.62893830279150698</v>
      </c>
      <c r="H4554">
        <v>0.49404180267735198</v>
      </c>
      <c r="I4554">
        <v>0.53421374242947295</v>
      </c>
      <c r="J4554">
        <v>0.63690831921997404</v>
      </c>
      <c r="K4554">
        <v>0.46265059593471097</v>
      </c>
      <c r="L4554">
        <v>3094.15148631488</v>
      </c>
      <c r="M4554">
        <v>55.687835446277603</v>
      </c>
      <c r="O4554">
        <v>55.490916988800898</v>
      </c>
      <c r="P4554">
        <v>-0.11742905345533999</v>
      </c>
      <c r="Q4554">
        <v>0.53194501461399202</v>
      </c>
      <c r="R4554">
        <v>0.80842793007688396</v>
      </c>
      <c r="S4554" t="s">
        <v>11170</v>
      </c>
      <c r="T4554" t="s">
        <v>13232</v>
      </c>
      <c r="U4554" t="s">
        <v>13232</v>
      </c>
      <c r="V4554" t="s">
        <v>13232</v>
      </c>
      <c r="W4554" t="s">
        <v>17723</v>
      </c>
      <c r="X4554">
        <v>5</v>
      </c>
      <c r="Y4554" t="s">
        <v>24138</v>
      </c>
      <c r="Z4554" t="s">
        <v>30685</v>
      </c>
      <c r="AA4554">
        <v>0.77567096042511663</v>
      </c>
      <c r="AB4554" t="str">
        <f>HYPERLINK("Melting_Curves/meltCurve_Q8TBF2_4_FAM213B.pdf", "Melting_Curves/meltCurve_Q8TBF2_4_FAM213B.pdf")</f>
        <v>Melting_Curves/meltCurve_Q8TBF2_4_FAM213B.pdf</v>
      </c>
    </row>
    <row r="4555" spans="1:28" x14ac:dyDescent="0.25">
      <c r="A4555" t="s">
        <v>4558</v>
      </c>
      <c r="B4555">
        <v>0.99930955844802105</v>
      </c>
      <c r="C4555">
        <v>0.88599819228279897</v>
      </c>
      <c r="D4555">
        <v>0.86610089253724298</v>
      </c>
      <c r="E4555">
        <v>0.94962315328926095</v>
      </c>
      <c r="F4555">
        <v>0.69223491410164495</v>
      </c>
      <c r="G4555">
        <v>0.577870174660855</v>
      </c>
      <c r="H4555">
        <v>0.50600777979616596</v>
      </c>
      <c r="I4555">
        <v>0.61761949337712196</v>
      </c>
      <c r="J4555">
        <v>0.61468053746826601</v>
      </c>
      <c r="K4555">
        <v>0.433496596561248</v>
      </c>
      <c r="L4555">
        <v>613.98974220337402</v>
      </c>
      <c r="M4555">
        <v>11.6963667337634</v>
      </c>
      <c r="O4555">
        <v>51.030055680383498</v>
      </c>
      <c r="P4555">
        <v>-2.9462229242822199E-2</v>
      </c>
      <c r="Q4555">
        <v>0.485974258498723</v>
      </c>
      <c r="R4555">
        <v>0.84152410546867695</v>
      </c>
      <c r="S4555" t="s">
        <v>11171</v>
      </c>
      <c r="T4555" t="s">
        <v>13232</v>
      </c>
      <c r="U4555" t="s">
        <v>13232</v>
      </c>
      <c r="V4555" t="s">
        <v>13232</v>
      </c>
      <c r="W4555" t="s">
        <v>17724</v>
      </c>
      <c r="X4555">
        <v>2</v>
      </c>
      <c r="Y4555" t="s">
        <v>24139</v>
      </c>
      <c r="Z4555" t="s">
        <v>30686</v>
      </c>
      <c r="AA4555">
        <v>0.71572063815014886</v>
      </c>
      <c r="AB4555" t="str">
        <f>HYPERLINK("Melting_Curves/meltCurve_Q8TBF4_ZCRB1.pdf", "Melting_Curves/meltCurve_Q8TBF4_ZCRB1.pdf")</f>
        <v>Melting_Curves/meltCurve_Q8TBF4_ZCRB1.pdf</v>
      </c>
    </row>
    <row r="4556" spans="1:28" x14ac:dyDescent="0.25">
      <c r="A4556" t="s">
        <v>4559</v>
      </c>
      <c r="B4556">
        <v>0.99930955844802105</v>
      </c>
      <c r="C4556">
        <v>0.77541083185281101</v>
      </c>
      <c r="D4556">
        <v>0.792838190167659</v>
      </c>
      <c r="E4556">
        <v>0.68828034851709596</v>
      </c>
      <c r="F4556">
        <v>0.63920289516105999</v>
      </c>
      <c r="G4556">
        <v>0.40709192826842799</v>
      </c>
      <c r="H4556">
        <v>0.31956779728453399</v>
      </c>
      <c r="I4556">
        <v>0.33363691651282001</v>
      </c>
      <c r="J4556">
        <v>0.28583901509388199</v>
      </c>
      <c r="K4556">
        <v>0.24721642900902299</v>
      </c>
      <c r="L4556">
        <v>388.45184067499798</v>
      </c>
      <c r="M4556">
        <v>7.2392815251694396</v>
      </c>
      <c r="N4556">
        <v>55.385638276496501</v>
      </c>
      <c r="O4556">
        <v>50.018306911867199</v>
      </c>
      <c r="P4556">
        <v>-3.2581237305044503E-2</v>
      </c>
      <c r="Q4556">
        <v>0.101020237798708</v>
      </c>
      <c r="R4556">
        <v>0.95985077809825903</v>
      </c>
      <c r="S4556" t="s">
        <v>11172</v>
      </c>
      <c r="T4556" t="s">
        <v>13232</v>
      </c>
      <c r="U4556" t="s">
        <v>13232</v>
      </c>
      <c r="V4556" t="s">
        <v>13232</v>
      </c>
      <c r="W4556" t="s">
        <v>17725</v>
      </c>
      <c r="X4556">
        <v>2</v>
      </c>
      <c r="Y4556" t="s">
        <v>20575</v>
      </c>
      <c r="Z4556" t="s">
        <v>30687</v>
      </c>
      <c r="AA4556">
        <v>0.54459502925016712</v>
      </c>
      <c r="AB4556" t="str">
        <f>HYPERLINK("Melting_Curves/meltCurve_Q8TBM8_DNAJB14.pdf", "Melting_Curves/meltCurve_Q8TBM8_DNAJB14.pdf")</f>
        <v>Melting_Curves/meltCurve_Q8TBM8_DNAJB14.pdf</v>
      </c>
    </row>
    <row r="4557" spans="1:28" x14ac:dyDescent="0.25">
      <c r="A4557" t="s">
        <v>4560</v>
      </c>
      <c r="B4557">
        <v>0.99930955844802105</v>
      </c>
      <c r="C4557">
        <v>0.93404037303317999</v>
      </c>
      <c r="D4557">
        <v>0.88139023564367502</v>
      </c>
      <c r="E4557">
        <v>0.71893951519954902</v>
      </c>
      <c r="F4557">
        <v>0.45667622305292599</v>
      </c>
      <c r="G4557">
        <v>0.241574378175581</v>
      </c>
      <c r="H4557">
        <v>0.190369240568452</v>
      </c>
      <c r="I4557">
        <v>0.19050778229330201</v>
      </c>
      <c r="J4557">
        <v>0.16720580848231301</v>
      </c>
      <c r="K4557">
        <v>0.14982844279094501</v>
      </c>
      <c r="L4557">
        <v>935.61722199833696</v>
      </c>
      <c r="M4557">
        <v>18.187552098417498</v>
      </c>
      <c r="N4557">
        <v>52.448259067395099</v>
      </c>
      <c r="O4557">
        <v>50.832912249098797</v>
      </c>
      <c r="P4557">
        <v>-7.6285133063473703E-2</v>
      </c>
      <c r="Q4557">
        <v>0.14719434357969799</v>
      </c>
      <c r="R4557">
        <v>0.99511511877027503</v>
      </c>
      <c r="S4557" t="s">
        <v>11173</v>
      </c>
      <c r="T4557" t="s">
        <v>13232</v>
      </c>
      <c r="U4557" t="s">
        <v>13232</v>
      </c>
      <c r="V4557" t="s">
        <v>13232</v>
      </c>
      <c r="W4557" t="s">
        <v>17726</v>
      </c>
      <c r="X4557">
        <v>10</v>
      </c>
      <c r="Y4557" t="s">
        <v>24140</v>
      </c>
      <c r="Z4557" t="s">
        <v>30688</v>
      </c>
      <c r="AA4557">
        <v>0.48650976625441938</v>
      </c>
      <c r="AB4557" t="str">
        <f>HYPERLINK("Melting_Curves/meltCurve_Q8TBN0_RAB3IL1.pdf", "Melting_Curves/meltCurve_Q8TBN0_RAB3IL1.pdf")</f>
        <v>Melting_Curves/meltCurve_Q8TBN0_RAB3IL1.pdf</v>
      </c>
    </row>
    <row r="4558" spans="1:28" x14ac:dyDescent="0.25">
      <c r="A4558" t="s">
        <v>4561</v>
      </c>
      <c r="B4558">
        <v>0.99930955844802105</v>
      </c>
      <c r="C4558">
        <v>0.89135198036437202</v>
      </c>
      <c r="D4558">
        <v>0.69205977231782201</v>
      </c>
      <c r="E4558">
        <v>0.53687592644158</v>
      </c>
      <c r="F4558">
        <v>0.33669206699867499</v>
      </c>
      <c r="G4558">
        <v>0.23371882760583901</v>
      </c>
      <c r="H4558">
        <v>0.160658133247816</v>
      </c>
      <c r="I4558">
        <v>0.142344690096042</v>
      </c>
      <c r="J4558">
        <v>0.128729828698147</v>
      </c>
      <c r="K4558">
        <v>9.7768120013056001E-2</v>
      </c>
      <c r="L4558">
        <v>629.00714138932699</v>
      </c>
      <c r="M4558">
        <v>12.772579822441701</v>
      </c>
      <c r="N4558">
        <v>50.037851672987898</v>
      </c>
      <c r="O4558">
        <v>48.086309973504498</v>
      </c>
      <c r="P4558">
        <v>-6.0344249393583099E-2</v>
      </c>
      <c r="Q4558">
        <v>9.1433470648437501E-2</v>
      </c>
      <c r="R4558">
        <v>0.99415363639661902</v>
      </c>
      <c r="S4558" t="s">
        <v>11174</v>
      </c>
      <c r="T4558" t="s">
        <v>13232</v>
      </c>
      <c r="U4558" t="s">
        <v>13232</v>
      </c>
      <c r="V4558" t="s">
        <v>13232</v>
      </c>
      <c r="W4558" t="s">
        <v>17727</v>
      </c>
      <c r="X4558">
        <v>17</v>
      </c>
      <c r="Y4558" t="s">
        <v>24141</v>
      </c>
      <c r="Z4558" t="s">
        <v>30689</v>
      </c>
      <c r="AA4558">
        <v>0.40108764640861722</v>
      </c>
      <c r="AB4558" t="str">
        <f>HYPERLINK("Melting_Curves/meltCurve_Q8TBX8_PIP4K2C.pdf", "Melting_Curves/meltCurve_Q8TBX8_PIP4K2C.pdf")</f>
        <v>Melting_Curves/meltCurve_Q8TBX8_PIP4K2C.pdf</v>
      </c>
    </row>
    <row r="4559" spans="1:28" x14ac:dyDescent="0.25">
      <c r="A4559" t="s">
        <v>4562</v>
      </c>
      <c r="B4559">
        <v>0.99930955844802105</v>
      </c>
      <c r="C4559">
        <v>1.0006612368061301</v>
      </c>
      <c r="D4559">
        <v>0.95293297509017405</v>
      </c>
      <c r="E4559">
        <v>0.829967083556158</v>
      </c>
      <c r="F4559">
        <v>0.73202493565023796</v>
      </c>
      <c r="G4559">
        <v>0.27247722115932699</v>
      </c>
      <c r="H4559">
        <v>0.15784742152553499</v>
      </c>
      <c r="I4559">
        <v>0.172630750000376</v>
      </c>
      <c r="J4559">
        <v>0.15412825118019299</v>
      </c>
      <c r="K4559">
        <v>0.108282831144848</v>
      </c>
      <c r="L4559">
        <v>1344.8301785142601</v>
      </c>
      <c r="M4559">
        <v>24.874771989911</v>
      </c>
      <c r="N4559">
        <v>54.693858975268903</v>
      </c>
      <c r="O4559">
        <v>53.7182258578298</v>
      </c>
      <c r="P4559">
        <v>-0.101349275421678</v>
      </c>
      <c r="Q4559">
        <v>0.12453794244239701</v>
      </c>
      <c r="R4559">
        <v>0.99028636340670195</v>
      </c>
      <c r="S4559" t="s">
        <v>11175</v>
      </c>
      <c r="T4559" t="s">
        <v>13232</v>
      </c>
      <c r="U4559" t="s">
        <v>13232</v>
      </c>
      <c r="V4559" t="s">
        <v>13232</v>
      </c>
      <c r="W4559" t="s">
        <v>17728</v>
      </c>
      <c r="X4559">
        <v>12</v>
      </c>
      <c r="Y4559" t="s">
        <v>24142</v>
      </c>
      <c r="Z4559" t="s">
        <v>30690</v>
      </c>
      <c r="AA4559">
        <v>0.54313196690915122</v>
      </c>
      <c r="AB4559" t="str">
        <f>HYPERLINK("Melting_Curves/meltCurve_Q8TBZ6_TRMT10A.pdf", "Melting_Curves/meltCurve_Q8TBZ6_TRMT10A.pdf")</f>
        <v>Melting_Curves/meltCurve_Q8TBZ6_TRMT10A.pdf</v>
      </c>
    </row>
    <row r="4560" spans="1:28" x14ac:dyDescent="0.25">
      <c r="A4560" t="s">
        <v>4563</v>
      </c>
      <c r="B4560">
        <v>0.99930955844802105</v>
      </c>
      <c r="C4560">
        <v>1.06499637697803</v>
      </c>
      <c r="D4560">
        <v>0.98150741019255106</v>
      </c>
      <c r="E4560">
        <v>0.74212972571054203</v>
      </c>
      <c r="F4560">
        <v>0.40035425700031402</v>
      </c>
      <c r="G4560">
        <v>0.26650501364454199</v>
      </c>
      <c r="H4560">
        <v>0.17770444727618301</v>
      </c>
      <c r="I4560">
        <v>0.15613910558181399</v>
      </c>
      <c r="J4560">
        <v>0.12788186287882899</v>
      </c>
      <c r="K4560">
        <v>9.9547239533346599E-2</v>
      </c>
      <c r="L4560">
        <v>1297.2598979914001</v>
      </c>
      <c r="M4560">
        <v>25.139952701548001</v>
      </c>
      <c r="N4560">
        <v>52.290001375745199</v>
      </c>
      <c r="O4560">
        <v>51.278349619430799</v>
      </c>
      <c r="P4560">
        <v>-0.10529802288347399</v>
      </c>
      <c r="Q4560">
        <v>0.14089935618518401</v>
      </c>
      <c r="R4560">
        <v>0.99186727473661396</v>
      </c>
      <c r="S4560" t="s">
        <v>11176</v>
      </c>
      <c r="T4560" t="s">
        <v>13232</v>
      </c>
      <c r="U4560" t="s">
        <v>13232</v>
      </c>
      <c r="V4560" t="s">
        <v>13232</v>
      </c>
      <c r="W4560" t="s">
        <v>17729</v>
      </c>
      <c r="X4560">
        <v>22</v>
      </c>
      <c r="Y4560" t="s">
        <v>24143</v>
      </c>
      <c r="Z4560" t="s">
        <v>30691</v>
      </c>
      <c r="AA4560">
        <v>0.48085557012060087</v>
      </c>
      <c r="AB4560" t="str">
        <f>HYPERLINK("Melting_Curves/meltCurve_Q8TC07_2_TBC1D15.pdf", "Melting_Curves/meltCurve_Q8TC07_2_TBC1D15.pdf")</f>
        <v>Melting_Curves/meltCurve_Q8TC07_2_TBC1D15.pdf</v>
      </c>
    </row>
    <row r="4561" spans="1:28" x14ac:dyDescent="0.25">
      <c r="A4561" t="s">
        <v>4564</v>
      </c>
      <c r="B4561">
        <v>0.99930955844802105</v>
      </c>
      <c r="C4561">
        <v>1.19557219015171</v>
      </c>
      <c r="D4561">
        <v>1.0935392584327299</v>
      </c>
      <c r="E4561">
        <v>0.91708010815281105</v>
      </c>
      <c r="F4561">
        <v>0.87197835368421095</v>
      </c>
      <c r="G4561">
        <v>0.71575405620000498</v>
      </c>
      <c r="H4561">
        <v>0.66158924308987999</v>
      </c>
      <c r="I4561">
        <v>0.65841832566663305</v>
      </c>
      <c r="J4561">
        <v>0.62687172932256796</v>
      </c>
      <c r="K4561">
        <v>0.49260008247398601</v>
      </c>
      <c r="L4561">
        <v>942.4119772647</v>
      </c>
      <c r="M4561">
        <v>16.862736604757998</v>
      </c>
      <c r="O4561">
        <v>55.119028339333603</v>
      </c>
      <c r="P4561">
        <v>-3.3607676074072397E-2</v>
      </c>
      <c r="Q4561">
        <v>0.56061598005914004</v>
      </c>
      <c r="R4561">
        <v>0.86425233155793002</v>
      </c>
      <c r="S4561" t="s">
        <v>11177</v>
      </c>
      <c r="T4561" t="s">
        <v>13232</v>
      </c>
      <c r="U4561" t="s">
        <v>13232</v>
      </c>
      <c r="V4561" t="s">
        <v>13232</v>
      </c>
      <c r="W4561" t="s">
        <v>17730</v>
      </c>
      <c r="X4561">
        <v>1</v>
      </c>
      <c r="Y4561" t="s">
        <v>24144</v>
      </c>
      <c r="Z4561" t="s">
        <v>30692</v>
      </c>
      <c r="AA4561">
        <v>0.80032477636487565</v>
      </c>
      <c r="AB4561" t="str">
        <f>HYPERLINK("Melting_Curves/meltCurve_Q8TC76_FAM110B.pdf", "Melting_Curves/meltCurve_Q8TC76_FAM110B.pdf")</f>
        <v>Melting_Curves/meltCurve_Q8TC76_FAM110B.pdf</v>
      </c>
    </row>
    <row r="4562" spans="1:28" x14ac:dyDescent="0.25">
      <c r="A4562" t="s">
        <v>4565</v>
      </c>
      <c r="B4562">
        <v>0.99930955844802105</v>
      </c>
      <c r="C4562">
        <v>1.00818179612522</v>
      </c>
      <c r="D4562">
        <v>0.97611595343242996</v>
      </c>
      <c r="E4562">
        <v>0.950368763676391</v>
      </c>
      <c r="F4562">
        <v>0.87116338188811204</v>
      </c>
      <c r="G4562">
        <v>0.20888114217946099</v>
      </c>
      <c r="H4562">
        <v>0.12486405699827299</v>
      </c>
      <c r="I4562">
        <v>0.18491148016025799</v>
      </c>
      <c r="J4562">
        <v>6.1874856005110702E-2</v>
      </c>
      <c r="K4562">
        <v>7.7072464926603301E-2</v>
      </c>
      <c r="L4562">
        <v>2840.56680872581</v>
      </c>
      <c r="M4562">
        <v>51.865765841010699</v>
      </c>
      <c r="N4562">
        <v>55.031469611482798</v>
      </c>
      <c r="O4562">
        <v>54.686409112809699</v>
      </c>
      <c r="P4562">
        <v>-0.211009875848162</v>
      </c>
      <c r="Q4562">
        <v>0.110059005027225</v>
      </c>
      <c r="R4562">
        <v>0.99335984070453498</v>
      </c>
      <c r="S4562" t="s">
        <v>11178</v>
      </c>
      <c r="T4562" t="s">
        <v>13232</v>
      </c>
      <c r="U4562" t="s">
        <v>13232</v>
      </c>
      <c r="V4562" t="s">
        <v>13232</v>
      </c>
      <c r="W4562" t="s">
        <v>17731</v>
      </c>
      <c r="X4562">
        <v>6</v>
      </c>
      <c r="Y4562" t="s">
        <v>24145</v>
      </c>
      <c r="Z4562" t="s">
        <v>30693</v>
      </c>
      <c r="AA4562">
        <v>0.55013388273920794</v>
      </c>
      <c r="AB4562" t="str">
        <f>HYPERLINK("Melting_Curves/meltCurve_Q8TCA0_LRRC20.pdf", "Melting_Curves/meltCurve_Q8TCA0_LRRC20.pdf")</f>
        <v>Melting_Curves/meltCurve_Q8TCA0_LRRC20.pdf</v>
      </c>
    </row>
    <row r="4563" spans="1:28" x14ac:dyDescent="0.25">
      <c r="A4563" t="s">
        <v>4566</v>
      </c>
      <c r="B4563">
        <v>0.99930955844802105</v>
      </c>
      <c r="C4563">
        <v>0.91320799756955595</v>
      </c>
      <c r="D4563">
        <v>0.93863724896831002</v>
      </c>
      <c r="E4563">
        <v>0.84499847470591705</v>
      </c>
      <c r="F4563">
        <v>0.73240739840342095</v>
      </c>
      <c r="G4563">
        <v>0.61602727630765297</v>
      </c>
      <c r="H4563">
        <v>0.489671260745207</v>
      </c>
      <c r="I4563">
        <v>0.216515764528667</v>
      </c>
      <c r="J4563">
        <v>0.10412290615844499</v>
      </c>
      <c r="K4563">
        <v>8.0819612384804299E-2</v>
      </c>
      <c r="L4563">
        <v>700.25096536362503</v>
      </c>
      <c r="M4563">
        <v>11.983121253233</v>
      </c>
      <c r="N4563">
        <v>58.436441618926203</v>
      </c>
      <c r="O4563">
        <v>56.880381421614103</v>
      </c>
      <c r="P4563">
        <v>-5.2680843209099402E-2</v>
      </c>
      <c r="Q4563">
        <v>0</v>
      </c>
      <c r="R4563">
        <v>0.97094207971622404</v>
      </c>
      <c r="S4563" t="s">
        <v>11179</v>
      </c>
      <c r="T4563" t="s">
        <v>13232</v>
      </c>
      <c r="U4563" t="s">
        <v>13232</v>
      </c>
      <c r="V4563" t="s">
        <v>13232</v>
      </c>
      <c r="W4563" t="s">
        <v>17732</v>
      </c>
      <c r="X4563">
        <v>11</v>
      </c>
      <c r="Y4563" t="s">
        <v>24146</v>
      </c>
      <c r="Z4563" t="s">
        <v>30694</v>
      </c>
      <c r="AA4563">
        <v>0.62522859997405278</v>
      </c>
      <c r="AB4563" t="str">
        <f>HYPERLINK("Melting_Curves/meltCurve_Q8TCD5_NT5C.pdf", "Melting_Curves/meltCurve_Q8TCD5_NT5C.pdf")</f>
        <v>Melting_Curves/meltCurve_Q8TCD5_NT5C.pdf</v>
      </c>
    </row>
    <row r="4564" spans="1:28" x14ac:dyDescent="0.25">
      <c r="A4564" t="s">
        <v>4567</v>
      </c>
      <c r="B4564">
        <v>0.99930955844802105</v>
      </c>
      <c r="C4564">
        <v>0.67524164309183698</v>
      </c>
      <c r="D4564">
        <v>0.73575325758577204</v>
      </c>
      <c r="E4564">
        <v>0.62492747223485501</v>
      </c>
      <c r="F4564">
        <v>0.27129247643809201</v>
      </c>
      <c r="G4564">
        <v>0.18757041369345201</v>
      </c>
      <c r="H4564">
        <v>0.10280756053131</v>
      </c>
      <c r="I4564">
        <v>8.5667277231925298E-2</v>
      </c>
      <c r="J4564">
        <v>5.8523600114160398E-2</v>
      </c>
      <c r="K4564">
        <v>4.29329697702956E-2</v>
      </c>
      <c r="L4564">
        <v>524.52497043416099</v>
      </c>
      <c r="M4564">
        <v>10.5371320309764</v>
      </c>
      <c r="N4564">
        <v>49.7786981068529</v>
      </c>
      <c r="O4564">
        <v>48.086139467351103</v>
      </c>
      <c r="P4564">
        <v>-5.4804391399133401E-2</v>
      </c>
      <c r="Q4564">
        <v>0</v>
      </c>
      <c r="R4564">
        <v>0.94518813983028005</v>
      </c>
      <c r="S4564" t="s">
        <v>11180</v>
      </c>
      <c r="T4564" t="s">
        <v>13232</v>
      </c>
      <c r="U4564" t="s">
        <v>13232</v>
      </c>
      <c r="V4564" t="s">
        <v>13232</v>
      </c>
      <c r="W4564" t="s">
        <v>17733</v>
      </c>
      <c r="X4564">
        <v>4</v>
      </c>
      <c r="Y4564" t="s">
        <v>24147</v>
      </c>
      <c r="Z4564" t="s">
        <v>30695</v>
      </c>
      <c r="AA4564">
        <v>0.36868214866071192</v>
      </c>
      <c r="AB4564" t="str">
        <f>HYPERLINK("Melting_Curves/meltCurve_Q8TCE6_2_FAM45A.pdf", "Melting_Curves/meltCurve_Q8TCE6_2_FAM45A.pdf")</f>
        <v>Melting_Curves/meltCurve_Q8TCE6_2_FAM45A.pdf</v>
      </c>
    </row>
    <row r="4565" spans="1:28" x14ac:dyDescent="0.25">
      <c r="A4565" t="s">
        <v>4568</v>
      </c>
      <c r="B4565">
        <v>0.99930955844802105</v>
      </c>
      <c r="C4565">
        <v>0.92231573922257104</v>
      </c>
      <c r="D4565">
        <v>0.61055200222771799</v>
      </c>
      <c r="E4565">
        <v>0.30322509819230697</v>
      </c>
      <c r="F4565">
        <v>0.18858886755089399</v>
      </c>
      <c r="G4565">
        <v>0.14063435247900699</v>
      </c>
      <c r="H4565">
        <v>9.5447137984040795E-2</v>
      </c>
      <c r="I4565">
        <v>8.7229446049722104E-2</v>
      </c>
      <c r="J4565">
        <v>7.8934723847843599E-2</v>
      </c>
      <c r="K4565">
        <v>6.51466242085844E-2</v>
      </c>
      <c r="L4565">
        <v>951.89470824708201</v>
      </c>
      <c r="M4565">
        <v>20.2478319141496</v>
      </c>
      <c r="N4565">
        <v>47.463047925951599</v>
      </c>
      <c r="O4565">
        <v>46.560817487978397</v>
      </c>
      <c r="P4565">
        <v>-9.9208815459770602E-2</v>
      </c>
      <c r="Q4565">
        <v>8.7487418514996404E-2</v>
      </c>
      <c r="R4565">
        <v>0.99587748064673398</v>
      </c>
      <c r="S4565" t="s">
        <v>11181</v>
      </c>
      <c r="T4565" t="s">
        <v>13232</v>
      </c>
      <c r="U4565" t="s">
        <v>13232</v>
      </c>
      <c r="V4565" t="s">
        <v>13232</v>
      </c>
      <c r="W4565" t="s">
        <v>17734</v>
      </c>
      <c r="X4565">
        <v>21</v>
      </c>
      <c r="Y4565" t="s">
        <v>24148</v>
      </c>
      <c r="Z4565" t="s">
        <v>30696</v>
      </c>
      <c r="AA4565">
        <v>0.31377100208308117</v>
      </c>
      <c r="AB4565" t="str">
        <f>HYPERLINK("Melting_Curves/meltCurve_Q8TCG1_KIAA1524.pdf", "Melting_Curves/meltCurve_Q8TCG1_KIAA1524.pdf")</f>
        <v>Melting_Curves/meltCurve_Q8TCG1_KIAA1524.pdf</v>
      </c>
    </row>
    <row r="4566" spans="1:28" x14ac:dyDescent="0.25">
      <c r="A4566" t="s">
        <v>4569</v>
      </c>
      <c r="B4566">
        <v>0.99930955844802105</v>
      </c>
      <c r="C4566">
        <v>1.11343141839196</v>
      </c>
      <c r="D4566">
        <v>1.0449553322971601</v>
      </c>
      <c r="E4566">
        <v>1.0032489002895399</v>
      </c>
      <c r="F4566">
        <v>0.952090272002037</v>
      </c>
      <c r="G4566">
        <v>0.80695678298991302</v>
      </c>
      <c r="H4566">
        <v>0.56034692129211605</v>
      </c>
      <c r="I4566">
        <v>0.45412192481275598</v>
      </c>
      <c r="J4566">
        <v>0.45355076774640102</v>
      </c>
      <c r="K4566">
        <v>0.33536771373616198</v>
      </c>
      <c r="L4566">
        <v>1308.03194403052</v>
      </c>
      <c r="M4566">
        <v>22.124841005437101</v>
      </c>
      <c r="N4566">
        <v>62.6541068514613</v>
      </c>
      <c r="O4566">
        <v>58.643886762575903</v>
      </c>
      <c r="P4566">
        <v>-6.0701718351027903E-2</v>
      </c>
      <c r="Q4566">
        <v>0.35643249718912001</v>
      </c>
      <c r="R4566">
        <v>0.97411549389365903</v>
      </c>
      <c r="S4566" t="s">
        <v>11182</v>
      </c>
      <c r="T4566" t="s">
        <v>13232</v>
      </c>
      <c r="U4566" t="s">
        <v>13232</v>
      </c>
      <c r="V4566" t="s">
        <v>13232</v>
      </c>
      <c r="W4566" t="s">
        <v>17735</v>
      </c>
      <c r="X4566">
        <v>11</v>
      </c>
      <c r="Y4566" t="s">
        <v>24149</v>
      </c>
      <c r="Z4566" t="s">
        <v>30697</v>
      </c>
      <c r="AA4566">
        <v>0.77252186288576685</v>
      </c>
      <c r="AB4566" t="str">
        <f>HYPERLINK("Melting_Curves/meltCurve_Q8TCN5_ZNF507.pdf", "Melting_Curves/meltCurve_Q8TCN5_ZNF507.pdf")</f>
        <v>Melting_Curves/meltCurve_Q8TCN5_ZNF507.pdf</v>
      </c>
    </row>
    <row r="4567" spans="1:28" x14ac:dyDescent="0.25">
      <c r="A4567" t="s">
        <v>4570</v>
      </c>
      <c r="B4567">
        <v>0.99930955844802105</v>
      </c>
      <c r="C4567">
        <v>0.87394109877831705</v>
      </c>
      <c r="D4567">
        <v>0.81404699603400998</v>
      </c>
      <c r="E4567">
        <v>0.64428522327495497</v>
      </c>
      <c r="F4567">
        <v>0.20742945755355599</v>
      </c>
      <c r="G4567">
        <v>0.129853032948093</v>
      </c>
      <c r="H4567">
        <v>6.5717107825699395E-2</v>
      </c>
      <c r="I4567">
        <v>5.8225064846035603E-2</v>
      </c>
      <c r="J4567">
        <v>5.4453128495728399E-2</v>
      </c>
      <c r="K4567">
        <v>3.7306268128717401E-2</v>
      </c>
      <c r="L4567">
        <v>928.90877940324901</v>
      </c>
      <c r="M4567">
        <v>18.481370448118199</v>
      </c>
      <c r="N4567">
        <v>50.433623767399297</v>
      </c>
      <c r="O4567">
        <v>49.684533834921403</v>
      </c>
      <c r="P4567">
        <v>-9.0161627646440007E-2</v>
      </c>
      <c r="Q4567">
        <v>3.0496533823197801E-2</v>
      </c>
      <c r="R4567">
        <v>0.97927753011774599</v>
      </c>
      <c r="S4567" t="s">
        <v>11183</v>
      </c>
      <c r="T4567" t="s">
        <v>13232</v>
      </c>
      <c r="U4567" t="s">
        <v>13232</v>
      </c>
      <c r="V4567" t="s">
        <v>13232</v>
      </c>
      <c r="W4567" t="s">
        <v>17736</v>
      </c>
      <c r="X4567">
        <v>20</v>
      </c>
      <c r="Y4567" t="s">
        <v>24150</v>
      </c>
      <c r="Z4567" t="s">
        <v>30698</v>
      </c>
      <c r="AA4567">
        <v>0.37780838971331748</v>
      </c>
      <c r="AB4567" t="str">
        <f>HYPERLINK("Melting_Curves/meltCurve_Q8TCS8_PNPT1.pdf", "Melting_Curves/meltCurve_Q8TCS8_PNPT1.pdf")</f>
        <v>Melting_Curves/meltCurve_Q8TCS8_PNPT1.pdf</v>
      </c>
    </row>
    <row r="4568" spans="1:28" x14ac:dyDescent="0.25">
      <c r="A4568" t="s">
        <v>4571</v>
      </c>
      <c r="B4568">
        <v>0.99930955844802105</v>
      </c>
      <c r="C4568">
        <v>0.95830478105397598</v>
      </c>
      <c r="D4568">
        <v>0.8911564387641</v>
      </c>
      <c r="E4568">
        <v>0.84059771691259599</v>
      </c>
      <c r="F4568">
        <v>0.68538425438199502</v>
      </c>
      <c r="G4568">
        <v>0.56530700438875703</v>
      </c>
      <c r="H4568">
        <v>0.55393543054622296</v>
      </c>
      <c r="I4568">
        <v>0.55980195468570604</v>
      </c>
      <c r="J4568">
        <v>0.58574038082233204</v>
      </c>
      <c r="K4568">
        <v>0.42993471184390802</v>
      </c>
      <c r="L4568">
        <v>688.54722622842405</v>
      </c>
      <c r="M4568">
        <v>13.364400623666601</v>
      </c>
      <c r="O4568">
        <v>50.408453207432203</v>
      </c>
      <c r="P4568">
        <v>-3.3597219259509002E-2</v>
      </c>
      <c r="Q4568">
        <v>0.493186321237786</v>
      </c>
      <c r="R4568">
        <v>0.95443196662235597</v>
      </c>
      <c r="S4568" t="s">
        <v>11184</v>
      </c>
      <c r="T4568" t="s">
        <v>13232</v>
      </c>
      <c r="U4568" t="s">
        <v>13232</v>
      </c>
      <c r="V4568" t="s">
        <v>13232</v>
      </c>
      <c r="W4568" t="s">
        <v>17737</v>
      </c>
      <c r="X4568">
        <v>20</v>
      </c>
      <c r="Y4568" t="s">
        <v>24151</v>
      </c>
      <c r="Z4568" t="s">
        <v>30699</v>
      </c>
      <c r="AA4568">
        <v>0.70156178035238248</v>
      </c>
      <c r="AB4568" t="str">
        <f>HYPERLINK("Melting_Curves/meltCurve_Q8TCU4_3_ALMS1.pdf", "Melting_Curves/meltCurve_Q8TCU4_3_ALMS1.pdf")</f>
        <v>Melting_Curves/meltCurve_Q8TCU4_3_ALMS1.pdf</v>
      </c>
    </row>
    <row r="4569" spans="1:28" x14ac:dyDescent="0.25">
      <c r="A4569" t="s">
        <v>4572</v>
      </c>
      <c r="B4569">
        <v>0.99930955844802105</v>
      </c>
      <c r="C4569">
        <v>0.77175312031960297</v>
      </c>
      <c r="D4569">
        <v>0.79617155818282104</v>
      </c>
      <c r="E4569">
        <v>0.57781902706195898</v>
      </c>
      <c r="F4569">
        <v>0.44606798754014299</v>
      </c>
      <c r="G4569">
        <v>0.29536234302632502</v>
      </c>
      <c r="H4569">
        <v>0.175848748949093</v>
      </c>
      <c r="I4569">
        <v>0.15241317413781499</v>
      </c>
      <c r="J4569">
        <v>0.129699186928972</v>
      </c>
      <c r="K4569">
        <v>8.1277741384060104E-2</v>
      </c>
      <c r="L4569">
        <v>476.01572720836901</v>
      </c>
      <c r="M4569">
        <v>9.2290463314879592</v>
      </c>
      <c r="N4569">
        <v>51.644446682822903</v>
      </c>
      <c r="O4569">
        <v>49.329783951602998</v>
      </c>
      <c r="P4569">
        <v>-4.6526779461317398E-2</v>
      </c>
      <c r="Q4569">
        <v>5.9031200075470996E-3</v>
      </c>
      <c r="R4569">
        <v>0.98378883085395197</v>
      </c>
      <c r="S4569" t="s">
        <v>11185</v>
      </c>
      <c r="T4569" t="s">
        <v>13232</v>
      </c>
      <c r="U4569" t="s">
        <v>13232</v>
      </c>
      <c r="V4569" t="s">
        <v>13232</v>
      </c>
      <c r="W4569" t="s">
        <v>17738</v>
      </c>
      <c r="X4569">
        <v>2</v>
      </c>
      <c r="Y4569" t="s">
        <v>24152</v>
      </c>
      <c r="Z4569" t="s">
        <v>30700</v>
      </c>
      <c r="AA4569">
        <v>0.43248176029471502</v>
      </c>
      <c r="AB4569" t="str">
        <f>HYPERLINK("Melting_Curves/meltCurve_Q8TCX1_2_DYNC2LI1.pdf", "Melting_Curves/meltCurve_Q8TCX1_2_DYNC2LI1.pdf")</f>
        <v>Melting_Curves/meltCurve_Q8TCX1_2_DYNC2LI1.pdf</v>
      </c>
    </row>
    <row r="4570" spans="1:28" x14ac:dyDescent="0.25">
      <c r="A4570" t="s">
        <v>4573</v>
      </c>
      <c r="B4570">
        <v>0.99930955844802105</v>
      </c>
      <c r="C4570">
        <v>0.86954563897998305</v>
      </c>
      <c r="D4570">
        <v>0.86035420011948605</v>
      </c>
      <c r="E4570">
        <v>0.76196600633326605</v>
      </c>
      <c r="F4570">
        <v>0.53701224514957402</v>
      </c>
      <c r="G4570">
        <v>0.19690658100991901</v>
      </c>
      <c r="H4570">
        <v>3.4031733797673699E-2</v>
      </c>
      <c r="I4570">
        <v>3.5908582535053503E-2</v>
      </c>
      <c r="J4570">
        <v>2.8817063244917E-2</v>
      </c>
      <c r="K4570">
        <v>2.4671559092957901E-2</v>
      </c>
      <c r="L4570">
        <v>940.06967308343599</v>
      </c>
      <c r="M4570">
        <v>17.755857384721399</v>
      </c>
      <c r="N4570">
        <v>52.944201311981402</v>
      </c>
      <c r="O4570">
        <v>52.286342837928302</v>
      </c>
      <c r="P4570">
        <v>-8.4901634593875799E-2</v>
      </c>
      <c r="Q4570">
        <v>0</v>
      </c>
      <c r="R4570">
        <v>0.98362995234318296</v>
      </c>
      <c r="S4570" t="s">
        <v>11186</v>
      </c>
      <c r="T4570" t="s">
        <v>13232</v>
      </c>
      <c r="U4570" t="s">
        <v>13232</v>
      </c>
      <c r="V4570" t="s">
        <v>13232</v>
      </c>
      <c r="W4570" t="s">
        <v>17739</v>
      </c>
      <c r="X4570">
        <v>1</v>
      </c>
      <c r="Y4570" t="s">
        <v>24153</v>
      </c>
      <c r="Z4570" t="s">
        <v>30701</v>
      </c>
      <c r="AA4570">
        <v>0.44822661794112878</v>
      </c>
      <c r="AB4570" t="str">
        <f>HYPERLINK("Melting_Curves/meltCurve_Q8TD08_2_MAPK15.pdf", "Melting_Curves/meltCurve_Q8TD08_2_MAPK15.pdf")</f>
        <v>Melting_Curves/meltCurve_Q8TD08_2_MAPK15.pdf</v>
      </c>
    </row>
    <row r="4571" spans="1:28" x14ac:dyDescent="0.25">
      <c r="A4571" t="s">
        <v>4574</v>
      </c>
      <c r="B4571">
        <v>0.99930955844802105</v>
      </c>
      <c r="C4571">
        <v>1.0494968912690401</v>
      </c>
      <c r="D4571">
        <v>0.98499940942986797</v>
      </c>
      <c r="E4571">
        <v>0.72744936266198701</v>
      </c>
      <c r="F4571">
        <v>0.38297830320533699</v>
      </c>
      <c r="G4571">
        <v>0.241221072172083</v>
      </c>
      <c r="H4571">
        <v>0.166654059835153</v>
      </c>
      <c r="I4571">
        <v>0.144375766452328</v>
      </c>
      <c r="J4571">
        <v>0.145143125476317</v>
      </c>
      <c r="K4571">
        <v>0.101299905658518</v>
      </c>
      <c r="L4571">
        <v>1394.98888508047</v>
      </c>
      <c r="M4571">
        <v>27.147405725245999</v>
      </c>
      <c r="N4571">
        <v>52.026108470509897</v>
      </c>
      <c r="O4571">
        <v>51.109315420090198</v>
      </c>
      <c r="P4571">
        <v>-0.113931637634605</v>
      </c>
      <c r="Q4571">
        <v>0.142030505013514</v>
      </c>
      <c r="R4571">
        <v>0.994833025605525</v>
      </c>
      <c r="S4571" t="s">
        <v>11187</v>
      </c>
      <c r="T4571" t="s">
        <v>13232</v>
      </c>
      <c r="U4571" t="s">
        <v>13232</v>
      </c>
      <c r="V4571" t="s">
        <v>13232</v>
      </c>
      <c r="W4571" t="s">
        <v>17740</v>
      </c>
      <c r="X4571">
        <v>30</v>
      </c>
      <c r="Y4571" t="s">
        <v>24154</v>
      </c>
      <c r="Z4571" t="s">
        <v>30702</v>
      </c>
      <c r="AA4571">
        <v>0.47427056435247378</v>
      </c>
      <c r="AB4571" t="str">
        <f>HYPERLINK("Melting_Curves/meltCurve_Q8TD16_BICD2.pdf", "Melting_Curves/meltCurve_Q8TD16_BICD2.pdf")</f>
        <v>Melting_Curves/meltCurve_Q8TD16_BICD2.pdf</v>
      </c>
    </row>
    <row r="4572" spans="1:28" x14ac:dyDescent="0.25">
      <c r="A4572" t="s">
        <v>4575</v>
      </c>
      <c r="B4572">
        <v>0.99930955844802105</v>
      </c>
      <c r="C4572">
        <v>1.02945615053351</v>
      </c>
      <c r="D4572">
        <v>1.0132274666147201</v>
      </c>
      <c r="E4572">
        <v>0.82909161622446104</v>
      </c>
      <c r="F4572">
        <v>0.51649712679668203</v>
      </c>
      <c r="G4572">
        <v>0.33849033505274101</v>
      </c>
      <c r="H4572">
        <v>0.293937397949668</v>
      </c>
      <c r="I4572">
        <v>0.294981910213308</v>
      </c>
      <c r="J4572">
        <v>0.29214474836662602</v>
      </c>
      <c r="K4572">
        <v>0.24021827811180599</v>
      </c>
      <c r="L4572">
        <v>1632.2064950199299</v>
      </c>
      <c r="M4572">
        <v>31.476477798902302</v>
      </c>
      <c r="N4572">
        <v>53.253480792390498</v>
      </c>
      <c r="O4572">
        <v>51.6468362260158</v>
      </c>
      <c r="P4572">
        <v>-0.109511343270719</v>
      </c>
      <c r="Q4572">
        <v>0.28125564659511199</v>
      </c>
      <c r="R4572">
        <v>0.99624339021005703</v>
      </c>
      <c r="S4572" t="s">
        <v>11188</v>
      </c>
      <c r="T4572" t="s">
        <v>13232</v>
      </c>
      <c r="U4572" t="s">
        <v>13232</v>
      </c>
      <c r="V4572" t="s">
        <v>13232</v>
      </c>
      <c r="W4572" t="s">
        <v>17741</v>
      </c>
      <c r="X4572">
        <v>24</v>
      </c>
      <c r="Y4572" t="s">
        <v>24155</v>
      </c>
      <c r="Z4572" t="s">
        <v>30703</v>
      </c>
      <c r="AA4572">
        <v>0.56943875771360508</v>
      </c>
      <c r="AB4572" t="str">
        <f>HYPERLINK("Melting_Curves/meltCurve_Q8TD19_NEK9.pdf", "Melting_Curves/meltCurve_Q8TD19_NEK9.pdf")</f>
        <v>Melting_Curves/meltCurve_Q8TD19_NEK9.pdf</v>
      </c>
    </row>
    <row r="4573" spans="1:28" x14ac:dyDescent="0.25">
      <c r="A4573" t="s">
        <v>4576</v>
      </c>
      <c r="B4573">
        <v>0.99930955844802105</v>
      </c>
      <c r="C4573">
        <v>0.97809189025301302</v>
      </c>
      <c r="D4573">
        <v>0.92929493386686601</v>
      </c>
      <c r="E4573">
        <v>0.95533664357388404</v>
      </c>
      <c r="F4573">
        <v>0.83591390805350496</v>
      </c>
      <c r="G4573">
        <v>0.78340091491268604</v>
      </c>
      <c r="H4573">
        <v>0.78143060305816503</v>
      </c>
      <c r="I4573">
        <v>0.82239095354911995</v>
      </c>
      <c r="J4573">
        <v>0.81256472447210903</v>
      </c>
      <c r="K4573">
        <v>0.62800072526541395</v>
      </c>
      <c r="L4573">
        <v>278.47662898479302</v>
      </c>
      <c r="M4573">
        <v>3.6271108472531299</v>
      </c>
      <c r="O4573">
        <v>60.981958853462103</v>
      </c>
      <c r="P4573">
        <v>-1.09148019686835E-2</v>
      </c>
      <c r="Q4573">
        <v>0.27859338104833098</v>
      </c>
      <c r="R4573">
        <v>0.79524634964926899</v>
      </c>
      <c r="S4573" t="s">
        <v>11189</v>
      </c>
      <c r="T4573" t="s">
        <v>13232</v>
      </c>
      <c r="U4573" t="s">
        <v>13232</v>
      </c>
      <c r="V4573" t="s">
        <v>13232</v>
      </c>
      <c r="W4573" t="s">
        <v>17742</v>
      </c>
      <c r="X4573">
        <v>9</v>
      </c>
      <c r="Y4573" t="s">
        <v>24156</v>
      </c>
      <c r="Z4573" t="s">
        <v>30704</v>
      </c>
      <c r="AA4573">
        <v>0.85365472543018805</v>
      </c>
      <c r="AB4573" t="str">
        <f>HYPERLINK("Melting_Curves/meltCurve_Q8TD26_CHD6.pdf", "Melting_Curves/meltCurve_Q8TD26_CHD6.pdf")</f>
        <v>Melting_Curves/meltCurve_Q8TD26_CHD6.pdf</v>
      </c>
    </row>
    <row r="4574" spans="1:28" x14ac:dyDescent="0.25">
      <c r="A4574" t="s">
        <v>4577</v>
      </c>
      <c r="B4574">
        <v>0.99930955844802105</v>
      </c>
      <c r="C4574">
        <v>0.97444808755923396</v>
      </c>
      <c r="D4574">
        <v>0.84291495041576703</v>
      </c>
      <c r="E4574">
        <v>0.424125206067623</v>
      </c>
      <c r="F4574">
        <v>0.19985942421303601</v>
      </c>
      <c r="G4574">
        <v>0.13953694452266899</v>
      </c>
      <c r="H4574">
        <v>8.6304792296831495E-2</v>
      </c>
      <c r="I4574">
        <v>8.6545509525737405E-2</v>
      </c>
      <c r="J4574">
        <v>6.8637170482012094E-2</v>
      </c>
      <c r="K4574">
        <v>4.8592919809125702E-2</v>
      </c>
      <c r="L4574">
        <v>1166.25243208609</v>
      </c>
      <c r="M4574">
        <v>23.802770807807999</v>
      </c>
      <c r="N4574">
        <v>49.333314490908997</v>
      </c>
      <c r="O4574">
        <v>48.654599130163298</v>
      </c>
      <c r="P4574">
        <v>-0.113134327939572</v>
      </c>
      <c r="Q4574">
        <v>7.4995847914672301E-2</v>
      </c>
      <c r="R4574">
        <v>0.99853371845850103</v>
      </c>
      <c r="S4574" t="s">
        <v>11190</v>
      </c>
      <c r="T4574" t="s">
        <v>13232</v>
      </c>
      <c r="U4574" t="s">
        <v>13232</v>
      </c>
      <c r="V4574" t="s">
        <v>13232</v>
      </c>
      <c r="W4574" t="s">
        <v>17743</v>
      </c>
      <c r="X4574">
        <v>10</v>
      </c>
      <c r="Y4574" t="s">
        <v>24157</v>
      </c>
      <c r="Z4574" t="s">
        <v>30705</v>
      </c>
      <c r="AA4574">
        <v>0.361457983113947</v>
      </c>
      <c r="AB4574" t="str">
        <f>HYPERLINK("Melting_Curves/meltCurve_Q8TD30_GPT2.pdf", "Melting_Curves/meltCurve_Q8TD30_GPT2.pdf")</f>
        <v>Melting_Curves/meltCurve_Q8TD30_GPT2.pdf</v>
      </c>
    </row>
    <row r="4575" spans="1:28" x14ac:dyDescent="0.25">
      <c r="A4575" t="s">
        <v>4578</v>
      </c>
      <c r="B4575">
        <v>0.99930955844802105</v>
      </c>
      <c r="C4575">
        <v>0.94605818709834799</v>
      </c>
      <c r="D4575">
        <v>0.87415471300334702</v>
      </c>
      <c r="E4575">
        <v>0.68393323169963505</v>
      </c>
      <c r="F4575">
        <v>0.52172930203442403</v>
      </c>
      <c r="G4575">
        <v>0.40373949148907501</v>
      </c>
      <c r="H4575">
        <v>0.31647311464165101</v>
      </c>
      <c r="I4575">
        <v>0.31969370524507101</v>
      </c>
      <c r="J4575">
        <v>0.29687225574519699</v>
      </c>
      <c r="K4575">
        <v>0.25100501981687701</v>
      </c>
      <c r="L4575">
        <v>726.52834863051498</v>
      </c>
      <c r="M4575">
        <v>14.251760761956399</v>
      </c>
      <c r="N4575">
        <v>53.761310714854197</v>
      </c>
      <c r="O4575">
        <v>50.005962489893903</v>
      </c>
      <c r="P4575">
        <v>-5.2666379216507797E-2</v>
      </c>
      <c r="Q4575">
        <v>0.26091715912351898</v>
      </c>
      <c r="R4575">
        <v>0.99775110907828701</v>
      </c>
      <c r="S4575" t="s">
        <v>11191</v>
      </c>
      <c r="T4575" t="s">
        <v>13232</v>
      </c>
      <c r="U4575" t="s">
        <v>13232</v>
      </c>
      <c r="V4575" t="s">
        <v>13232</v>
      </c>
      <c r="W4575" t="s">
        <v>17744</v>
      </c>
      <c r="X4575">
        <v>8</v>
      </c>
      <c r="Y4575" t="s">
        <v>24158</v>
      </c>
      <c r="Z4575" t="s">
        <v>30706</v>
      </c>
      <c r="AA4575">
        <v>0.54995273490015728</v>
      </c>
      <c r="AB4575" t="str">
        <f>HYPERLINK("Melting_Curves/meltCurve_Q8TD55_2_PLEKHO2.pdf", "Melting_Curves/meltCurve_Q8TD55_2_PLEKHO2.pdf")</f>
        <v>Melting_Curves/meltCurve_Q8TD55_2_PLEKHO2.pdf</v>
      </c>
    </row>
    <row r="4576" spans="1:28" x14ac:dyDescent="0.25">
      <c r="A4576" t="s">
        <v>4579</v>
      </c>
      <c r="B4576">
        <v>0.99930955844802105</v>
      </c>
      <c r="C4576">
        <v>0.90407835069947196</v>
      </c>
      <c r="D4576">
        <v>0.85847392668917</v>
      </c>
      <c r="E4576">
        <v>0.83140412905244498</v>
      </c>
      <c r="F4576">
        <v>0.68697213972437299</v>
      </c>
      <c r="G4576">
        <v>0.56333916657621896</v>
      </c>
      <c r="H4576">
        <v>0.44801288446925402</v>
      </c>
      <c r="I4576">
        <v>0.46457875449523001</v>
      </c>
      <c r="J4576">
        <v>0.436601049975467</v>
      </c>
      <c r="K4576">
        <v>0.33136153250758699</v>
      </c>
      <c r="L4576">
        <v>462.12313967778698</v>
      </c>
      <c r="M4576">
        <v>8.37056354693655</v>
      </c>
      <c r="N4576">
        <v>60.377505594182701</v>
      </c>
      <c r="O4576">
        <v>52.326832150696198</v>
      </c>
      <c r="P4576">
        <v>-2.97898125372376E-2</v>
      </c>
      <c r="Q4576">
        <v>0.25581145595631699</v>
      </c>
      <c r="R4576">
        <v>0.97827482806269705</v>
      </c>
      <c r="S4576" t="s">
        <v>11192</v>
      </c>
      <c r="T4576" t="s">
        <v>13232</v>
      </c>
      <c r="U4576" t="s">
        <v>13232</v>
      </c>
      <c r="V4576" t="s">
        <v>13232</v>
      </c>
      <c r="W4576" t="s">
        <v>17745</v>
      </c>
      <c r="X4576">
        <v>3</v>
      </c>
      <c r="Y4576" t="s">
        <v>24159</v>
      </c>
      <c r="Z4576" t="s">
        <v>30707</v>
      </c>
      <c r="AA4576">
        <v>0.65218020369339746</v>
      </c>
      <c r="AB4576" t="str">
        <f>HYPERLINK("Melting_Curves/meltCurve_Q8TD57_DNAH3.pdf", "Melting_Curves/meltCurve_Q8TD57_DNAH3.pdf")</f>
        <v>Melting_Curves/meltCurve_Q8TD57_DNAH3.pdf</v>
      </c>
    </row>
    <row r="4577" spans="1:28" x14ac:dyDescent="0.25">
      <c r="A4577" t="s">
        <v>4580</v>
      </c>
      <c r="B4577">
        <v>0.99930955844802105</v>
      </c>
      <c r="C4577">
        <v>1.04574546878315</v>
      </c>
      <c r="D4577">
        <v>0.94649060419734499</v>
      </c>
      <c r="E4577">
        <v>0.96999789580298601</v>
      </c>
      <c r="F4577">
        <v>0.82261732361470996</v>
      </c>
      <c r="G4577">
        <v>0.670640287235021</v>
      </c>
      <c r="H4577">
        <v>0.65359922517862101</v>
      </c>
      <c r="I4577">
        <v>0.65207265541721504</v>
      </c>
      <c r="J4577">
        <v>0.82663449360547503</v>
      </c>
      <c r="K4577">
        <v>0.51351529955641595</v>
      </c>
      <c r="L4577">
        <v>2172.6969428673701</v>
      </c>
      <c r="M4577">
        <v>41.100386501745</v>
      </c>
      <c r="O4577">
        <v>52.738513201579799</v>
      </c>
      <c r="P4577">
        <v>-6.6268194461087795E-2</v>
      </c>
      <c r="Q4577">
        <v>0.65986907780236803</v>
      </c>
      <c r="R4577">
        <v>0.81470996220391001</v>
      </c>
      <c r="S4577" t="s">
        <v>11193</v>
      </c>
      <c r="T4577" t="s">
        <v>13232</v>
      </c>
      <c r="U4577" t="s">
        <v>13232</v>
      </c>
      <c r="V4577" t="s">
        <v>13232</v>
      </c>
      <c r="W4577" t="s">
        <v>17746</v>
      </c>
      <c r="X4577">
        <v>2</v>
      </c>
      <c r="Y4577" t="s">
        <v>24160</v>
      </c>
      <c r="Z4577" t="s">
        <v>30708</v>
      </c>
      <c r="AA4577">
        <v>0.80688369698231965</v>
      </c>
      <c r="AB4577" t="str">
        <f>HYPERLINK("Melting_Curves/meltCurve_Q8TDB6_DTX3L.pdf", "Melting_Curves/meltCurve_Q8TDB6_DTX3L.pdf")</f>
        <v>Melting_Curves/meltCurve_Q8TDB6_DTX3L.pdf</v>
      </c>
    </row>
    <row r="4578" spans="1:28" x14ac:dyDescent="0.25">
      <c r="A4578" t="s">
        <v>4581</v>
      </c>
      <c r="B4578">
        <v>0.99930955844802105</v>
      </c>
      <c r="C4578">
        <v>0.96279827070725899</v>
      </c>
      <c r="D4578">
        <v>0.83850330892717095</v>
      </c>
      <c r="E4578">
        <v>0.91262906884334105</v>
      </c>
      <c r="F4578">
        <v>1.0920765283440901</v>
      </c>
      <c r="G4578">
        <v>0.78449771706258697</v>
      </c>
      <c r="H4578">
        <v>0.84134115416973199</v>
      </c>
      <c r="I4578">
        <v>1.28804669144079</v>
      </c>
      <c r="J4578">
        <v>1.0173948007558899</v>
      </c>
      <c r="K4578">
        <v>0.84203215794962205</v>
      </c>
      <c r="L4578">
        <v>46.106290583144599</v>
      </c>
      <c r="M4578">
        <v>17.437441765951899</v>
      </c>
      <c r="Q4578">
        <v>0.95786295291780599</v>
      </c>
      <c r="R4578">
        <v>-4.0564263059650299E-10</v>
      </c>
      <c r="S4578" t="s">
        <v>11194</v>
      </c>
      <c r="T4578" t="s">
        <v>13232</v>
      </c>
      <c r="U4578" t="s">
        <v>13232</v>
      </c>
      <c r="V4578" t="s">
        <v>13232</v>
      </c>
      <c r="W4578" t="s">
        <v>17747</v>
      </c>
      <c r="X4578">
        <v>23</v>
      </c>
      <c r="Y4578" t="s">
        <v>24161</v>
      </c>
      <c r="Z4578" t="s">
        <v>30709</v>
      </c>
      <c r="AA4578">
        <v>0.9578629556062711</v>
      </c>
      <c r="AB4578" t="str">
        <f>HYPERLINK("Melting_Curves/meltCurve_Q8TDD1_DDX54.pdf", "Melting_Curves/meltCurve_Q8TDD1_DDX54.pdf")</f>
        <v>Melting_Curves/meltCurve_Q8TDD1_DDX54.pdf</v>
      </c>
    </row>
    <row r="4579" spans="1:28" x14ac:dyDescent="0.25">
      <c r="A4579" t="s">
        <v>4582</v>
      </c>
      <c r="B4579">
        <v>0.99930955844802105</v>
      </c>
      <c r="C4579">
        <v>0.97446476769079904</v>
      </c>
      <c r="D4579">
        <v>0.85570369816023295</v>
      </c>
      <c r="E4579">
        <v>0.58560067257783999</v>
      </c>
      <c r="F4579">
        <v>0.49632546006434503</v>
      </c>
      <c r="G4579">
        <v>0.41751342378619</v>
      </c>
      <c r="H4579">
        <v>0.37401579198136298</v>
      </c>
      <c r="I4579">
        <v>0.410045672210333</v>
      </c>
      <c r="J4579">
        <v>0.40392911157206601</v>
      </c>
      <c r="K4579">
        <v>0.32147642494967998</v>
      </c>
      <c r="L4579">
        <v>982.02216150554796</v>
      </c>
      <c r="M4579">
        <v>20.1819752665278</v>
      </c>
      <c r="N4579">
        <v>52.279185351087101</v>
      </c>
      <c r="O4579">
        <v>48.188210854555798</v>
      </c>
      <c r="P4579">
        <v>-6.5292468602001802E-2</v>
      </c>
      <c r="Q4579">
        <v>0.37642812161583999</v>
      </c>
      <c r="R4579">
        <v>0.99028513347904201</v>
      </c>
      <c r="S4579" t="s">
        <v>11195</v>
      </c>
      <c r="T4579" t="s">
        <v>13232</v>
      </c>
      <c r="U4579" t="s">
        <v>13232</v>
      </c>
      <c r="V4579" t="s">
        <v>13232</v>
      </c>
      <c r="W4579" t="s">
        <v>17748</v>
      </c>
      <c r="X4579">
        <v>23</v>
      </c>
      <c r="Y4579" t="s">
        <v>24161</v>
      </c>
      <c r="Z4579" t="s">
        <v>30710</v>
      </c>
      <c r="AA4579">
        <v>0.56500368760183572</v>
      </c>
      <c r="AB4579" t="str">
        <f>HYPERLINK("Melting_Curves/meltCurve_Q8TDD1_2_DDX54.pdf", "Melting_Curves/meltCurve_Q8TDD1_2_DDX54.pdf")</f>
        <v>Melting_Curves/meltCurve_Q8TDD1_2_DDX54.pdf</v>
      </c>
    </row>
    <row r="4580" spans="1:28" x14ac:dyDescent="0.25">
      <c r="A4580" t="s">
        <v>4583</v>
      </c>
      <c r="B4580">
        <v>0.99930955844802105</v>
      </c>
      <c r="C4580">
        <v>1.1632094704273299</v>
      </c>
      <c r="D4580">
        <v>1.08291496594818</v>
      </c>
      <c r="E4580">
        <v>1.0761163902280799</v>
      </c>
      <c r="F4580">
        <v>1.01555528690464</v>
      </c>
      <c r="G4580">
        <v>0.69312781695270298</v>
      </c>
      <c r="H4580">
        <v>0.37204448333906898</v>
      </c>
      <c r="I4580">
        <v>0.28261185203254802</v>
      </c>
      <c r="J4580">
        <v>0.25718279555523399</v>
      </c>
      <c r="K4580">
        <v>0.22919370888910001</v>
      </c>
      <c r="L4580">
        <v>2033.12417583772</v>
      </c>
      <c r="M4580">
        <v>35.188637134110799</v>
      </c>
      <c r="N4580">
        <v>58.938985281918399</v>
      </c>
      <c r="O4580">
        <v>57.592221199610101</v>
      </c>
      <c r="P4580">
        <v>-0.11455889309859101</v>
      </c>
      <c r="Q4580">
        <v>0.25002181479389901</v>
      </c>
      <c r="R4580">
        <v>0.96879288842107003</v>
      </c>
      <c r="S4580" t="s">
        <v>11196</v>
      </c>
      <c r="T4580" t="s">
        <v>13232</v>
      </c>
      <c r="U4580" t="s">
        <v>13232</v>
      </c>
      <c r="V4580" t="s">
        <v>13232</v>
      </c>
      <c r="W4580" t="s">
        <v>17749</v>
      </c>
      <c r="X4580">
        <v>11</v>
      </c>
      <c r="Y4580" t="s">
        <v>24162</v>
      </c>
      <c r="Z4580" t="s">
        <v>30711</v>
      </c>
      <c r="AA4580">
        <v>0.69819783887394915</v>
      </c>
      <c r="AB4580" t="str">
        <f>HYPERLINK("Melting_Curves/meltCurve_Q8TDH9_BLOC1S5.pdf", "Melting_Curves/meltCurve_Q8TDH9_BLOC1S5.pdf")</f>
        <v>Melting_Curves/meltCurve_Q8TDH9_BLOC1S5.pdf</v>
      </c>
    </row>
    <row r="4581" spans="1:28" x14ac:dyDescent="0.25">
      <c r="A4581" t="s">
        <v>4584</v>
      </c>
      <c r="B4581">
        <v>0.99930955844802105</v>
      </c>
      <c r="C4581">
        <v>0.79786568888577503</v>
      </c>
      <c r="D4581">
        <v>0.67616997148583302</v>
      </c>
      <c r="E4581">
        <v>0.58610122208128601</v>
      </c>
      <c r="F4581">
        <v>0.33741325584464299</v>
      </c>
      <c r="G4581">
        <v>0.242458735517109</v>
      </c>
      <c r="H4581">
        <v>0.151362055077537</v>
      </c>
      <c r="I4581">
        <v>0.10870661348967101</v>
      </c>
      <c r="J4581">
        <v>8.7100428123161003E-2</v>
      </c>
      <c r="K4581">
        <v>6.2578470727983407E-2</v>
      </c>
      <c r="L4581">
        <v>497.11043930342697</v>
      </c>
      <c r="M4581">
        <v>9.8967375269483302</v>
      </c>
      <c r="N4581">
        <v>50.285029852832103</v>
      </c>
      <c r="O4581">
        <v>48.307914444660298</v>
      </c>
      <c r="P4581">
        <v>-5.0965599548484501E-2</v>
      </c>
      <c r="Q4581">
        <v>5.4110435405965596E-3</v>
      </c>
      <c r="R4581">
        <v>0.984460620303932</v>
      </c>
      <c r="S4581" t="s">
        <v>11197</v>
      </c>
      <c r="T4581" t="s">
        <v>13232</v>
      </c>
      <c r="U4581" t="s">
        <v>13232</v>
      </c>
      <c r="V4581" t="s">
        <v>13232</v>
      </c>
      <c r="W4581" t="s">
        <v>17750</v>
      </c>
      <c r="X4581">
        <v>2</v>
      </c>
      <c r="Y4581" t="s">
        <v>24163</v>
      </c>
      <c r="Z4581" t="s">
        <v>30712</v>
      </c>
      <c r="AA4581">
        <v>0.38930042597605141</v>
      </c>
      <c r="AB4581" t="str">
        <f>HYPERLINK("Melting_Curves/meltCurve_Q8TDJ6_DMXL2.pdf", "Melting_Curves/meltCurve_Q8TDJ6_DMXL2.pdf")</f>
        <v>Melting_Curves/meltCurve_Q8TDJ6_DMXL2.pdf</v>
      </c>
    </row>
    <row r="4582" spans="1:28" x14ac:dyDescent="0.25">
      <c r="A4582" t="s">
        <v>4585</v>
      </c>
      <c r="B4582">
        <v>0.99930955844802105</v>
      </c>
      <c r="C4582">
        <v>0.67912169006373002</v>
      </c>
      <c r="D4582">
        <v>0.74481038737754302</v>
      </c>
      <c r="E4582">
        <v>0.57696380864936903</v>
      </c>
      <c r="F4582">
        <v>0.25295634845377502</v>
      </c>
      <c r="G4582">
        <v>0.13791416636360501</v>
      </c>
      <c r="H4582">
        <v>7.4147152604528005E-2</v>
      </c>
      <c r="I4582">
        <v>6.3422737638959406E-2</v>
      </c>
      <c r="J4582">
        <v>8.2522287462225605E-2</v>
      </c>
      <c r="K4582">
        <v>5.4131918621657803E-2</v>
      </c>
      <c r="L4582">
        <v>554.61965125260804</v>
      </c>
      <c r="M4582">
        <v>11.2366542632986</v>
      </c>
      <c r="N4582">
        <v>49.358099843119199</v>
      </c>
      <c r="O4582">
        <v>47.872257467614503</v>
      </c>
      <c r="P4582">
        <v>-5.8698646742612701E-2</v>
      </c>
      <c r="Q4582">
        <v>0</v>
      </c>
      <c r="R4582">
        <v>0.94991000629162203</v>
      </c>
      <c r="S4582" t="s">
        <v>11198</v>
      </c>
      <c r="T4582" t="s">
        <v>13232</v>
      </c>
      <c r="U4582" t="s">
        <v>13232</v>
      </c>
      <c r="V4582" t="s">
        <v>13232</v>
      </c>
      <c r="W4582" t="s">
        <v>17751</v>
      </c>
      <c r="X4582">
        <v>2</v>
      </c>
      <c r="Y4582" t="s">
        <v>24164</v>
      </c>
      <c r="Z4582" t="s">
        <v>30713</v>
      </c>
      <c r="AA4582">
        <v>0.35188069444159892</v>
      </c>
      <c r="AB4582" t="str">
        <f>HYPERLINK("Melting_Curves/meltCurve_Q8TDN4_4_CABLES1.pdf", "Melting_Curves/meltCurve_Q8TDN4_4_CABLES1.pdf")</f>
        <v>Melting_Curves/meltCurve_Q8TDN4_4_CABLES1.pdf</v>
      </c>
    </row>
    <row r="4583" spans="1:28" x14ac:dyDescent="0.25">
      <c r="A4583" t="s">
        <v>4586</v>
      </c>
      <c r="B4583">
        <v>0.99930955844802105</v>
      </c>
      <c r="C4583">
        <v>0.89348309716710805</v>
      </c>
      <c r="D4583">
        <v>0.80353335095326095</v>
      </c>
      <c r="E4583">
        <v>0.50500670252650304</v>
      </c>
      <c r="F4583">
        <v>0.25765824022085898</v>
      </c>
      <c r="G4583">
        <v>0.16219081328468199</v>
      </c>
      <c r="H4583">
        <v>8.6062423596185197E-2</v>
      </c>
      <c r="I4583">
        <v>7.1055092061766495E-2</v>
      </c>
      <c r="J4583">
        <v>6.5388182478582399E-2</v>
      </c>
      <c r="K4583">
        <v>5.0725609170621501E-2</v>
      </c>
      <c r="L4583">
        <v>819.65611017788797</v>
      </c>
      <c r="M4583">
        <v>16.549395038315399</v>
      </c>
      <c r="N4583">
        <v>49.832406085949202</v>
      </c>
      <c r="O4583">
        <v>48.821642579136402</v>
      </c>
      <c r="P4583">
        <v>-8.0673765983585194E-2</v>
      </c>
      <c r="Q4583">
        <v>4.80968675940543E-2</v>
      </c>
      <c r="R4583">
        <v>0.99728164453677604</v>
      </c>
      <c r="S4583" t="s">
        <v>11199</v>
      </c>
      <c r="T4583" t="s">
        <v>13232</v>
      </c>
      <c r="U4583" t="s">
        <v>13232</v>
      </c>
      <c r="V4583" t="s">
        <v>13232</v>
      </c>
      <c r="W4583" t="s">
        <v>17752</v>
      </c>
      <c r="X4583">
        <v>12</v>
      </c>
      <c r="Y4583" t="s">
        <v>24165</v>
      </c>
      <c r="Z4583" t="s">
        <v>30714</v>
      </c>
      <c r="AA4583">
        <v>0.36961936910155929</v>
      </c>
      <c r="AB4583" t="str">
        <f>HYPERLINK("Melting_Curves/meltCurve_Q8TDN6_BRIX1.pdf", "Melting_Curves/meltCurve_Q8TDN6_BRIX1.pdf")</f>
        <v>Melting_Curves/meltCurve_Q8TDN6_BRIX1.pdf</v>
      </c>
    </row>
    <row r="4584" spans="1:28" x14ac:dyDescent="0.25">
      <c r="A4584" t="s">
        <v>4587</v>
      </c>
      <c r="B4584">
        <v>0.99930955844802105</v>
      </c>
      <c r="C4584">
        <v>0.93802244895991804</v>
      </c>
      <c r="D4584">
        <v>0.95740622202032599</v>
      </c>
      <c r="E4584">
        <v>0.97591484882455004</v>
      </c>
      <c r="F4584">
        <v>0.97172866219172604</v>
      </c>
      <c r="G4584">
        <v>0.77931396658484298</v>
      </c>
      <c r="H4584">
        <v>0.43340411569922299</v>
      </c>
      <c r="I4584">
        <v>0.37347549884075398</v>
      </c>
      <c r="J4584">
        <v>0.26290236172216602</v>
      </c>
      <c r="K4584">
        <v>7.2958506146332799E-2</v>
      </c>
      <c r="L4584">
        <v>1006.5912837160701</v>
      </c>
      <c r="M4584">
        <v>16.505582876201299</v>
      </c>
      <c r="N4584">
        <v>61.149167567928899</v>
      </c>
      <c r="O4584">
        <v>60.110810557436501</v>
      </c>
      <c r="P4584">
        <v>-6.7162500104859205E-2</v>
      </c>
      <c r="Q4584">
        <v>2.1685789789915401E-2</v>
      </c>
      <c r="R4584">
        <v>0.98066826410101404</v>
      </c>
      <c r="S4584" t="s">
        <v>11200</v>
      </c>
      <c r="T4584" t="s">
        <v>13232</v>
      </c>
      <c r="U4584" t="s">
        <v>13232</v>
      </c>
      <c r="V4584" t="s">
        <v>13232</v>
      </c>
      <c r="W4584" t="s">
        <v>17753</v>
      </c>
      <c r="X4584">
        <v>14</v>
      </c>
      <c r="Y4584" t="s">
        <v>24166</v>
      </c>
      <c r="Z4584" t="s">
        <v>30715</v>
      </c>
      <c r="AA4584">
        <v>0.7101867717657997</v>
      </c>
      <c r="AB4584" t="str">
        <f>HYPERLINK("Melting_Curves/meltCurve_Q8TDQ7_GNPDA2.pdf", "Melting_Curves/meltCurve_Q8TDQ7_GNPDA2.pdf")</f>
        <v>Melting_Curves/meltCurve_Q8TDQ7_GNPDA2.pdf</v>
      </c>
    </row>
    <row r="4585" spans="1:28" x14ac:dyDescent="0.25">
      <c r="A4585" t="s">
        <v>4588</v>
      </c>
      <c r="B4585">
        <v>0.99930955844802105</v>
      </c>
      <c r="C4585">
        <v>0.81884510320122705</v>
      </c>
      <c r="D4585">
        <v>0.70369259768165404</v>
      </c>
      <c r="E4585">
        <v>0.65045345422716405</v>
      </c>
      <c r="F4585">
        <v>0.38181375434974602</v>
      </c>
      <c r="G4585">
        <v>0.20789843759719501</v>
      </c>
      <c r="H4585">
        <v>0.104708784113989</v>
      </c>
      <c r="I4585">
        <v>7.7321179027801501E-2</v>
      </c>
      <c r="J4585">
        <v>8.4251994140886396E-2</v>
      </c>
      <c r="K4585">
        <v>4.7742545821891802E-2</v>
      </c>
      <c r="L4585">
        <v>558.01111853331702</v>
      </c>
      <c r="M4585">
        <v>10.9753664346297</v>
      </c>
      <c r="N4585">
        <v>50.842140123132801</v>
      </c>
      <c r="O4585">
        <v>49.241731518331598</v>
      </c>
      <c r="P4585">
        <v>-5.57408578607404E-2</v>
      </c>
      <c r="Q4585">
        <v>0</v>
      </c>
      <c r="R4585">
        <v>0.97967587623010799</v>
      </c>
      <c r="S4585" t="s">
        <v>11201</v>
      </c>
      <c r="T4585" t="s">
        <v>13232</v>
      </c>
      <c r="U4585" t="s">
        <v>13232</v>
      </c>
      <c r="V4585" t="s">
        <v>13232</v>
      </c>
      <c r="W4585" t="s">
        <v>17754</v>
      </c>
      <c r="X4585">
        <v>1</v>
      </c>
      <c r="Y4585" t="s">
        <v>24166</v>
      </c>
      <c r="Z4585" t="s">
        <v>30716</v>
      </c>
      <c r="AA4585">
        <v>0.39873303200848448</v>
      </c>
      <c r="AB4585" t="str">
        <f>HYPERLINK("Melting_Curves/meltCurve_Q8TDQ7_4_GNPDA2.pdf", "Melting_Curves/meltCurve_Q8TDQ7_4_GNPDA2.pdf")</f>
        <v>Melting_Curves/meltCurve_Q8TDQ7_4_GNPDA2.pdf</v>
      </c>
    </row>
    <row r="4586" spans="1:28" x14ac:dyDescent="0.25">
      <c r="A4586" t="s">
        <v>4589</v>
      </c>
      <c r="B4586">
        <v>0.99930955844802105</v>
      </c>
      <c r="C4586">
        <v>1.1213509235617001</v>
      </c>
      <c r="D4586">
        <v>1.0279626593267099</v>
      </c>
      <c r="E4586">
        <v>0.94173347514354</v>
      </c>
      <c r="F4586">
        <v>0.75885703118984305</v>
      </c>
      <c r="G4586">
        <v>0.60576821626451705</v>
      </c>
      <c r="H4586">
        <v>0.55968568286419396</v>
      </c>
      <c r="I4586">
        <v>0.48870995678031998</v>
      </c>
      <c r="J4586">
        <v>0.46030577918092203</v>
      </c>
      <c r="K4586">
        <v>0.37907348274264102</v>
      </c>
      <c r="L4586">
        <v>973.22358398674601</v>
      </c>
      <c r="M4586">
        <v>17.732449623941999</v>
      </c>
      <c r="N4586">
        <v>61.475028481342498</v>
      </c>
      <c r="O4586">
        <v>54.200036106221802</v>
      </c>
      <c r="P4586">
        <v>-4.7007411248986303E-2</v>
      </c>
      <c r="Q4586">
        <v>0.42530894699100502</v>
      </c>
      <c r="R4586">
        <v>0.958633250859942</v>
      </c>
      <c r="S4586" t="s">
        <v>11202</v>
      </c>
      <c r="T4586" t="s">
        <v>13232</v>
      </c>
      <c r="U4586" t="s">
        <v>13232</v>
      </c>
      <c r="V4586" t="s">
        <v>13232</v>
      </c>
      <c r="W4586" t="s">
        <v>17755</v>
      </c>
      <c r="X4586">
        <v>7</v>
      </c>
      <c r="Y4586" t="s">
        <v>24167</v>
      </c>
      <c r="Z4586" t="s">
        <v>30717</v>
      </c>
      <c r="AA4586">
        <v>0.71954233396868938</v>
      </c>
      <c r="AB4586" t="str">
        <f>HYPERLINK("Melting_Curves/meltCurve_Q8TDR0_2_TRAF3IP1.pdf", "Melting_Curves/meltCurve_Q8TDR0_2_TRAF3IP1.pdf")</f>
        <v>Melting_Curves/meltCurve_Q8TDR0_2_TRAF3IP1.pdf</v>
      </c>
    </row>
    <row r="4587" spans="1:28" x14ac:dyDescent="0.25">
      <c r="A4587" t="s">
        <v>4590</v>
      </c>
      <c r="B4587">
        <v>0.99930955844802105</v>
      </c>
      <c r="C4587">
        <v>0.93549471350584401</v>
      </c>
      <c r="D4587">
        <v>0.86992043270431196</v>
      </c>
      <c r="E4587">
        <v>0.74439921971533896</v>
      </c>
      <c r="F4587">
        <v>0.49415309325775603</v>
      </c>
      <c r="G4587">
        <v>0.21325386994137899</v>
      </c>
      <c r="H4587">
        <v>0.105869609019898</v>
      </c>
      <c r="I4587">
        <v>8.5737759904425406E-2</v>
      </c>
      <c r="J4587">
        <v>6.7543077974042201E-2</v>
      </c>
      <c r="K4587">
        <v>5.50517945663292E-2</v>
      </c>
      <c r="L4587">
        <v>870.82325016882601</v>
      </c>
      <c r="M4587">
        <v>16.564222786796499</v>
      </c>
      <c r="N4587">
        <v>52.778236659803902</v>
      </c>
      <c r="O4587">
        <v>51.824219018991599</v>
      </c>
      <c r="P4587">
        <v>-7.7413488441464701E-2</v>
      </c>
      <c r="Q4587">
        <v>3.1256949875015899E-2</v>
      </c>
      <c r="R4587">
        <v>0.99543089663627804</v>
      </c>
      <c r="S4587" t="s">
        <v>11203</v>
      </c>
      <c r="T4587" t="s">
        <v>13232</v>
      </c>
      <c r="U4587" t="s">
        <v>13232</v>
      </c>
      <c r="V4587" t="s">
        <v>13232</v>
      </c>
      <c r="W4587" t="s">
        <v>17756</v>
      </c>
      <c r="X4587">
        <v>6</v>
      </c>
      <c r="Y4587" t="s">
        <v>24168</v>
      </c>
      <c r="Z4587" t="s">
        <v>30718</v>
      </c>
      <c r="AA4587">
        <v>0.45550571256179229</v>
      </c>
      <c r="AB4587" t="str">
        <f>HYPERLINK("Melting_Curves/meltCurve_Q8TDR2_STK35.pdf", "Melting_Curves/meltCurve_Q8TDR2_STK35.pdf")</f>
        <v>Melting_Curves/meltCurve_Q8TDR2_STK35.pdf</v>
      </c>
    </row>
    <row r="4588" spans="1:28" x14ac:dyDescent="0.25">
      <c r="A4588" t="s">
        <v>4591</v>
      </c>
      <c r="B4588">
        <v>0.99930955844802105</v>
      </c>
      <c r="C4588">
        <v>0.88635910875118096</v>
      </c>
      <c r="D4588">
        <v>0.65830359310872999</v>
      </c>
      <c r="E4588">
        <v>0.39171012220143198</v>
      </c>
      <c r="F4588">
        <v>0.23754549122996099</v>
      </c>
      <c r="G4588">
        <v>0.15400601463003899</v>
      </c>
      <c r="H4588">
        <v>9.0172472352104599E-2</v>
      </c>
      <c r="I4588">
        <v>8.1589493359512696E-2</v>
      </c>
      <c r="J4588">
        <v>7.6128126778223601E-2</v>
      </c>
      <c r="K4588">
        <v>5.6170516149978297E-2</v>
      </c>
      <c r="L4588">
        <v>756.20018664991801</v>
      </c>
      <c r="M4588">
        <v>15.7676667122218</v>
      </c>
      <c r="N4588">
        <v>48.380036407926397</v>
      </c>
      <c r="O4588">
        <v>47.207380547024499</v>
      </c>
      <c r="P4588">
        <v>-7.8154041713109496E-2</v>
      </c>
      <c r="Q4588">
        <v>6.4124994390415399E-2</v>
      </c>
      <c r="R4588">
        <v>0.99750598218351905</v>
      </c>
      <c r="S4588" t="s">
        <v>11204</v>
      </c>
      <c r="T4588" t="s">
        <v>13232</v>
      </c>
      <c r="U4588" t="s">
        <v>13232</v>
      </c>
      <c r="V4588" t="s">
        <v>13232</v>
      </c>
      <c r="W4588" t="s">
        <v>17757</v>
      </c>
      <c r="X4588">
        <v>9</v>
      </c>
      <c r="Y4588" t="s">
        <v>24169</v>
      </c>
      <c r="Z4588" t="s">
        <v>30719</v>
      </c>
      <c r="AA4588">
        <v>0.33424611603489562</v>
      </c>
      <c r="AB4588" t="str">
        <f>HYPERLINK("Melting_Curves/meltCurve_Q8TDX7_NEK7.pdf", "Melting_Curves/meltCurve_Q8TDX7_NEK7.pdf")</f>
        <v>Melting_Curves/meltCurve_Q8TDX7_NEK7.pdf</v>
      </c>
    </row>
    <row r="4589" spans="1:28" x14ac:dyDescent="0.25">
      <c r="A4589" t="s">
        <v>4592</v>
      </c>
      <c r="B4589">
        <v>0.99930955844802105</v>
      </c>
      <c r="C4589">
        <v>1.0041462211786001</v>
      </c>
      <c r="D4589">
        <v>0.93008968318030805</v>
      </c>
      <c r="E4589">
        <v>0.78948190520684702</v>
      </c>
      <c r="F4589">
        <v>0.58162040407428195</v>
      </c>
      <c r="G4589">
        <v>0.43962366626597299</v>
      </c>
      <c r="H4589">
        <v>0.26721259857669899</v>
      </c>
      <c r="I4589">
        <v>0.231163592113446</v>
      </c>
      <c r="J4589">
        <v>0.23367613079213001</v>
      </c>
      <c r="K4589">
        <v>0.17524177537720401</v>
      </c>
      <c r="L4589">
        <v>789.51562715204204</v>
      </c>
      <c r="M4589">
        <v>14.7660614120616</v>
      </c>
      <c r="N4589">
        <v>55.000711846010297</v>
      </c>
      <c r="O4589">
        <v>52.516349828164799</v>
      </c>
      <c r="P4589">
        <v>-5.8444518764318699E-2</v>
      </c>
      <c r="Q4589">
        <v>0.168644409560439</v>
      </c>
      <c r="R4589">
        <v>0.99615676559551702</v>
      </c>
      <c r="S4589" t="s">
        <v>11205</v>
      </c>
      <c r="T4589" t="s">
        <v>13232</v>
      </c>
      <c r="U4589" t="s">
        <v>13232</v>
      </c>
      <c r="V4589" t="s">
        <v>13232</v>
      </c>
      <c r="W4589" t="s">
        <v>17758</v>
      </c>
      <c r="X4589">
        <v>33</v>
      </c>
      <c r="Y4589" t="s">
        <v>24170</v>
      </c>
      <c r="Z4589" t="s">
        <v>30720</v>
      </c>
      <c r="AA4589">
        <v>0.55976062318643682</v>
      </c>
      <c r="AB4589" t="str">
        <f>HYPERLINK("Melting_Curves/meltCurve_Q8TDY2_2_RB1CC1.pdf", "Melting_Curves/meltCurve_Q8TDY2_2_RB1CC1.pdf")</f>
        <v>Melting_Curves/meltCurve_Q8TDY2_2_RB1CC1.pdf</v>
      </c>
    </row>
    <row r="4590" spans="1:28" x14ac:dyDescent="0.25">
      <c r="A4590" t="s">
        <v>4593</v>
      </c>
      <c r="B4590">
        <v>0.99930955844802105</v>
      </c>
      <c r="C4590">
        <v>0.97222171162384596</v>
      </c>
      <c r="D4590">
        <v>0.89720432720667598</v>
      </c>
      <c r="E4590">
        <v>0.70219753901173898</v>
      </c>
      <c r="F4590">
        <v>0.43739773241422703</v>
      </c>
      <c r="G4590">
        <v>0.205288110046496</v>
      </c>
      <c r="H4590">
        <v>0.109412305072475</v>
      </c>
      <c r="I4590">
        <v>9.4681319232016198E-2</v>
      </c>
      <c r="J4590">
        <v>0.112238126993153</v>
      </c>
      <c r="K4590">
        <v>7.6166772648790307E-2</v>
      </c>
      <c r="L4590">
        <v>980.632039018147</v>
      </c>
      <c r="M4590">
        <v>18.9419008106807</v>
      </c>
      <c r="N4590">
        <v>52.213631146454603</v>
      </c>
      <c r="O4590">
        <v>51.2038598066041</v>
      </c>
      <c r="P4590">
        <v>-8.5619629870665501E-2</v>
      </c>
      <c r="Q4590">
        <v>7.4247364459727697E-2</v>
      </c>
      <c r="R4590">
        <v>0.99864564536576705</v>
      </c>
      <c r="S4590" t="s">
        <v>11206</v>
      </c>
      <c r="T4590" t="s">
        <v>13232</v>
      </c>
      <c r="U4590" t="s">
        <v>13232</v>
      </c>
      <c r="V4590" t="s">
        <v>13232</v>
      </c>
      <c r="W4590" t="s">
        <v>17759</v>
      </c>
      <c r="X4590">
        <v>11</v>
      </c>
      <c r="Y4590" t="s">
        <v>24171</v>
      </c>
      <c r="Z4590" t="s">
        <v>30721</v>
      </c>
      <c r="AA4590">
        <v>0.45160046059968822</v>
      </c>
      <c r="AB4590" t="str">
        <f>HYPERLINK("Melting_Curves/meltCurve_Q8TDZ2_MICAL1.pdf", "Melting_Curves/meltCurve_Q8TDZ2_MICAL1.pdf")</f>
        <v>Melting_Curves/meltCurve_Q8TDZ2_MICAL1.pdf</v>
      </c>
    </row>
    <row r="4591" spans="1:28" x14ac:dyDescent="0.25">
      <c r="A4591" t="s">
        <v>4594</v>
      </c>
      <c r="B4591">
        <v>0.99930955844802105</v>
      </c>
      <c r="C4591">
        <v>1.0917088032696001</v>
      </c>
      <c r="D4591">
        <v>1.07542278686381</v>
      </c>
      <c r="E4591">
        <v>0.838499121897056</v>
      </c>
      <c r="F4591">
        <v>0.56077896653937798</v>
      </c>
      <c r="G4591">
        <v>0.196955646281781</v>
      </c>
      <c r="H4591">
        <v>0.13190972038433399</v>
      </c>
      <c r="I4591">
        <v>0.108708055184438</v>
      </c>
      <c r="J4591">
        <v>8.7295606892761196E-2</v>
      </c>
      <c r="K4591">
        <v>6.92491744767815E-2</v>
      </c>
      <c r="L4591">
        <v>1492.51236005654</v>
      </c>
      <c r="M4591">
        <v>28.1259077206117</v>
      </c>
      <c r="N4591">
        <v>53.440546965638099</v>
      </c>
      <c r="O4591">
        <v>52.799315691888999</v>
      </c>
      <c r="P4591">
        <v>-0.12124367738346201</v>
      </c>
      <c r="Q4591">
        <v>8.9589762930308098E-2</v>
      </c>
      <c r="R4591">
        <v>0.98994102594643496</v>
      </c>
      <c r="S4591" t="s">
        <v>11207</v>
      </c>
      <c r="T4591" t="s">
        <v>13232</v>
      </c>
      <c r="U4591" t="s">
        <v>13232</v>
      </c>
      <c r="V4591" t="s">
        <v>13232</v>
      </c>
      <c r="W4591" t="s">
        <v>17760</v>
      </c>
      <c r="X4591">
        <v>9</v>
      </c>
      <c r="Y4591" t="s">
        <v>24172</v>
      </c>
      <c r="Z4591" t="s">
        <v>30722</v>
      </c>
      <c r="AA4591">
        <v>0.4927850754778112</v>
      </c>
      <c r="AB4591" t="str">
        <f>HYPERLINK("Melting_Curves/meltCurve_Q8TE04_PANK1.pdf", "Melting_Curves/meltCurve_Q8TE04_PANK1.pdf")</f>
        <v>Melting_Curves/meltCurve_Q8TE04_PANK1.pdf</v>
      </c>
    </row>
    <row r="4592" spans="1:28" x14ac:dyDescent="0.25">
      <c r="A4592" t="s">
        <v>4595</v>
      </c>
      <c r="B4592">
        <v>0.99930955844802105</v>
      </c>
      <c r="C4592">
        <v>0.99120659554550405</v>
      </c>
      <c r="D4592">
        <v>0.92186736811384296</v>
      </c>
      <c r="E4592">
        <v>0.678689779616935</v>
      </c>
      <c r="F4592">
        <v>0.31861528933873001</v>
      </c>
      <c r="G4592">
        <v>0.206748593731821</v>
      </c>
      <c r="H4592">
        <v>0.14340403118860801</v>
      </c>
      <c r="I4592">
        <v>0.13398284131490901</v>
      </c>
      <c r="J4592">
        <v>0.115956040250647</v>
      </c>
      <c r="K4592">
        <v>8.4660153045342301E-2</v>
      </c>
      <c r="L4592">
        <v>1277.05260432712</v>
      </c>
      <c r="M4592">
        <v>25.1031500488414</v>
      </c>
      <c r="N4592">
        <v>51.4214965609481</v>
      </c>
      <c r="O4592">
        <v>50.552683296003998</v>
      </c>
      <c r="P4592">
        <v>-0.10954524405091499</v>
      </c>
      <c r="Q4592">
        <v>0.11760378498025401</v>
      </c>
      <c r="R4592">
        <v>0.99652028816001903</v>
      </c>
      <c r="S4592" t="s">
        <v>11208</v>
      </c>
      <c r="T4592" t="s">
        <v>13232</v>
      </c>
      <c r="U4592" t="s">
        <v>13232</v>
      </c>
      <c r="V4592" t="s">
        <v>13232</v>
      </c>
      <c r="W4592" t="s">
        <v>17761</v>
      </c>
      <c r="X4592">
        <v>15</v>
      </c>
      <c r="Y4592" t="s">
        <v>24173</v>
      </c>
      <c r="Z4592" t="s">
        <v>30723</v>
      </c>
      <c r="AA4592">
        <v>0.44528620491165288</v>
      </c>
      <c r="AB4592" t="str">
        <f>HYPERLINK("Melting_Curves/meltCurve_Q8TEA1_NSUN6.pdf", "Melting_Curves/meltCurve_Q8TEA1_NSUN6.pdf")</f>
        <v>Melting_Curves/meltCurve_Q8TEA1_NSUN6.pdf</v>
      </c>
    </row>
    <row r="4593" spans="1:28" x14ac:dyDescent="0.25">
      <c r="A4593" t="s">
        <v>4596</v>
      </c>
      <c r="B4593">
        <v>0.99930955844802105</v>
      </c>
      <c r="C4593">
        <v>0.89620423499106605</v>
      </c>
      <c r="D4593">
        <v>0.90182507333418804</v>
      </c>
      <c r="E4593">
        <v>0.59609297133720696</v>
      </c>
      <c r="F4593">
        <v>0.28499657964592401</v>
      </c>
      <c r="G4593">
        <v>0.15518183590092199</v>
      </c>
      <c r="H4593">
        <v>0.14182009061626999</v>
      </c>
      <c r="I4593">
        <v>0.13473968205360201</v>
      </c>
      <c r="J4593">
        <v>0.12540913729226999</v>
      </c>
      <c r="K4593">
        <v>9.7874740227356302E-2</v>
      </c>
      <c r="L4593">
        <v>1156.46896639736</v>
      </c>
      <c r="M4593">
        <v>23.069050834207601</v>
      </c>
      <c r="N4593">
        <v>50.699180182157598</v>
      </c>
      <c r="O4593">
        <v>49.758614092795099</v>
      </c>
      <c r="P4593">
        <v>-0.10269952504155599</v>
      </c>
      <c r="Q4593">
        <v>0.113948535040012</v>
      </c>
      <c r="R4593">
        <v>0.99234221055818095</v>
      </c>
      <c r="S4593" t="s">
        <v>11209</v>
      </c>
      <c r="T4593" t="s">
        <v>13232</v>
      </c>
      <c r="U4593" t="s">
        <v>13232</v>
      </c>
      <c r="V4593" t="s">
        <v>13232</v>
      </c>
      <c r="W4593" t="s">
        <v>17762</v>
      </c>
      <c r="X4593">
        <v>9</v>
      </c>
      <c r="Y4593" t="s">
        <v>24174</v>
      </c>
      <c r="Z4593" t="s">
        <v>30724</v>
      </c>
      <c r="AA4593">
        <v>0.42247194761461671</v>
      </c>
      <c r="AB4593" t="str">
        <f>HYPERLINK("Melting_Curves/meltCurve_Q8TEA7_3_TBCK.pdf", "Melting_Curves/meltCurve_Q8TEA7_3_TBCK.pdf")</f>
        <v>Melting_Curves/meltCurve_Q8TEA7_3_TBCK.pdf</v>
      </c>
    </row>
    <row r="4594" spans="1:28" x14ac:dyDescent="0.25">
      <c r="A4594" t="s">
        <v>4597</v>
      </c>
      <c r="B4594">
        <v>0.99930955844802105</v>
      </c>
      <c r="C4594">
        <v>1.09775028422353</v>
      </c>
      <c r="D4594">
        <v>1.18230582567124</v>
      </c>
      <c r="E4594">
        <v>1.1839338512255799</v>
      </c>
      <c r="F4594">
        <v>1.2847783050491901</v>
      </c>
      <c r="G4594">
        <v>1.04437495127527</v>
      </c>
      <c r="H4594">
        <v>1.0273229491142399</v>
      </c>
      <c r="I4594">
        <v>1.0327734394761601</v>
      </c>
      <c r="J4594">
        <v>0.90686569951120599</v>
      </c>
      <c r="K4594">
        <v>0.45203567614004803</v>
      </c>
      <c r="L4594">
        <v>15000</v>
      </c>
      <c r="M4594">
        <v>222.29429804031</v>
      </c>
      <c r="N4594">
        <v>68.196099417996805</v>
      </c>
      <c r="O4594">
        <v>67.472653338799702</v>
      </c>
      <c r="P4594">
        <v>-0.45147871780070398</v>
      </c>
      <c r="Q4594">
        <v>0.45185338725251101</v>
      </c>
      <c r="R4594">
        <v>0.65339345522256898</v>
      </c>
      <c r="S4594" t="s">
        <v>11210</v>
      </c>
      <c r="T4594" t="s">
        <v>13232</v>
      </c>
      <c r="U4594" t="s">
        <v>13232</v>
      </c>
      <c r="V4594" t="s">
        <v>13232</v>
      </c>
      <c r="W4594" t="s">
        <v>17763</v>
      </c>
      <c r="X4594">
        <v>11</v>
      </c>
      <c r="Y4594" t="s">
        <v>24175</v>
      </c>
      <c r="Z4594" t="s">
        <v>30725</v>
      </c>
      <c r="AA4594">
        <v>0.95400132930718451</v>
      </c>
      <c r="AB4594" t="str">
        <f>HYPERLINK("Melting_Curves/meltCurve_Q8TEA8_DTD1.pdf", "Melting_Curves/meltCurve_Q8TEA8_DTD1.pdf")</f>
        <v>Melting_Curves/meltCurve_Q8TEA8_DTD1.pdf</v>
      </c>
    </row>
    <row r="4595" spans="1:28" x14ac:dyDescent="0.25">
      <c r="A4595" t="s">
        <v>4598</v>
      </c>
      <c r="B4595">
        <v>0.99930955844802105</v>
      </c>
      <c r="C4595">
        <v>0.84886845582395598</v>
      </c>
      <c r="D4595">
        <v>0.85182865918605899</v>
      </c>
      <c r="E4595">
        <v>0.85207223718472502</v>
      </c>
      <c r="F4595">
        <v>0.63992631833475799</v>
      </c>
      <c r="G4595">
        <v>0.28097403845131103</v>
      </c>
      <c r="H4595">
        <v>0.125161387623171</v>
      </c>
      <c r="I4595">
        <v>9.3332642376112607E-2</v>
      </c>
      <c r="J4595">
        <v>7.9712135154499097E-2</v>
      </c>
      <c r="K4595">
        <v>6.6048182848088305E-2</v>
      </c>
      <c r="L4595">
        <v>949.86597998800301</v>
      </c>
      <c r="M4595">
        <v>17.5573761466934</v>
      </c>
      <c r="N4595">
        <v>54.313262013067401</v>
      </c>
      <c r="O4595">
        <v>53.413482876503799</v>
      </c>
      <c r="P4595">
        <v>-7.9452308050475304E-2</v>
      </c>
      <c r="Q4595">
        <v>3.3205532618631302E-2</v>
      </c>
      <c r="R4595">
        <v>0.97334439540517903</v>
      </c>
      <c r="S4595" t="s">
        <v>11211</v>
      </c>
      <c r="T4595" t="s">
        <v>13232</v>
      </c>
      <c r="U4595" t="s">
        <v>13232</v>
      </c>
      <c r="V4595" t="s">
        <v>13232</v>
      </c>
      <c r="W4595" t="s">
        <v>17764</v>
      </c>
      <c r="X4595">
        <v>9</v>
      </c>
      <c r="Y4595" t="s">
        <v>24176</v>
      </c>
      <c r="Z4595" t="s">
        <v>30726</v>
      </c>
      <c r="AA4595">
        <v>0.50361472374420901</v>
      </c>
      <c r="AB4595" t="str">
        <f>HYPERLINK("Melting_Curves/meltCurve_Q8TEB1_2_DCAF11.pdf", "Melting_Curves/meltCurve_Q8TEB1_2_DCAF11.pdf")</f>
        <v>Melting_Curves/meltCurve_Q8TEB1_2_DCAF11.pdf</v>
      </c>
    </row>
    <row r="4596" spans="1:28" x14ac:dyDescent="0.25">
      <c r="A4596" t="s">
        <v>4599</v>
      </c>
      <c r="B4596">
        <v>0.99930955844802105</v>
      </c>
      <c r="C4596">
        <v>0.86740206567775102</v>
      </c>
      <c r="D4596">
        <v>0.87821920342028403</v>
      </c>
      <c r="E4596">
        <v>0.86574364517802205</v>
      </c>
      <c r="F4596">
        <v>0.70457734477362</v>
      </c>
      <c r="G4596">
        <v>0.46807975415908998</v>
      </c>
      <c r="H4596">
        <v>0.16088320072227999</v>
      </c>
      <c r="I4596">
        <v>0.16426477295415201</v>
      </c>
      <c r="J4596">
        <v>9.1857965961278695E-2</v>
      </c>
      <c r="K4596">
        <v>6.8209311940650205E-2</v>
      </c>
      <c r="L4596">
        <v>783.43817575513594</v>
      </c>
      <c r="M4596">
        <v>14.006985712033</v>
      </c>
      <c r="N4596">
        <v>55.931960792663197</v>
      </c>
      <c r="O4596">
        <v>54.828922456157798</v>
      </c>
      <c r="P4596">
        <v>-6.3875209454261395E-2</v>
      </c>
      <c r="Q4596">
        <v>0</v>
      </c>
      <c r="R4596">
        <v>0.97782200493790306</v>
      </c>
      <c r="S4596" t="s">
        <v>11212</v>
      </c>
      <c r="T4596" t="s">
        <v>13232</v>
      </c>
      <c r="U4596" t="s">
        <v>13232</v>
      </c>
      <c r="V4596" t="s">
        <v>13232</v>
      </c>
      <c r="W4596" t="s">
        <v>17765</v>
      </c>
      <c r="X4596">
        <v>10</v>
      </c>
      <c r="Y4596" t="s">
        <v>24177</v>
      </c>
      <c r="Z4596" t="s">
        <v>30727</v>
      </c>
      <c r="AA4596">
        <v>0.54992614216189317</v>
      </c>
      <c r="AB4596" t="str">
        <f>HYPERLINK("Melting_Curves/meltCurve_Q8TED0_UTP15.pdf", "Melting_Curves/meltCurve_Q8TED0_UTP15.pdf")</f>
        <v>Melting_Curves/meltCurve_Q8TED0_UTP15.pdf</v>
      </c>
    </row>
    <row r="4597" spans="1:28" x14ac:dyDescent="0.25">
      <c r="A4597" t="s">
        <v>4600</v>
      </c>
      <c r="B4597">
        <v>0.99930955844802105</v>
      </c>
      <c r="C4597">
        <v>1.0113020795761101</v>
      </c>
      <c r="D4597">
        <v>1.0351257170527499</v>
      </c>
      <c r="E4597">
        <v>0.87873994012122303</v>
      </c>
      <c r="F4597">
        <v>0.63208992460771196</v>
      </c>
      <c r="G4597">
        <v>0.52673876889773397</v>
      </c>
      <c r="H4597">
        <v>0.45615371146830802</v>
      </c>
      <c r="I4597">
        <v>0.51758369861259401</v>
      </c>
      <c r="J4597">
        <v>0.50359310597651197</v>
      </c>
      <c r="K4597">
        <v>0.38035135021814198</v>
      </c>
      <c r="L4597">
        <v>1717.6914498969199</v>
      </c>
      <c r="M4597">
        <v>33.140940818741399</v>
      </c>
      <c r="N4597">
        <v>56.602518113609101</v>
      </c>
      <c r="O4597">
        <v>51.642273030379798</v>
      </c>
      <c r="P4597">
        <v>-8.5123446701143704E-2</v>
      </c>
      <c r="Q4597">
        <v>0.46942376759419502</v>
      </c>
      <c r="R4597">
        <v>0.975382632759353</v>
      </c>
      <c r="S4597" t="s">
        <v>11213</v>
      </c>
      <c r="T4597" t="s">
        <v>13232</v>
      </c>
      <c r="U4597" t="s">
        <v>13232</v>
      </c>
      <c r="V4597" t="s">
        <v>13232</v>
      </c>
      <c r="W4597" t="s">
        <v>17766</v>
      </c>
      <c r="X4597">
        <v>14</v>
      </c>
      <c r="Y4597" t="s">
        <v>24178</v>
      </c>
      <c r="Z4597" t="s">
        <v>30728</v>
      </c>
      <c r="AA4597">
        <v>0.68141782481043334</v>
      </c>
      <c r="AB4597" t="str">
        <f>HYPERLINK("Melting_Curves/meltCurve_Q8TEH3_DENND1A.pdf", "Melting_Curves/meltCurve_Q8TEH3_DENND1A.pdf")</f>
        <v>Melting_Curves/meltCurve_Q8TEH3_DENND1A.pdf</v>
      </c>
    </row>
    <row r="4598" spans="1:28" x14ac:dyDescent="0.25">
      <c r="A4598" t="s">
        <v>4601</v>
      </c>
      <c r="B4598">
        <v>0.99930955844802105</v>
      </c>
      <c r="C4598">
        <v>0.93404261746597805</v>
      </c>
      <c r="D4598">
        <v>0.79716995223599996</v>
      </c>
      <c r="E4598">
        <v>0.59130398531532102</v>
      </c>
      <c r="F4598">
        <v>0.36134305408106798</v>
      </c>
      <c r="G4598">
        <v>0.21866429786641101</v>
      </c>
      <c r="H4598">
        <v>0.13795111228412299</v>
      </c>
      <c r="I4598">
        <v>0.111743119537249</v>
      </c>
      <c r="J4598">
        <v>0.103195335937303</v>
      </c>
      <c r="K4598">
        <v>8.1589281703098496E-2</v>
      </c>
      <c r="L4598">
        <v>736.33043119273395</v>
      </c>
      <c r="M4598">
        <v>14.5963118533772</v>
      </c>
      <c r="N4598">
        <v>50.9801216733728</v>
      </c>
      <c r="O4598">
        <v>49.527844069672902</v>
      </c>
      <c r="P4598">
        <v>-6.8464071010009495E-2</v>
      </c>
      <c r="Q4598">
        <v>7.0862428885083706E-2</v>
      </c>
      <c r="R4598">
        <v>0.99846805866861599</v>
      </c>
      <c r="S4598" t="s">
        <v>11214</v>
      </c>
      <c r="T4598" t="s">
        <v>13232</v>
      </c>
      <c r="U4598" t="s">
        <v>13232</v>
      </c>
      <c r="V4598" t="s">
        <v>13232</v>
      </c>
      <c r="W4598" t="s">
        <v>17767</v>
      </c>
      <c r="X4598">
        <v>12</v>
      </c>
      <c r="Y4598" t="s">
        <v>24179</v>
      </c>
      <c r="Z4598" t="s">
        <v>30729</v>
      </c>
      <c r="AA4598">
        <v>0.41728462319373399</v>
      </c>
      <c r="AB4598" t="str">
        <f>HYPERLINK("Melting_Curves/meltCurve_Q8TEK3_2_DOT1L.pdf", "Melting_Curves/meltCurve_Q8TEK3_2_DOT1L.pdf")</f>
        <v>Melting_Curves/meltCurve_Q8TEK3_2_DOT1L.pdf</v>
      </c>
    </row>
    <row r="4599" spans="1:28" x14ac:dyDescent="0.25">
      <c r="A4599" t="s">
        <v>4602</v>
      </c>
      <c r="B4599">
        <v>0.99930955844802105</v>
      </c>
      <c r="C4599">
        <v>0.755541699979149</v>
      </c>
      <c r="D4599">
        <v>0.56763803511597299</v>
      </c>
      <c r="E4599">
        <v>0.72067019395796506</v>
      </c>
      <c r="F4599">
        <v>0.391233032894235</v>
      </c>
      <c r="G4599">
        <v>0.195064550662324</v>
      </c>
      <c r="H4599">
        <v>7.67606277306776E-2</v>
      </c>
      <c r="I4599">
        <v>6.03615396265006E-2</v>
      </c>
      <c r="J4599">
        <v>4.2265094323720401E-2</v>
      </c>
      <c r="K4599">
        <v>2.8261102271847999E-2</v>
      </c>
      <c r="L4599">
        <v>510.43576135091701</v>
      </c>
      <c r="M4599">
        <v>10.171685059234701</v>
      </c>
      <c r="N4599">
        <v>50.182019903859597</v>
      </c>
      <c r="O4599">
        <v>48.3583456338704</v>
      </c>
      <c r="P4599">
        <v>-5.2608916513970802E-2</v>
      </c>
      <c r="Q4599">
        <v>0</v>
      </c>
      <c r="R4599">
        <v>0.92193006385652698</v>
      </c>
      <c r="S4599" t="s">
        <v>11215</v>
      </c>
      <c r="T4599" t="s">
        <v>13232</v>
      </c>
      <c r="U4599" t="s">
        <v>13232</v>
      </c>
      <c r="V4599" t="s">
        <v>13232</v>
      </c>
      <c r="W4599" t="s">
        <v>17768</v>
      </c>
      <c r="X4599">
        <v>6</v>
      </c>
      <c r="Y4599" t="s">
        <v>24180</v>
      </c>
      <c r="Z4599" t="s">
        <v>30730</v>
      </c>
      <c r="AA4599">
        <v>0.38293004255882312</v>
      </c>
      <c r="AB4599" t="str">
        <f>HYPERLINK("Melting_Curves/meltCurve_Q8TEM1_NUP210.pdf", "Melting_Curves/meltCurve_Q8TEM1_NUP210.pdf")</f>
        <v>Melting_Curves/meltCurve_Q8TEM1_NUP210.pdf</v>
      </c>
    </row>
    <row r="4600" spans="1:28" x14ac:dyDescent="0.25">
      <c r="A4600" t="s">
        <v>4603</v>
      </c>
      <c r="B4600">
        <v>0.99930955844802105</v>
      </c>
      <c r="C4600">
        <v>0.880116065616254</v>
      </c>
      <c r="D4600">
        <v>0.72611453921484703</v>
      </c>
      <c r="E4600">
        <v>0.719822764366015</v>
      </c>
      <c r="F4600">
        <v>0.31591192901368798</v>
      </c>
      <c r="G4600">
        <v>0.221074346925548</v>
      </c>
      <c r="H4600">
        <v>0.162328178210803</v>
      </c>
      <c r="I4600">
        <v>0.142173405553087</v>
      </c>
      <c r="J4600">
        <v>0.13291267463628501</v>
      </c>
      <c r="K4600">
        <v>0.10645941419152299</v>
      </c>
      <c r="L4600">
        <v>659.20863085375504</v>
      </c>
      <c r="M4600">
        <v>13.0525825728374</v>
      </c>
      <c r="N4600">
        <v>51.173665227151297</v>
      </c>
      <c r="O4600">
        <v>49.362729252403199</v>
      </c>
      <c r="P4600">
        <v>-6.0926774408202503E-2</v>
      </c>
      <c r="Q4600">
        <v>7.8499940397373194E-2</v>
      </c>
      <c r="R4600">
        <v>0.96485760624106998</v>
      </c>
      <c r="S4600" t="s">
        <v>11216</v>
      </c>
      <c r="T4600" t="s">
        <v>13232</v>
      </c>
      <c r="U4600" t="s">
        <v>13232</v>
      </c>
      <c r="V4600" t="s">
        <v>13232</v>
      </c>
      <c r="W4600" t="s">
        <v>17769</v>
      </c>
      <c r="X4600">
        <v>39</v>
      </c>
      <c r="Y4600" t="s">
        <v>24181</v>
      </c>
      <c r="Z4600" t="s">
        <v>30731</v>
      </c>
      <c r="AA4600">
        <v>0.42835122195192438</v>
      </c>
      <c r="AB4600" t="str">
        <f>HYPERLINK("Melting_Curves/meltCurve_Q8TEQ6_GEMIN5.pdf", "Melting_Curves/meltCurve_Q8TEQ6_GEMIN5.pdf")</f>
        <v>Melting_Curves/meltCurve_Q8TEQ6_GEMIN5.pdf</v>
      </c>
    </row>
    <row r="4601" spans="1:28" x14ac:dyDescent="0.25">
      <c r="A4601" t="s">
        <v>4604</v>
      </c>
      <c r="B4601">
        <v>0.99930955844802105</v>
      </c>
      <c r="C4601">
        <v>1.0421275986782099</v>
      </c>
      <c r="D4601">
        <v>0.94262256481195905</v>
      </c>
      <c r="E4601">
        <v>0.63498176988650601</v>
      </c>
      <c r="F4601">
        <v>0.30184843178514498</v>
      </c>
      <c r="G4601">
        <v>0.25229272761705601</v>
      </c>
      <c r="H4601">
        <v>0.26531454944691502</v>
      </c>
      <c r="I4601">
        <v>0.31113167197396502</v>
      </c>
      <c r="J4601">
        <v>0.31286662919826502</v>
      </c>
      <c r="K4601">
        <v>0.20958601817856901</v>
      </c>
      <c r="L4601">
        <v>2254.1448080503201</v>
      </c>
      <c r="M4601">
        <v>45.118162896469599</v>
      </c>
      <c r="N4601">
        <v>50.821922624704399</v>
      </c>
      <c r="O4601">
        <v>49.863070803403502</v>
      </c>
      <c r="P4601">
        <v>-0.16577013405042099</v>
      </c>
      <c r="Q4601">
        <v>0.26718678576643501</v>
      </c>
      <c r="R4601">
        <v>0.98904944320760002</v>
      </c>
      <c r="S4601" t="s">
        <v>11217</v>
      </c>
      <c r="T4601" t="s">
        <v>13232</v>
      </c>
      <c r="U4601" t="s">
        <v>13232</v>
      </c>
      <c r="V4601" t="s">
        <v>13232</v>
      </c>
      <c r="W4601" t="s">
        <v>17770</v>
      </c>
      <c r="X4601">
        <v>11</v>
      </c>
      <c r="Y4601" t="s">
        <v>24182</v>
      </c>
      <c r="Z4601" t="s">
        <v>30732</v>
      </c>
      <c r="AA4601">
        <v>0.51248918529667487</v>
      </c>
      <c r="AB4601" t="str">
        <f>HYPERLINK("Melting_Curves/meltCurve_Q8TER5_ARHGEF40.pdf", "Melting_Curves/meltCurve_Q8TER5_ARHGEF40.pdf")</f>
        <v>Melting_Curves/meltCurve_Q8TER5_ARHGEF40.pdf</v>
      </c>
    </row>
    <row r="4602" spans="1:28" x14ac:dyDescent="0.25">
      <c r="A4602" t="s">
        <v>4605</v>
      </c>
      <c r="B4602">
        <v>0.99930955844802105</v>
      </c>
      <c r="C4602">
        <v>1.8850294849506599</v>
      </c>
      <c r="D4602">
        <v>1.97007260116648</v>
      </c>
      <c r="E4602">
        <v>1.4425395658434399</v>
      </c>
      <c r="F4602">
        <v>1.57892825095169</v>
      </c>
      <c r="G4602">
        <v>1.3867886755496099</v>
      </c>
      <c r="H4602">
        <v>1.8296605609841901</v>
      </c>
      <c r="I4602">
        <v>1.8221274111688599</v>
      </c>
      <c r="J4602">
        <v>2.3585819116965698</v>
      </c>
      <c r="K4602">
        <v>1.8661331285643299</v>
      </c>
      <c r="L4602">
        <v>10241.1367707426</v>
      </c>
      <c r="M4602">
        <v>250</v>
      </c>
      <c r="O4602">
        <v>40.961925457038497</v>
      </c>
      <c r="P4602">
        <v>0.76290358816928805</v>
      </c>
      <c r="Q4602">
        <v>1.5</v>
      </c>
      <c r="R4602">
        <v>-0.16314870518805</v>
      </c>
      <c r="S4602" t="s">
        <v>11218</v>
      </c>
      <c r="T4602" t="s">
        <v>13232</v>
      </c>
      <c r="U4602" t="s">
        <v>13232</v>
      </c>
      <c r="V4602" t="s">
        <v>13232</v>
      </c>
      <c r="W4602" t="s">
        <v>17771</v>
      </c>
      <c r="X4602">
        <v>3</v>
      </c>
      <c r="Y4602" t="s">
        <v>24183</v>
      </c>
      <c r="Z4602" t="s">
        <v>30733</v>
      </c>
      <c r="AA4602">
        <v>1.483882051648697</v>
      </c>
      <c r="AB4602" t="str">
        <f>HYPERLINK("Melting_Curves/meltCurve_Q8TES7_5_FBF1.pdf", "Melting_Curves/meltCurve_Q8TES7_5_FBF1.pdf")</f>
        <v>Melting_Curves/meltCurve_Q8TES7_5_FBF1.pdf</v>
      </c>
    </row>
    <row r="4603" spans="1:28" x14ac:dyDescent="0.25">
      <c r="A4603" t="s">
        <v>4606</v>
      </c>
      <c r="B4603">
        <v>0.99930955844802105</v>
      </c>
      <c r="C4603">
        <v>0.92182752428782999</v>
      </c>
      <c r="D4603">
        <v>0.92901329288894696</v>
      </c>
      <c r="E4603">
        <v>0.87425108882136404</v>
      </c>
      <c r="F4603">
        <v>0.51577666438687098</v>
      </c>
      <c r="G4603">
        <v>0.33483112901801498</v>
      </c>
      <c r="H4603">
        <v>0.21011222304542901</v>
      </c>
      <c r="I4603">
        <v>8.4905200781913007E-2</v>
      </c>
      <c r="J4603">
        <v>1.99897150573566E-2</v>
      </c>
      <c r="K4603">
        <v>3.7947945943113397E-2</v>
      </c>
      <c r="L4603">
        <v>822.47329543757098</v>
      </c>
      <c r="M4603">
        <v>15.1404961674902</v>
      </c>
      <c r="N4603">
        <v>54.322743987657802</v>
      </c>
      <c r="O4603">
        <v>53.401521351369702</v>
      </c>
      <c r="P4603">
        <v>-7.0887357188715999E-2</v>
      </c>
      <c r="Q4603">
        <v>0</v>
      </c>
      <c r="R4603">
        <v>0.98570253627235904</v>
      </c>
      <c r="S4603" t="s">
        <v>11219</v>
      </c>
      <c r="T4603" t="s">
        <v>13232</v>
      </c>
      <c r="U4603" t="s">
        <v>13232</v>
      </c>
      <c r="V4603" t="s">
        <v>13232</v>
      </c>
      <c r="W4603" t="s">
        <v>17772</v>
      </c>
      <c r="X4603">
        <v>2</v>
      </c>
      <c r="Y4603" t="s">
        <v>24184</v>
      </c>
      <c r="Z4603" t="s">
        <v>30734</v>
      </c>
      <c r="AA4603">
        <v>0.4973499361386774</v>
      </c>
      <c r="AB4603" t="str">
        <f>HYPERLINK("Melting_Curves/meltCurve_Q8TET4_GANC.pdf", "Melting_Curves/meltCurve_Q8TET4_GANC.pdf")</f>
        <v>Melting_Curves/meltCurve_Q8TET4_GANC.pdf</v>
      </c>
    </row>
    <row r="4604" spans="1:28" x14ac:dyDescent="0.25">
      <c r="A4604" t="s">
        <v>4607</v>
      </c>
      <c r="B4604">
        <v>0.99930955844802105</v>
      </c>
      <c r="C4604">
        <v>1.0112006826105699</v>
      </c>
      <c r="D4604">
        <v>0.95850164523651105</v>
      </c>
      <c r="E4604">
        <v>0.71980992103677799</v>
      </c>
      <c r="F4604">
        <v>0.45568133517045201</v>
      </c>
      <c r="G4604">
        <v>0.36037434726168899</v>
      </c>
      <c r="H4604">
        <v>0.34541014361589401</v>
      </c>
      <c r="I4604">
        <v>0.37832922388991103</v>
      </c>
      <c r="J4604">
        <v>0.439300367006901</v>
      </c>
      <c r="K4604">
        <v>0.31493696705063901</v>
      </c>
      <c r="L4604">
        <v>1743.45256477469</v>
      </c>
      <c r="M4604">
        <v>34.662861146933501</v>
      </c>
      <c r="N4604">
        <v>52.2736524826379</v>
      </c>
      <c r="O4604">
        <v>50.1308831708158</v>
      </c>
      <c r="P4604">
        <v>-0.109741677789588</v>
      </c>
      <c r="Q4604">
        <v>0.36515006752679102</v>
      </c>
      <c r="R4604">
        <v>0.98786361576474002</v>
      </c>
      <c r="S4604" t="s">
        <v>11220</v>
      </c>
      <c r="T4604" t="s">
        <v>13232</v>
      </c>
      <c r="U4604" t="s">
        <v>13232</v>
      </c>
      <c r="V4604" t="s">
        <v>13232</v>
      </c>
      <c r="W4604" t="s">
        <v>17773</v>
      </c>
      <c r="X4604">
        <v>31</v>
      </c>
      <c r="Y4604" t="s">
        <v>24185</v>
      </c>
      <c r="Z4604" t="s">
        <v>30735</v>
      </c>
      <c r="AA4604">
        <v>0.58600818100821384</v>
      </c>
      <c r="AB4604" t="str">
        <f>HYPERLINK("Melting_Curves/meltCurve_Q8TEU7_RAPGEF6.pdf", "Melting_Curves/meltCurve_Q8TEU7_RAPGEF6.pdf")</f>
        <v>Melting_Curves/meltCurve_Q8TEU7_RAPGEF6.pdf</v>
      </c>
    </row>
    <row r="4605" spans="1:28" x14ac:dyDescent="0.25">
      <c r="A4605" t="s">
        <v>4608</v>
      </c>
      <c r="B4605">
        <v>0.99930955844802105</v>
      </c>
      <c r="C4605">
        <v>0.96724673291624297</v>
      </c>
      <c r="D4605">
        <v>0.93303286595963597</v>
      </c>
      <c r="E4605">
        <v>0.89991404457495905</v>
      </c>
      <c r="F4605">
        <v>0.77911800163811495</v>
      </c>
      <c r="G4605">
        <v>0.40253972788056203</v>
      </c>
      <c r="H4605">
        <v>0.216406562334643</v>
      </c>
      <c r="I4605">
        <v>0.21379985788050099</v>
      </c>
      <c r="J4605">
        <v>0.17751755105957301</v>
      </c>
      <c r="K4605">
        <v>0.142403704506472</v>
      </c>
      <c r="L4605">
        <v>1263.3804633345201</v>
      </c>
      <c r="M4605">
        <v>22.9644547068207</v>
      </c>
      <c r="N4605">
        <v>55.907971963726297</v>
      </c>
      <c r="O4605">
        <v>54.6025419719303</v>
      </c>
      <c r="P4605">
        <v>-8.8997531628088503E-2</v>
      </c>
      <c r="Q4605">
        <v>0.153579074330706</v>
      </c>
      <c r="R4605">
        <v>0.99409672090025802</v>
      </c>
      <c r="S4605" t="s">
        <v>11221</v>
      </c>
      <c r="T4605" t="s">
        <v>13232</v>
      </c>
      <c r="U4605" t="s">
        <v>13232</v>
      </c>
      <c r="V4605" t="s">
        <v>13232</v>
      </c>
      <c r="W4605" t="s">
        <v>17774</v>
      </c>
      <c r="X4605">
        <v>5</v>
      </c>
      <c r="Y4605" t="s">
        <v>24186</v>
      </c>
      <c r="Z4605" t="s">
        <v>30736</v>
      </c>
      <c r="AA4605">
        <v>0.58625442768791058</v>
      </c>
      <c r="AB4605" t="str">
        <f>HYPERLINK("Melting_Curves/meltCurve_Q8TEV9_2_SMCR8.pdf", "Melting_Curves/meltCurve_Q8TEV9_2_SMCR8.pdf")</f>
        <v>Melting_Curves/meltCurve_Q8TEV9_2_SMCR8.pdf</v>
      </c>
    </row>
    <row r="4606" spans="1:28" x14ac:dyDescent="0.25">
      <c r="A4606" t="s">
        <v>4609</v>
      </c>
      <c r="B4606">
        <v>0.99930955844802105</v>
      </c>
      <c r="C4606">
        <v>1.0201980005413001</v>
      </c>
      <c r="D4606">
        <v>0.92467801323045695</v>
      </c>
      <c r="E4606">
        <v>0.82374161146629798</v>
      </c>
      <c r="F4606">
        <v>0.54933769184942205</v>
      </c>
      <c r="G4606">
        <v>0.40868493767660802</v>
      </c>
      <c r="H4606">
        <v>0.38194881007298698</v>
      </c>
      <c r="I4606">
        <v>0.37599624909208601</v>
      </c>
      <c r="J4606">
        <v>0.36372793226723099</v>
      </c>
      <c r="K4606">
        <v>0.29229922256137603</v>
      </c>
      <c r="L4606">
        <v>1252.46464369305</v>
      </c>
      <c r="M4606">
        <v>24.265162112052501</v>
      </c>
      <c r="N4606">
        <v>54.244877484514099</v>
      </c>
      <c r="O4606">
        <v>51.269022352075403</v>
      </c>
      <c r="P4606">
        <v>-7.7413038590630895E-2</v>
      </c>
      <c r="Q4606">
        <v>0.34575657627834899</v>
      </c>
      <c r="R4606">
        <v>0.98956658071674097</v>
      </c>
      <c r="S4606" t="s">
        <v>11222</v>
      </c>
      <c r="T4606" t="s">
        <v>13232</v>
      </c>
      <c r="U4606" t="s">
        <v>13232</v>
      </c>
      <c r="V4606" t="s">
        <v>13232</v>
      </c>
      <c r="W4606" t="s">
        <v>17775</v>
      </c>
      <c r="X4606">
        <v>30</v>
      </c>
      <c r="Y4606" t="s">
        <v>24187</v>
      </c>
      <c r="Z4606" t="s">
        <v>30737</v>
      </c>
      <c r="AA4606">
        <v>0.60537743571370228</v>
      </c>
      <c r="AB4606" t="str">
        <f>HYPERLINK("Melting_Curves/meltCurve_Q8TEW0_2_PARD3.pdf", "Melting_Curves/meltCurve_Q8TEW0_2_PARD3.pdf")</f>
        <v>Melting_Curves/meltCurve_Q8TEW0_2_PARD3.pdf</v>
      </c>
    </row>
    <row r="4607" spans="1:28" x14ac:dyDescent="0.25">
      <c r="A4607" t="s">
        <v>4610</v>
      </c>
      <c r="B4607">
        <v>0.99930955844802105</v>
      </c>
      <c r="C4607">
        <v>0.94590359698622095</v>
      </c>
      <c r="D4607">
        <v>0.91152271452251099</v>
      </c>
      <c r="E4607">
        <v>0.79070254639211202</v>
      </c>
      <c r="F4607">
        <v>0.61697092399617603</v>
      </c>
      <c r="G4607">
        <v>0.32498526941638101</v>
      </c>
      <c r="H4607">
        <v>0.11834868533583801</v>
      </c>
      <c r="I4607">
        <v>8.0125831793173605E-2</v>
      </c>
      <c r="J4607">
        <v>5.80533636844986E-2</v>
      </c>
      <c r="K4607">
        <v>4.5169128389953399E-2</v>
      </c>
      <c r="L4607">
        <v>846.72584534095495</v>
      </c>
      <c r="M4607">
        <v>15.5988751430273</v>
      </c>
      <c r="N4607">
        <v>54.281211918982201</v>
      </c>
      <c r="O4607">
        <v>53.412588214413802</v>
      </c>
      <c r="P4607">
        <v>-7.3017556530876507E-2</v>
      </c>
      <c r="Q4607">
        <v>0</v>
      </c>
      <c r="R4607">
        <v>0.99689635634370499</v>
      </c>
      <c r="S4607" t="s">
        <v>11223</v>
      </c>
      <c r="T4607" t="s">
        <v>13232</v>
      </c>
      <c r="U4607" t="s">
        <v>13232</v>
      </c>
      <c r="V4607" t="s">
        <v>13232</v>
      </c>
      <c r="W4607" t="s">
        <v>17776</v>
      </c>
      <c r="X4607">
        <v>35</v>
      </c>
      <c r="Y4607" t="s">
        <v>24188</v>
      </c>
      <c r="Z4607" t="s">
        <v>30738</v>
      </c>
      <c r="AA4607">
        <v>0.49529434169943448</v>
      </c>
      <c r="AB4607" t="str">
        <f>HYPERLINK("Melting_Curves/meltCurve_Q8TEX9_IPO4.pdf", "Melting_Curves/meltCurve_Q8TEX9_IPO4.pdf")</f>
        <v>Melting_Curves/meltCurve_Q8TEX9_IPO4.pdf</v>
      </c>
    </row>
    <row r="4608" spans="1:28" x14ac:dyDescent="0.25">
      <c r="A4608" t="s">
        <v>4611</v>
      </c>
      <c r="B4608">
        <v>0.99930955844802105</v>
      </c>
      <c r="C4608">
        <v>1.05831630468743</v>
      </c>
      <c r="D4608">
        <v>1.07190816397568</v>
      </c>
      <c r="E4608">
        <v>1.09582983016202</v>
      </c>
      <c r="F4608">
        <v>1.0088464879869401</v>
      </c>
      <c r="G4608">
        <v>0.90288934424950196</v>
      </c>
      <c r="H4608">
        <v>0.98824483466546098</v>
      </c>
      <c r="I4608">
        <v>1.0374341561536899</v>
      </c>
      <c r="J4608">
        <v>1.10596804584561</v>
      </c>
      <c r="K4608">
        <v>0.84862370354392302</v>
      </c>
      <c r="L4608">
        <v>15000</v>
      </c>
      <c r="M4608">
        <v>212.56178920181301</v>
      </c>
      <c r="Q4608">
        <v>0</v>
      </c>
      <c r="R4608">
        <v>0.34975801513768601</v>
      </c>
      <c r="S4608" t="s">
        <v>11224</v>
      </c>
      <c r="T4608" t="s">
        <v>13232</v>
      </c>
      <c r="U4608" t="s">
        <v>13232</v>
      </c>
      <c r="V4608" t="s">
        <v>13232</v>
      </c>
      <c r="W4608" t="s">
        <v>17777</v>
      </c>
      <c r="X4608">
        <v>16</v>
      </c>
      <c r="Y4608" t="s">
        <v>24189</v>
      </c>
      <c r="Z4608" t="s">
        <v>30739</v>
      </c>
      <c r="AA4608">
        <v>0.99822996600517866</v>
      </c>
      <c r="AB4608" t="str">
        <f>HYPERLINK("Melting_Curves/meltCurve_Q8TF01_PNISR.pdf", "Melting_Curves/meltCurve_Q8TF01_PNISR.pdf")</f>
        <v>Melting_Curves/meltCurve_Q8TF01_PNISR.pdf</v>
      </c>
    </row>
    <row r="4609" spans="1:28" x14ac:dyDescent="0.25">
      <c r="A4609" t="s">
        <v>4612</v>
      </c>
      <c r="B4609">
        <v>0.99930955844802105</v>
      </c>
      <c r="C4609">
        <v>0.91119316716021104</v>
      </c>
      <c r="D4609">
        <v>0.71409497848557302</v>
      </c>
      <c r="E4609">
        <v>0.50813073772278605</v>
      </c>
      <c r="F4609">
        <v>0.26678664182720602</v>
      </c>
      <c r="G4609">
        <v>0.178257353489325</v>
      </c>
      <c r="H4609">
        <v>0.114883215577141</v>
      </c>
      <c r="I4609">
        <v>0.103874015017036</v>
      </c>
      <c r="J4609">
        <v>9.0215533595463707E-2</v>
      </c>
      <c r="K4609">
        <v>7.4957666467282094E-2</v>
      </c>
      <c r="L4609">
        <v>738.39317940296303</v>
      </c>
      <c r="M4609">
        <v>15.0635223035188</v>
      </c>
      <c r="N4609">
        <v>49.522330645053799</v>
      </c>
      <c r="O4609">
        <v>48.179094475151402</v>
      </c>
      <c r="P4609">
        <v>-7.2619655826395693E-2</v>
      </c>
      <c r="Q4609">
        <v>7.1027266821895696E-2</v>
      </c>
      <c r="R4609">
        <v>0.99586162216895902</v>
      </c>
      <c r="S4609" t="s">
        <v>11225</v>
      </c>
      <c r="T4609" t="s">
        <v>13232</v>
      </c>
      <c r="U4609" t="s">
        <v>13232</v>
      </c>
      <c r="V4609" t="s">
        <v>13232</v>
      </c>
      <c r="W4609" t="s">
        <v>17778</v>
      </c>
      <c r="X4609">
        <v>26</v>
      </c>
      <c r="Y4609" t="s">
        <v>24190</v>
      </c>
      <c r="Z4609" t="s">
        <v>30740</v>
      </c>
      <c r="AA4609">
        <v>0.37302613328275669</v>
      </c>
      <c r="AB4609" t="str">
        <f>HYPERLINK("Melting_Curves/meltCurve_Q8TF05_2_PPP4R1.pdf", "Melting_Curves/meltCurve_Q8TF05_2_PPP4R1.pdf")</f>
        <v>Melting_Curves/meltCurve_Q8TF05_2_PPP4R1.pdf</v>
      </c>
    </row>
    <row r="4610" spans="1:28" x14ac:dyDescent="0.25">
      <c r="A4610" t="s">
        <v>4613</v>
      </c>
      <c r="B4610">
        <v>0.99930955844802105</v>
      </c>
      <c r="C4610">
        <v>0.84976840949234</v>
      </c>
      <c r="D4610">
        <v>0.75351847435766295</v>
      </c>
      <c r="E4610">
        <v>0.44161018667096502</v>
      </c>
      <c r="F4610">
        <v>0.248221918957205</v>
      </c>
      <c r="G4610">
        <v>0.190272142452583</v>
      </c>
      <c r="H4610">
        <v>0.108326038880802</v>
      </c>
      <c r="I4610">
        <v>9.2759308992372794E-2</v>
      </c>
      <c r="J4610">
        <v>7.9919627158451606E-2</v>
      </c>
      <c r="K4610">
        <v>6.5060331849564099E-2</v>
      </c>
      <c r="L4610">
        <v>737.97832369226103</v>
      </c>
      <c r="M4610">
        <v>15.1593169250855</v>
      </c>
      <c r="N4610">
        <v>49.145733921863297</v>
      </c>
      <c r="O4610">
        <v>47.857949154094001</v>
      </c>
      <c r="P4610">
        <v>-7.3913797660870403E-2</v>
      </c>
      <c r="Q4610">
        <v>6.6707538154072099E-2</v>
      </c>
      <c r="R4610">
        <v>0.99513704249172896</v>
      </c>
      <c r="S4610" t="s">
        <v>11226</v>
      </c>
      <c r="T4610" t="s">
        <v>13232</v>
      </c>
      <c r="U4610" t="s">
        <v>13232</v>
      </c>
      <c r="V4610" t="s">
        <v>13232</v>
      </c>
      <c r="W4610" t="s">
        <v>17779</v>
      </c>
      <c r="X4610">
        <v>16</v>
      </c>
      <c r="Y4610" t="s">
        <v>24191</v>
      </c>
      <c r="Z4610" t="s">
        <v>30741</v>
      </c>
      <c r="AA4610">
        <v>0.35963763836586632</v>
      </c>
      <c r="AB4610" t="str">
        <f>HYPERLINK("Melting_Curves/meltCurve_Q8TF42_UBASH3B.pdf", "Melting_Curves/meltCurve_Q8TF42_UBASH3B.pdf")</f>
        <v>Melting_Curves/meltCurve_Q8TF42_UBASH3B.pdf</v>
      </c>
    </row>
    <row r="4611" spans="1:28" x14ac:dyDescent="0.25">
      <c r="A4611" t="s">
        <v>4614</v>
      </c>
      <c r="B4611">
        <v>0.99930955844802105</v>
      </c>
      <c r="C4611">
        <v>0.59849491519633502</v>
      </c>
      <c r="D4611">
        <v>0.41025005149768201</v>
      </c>
      <c r="E4611">
        <v>0.34012049580803599</v>
      </c>
      <c r="F4611">
        <v>0.24571637073993199</v>
      </c>
      <c r="G4611">
        <v>0.193432953756559</v>
      </c>
      <c r="H4611">
        <v>0.155354930512102</v>
      </c>
      <c r="I4611">
        <v>0.18004684334356</v>
      </c>
      <c r="J4611">
        <v>0.170016495964048</v>
      </c>
      <c r="K4611">
        <v>0.140481435580804</v>
      </c>
      <c r="L4611">
        <v>825.62654121120897</v>
      </c>
      <c r="M4611">
        <v>18.815469088368701</v>
      </c>
      <c r="N4611">
        <v>44.954501498405897</v>
      </c>
      <c r="O4611">
        <v>43.393547304382501</v>
      </c>
      <c r="P4611">
        <v>-8.8775582743752496E-2</v>
      </c>
      <c r="Q4611">
        <v>0.181072161287338</v>
      </c>
      <c r="R4611">
        <v>0.95459672927834305</v>
      </c>
      <c r="S4611" t="s">
        <v>11227</v>
      </c>
      <c r="T4611" t="s">
        <v>13232</v>
      </c>
      <c r="U4611" t="s">
        <v>13232</v>
      </c>
      <c r="V4611" t="s">
        <v>13232</v>
      </c>
      <c r="W4611" t="s">
        <v>17780</v>
      </c>
      <c r="X4611">
        <v>3</v>
      </c>
      <c r="Y4611" t="s">
        <v>24192</v>
      </c>
      <c r="Z4611" t="s">
        <v>30742</v>
      </c>
      <c r="AA4611">
        <v>0.30563503291714939</v>
      </c>
      <c r="AB4611" t="str">
        <f>HYPERLINK("Melting_Curves/meltCurve_Q8TF46_DIS3L.pdf", "Melting_Curves/meltCurve_Q8TF46_DIS3L.pdf")</f>
        <v>Melting_Curves/meltCurve_Q8TF46_DIS3L.pdf</v>
      </c>
    </row>
    <row r="4612" spans="1:28" x14ac:dyDescent="0.25">
      <c r="A4612" t="s">
        <v>4615</v>
      </c>
      <c r="B4612">
        <v>0.99930955844802105</v>
      </c>
      <c r="C4612">
        <v>0.905693756126556</v>
      </c>
      <c r="D4612">
        <v>0.87843959909619096</v>
      </c>
      <c r="E4612">
        <v>0.74095017746342995</v>
      </c>
      <c r="F4612">
        <v>0.53671077284777502</v>
      </c>
      <c r="G4612">
        <v>0.26125118576150402</v>
      </c>
      <c r="H4612">
        <v>0.14904330690477099</v>
      </c>
      <c r="I4612">
        <v>0.107079698993942</v>
      </c>
      <c r="J4612">
        <v>0.119341470608386</v>
      </c>
      <c r="K4612">
        <v>9.5613937110148303E-2</v>
      </c>
      <c r="L4612">
        <v>798.23473615649505</v>
      </c>
      <c r="M4612">
        <v>15.1315466716229</v>
      </c>
      <c r="N4612">
        <v>53.200498495410102</v>
      </c>
      <c r="O4612">
        <v>51.857385809869101</v>
      </c>
      <c r="P4612">
        <v>-6.8595639246348705E-2</v>
      </c>
      <c r="Q4612">
        <v>5.9754212045645599E-2</v>
      </c>
      <c r="R4612">
        <v>0.99315707558467203</v>
      </c>
      <c r="S4612" t="s">
        <v>11228</v>
      </c>
      <c r="T4612" t="s">
        <v>13232</v>
      </c>
      <c r="U4612" t="s">
        <v>13232</v>
      </c>
      <c r="V4612" t="s">
        <v>13232</v>
      </c>
      <c r="W4612" t="s">
        <v>17781</v>
      </c>
      <c r="X4612">
        <v>1</v>
      </c>
      <c r="Y4612" t="s">
        <v>24193</v>
      </c>
      <c r="Z4612" t="s">
        <v>30743</v>
      </c>
      <c r="AA4612">
        <v>0.47963843439630038</v>
      </c>
      <c r="AB4612" t="str">
        <f>HYPERLINK("Melting_Curves/meltCurve_Q8TF50_ZNF526.pdf", "Melting_Curves/meltCurve_Q8TF50_ZNF526.pdf")</f>
        <v>Melting_Curves/meltCurve_Q8TF50_ZNF526.pdf</v>
      </c>
    </row>
    <row r="4613" spans="1:28" x14ac:dyDescent="0.25">
      <c r="A4613" t="s">
        <v>4616</v>
      </c>
      <c r="B4613">
        <v>0.99930955844802105</v>
      </c>
      <c r="C4613">
        <v>0.98624357352292902</v>
      </c>
      <c r="D4613">
        <v>0.93386323795164705</v>
      </c>
      <c r="E4613">
        <v>0.87774216294964402</v>
      </c>
      <c r="F4613">
        <v>0.54099205481878099</v>
      </c>
      <c r="G4613">
        <v>0.26424760097261601</v>
      </c>
      <c r="H4613">
        <v>0.10199457210699001</v>
      </c>
      <c r="I4613">
        <v>7.6092091845502099E-2</v>
      </c>
      <c r="J4613">
        <v>6.2526346619615897E-2</v>
      </c>
      <c r="K4613">
        <v>6.1275671467151502E-2</v>
      </c>
      <c r="L4613">
        <v>1208.5548205321199</v>
      </c>
      <c r="M4613">
        <v>22.6088771494504</v>
      </c>
      <c r="N4613">
        <v>53.733886536532303</v>
      </c>
      <c r="O4613">
        <v>53.041954618451797</v>
      </c>
      <c r="P4613">
        <v>-0.10066168306633</v>
      </c>
      <c r="Q4613">
        <v>5.5382480852647097E-2</v>
      </c>
      <c r="R4613">
        <v>0.99669200509775702</v>
      </c>
      <c r="S4613" t="s">
        <v>11229</v>
      </c>
      <c r="T4613" t="s">
        <v>13232</v>
      </c>
      <c r="U4613" t="s">
        <v>13232</v>
      </c>
      <c r="V4613" t="s">
        <v>13232</v>
      </c>
      <c r="W4613" t="s">
        <v>17782</v>
      </c>
      <c r="X4613">
        <v>2</v>
      </c>
      <c r="Y4613" t="s">
        <v>24194</v>
      </c>
      <c r="Z4613" t="s">
        <v>30744</v>
      </c>
      <c r="AA4613">
        <v>0.48950969630985519</v>
      </c>
      <c r="AB4613" t="str">
        <f>HYPERLINK("Melting_Curves/meltCurve_Q8TF61_FBXO41.pdf", "Melting_Curves/meltCurve_Q8TF61_FBXO41.pdf")</f>
        <v>Melting_Curves/meltCurve_Q8TF61_FBXO41.pdf</v>
      </c>
    </row>
    <row r="4614" spans="1:28" x14ac:dyDescent="0.25">
      <c r="A4614" t="s">
        <v>4617</v>
      </c>
      <c r="B4614">
        <v>0.99930955844802105</v>
      </c>
      <c r="C4614">
        <v>1.02176362390676</v>
      </c>
      <c r="D4614">
        <v>0.93324730697686498</v>
      </c>
      <c r="E4614">
        <v>0.54476665961598103</v>
      </c>
      <c r="F4614">
        <v>0.20832808787199</v>
      </c>
      <c r="G4614">
        <v>0.14687030140457</v>
      </c>
      <c r="H4614">
        <v>9.8156223440798301E-2</v>
      </c>
      <c r="I4614">
        <v>9.4039317802995501E-2</v>
      </c>
      <c r="J4614">
        <v>8.6230353221151801E-2</v>
      </c>
      <c r="K4614">
        <v>6.5193306977488402E-2</v>
      </c>
      <c r="L4614">
        <v>1540.4976349728099</v>
      </c>
      <c r="M4614">
        <v>30.836422969099999</v>
      </c>
      <c r="N4614">
        <v>50.284446124293602</v>
      </c>
      <c r="O4614">
        <v>49.748390694607302</v>
      </c>
      <c r="P4614">
        <v>-0.1408690673637</v>
      </c>
      <c r="Q4614">
        <v>9.0949223868013504E-2</v>
      </c>
      <c r="R4614">
        <v>0.99800650061387297</v>
      </c>
      <c r="S4614" t="s">
        <v>11230</v>
      </c>
      <c r="T4614" t="s">
        <v>13232</v>
      </c>
      <c r="U4614" t="s">
        <v>13232</v>
      </c>
      <c r="V4614" t="s">
        <v>13232</v>
      </c>
      <c r="W4614" t="s">
        <v>17783</v>
      </c>
      <c r="X4614">
        <v>5</v>
      </c>
      <c r="Y4614" t="s">
        <v>24195</v>
      </c>
      <c r="Z4614" t="s">
        <v>30745</v>
      </c>
      <c r="AA4614">
        <v>0.39798002335123078</v>
      </c>
      <c r="AB4614" t="str">
        <f>HYPERLINK("Melting_Curves/meltCurve_Q8TF64_GIPC3.pdf", "Melting_Curves/meltCurve_Q8TF64_GIPC3.pdf")</f>
        <v>Melting_Curves/meltCurve_Q8TF64_GIPC3.pdf</v>
      </c>
    </row>
    <row r="4615" spans="1:28" x14ac:dyDescent="0.25">
      <c r="A4615" t="s">
        <v>4618</v>
      </c>
      <c r="B4615">
        <v>0.99930955844802105</v>
      </c>
      <c r="C4615">
        <v>1.07444189148225</v>
      </c>
      <c r="D4615">
        <v>1.02863788857169</v>
      </c>
      <c r="E4615">
        <v>1.0284961290445001</v>
      </c>
      <c r="F4615">
        <v>1.06264263016083</v>
      </c>
      <c r="G4615">
        <v>0.87848461382092102</v>
      </c>
      <c r="H4615">
        <v>0.96157814821080001</v>
      </c>
      <c r="I4615">
        <v>1.1255624767849901</v>
      </c>
      <c r="J4615">
        <v>1.0493553874035999</v>
      </c>
      <c r="K4615">
        <v>0.85582562205485402</v>
      </c>
      <c r="L4615">
        <v>15000</v>
      </c>
      <c r="M4615">
        <v>212.50463397904599</v>
      </c>
      <c r="Q4615">
        <v>0</v>
      </c>
      <c r="R4615">
        <v>0.30905390028171298</v>
      </c>
      <c r="S4615" t="s">
        <v>11231</v>
      </c>
      <c r="T4615" t="s">
        <v>13232</v>
      </c>
      <c r="U4615" t="s">
        <v>13232</v>
      </c>
      <c r="V4615" t="s">
        <v>13232</v>
      </c>
      <c r="W4615" t="s">
        <v>17784</v>
      </c>
      <c r="X4615">
        <v>6</v>
      </c>
      <c r="Y4615" t="s">
        <v>24196</v>
      </c>
      <c r="Z4615" t="s">
        <v>30746</v>
      </c>
      <c r="AA4615">
        <v>0.99832100006833324</v>
      </c>
      <c r="AB4615" t="str">
        <f>HYPERLINK("Melting_Curves/meltCurve_Q8TF74_WIPF2.pdf", "Melting_Curves/meltCurve_Q8TF74_WIPF2.pdf")</f>
        <v>Melting_Curves/meltCurve_Q8TF74_WIPF2.pdf</v>
      </c>
    </row>
    <row r="4616" spans="1:28" x14ac:dyDescent="0.25">
      <c r="A4616" t="s">
        <v>4619</v>
      </c>
      <c r="B4616">
        <v>0.99930955844802105</v>
      </c>
      <c r="C4616">
        <v>1.1793351599914501</v>
      </c>
      <c r="D4616">
        <v>1.1003519302870699</v>
      </c>
      <c r="E4616">
        <v>1.12434761223478</v>
      </c>
      <c r="F4616">
        <v>1.1362150874038801</v>
      </c>
      <c r="G4616">
        <v>1.1000008350655901</v>
      </c>
      <c r="H4616">
        <v>1.2988530839186201</v>
      </c>
      <c r="I4616">
        <v>1.3174629744049999</v>
      </c>
      <c r="J4616">
        <v>1.4403293147968099</v>
      </c>
      <c r="K4616">
        <v>1.1601527872911801</v>
      </c>
      <c r="L4616">
        <v>247.23994058569701</v>
      </c>
      <c r="M4616">
        <v>4.0004554689995002</v>
      </c>
      <c r="O4616">
        <v>50.739296631980999</v>
      </c>
      <c r="P4616">
        <v>9.9820506020226497E-3</v>
      </c>
      <c r="Q4616">
        <v>1.5</v>
      </c>
      <c r="R4616">
        <v>0.48847824737891299</v>
      </c>
      <c r="S4616" t="s">
        <v>11232</v>
      </c>
      <c r="T4616" t="s">
        <v>13232</v>
      </c>
      <c r="U4616" t="s">
        <v>13232</v>
      </c>
      <c r="V4616" t="s">
        <v>13232</v>
      </c>
      <c r="W4616" t="s">
        <v>17785</v>
      </c>
      <c r="X4616">
        <v>2</v>
      </c>
      <c r="Y4616" t="s">
        <v>24197</v>
      </c>
      <c r="Z4616" t="s">
        <v>30747</v>
      </c>
      <c r="AA4616">
        <v>1.185027401342833</v>
      </c>
      <c r="AB4616" t="str">
        <f>HYPERLINK("Melting_Curves/meltCurve_Q8TF76_2_GSG2.pdf", "Melting_Curves/meltCurve_Q8TF76_2_GSG2.pdf")</f>
        <v>Melting_Curves/meltCurve_Q8TF76_2_GSG2.pdf</v>
      </c>
    </row>
    <row r="4617" spans="1:28" x14ac:dyDescent="0.25">
      <c r="A4617" t="s">
        <v>4620</v>
      </c>
      <c r="B4617">
        <v>0.99930955844802105</v>
      </c>
      <c r="C4617">
        <v>1.1912579715307401</v>
      </c>
      <c r="D4617">
        <v>1.09100273087626</v>
      </c>
      <c r="E4617">
        <v>0.53527868129902101</v>
      </c>
      <c r="F4617">
        <v>0.29966049814266799</v>
      </c>
      <c r="G4617">
        <v>0.16896734197121699</v>
      </c>
      <c r="H4617">
        <v>0.133767200222462</v>
      </c>
      <c r="I4617">
        <v>0.20182755514241199</v>
      </c>
      <c r="J4617">
        <v>0.184850561008091</v>
      </c>
      <c r="K4617">
        <v>0.139584482626705</v>
      </c>
      <c r="L4617">
        <v>2227.5056602459799</v>
      </c>
      <c r="M4617">
        <v>44.672003476402402</v>
      </c>
      <c r="N4617">
        <v>50.351512925985901</v>
      </c>
      <c r="O4617">
        <v>49.7639591240453</v>
      </c>
      <c r="P4617">
        <v>-0.18499227272343199</v>
      </c>
      <c r="Q4617">
        <v>0.175686379890621</v>
      </c>
      <c r="R4617">
        <v>0.96523942836195098</v>
      </c>
      <c r="S4617" t="s">
        <v>11233</v>
      </c>
      <c r="T4617" t="s">
        <v>13232</v>
      </c>
      <c r="U4617" t="s">
        <v>13232</v>
      </c>
      <c r="V4617" t="s">
        <v>13232</v>
      </c>
      <c r="W4617" t="s">
        <v>17786</v>
      </c>
      <c r="X4617">
        <v>1</v>
      </c>
      <c r="Y4617" t="s">
        <v>24198</v>
      </c>
      <c r="Z4617" t="s">
        <v>30748</v>
      </c>
      <c r="AA4617">
        <v>0.44898369128498022</v>
      </c>
      <c r="AB4617" t="str">
        <f>HYPERLINK("Melting_Curves/meltCurve_Q8WTR2_2_DUSP19.pdf", "Melting_Curves/meltCurve_Q8WTR2_2_DUSP19.pdf")</f>
        <v>Melting_Curves/meltCurve_Q8WTR2_2_DUSP19.pdf</v>
      </c>
    </row>
    <row r="4618" spans="1:28" x14ac:dyDescent="0.25">
      <c r="A4618" t="s">
        <v>4621</v>
      </c>
      <c r="B4618">
        <v>0.99930955844802105</v>
      </c>
      <c r="C4618">
        <v>0.78126790847285399</v>
      </c>
      <c r="D4618">
        <v>0.65477216449509001</v>
      </c>
      <c r="E4618">
        <v>0.38775586464044698</v>
      </c>
      <c r="F4618">
        <v>0.21140897493776101</v>
      </c>
      <c r="G4618">
        <v>0.13409166197656899</v>
      </c>
      <c r="H4618">
        <v>2.70417089573078E-2</v>
      </c>
      <c r="I4618">
        <v>2.4586477450314101E-2</v>
      </c>
      <c r="J4618">
        <v>0</v>
      </c>
      <c r="K4618">
        <v>3.6567382689954402E-2</v>
      </c>
      <c r="L4618">
        <v>645.991238744361</v>
      </c>
      <c r="M4618">
        <v>13.438015015064</v>
      </c>
      <c r="N4618">
        <v>48.071924267742098</v>
      </c>
      <c r="O4618">
        <v>47.044799710922803</v>
      </c>
      <c r="P4618">
        <v>-7.1421817290823406E-2</v>
      </c>
      <c r="Q4618">
        <v>0</v>
      </c>
      <c r="R4618">
        <v>0.99200778344110896</v>
      </c>
      <c r="S4618" t="s">
        <v>11234</v>
      </c>
      <c r="T4618" t="s">
        <v>13232</v>
      </c>
      <c r="U4618" t="s">
        <v>13232</v>
      </c>
      <c r="V4618" t="s">
        <v>13232</v>
      </c>
      <c r="W4618" t="s">
        <v>17787</v>
      </c>
      <c r="X4618">
        <v>2</v>
      </c>
      <c r="Y4618" t="s">
        <v>24199</v>
      </c>
      <c r="Z4618" t="s">
        <v>30749</v>
      </c>
      <c r="AA4618">
        <v>0.30076236211422669</v>
      </c>
      <c r="AB4618" t="str">
        <f>HYPERLINK("Melting_Curves/meltCurve_Q8WTS1_ABHD5.pdf", "Melting_Curves/meltCurve_Q8WTS1_ABHD5.pdf")</f>
        <v>Melting_Curves/meltCurve_Q8WTS1_ABHD5.pdf</v>
      </c>
    </row>
    <row r="4619" spans="1:28" x14ac:dyDescent="0.25">
      <c r="A4619" t="s">
        <v>4622</v>
      </c>
      <c r="B4619">
        <v>0.99930955844802105</v>
      </c>
      <c r="C4619">
        <v>1.03037151378363</v>
      </c>
      <c r="D4619">
        <v>0.93077900518357204</v>
      </c>
      <c r="E4619">
        <v>0.38410578094543202</v>
      </c>
      <c r="F4619">
        <v>0.25613850759115597</v>
      </c>
      <c r="G4619">
        <v>0.16464994465961</v>
      </c>
      <c r="H4619">
        <v>0.1026311435339</v>
      </c>
      <c r="I4619">
        <v>8.4825134602007302E-2</v>
      </c>
      <c r="J4619">
        <v>7.4931154830642194E-2</v>
      </c>
      <c r="K4619">
        <v>6.5392769350246405E-2</v>
      </c>
      <c r="L4619">
        <v>1475.9752293450799</v>
      </c>
      <c r="M4619">
        <v>30.0680222647051</v>
      </c>
      <c r="N4619">
        <v>49.462644118103299</v>
      </c>
      <c r="O4619">
        <v>48.872277741868999</v>
      </c>
      <c r="P4619">
        <v>-0.138142644268724</v>
      </c>
      <c r="Q4619">
        <v>0.10186283255564201</v>
      </c>
      <c r="R4619">
        <v>0.99048831990348896</v>
      </c>
      <c r="S4619" t="s">
        <v>11235</v>
      </c>
      <c r="T4619" t="s">
        <v>13232</v>
      </c>
      <c r="U4619" t="s">
        <v>13232</v>
      </c>
      <c r="V4619" t="s">
        <v>13232</v>
      </c>
      <c r="W4619" t="s">
        <v>17788</v>
      </c>
      <c r="X4619">
        <v>7</v>
      </c>
      <c r="Y4619" t="s">
        <v>24200</v>
      </c>
      <c r="Z4619" t="s">
        <v>30750</v>
      </c>
      <c r="AA4619">
        <v>0.37938648327977498</v>
      </c>
      <c r="AB4619" t="str">
        <f>HYPERLINK("Melting_Curves/meltCurve_Q8WTS6_SETD7.pdf", "Melting_Curves/meltCurve_Q8WTS6_SETD7.pdf")</f>
        <v>Melting_Curves/meltCurve_Q8WTS6_SETD7.pdf</v>
      </c>
    </row>
    <row r="4620" spans="1:28" x14ac:dyDescent="0.25">
      <c r="A4620" t="s">
        <v>4623</v>
      </c>
      <c r="B4620">
        <v>0.99930955844802105</v>
      </c>
      <c r="C4620">
        <v>0.88622163810780996</v>
      </c>
      <c r="D4620">
        <v>1.2469805178775999</v>
      </c>
      <c r="E4620">
        <v>1.1059128262897799</v>
      </c>
      <c r="F4620">
        <v>0.62960949603595096</v>
      </c>
      <c r="G4620">
        <v>0.37853719441822498</v>
      </c>
      <c r="H4620">
        <v>0.34944198452956599</v>
      </c>
      <c r="I4620">
        <v>0.26200206563529699</v>
      </c>
      <c r="J4620">
        <v>0.22442181127692201</v>
      </c>
      <c r="K4620">
        <v>0.15780646251526301</v>
      </c>
      <c r="L4620">
        <v>13247.7757373728</v>
      </c>
      <c r="M4620">
        <v>250</v>
      </c>
      <c r="N4620">
        <v>53.1603732517503</v>
      </c>
      <c r="O4620">
        <v>52.987713371213701</v>
      </c>
      <c r="P4620">
        <v>-0.85580939886303098</v>
      </c>
      <c r="Q4620">
        <v>0.27444189135474001</v>
      </c>
      <c r="R4620">
        <v>0.92000622938951404</v>
      </c>
      <c r="S4620" t="s">
        <v>11236</v>
      </c>
      <c r="T4620" t="s">
        <v>13232</v>
      </c>
      <c r="U4620" t="s">
        <v>13232</v>
      </c>
      <c r="V4620" t="s">
        <v>13232</v>
      </c>
      <c r="W4620" t="s">
        <v>17789</v>
      </c>
      <c r="X4620">
        <v>4</v>
      </c>
      <c r="Y4620" t="s">
        <v>24201</v>
      </c>
      <c r="Z4620" t="s">
        <v>30751</v>
      </c>
      <c r="AA4620">
        <v>0.58870270338968811</v>
      </c>
      <c r="AB4620" t="str">
        <f>HYPERLINK("Melting_Curves/meltCurve_Q8WTU0_DDI1.pdf", "Melting_Curves/meltCurve_Q8WTU0_DDI1.pdf")</f>
        <v>Melting_Curves/meltCurve_Q8WTU0_DDI1.pdf</v>
      </c>
    </row>
    <row r="4621" spans="1:28" x14ac:dyDescent="0.25">
      <c r="A4621" t="s">
        <v>4624</v>
      </c>
      <c r="B4621">
        <v>0.99930955844802105</v>
      </c>
      <c r="C4621">
        <v>0.666531801993277</v>
      </c>
      <c r="D4621">
        <v>0.47509792270898998</v>
      </c>
      <c r="E4621">
        <v>0.27307304273877098</v>
      </c>
      <c r="F4621">
        <v>0.19386856324120599</v>
      </c>
      <c r="G4621">
        <v>0.14961139487757799</v>
      </c>
      <c r="H4621">
        <v>0.10715153073896699</v>
      </c>
      <c r="I4621">
        <v>0.100384414948137</v>
      </c>
      <c r="J4621">
        <v>0.101023723593201</v>
      </c>
      <c r="K4621">
        <v>7.5483892466831098E-2</v>
      </c>
      <c r="L4621">
        <v>737.40556871602405</v>
      </c>
      <c r="M4621">
        <v>16.3450934212979</v>
      </c>
      <c r="N4621">
        <v>45.7435690689178</v>
      </c>
      <c r="O4621">
        <v>44.455715030082303</v>
      </c>
      <c r="P4621">
        <v>-8.2675755187033101E-2</v>
      </c>
      <c r="Q4621">
        <v>0.10061211744840701</v>
      </c>
      <c r="R4621">
        <v>0.98147915762967597</v>
      </c>
      <c r="S4621" t="s">
        <v>11237</v>
      </c>
      <c r="T4621" t="s">
        <v>13232</v>
      </c>
      <c r="U4621" t="s">
        <v>13232</v>
      </c>
      <c r="V4621" t="s">
        <v>13232</v>
      </c>
      <c r="W4621" t="s">
        <v>17790</v>
      </c>
      <c r="X4621">
        <v>18</v>
      </c>
      <c r="Y4621" t="s">
        <v>24202</v>
      </c>
      <c r="Z4621" t="s">
        <v>30752</v>
      </c>
      <c r="AA4621">
        <v>0.27768955659986128</v>
      </c>
      <c r="AB4621" t="str">
        <f>HYPERLINK("Melting_Curves/meltCurve_Q8WTW3_COG1.pdf", "Melting_Curves/meltCurve_Q8WTW3_COG1.pdf")</f>
        <v>Melting_Curves/meltCurve_Q8WTW3_COG1.pdf</v>
      </c>
    </row>
    <row r="4622" spans="1:28" x14ac:dyDescent="0.25">
      <c r="A4622" t="s">
        <v>4625</v>
      </c>
      <c r="B4622">
        <v>0.99930955844802105</v>
      </c>
      <c r="C4622">
        <v>1.0399918440585501</v>
      </c>
      <c r="D4622">
        <v>0.903242307153579</v>
      </c>
      <c r="E4622">
        <v>0.67810648184120204</v>
      </c>
      <c r="F4622">
        <v>0.25276253701745699</v>
      </c>
      <c r="G4622">
        <v>0.204990868152296</v>
      </c>
      <c r="H4622">
        <v>0.15514205353078001</v>
      </c>
      <c r="I4622">
        <v>0.150076568978596</v>
      </c>
      <c r="J4622">
        <v>0.15457329665125299</v>
      </c>
      <c r="K4622">
        <v>0.107386219037772</v>
      </c>
      <c r="L4622">
        <v>1769.7869840318499</v>
      </c>
      <c r="M4622">
        <v>35.0149351977321</v>
      </c>
      <c r="N4622">
        <v>51.0487643524662</v>
      </c>
      <c r="O4622">
        <v>50.379771878278603</v>
      </c>
      <c r="P4622">
        <v>-0.14832175765042499</v>
      </c>
      <c r="Q4622">
        <v>0.146376939849858</v>
      </c>
      <c r="R4622">
        <v>0.99134746610475599</v>
      </c>
      <c r="S4622" t="s">
        <v>11238</v>
      </c>
      <c r="T4622" t="s">
        <v>13232</v>
      </c>
      <c r="U4622" t="s">
        <v>13232</v>
      </c>
      <c r="V4622" t="s">
        <v>13232</v>
      </c>
      <c r="W4622" t="s">
        <v>17791</v>
      </c>
      <c r="X4622">
        <v>8</v>
      </c>
      <c r="Y4622" t="s">
        <v>24203</v>
      </c>
      <c r="Z4622" t="s">
        <v>30753</v>
      </c>
      <c r="AA4622">
        <v>0.45029162998696481</v>
      </c>
      <c r="AB4622" t="str">
        <f>HYPERLINK("Melting_Curves/meltCurve_Q8WU10_PYROXD1.pdf", "Melting_Curves/meltCurve_Q8WU10_PYROXD1.pdf")</f>
        <v>Melting_Curves/meltCurve_Q8WU10_PYROXD1.pdf</v>
      </c>
    </row>
    <row r="4623" spans="1:28" x14ac:dyDescent="0.25">
      <c r="A4623" t="s">
        <v>4626</v>
      </c>
      <c r="B4623">
        <v>0.99930955844802105</v>
      </c>
      <c r="C4623">
        <v>0.99284481427198801</v>
      </c>
      <c r="D4623">
        <v>1.0425679720008201</v>
      </c>
      <c r="E4623">
        <v>0.99877477284608995</v>
      </c>
      <c r="F4623">
        <v>0.86759306657692603</v>
      </c>
      <c r="G4623">
        <v>0.87418246983854697</v>
      </c>
      <c r="H4623">
        <v>0.88052393125986395</v>
      </c>
      <c r="I4623">
        <v>0.95472640369167405</v>
      </c>
      <c r="J4623">
        <v>0.87543795662333601</v>
      </c>
      <c r="K4623">
        <v>0.77115238222023397</v>
      </c>
      <c r="L4623">
        <v>12731.8180328218</v>
      </c>
      <c r="M4623">
        <v>250</v>
      </c>
      <c r="O4623">
        <v>50.924010965884399</v>
      </c>
      <c r="P4623">
        <v>-0.158813173840784</v>
      </c>
      <c r="Q4623">
        <v>0.87060153376594795</v>
      </c>
      <c r="R4623">
        <v>0.70467534346726701</v>
      </c>
      <c r="S4623" t="s">
        <v>11239</v>
      </c>
      <c r="T4623" t="s">
        <v>13232</v>
      </c>
      <c r="U4623" t="s">
        <v>13232</v>
      </c>
      <c r="V4623" t="s">
        <v>13232</v>
      </c>
      <c r="W4623" t="s">
        <v>17792</v>
      </c>
      <c r="X4623">
        <v>1</v>
      </c>
      <c r="Y4623" t="s">
        <v>24204</v>
      </c>
      <c r="Z4623" t="s">
        <v>30754</v>
      </c>
      <c r="AA4623">
        <v>0.91774550742070848</v>
      </c>
      <c r="AB4623" t="str">
        <f>HYPERLINK("Melting_Curves/meltCurve_Q8WU58_FAM222B.pdf", "Melting_Curves/meltCurve_Q8WU58_FAM222B.pdf")</f>
        <v>Melting_Curves/meltCurve_Q8WU58_FAM222B.pdf</v>
      </c>
    </row>
    <row r="4624" spans="1:28" x14ac:dyDescent="0.25">
      <c r="A4624" t="s">
        <v>4627</v>
      </c>
      <c r="B4624">
        <v>0.99930955844802105</v>
      </c>
      <c r="C4624">
        <v>0.95046579631061701</v>
      </c>
      <c r="D4624">
        <v>0.88752961115710505</v>
      </c>
      <c r="E4624">
        <v>0.666977425737736</v>
      </c>
      <c r="F4624">
        <v>0.45565066389860298</v>
      </c>
      <c r="G4624">
        <v>0.32013434433875798</v>
      </c>
      <c r="H4624">
        <v>0.16777027665168301</v>
      </c>
      <c r="I4624">
        <v>0.14027120828001199</v>
      </c>
      <c r="J4624">
        <v>0.14467324735875001</v>
      </c>
      <c r="K4624">
        <v>8.8535915009680097E-2</v>
      </c>
      <c r="L4624">
        <v>738.33093933158398</v>
      </c>
      <c r="M4624">
        <v>14.2094251827805</v>
      </c>
      <c r="N4624">
        <v>52.64877454226</v>
      </c>
      <c r="O4624">
        <v>50.964000561186403</v>
      </c>
      <c r="P4624">
        <v>-6.3804109319138394E-2</v>
      </c>
      <c r="Q4624">
        <v>8.4746460256607994E-2</v>
      </c>
      <c r="R4624">
        <v>0.99735509643601805</v>
      </c>
      <c r="S4624" t="s">
        <v>11240</v>
      </c>
      <c r="T4624" t="s">
        <v>13232</v>
      </c>
      <c r="U4624" t="s">
        <v>13232</v>
      </c>
      <c r="V4624" t="s">
        <v>13232</v>
      </c>
      <c r="W4624" t="s">
        <v>17793</v>
      </c>
      <c r="X4624">
        <v>3</v>
      </c>
      <c r="Y4624" t="s">
        <v>24205</v>
      </c>
      <c r="Z4624" t="s">
        <v>30755</v>
      </c>
      <c r="AA4624">
        <v>0.47187649413762262</v>
      </c>
      <c r="AB4624" t="str">
        <f>HYPERLINK("Melting_Curves/meltCurve_Q8WU76_2_SCFD2.pdf", "Melting_Curves/meltCurve_Q8WU76_2_SCFD2.pdf")</f>
        <v>Melting_Curves/meltCurve_Q8WU76_2_SCFD2.pdf</v>
      </c>
    </row>
    <row r="4625" spans="1:28" x14ac:dyDescent="0.25">
      <c r="A4625" t="s">
        <v>4628</v>
      </c>
      <c r="B4625">
        <v>0.99930955844802105</v>
      </c>
      <c r="C4625">
        <v>0.93705947794786804</v>
      </c>
      <c r="D4625">
        <v>0.91373398424425101</v>
      </c>
      <c r="E4625">
        <v>0.62182864447596797</v>
      </c>
      <c r="F4625">
        <v>0.22313482015941999</v>
      </c>
      <c r="G4625">
        <v>0.16757164969952201</v>
      </c>
      <c r="H4625">
        <v>0.110542526796632</v>
      </c>
      <c r="I4625">
        <v>0.114108490471053</v>
      </c>
      <c r="J4625">
        <v>0.10085362558816099</v>
      </c>
      <c r="K4625">
        <v>8.1861599623157699E-2</v>
      </c>
      <c r="L4625">
        <v>1494.2927383793201</v>
      </c>
      <c r="M4625">
        <v>29.704878529988399</v>
      </c>
      <c r="N4625">
        <v>50.699654233187701</v>
      </c>
      <c r="O4625">
        <v>50.078309598918402</v>
      </c>
      <c r="P4625">
        <v>-0.132972518170794</v>
      </c>
      <c r="Q4625">
        <v>0.103313437231255</v>
      </c>
      <c r="R4625">
        <v>0.99345035947878502</v>
      </c>
      <c r="S4625" t="s">
        <v>11241</v>
      </c>
      <c r="T4625" t="s">
        <v>13232</v>
      </c>
      <c r="U4625" t="s">
        <v>13232</v>
      </c>
      <c r="V4625" t="s">
        <v>13232</v>
      </c>
      <c r="W4625" t="s">
        <v>17794</v>
      </c>
      <c r="X4625">
        <v>16</v>
      </c>
      <c r="Y4625" t="s">
        <v>24206</v>
      </c>
      <c r="Z4625" t="s">
        <v>30756</v>
      </c>
      <c r="AA4625">
        <v>0.41700002606817538</v>
      </c>
      <c r="AB4625" t="str">
        <f>HYPERLINK("Melting_Curves/meltCurve_Q8WU79_SMAP2.pdf", "Melting_Curves/meltCurve_Q8WU79_SMAP2.pdf")</f>
        <v>Melting_Curves/meltCurve_Q8WU79_SMAP2.pdf</v>
      </c>
    </row>
    <row r="4626" spans="1:28" x14ac:dyDescent="0.25">
      <c r="A4626" t="s">
        <v>4629</v>
      </c>
      <c r="B4626">
        <v>0.99930955844802105</v>
      </c>
      <c r="C4626">
        <v>1.1572047586363901</v>
      </c>
      <c r="D4626">
        <v>1.0600507908329599</v>
      </c>
      <c r="E4626">
        <v>0.99617043688382201</v>
      </c>
      <c r="F4626">
        <v>0.855185281605781</v>
      </c>
      <c r="G4626">
        <v>0.61630703367736495</v>
      </c>
      <c r="H4626">
        <v>0.46018113652645998</v>
      </c>
      <c r="I4626">
        <v>0.44992903635143799</v>
      </c>
      <c r="J4626">
        <v>0.43798421674330301</v>
      </c>
      <c r="K4626">
        <v>0.39350262434586802</v>
      </c>
      <c r="L4626">
        <v>1491.2940854221999</v>
      </c>
      <c r="M4626">
        <v>26.870689066749101</v>
      </c>
      <c r="N4626">
        <v>59.503864885171303</v>
      </c>
      <c r="O4626">
        <v>55.194265067854403</v>
      </c>
      <c r="P4626">
        <v>-7.0829102639596006E-2</v>
      </c>
      <c r="Q4626">
        <v>0.41805425394019902</v>
      </c>
      <c r="R4626">
        <v>0.96203479454172203</v>
      </c>
      <c r="S4626" t="s">
        <v>11242</v>
      </c>
      <c r="T4626" t="s">
        <v>13232</v>
      </c>
      <c r="U4626" t="s">
        <v>13232</v>
      </c>
      <c r="V4626" t="s">
        <v>13232</v>
      </c>
      <c r="W4626" t="s">
        <v>17795</v>
      </c>
      <c r="X4626">
        <v>17</v>
      </c>
      <c r="Y4626" t="s">
        <v>24207</v>
      </c>
      <c r="Z4626" t="s">
        <v>30757</v>
      </c>
      <c r="AA4626">
        <v>0.72343923169023228</v>
      </c>
      <c r="AB4626" t="str">
        <f>HYPERLINK("Melting_Curves/meltCurve_Q8WU90_ZC3H15.pdf", "Melting_Curves/meltCurve_Q8WU90_ZC3H15.pdf")</f>
        <v>Melting_Curves/meltCurve_Q8WU90_ZC3H15.pdf</v>
      </c>
    </row>
    <row r="4627" spans="1:28" x14ac:dyDescent="0.25">
      <c r="A4627" t="s">
        <v>4630</v>
      </c>
      <c r="B4627">
        <v>0.99930955844802105</v>
      </c>
      <c r="C4627">
        <v>0.85724226526176694</v>
      </c>
      <c r="D4627">
        <v>0.94932410156241898</v>
      </c>
      <c r="E4627">
        <v>0.74979094804347901</v>
      </c>
      <c r="F4627">
        <v>0.37358020616028398</v>
      </c>
      <c r="G4627">
        <v>0.24846079994980799</v>
      </c>
      <c r="H4627">
        <v>0.16805815661601001</v>
      </c>
      <c r="I4627">
        <v>0.13790670818911499</v>
      </c>
      <c r="J4627">
        <v>0.135765669183114</v>
      </c>
      <c r="K4627">
        <v>0.103072937222425</v>
      </c>
      <c r="L4627">
        <v>1199.56492636234</v>
      </c>
      <c r="M4627">
        <v>23.303912131157102</v>
      </c>
      <c r="N4627">
        <v>52.147526376365199</v>
      </c>
      <c r="O4627">
        <v>51.100297108706002</v>
      </c>
      <c r="P4627">
        <v>-9.9211639755287406E-2</v>
      </c>
      <c r="Q4627">
        <v>0.129819465424066</v>
      </c>
      <c r="R4627">
        <v>0.98010552964965303</v>
      </c>
      <c r="S4627" t="s">
        <v>11243</v>
      </c>
      <c r="T4627" t="s">
        <v>13232</v>
      </c>
      <c r="U4627" t="s">
        <v>13232</v>
      </c>
      <c r="V4627" t="s">
        <v>13232</v>
      </c>
      <c r="W4627" t="s">
        <v>17796</v>
      </c>
      <c r="X4627">
        <v>20</v>
      </c>
      <c r="Y4627" t="s">
        <v>24208</v>
      </c>
      <c r="Z4627" t="s">
        <v>30758</v>
      </c>
      <c r="AA4627">
        <v>0.47170991958589892</v>
      </c>
      <c r="AB4627" t="str">
        <f>HYPERLINK("Melting_Curves/meltCurve_Q8WUA2_PPIL4.pdf", "Melting_Curves/meltCurve_Q8WUA2_PPIL4.pdf")</f>
        <v>Melting_Curves/meltCurve_Q8WUA2_PPIL4.pdf</v>
      </c>
    </row>
    <row r="4628" spans="1:28" x14ac:dyDescent="0.25">
      <c r="A4628" t="s">
        <v>4631</v>
      </c>
      <c r="B4628">
        <v>0.99930955844802105</v>
      </c>
      <c r="C4628">
        <v>0.89681209246862703</v>
      </c>
      <c r="D4628">
        <v>0.84409734192938102</v>
      </c>
      <c r="E4628">
        <v>0.75015781882200905</v>
      </c>
      <c r="F4628">
        <v>0.55035228588509</v>
      </c>
      <c r="G4628">
        <v>0.44159654781409102</v>
      </c>
      <c r="H4628">
        <v>0.35618062020807301</v>
      </c>
      <c r="I4628">
        <v>0.35071338123553503</v>
      </c>
      <c r="J4628">
        <v>0.33737094019046698</v>
      </c>
      <c r="K4628">
        <v>0.268501659496789</v>
      </c>
      <c r="L4628">
        <v>584.607499669552</v>
      </c>
      <c r="M4628">
        <v>11.2965247792045</v>
      </c>
      <c r="N4628">
        <v>55.264158444973603</v>
      </c>
      <c r="O4628">
        <v>50.208902463355003</v>
      </c>
      <c r="P4628">
        <v>-4.1851854174690298E-2</v>
      </c>
      <c r="Q4628">
        <v>0.25616209197983503</v>
      </c>
      <c r="R4628">
        <v>0.98868625252740105</v>
      </c>
      <c r="S4628" t="s">
        <v>11244</v>
      </c>
      <c r="T4628" t="s">
        <v>13232</v>
      </c>
      <c r="U4628" t="s">
        <v>13232</v>
      </c>
      <c r="V4628" t="s">
        <v>13232</v>
      </c>
      <c r="W4628" t="s">
        <v>17797</v>
      </c>
      <c r="X4628">
        <v>12</v>
      </c>
      <c r="Y4628" t="s">
        <v>24209</v>
      </c>
      <c r="Z4628" t="s">
        <v>30759</v>
      </c>
      <c r="AA4628">
        <v>0.57254113694606346</v>
      </c>
      <c r="AB4628" t="str">
        <f>HYPERLINK("Melting_Curves/meltCurve_Q8WUA4_GTF3C2.pdf", "Melting_Curves/meltCurve_Q8WUA4_GTF3C2.pdf")</f>
        <v>Melting_Curves/meltCurve_Q8WUA4_GTF3C2.pdf</v>
      </c>
    </row>
    <row r="4629" spans="1:28" x14ac:dyDescent="0.25">
      <c r="A4629" t="s">
        <v>4632</v>
      </c>
      <c r="B4629">
        <v>0.99930955844802105</v>
      </c>
      <c r="C4629">
        <v>0.98985771313886795</v>
      </c>
      <c r="D4629">
        <v>0.97801122828989595</v>
      </c>
      <c r="E4629">
        <v>0.92339030340647599</v>
      </c>
      <c r="F4629">
        <v>0.78104541795656701</v>
      </c>
      <c r="G4629">
        <v>0.53149706250037299</v>
      </c>
      <c r="H4629">
        <v>0.304842397660959</v>
      </c>
      <c r="I4629">
        <v>0.26656480474531002</v>
      </c>
      <c r="J4629">
        <v>0.23592085618342801</v>
      </c>
      <c r="K4629">
        <v>0.204388690316752</v>
      </c>
      <c r="L4629">
        <v>1067.1253373352499</v>
      </c>
      <c r="M4629">
        <v>19.115267034853499</v>
      </c>
      <c r="N4629">
        <v>57.294593347470503</v>
      </c>
      <c r="O4629">
        <v>55.225604018265699</v>
      </c>
      <c r="P4629">
        <v>-6.9774302424508106E-2</v>
      </c>
      <c r="Q4629">
        <v>0.193696223026464</v>
      </c>
      <c r="R4629">
        <v>0.999055459177143</v>
      </c>
      <c r="S4629" t="s">
        <v>11245</v>
      </c>
      <c r="T4629" t="s">
        <v>13232</v>
      </c>
      <c r="U4629" t="s">
        <v>13232</v>
      </c>
      <c r="V4629" t="s">
        <v>13232</v>
      </c>
      <c r="W4629" t="s">
        <v>17798</v>
      </c>
      <c r="X4629">
        <v>15</v>
      </c>
      <c r="Y4629" t="s">
        <v>24210</v>
      </c>
      <c r="Z4629" t="s">
        <v>30760</v>
      </c>
      <c r="AA4629">
        <v>0.63016013575635133</v>
      </c>
      <c r="AB4629" t="str">
        <f>HYPERLINK("Melting_Curves/meltCurve_Q8WUB8_3_PHF10.pdf", "Melting_Curves/meltCurve_Q8WUB8_3_PHF10.pdf")</f>
        <v>Melting_Curves/meltCurve_Q8WUB8_3_PHF10.pdf</v>
      </c>
    </row>
    <row r="4630" spans="1:28" x14ac:dyDescent="0.25">
      <c r="A4630" t="s">
        <v>4633</v>
      </c>
      <c r="B4630">
        <v>0.99930955844802105</v>
      </c>
      <c r="C4630">
        <v>0.933612325479653</v>
      </c>
      <c r="D4630">
        <v>0.96086934291359405</v>
      </c>
      <c r="E4630">
        <v>0.82843045396227599</v>
      </c>
      <c r="F4630">
        <v>0.64922889360451796</v>
      </c>
      <c r="G4630">
        <v>0.39115159600078098</v>
      </c>
      <c r="H4630">
        <v>0.21226931640589</v>
      </c>
      <c r="I4630">
        <v>8.4383221962218605E-2</v>
      </c>
      <c r="J4630">
        <v>2.9227925344962699E-2</v>
      </c>
      <c r="K4630">
        <v>3.2161042799388299E-2</v>
      </c>
      <c r="L4630">
        <v>849.94140515918798</v>
      </c>
      <c r="M4630">
        <v>15.399399520780699</v>
      </c>
      <c r="N4630">
        <v>55.1931501768182</v>
      </c>
      <c r="O4630">
        <v>54.287530549825398</v>
      </c>
      <c r="P4630">
        <v>-7.0922377123610797E-2</v>
      </c>
      <c r="Q4630">
        <v>0</v>
      </c>
      <c r="R4630">
        <v>0.99637637854872196</v>
      </c>
      <c r="S4630" t="s">
        <v>11246</v>
      </c>
      <c r="T4630" t="s">
        <v>13232</v>
      </c>
      <c r="U4630" t="s">
        <v>13232</v>
      </c>
      <c r="V4630" t="s">
        <v>13232</v>
      </c>
      <c r="W4630" t="s">
        <v>17799</v>
      </c>
      <c r="X4630">
        <v>9</v>
      </c>
      <c r="Y4630" t="s">
        <v>24211</v>
      </c>
      <c r="Z4630" t="s">
        <v>30761</v>
      </c>
      <c r="AA4630">
        <v>0.52493357147393793</v>
      </c>
      <c r="AB4630" t="str">
        <f>HYPERLINK("Melting_Curves/meltCurve_Q8WUD1_RAB2B.pdf", "Melting_Curves/meltCurve_Q8WUD1_RAB2B.pdf")</f>
        <v>Melting_Curves/meltCurve_Q8WUD1_RAB2B.pdf</v>
      </c>
    </row>
    <row r="4631" spans="1:28" x14ac:dyDescent="0.25">
      <c r="A4631" t="s">
        <v>4634</v>
      </c>
      <c r="B4631">
        <v>0.99930955844802105</v>
      </c>
      <c r="C4631">
        <v>1.19440929486336</v>
      </c>
      <c r="D4631">
        <v>1.208974092244</v>
      </c>
      <c r="E4631">
        <v>1.20572485617498</v>
      </c>
      <c r="F4631">
        <v>1.12984170383078</v>
      </c>
      <c r="G4631">
        <v>1.03393828121223</v>
      </c>
      <c r="H4631">
        <v>1.13402453779859</v>
      </c>
      <c r="I4631">
        <v>1.21562322249485</v>
      </c>
      <c r="J4631">
        <v>1.2346992251292901</v>
      </c>
      <c r="K4631">
        <v>0.997730980420935</v>
      </c>
      <c r="L4631">
        <v>10269.9716009861</v>
      </c>
      <c r="M4631">
        <v>250</v>
      </c>
      <c r="O4631">
        <v>41.077257555868798</v>
      </c>
      <c r="P4631">
        <v>0.22906832930543999</v>
      </c>
      <c r="Q4631">
        <v>1.1505519800245601</v>
      </c>
      <c r="R4631">
        <v>0.26413088471111201</v>
      </c>
      <c r="S4631" t="s">
        <v>11247</v>
      </c>
      <c r="T4631" t="s">
        <v>13232</v>
      </c>
      <c r="U4631" t="s">
        <v>13232</v>
      </c>
      <c r="V4631" t="s">
        <v>13232</v>
      </c>
      <c r="W4631" t="s">
        <v>17800</v>
      </c>
      <c r="X4631">
        <v>12</v>
      </c>
      <c r="Y4631" t="s">
        <v>24212</v>
      </c>
      <c r="Z4631" t="s">
        <v>30762</v>
      </c>
      <c r="AA4631">
        <v>1.145120916336601</v>
      </c>
      <c r="AB4631" t="str">
        <f>HYPERLINK("Melting_Curves/meltCurve_Q8WUD4_CCDC12.pdf", "Melting_Curves/meltCurve_Q8WUD4_CCDC12.pdf")</f>
        <v>Melting_Curves/meltCurve_Q8WUD4_CCDC12.pdf</v>
      </c>
    </row>
    <row r="4632" spans="1:28" x14ac:dyDescent="0.25">
      <c r="A4632" t="s">
        <v>4635</v>
      </c>
      <c r="B4632">
        <v>0.99930955844802105</v>
      </c>
      <c r="C4632">
        <v>1.0115357375562299</v>
      </c>
      <c r="D4632">
        <v>0.950024119834185</v>
      </c>
      <c r="E4632">
        <v>0.81361796951352205</v>
      </c>
      <c r="F4632">
        <v>0.40316458109425002</v>
      </c>
      <c r="G4632">
        <v>0.24913360548486599</v>
      </c>
      <c r="H4632">
        <v>0.17826509721570399</v>
      </c>
      <c r="I4632">
        <v>0.19218356907422199</v>
      </c>
      <c r="J4632">
        <v>0.19668945071044</v>
      </c>
      <c r="K4632">
        <v>0.135603631731263</v>
      </c>
      <c r="L4632">
        <v>1761.9879233514</v>
      </c>
      <c r="M4632">
        <v>34.123606319226901</v>
      </c>
      <c r="N4632">
        <v>52.323135502476802</v>
      </c>
      <c r="O4632">
        <v>51.459095610224701</v>
      </c>
      <c r="P4632">
        <v>-0.13582465402381499</v>
      </c>
      <c r="Q4632">
        <v>0.18069793296443501</v>
      </c>
      <c r="R4632">
        <v>0.99545860639692596</v>
      </c>
      <c r="S4632" t="s">
        <v>11248</v>
      </c>
      <c r="T4632" t="s">
        <v>13232</v>
      </c>
      <c r="U4632" t="s">
        <v>13232</v>
      </c>
      <c r="V4632" t="s">
        <v>13232</v>
      </c>
      <c r="W4632" t="s">
        <v>17801</v>
      </c>
      <c r="X4632">
        <v>3</v>
      </c>
      <c r="Y4632" t="s">
        <v>24213</v>
      </c>
      <c r="Z4632" t="s">
        <v>30763</v>
      </c>
      <c r="AA4632">
        <v>0.50248623383155966</v>
      </c>
      <c r="AB4632" t="str">
        <f>HYPERLINK("Melting_Curves/meltCurve_Q8WUE5_CXorf48.pdf", "Melting_Curves/meltCurve_Q8WUE5_CXorf48.pdf")</f>
        <v>Melting_Curves/meltCurve_Q8WUE5_CXorf48.pdf</v>
      </c>
    </row>
    <row r="4633" spans="1:28" x14ac:dyDescent="0.25">
      <c r="A4633" t="s">
        <v>4636</v>
      </c>
      <c r="B4633">
        <v>0.99930955844802105</v>
      </c>
      <c r="C4633">
        <v>0.93590971926510003</v>
      </c>
      <c r="D4633">
        <v>0.91588582069967694</v>
      </c>
      <c r="E4633">
        <v>0.78859597936372505</v>
      </c>
      <c r="F4633">
        <v>0.56314198528598902</v>
      </c>
      <c r="G4633">
        <v>0.47162022214958099</v>
      </c>
      <c r="H4633">
        <v>0.42393008389751102</v>
      </c>
      <c r="I4633">
        <v>0.46041483185843601</v>
      </c>
      <c r="J4633">
        <v>0.42763660731131198</v>
      </c>
      <c r="K4633">
        <v>0.35044717463629699</v>
      </c>
      <c r="L4633">
        <v>916.68670831342604</v>
      </c>
      <c r="M4633">
        <v>17.995377183815702</v>
      </c>
      <c r="N4633">
        <v>55.876653807805702</v>
      </c>
      <c r="O4633">
        <v>50.323569980966802</v>
      </c>
      <c r="P4633">
        <v>-5.38186632403818E-2</v>
      </c>
      <c r="Q4633">
        <v>0.39802026709351301</v>
      </c>
      <c r="R4633">
        <v>0.98164316302202503</v>
      </c>
      <c r="S4633" t="s">
        <v>11249</v>
      </c>
      <c r="T4633" t="s">
        <v>13232</v>
      </c>
      <c r="U4633" t="s">
        <v>13232</v>
      </c>
      <c r="V4633" t="s">
        <v>13232</v>
      </c>
      <c r="W4633" t="s">
        <v>17802</v>
      </c>
      <c r="X4633">
        <v>24</v>
      </c>
      <c r="Y4633" t="s">
        <v>24214</v>
      </c>
      <c r="Z4633" t="s">
        <v>30764</v>
      </c>
      <c r="AA4633">
        <v>0.62769942964547165</v>
      </c>
      <c r="AB4633" t="str">
        <f>HYPERLINK("Melting_Curves/meltCurve_Q8WUF5_PPP1R13L.pdf", "Melting_Curves/meltCurve_Q8WUF5_PPP1R13L.pdf")</f>
        <v>Melting_Curves/meltCurve_Q8WUF5_PPP1R13L.pdf</v>
      </c>
    </row>
    <row r="4634" spans="1:28" x14ac:dyDescent="0.25">
      <c r="A4634" t="s">
        <v>4637</v>
      </c>
      <c r="B4634">
        <v>0.99930955844802105</v>
      </c>
      <c r="C4634">
        <v>0.67212401539333</v>
      </c>
      <c r="D4634">
        <v>0.69619989550619998</v>
      </c>
      <c r="E4634">
        <v>0.4660707453115</v>
      </c>
      <c r="F4634">
        <v>0.193692418830991</v>
      </c>
      <c r="G4634">
        <v>0.135644752414291</v>
      </c>
      <c r="H4634">
        <v>7.3337325714607202E-2</v>
      </c>
      <c r="I4634">
        <v>6.3062304967020394E-2</v>
      </c>
      <c r="J4634">
        <v>5.5123182390756302E-2</v>
      </c>
      <c r="K4634">
        <v>3.9630822683034597E-2</v>
      </c>
      <c r="L4634">
        <v>562.059280050844</v>
      </c>
      <c r="M4634">
        <v>11.6567679539737</v>
      </c>
      <c r="N4634">
        <v>48.253608676725499</v>
      </c>
      <c r="O4634">
        <v>46.863933708928997</v>
      </c>
      <c r="P4634">
        <v>-6.1930178268085799E-2</v>
      </c>
      <c r="Q4634">
        <v>4.3519811776406604E-3</v>
      </c>
      <c r="R4634">
        <v>0.96381285102310299</v>
      </c>
      <c r="S4634" t="s">
        <v>11250</v>
      </c>
      <c r="T4634" t="s">
        <v>13232</v>
      </c>
      <c r="U4634" t="s">
        <v>13232</v>
      </c>
      <c r="V4634" t="s">
        <v>13232</v>
      </c>
      <c r="W4634" t="s">
        <v>17803</v>
      </c>
      <c r="X4634">
        <v>11</v>
      </c>
      <c r="Y4634" t="s">
        <v>24215</v>
      </c>
      <c r="Z4634" t="s">
        <v>30765</v>
      </c>
      <c r="AA4634">
        <v>0.3174657036432062</v>
      </c>
      <c r="AB4634" t="str">
        <f>HYPERLINK("Melting_Curves/meltCurve_Q8WUH2_TGFBRAP1.pdf", "Melting_Curves/meltCurve_Q8WUH2_TGFBRAP1.pdf")</f>
        <v>Melting_Curves/meltCurve_Q8WUH2_TGFBRAP1.pdf</v>
      </c>
    </row>
    <row r="4635" spans="1:28" x14ac:dyDescent="0.25">
      <c r="A4635" t="s">
        <v>4638</v>
      </c>
      <c r="B4635">
        <v>0.99930955844802105</v>
      </c>
      <c r="C4635">
        <v>0.94455008139458496</v>
      </c>
      <c r="D4635">
        <v>0.94681742330270802</v>
      </c>
      <c r="E4635">
        <v>0.85266128336900104</v>
      </c>
      <c r="F4635">
        <v>0.92605168567962504</v>
      </c>
      <c r="G4635">
        <v>0.788739741183763</v>
      </c>
      <c r="H4635">
        <v>0.71541202300662099</v>
      </c>
      <c r="I4635">
        <v>0.86259702963556195</v>
      </c>
      <c r="J4635">
        <v>0.83084284736476899</v>
      </c>
      <c r="K4635">
        <v>0.68906766874462799</v>
      </c>
      <c r="L4635">
        <v>416.06724838697301</v>
      </c>
      <c r="M4635">
        <v>7.8661998629722696</v>
      </c>
      <c r="O4635">
        <v>49.801810708866903</v>
      </c>
      <c r="P4635">
        <v>-1.0976645851232999E-2</v>
      </c>
      <c r="Q4635">
        <v>0.72235680050326401</v>
      </c>
      <c r="R4635">
        <v>0.68199520227460397</v>
      </c>
      <c r="S4635" t="s">
        <v>11251</v>
      </c>
      <c r="T4635" t="s">
        <v>13232</v>
      </c>
      <c r="U4635" t="s">
        <v>13232</v>
      </c>
      <c r="V4635" t="s">
        <v>13232</v>
      </c>
      <c r="W4635" t="s">
        <v>17804</v>
      </c>
      <c r="X4635">
        <v>3</v>
      </c>
      <c r="Y4635" t="s">
        <v>24216</v>
      </c>
      <c r="Z4635" t="s">
        <v>30766</v>
      </c>
      <c r="AA4635">
        <v>0.85331057499350671</v>
      </c>
      <c r="AB4635" t="str">
        <f>HYPERLINK("Melting_Curves/meltCurve_Q8WUH6_C12orf23.pdf", "Melting_Curves/meltCurve_Q8WUH6_C12orf23.pdf")</f>
        <v>Melting_Curves/meltCurve_Q8WUH6_C12orf23.pdf</v>
      </c>
    </row>
    <row r="4636" spans="1:28" x14ac:dyDescent="0.25">
      <c r="A4636" t="s">
        <v>4639</v>
      </c>
      <c r="B4636">
        <v>0.99930955844802105</v>
      </c>
      <c r="C4636">
        <v>1.0459864467561699</v>
      </c>
      <c r="D4636">
        <v>0.99023749216088097</v>
      </c>
      <c r="E4636">
        <v>0.84778678117085404</v>
      </c>
      <c r="F4636">
        <v>0.63736287591238205</v>
      </c>
      <c r="G4636">
        <v>0.37604438257592399</v>
      </c>
      <c r="H4636">
        <v>0.23967664974913</v>
      </c>
      <c r="I4636">
        <v>0.191149729883168</v>
      </c>
      <c r="J4636">
        <v>0.15364170409684</v>
      </c>
      <c r="K4636">
        <v>0.113770753480224</v>
      </c>
      <c r="L4636">
        <v>996.04713315570098</v>
      </c>
      <c r="M4636">
        <v>18.3841661376415</v>
      </c>
      <c r="N4636">
        <v>55.0501546651222</v>
      </c>
      <c r="O4636">
        <v>53.550764537415198</v>
      </c>
      <c r="P4636">
        <v>-7.5003685019959299E-2</v>
      </c>
      <c r="Q4636">
        <v>0.12613443096638899</v>
      </c>
      <c r="R4636">
        <v>0.99654771140323595</v>
      </c>
      <c r="S4636" t="s">
        <v>11252</v>
      </c>
      <c r="T4636" t="s">
        <v>13232</v>
      </c>
      <c r="U4636" t="s">
        <v>13232</v>
      </c>
      <c r="V4636" t="s">
        <v>13232</v>
      </c>
      <c r="W4636" t="s">
        <v>17805</v>
      </c>
      <c r="X4636">
        <v>16</v>
      </c>
      <c r="Y4636" t="s">
        <v>24217</v>
      </c>
      <c r="Z4636" t="s">
        <v>30767</v>
      </c>
      <c r="AA4636">
        <v>0.5526537484449191</v>
      </c>
      <c r="AB4636" t="str">
        <f>HYPERLINK("Melting_Curves/meltCurve_Q8WUI4_3_HDAC7.pdf", "Melting_Curves/meltCurve_Q8WUI4_3_HDAC7.pdf")</f>
        <v>Melting_Curves/meltCurve_Q8WUI4_3_HDAC7.pdf</v>
      </c>
    </row>
    <row r="4637" spans="1:28" x14ac:dyDescent="0.25">
      <c r="A4637" t="s">
        <v>4640</v>
      </c>
      <c r="B4637">
        <v>0.99930955844802105</v>
      </c>
      <c r="C4637">
        <v>1.0111595639708</v>
      </c>
      <c r="D4637">
        <v>1.0417025128817301</v>
      </c>
      <c r="E4637">
        <v>0.83598826359086797</v>
      </c>
      <c r="F4637">
        <v>0.35494481592076899</v>
      </c>
      <c r="G4637">
        <v>0.20141102941833</v>
      </c>
      <c r="H4637">
        <v>0.11109364914075399</v>
      </c>
      <c r="I4637">
        <v>9.4814539358473601E-2</v>
      </c>
      <c r="J4637">
        <v>9.5644251571257596E-2</v>
      </c>
      <c r="K4637">
        <v>6.81253520251138E-2</v>
      </c>
      <c r="L4637">
        <v>2019.2412491661</v>
      </c>
      <c r="M4637">
        <v>38.956151556931601</v>
      </c>
      <c r="N4637">
        <v>52.152809567138597</v>
      </c>
      <c r="O4637">
        <v>51.6976698866889</v>
      </c>
      <c r="P4637">
        <v>-0.168407878294174</v>
      </c>
      <c r="Q4637">
        <v>0.106043644920969</v>
      </c>
      <c r="R4637">
        <v>0.99443009634842106</v>
      </c>
      <c r="S4637" t="s">
        <v>11253</v>
      </c>
      <c r="T4637" t="s">
        <v>13232</v>
      </c>
      <c r="U4637" t="s">
        <v>13232</v>
      </c>
      <c r="V4637" t="s">
        <v>13232</v>
      </c>
      <c r="W4637" t="s">
        <v>17806</v>
      </c>
      <c r="X4637">
        <v>4</v>
      </c>
      <c r="Y4637" t="s">
        <v>24218</v>
      </c>
      <c r="Z4637" t="s">
        <v>30768</v>
      </c>
      <c r="AA4637">
        <v>0.46204708233187569</v>
      </c>
      <c r="AB4637" t="str">
        <f>HYPERLINK("Melting_Curves/meltCurve_Q8WUJ0_STYX.pdf", "Melting_Curves/meltCurve_Q8WUJ0_STYX.pdf")</f>
        <v>Melting_Curves/meltCurve_Q8WUJ0_STYX.pdf</v>
      </c>
    </row>
    <row r="4638" spans="1:28" x14ac:dyDescent="0.25">
      <c r="A4638" t="s">
        <v>4641</v>
      </c>
      <c r="B4638">
        <v>0.99930955844802105</v>
      </c>
      <c r="C4638">
        <v>1.0345031913837299</v>
      </c>
      <c r="D4638">
        <v>0.95101998103181296</v>
      </c>
      <c r="E4638">
        <v>0.37728863465233198</v>
      </c>
      <c r="F4638">
        <v>0.14618535987798101</v>
      </c>
      <c r="G4638">
        <v>0.103808815029492</v>
      </c>
      <c r="H4638">
        <v>6.5938662860906203E-2</v>
      </c>
      <c r="I4638">
        <v>5.9047453179775999E-2</v>
      </c>
      <c r="J4638">
        <v>5.2260703551889401E-2</v>
      </c>
      <c r="K4638">
        <v>4.0105158947976997E-2</v>
      </c>
      <c r="L4638">
        <v>1882.5186723066099</v>
      </c>
      <c r="M4638">
        <v>38.291823701942697</v>
      </c>
      <c r="N4638">
        <v>49.346339987336997</v>
      </c>
      <c r="O4638">
        <v>49.028910971236797</v>
      </c>
      <c r="P4638">
        <v>-0.18226723485427401</v>
      </c>
      <c r="Q4638">
        <v>6.6501323547666802E-2</v>
      </c>
      <c r="R4638">
        <v>0.99741109850468002</v>
      </c>
      <c r="S4638" t="s">
        <v>11254</v>
      </c>
      <c r="T4638" t="s">
        <v>13232</v>
      </c>
      <c r="U4638" t="s">
        <v>13232</v>
      </c>
      <c r="V4638" t="s">
        <v>13232</v>
      </c>
      <c r="W4638" t="s">
        <v>17807</v>
      </c>
      <c r="X4638">
        <v>59</v>
      </c>
      <c r="Y4638" t="s">
        <v>24219</v>
      </c>
      <c r="Z4638" t="s">
        <v>30769</v>
      </c>
      <c r="AA4638">
        <v>0.35507322058558022</v>
      </c>
      <c r="AB4638" t="str">
        <f>HYPERLINK("Melting_Curves/meltCurve_Q8WUM4_PDCD6IP.pdf", "Melting_Curves/meltCurve_Q8WUM4_PDCD6IP.pdf")</f>
        <v>Melting_Curves/meltCurve_Q8WUM4_PDCD6IP.pdf</v>
      </c>
    </row>
    <row r="4639" spans="1:28" x14ac:dyDescent="0.25">
      <c r="A4639" t="s">
        <v>4642</v>
      </c>
      <c r="B4639">
        <v>0.99930955844802105</v>
      </c>
      <c r="C4639">
        <v>1.05309103839569</v>
      </c>
      <c r="D4639">
        <v>0.91976963248876098</v>
      </c>
      <c r="E4639">
        <v>1.03821420350493</v>
      </c>
      <c r="F4639">
        <v>0.85623897892948897</v>
      </c>
      <c r="G4639">
        <v>0.75236558336181303</v>
      </c>
      <c r="H4639">
        <v>0.74580964804556005</v>
      </c>
      <c r="I4639">
        <v>0.77371343061970999</v>
      </c>
      <c r="J4639">
        <v>0.75900463978375998</v>
      </c>
      <c r="K4639">
        <v>0.50609697982775503</v>
      </c>
      <c r="L4639">
        <v>401.49485197192598</v>
      </c>
      <c r="M4639">
        <v>5.35679870473147</v>
      </c>
      <c r="O4639">
        <v>66.4238618566322</v>
      </c>
      <c r="P4639">
        <v>-2.0258802849654201E-2</v>
      </c>
      <c r="Q4639">
        <v>0</v>
      </c>
      <c r="R4639">
        <v>0.79922006323895101</v>
      </c>
      <c r="S4639" t="s">
        <v>11255</v>
      </c>
      <c r="T4639" t="s">
        <v>13232</v>
      </c>
      <c r="U4639" t="s">
        <v>13232</v>
      </c>
      <c r="V4639" t="s">
        <v>13232</v>
      </c>
      <c r="W4639" t="s">
        <v>17808</v>
      </c>
      <c r="X4639">
        <v>3</v>
      </c>
      <c r="Y4639" t="s">
        <v>24220</v>
      </c>
      <c r="Z4639" t="s">
        <v>30770</v>
      </c>
      <c r="AA4639">
        <v>0.8446646871090342</v>
      </c>
      <c r="AB4639" t="str">
        <f>HYPERLINK("Melting_Curves/meltCurve_Q8WUN7_UBTD2.pdf", "Melting_Curves/meltCurve_Q8WUN7_UBTD2.pdf")</f>
        <v>Melting_Curves/meltCurve_Q8WUN7_UBTD2.pdf</v>
      </c>
    </row>
    <row r="4640" spans="1:28" x14ac:dyDescent="0.25">
      <c r="A4640" t="s">
        <v>4643</v>
      </c>
      <c r="B4640">
        <v>0.99930955844802105</v>
      </c>
      <c r="C4640">
        <v>0.94580863201336796</v>
      </c>
      <c r="D4640">
        <v>0.93985487765460496</v>
      </c>
      <c r="E4640">
        <v>0.84659846161587904</v>
      </c>
      <c r="F4640">
        <v>0.51905425990795595</v>
      </c>
      <c r="G4640">
        <v>0.28284549749952198</v>
      </c>
      <c r="H4640">
        <v>0.20663687596583599</v>
      </c>
      <c r="I4640">
        <v>0.19013166907149101</v>
      </c>
      <c r="J4640">
        <v>0.18269554062412399</v>
      </c>
      <c r="K4640">
        <v>9.2884188830064607E-2</v>
      </c>
      <c r="L4640">
        <v>1203.3386302198601</v>
      </c>
      <c r="M4640">
        <v>22.8382121546428</v>
      </c>
      <c r="N4640">
        <v>53.535737651656497</v>
      </c>
      <c r="O4640">
        <v>52.290734765937998</v>
      </c>
      <c r="P4640">
        <v>-9.2650403443693699E-2</v>
      </c>
      <c r="Q4640">
        <v>0.151481225985234</v>
      </c>
      <c r="R4640">
        <v>0.99118537063086698</v>
      </c>
      <c r="S4640" t="s">
        <v>11256</v>
      </c>
      <c r="T4640" t="s">
        <v>13232</v>
      </c>
      <c r="U4640" t="s">
        <v>13232</v>
      </c>
      <c r="V4640" t="s">
        <v>13232</v>
      </c>
      <c r="W4640" t="s">
        <v>17809</v>
      </c>
      <c r="X4640">
        <v>13</v>
      </c>
      <c r="Y4640" t="s">
        <v>24221</v>
      </c>
      <c r="Z4640" t="s">
        <v>30771</v>
      </c>
      <c r="AA4640">
        <v>0.51962361719387917</v>
      </c>
      <c r="AB4640" t="str">
        <f>HYPERLINK("Melting_Curves/meltCurve_Q8WUQ7_CACTIN.pdf", "Melting_Curves/meltCurve_Q8WUQ7_CACTIN.pdf")</f>
        <v>Melting_Curves/meltCurve_Q8WUQ7_CACTIN.pdf</v>
      </c>
    </row>
    <row r="4641" spans="1:28" x14ac:dyDescent="0.25">
      <c r="A4641" t="s">
        <v>4644</v>
      </c>
      <c r="B4641">
        <v>0.99930955844802105</v>
      </c>
      <c r="C4641">
        <v>1.0690096177435999</v>
      </c>
      <c r="D4641">
        <v>0.97813893478325298</v>
      </c>
      <c r="E4641">
        <v>0.93879266653710902</v>
      </c>
      <c r="F4641">
        <v>0.84809087981958498</v>
      </c>
      <c r="G4641">
        <v>0.70192152365470495</v>
      </c>
      <c r="H4641">
        <v>0.61972578371820697</v>
      </c>
      <c r="I4641">
        <v>0.67921508992538404</v>
      </c>
      <c r="J4641">
        <v>0.83532979907633198</v>
      </c>
      <c r="K4641">
        <v>0.54299317752680598</v>
      </c>
      <c r="L4641">
        <v>1553.74429202601</v>
      </c>
      <c r="M4641">
        <v>29.285212707021</v>
      </c>
      <c r="O4641">
        <v>52.810044921742303</v>
      </c>
      <c r="P4641">
        <v>-4.6162326292821902E-2</v>
      </c>
      <c r="Q4641">
        <v>0.66702416765203698</v>
      </c>
      <c r="R4641">
        <v>0.81720278406803504</v>
      </c>
      <c r="S4641" t="s">
        <v>11257</v>
      </c>
      <c r="T4641" t="s">
        <v>13232</v>
      </c>
      <c r="U4641" t="s">
        <v>13232</v>
      </c>
      <c r="V4641" t="s">
        <v>13232</v>
      </c>
      <c r="W4641" t="s">
        <v>17810</v>
      </c>
      <c r="X4641">
        <v>4</v>
      </c>
      <c r="Y4641" t="s">
        <v>24222</v>
      </c>
      <c r="Z4641" t="s">
        <v>30772</v>
      </c>
      <c r="AA4641">
        <v>0.81419598034400387</v>
      </c>
      <c r="AB4641" t="str">
        <f>HYPERLINK("Melting_Curves/meltCurve_Q8WUR7_C15orf40.pdf", "Melting_Curves/meltCurve_Q8WUR7_C15orf40.pdf")</f>
        <v>Melting_Curves/meltCurve_Q8WUR7_C15orf40.pdf</v>
      </c>
    </row>
    <row r="4642" spans="1:28" x14ac:dyDescent="0.25">
      <c r="A4642" t="s">
        <v>4645</v>
      </c>
      <c r="B4642">
        <v>0.99930955844802105</v>
      </c>
      <c r="C4642">
        <v>1.0160541293499501</v>
      </c>
      <c r="D4642">
        <v>0.95852732873166802</v>
      </c>
      <c r="E4642">
        <v>0.79260002862732704</v>
      </c>
      <c r="F4642">
        <v>0.61350094772376296</v>
      </c>
      <c r="G4642">
        <v>0.50415103887481405</v>
      </c>
      <c r="H4642">
        <v>0.60573205295208898</v>
      </c>
      <c r="I4642">
        <v>0.73400741719817197</v>
      </c>
      <c r="J4642">
        <v>0.81054733929933598</v>
      </c>
      <c r="K4642">
        <v>0.61282577068473598</v>
      </c>
      <c r="L4642">
        <v>12482.3813363718</v>
      </c>
      <c r="M4642">
        <v>250</v>
      </c>
      <c r="O4642">
        <v>49.926313717706797</v>
      </c>
      <c r="P4642">
        <v>-0.44215888301759998</v>
      </c>
      <c r="Q4642">
        <v>0.64679407359397401</v>
      </c>
      <c r="R4642">
        <v>0.79680005717080504</v>
      </c>
      <c r="S4642" t="s">
        <v>11258</v>
      </c>
      <c r="T4642" t="s">
        <v>13232</v>
      </c>
      <c r="U4642" t="s">
        <v>13232</v>
      </c>
      <c r="V4642" t="s">
        <v>13232</v>
      </c>
      <c r="W4642" t="s">
        <v>17811</v>
      </c>
      <c r="X4642">
        <v>5</v>
      </c>
      <c r="Y4642" t="s">
        <v>24223</v>
      </c>
      <c r="Z4642" t="s">
        <v>30773</v>
      </c>
      <c r="AA4642">
        <v>0.76373059673480426</v>
      </c>
      <c r="AB4642" t="str">
        <f>HYPERLINK("Melting_Curves/meltCurve_Q8WUU5_GATAD1.pdf", "Melting_Curves/meltCurve_Q8WUU5_GATAD1.pdf")</f>
        <v>Melting_Curves/meltCurve_Q8WUU5_GATAD1.pdf</v>
      </c>
    </row>
    <row r="4643" spans="1:28" x14ac:dyDescent="0.25">
      <c r="A4643" t="s">
        <v>4646</v>
      </c>
      <c r="B4643">
        <v>0.99930955844802105</v>
      </c>
      <c r="C4643">
        <v>0.93472401059106203</v>
      </c>
      <c r="D4643">
        <v>0.94186214817143898</v>
      </c>
      <c r="E4643">
        <v>0.94482247461796498</v>
      </c>
      <c r="F4643">
        <v>0.77791339908601898</v>
      </c>
      <c r="G4643">
        <v>0.61054789207985705</v>
      </c>
      <c r="H4643">
        <v>0.547510278601679</v>
      </c>
      <c r="I4643">
        <v>0.42159689023431701</v>
      </c>
      <c r="J4643">
        <v>0.29164403733085698</v>
      </c>
      <c r="K4643">
        <v>0.17837499844030399</v>
      </c>
      <c r="L4643">
        <v>581.10490072576999</v>
      </c>
      <c r="M4643">
        <v>9.5364603444095106</v>
      </c>
      <c r="N4643">
        <v>60.935056347502801</v>
      </c>
      <c r="O4643">
        <v>58.436205404889499</v>
      </c>
      <c r="P4643">
        <v>-4.0822378105166097E-2</v>
      </c>
      <c r="Q4643">
        <v>0</v>
      </c>
      <c r="R4643">
        <v>0.98184394172670297</v>
      </c>
      <c r="S4643" t="s">
        <v>11259</v>
      </c>
      <c r="T4643" t="s">
        <v>13232</v>
      </c>
      <c r="U4643" t="s">
        <v>13232</v>
      </c>
      <c r="V4643" t="s">
        <v>13232</v>
      </c>
      <c r="W4643" t="s">
        <v>17812</v>
      </c>
      <c r="X4643">
        <v>6</v>
      </c>
      <c r="Y4643" t="s">
        <v>24224</v>
      </c>
      <c r="Z4643" t="s">
        <v>30774</v>
      </c>
      <c r="AA4643">
        <v>0.6837289830918718</v>
      </c>
      <c r="AB4643" t="str">
        <f>HYPERLINK("Melting_Curves/meltCurve_Q8WUW1_BRK1.pdf", "Melting_Curves/meltCurve_Q8WUW1_BRK1.pdf")</f>
        <v>Melting_Curves/meltCurve_Q8WUW1_BRK1.pdf</v>
      </c>
    </row>
    <row r="4644" spans="1:28" x14ac:dyDescent="0.25">
      <c r="A4644" t="s">
        <v>4647</v>
      </c>
      <c r="B4644">
        <v>0.99930955844802105</v>
      </c>
      <c r="C4644">
        <v>1.10661280126279</v>
      </c>
      <c r="D4644">
        <v>1.1277238192334</v>
      </c>
      <c r="E4644">
        <v>1.02404843407442</v>
      </c>
      <c r="F4644">
        <v>0.76672681018324196</v>
      </c>
      <c r="G4644">
        <v>0.29626505350000398</v>
      </c>
      <c r="H4644">
        <v>0.101505944745685</v>
      </c>
      <c r="I4644">
        <v>8.1954217992350295E-2</v>
      </c>
      <c r="J4644">
        <v>6.2633613795975707E-2</v>
      </c>
      <c r="K4644">
        <v>4.8048596805457297E-2</v>
      </c>
      <c r="L4644">
        <v>1814.9535198563401</v>
      </c>
      <c r="M4644">
        <v>32.999148350800297</v>
      </c>
      <c r="N4644">
        <v>55.224140795566598</v>
      </c>
      <c r="O4644">
        <v>54.799208824040399</v>
      </c>
      <c r="P4644">
        <v>-0.14111126271831201</v>
      </c>
      <c r="Q4644">
        <v>6.26726551758989E-2</v>
      </c>
      <c r="R4644">
        <v>0.98450195678852603</v>
      </c>
      <c r="S4644" t="s">
        <v>11260</v>
      </c>
      <c r="T4644" t="s">
        <v>13232</v>
      </c>
      <c r="U4644" t="s">
        <v>13232</v>
      </c>
      <c r="V4644" t="s">
        <v>13232</v>
      </c>
      <c r="W4644" t="s">
        <v>17813</v>
      </c>
      <c r="X4644">
        <v>8</v>
      </c>
      <c r="Y4644" t="s">
        <v>24225</v>
      </c>
      <c r="Z4644" t="s">
        <v>30775</v>
      </c>
      <c r="AA4644">
        <v>0.53651842031740671</v>
      </c>
      <c r="AB4644" t="str">
        <f>HYPERLINK("Melting_Curves/meltCurve_Q8WUX2_CHAC2.pdf", "Melting_Curves/meltCurve_Q8WUX2_CHAC2.pdf")</f>
        <v>Melting_Curves/meltCurve_Q8WUX2_CHAC2.pdf</v>
      </c>
    </row>
    <row r="4645" spans="1:28" x14ac:dyDescent="0.25">
      <c r="A4645" t="s">
        <v>4648</v>
      </c>
      <c r="B4645">
        <v>0.99930955844802105</v>
      </c>
      <c r="C4645">
        <v>1.0797327325542501</v>
      </c>
      <c r="D4645">
        <v>0.90978595441721</v>
      </c>
      <c r="E4645">
        <v>0.46288373475002098</v>
      </c>
      <c r="F4645">
        <v>0.32787340877697402</v>
      </c>
      <c r="G4645">
        <v>0.232382361419331</v>
      </c>
      <c r="H4645">
        <v>0.12414611634869401</v>
      </c>
      <c r="I4645">
        <v>8.1582241082162596E-2</v>
      </c>
      <c r="J4645">
        <v>6.86946651606999E-2</v>
      </c>
      <c r="K4645">
        <v>4.0239006008705003E-2</v>
      </c>
      <c r="L4645">
        <v>1055.69459137997</v>
      </c>
      <c r="M4645">
        <v>21.142484695210999</v>
      </c>
      <c r="N4645">
        <v>50.395322666001299</v>
      </c>
      <c r="O4645">
        <v>49.492114501821</v>
      </c>
      <c r="P4645">
        <v>-9.7373755068231899E-2</v>
      </c>
      <c r="Q4645">
        <v>8.8260972626387199E-2</v>
      </c>
      <c r="R4645">
        <v>0.98031208618488297</v>
      </c>
      <c r="S4645" t="s">
        <v>11261</v>
      </c>
      <c r="T4645" t="s">
        <v>13232</v>
      </c>
      <c r="U4645" t="s">
        <v>13232</v>
      </c>
      <c r="V4645" t="s">
        <v>13232</v>
      </c>
      <c r="W4645" t="s">
        <v>17814</v>
      </c>
      <c r="X4645">
        <v>4</v>
      </c>
      <c r="Y4645" t="s">
        <v>24226</v>
      </c>
      <c r="Z4645" t="s">
        <v>30776</v>
      </c>
      <c r="AA4645">
        <v>0.4015009695129047</v>
      </c>
      <c r="AB4645" t="str">
        <f>HYPERLINK("Melting_Curves/meltCurve_Q8WUX9_CHMP7.pdf", "Melting_Curves/meltCurve_Q8WUX9_CHMP7.pdf")</f>
        <v>Melting_Curves/meltCurve_Q8WUX9_CHMP7.pdf</v>
      </c>
    </row>
    <row r="4646" spans="1:28" x14ac:dyDescent="0.25">
      <c r="A4646" t="s">
        <v>4649</v>
      </c>
      <c r="B4646">
        <v>0.99930955844802105</v>
      </c>
      <c r="C4646">
        <v>0.787737915842178</v>
      </c>
      <c r="D4646">
        <v>0.78109051901842796</v>
      </c>
      <c r="E4646">
        <v>0.59724214333061798</v>
      </c>
      <c r="F4646">
        <v>0.44724190452699403</v>
      </c>
      <c r="G4646">
        <v>0.36575668397431799</v>
      </c>
      <c r="H4646">
        <v>0.280445408457073</v>
      </c>
      <c r="I4646">
        <v>0.28841077860326397</v>
      </c>
      <c r="J4646">
        <v>0.25788295058178201</v>
      </c>
      <c r="K4646">
        <v>0.20451515978703899</v>
      </c>
      <c r="L4646">
        <v>506.20193293617501</v>
      </c>
      <c r="M4646">
        <v>10.1851576886132</v>
      </c>
      <c r="N4646">
        <v>52.112153038150304</v>
      </c>
      <c r="O4646">
        <v>47.898290668018902</v>
      </c>
      <c r="P4646">
        <v>-4.31882569854991E-2</v>
      </c>
      <c r="Q4646">
        <v>0.187953217324411</v>
      </c>
      <c r="R4646">
        <v>0.98063471463537699</v>
      </c>
      <c r="S4646" t="s">
        <v>11262</v>
      </c>
      <c r="T4646" t="s">
        <v>13232</v>
      </c>
      <c r="U4646" t="s">
        <v>13232</v>
      </c>
      <c r="V4646" t="s">
        <v>13232</v>
      </c>
      <c r="W4646" t="s">
        <v>17815</v>
      </c>
      <c r="X4646">
        <v>5</v>
      </c>
      <c r="Y4646" t="s">
        <v>24227</v>
      </c>
      <c r="Z4646" t="s">
        <v>30777</v>
      </c>
      <c r="AA4646">
        <v>0.48715880172095283</v>
      </c>
      <c r="AB4646" t="str">
        <f>HYPERLINK("Melting_Curves/meltCurve_Q8WUZ0_BCL7C.pdf", "Melting_Curves/meltCurve_Q8WUZ0_BCL7C.pdf")</f>
        <v>Melting_Curves/meltCurve_Q8WUZ0_BCL7C.pdf</v>
      </c>
    </row>
    <row r="4647" spans="1:28" x14ac:dyDescent="0.25">
      <c r="A4647" t="s">
        <v>4650</v>
      </c>
      <c r="B4647">
        <v>0.99930955844802105</v>
      </c>
      <c r="C4647">
        <v>0.90869388730947498</v>
      </c>
      <c r="D4647">
        <v>0.78652969200672096</v>
      </c>
      <c r="E4647">
        <v>0.60671409144518795</v>
      </c>
      <c r="F4647">
        <v>0.37308406179945403</v>
      </c>
      <c r="G4647">
        <v>0.28378472559920198</v>
      </c>
      <c r="H4647">
        <v>0.15992513358360499</v>
      </c>
      <c r="I4647">
        <v>0.158430649740361</v>
      </c>
      <c r="J4647">
        <v>0.16587758100774</v>
      </c>
      <c r="K4647">
        <v>0.112673817483806</v>
      </c>
      <c r="L4647">
        <v>678.53191323699002</v>
      </c>
      <c r="M4647">
        <v>13.4901915750028</v>
      </c>
      <c r="N4647">
        <v>51.2298888691315</v>
      </c>
      <c r="O4647">
        <v>49.231492796321803</v>
      </c>
      <c r="P4647">
        <v>-6.1061129630554198E-2</v>
      </c>
      <c r="Q4647">
        <v>0.10878343722587799</v>
      </c>
      <c r="R4647">
        <v>0.99462949581365601</v>
      </c>
      <c r="S4647" t="s">
        <v>11263</v>
      </c>
      <c r="T4647" t="s">
        <v>13232</v>
      </c>
      <c r="U4647" t="s">
        <v>13232</v>
      </c>
      <c r="V4647" t="s">
        <v>13232</v>
      </c>
      <c r="W4647" t="s">
        <v>17816</v>
      </c>
      <c r="X4647">
        <v>6</v>
      </c>
      <c r="Y4647" t="s">
        <v>24228</v>
      </c>
      <c r="Z4647" t="s">
        <v>30778</v>
      </c>
      <c r="AA4647">
        <v>0.43989787367217131</v>
      </c>
      <c r="AB4647" t="str">
        <f>HYPERLINK("Melting_Curves/meltCurve_Q8WV22_NSMCE1.pdf", "Melting_Curves/meltCurve_Q8WV22_NSMCE1.pdf")</f>
        <v>Melting_Curves/meltCurve_Q8WV22_NSMCE1.pdf</v>
      </c>
    </row>
    <row r="4648" spans="1:28" x14ac:dyDescent="0.25">
      <c r="A4648" t="s">
        <v>4651</v>
      </c>
      <c r="B4648">
        <v>0.99930955844802105</v>
      </c>
      <c r="C4648">
        <v>0.89555402105538195</v>
      </c>
      <c r="D4648">
        <v>0.83256271777921498</v>
      </c>
      <c r="E4648">
        <v>0.77191654960475697</v>
      </c>
      <c r="F4648">
        <v>0.62861642069352197</v>
      </c>
      <c r="G4648">
        <v>0.23800428497427201</v>
      </c>
      <c r="H4648">
        <v>0.16448570687507699</v>
      </c>
      <c r="I4648">
        <v>0.16117515550428699</v>
      </c>
      <c r="J4648">
        <v>0.15057597765734501</v>
      </c>
      <c r="K4648">
        <v>0.124269505667935</v>
      </c>
      <c r="L4648">
        <v>804.57131356855098</v>
      </c>
      <c r="M4648">
        <v>15.1632446004519</v>
      </c>
      <c r="N4648">
        <v>53.727915660553499</v>
      </c>
      <c r="O4648">
        <v>52.1634336699912</v>
      </c>
      <c r="P4648">
        <v>-6.6441074881310999E-2</v>
      </c>
      <c r="Q4648">
        <v>8.5826518661133805E-2</v>
      </c>
      <c r="R4648">
        <v>0.97345732863297096</v>
      </c>
      <c r="S4648" t="s">
        <v>11264</v>
      </c>
      <c r="T4648" t="s">
        <v>13232</v>
      </c>
      <c r="U4648" t="s">
        <v>13232</v>
      </c>
      <c r="V4648" t="s">
        <v>13232</v>
      </c>
      <c r="W4648" t="s">
        <v>17817</v>
      </c>
      <c r="X4648">
        <v>5</v>
      </c>
      <c r="Y4648" t="s">
        <v>24229</v>
      </c>
      <c r="Z4648" t="s">
        <v>30779</v>
      </c>
      <c r="AA4648">
        <v>0.5031442226089331</v>
      </c>
      <c r="AB4648" t="str">
        <f>HYPERLINK("Melting_Curves/meltCurve_Q8WV41_SNX33.pdf", "Melting_Curves/meltCurve_Q8WV41_SNX33.pdf")</f>
        <v>Melting_Curves/meltCurve_Q8WV41_SNX33.pdf</v>
      </c>
    </row>
    <row r="4649" spans="1:28" x14ac:dyDescent="0.25">
      <c r="A4649" t="s">
        <v>4652</v>
      </c>
      <c r="B4649">
        <v>0.99930955844802105</v>
      </c>
      <c r="C4649">
        <v>0.82074129698368503</v>
      </c>
      <c r="D4649">
        <v>0.64011741487303297</v>
      </c>
      <c r="E4649">
        <v>0.31515457402518299</v>
      </c>
      <c r="F4649">
        <v>0.17900289747263301</v>
      </c>
      <c r="G4649">
        <v>9.2079751726719006E-2</v>
      </c>
      <c r="H4649">
        <v>4.7207962166515502E-2</v>
      </c>
      <c r="I4649">
        <v>5.3965152844673098E-2</v>
      </c>
      <c r="J4649">
        <v>2.4311556190933201E-2</v>
      </c>
      <c r="K4649">
        <v>1.8462744689184098E-2</v>
      </c>
      <c r="L4649">
        <v>763.61175587942296</v>
      </c>
      <c r="M4649">
        <v>16.098783024808199</v>
      </c>
      <c r="N4649">
        <v>47.576365412199401</v>
      </c>
      <c r="O4649">
        <v>46.719127903584301</v>
      </c>
      <c r="P4649">
        <v>-8.4112100891459304E-2</v>
      </c>
      <c r="Q4649">
        <v>2.36923362033469E-2</v>
      </c>
      <c r="R4649">
        <v>0.997090890598199</v>
      </c>
      <c r="S4649" t="s">
        <v>11265</v>
      </c>
      <c r="T4649" t="s">
        <v>13232</v>
      </c>
      <c r="U4649" t="s">
        <v>13232</v>
      </c>
      <c r="V4649" t="s">
        <v>13232</v>
      </c>
      <c r="W4649" t="s">
        <v>17818</v>
      </c>
      <c r="X4649">
        <v>1</v>
      </c>
      <c r="Y4649" t="s">
        <v>24230</v>
      </c>
      <c r="Z4649" t="s">
        <v>30780</v>
      </c>
      <c r="AA4649">
        <v>0.28795108291144078</v>
      </c>
      <c r="AB4649" t="str">
        <f>HYPERLINK("Melting_Curves/meltCurve_Q8WV74_2_NUDT8.pdf", "Melting_Curves/meltCurve_Q8WV74_2_NUDT8.pdf")</f>
        <v>Melting_Curves/meltCurve_Q8WV74_2_NUDT8.pdf</v>
      </c>
    </row>
    <row r="4650" spans="1:28" x14ac:dyDescent="0.25">
      <c r="A4650" t="s">
        <v>4653</v>
      </c>
      <c r="B4650">
        <v>0.99930955844802105</v>
      </c>
      <c r="C4650">
        <v>0.93520762969340798</v>
      </c>
      <c r="D4650">
        <v>0.86523443288857205</v>
      </c>
      <c r="E4650">
        <v>0.68014995165692105</v>
      </c>
      <c r="F4650">
        <v>0.36973283481416502</v>
      </c>
      <c r="G4650">
        <v>0.22325268365671</v>
      </c>
      <c r="H4650">
        <v>0.140470869937942</v>
      </c>
      <c r="I4650">
        <v>0.13462803072395599</v>
      </c>
      <c r="J4650">
        <v>0.11990993953375099</v>
      </c>
      <c r="K4650">
        <v>9.5829191934765204E-2</v>
      </c>
      <c r="L4650">
        <v>908.86667386021304</v>
      </c>
      <c r="M4650">
        <v>17.802133909293101</v>
      </c>
      <c r="N4650">
        <v>51.689779287159901</v>
      </c>
      <c r="O4650">
        <v>50.422658751114497</v>
      </c>
      <c r="P4650">
        <v>-7.9587682477773702E-2</v>
      </c>
      <c r="Q4650">
        <v>9.8351772175792801E-2</v>
      </c>
      <c r="R4650">
        <v>0.99537271865260102</v>
      </c>
      <c r="S4650" t="s">
        <v>11266</v>
      </c>
      <c r="T4650" t="s">
        <v>13232</v>
      </c>
      <c r="U4650" t="s">
        <v>13232</v>
      </c>
      <c r="V4650" t="s">
        <v>13232</v>
      </c>
      <c r="W4650" t="s">
        <v>17819</v>
      </c>
      <c r="X4650">
        <v>5</v>
      </c>
      <c r="Y4650" t="s">
        <v>24231</v>
      </c>
      <c r="Z4650" t="s">
        <v>30781</v>
      </c>
      <c r="AA4650">
        <v>0.44606003505956499</v>
      </c>
      <c r="AB4650" t="str">
        <f>HYPERLINK("Melting_Curves/meltCurve_Q8WV92_MITD1.pdf", "Melting_Curves/meltCurve_Q8WV92_MITD1.pdf")</f>
        <v>Melting_Curves/meltCurve_Q8WV92_MITD1.pdf</v>
      </c>
    </row>
    <row r="4651" spans="1:28" x14ac:dyDescent="0.25">
      <c r="A4651" t="s">
        <v>4654</v>
      </c>
      <c r="B4651">
        <v>0.99930955844802105</v>
      </c>
      <c r="C4651">
        <v>0.68548137377574503</v>
      </c>
      <c r="D4651">
        <v>0.63429731362595698</v>
      </c>
      <c r="E4651">
        <v>0.56632987195200901</v>
      </c>
      <c r="F4651">
        <v>0.53694743260468603</v>
      </c>
      <c r="G4651">
        <v>0.32862287141374302</v>
      </c>
      <c r="H4651">
        <v>0.21574523414108401</v>
      </c>
      <c r="I4651">
        <v>0.15765438811792701</v>
      </c>
      <c r="J4651">
        <v>0.14093249886893899</v>
      </c>
      <c r="K4651">
        <v>6.45093376303678E-2</v>
      </c>
      <c r="L4651">
        <v>379.42377695177299</v>
      </c>
      <c r="M4651">
        <v>7.4217954917940796</v>
      </c>
      <c r="N4651">
        <v>51.122905853816199</v>
      </c>
      <c r="O4651">
        <v>47.805240560514299</v>
      </c>
      <c r="P4651">
        <v>-3.8870678584552398E-2</v>
      </c>
      <c r="Q4651">
        <v>0</v>
      </c>
      <c r="R4651">
        <v>0.94326428509300797</v>
      </c>
      <c r="S4651" t="s">
        <v>11267</v>
      </c>
      <c r="T4651" t="s">
        <v>13232</v>
      </c>
      <c r="U4651" t="s">
        <v>13232</v>
      </c>
      <c r="V4651" t="s">
        <v>13232</v>
      </c>
      <c r="W4651" t="s">
        <v>17820</v>
      </c>
      <c r="X4651">
        <v>4</v>
      </c>
      <c r="Y4651" t="s">
        <v>24232</v>
      </c>
      <c r="Z4651" t="s">
        <v>30782</v>
      </c>
      <c r="AA4651">
        <v>0.42726912107191878</v>
      </c>
      <c r="AB4651" t="str">
        <f>HYPERLINK("Melting_Curves/meltCurve_Q8WVB3_HEXDC.pdf", "Melting_Curves/meltCurve_Q8WVB3_HEXDC.pdf")</f>
        <v>Melting_Curves/meltCurve_Q8WVB3_HEXDC.pdf</v>
      </c>
    </row>
    <row r="4652" spans="1:28" x14ac:dyDescent="0.25">
      <c r="A4652" t="s">
        <v>4655</v>
      </c>
      <c r="B4652">
        <v>0.99930955844802105</v>
      </c>
      <c r="C4652">
        <v>1.01762584007498</v>
      </c>
      <c r="D4652">
        <v>0.9716694919901</v>
      </c>
      <c r="E4652">
        <v>0.79483826384261302</v>
      </c>
      <c r="F4652">
        <v>0.64967269536050698</v>
      </c>
      <c r="G4652">
        <v>0.57331841504452596</v>
      </c>
      <c r="H4652">
        <v>0.52683713250630504</v>
      </c>
      <c r="I4652">
        <v>0.60283855758334703</v>
      </c>
      <c r="J4652">
        <v>0.56363624677800495</v>
      </c>
      <c r="K4652">
        <v>0.45466630512484302</v>
      </c>
      <c r="L4652">
        <v>1249.7429304637201</v>
      </c>
      <c r="M4652">
        <v>24.708290471694198</v>
      </c>
      <c r="O4652">
        <v>50.252076767951401</v>
      </c>
      <c r="P4652">
        <v>-5.7011865690762803E-2</v>
      </c>
      <c r="Q4652">
        <v>0.53620032258837502</v>
      </c>
      <c r="R4652">
        <v>0.96927688869276896</v>
      </c>
      <c r="S4652" t="s">
        <v>11268</v>
      </c>
      <c r="T4652" t="s">
        <v>13232</v>
      </c>
      <c r="U4652" t="s">
        <v>13232</v>
      </c>
      <c r="V4652" t="s">
        <v>13232</v>
      </c>
      <c r="W4652" t="s">
        <v>17821</v>
      </c>
      <c r="X4652">
        <v>7</v>
      </c>
      <c r="Y4652" t="s">
        <v>24233</v>
      </c>
      <c r="Z4652" t="s">
        <v>30783</v>
      </c>
      <c r="AA4652">
        <v>0.70403455421211514</v>
      </c>
      <c r="AB4652" t="str">
        <f>HYPERLINK("Melting_Curves/meltCurve_Q8WVB6_CHTF18.pdf", "Melting_Curves/meltCurve_Q8WVB6_CHTF18.pdf")</f>
        <v>Melting_Curves/meltCurve_Q8WVB6_CHTF18.pdf</v>
      </c>
    </row>
    <row r="4653" spans="1:28" x14ac:dyDescent="0.25">
      <c r="A4653" t="s">
        <v>4656</v>
      </c>
      <c r="B4653">
        <v>0.99930955844802105</v>
      </c>
      <c r="C4653">
        <v>1.1364014350874201</v>
      </c>
      <c r="D4653">
        <v>1.0762247096397599</v>
      </c>
      <c r="E4653">
        <v>0.97847128975489805</v>
      </c>
      <c r="F4653">
        <v>0.86048939465782204</v>
      </c>
      <c r="G4653">
        <v>0.75621113107972604</v>
      </c>
      <c r="H4653">
        <v>0.78728331441204902</v>
      </c>
      <c r="I4653">
        <v>0.87308753780007198</v>
      </c>
      <c r="J4653">
        <v>0.907494643394819</v>
      </c>
      <c r="K4653">
        <v>0.75686655317287199</v>
      </c>
      <c r="L4653">
        <v>3150.0701637698498</v>
      </c>
      <c r="M4653">
        <v>60.704455539577097</v>
      </c>
      <c r="O4653">
        <v>51.835685447996298</v>
      </c>
      <c r="P4653">
        <v>-5.3702954093807702E-2</v>
      </c>
      <c r="Q4653">
        <v>0.81657173036473596</v>
      </c>
      <c r="R4653">
        <v>0.71995242015815097</v>
      </c>
      <c r="S4653" t="s">
        <v>11269</v>
      </c>
      <c r="T4653" t="s">
        <v>13232</v>
      </c>
      <c r="U4653" t="s">
        <v>13232</v>
      </c>
      <c r="V4653" t="s">
        <v>13232</v>
      </c>
      <c r="W4653" t="s">
        <v>17822</v>
      </c>
      <c r="X4653">
        <v>28</v>
      </c>
      <c r="Y4653" t="s">
        <v>24234</v>
      </c>
      <c r="Z4653" t="s">
        <v>30784</v>
      </c>
      <c r="AA4653">
        <v>0.88956647589045645</v>
      </c>
      <c r="AB4653" t="str">
        <f>HYPERLINK("Melting_Curves/meltCurve_Q8WVC0_LEO1.pdf", "Melting_Curves/meltCurve_Q8WVC0_LEO1.pdf")</f>
        <v>Melting_Curves/meltCurve_Q8WVC0_LEO1.pdf</v>
      </c>
    </row>
    <row r="4654" spans="1:28" x14ac:dyDescent="0.25">
      <c r="A4654" t="s">
        <v>4657</v>
      </c>
      <c r="B4654">
        <v>0.99930955844802105</v>
      </c>
      <c r="C4654">
        <v>1.03957872794654</v>
      </c>
      <c r="D4654">
        <v>0.99657095409947904</v>
      </c>
      <c r="E4654">
        <v>0.97137253121354405</v>
      </c>
      <c r="F4654">
        <v>0.77072434483026298</v>
      </c>
      <c r="G4654">
        <v>0.58596245011727099</v>
      </c>
      <c r="H4654">
        <v>0.54413710634838897</v>
      </c>
      <c r="I4654">
        <v>0.50687612448055297</v>
      </c>
      <c r="J4654">
        <v>0.55015915486213895</v>
      </c>
      <c r="K4654">
        <v>0.43408565494171097</v>
      </c>
      <c r="L4654">
        <v>1548.3714661013</v>
      </c>
      <c r="M4654">
        <v>28.909207046871501</v>
      </c>
      <c r="O4654">
        <v>53.305508938902598</v>
      </c>
      <c r="P4654">
        <v>-6.7249947109273803E-2</v>
      </c>
      <c r="Q4654">
        <v>0.50399691927907897</v>
      </c>
      <c r="R4654">
        <v>0.98009901846446801</v>
      </c>
      <c r="S4654" t="s">
        <v>11270</v>
      </c>
      <c r="T4654" t="s">
        <v>13232</v>
      </c>
      <c r="U4654" t="s">
        <v>13232</v>
      </c>
      <c r="V4654" t="s">
        <v>13232</v>
      </c>
      <c r="W4654" t="s">
        <v>17823</v>
      </c>
      <c r="X4654">
        <v>5</v>
      </c>
      <c r="Y4654" t="s">
        <v>24235</v>
      </c>
      <c r="Z4654" t="s">
        <v>30785</v>
      </c>
      <c r="AA4654">
        <v>0.73166870366813108</v>
      </c>
      <c r="AB4654" t="str">
        <f>HYPERLINK("Melting_Curves/meltCurve_Q8WVC2_RPS21.pdf", "Melting_Curves/meltCurve_Q8WVC2_RPS21.pdf")</f>
        <v>Melting_Curves/meltCurve_Q8WVC2_RPS21.pdf</v>
      </c>
    </row>
    <row r="4655" spans="1:28" x14ac:dyDescent="0.25">
      <c r="A4655" t="s">
        <v>4658</v>
      </c>
      <c r="B4655">
        <v>0.99930955844802105</v>
      </c>
      <c r="C4655">
        <v>1.01908631602045</v>
      </c>
      <c r="D4655">
        <v>0.86952102268702702</v>
      </c>
      <c r="E4655">
        <v>0.52513015814321595</v>
      </c>
      <c r="F4655">
        <v>0.182366436805526</v>
      </c>
      <c r="G4655">
        <v>0.131152507199575</v>
      </c>
      <c r="H4655">
        <v>8.5842207227659298E-2</v>
      </c>
      <c r="I4655">
        <v>6.7448515512616394E-2</v>
      </c>
      <c r="J4655">
        <v>5.8259222700784097E-2</v>
      </c>
      <c r="K4655">
        <v>4.9206307295579697E-2</v>
      </c>
      <c r="L4655">
        <v>1291.22511940143</v>
      </c>
      <c r="M4655">
        <v>25.967388706843099</v>
      </c>
      <c r="N4655">
        <v>49.992596627690801</v>
      </c>
      <c r="O4655">
        <v>49.432765199265297</v>
      </c>
      <c r="P4655">
        <v>-0.122803414974579</v>
      </c>
      <c r="Q4655">
        <v>6.4912536201520807E-2</v>
      </c>
      <c r="R4655">
        <v>0.99625773033862997</v>
      </c>
      <c r="S4655" t="s">
        <v>11271</v>
      </c>
      <c r="T4655" t="s">
        <v>13232</v>
      </c>
      <c r="U4655" t="s">
        <v>13232</v>
      </c>
      <c r="V4655" t="s">
        <v>13232</v>
      </c>
      <c r="W4655" t="s">
        <v>17824</v>
      </c>
      <c r="X4655">
        <v>3</v>
      </c>
      <c r="Y4655" t="s">
        <v>24236</v>
      </c>
      <c r="Z4655" t="s">
        <v>30786</v>
      </c>
      <c r="AA4655">
        <v>0.37575094576499513</v>
      </c>
      <c r="AB4655" t="str">
        <f>HYPERLINK("Melting_Curves/meltCurve_Q8WVE0_N6AMT2.pdf", "Melting_Curves/meltCurve_Q8WVE0_N6AMT2.pdf")</f>
        <v>Melting_Curves/meltCurve_Q8WVE0_N6AMT2.pdf</v>
      </c>
    </row>
    <row r="4656" spans="1:28" x14ac:dyDescent="0.25">
      <c r="A4656" t="s">
        <v>4659</v>
      </c>
      <c r="B4656">
        <v>0.99930955844802105</v>
      </c>
      <c r="C4656">
        <v>0.90721097449660904</v>
      </c>
      <c r="D4656">
        <v>0.957834417630958</v>
      </c>
      <c r="E4656">
        <v>0.690701611370103</v>
      </c>
      <c r="F4656">
        <v>0.32589742410155398</v>
      </c>
      <c r="G4656">
        <v>0.16348972317317401</v>
      </c>
      <c r="H4656">
        <v>7.7803101031936203E-2</v>
      </c>
      <c r="I4656">
        <v>8.2194263401364306E-2</v>
      </c>
      <c r="J4656">
        <v>7.3522520368877201E-2</v>
      </c>
      <c r="K4656">
        <v>5.6875123082023103E-2</v>
      </c>
      <c r="L4656">
        <v>1300.01196717067</v>
      </c>
      <c r="M4656">
        <v>25.3755456458629</v>
      </c>
      <c r="N4656">
        <v>51.536910372579001</v>
      </c>
      <c r="O4656">
        <v>50.915908642103197</v>
      </c>
      <c r="P4656">
        <v>-0.115883149428638</v>
      </c>
      <c r="Q4656">
        <v>6.9935893099534102E-2</v>
      </c>
      <c r="R4656">
        <v>0.99378325827060998</v>
      </c>
      <c r="S4656" t="s">
        <v>11272</v>
      </c>
      <c r="T4656" t="s">
        <v>13232</v>
      </c>
      <c r="U4656" t="s">
        <v>13232</v>
      </c>
      <c r="V4656" t="s">
        <v>13232</v>
      </c>
      <c r="W4656" t="s">
        <v>17825</v>
      </c>
      <c r="X4656">
        <v>9</v>
      </c>
      <c r="Y4656" t="s">
        <v>24237</v>
      </c>
      <c r="Z4656" t="s">
        <v>30787</v>
      </c>
      <c r="AA4656">
        <v>0.42629833008577528</v>
      </c>
      <c r="AB4656" t="str">
        <f>HYPERLINK("Melting_Curves/meltCurve_Q8WVJ2_NUDCD2.pdf", "Melting_Curves/meltCurve_Q8WVJ2_NUDCD2.pdf")</f>
        <v>Melting_Curves/meltCurve_Q8WVJ2_NUDCD2.pdf</v>
      </c>
    </row>
    <row r="4657" spans="1:28" x14ac:dyDescent="0.25">
      <c r="A4657" t="s">
        <v>4660</v>
      </c>
      <c r="B4657">
        <v>0.99930955844802105</v>
      </c>
      <c r="C4657">
        <v>0.96585730802394698</v>
      </c>
      <c r="D4657">
        <v>0.99305471998619899</v>
      </c>
      <c r="E4657">
        <v>1.0128671805127301</v>
      </c>
      <c r="F4657">
        <v>0.89432782263261401</v>
      </c>
      <c r="G4657">
        <v>0.73841356642578304</v>
      </c>
      <c r="H4657">
        <v>0.63761680693017198</v>
      </c>
      <c r="I4657">
        <v>0.69704273604297695</v>
      </c>
      <c r="J4657">
        <v>0.61830291167705098</v>
      </c>
      <c r="K4657">
        <v>0.52137254907657105</v>
      </c>
      <c r="L4657">
        <v>1126.4939011787601</v>
      </c>
      <c r="M4657">
        <v>20.086955503973599</v>
      </c>
      <c r="O4657">
        <v>55.533918397882701</v>
      </c>
      <c r="P4657">
        <v>-3.7572075285686103E-2</v>
      </c>
      <c r="Q4657">
        <v>0.58451487157307203</v>
      </c>
      <c r="R4657">
        <v>0.94901395275419298</v>
      </c>
      <c r="S4657" t="s">
        <v>11273</v>
      </c>
      <c r="T4657" t="s">
        <v>13232</v>
      </c>
      <c r="U4657" t="s">
        <v>13232</v>
      </c>
      <c r="V4657" t="s">
        <v>13232</v>
      </c>
      <c r="W4657" t="s">
        <v>17826</v>
      </c>
      <c r="X4657">
        <v>3</v>
      </c>
      <c r="Y4657" t="s">
        <v>24238</v>
      </c>
      <c r="Z4657" t="s">
        <v>30788</v>
      </c>
      <c r="AA4657">
        <v>0.8125298440898765</v>
      </c>
      <c r="AB4657" t="str">
        <f>HYPERLINK("Melting_Curves/meltCurve_Q8WVK2_SNRNP27.pdf", "Melting_Curves/meltCurve_Q8WVK2_SNRNP27.pdf")</f>
        <v>Melting_Curves/meltCurve_Q8WVK2_SNRNP27.pdf</v>
      </c>
    </row>
    <row r="4658" spans="1:28" x14ac:dyDescent="0.25">
      <c r="A4658" t="s">
        <v>4661</v>
      </c>
      <c r="B4658">
        <v>0.99930955844802105</v>
      </c>
      <c r="C4658">
        <v>0.89108451089316298</v>
      </c>
      <c r="D4658">
        <v>0.75205233711783004</v>
      </c>
      <c r="E4658">
        <v>0.48361591172500101</v>
      </c>
      <c r="F4658">
        <v>0.246797418711797</v>
      </c>
      <c r="G4658">
        <v>0.12595211466142001</v>
      </c>
      <c r="H4658">
        <v>7.2269345428102996E-2</v>
      </c>
      <c r="I4658">
        <v>5.6108919380201197E-2</v>
      </c>
      <c r="J4658">
        <v>6.1552791993936401E-2</v>
      </c>
      <c r="K4658">
        <v>4.8682768787856497E-2</v>
      </c>
      <c r="L4658">
        <v>784.40272305180099</v>
      </c>
      <c r="M4658">
        <v>15.951832761053099</v>
      </c>
      <c r="N4658">
        <v>49.402830567750001</v>
      </c>
      <c r="O4658">
        <v>48.419882952978099</v>
      </c>
      <c r="P4658">
        <v>-7.9425384558357695E-2</v>
      </c>
      <c r="Q4658">
        <v>3.5731425091192301E-2</v>
      </c>
      <c r="R4658">
        <v>0.99791868244479498</v>
      </c>
      <c r="S4658" t="s">
        <v>11274</v>
      </c>
      <c r="T4658" t="s">
        <v>13232</v>
      </c>
      <c r="U4658" t="s">
        <v>13232</v>
      </c>
      <c r="V4658" t="s">
        <v>13232</v>
      </c>
      <c r="W4658" t="s">
        <v>17827</v>
      </c>
      <c r="X4658">
        <v>7</v>
      </c>
      <c r="Y4658" t="s">
        <v>24239</v>
      </c>
      <c r="Z4658" t="s">
        <v>30789</v>
      </c>
      <c r="AA4658">
        <v>0.35163700336140391</v>
      </c>
      <c r="AB4658" t="str">
        <f>HYPERLINK("Melting_Curves/meltCurve_Q8WVM0_TFB1M.pdf", "Melting_Curves/meltCurve_Q8WVM0_TFB1M.pdf")</f>
        <v>Melting_Curves/meltCurve_Q8WVM0_TFB1M.pdf</v>
      </c>
    </row>
    <row r="4659" spans="1:28" x14ac:dyDescent="0.25">
      <c r="A4659" t="s">
        <v>4662</v>
      </c>
      <c r="B4659">
        <v>0.99930955844802105</v>
      </c>
      <c r="C4659">
        <v>1.06006770118857</v>
      </c>
      <c r="D4659">
        <v>1.0635662361790701</v>
      </c>
      <c r="E4659">
        <v>0.89352003220246701</v>
      </c>
      <c r="F4659">
        <v>0.40562195770644799</v>
      </c>
      <c r="G4659">
        <v>0.19009037483604599</v>
      </c>
      <c r="H4659">
        <v>0.11545222671009001</v>
      </c>
      <c r="I4659">
        <v>0.10597098554847501</v>
      </c>
      <c r="J4659">
        <v>8.8576971126110501E-2</v>
      </c>
      <c r="K4659">
        <v>6.6711171372659597E-2</v>
      </c>
      <c r="L4659">
        <v>2205.4549341720899</v>
      </c>
      <c r="M4659">
        <v>42.227548487809599</v>
      </c>
      <c r="N4659">
        <v>52.524172164774797</v>
      </c>
      <c r="O4659">
        <v>52.111144955583299</v>
      </c>
      <c r="P4659">
        <v>-0.181113713389601</v>
      </c>
      <c r="Q4659">
        <v>0.10598381398856201</v>
      </c>
      <c r="R4659">
        <v>0.99237069201501704</v>
      </c>
      <c r="S4659" t="s">
        <v>11275</v>
      </c>
      <c r="T4659" t="s">
        <v>13232</v>
      </c>
      <c r="U4659" t="s">
        <v>13232</v>
      </c>
      <c r="V4659" t="s">
        <v>13232</v>
      </c>
      <c r="W4659" t="s">
        <v>17828</v>
      </c>
      <c r="X4659">
        <v>18</v>
      </c>
      <c r="Y4659" t="s">
        <v>24240</v>
      </c>
      <c r="Z4659" t="s">
        <v>30790</v>
      </c>
      <c r="AA4659">
        <v>0.47327362208203633</v>
      </c>
      <c r="AB4659" t="str">
        <f>HYPERLINK("Melting_Curves/meltCurve_Q8WVM8_SCFD1.pdf", "Melting_Curves/meltCurve_Q8WVM8_SCFD1.pdf")</f>
        <v>Melting_Curves/meltCurve_Q8WVM8_SCFD1.pdf</v>
      </c>
    </row>
    <row r="4660" spans="1:28" x14ac:dyDescent="0.25">
      <c r="A4660" t="s">
        <v>4663</v>
      </c>
      <c r="B4660">
        <v>0.99930955844802105</v>
      </c>
      <c r="C4660">
        <v>0.71932922390944098</v>
      </c>
      <c r="D4660">
        <v>0.76348248428875698</v>
      </c>
      <c r="E4660">
        <v>0.52112988166652896</v>
      </c>
      <c r="F4660">
        <v>0.27395113016986899</v>
      </c>
      <c r="G4660">
        <v>0.21564036128307801</v>
      </c>
      <c r="H4660">
        <v>0.15860321497039401</v>
      </c>
      <c r="I4660">
        <v>0.15821660057929099</v>
      </c>
      <c r="J4660">
        <v>0.16064241231479701</v>
      </c>
      <c r="K4660">
        <v>0.11094228059307</v>
      </c>
      <c r="L4660">
        <v>590.85386721919201</v>
      </c>
      <c r="M4660">
        <v>12.172355293634499</v>
      </c>
      <c r="N4660">
        <v>49.447513614816202</v>
      </c>
      <c r="O4660">
        <v>47.286250224276699</v>
      </c>
      <c r="P4660">
        <v>-5.7929781013353498E-2</v>
      </c>
      <c r="Q4660">
        <v>0.10003997924076199</v>
      </c>
      <c r="R4660">
        <v>0.96372652201902798</v>
      </c>
      <c r="S4660" t="s">
        <v>11276</v>
      </c>
      <c r="T4660" t="s">
        <v>13232</v>
      </c>
      <c r="U4660" t="s">
        <v>13232</v>
      </c>
      <c r="V4660" t="s">
        <v>13232</v>
      </c>
      <c r="W4660" t="s">
        <v>17829</v>
      </c>
      <c r="X4660">
        <v>18</v>
      </c>
      <c r="Y4660" t="s">
        <v>24241</v>
      </c>
      <c r="Z4660" t="s">
        <v>30791</v>
      </c>
      <c r="AA4660">
        <v>0.38943327246303178</v>
      </c>
      <c r="AB4660" t="str">
        <f>HYPERLINK("Melting_Curves/meltCurve_Q8WVT3_TRAPPC12.pdf", "Melting_Curves/meltCurve_Q8WVT3_TRAPPC12.pdf")</f>
        <v>Melting_Curves/meltCurve_Q8WVT3_TRAPPC12.pdf</v>
      </c>
    </row>
    <row r="4661" spans="1:28" x14ac:dyDescent="0.25">
      <c r="A4661" t="s">
        <v>4664</v>
      </c>
      <c r="B4661">
        <v>0.99930955844802105</v>
      </c>
      <c r="C4661">
        <v>1.0377955855285499</v>
      </c>
      <c r="D4661">
        <v>0.93873312683354504</v>
      </c>
      <c r="E4661">
        <v>0.78590838447165801</v>
      </c>
      <c r="F4661">
        <v>0.86378996389905705</v>
      </c>
      <c r="G4661">
        <v>0.454170674052154</v>
      </c>
      <c r="H4661">
        <v>0.397546497908635</v>
      </c>
      <c r="I4661">
        <v>0.40296702246379301</v>
      </c>
      <c r="J4661">
        <v>0.40524935291726499</v>
      </c>
      <c r="K4661">
        <v>0.32429998160623202</v>
      </c>
      <c r="L4661">
        <v>992.78304413026603</v>
      </c>
      <c r="M4661">
        <v>18.327912447350801</v>
      </c>
      <c r="N4661">
        <v>57.794713324095703</v>
      </c>
      <c r="O4661">
        <v>53.535311090229399</v>
      </c>
      <c r="P4661">
        <v>-5.6344509197934503E-2</v>
      </c>
      <c r="Q4661">
        <v>0.34170740694254598</v>
      </c>
      <c r="R4661">
        <v>0.94878425082990303</v>
      </c>
      <c r="S4661" t="s">
        <v>11277</v>
      </c>
      <c r="T4661" t="s">
        <v>13232</v>
      </c>
      <c r="U4661" t="s">
        <v>13232</v>
      </c>
      <c r="V4661" t="s">
        <v>13232</v>
      </c>
      <c r="W4661" t="s">
        <v>17830</v>
      </c>
      <c r="X4661">
        <v>7</v>
      </c>
      <c r="Y4661" t="s">
        <v>24242</v>
      </c>
      <c r="Z4661" t="s">
        <v>30792</v>
      </c>
      <c r="AA4661">
        <v>0.66279984948116666</v>
      </c>
      <c r="AB4661" t="str">
        <f>HYPERLINK("Melting_Curves/meltCurve_Q8WVV4_POF1B.pdf", "Melting_Curves/meltCurve_Q8WVV4_POF1B.pdf")</f>
        <v>Melting_Curves/meltCurve_Q8WVV4_POF1B.pdf</v>
      </c>
    </row>
    <row r="4662" spans="1:28" x14ac:dyDescent="0.25">
      <c r="A4662" t="s">
        <v>4665</v>
      </c>
      <c r="B4662">
        <v>0.99930955844802105</v>
      </c>
      <c r="C4662">
        <v>1.01255858287323</v>
      </c>
      <c r="D4662">
        <v>0.87519805835985998</v>
      </c>
      <c r="E4662">
        <v>0.62275234858853501</v>
      </c>
      <c r="F4662">
        <v>0.26988507992511102</v>
      </c>
      <c r="G4662">
        <v>0.19153999414984399</v>
      </c>
      <c r="H4662">
        <v>0.12664056526334899</v>
      </c>
      <c r="I4662">
        <v>0.11063838000109801</v>
      </c>
      <c r="J4662">
        <v>0.10079271993293799</v>
      </c>
      <c r="K4662">
        <v>7.7847079238044001E-2</v>
      </c>
      <c r="L4662">
        <v>1168.0490234666199</v>
      </c>
      <c r="M4662">
        <v>23.194447040278099</v>
      </c>
      <c r="N4662">
        <v>50.849235055032302</v>
      </c>
      <c r="O4662">
        <v>49.989141207716401</v>
      </c>
      <c r="P4662">
        <v>-0.104377616659046</v>
      </c>
      <c r="Q4662">
        <v>0.100189308133948</v>
      </c>
      <c r="R4662">
        <v>0.99483408866901601</v>
      </c>
      <c r="S4662" t="s">
        <v>11278</v>
      </c>
      <c r="T4662" t="s">
        <v>13232</v>
      </c>
      <c r="U4662" t="s">
        <v>13232</v>
      </c>
      <c r="V4662" t="s">
        <v>13232</v>
      </c>
      <c r="W4662" t="s">
        <v>17831</v>
      </c>
      <c r="X4662">
        <v>25</v>
      </c>
      <c r="Y4662" t="s">
        <v>24243</v>
      </c>
      <c r="Z4662" t="s">
        <v>30793</v>
      </c>
      <c r="AA4662">
        <v>0.42026249763008999</v>
      </c>
      <c r="AB4662" t="str">
        <f>HYPERLINK("Melting_Curves/meltCurve_Q8WVV9_4_HNRPLL.pdf", "Melting_Curves/meltCurve_Q8WVV9_4_HNRPLL.pdf")</f>
        <v>Melting_Curves/meltCurve_Q8WVV9_4_HNRPLL.pdf</v>
      </c>
    </row>
    <row r="4663" spans="1:28" x14ac:dyDescent="0.25">
      <c r="A4663" t="s">
        <v>4666</v>
      </c>
      <c r="B4663">
        <v>0.99930955844802105</v>
      </c>
      <c r="C4663">
        <v>1.0582202888054</v>
      </c>
      <c r="D4663">
        <v>1.0189493841113599</v>
      </c>
      <c r="E4663">
        <v>0.48941356015348197</v>
      </c>
      <c r="F4663">
        <v>0.17162845846196001</v>
      </c>
      <c r="G4663">
        <v>0.12119500398465299</v>
      </c>
      <c r="H4663">
        <v>7.2498688903616701E-2</v>
      </c>
      <c r="I4663">
        <v>6.1209143587824498E-2</v>
      </c>
      <c r="J4663">
        <v>5.72769029455963E-2</v>
      </c>
      <c r="K4663">
        <v>4.3631851812761503E-2</v>
      </c>
      <c r="L4663">
        <v>2067.8480851081199</v>
      </c>
      <c r="M4663">
        <v>41.499551831058803</v>
      </c>
      <c r="N4663">
        <v>50.020334100139898</v>
      </c>
      <c r="O4663">
        <v>49.712919853165602</v>
      </c>
      <c r="P4663">
        <v>-0.19332101847144501</v>
      </c>
      <c r="Q4663">
        <v>7.3673390624497001E-2</v>
      </c>
      <c r="R4663">
        <v>0.99447680920257597</v>
      </c>
      <c r="S4663" t="s">
        <v>11279</v>
      </c>
      <c r="T4663" t="s">
        <v>13232</v>
      </c>
      <c r="U4663" t="s">
        <v>13232</v>
      </c>
      <c r="V4663" t="s">
        <v>13232</v>
      </c>
      <c r="W4663" t="s">
        <v>17832</v>
      </c>
      <c r="X4663">
        <v>17</v>
      </c>
      <c r="Y4663" t="s">
        <v>24244</v>
      </c>
      <c r="Z4663" t="s">
        <v>30794</v>
      </c>
      <c r="AA4663">
        <v>0.38010769631463998</v>
      </c>
      <c r="AB4663" t="str">
        <f>HYPERLINK("Melting_Curves/meltCurve_Q8WVY7_UBLCP1.pdf", "Melting_Curves/meltCurve_Q8WVY7_UBLCP1.pdf")</f>
        <v>Melting_Curves/meltCurve_Q8WVY7_UBLCP1.pdf</v>
      </c>
    </row>
    <row r="4664" spans="1:28" x14ac:dyDescent="0.25">
      <c r="A4664" t="s">
        <v>4667</v>
      </c>
      <c r="B4664">
        <v>0.99930955844802105</v>
      </c>
      <c r="C4664">
        <v>1.0104447946092101</v>
      </c>
      <c r="D4664">
        <v>1.03849284850838</v>
      </c>
      <c r="E4664">
        <v>0.96183406489990797</v>
      </c>
      <c r="F4664">
        <v>0.73571807512848997</v>
      </c>
      <c r="G4664">
        <v>0.48141711998820202</v>
      </c>
      <c r="H4664">
        <v>0.27316424919151799</v>
      </c>
      <c r="I4664">
        <v>0.19922272776710601</v>
      </c>
      <c r="J4664">
        <v>0.173630693559745</v>
      </c>
      <c r="K4664">
        <v>0.10794620632027099</v>
      </c>
      <c r="L4664">
        <v>1091.89753135972</v>
      </c>
      <c r="M4664">
        <v>19.545152809513901</v>
      </c>
      <c r="N4664">
        <v>56.681150261029401</v>
      </c>
      <c r="O4664">
        <v>55.290436739281603</v>
      </c>
      <c r="P4664">
        <v>-7.7543125554588102E-2</v>
      </c>
      <c r="Q4664">
        <v>0.122597713242193</v>
      </c>
      <c r="R4664">
        <v>0.99451472991460899</v>
      </c>
      <c r="S4664" t="s">
        <v>11280</v>
      </c>
      <c r="T4664" t="s">
        <v>13232</v>
      </c>
      <c r="U4664" t="s">
        <v>13232</v>
      </c>
      <c r="V4664" t="s">
        <v>13232</v>
      </c>
      <c r="W4664" t="s">
        <v>17833</v>
      </c>
      <c r="X4664">
        <v>4</v>
      </c>
      <c r="Y4664" t="s">
        <v>24245</v>
      </c>
      <c r="Z4664" t="s">
        <v>30795</v>
      </c>
      <c r="AA4664">
        <v>0.59833309589446027</v>
      </c>
      <c r="AB4664" t="str">
        <f>HYPERLINK("Melting_Curves/meltCurve_Q8WW01_TSEN15.pdf", "Melting_Curves/meltCurve_Q8WW01_TSEN15.pdf")</f>
        <v>Melting_Curves/meltCurve_Q8WW01_TSEN15.pdf</v>
      </c>
    </row>
    <row r="4665" spans="1:28" x14ac:dyDescent="0.25">
      <c r="A4665" t="s">
        <v>4668</v>
      </c>
      <c r="B4665">
        <v>0.99930955844802105</v>
      </c>
      <c r="C4665">
        <v>1.12875687087051</v>
      </c>
      <c r="D4665">
        <v>1.1477121459123001</v>
      </c>
      <c r="E4665">
        <v>1.1856175242740601</v>
      </c>
      <c r="F4665">
        <v>1.1063272429453399</v>
      </c>
      <c r="G4665">
        <v>1.1656839035016999</v>
      </c>
      <c r="H4665">
        <v>1.2019232197116101</v>
      </c>
      <c r="I4665">
        <v>1.4174906078630001</v>
      </c>
      <c r="J4665">
        <v>1.45652754699205</v>
      </c>
      <c r="K4665">
        <v>1.1533694914665</v>
      </c>
      <c r="L4665">
        <v>271.85787159359802</v>
      </c>
      <c r="M4665">
        <v>4.7805190858873798</v>
      </c>
      <c r="O4665">
        <v>49.097913601729203</v>
      </c>
      <c r="P4665">
        <v>1.09741637489014E-2</v>
      </c>
      <c r="Q4665">
        <v>1.44764079912801</v>
      </c>
      <c r="R4665">
        <v>0.47775807242614099</v>
      </c>
      <c r="S4665" t="s">
        <v>11281</v>
      </c>
      <c r="T4665" t="s">
        <v>13232</v>
      </c>
      <c r="U4665" t="s">
        <v>13232</v>
      </c>
      <c r="V4665" t="s">
        <v>13232</v>
      </c>
      <c r="W4665" t="s">
        <v>17834</v>
      </c>
      <c r="X4665">
        <v>8</v>
      </c>
      <c r="Y4665" t="s">
        <v>24246</v>
      </c>
      <c r="Z4665" t="s">
        <v>30796</v>
      </c>
      <c r="AA4665">
        <v>1.1973835186482831</v>
      </c>
      <c r="AB4665" t="str">
        <f>HYPERLINK("Melting_Curves/meltCurve_Q8WW12_PCNP.pdf", "Melting_Curves/meltCurve_Q8WW12_PCNP.pdf")</f>
        <v>Melting_Curves/meltCurve_Q8WW12_PCNP.pdf</v>
      </c>
    </row>
    <row r="4666" spans="1:28" x14ac:dyDescent="0.25">
      <c r="A4666" t="s">
        <v>4669</v>
      </c>
      <c r="B4666">
        <v>0.99930955844802105</v>
      </c>
      <c r="C4666">
        <v>1.1420069693734001</v>
      </c>
      <c r="D4666">
        <v>1.17392310148638</v>
      </c>
      <c r="E4666">
        <v>1.0987347116677999</v>
      </c>
      <c r="F4666">
        <v>0.95942541032387596</v>
      </c>
      <c r="G4666">
        <v>0.88585175841665798</v>
      </c>
      <c r="H4666">
        <v>0.81606013062878902</v>
      </c>
      <c r="I4666">
        <v>0.85651873244737797</v>
      </c>
      <c r="J4666">
        <v>0.82191197864437704</v>
      </c>
      <c r="K4666">
        <v>0.64688500703618201</v>
      </c>
      <c r="L4666">
        <v>681.091434706256</v>
      </c>
      <c r="M4666">
        <v>9.5383091777035993</v>
      </c>
      <c r="O4666">
        <v>68.478684821161394</v>
      </c>
      <c r="P4666">
        <v>-2.4352963448993899E-2</v>
      </c>
      <c r="Q4666">
        <v>0.30105512731881401</v>
      </c>
      <c r="R4666">
        <v>0.68368080127363196</v>
      </c>
      <c r="S4666" t="s">
        <v>11282</v>
      </c>
      <c r="T4666" t="s">
        <v>13232</v>
      </c>
      <c r="U4666" t="s">
        <v>13232</v>
      </c>
      <c r="V4666" t="s">
        <v>13232</v>
      </c>
      <c r="W4666" t="s">
        <v>17835</v>
      </c>
      <c r="X4666">
        <v>6</v>
      </c>
      <c r="Y4666" t="s">
        <v>24247</v>
      </c>
      <c r="Z4666" t="s">
        <v>30797</v>
      </c>
      <c r="AA4666">
        <v>0.91747339757086122</v>
      </c>
      <c r="AB4666" t="str">
        <f>HYPERLINK("Melting_Curves/meltCurve_Q8WW33_GTSF1.pdf", "Melting_Curves/meltCurve_Q8WW33_GTSF1.pdf")</f>
        <v>Melting_Curves/meltCurve_Q8WW33_GTSF1.pdf</v>
      </c>
    </row>
    <row r="4667" spans="1:28" x14ac:dyDescent="0.25">
      <c r="A4667" t="s">
        <v>4670</v>
      </c>
      <c r="B4667">
        <v>0.99930955844802105</v>
      </c>
      <c r="C4667">
        <v>1.0437774370809501</v>
      </c>
      <c r="D4667">
        <v>1.07129194878519</v>
      </c>
      <c r="E4667">
        <v>0.87711966291858201</v>
      </c>
      <c r="F4667">
        <v>0.423116305079559</v>
      </c>
      <c r="G4667">
        <v>0.217001619693172</v>
      </c>
      <c r="H4667">
        <v>0.218906089529665</v>
      </c>
      <c r="I4667">
        <v>0.123888799509208</v>
      </c>
      <c r="J4667">
        <v>0.10871063302334701</v>
      </c>
      <c r="K4667">
        <v>8.5024288362919406E-2</v>
      </c>
      <c r="L4667">
        <v>2076.7526713515699</v>
      </c>
      <c r="M4667">
        <v>39.830436893626903</v>
      </c>
      <c r="N4667">
        <v>52.583175087100798</v>
      </c>
      <c r="O4667">
        <v>52.0089298046598</v>
      </c>
      <c r="P4667">
        <v>-0.16415360803753001</v>
      </c>
      <c r="Q4667">
        <v>0.142621961790144</v>
      </c>
      <c r="R4667">
        <v>0.98760422998817499</v>
      </c>
      <c r="S4667" t="s">
        <v>11283</v>
      </c>
      <c r="T4667" t="s">
        <v>13232</v>
      </c>
      <c r="U4667" t="s">
        <v>13232</v>
      </c>
      <c r="V4667" t="s">
        <v>13232</v>
      </c>
      <c r="W4667" t="s">
        <v>17836</v>
      </c>
      <c r="X4667">
        <v>10</v>
      </c>
      <c r="Y4667" t="s">
        <v>24248</v>
      </c>
      <c r="Z4667" t="s">
        <v>30798</v>
      </c>
      <c r="AA4667">
        <v>0.49268460842681983</v>
      </c>
      <c r="AB4667" t="str">
        <f>HYPERLINK("Melting_Curves/meltCurve_Q8WW59_SPRYD4.pdf", "Melting_Curves/meltCurve_Q8WW59_SPRYD4.pdf")</f>
        <v>Melting_Curves/meltCurve_Q8WW59_SPRYD4.pdf</v>
      </c>
    </row>
    <row r="4668" spans="1:28" x14ac:dyDescent="0.25">
      <c r="A4668" t="s">
        <v>4671</v>
      </c>
      <c r="B4668">
        <v>0.99930955844802105</v>
      </c>
      <c r="C4668">
        <v>1.04454690850423</v>
      </c>
      <c r="D4668">
        <v>0.92472018032627201</v>
      </c>
      <c r="E4668">
        <v>0.66961480462592204</v>
      </c>
      <c r="F4668">
        <v>0.38019695345339999</v>
      </c>
      <c r="G4668">
        <v>0.22967208462608599</v>
      </c>
      <c r="H4668">
        <v>0.169411746667403</v>
      </c>
      <c r="I4668">
        <v>0.14458590690454301</v>
      </c>
      <c r="J4668">
        <v>0.13910008129426099</v>
      </c>
      <c r="K4668">
        <v>9.3403419061650103E-2</v>
      </c>
      <c r="L4668">
        <v>1136.4025948666299</v>
      </c>
      <c r="M4668">
        <v>22.255559014727499</v>
      </c>
      <c r="N4668">
        <v>51.758653350188197</v>
      </c>
      <c r="O4668">
        <v>50.654609813347399</v>
      </c>
      <c r="P4668">
        <v>-9.5617479441563305E-2</v>
      </c>
      <c r="Q4668">
        <v>0.12950036765672199</v>
      </c>
      <c r="R4668">
        <v>0.99570195935515504</v>
      </c>
      <c r="S4668" t="s">
        <v>11284</v>
      </c>
      <c r="T4668" t="s">
        <v>13232</v>
      </c>
      <c r="U4668" t="s">
        <v>13232</v>
      </c>
      <c r="V4668" t="s">
        <v>13232</v>
      </c>
      <c r="W4668" t="s">
        <v>17837</v>
      </c>
      <c r="X4668">
        <v>9</v>
      </c>
      <c r="Y4668" t="s">
        <v>24249</v>
      </c>
      <c r="Z4668" t="s">
        <v>30799</v>
      </c>
      <c r="AA4668">
        <v>0.46033497681112912</v>
      </c>
      <c r="AB4668" t="str">
        <f>HYPERLINK("Melting_Curves/meltCurve_Q8WWH5_TRUB1.pdf", "Melting_Curves/meltCurve_Q8WWH5_TRUB1.pdf")</f>
        <v>Melting_Curves/meltCurve_Q8WWH5_TRUB1.pdf</v>
      </c>
    </row>
    <row r="4669" spans="1:28" x14ac:dyDescent="0.25">
      <c r="A4669" t="s">
        <v>4672</v>
      </c>
      <c r="B4669">
        <v>0.99930955844802105</v>
      </c>
      <c r="C4669">
        <v>0.90443534748389998</v>
      </c>
      <c r="D4669">
        <v>0.85749799550606598</v>
      </c>
      <c r="E4669">
        <v>0.63170085375408103</v>
      </c>
      <c r="F4669">
        <v>0.44129893155097699</v>
      </c>
      <c r="G4669">
        <v>0.29514702402974602</v>
      </c>
      <c r="H4669">
        <v>0.26150591411734803</v>
      </c>
      <c r="I4669">
        <v>0.27237337823697799</v>
      </c>
      <c r="J4669">
        <v>0.150545288835918</v>
      </c>
      <c r="K4669">
        <v>0</v>
      </c>
      <c r="L4669">
        <v>556.29712975555401</v>
      </c>
      <c r="M4669">
        <v>10.650242536235901</v>
      </c>
      <c r="N4669">
        <v>52.751947867974103</v>
      </c>
      <c r="O4669">
        <v>50.4927337211276</v>
      </c>
      <c r="P4669">
        <v>-5.0129570311275198E-2</v>
      </c>
      <c r="Q4669">
        <v>4.9707496163915503E-2</v>
      </c>
      <c r="R4669">
        <v>0.97114875456240402</v>
      </c>
      <c r="S4669" t="s">
        <v>11285</v>
      </c>
      <c r="T4669" t="s">
        <v>13232</v>
      </c>
      <c r="U4669" t="s">
        <v>13232</v>
      </c>
      <c r="V4669" t="s">
        <v>13232</v>
      </c>
      <c r="W4669" t="s">
        <v>17838</v>
      </c>
      <c r="X4669">
        <v>1</v>
      </c>
      <c r="Y4669" t="s">
        <v>24250</v>
      </c>
      <c r="Z4669" t="s">
        <v>30800</v>
      </c>
      <c r="AA4669">
        <v>0.47016166926732589</v>
      </c>
      <c r="AB4669" t="str">
        <f>HYPERLINK("Melting_Curves/meltCurve_Q8WWI5_3_SLC44A1.pdf", "Melting_Curves/meltCurve_Q8WWI5_3_SLC44A1.pdf")</f>
        <v>Melting_Curves/meltCurve_Q8WWI5_3_SLC44A1.pdf</v>
      </c>
    </row>
    <row r="4670" spans="1:28" x14ac:dyDescent="0.25">
      <c r="A4670" t="s">
        <v>4673</v>
      </c>
      <c r="B4670">
        <v>0.99930955844802105</v>
      </c>
      <c r="C4670">
        <v>0.84928641504067504</v>
      </c>
      <c r="D4670">
        <v>0.71087201621316598</v>
      </c>
      <c r="E4670">
        <v>0.46061121550767098</v>
      </c>
      <c r="F4670">
        <v>0.16508786159944699</v>
      </c>
      <c r="G4670">
        <v>0.159874290909543</v>
      </c>
      <c r="H4670">
        <v>0.101703333352289</v>
      </c>
      <c r="I4670">
        <v>9.6234872290097598E-2</v>
      </c>
      <c r="J4670">
        <v>7.8643758838503705E-2</v>
      </c>
      <c r="K4670">
        <v>2.8406381363810799E-2</v>
      </c>
      <c r="L4670">
        <v>764.36584202977099</v>
      </c>
      <c r="M4670">
        <v>15.809672425272201</v>
      </c>
      <c r="N4670">
        <v>48.712038588220203</v>
      </c>
      <c r="O4670">
        <v>47.594293641793598</v>
      </c>
      <c r="P4670">
        <v>-7.8423240769500205E-2</v>
      </c>
      <c r="Q4670">
        <v>5.5719718087296997E-2</v>
      </c>
      <c r="R4670">
        <v>0.98794051032225405</v>
      </c>
      <c r="S4670" t="s">
        <v>11286</v>
      </c>
      <c r="T4670" t="s">
        <v>13232</v>
      </c>
      <c r="U4670" t="s">
        <v>13232</v>
      </c>
      <c r="V4670" t="s">
        <v>13232</v>
      </c>
      <c r="W4670" t="s">
        <v>17839</v>
      </c>
      <c r="X4670">
        <v>2</v>
      </c>
      <c r="Y4670" t="s">
        <v>24251</v>
      </c>
      <c r="Z4670" t="s">
        <v>30801</v>
      </c>
      <c r="AA4670">
        <v>0.34005334723745101</v>
      </c>
      <c r="AB4670" t="str">
        <f>HYPERLINK("Melting_Curves/meltCurve_Q8WWL2_4_SPIRE2.pdf", "Melting_Curves/meltCurve_Q8WWL2_4_SPIRE2.pdf")</f>
        <v>Melting_Curves/meltCurve_Q8WWL2_4_SPIRE2.pdf</v>
      </c>
    </row>
    <row r="4671" spans="1:28" x14ac:dyDescent="0.25">
      <c r="A4671" t="s">
        <v>4674</v>
      </c>
      <c r="B4671">
        <v>0.99930955844802105</v>
      </c>
      <c r="C4671">
        <v>1.04679593045005</v>
      </c>
      <c r="D4671">
        <v>1.0449615873072</v>
      </c>
      <c r="E4671">
        <v>0.98503771039715404</v>
      </c>
      <c r="F4671">
        <v>0.80995608942764996</v>
      </c>
      <c r="G4671">
        <v>0.56727416687691501</v>
      </c>
      <c r="H4671">
        <v>0.38652785612693402</v>
      </c>
      <c r="I4671">
        <v>0.38590343744657202</v>
      </c>
      <c r="J4671">
        <v>0.36512723554965798</v>
      </c>
      <c r="K4671">
        <v>0.29950647302431199</v>
      </c>
      <c r="L4671">
        <v>1343.5508745459699</v>
      </c>
      <c r="M4671">
        <v>24.253550328516699</v>
      </c>
      <c r="N4671">
        <v>58.037415966771697</v>
      </c>
      <c r="O4671">
        <v>55.023548019141401</v>
      </c>
      <c r="P4671">
        <v>-7.3370124341861201E-2</v>
      </c>
      <c r="Q4671">
        <v>0.33419645215052401</v>
      </c>
      <c r="R4671">
        <v>0.989969546138184</v>
      </c>
      <c r="S4671" t="s">
        <v>11287</v>
      </c>
      <c r="T4671" t="s">
        <v>13232</v>
      </c>
      <c r="U4671" t="s">
        <v>13232</v>
      </c>
      <c r="V4671" t="s">
        <v>13232</v>
      </c>
      <c r="W4671" t="s">
        <v>14024</v>
      </c>
      <c r="X4671">
        <v>48</v>
      </c>
      <c r="Y4671" t="s">
        <v>20558</v>
      </c>
      <c r="Z4671" t="s">
        <v>30802</v>
      </c>
      <c r="AA4671">
        <v>0.68236090866538246</v>
      </c>
      <c r="AB4671" t="str">
        <f>HYPERLINK("Melting_Curves/meltCurve_Q8WWM7_ATXN2L.pdf", "Melting_Curves/meltCurve_Q8WWM7_ATXN2L.pdf")</f>
        <v>Melting_Curves/meltCurve_Q8WWM7_ATXN2L.pdf</v>
      </c>
    </row>
    <row r="4672" spans="1:28" x14ac:dyDescent="0.25">
      <c r="A4672" t="s">
        <v>4675</v>
      </c>
      <c r="B4672">
        <v>0.99930955844802105</v>
      </c>
      <c r="C4672">
        <v>0.83089614707520298</v>
      </c>
      <c r="D4672">
        <v>0.758888184409935</v>
      </c>
      <c r="E4672">
        <v>0.74369582258075895</v>
      </c>
      <c r="F4672">
        <v>0.69270167248316705</v>
      </c>
      <c r="G4672">
        <v>0.67264916966625998</v>
      </c>
      <c r="H4672">
        <v>0.79906578153071495</v>
      </c>
      <c r="I4672">
        <v>0.92228492298277798</v>
      </c>
      <c r="J4672">
        <v>0.98143817777557296</v>
      </c>
      <c r="K4672">
        <v>0.746006908537031</v>
      </c>
      <c r="L4672">
        <v>10664.530991846101</v>
      </c>
      <c r="M4672">
        <v>250</v>
      </c>
      <c r="O4672">
        <v>42.655394271717199</v>
      </c>
      <c r="P4672">
        <v>-0.30829727778882698</v>
      </c>
      <c r="Q4672">
        <v>0.78959132995202796</v>
      </c>
      <c r="R4672">
        <v>0.32309927381664899</v>
      </c>
      <c r="S4672" t="s">
        <v>11288</v>
      </c>
      <c r="T4672" t="s">
        <v>13232</v>
      </c>
      <c r="U4672" t="s">
        <v>13232</v>
      </c>
      <c r="V4672" t="s">
        <v>13232</v>
      </c>
      <c r="W4672" t="s">
        <v>17840</v>
      </c>
      <c r="X4672">
        <v>9</v>
      </c>
      <c r="Y4672" t="s">
        <v>24252</v>
      </c>
      <c r="Z4672" t="s">
        <v>30803</v>
      </c>
      <c r="AA4672">
        <v>0.80825015974975967</v>
      </c>
      <c r="AB4672" t="str">
        <f>HYPERLINK("Melting_Curves/meltCurve_Q8WWQ0_PHIP.pdf", "Melting_Curves/meltCurve_Q8WWQ0_PHIP.pdf")</f>
        <v>Melting_Curves/meltCurve_Q8WWQ0_PHIP.pdf</v>
      </c>
    </row>
    <row r="4673" spans="1:28" x14ac:dyDescent="0.25">
      <c r="A4673" t="s">
        <v>4676</v>
      </c>
      <c r="B4673">
        <v>0.99930955844802105</v>
      </c>
      <c r="C4673">
        <v>0.773157455797995</v>
      </c>
      <c r="D4673">
        <v>0.570529190690377</v>
      </c>
      <c r="E4673">
        <v>0.337637494746655</v>
      </c>
      <c r="F4673">
        <v>0.221453221747165</v>
      </c>
      <c r="G4673">
        <v>0.16862771404959301</v>
      </c>
      <c r="H4673">
        <v>0.14867735626161199</v>
      </c>
      <c r="I4673">
        <v>0.14100223049517399</v>
      </c>
      <c r="J4673">
        <v>0.13262958721316701</v>
      </c>
      <c r="K4673">
        <v>9.7393281590355193E-2</v>
      </c>
      <c r="L4673">
        <v>747.33729334065197</v>
      </c>
      <c r="M4673">
        <v>16.170183448560302</v>
      </c>
      <c r="N4673">
        <v>47.0425839403472</v>
      </c>
      <c r="O4673">
        <v>45.5274884843666</v>
      </c>
      <c r="P4673">
        <v>-7.7830240399115694E-2</v>
      </c>
      <c r="Q4673">
        <v>0.12353529359681099</v>
      </c>
      <c r="R4673">
        <v>0.99265016342675105</v>
      </c>
      <c r="S4673" t="s">
        <v>11289</v>
      </c>
      <c r="T4673" t="s">
        <v>13232</v>
      </c>
      <c r="U4673" t="s">
        <v>13232</v>
      </c>
      <c r="V4673" t="s">
        <v>13232</v>
      </c>
      <c r="W4673" t="s">
        <v>17841</v>
      </c>
      <c r="X4673">
        <v>4</v>
      </c>
      <c r="Y4673" t="s">
        <v>24253</v>
      </c>
      <c r="Z4673" t="s">
        <v>30804</v>
      </c>
      <c r="AA4673">
        <v>0.32660317879997269</v>
      </c>
      <c r="AB4673" t="str">
        <f>HYPERLINK("Melting_Curves/meltCurve_Q8WWV3_RTN4IP1.pdf", "Melting_Curves/meltCurve_Q8WWV3_RTN4IP1.pdf")</f>
        <v>Melting_Curves/meltCurve_Q8WWV3_RTN4IP1.pdf</v>
      </c>
    </row>
    <row r="4674" spans="1:28" x14ac:dyDescent="0.25">
      <c r="A4674" t="s">
        <v>4677</v>
      </c>
      <c r="B4674">
        <v>0.99930955844802105</v>
      </c>
      <c r="C4674">
        <v>1.01405312117958</v>
      </c>
      <c r="D4674">
        <v>0.91344398200070498</v>
      </c>
      <c r="E4674">
        <v>0.72214759721000099</v>
      </c>
      <c r="F4674">
        <v>0.57164292852246901</v>
      </c>
      <c r="G4674">
        <v>0.433492735466811</v>
      </c>
      <c r="H4674">
        <v>0.29875791447751499</v>
      </c>
      <c r="I4674">
        <v>0.208955068831328</v>
      </c>
      <c r="J4674">
        <v>0.13501496917619299</v>
      </c>
      <c r="K4674">
        <v>8.3077466735412095E-2</v>
      </c>
      <c r="L4674">
        <v>586.70114991521302</v>
      </c>
      <c r="M4674">
        <v>10.6560152119153</v>
      </c>
      <c r="N4674">
        <v>55.194706591168597</v>
      </c>
      <c r="O4674">
        <v>53.2253875863858</v>
      </c>
      <c r="P4674">
        <v>-4.9419348107445402E-2</v>
      </c>
      <c r="Q4674">
        <v>1.3003841458800699E-2</v>
      </c>
      <c r="R4674">
        <v>0.99304690256074601</v>
      </c>
      <c r="S4674" t="s">
        <v>11290</v>
      </c>
      <c r="T4674" t="s">
        <v>13232</v>
      </c>
      <c r="U4674" t="s">
        <v>13232</v>
      </c>
      <c r="V4674" t="s">
        <v>13232</v>
      </c>
      <c r="W4674" t="s">
        <v>17842</v>
      </c>
      <c r="X4674">
        <v>8</v>
      </c>
      <c r="Y4674" t="s">
        <v>24254</v>
      </c>
      <c r="Z4674" t="s">
        <v>30805</v>
      </c>
      <c r="AA4674">
        <v>0.533021259239573</v>
      </c>
      <c r="AB4674" t="str">
        <f>HYPERLINK("Melting_Curves/meltCurve_Q8WWW0_2_RASSF5.pdf", "Melting_Curves/meltCurve_Q8WWW0_2_RASSF5.pdf")</f>
        <v>Melting_Curves/meltCurve_Q8WWW0_2_RASSF5.pdf</v>
      </c>
    </row>
    <row r="4675" spans="1:28" x14ac:dyDescent="0.25">
      <c r="A4675" t="s">
        <v>4678</v>
      </c>
      <c r="B4675">
        <v>0.99930955844802105</v>
      </c>
      <c r="C4675">
        <v>0.85550328400817</v>
      </c>
      <c r="D4675">
        <v>0.78816311785790205</v>
      </c>
      <c r="E4675">
        <v>0.46446843439980201</v>
      </c>
      <c r="F4675">
        <v>0.254610446735338</v>
      </c>
      <c r="G4675">
        <v>0.18645937868755899</v>
      </c>
      <c r="H4675">
        <v>0.11206177241455501</v>
      </c>
      <c r="I4675">
        <v>0.100283947436866</v>
      </c>
      <c r="J4675">
        <v>9.2947863661850302E-2</v>
      </c>
      <c r="K4675">
        <v>7.1194606438138602E-2</v>
      </c>
      <c r="L4675">
        <v>779.999460430093</v>
      </c>
      <c r="M4675">
        <v>15.9388215837503</v>
      </c>
      <c r="N4675">
        <v>49.443485075742203</v>
      </c>
      <c r="O4675">
        <v>48.186189257313004</v>
      </c>
      <c r="P4675">
        <v>-7.6472449541495305E-2</v>
      </c>
      <c r="Q4675">
        <v>7.5308662667624801E-2</v>
      </c>
      <c r="R4675">
        <v>0.99434532384400798</v>
      </c>
      <c r="S4675" t="s">
        <v>11291</v>
      </c>
      <c r="T4675" t="s">
        <v>13232</v>
      </c>
      <c r="U4675" t="s">
        <v>13232</v>
      </c>
      <c r="V4675" t="s">
        <v>13232</v>
      </c>
      <c r="W4675" t="s">
        <v>17843</v>
      </c>
      <c r="X4675">
        <v>12</v>
      </c>
      <c r="Y4675" t="s">
        <v>24255</v>
      </c>
      <c r="Z4675" t="s">
        <v>30806</v>
      </c>
      <c r="AA4675">
        <v>0.37114817963995039</v>
      </c>
      <c r="AB4675" t="str">
        <f>HYPERLINK("Melting_Curves/meltCurve_Q8WWY3_PRPF31.pdf", "Melting_Curves/meltCurve_Q8WWY3_PRPF31.pdf")</f>
        <v>Melting_Curves/meltCurve_Q8WWY3_PRPF31.pdf</v>
      </c>
    </row>
    <row r="4676" spans="1:28" x14ac:dyDescent="0.25">
      <c r="A4676" t="s">
        <v>4679</v>
      </c>
      <c r="B4676">
        <v>0.99930955844802105</v>
      </c>
      <c r="C4676">
        <v>0.98322594344782799</v>
      </c>
      <c r="D4676">
        <v>1.0810888807943899</v>
      </c>
      <c r="E4676">
        <v>1.01628369442273</v>
      </c>
      <c r="F4676">
        <v>0.91474500787091395</v>
      </c>
      <c r="G4676">
        <v>0.68993938116599896</v>
      </c>
      <c r="H4676">
        <v>0.50782628337152702</v>
      </c>
      <c r="I4676">
        <v>0.44731534446595</v>
      </c>
      <c r="J4676">
        <v>0.31694718449484599</v>
      </c>
      <c r="K4676">
        <v>0.23660956026244001</v>
      </c>
      <c r="L4676">
        <v>972.26891285069098</v>
      </c>
      <c r="M4676">
        <v>16.3747887019872</v>
      </c>
      <c r="N4676">
        <v>61.373897328494699</v>
      </c>
      <c r="O4676">
        <v>58.511611089304402</v>
      </c>
      <c r="P4676">
        <v>-5.55136138309823E-2</v>
      </c>
      <c r="Q4676">
        <v>0.206595343241394</v>
      </c>
      <c r="R4676">
        <v>0.98182458174700005</v>
      </c>
      <c r="S4676" t="s">
        <v>11292</v>
      </c>
      <c r="T4676" t="s">
        <v>13232</v>
      </c>
      <c r="U4676" t="s">
        <v>13232</v>
      </c>
      <c r="V4676" t="s">
        <v>13232</v>
      </c>
      <c r="W4676" t="s">
        <v>17844</v>
      </c>
      <c r="X4676">
        <v>7</v>
      </c>
      <c r="Y4676" t="s">
        <v>24256</v>
      </c>
      <c r="Z4676" t="s">
        <v>30807</v>
      </c>
      <c r="AA4676">
        <v>0.72671304394855196</v>
      </c>
      <c r="AB4676" t="str">
        <f>HYPERLINK("Melting_Curves/meltCurve_Q8WWZ3_2_EDARADD.pdf", "Melting_Curves/meltCurve_Q8WWZ3_2_EDARADD.pdf")</f>
        <v>Melting_Curves/meltCurve_Q8WWZ3_2_EDARADD.pdf</v>
      </c>
    </row>
    <row r="4677" spans="1:28" x14ac:dyDescent="0.25">
      <c r="A4677" t="s">
        <v>4680</v>
      </c>
      <c r="B4677">
        <v>0.99930955844802105</v>
      </c>
      <c r="C4677">
        <v>1.04381060005451</v>
      </c>
      <c r="D4677">
        <v>0.96814788690268905</v>
      </c>
      <c r="E4677">
        <v>0.73127655986083895</v>
      </c>
      <c r="F4677">
        <v>0.30341055205408102</v>
      </c>
      <c r="G4677">
        <v>0.14839221284710299</v>
      </c>
      <c r="H4677">
        <v>7.8034535086546994E-2</v>
      </c>
      <c r="I4677">
        <v>6.4516444623461705E-2</v>
      </c>
      <c r="J4677">
        <v>5.35009950750115E-2</v>
      </c>
      <c r="K4677">
        <v>3.78335073653615E-2</v>
      </c>
      <c r="L4677">
        <v>1596.6881142310699</v>
      </c>
      <c r="M4677">
        <v>31.080481417500899</v>
      </c>
      <c r="N4677">
        <v>51.598050598242899</v>
      </c>
      <c r="O4677">
        <v>51.161428002337402</v>
      </c>
      <c r="P4677">
        <v>-0.14223635185362099</v>
      </c>
      <c r="Q4677">
        <v>6.3467055237573594E-2</v>
      </c>
      <c r="R4677">
        <v>0.99686460474528205</v>
      </c>
      <c r="S4677" t="s">
        <v>11293</v>
      </c>
      <c r="T4677" t="s">
        <v>13232</v>
      </c>
      <c r="U4677" t="s">
        <v>13232</v>
      </c>
      <c r="V4677" t="s">
        <v>13232</v>
      </c>
      <c r="W4677" t="s">
        <v>17845</v>
      </c>
      <c r="X4677">
        <v>22</v>
      </c>
      <c r="Y4677" t="s">
        <v>24257</v>
      </c>
      <c r="Z4677" t="s">
        <v>30808</v>
      </c>
      <c r="AA4677">
        <v>0.42401714778746769</v>
      </c>
      <c r="AB4677" t="str">
        <f>HYPERLINK("Melting_Curves/meltCurve_Q8WX92_NELFB.pdf", "Melting_Curves/meltCurve_Q8WX92_NELFB.pdf")</f>
        <v>Melting_Curves/meltCurve_Q8WX92_NELFB.pdf</v>
      </c>
    </row>
    <row r="4678" spans="1:28" x14ac:dyDescent="0.25">
      <c r="A4678" t="s">
        <v>4681</v>
      </c>
      <c r="B4678">
        <v>0.99930955844802105</v>
      </c>
      <c r="C4678">
        <v>0.85198661030097</v>
      </c>
      <c r="D4678">
        <v>0.71760700242332998</v>
      </c>
      <c r="E4678">
        <v>0.70749769787889905</v>
      </c>
      <c r="F4678">
        <v>0.58919098577285201</v>
      </c>
      <c r="G4678">
        <v>0.20473149960784701</v>
      </c>
      <c r="H4678">
        <v>9.4808113092850504E-2</v>
      </c>
      <c r="I4678">
        <v>5.3636443910230397E-2</v>
      </c>
      <c r="J4678">
        <v>3.3736895744370402E-2</v>
      </c>
      <c r="K4678">
        <v>3.8799884228843402E-2</v>
      </c>
      <c r="L4678">
        <v>650.95853489221599</v>
      </c>
      <c r="M4678">
        <v>12.4264919454445</v>
      </c>
      <c r="N4678">
        <v>52.384759099329898</v>
      </c>
      <c r="O4678">
        <v>51.0835899851985</v>
      </c>
      <c r="P4678">
        <v>-6.0827298766375097E-2</v>
      </c>
      <c r="Q4678">
        <v>0</v>
      </c>
      <c r="R4678">
        <v>0.95830848596544704</v>
      </c>
      <c r="S4678" t="s">
        <v>11294</v>
      </c>
      <c r="T4678" t="s">
        <v>13232</v>
      </c>
      <c r="U4678" t="s">
        <v>13232</v>
      </c>
      <c r="V4678" t="s">
        <v>13232</v>
      </c>
      <c r="W4678" t="s">
        <v>17846</v>
      </c>
      <c r="X4678">
        <v>4</v>
      </c>
      <c r="Y4678" t="s">
        <v>24258</v>
      </c>
      <c r="Z4678" t="s">
        <v>30809</v>
      </c>
      <c r="AA4678">
        <v>0.4413623582260468</v>
      </c>
      <c r="AB4678" t="str">
        <f>HYPERLINK("Melting_Curves/meltCurve_Q8WXA3_2_RUFY2.pdf", "Melting_Curves/meltCurve_Q8WXA3_2_RUFY2.pdf")</f>
        <v>Melting_Curves/meltCurve_Q8WXA3_2_RUFY2.pdf</v>
      </c>
    </row>
    <row r="4679" spans="1:28" x14ac:dyDescent="0.25">
      <c r="A4679" t="s">
        <v>4682</v>
      </c>
      <c r="B4679">
        <v>0.99930955844802105</v>
      </c>
      <c r="C4679">
        <v>1.0280925925864199</v>
      </c>
      <c r="D4679">
        <v>0.990304402955418</v>
      </c>
      <c r="E4679">
        <v>0.97242481597327302</v>
      </c>
      <c r="F4679">
        <v>0.73439943648751005</v>
      </c>
      <c r="G4679">
        <v>0.50247795178213595</v>
      </c>
      <c r="H4679">
        <v>0.42962246778379798</v>
      </c>
      <c r="I4679">
        <v>0.41347661730088803</v>
      </c>
      <c r="J4679">
        <v>0.43284345923043299</v>
      </c>
      <c r="K4679">
        <v>0.32320017603789603</v>
      </c>
      <c r="L4679">
        <v>1545.2075015727</v>
      </c>
      <c r="M4679">
        <v>28.7517360194398</v>
      </c>
      <c r="N4679">
        <v>56.798031275987903</v>
      </c>
      <c r="O4679">
        <v>53.485155708745197</v>
      </c>
      <c r="P4679">
        <v>-8.1509318000044406E-2</v>
      </c>
      <c r="Q4679">
        <v>0.393497075455913</v>
      </c>
      <c r="R4679">
        <v>0.98732254241357997</v>
      </c>
      <c r="S4679" t="s">
        <v>11295</v>
      </c>
      <c r="T4679" t="s">
        <v>13232</v>
      </c>
      <c r="U4679" t="s">
        <v>13232</v>
      </c>
      <c r="V4679" t="s">
        <v>13232</v>
      </c>
      <c r="W4679" t="s">
        <v>17847</v>
      </c>
      <c r="X4679">
        <v>13</v>
      </c>
      <c r="Y4679" t="s">
        <v>24259</v>
      </c>
      <c r="Z4679" t="s">
        <v>30810</v>
      </c>
      <c r="AA4679">
        <v>0.67564915565653227</v>
      </c>
      <c r="AB4679" t="str">
        <f>HYPERLINK("Melting_Curves/meltCurve_Q8WXA9_2_SREK1.pdf", "Melting_Curves/meltCurve_Q8WXA9_2_SREK1.pdf")</f>
        <v>Melting_Curves/meltCurve_Q8WXA9_2_SREK1.pdf</v>
      </c>
    </row>
    <row r="4680" spans="1:28" x14ac:dyDescent="0.25">
      <c r="A4680" t="s">
        <v>4683</v>
      </c>
      <c r="B4680">
        <v>0.99930955844802105</v>
      </c>
      <c r="C4680">
        <v>0.97945012503488404</v>
      </c>
      <c r="D4680">
        <v>1.00353975174558</v>
      </c>
      <c r="E4680">
        <v>0.93192709100094095</v>
      </c>
      <c r="F4680">
        <v>0.74645657775073704</v>
      </c>
      <c r="G4680">
        <v>0.42495478704591</v>
      </c>
      <c r="H4680">
        <v>0.12713778227404199</v>
      </c>
      <c r="I4680">
        <v>7.6260644977756198E-2</v>
      </c>
      <c r="J4680">
        <v>5.6973637478989897E-2</v>
      </c>
      <c r="K4680">
        <v>4.26414286487692E-2</v>
      </c>
      <c r="L4680">
        <v>1216.9073423648899</v>
      </c>
      <c r="M4680">
        <v>21.8163574568805</v>
      </c>
      <c r="N4680">
        <v>55.904868898484899</v>
      </c>
      <c r="O4680">
        <v>55.317268067465399</v>
      </c>
      <c r="P4680">
        <v>-9.6246237936702894E-2</v>
      </c>
      <c r="Q4680">
        <v>2.3859832366434498E-2</v>
      </c>
      <c r="R4680">
        <v>0.99859469305201998</v>
      </c>
      <c r="S4680" t="s">
        <v>11296</v>
      </c>
      <c r="T4680" t="s">
        <v>13232</v>
      </c>
      <c r="U4680" t="s">
        <v>13232</v>
      </c>
      <c r="V4680" t="s">
        <v>13232</v>
      </c>
      <c r="W4680" t="s">
        <v>17848</v>
      </c>
      <c r="X4680">
        <v>5</v>
      </c>
      <c r="Y4680" t="s">
        <v>24260</v>
      </c>
      <c r="Z4680" t="s">
        <v>30811</v>
      </c>
      <c r="AA4680">
        <v>0.54847159017146807</v>
      </c>
      <c r="AB4680" t="str">
        <f>HYPERLINK("Melting_Curves/meltCurve_Q8WXB1_METTL21A.pdf", "Melting_Curves/meltCurve_Q8WXB1_METTL21A.pdf")</f>
        <v>Melting_Curves/meltCurve_Q8WXB1_METTL21A.pdf</v>
      </c>
    </row>
    <row r="4681" spans="1:28" x14ac:dyDescent="0.25">
      <c r="A4681" t="s">
        <v>4684</v>
      </c>
      <c r="B4681">
        <v>0.99930955844802105</v>
      </c>
      <c r="C4681">
        <v>0.962540726598757</v>
      </c>
      <c r="D4681">
        <v>0.98101664656394305</v>
      </c>
      <c r="E4681">
        <v>0.88614310181203704</v>
      </c>
      <c r="F4681">
        <v>0.75981231068673505</v>
      </c>
      <c r="G4681">
        <v>0.60876083351208499</v>
      </c>
      <c r="H4681">
        <v>0.36108440135773201</v>
      </c>
      <c r="I4681">
        <v>0.26838212055512001</v>
      </c>
      <c r="J4681">
        <v>0.195194554263658</v>
      </c>
      <c r="K4681">
        <v>0.150012919571967</v>
      </c>
      <c r="L4681">
        <v>728.92847549887097</v>
      </c>
      <c r="M4681">
        <v>12.556190791412501</v>
      </c>
      <c r="N4681">
        <v>58.482854888950897</v>
      </c>
      <c r="O4681">
        <v>56.639818307245299</v>
      </c>
      <c r="P4681">
        <v>-5.2990807544718702E-2</v>
      </c>
      <c r="Q4681">
        <v>4.4046729080902999E-2</v>
      </c>
      <c r="R4681">
        <v>0.99746745318764396</v>
      </c>
      <c r="S4681" t="s">
        <v>11297</v>
      </c>
      <c r="T4681" t="s">
        <v>13232</v>
      </c>
      <c r="U4681" t="s">
        <v>13232</v>
      </c>
      <c r="V4681" t="s">
        <v>13232</v>
      </c>
      <c r="W4681" t="s">
        <v>17849</v>
      </c>
      <c r="X4681">
        <v>5</v>
      </c>
      <c r="Y4681" t="s">
        <v>24261</v>
      </c>
      <c r="Z4681" t="s">
        <v>30812</v>
      </c>
      <c r="AA4681">
        <v>0.6316081543721066</v>
      </c>
      <c r="AB4681" t="str">
        <f>HYPERLINK("Melting_Curves/meltCurve_Q8WXD5_GEMIN6.pdf", "Melting_Curves/meltCurve_Q8WXD5_GEMIN6.pdf")</f>
        <v>Melting_Curves/meltCurve_Q8WXD5_GEMIN6.pdf</v>
      </c>
    </row>
    <row r="4682" spans="1:28" x14ac:dyDescent="0.25">
      <c r="A4682" t="s">
        <v>4685</v>
      </c>
      <c r="B4682">
        <v>0.99930955844802105</v>
      </c>
      <c r="C4682">
        <v>1.04326335817017</v>
      </c>
      <c r="D4682">
        <v>0.99026230069033205</v>
      </c>
      <c r="E4682">
        <v>1.01567639705669</v>
      </c>
      <c r="F4682">
        <v>0.87799940993860304</v>
      </c>
      <c r="G4682">
        <v>0.87201415951104599</v>
      </c>
      <c r="H4682">
        <v>0.90785988379972304</v>
      </c>
      <c r="I4682">
        <v>1.0727720029672401</v>
      </c>
      <c r="J4682">
        <v>1.2130208903591999</v>
      </c>
      <c r="K4682">
        <v>0.78181911605169796</v>
      </c>
      <c r="L4682">
        <v>15000</v>
      </c>
      <c r="M4682">
        <v>213.00927625227499</v>
      </c>
      <c r="Q4682">
        <v>0</v>
      </c>
      <c r="R4682">
        <v>0.31440251516053502</v>
      </c>
      <c r="S4682" t="s">
        <v>11298</v>
      </c>
      <c r="T4682" t="s">
        <v>13232</v>
      </c>
      <c r="U4682" t="s">
        <v>13232</v>
      </c>
      <c r="V4682" t="s">
        <v>13232</v>
      </c>
      <c r="W4682" t="s">
        <v>17850</v>
      </c>
      <c r="X4682">
        <v>9</v>
      </c>
      <c r="Y4682" t="s">
        <v>24262</v>
      </c>
      <c r="Z4682" t="s">
        <v>30813</v>
      </c>
      <c r="AA4682">
        <v>0.99734644281092732</v>
      </c>
      <c r="AB4682" t="str">
        <f>HYPERLINK("Melting_Curves/meltCurve_Q8WXE0_2_CASKIN2.pdf", "Melting_Curves/meltCurve_Q8WXE0_2_CASKIN2.pdf")</f>
        <v>Melting_Curves/meltCurve_Q8WXE0_2_CASKIN2.pdf</v>
      </c>
    </row>
    <row r="4683" spans="1:28" x14ac:dyDescent="0.25">
      <c r="A4683" t="s">
        <v>4686</v>
      </c>
      <c r="B4683">
        <v>0.99930955844802105</v>
      </c>
      <c r="C4683">
        <v>0.58772263477429498</v>
      </c>
      <c r="D4683">
        <v>0.56421482753821295</v>
      </c>
      <c r="E4683">
        <v>0.42983664556428303</v>
      </c>
      <c r="F4683">
        <v>0.25881478259020002</v>
      </c>
      <c r="G4683">
        <v>0.18293242598575099</v>
      </c>
      <c r="H4683">
        <v>8.0673034557988396E-2</v>
      </c>
      <c r="I4683">
        <v>5.752480723312E-2</v>
      </c>
      <c r="J4683">
        <v>4.2076565757167603E-2</v>
      </c>
      <c r="K4683">
        <v>3.4195472858890498E-2</v>
      </c>
      <c r="L4683">
        <v>461.64405547551502</v>
      </c>
      <c r="M4683">
        <v>9.7535459028221894</v>
      </c>
      <c r="N4683">
        <v>47.330896049235598</v>
      </c>
      <c r="O4683">
        <v>45.4698466929296</v>
      </c>
      <c r="P4683">
        <v>-5.3655113224479099E-2</v>
      </c>
      <c r="Q4683">
        <v>0</v>
      </c>
      <c r="R4683">
        <v>0.94961365205114401</v>
      </c>
      <c r="S4683" t="s">
        <v>11299</v>
      </c>
      <c r="T4683" t="s">
        <v>13232</v>
      </c>
      <c r="U4683" t="s">
        <v>13232</v>
      </c>
      <c r="V4683" t="s">
        <v>13232</v>
      </c>
      <c r="W4683" t="s">
        <v>17851</v>
      </c>
      <c r="X4683">
        <v>2</v>
      </c>
      <c r="Y4683" t="s">
        <v>24263</v>
      </c>
      <c r="Z4683" t="s">
        <v>30814</v>
      </c>
      <c r="AA4683">
        <v>0.30250770686769263</v>
      </c>
      <c r="AB4683" t="str">
        <f>HYPERLINK("Melting_Curves/meltCurve_Q8WXE1_5_ATRIP.pdf", "Melting_Curves/meltCurve_Q8WXE1_5_ATRIP.pdf")</f>
        <v>Melting_Curves/meltCurve_Q8WXE1_5_ATRIP.pdf</v>
      </c>
    </row>
    <row r="4684" spans="1:28" x14ac:dyDescent="0.25">
      <c r="A4684" t="s">
        <v>4687</v>
      </c>
      <c r="B4684">
        <v>0.99930955844802105</v>
      </c>
      <c r="C4684">
        <v>0.64770201282193296</v>
      </c>
      <c r="D4684">
        <v>0.27953142320921898</v>
      </c>
      <c r="E4684">
        <v>0.19440176381627</v>
      </c>
      <c r="F4684">
        <v>0.119106529318867</v>
      </c>
      <c r="G4684">
        <v>7.3237309258814207E-2</v>
      </c>
      <c r="H4684">
        <v>4.6049947716497001E-2</v>
      </c>
      <c r="I4684">
        <v>3.9192236678639997E-2</v>
      </c>
      <c r="J4684">
        <v>3.1430884129369403E-2</v>
      </c>
      <c r="K4684">
        <v>3.1721707835109497E-2</v>
      </c>
      <c r="L4684">
        <v>1081.6956347177199</v>
      </c>
      <c r="M4684">
        <v>24.591719981119802</v>
      </c>
      <c r="N4684">
        <v>44.231035073834001</v>
      </c>
      <c r="O4684">
        <v>43.698402664038603</v>
      </c>
      <c r="P4684">
        <v>-0.131738479970503</v>
      </c>
      <c r="Q4684">
        <v>6.3639544321678801E-2</v>
      </c>
      <c r="R4684">
        <v>0.98060321585006804</v>
      </c>
      <c r="S4684" t="s">
        <v>11300</v>
      </c>
      <c r="T4684" t="s">
        <v>13232</v>
      </c>
      <c r="U4684" t="s">
        <v>13232</v>
      </c>
      <c r="V4684" t="s">
        <v>13232</v>
      </c>
      <c r="W4684" t="s">
        <v>17852</v>
      </c>
      <c r="X4684">
        <v>8</v>
      </c>
      <c r="Y4684" t="s">
        <v>24264</v>
      </c>
      <c r="Z4684" t="s">
        <v>30815</v>
      </c>
      <c r="AA4684">
        <v>0.19924617610643941</v>
      </c>
      <c r="AB4684" t="str">
        <f>HYPERLINK("Melting_Curves/meltCurve_Q8WXE9_STON2.pdf", "Melting_Curves/meltCurve_Q8WXE9_STON2.pdf")</f>
        <v>Melting_Curves/meltCurve_Q8WXE9_STON2.pdf</v>
      </c>
    </row>
    <row r="4685" spans="1:28" x14ac:dyDescent="0.25">
      <c r="A4685" t="s">
        <v>4688</v>
      </c>
      <c r="B4685">
        <v>0.99930955844802105</v>
      </c>
      <c r="C4685">
        <v>1.04543202763808</v>
      </c>
      <c r="D4685">
        <v>1.0023392657369501</v>
      </c>
      <c r="E4685">
        <v>0.83040485693963695</v>
      </c>
      <c r="F4685">
        <v>0.548617101960024</v>
      </c>
      <c r="G4685">
        <v>0.34043512778103202</v>
      </c>
      <c r="H4685">
        <v>0.242290825446625</v>
      </c>
      <c r="I4685">
        <v>0.241418154797091</v>
      </c>
      <c r="J4685">
        <v>0.242102762914745</v>
      </c>
      <c r="K4685">
        <v>0.18491904029409501</v>
      </c>
      <c r="L4685">
        <v>1311.13228184178</v>
      </c>
      <c r="M4685">
        <v>24.973802182234</v>
      </c>
      <c r="N4685">
        <v>53.761831660079103</v>
      </c>
      <c r="O4685">
        <v>52.167155762660201</v>
      </c>
      <c r="P4685">
        <v>-9.3146035005675795E-2</v>
      </c>
      <c r="Q4685">
        <v>0.22172875291994901</v>
      </c>
      <c r="R4685">
        <v>0.99523440275877395</v>
      </c>
      <c r="S4685" t="s">
        <v>11301</v>
      </c>
      <c r="T4685" t="s">
        <v>13232</v>
      </c>
      <c r="U4685" t="s">
        <v>13232</v>
      </c>
      <c r="V4685" t="s">
        <v>13232</v>
      </c>
      <c r="W4685" t="s">
        <v>17853</v>
      </c>
      <c r="X4685">
        <v>27</v>
      </c>
      <c r="Y4685" t="s">
        <v>24265</v>
      </c>
      <c r="Z4685" t="s">
        <v>30816</v>
      </c>
      <c r="AA4685">
        <v>0.55316828639509541</v>
      </c>
      <c r="AB4685" t="str">
        <f>HYPERLINK("Melting_Curves/meltCurve_Q8WXF1_PSPC1.pdf", "Melting_Curves/meltCurve_Q8WXF1_PSPC1.pdf")</f>
        <v>Melting_Curves/meltCurve_Q8WXF1_PSPC1.pdf</v>
      </c>
    </row>
    <row r="4686" spans="1:28" x14ac:dyDescent="0.25">
      <c r="A4686" t="s">
        <v>4689</v>
      </c>
      <c r="B4686">
        <v>0.99930955844802105</v>
      </c>
      <c r="C4686">
        <v>0.924082381545693</v>
      </c>
      <c r="D4686">
        <v>0.79419842953589403</v>
      </c>
      <c r="E4686">
        <v>0.56929928486742998</v>
      </c>
      <c r="F4686">
        <v>0.36504506012549198</v>
      </c>
      <c r="G4686">
        <v>0.29097233932234601</v>
      </c>
      <c r="H4686">
        <v>0.20310030771259899</v>
      </c>
      <c r="I4686">
        <v>0.18639648452365101</v>
      </c>
      <c r="J4686">
        <v>0.17662770365442501</v>
      </c>
      <c r="K4686">
        <v>0.141770257831668</v>
      </c>
      <c r="L4686">
        <v>729.77937239663004</v>
      </c>
      <c r="M4686">
        <v>14.6846967388044</v>
      </c>
      <c r="N4686">
        <v>50.942963662658002</v>
      </c>
      <c r="O4686">
        <v>48.802271367378601</v>
      </c>
      <c r="P4686">
        <v>-6.3880293398965102E-2</v>
      </c>
      <c r="Q4686">
        <v>0.15090895631533999</v>
      </c>
      <c r="R4686">
        <v>0.99714465864344404</v>
      </c>
      <c r="S4686" t="s">
        <v>11302</v>
      </c>
      <c r="T4686" t="s">
        <v>13232</v>
      </c>
      <c r="U4686" t="s">
        <v>13232</v>
      </c>
      <c r="V4686" t="s">
        <v>13232</v>
      </c>
      <c r="W4686" t="s">
        <v>17854</v>
      </c>
      <c r="X4686">
        <v>13</v>
      </c>
      <c r="Y4686" t="s">
        <v>24266</v>
      </c>
      <c r="Z4686" t="s">
        <v>30817</v>
      </c>
      <c r="AA4686">
        <v>0.44659747496747487</v>
      </c>
      <c r="AB4686" t="str">
        <f>HYPERLINK("Melting_Curves/meltCurve_Q8WXG6_8_MADD.pdf", "Melting_Curves/meltCurve_Q8WXG6_8_MADD.pdf")</f>
        <v>Melting_Curves/meltCurve_Q8WXG6_8_MADD.pdf</v>
      </c>
    </row>
    <row r="4687" spans="1:28" x14ac:dyDescent="0.25">
      <c r="A4687" t="s">
        <v>4690</v>
      </c>
      <c r="B4687">
        <v>0.99930955844802105</v>
      </c>
      <c r="C4687">
        <v>0.72156714662365096</v>
      </c>
      <c r="D4687">
        <v>0.63455337569149495</v>
      </c>
      <c r="E4687">
        <v>0.41227709610341301</v>
      </c>
      <c r="F4687">
        <v>0.184536939309623</v>
      </c>
      <c r="G4687">
        <v>0.14111637966652199</v>
      </c>
      <c r="H4687">
        <v>0.109547636621719</v>
      </c>
      <c r="I4687">
        <v>6.3011461210269501E-2</v>
      </c>
      <c r="J4687">
        <v>5.2386745781487699E-2</v>
      </c>
      <c r="K4687">
        <v>4.3189460605315901E-2</v>
      </c>
      <c r="L4687">
        <v>604.77072115673604</v>
      </c>
      <c r="M4687">
        <v>12.7264834655144</v>
      </c>
      <c r="N4687">
        <v>47.7677154176031</v>
      </c>
      <c r="O4687">
        <v>46.393160555257602</v>
      </c>
      <c r="P4687">
        <v>-6.6407910066861406E-2</v>
      </c>
      <c r="Q4687">
        <v>3.1851444207464101E-2</v>
      </c>
      <c r="R4687">
        <v>0.981818896206057</v>
      </c>
      <c r="S4687" t="s">
        <v>11303</v>
      </c>
      <c r="T4687" t="s">
        <v>13232</v>
      </c>
      <c r="U4687" t="s">
        <v>13232</v>
      </c>
      <c r="V4687" t="s">
        <v>13232</v>
      </c>
      <c r="W4687" t="s">
        <v>17855</v>
      </c>
      <c r="X4687">
        <v>2</v>
      </c>
      <c r="Y4687" t="s">
        <v>24267</v>
      </c>
      <c r="Z4687" t="s">
        <v>30818</v>
      </c>
      <c r="AA4687">
        <v>0.3096981239466669</v>
      </c>
      <c r="AB4687" t="str">
        <f>HYPERLINK("Melting_Curves/meltCurve_Q8WXI4_2_ACOT11.pdf", "Melting_Curves/meltCurve_Q8WXI4_2_ACOT11.pdf")</f>
        <v>Melting_Curves/meltCurve_Q8WXI4_2_ACOT11.pdf</v>
      </c>
    </row>
    <row r="4688" spans="1:28" x14ac:dyDescent="0.25">
      <c r="A4688" t="s">
        <v>4691</v>
      </c>
      <c r="B4688">
        <v>0.99930955844802105</v>
      </c>
      <c r="C4688">
        <v>0.93957544088918599</v>
      </c>
      <c r="D4688">
        <v>0.864493307727073</v>
      </c>
      <c r="E4688">
        <v>0.78991645736562399</v>
      </c>
      <c r="F4688">
        <v>0.62675867504977001</v>
      </c>
      <c r="G4688">
        <v>0.47715441208646198</v>
      </c>
      <c r="H4688">
        <v>0.43112387597424801</v>
      </c>
      <c r="I4688">
        <v>0.42800750970074303</v>
      </c>
      <c r="J4688">
        <v>0.419091758986253</v>
      </c>
      <c r="K4688">
        <v>0.35595466546222199</v>
      </c>
      <c r="L4688">
        <v>663.83087665799906</v>
      </c>
      <c r="M4688">
        <v>12.834467689106299</v>
      </c>
      <c r="N4688">
        <v>57.358294918605203</v>
      </c>
      <c r="O4688">
        <v>50.5151004708787</v>
      </c>
      <c r="P4688">
        <v>-4.07655689450575E-2</v>
      </c>
      <c r="Q4688">
        <v>0.35832337410939402</v>
      </c>
      <c r="R4688">
        <v>0.98936559403010105</v>
      </c>
      <c r="S4688" t="s">
        <v>11304</v>
      </c>
      <c r="T4688" t="s">
        <v>13232</v>
      </c>
      <c r="U4688" t="s">
        <v>13232</v>
      </c>
      <c r="V4688" t="s">
        <v>13232</v>
      </c>
      <c r="W4688" t="s">
        <v>17856</v>
      </c>
      <c r="X4688">
        <v>24</v>
      </c>
      <c r="Y4688" t="s">
        <v>24268</v>
      </c>
      <c r="Z4688" t="s">
        <v>30819</v>
      </c>
      <c r="AA4688">
        <v>0.62730799910543722</v>
      </c>
      <c r="AB4688" t="str">
        <f>HYPERLINK("Melting_Curves/meltCurve_Q8WXI9_GATAD2B.pdf", "Melting_Curves/meltCurve_Q8WXI9_GATAD2B.pdf")</f>
        <v>Melting_Curves/meltCurve_Q8WXI9_GATAD2B.pdf</v>
      </c>
    </row>
    <row r="4689" spans="1:28" x14ac:dyDescent="0.25">
      <c r="A4689" t="s">
        <v>4692</v>
      </c>
      <c r="B4689">
        <v>0.99930955844802105</v>
      </c>
      <c r="C4689">
        <v>1.0790317660703299</v>
      </c>
      <c r="D4689">
        <v>1.09323791227274</v>
      </c>
      <c r="E4689">
        <v>0.91149651835385803</v>
      </c>
      <c r="F4689">
        <v>0.84347502140211705</v>
      </c>
      <c r="G4689">
        <v>0.74111906632540603</v>
      </c>
      <c r="H4689">
        <v>0.68999707061365401</v>
      </c>
      <c r="I4689">
        <v>0.78448209246340606</v>
      </c>
      <c r="J4689">
        <v>0.72708502687468701</v>
      </c>
      <c r="K4689">
        <v>0.62246343550382999</v>
      </c>
      <c r="L4689">
        <v>1428.41209282716</v>
      </c>
      <c r="M4689">
        <v>27.182797202900598</v>
      </c>
      <c r="O4689">
        <v>52.266439140357399</v>
      </c>
      <c r="P4689">
        <v>-3.8389300598374997E-2</v>
      </c>
      <c r="Q4689">
        <v>0.70474658194044004</v>
      </c>
      <c r="R4689">
        <v>0.87453869062409495</v>
      </c>
      <c r="S4689" t="s">
        <v>11305</v>
      </c>
      <c r="T4689" t="s">
        <v>13232</v>
      </c>
      <c r="U4689" t="s">
        <v>13232</v>
      </c>
      <c r="V4689" t="s">
        <v>13232</v>
      </c>
      <c r="W4689" t="s">
        <v>17857</v>
      </c>
      <c r="X4689">
        <v>3</v>
      </c>
      <c r="Y4689" t="s">
        <v>24269</v>
      </c>
      <c r="Z4689" t="s">
        <v>30820</v>
      </c>
      <c r="AA4689">
        <v>0.83055183568086</v>
      </c>
      <c r="AB4689" t="str">
        <f>HYPERLINK("Melting_Curves/meltCurve_Q8WXR4_4_MYO3B.pdf", "Melting_Curves/meltCurve_Q8WXR4_4_MYO3B.pdf")</f>
        <v>Melting_Curves/meltCurve_Q8WXR4_4_MYO3B.pdf</v>
      </c>
    </row>
    <row r="4690" spans="1:28" x14ac:dyDescent="0.25">
      <c r="A4690" t="s">
        <v>4693</v>
      </c>
      <c r="B4690">
        <v>0.99930955844802105</v>
      </c>
      <c r="C4690">
        <v>0.74965743848006805</v>
      </c>
      <c r="D4690">
        <v>0.36607762374195402</v>
      </c>
      <c r="E4690">
        <v>0.25693532152791498</v>
      </c>
      <c r="F4690">
        <v>0.16972857535574501</v>
      </c>
      <c r="G4690">
        <v>0.119938121744204</v>
      </c>
      <c r="H4690">
        <v>7.5034858429331303E-2</v>
      </c>
      <c r="I4690">
        <v>7.0306180852866704E-2</v>
      </c>
      <c r="J4690">
        <v>4.8869910310568601E-2</v>
      </c>
      <c r="K4690">
        <v>4.7212610832124802E-2</v>
      </c>
      <c r="L4690">
        <v>912.46798150911195</v>
      </c>
      <c r="M4690">
        <v>20.326029327580699</v>
      </c>
      <c r="N4690">
        <v>45.297634475801701</v>
      </c>
      <c r="O4690">
        <v>44.463856716172998</v>
      </c>
      <c r="P4690">
        <v>-0.104768983199358</v>
      </c>
      <c r="Q4690">
        <v>8.3285653138160096E-2</v>
      </c>
      <c r="R4690">
        <v>0.97935357630477904</v>
      </c>
      <c r="S4690" t="s">
        <v>11306</v>
      </c>
      <c r="T4690" t="s">
        <v>13232</v>
      </c>
      <c r="U4690" t="s">
        <v>13232</v>
      </c>
      <c r="V4690" t="s">
        <v>13232</v>
      </c>
      <c r="W4690" t="s">
        <v>17858</v>
      </c>
      <c r="X4690">
        <v>5</v>
      </c>
      <c r="Y4690" t="s">
        <v>24270</v>
      </c>
      <c r="Z4690" t="s">
        <v>30821</v>
      </c>
      <c r="AA4690">
        <v>0.2478909595926039</v>
      </c>
      <c r="AB4690" t="str">
        <f>HYPERLINK("Melting_Curves/meltCurve_Q8WXW3_PIBF1.pdf", "Melting_Curves/meltCurve_Q8WXW3_PIBF1.pdf")</f>
        <v>Melting_Curves/meltCurve_Q8WXW3_PIBF1.pdf</v>
      </c>
    </row>
    <row r="4691" spans="1:28" x14ac:dyDescent="0.25">
      <c r="A4691" t="s">
        <v>4694</v>
      </c>
      <c r="B4691">
        <v>0.99930955844802105</v>
      </c>
      <c r="C4691">
        <v>0.98997351070531703</v>
      </c>
      <c r="D4691">
        <v>0.85289021822136502</v>
      </c>
      <c r="E4691">
        <v>0.77204825310874603</v>
      </c>
      <c r="F4691">
        <v>0.78518399455181898</v>
      </c>
      <c r="G4691">
        <v>0.80592684689471505</v>
      </c>
      <c r="H4691">
        <v>0.98625066502181502</v>
      </c>
      <c r="I4691">
        <v>1.14589670095291</v>
      </c>
      <c r="J4691">
        <v>1.4005829148084501</v>
      </c>
      <c r="K4691">
        <v>1.09941350945748</v>
      </c>
      <c r="L4691">
        <v>15000</v>
      </c>
      <c r="M4691">
        <v>234.712744555858</v>
      </c>
      <c r="O4691">
        <v>63.903267400036697</v>
      </c>
      <c r="P4691">
        <v>0.22955473729501599</v>
      </c>
      <c r="Q4691">
        <v>1.2499957554004999</v>
      </c>
      <c r="R4691">
        <v>0.41431204364899399</v>
      </c>
      <c r="S4691" t="s">
        <v>11307</v>
      </c>
      <c r="T4691" t="s">
        <v>13232</v>
      </c>
      <c r="U4691" t="s">
        <v>13232</v>
      </c>
      <c r="V4691" t="s">
        <v>13232</v>
      </c>
      <c r="W4691" t="s">
        <v>17859</v>
      </c>
      <c r="X4691">
        <v>1</v>
      </c>
      <c r="Y4691" t="s">
        <v>24270</v>
      </c>
      <c r="Z4691" t="s">
        <v>30822</v>
      </c>
      <c r="AA4691">
        <v>1.050734777421731</v>
      </c>
      <c r="AB4691" t="str">
        <f>HYPERLINK("Melting_Curves/meltCurve_Q8WXW3_2_PIBF1.pdf", "Melting_Curves/meltCurve_Q8WXW3_2_PIBF1.pdf")</f>
        <v>Melting_Curves/meltCurve_Q8WXW3_2_PIBF1.pdf</v>
      </c>
    </row>
    <row r="4692" spans="1:28" x14ac:dyDescent="0.25">
      <c r="A4692" t="s">
        <v>4695</v>
      </c>
      <c r="B4692">
        <v>0.99930955844802105</v>
      </c>
      <c r="C4692">
        <v>1.01205157566767</v>
      </c>
      <c r="D4692">
        <v>1.05926545604351</v>
      </c>
      <c r="E4692">
        <v>1.02863750835539</v>
      </c>
      <c r="F4692">
        <v>0.82918740940124003</v>
      </c>
      <c r="G4692">
        <v>0.4957198213813</v>
      </c>
      <c r="H4692">
        <v>0.288103060142405</v>
      </c>
      <c r="I4692">
        <v>0.24153026901579899</v>
      </c>
      <c r="J4692">
        <v>0.210502587068017</v>
      </c>
      <c r="K4692">
        <v>0.18079946061466001</v>
      </c>
      <c r="L4692">
        <v>1517.10576822285</v>
      </c>
      <c r="M4692">
        <v>27.144311450255898</v>
      </c>
      <c r="N4692">
        <v>56.9714878643411</v>
      </c>
      <c r="O4692">
        <v>55.589678828979302</v>
      </c>
      <c r="P4692">
        <v>-9.7504262779977799E-2</v>
      </c>
      <c r="Q4692">
        <v>0.20127974593353801</v>
      </c>
      <c r="R4692">
        <v>0.99321089464373802</v>
      </c>
      <c r="S4692" t="s">
        <v>11308</v>
      </c>
      <c r="T4692" t="s">
        <v>13232</v>
      </c>
      <c r="U4692" t="s">
        <v>13232</v>
      </c>
      <c r="V4692" t="s">
        <v>13232</v>
      </c>
      <c r="W4692" t="s">
        <v>17860</v>
      </c>
      <c r="X4692">
        <v>23</v>
      </c>
      <c r="Y4692" t="s">
        <v>24271</v>
      </c>
      <c r="Z4692" t="s">
        <v>30823</v>
      </c>
      <c r="AA4692">
        <v>0.63072020747468216</v>
      </c>
      <c r="AB4692" t="str">
        <f>HYPERLINK("Melting_Curves/meltCurve_Q8WXX5_DNAJC9.pdf", "Melting_Curves/meltCurve_Q8WXX5_DNAJC9.pdf")</f>
        <v>Melting_Curves/meltCurve_Q8WXX5_DNAJC9.pdf</v>
      </c>
    </row>
    <row r="4693" spans="1:28" x14ac:dyDescent="0.25">
      <c r="A4693" t="s">
        <v>4696</v>
      </c>
      <c r="B4693">
        <v>0.99930955844802105</v>
      </c>
      <c r="C4693">
        <v>1.0717212127103699</v>
      </c>
      <c r="D4693">
        <v>1.09002870291998</v>
      </c>
      <c r="E4693">
        <v>1.1188317213457699</v>
      </c>
      <c r="F4693">
        <v>0.94709710483555998</v>
      </c>
      <c r="G4693">
        <v>0.87420024777296201</v>
      </c>
      <c r="H4693">
        <v>0.82319988661591104</v>
      </c>
      <c r="I4693">
        <v>0.93710835629557399</v>
      </c>
      <c r="J4693">
        <v>0.95717333668168003</v>
      </c>
      <c r="K4693">
        <v>0.76401560436110705</v>
      </c>
      <c r="L4693">
        <v>13269.171214182001</v>
      </c>
      <c r="M4693">
        <v>250</v>
      </c>
      <c r="O4693">
        <v>53.073288399948702</v>
      </c>
      <c r="P4693">
        <v>-0.15174832137837899</v>
      </c>
      <c r="Q4693">
        <v>0.87113948159584498</v>
      </c>
      <c r="R4693">
        <v>0.56388835121774405</v>
      </c>
      <c r="S4693" t="s">
        <v>11309</v>
      </c>
      <c r="T4693" t="s">
        <v>13232</v>
      </c>
      <c r="U4693" t="s">
        <v>13232</v>
      </c>
      <c r="V4693" t="s">
        <v>13232</v>
      </c>
      <c r="W4693" t="s">
        <v>17861</v>
      </c>
      <c r="X4693">
        <v>5</v>
      </c>
      <c r="Y4693" t="s">
        <v>24272</v>
      </c>
      <c r="Z4693" t="s">
        <v>30824</v>
      </c>
      <c r="AA4693">
        <v>0.92732043111433926</v>
      </c>
      <c r="AB4693" t="str">
        <f>HYPERLINK("Melting_Curves/meltCurve_Q8WY91_THAP4.pdf", "Melting_Curves/meltCurve_Q8WY91_THAP4.pdf")</f>
        <v>Melting_Curves/meltCurve_Q8WY91_THAP4.pdf</v>
      </c>
    </row>
    <row r="4694" spans="1:28" x14ac:dyDescent="0.25">
      <c r="A4694" t="s">
        <v>4697</v>
      </c>
      <c r="B4694">
        <v>0.99930955844802105</v>
      </c>
      <c r="C4694">
        <v>0.79236560876114903</v>
      </c>
      <c r="D4694">
        <v>0.38131345489945401</v>
      </c>
      <c r="E4694">
        <v>0.29423101346623098</v>
      </c>
      <c r="F4694">
        <v>0.176026552420562</v>
      </c>
      <c r="G4694">
        <v>0.12938783391519201</v>
      </c>
      <c r="H4694">
        <v>8.9025937688946899E-2</v>
      </c>
      <c r="I4694">
        <v>8.7038847863857099E-2</v>
      </c>
      <c r="J4694">
        <v>8.0941787362241294E-2</v>
      </c>
      <c r="K4694">
        <v>6.0585493250145603E-2</v>
      </c>
      <c r="L4694">
        <v>920.76335125731202</v>
      </c>
      <c r="M4694">
        <v>20.4101204885275</v>
      </c>
      <c r="N4694">
        <v>45.609757566118297</v>
      </c>
      <c r="O4694">
        <v>44.68670280013</v>
      </c>
      <c r="P4694">
        <v>-0.102809712542532</v>
      </c>
      <c r="Q4694">
        <v>9.9644909376755894E-2</v>
      </c>
      <c r="R4694">
        <v>0.97706189983743497</v>
      </c>
      <c r="S4694" t="s">
        <v>11310</v>
      </c>
      <c r="T4694" t="s">
        <v>13232</v>
      </c>
      <c r="U4694" t="s">
        <v>13232</v>
      </c>
      <c r="V4694" t="s">
        <v>13232</v>
      </c>
      <c r="W4694" t="s">
        <v>17862</v>
      </c>
      <c r="X4694">
        <v>22</v>
      </c>
      <c r="Y4694" t="s">
        <v>24273</v>
      </c>
      <c r="Z4694" t="s">
        <v>30825</v>
      </c>
      <c r="AA4694">
        <v>0.26745403866736739</v>
      </c>
      <c r="AB4694" t="str">
        <f>HYPERLINK("Melting_Curves/meltCurve_Q8WYA6_CTNNBL1.pdf", "Melting_Curves/meltCurve_Q8WYA6_CTNNBL1.pdf")</f>
        <v>Melting_Curves/meltCurve_Q8WYA6_CTNNBL1.pdf</v>
      </c>
    </row>
    <row r="4695" spans="1:28" x14ac:dyDescent="0.25">
      <c r="A4695" t="s">
        <v>4698</v>
      </c>
      <c r="B4695">
        <v>0.99930955844802105</v>
      </c>
      <c r="C4695">
        <v>1.03059991261176</v>
      </c>
      <c r="D4695">
        <v>0.96689816577986798</v>
      </c>
      <c r="E4695">
        <v>1.2608645591437799</v>
      </c>
      <c r="F4695">
        <v>1.13499918638935</v>
      </c>
      <c r="G4695">
        <v>1.21949013014143</v>
      </c>
      <c r="H4695">
        <v>1.25465462345525</v>
      </c>
      <c r="I4695">
        <v>1.4288223354446199</v>
      </c>
      <c r="J4695">
        <v>1.4888839229364901</v>
      </c>
      <c r="K4695">
        <v>1.13281662034672</v>
      </c>
      <c r="L4695">
        <v>725.71293219031099</v>
      </c>
      <c r="M4695">
        <v>14.109606976383899</v>
      </c>
      <c r="O4695">
        <v>50.433865781271102</v>
      </c>
      <c r="P4695">
        <v>2.3333442453203099E-2</v>
      </c>
      <c r="Q4695">
        <v>1.3335725544668899</v>
      </c>
      <c r="R4695">
        <v>0.59528017713931003</v>
      </c>
      <c r="S4695" t="s">
        <v>11311</v>
      </c>
      <c r="T4695" t="s">
        <v>13232</v>
      </c>
      <c r="U4695" t="s">
        <v>13232</v>
      </c>
      <c r="V4695" t="s">
        <v>13232</v>
      </c>
      <c r="W4695" t="s">
        <v>17863</v>
      </c>
      <c r="X4695">
        <v>4</v>
      </c>
      <c r="Y4695" t="s">
        <v>24274</v>
      </c>
      <c r="Z4695" t="s">
        <v>30826</v>
      </c>
      <c r="AA4695">
        <v>1.198070067513858</v>
      </c>
      <c r="AB4695" t="str">
        <f>HYPERLINK("Melting_Curves/meltCurve_Q8WYB5_3_KAT6B.pdf", "Melting_Curves/meltCurve_Q8WYB5_3_KAT6B.pdf")</f>
        <v>Melting_Curves/meltCurve_Q8WYB5_3_KAT6B.pdf</v>
      </c>
    </row>
    <row r="4696" spans="1:28" x14ac:dyDescent="0.25">
      <c r="A4696" t="s">
        <v>4699</v>
      </c>
      <c r="B4696">
        <v>0.99930955844802105</v>
      </c>
      <c r="C4696">
        <v>0.99045717126503197</v>
      </c>
      <c r="D4696">
        <v>0.92314416591064297</v>
      </c>
      <c r="E4696">
        <v>0.89789088011648199</v>
      </c>
      <c r="F4696">
        <v>0.82494941167848901</v>
      </c>
      <c r="G4696">
        <v>0.66147827090252598</v>
      </c>
      <c r="H4696">
        <v>0.64579853881728</v>
      </c>
      <c r="I4696">
        <v>0.73272892015046998</v>
      </c>
      <c r="J4696">
        <v>0.74296045570553604</v>
      </c>
      <c r="K4696">
        <v>0.60219165813350295</v>
      </c>
      <c r="L4696">
        <v>962.07531456268805</v>
      </c>
      <c r="M4696">
        <v>18.6244471202236</v>
      </c>
      <c r="O4696">
        <v>51.072096801959198</v>
      </c>
      <c r="P4696">
        <v>-3.0466849831625901E-2</v>
      </c>
      <c r="Q4696">
        <v>0.66582872707125196</v>
      </c>
      <c r="R4696">
        <v>0.89186867175839502</v>
      </c>
      <c r="S4696" t="s">
        <v>11312</v>
      </c>
      <c r="T4696" t="s">
        <v>13232</v>
      </c>
      <c r="U4696" t="s">
        <v>13232</v>
      </c>
      <c r="V4696" t="s">
        <v>13232</v>
      </c>
      <c r="W4696" t="s">
        <v>17864</v>
      </c>
      <c r="X4696">
        <v>9</v>
      </c>
      <c r="Y4696" t="s">
        <v>24275</v>
      </c>
      <c r="Z4696" t="s">
        <v>30827</v>
      </c>
      <c r="AA4696">
        <v>0.80093378551404137</v>
      </c>
      <c r="AB4696" t="str">
        <f>HYPERLINK("Melting_Curves/meltCurve_Q8WYL5_4_SSH1.pdf", "Melting_Curves/meltCurve_Q8WYL5_4_SSH1.pdf")</f>
        <v>Melting_Curves/meltCurve_Q8WYL5_4_SSH1.pdf</v>
      </c>
    </row>
    <row r="4697" spans="1:28" x14ac:dyDescent="0.25">
      <c r="A4697" t="s">
        <v>4700</v>
      </c>
      <c r="B4697">
        <v>0.99930955844802105</v>
      </c>
      <c r="C4697">
        <v>1.09614806353756</v>
      </c>
      <c r="D4697">
        <v>1.03370347109017</v>
      </c>
      <c r="E4697">
        <v>0.54100596661251199</v>
      </c>
      <c r="F4697">
        <v>0.16478922314723099</v>
      </c>
      <c r="G4697">
        <v>0.124434410557982</v>
      </c>
      <c r="H4697">
        <v>6.0735704632534797E-2</v>
      </c>
      <c r="I4697">
        <v>5.3212149675313097E-2</v>
      </c>
      <c r="J4697">
        <v>4.4435752135545098E-2</v>
      </c>
      <c r="K4697">
        <v>3.2210878230936199E-2</v>
      </c>
      <c r="L4697">
        <v>2123.0771072779698</v>
      </c>
      <c r="M4697">
        <v>42.3721688744548</v>
      </c>
      <c r="N4697">
        <v>50.267625034505798</v>
      </c>
      <c r="O4697">
        <v>49.994248063276103</v>
      </c>
      <c r="P4697">
        <v>-0.19835023531375501</v>
      </c>
      <c r="Q4697">
        <v>6.3880461298946797E-2</v>
      </c>
      <c r="R4697">
        <v>0.99083958044091902</v>
      </c>
      <c r="S4697" t="s">
        <v>11313</v>
      </c>
      <c r="T4697" t="s">
        <v>13232</v>
      </c>
      <c r="U4697" t="s">
        <v>13232</v>
      </c>
      <c r="V4697" t="s">
        <v>13232</v>
      </c>
      <c r="W4697" t="s">
        <v>17865</v>
      </c>
      <c r="X4697">
        <v>5</v>
      </c>
      <c r="Y4697" t="s">
        <v>24276</v>
      </c>
      <c r="Z4697" t="s">
        <v>30828</v>
      </c>
      <c r="AA4697">
        <v>0.38209856583876223</v>
      </c>
      <c r="AB4697" t="str">
        <f>HYPERLINK("Melting_Curves/meltCurve_Q8WYN0_ATG4A.pdf", "Melting_Curves/meltCurve_Q8WYN0_ATG4A.pdf")</f>
        <v>Melting_Curves/meltCurve_Q8WYN0_ATG4A.pdf</v>
      </c>
    </row>
    <row r="4698" spans="1:28" x14ac:dyDescent="0.25">
      <c r="A4698" t="s">
        <v>4701</v>
      </c>
      <c r="B4698">
        <v>0.99930955844802105</v>
      </c>
      <c r="C4698">
        <v>1.1182810570027799</v>
      </c>
      <c r="D4698">
        <v>1.11985503909275</v>
      </c>
      <c r="E4698">
        <v>1.1845341504058899</v>
      </c>
      <c r="F4698">
        <v>1.08946351117194</v>
      </c>
      <c r="G4698">
        <v>0.97395365266237599</v>
      </c>
      <c r="H4698">
        <v>1.07746225408816</v>
      </c>
      <c r="I4698">
        <v>1.15172621528368</v>
      </c>
      <c r="J4698">
        <v>1.1840107824592101</v>
      </c>
      <c r="K4698">
        <v>0.98524626374975499</v>
      </c>
      <c r="L4698">
        <v>10283.8338427214</v>
      </c>
      <c r="M4698">
        <v>250</v>
      </c>
      <c r="O4698">
        <v>41.132702979536099</v>
      </c>
      <c r="P4698">
        <v>0.14933625737161699</v>
      </c>
      <c r="Q4698">
        <v>1.0982816625880001</v>
      </c>
      <c r="R4698">
        <v>0.15721077681197501</v>
      </c>
      <c r="S4698" t="s">
        <v>11314</v>
      </c>
      <c r="T4698" t="s">
        <v>13232</v>
      </c>
      <c r="U4698" t="s">
        <v>13232</v>
      </c>
      <c r="V4698" t="s">
        <v>13232</v>
      </c>
      <c r="W4698" t="s">
        <v>17866</v>
      </c>
      <c r="X4698">
        <v>47</v>
      </c>
      <c r="Y4698" t="s">
        <v>24277</v>
      </c>
      <c r="Z4698" t="s">
        <v>30829</v>
      </c>
      <c r="AA4698">
        <v>1.0945547269693841</v>
      </c>
      <c r="AB4698" t="str">
        <f>HYPERLINK("Melting_Curves/meltCurve_Q8WYP5_AHCTF1.pdf", "Melting_Curves/meltCurve_Q8WYP5_AHCTF1.pdf")</f>
        <v>Melting_Curves/meltCurve_Q8WYP5_AHCTF1.pdf</v>
      </c>
    </row>
    <row r="4699" spans="1:28" x14ac:dyDescent="0.25">
      <c r="A4699" t="s">
        <v>4702</v>
      </c>
      <c r="B4699">
        <v>0.99930955844802105</v>
      </c>
      <c r="C4699">
        <v>0.41868970510718201</v>
      </c>
      <c r="D4699">
        <v>0.30676707928274499</v>
      </c>
      <c r="E4699">
        <v>0.41645531195789298</v>
      </c>
      <c r="F4699">
        <v>0.30649698474846199</v>
      </c>
      <c r="G4699">
        <v>0.18050261306819099</v>
      </c>
      <c r="H4699">
        <v>9.1673780850412195E-2</v>
      </c>
      <c r="I4699">
        <v>7.8258337872852801E-2</v>
      </c>
      <c r="J4699">
        <v>8.9254032078668305E-2</v>
      </c>
      <c r="K4699">
        <v>5.8522785196184597E-2</v>
      </c>
      <c r="L4699">
        <v>524.53201487873605</v>
      </c>
      <c r="M4699">
        <v>11.978545212084599</v>
      </c>
      <c r="N4699">
        <v>44.602883456378301</v>
      </c>
      <c r="O4699">
        <v>42.622406855384703</v>
      </c>
      <c r="P4699">
        <v>-6.3380109534242807E-2</v>
      </c>
      <c r="Q4699">
        <v>9.8135131525301095E-2</v>
      </c>
      <c r="R4699">
        <v>0.81052013089280295</v>
      </c>
      <c r="S4699" t="s">
        <v>11315</v>
      </c>
      <c r="T4699" t="s">
        <v>13232</v>
      </c>
      <c r="U4699" t="s">
        <v>13232</v>
      </c>
      <c r="V4699" t="s">
        <v>13232</v>
      </c>
      <c r="W4699" t="s">
        <v>17867</v>
      </c>
      <c r="X4699">
        <v>1</v>
      </c>
      <c r="Y4699" t="s">
        <v>24278</v>
      </c>
      <c r="Z4699" t="s">
        <v>30830</v>
      </c>
      <c r="AA4699">
        <v>0.26359626413176451</v>
      </c>
      <c r="AB4699" t="str">
        <f>HYPERLINK("Melting_Curves/meltCurve_Q8WYQ0_PEX6.pdf", "Melting_Curves/meltCurve_Q8WYQ0_PEX6.pdf")</f>
        <v>Melting_Curves/meltCurve_Q8WYQ0_PEX6.pdf</v>
      </c>
    </row>
    <row r="4700" spans="1:28" x14ac:dyDescent="0.25">
      <c r="A4700" t="s">
        <v>4703</v>
      </c>
      <c r="B4700">
        <v>0.99930955844802105</v>
      </c>
      <c r="C4700">
        <v>0.998851096998011</v>
      </c>
      <c r="D4700">
        <v>0.96495564994699201</v>
      </c>
      <c r="E4700">
        <v>0.86590231441738397</v>
      </c>
      <c r="F4700">
        <v>0.69893515105795001</v>
      </c>
      <c r="G4700">
        <v>0.45208352179408401</v>
      </c>
      <c r="H4700">
        <v>0.38288884479004998</v>
      </c>
      <c r="I4700">
        <v>0.34071858619032902</v>
      </c>
      <c r="J4700">
        <v>0.33589968993119901</v>
      </c>
      <c r="K4700">
        <v>0.27450671206170602</v>
      </c>
      <c r="L4700">
        <v>1028.13536197548</v>
      </c>
      <c r="M4700">
        <v>19.155566252221199</v>
      </c>
      <c r="N4700">
        <v>56.377829507139403</v>
      </c>
      <c r="O4700">
        <v>53.098257324628001</v>
      </c>
      <c r="P4700">
        <v>-6.3085265802459503E-2</v>
      </c>
      <c r="Q4700">
        <v>0.30055049170646297</v>
      </c>
      <c r="R4700">
        <v>0.99692349528970303</v>
      </c>
      <c r="S4700" t="s">
        <v>11316</v>
      </c>
      <c r="T4700" t="s">
        <v>13232</v>
      </c>
      <c r="U4700" t="s">
        <v>13232</v>
      </c>
      <c r="V4700" t="s">
        <v>13232</v>
      </c>
      <c r="W4700" t="s">
        <v>17868</v>
      </c>
      <c r="X4700">
        <v>9</v>
      </c>
      <c r="Y4700" t="s">
        <v>24279</v>
      </c>
      <c r="Z4700" t="s">
        <v>30831</v>
      </c>
      <c r="AA4700">
        <v>0.62957713805411974</v>
      </c>
      <c r="AB4700" t="str">
        <f>HYPERLINK("Melting_Curves/meltCurve_Q8WYQ5_3_DGCR8.pdf", "Melting_Curves/meltCurve_Q8WYQ5_3_DGCR8.pdf")</f>
        <v>Melting_Curves/meltCurve_Q8WYQ5_3_DGCR8.pdf</v>
      </c>
    </row>
    <row r="4701" spans="1:28" x14ac:dyDescent="0.25">
      <c r="A4701" t="s">
        <v>4704</v>
      </c>
      <c r="B4701">
        <v>0.99930955844802105</v>
      </c>
      <c r="C4701">
        <v>0.78362184429208903</v>
      </c>
      <c r="D4701">
        <v>0.94883223508988601</v>
      </c>
      <c r="E4701">
        <v>0.68754312075366297</v>
      </c>
      <c r="F4701">
        <v>0.53817882974307396</v>
      </c>
      <c r="G4701">
        <v>0.43048162200875401</v>
      </c>
      <c r="H4701">
        <v>0.18726626488471801</v>
      </c>
      <c r="I4701">
        <v>7.5036394753362504E-2</v>
      </c>
      <c r="J4701">
        <v>6.0634403051988903E-2</v>
      </c>
      <c r="K4701">
        <v>0</v>
      </c>
      <c r="L4701">
        <v>645.25674991610504</v>
      </c>
      <c r="M4701">
        <v>11.990602893385701</v>
      </c>
      <c r="N4701">
        <v>53.813536335523303</v>
      </c>
      <c r="O4701">
        <v>52.382286334524899</v>
      </c>
      <c r="P4701">
        <v>-5.7240258033868202E-2</v>
      </c>
      <c r="Q4701">
        <v>0</v>
      </c>
      <c r="R4701">
        <v>0.96111207871357696</v>
      </c>
      <c r="S4701" t="s">
        <v>11317</v>
      </c>
      <c r="T4701" t="s">
        <v>13232</v>
      </c>
      <c r="U4701" t="s">
        <v>13232</v>
      </c>
      <c r="V4701" t="s">
        <v>13232</v>
      </c>
      <c r="W4701" t="s">
        <v>17869</v>
      </c>
      <c r="X4701">
        <v>3</v>
      </c>
      <c r="Y4701" t="s">
        <v>24280</v>
      </c>
      <c r="Z4701" t="s">
        <v>30832</v>
      </c>
      <c r="AA4701">
        <v>0.48704865364321448</v>
      </c>
      <c r="AB4701" t="str">
        <f>HYPERLINK("Melting_Curves/meltCurve_Q8WZ19_KCTD13.pdf", "Melting_Curves/meltCurve_Q8WZ19_KCTD13.pdf")</f>
        <v>Melting_Curves/meltCurve_Q8WZ19_KCTD13.pdf</v>
      </c>
    </row>
    <row r="4702" spans="1:28" x14ac:dyDescent="0.25">
      <c r="A4702" t="s">
        <v>4705</v>
      </c>
      <c r="B4702">
        <v>0.99930955844802105</v>
      </c>
      <c r="C4702">
        <v>0.98820354183989501</v>
      </c>
      <c r="D4702">
        <v>0.90892463231062803</v>
      </c>
      <c r="E4702">
        <v>0.74325929740436703</v>
      </c>
      <c r="F4702">
        <v>0.52995698975178396</v>
      </c>
      <c r="G4702">
        <v>0.42690266483058298</v>
      </c>
      <c r="H4702">
        <v>0.34278026419282498</v>
      </c>
      <c r="I4702">
        <v>0.25032862650465498</v>
      </c>
      <c r="J4702">
        <v>0.171363666192523</v>
      </c>
      <c r="K4702">
        <v>9.7903505741386301E-2</v>
      </c>
      <c r="L4702">
        <v>574.15701886567899</v>
      </c>
      <c r="M4702">
        <v>10.5296030368391</v>
      </c>
      <c r="N4702">
        <v>55.1754705854568</v>
      </c>
      <c r="O4702">
        <v>52.671317967382201</v>
      </c>
      <c r="P4702">
        <v>-4.70916444512628E-2</v>
      </c>
      <c r="Q4702">
        <v>5.8126171957474299E-2</v>
      </c>
      <c r="R4702">
        <v>0.98763094594162504</v>
      </c>
      <c r="S4702" t="s">
        <v>11318</v>
      </c>
      <c r="T4702" t="s">
        <v>13232</v>
      </c>
      <c r="U4702" t="s">
        <v>13232</v>
      </c>
      <c r="V4702" t="s">
        <v>13232</v>
      </c>
      <c r="W4702" t="s">
        <v>17870</v>
      </c>
      <c r="X4702">
        <v>9</v>
      </c>
      <c r="Y4702" t="s">
        <v>24281</v>
      </c>
      <c r="Z4702" t="s">
        <v>30833</v>
      </c>
      <c r="AA4702">
        <v>0.53981607222940198</v>
      </c>
      <c r="AB4702" t="str">
        <f>HYPERLINK("Melting_Curves/meltCurve_Q8WZ42_12_TTN.pdf", "Melting_Curves/meltCurve_Q8WZ42_12_TTN.pdf")</f>
        <v>Melting_Curves/meltCurve_Q8WZ42_12_TTN.pdf</v>
      </c>
    </row>
    <row r="4703" spans="1:28" x14ac:dyDescent="0.25">
      <c r="A4703" t="s">
        <v>4706</v>
      </c>
      <c r="B4703">
        <v>0.99930955844802105</v>
      </c>
      <c r="C4703">
        <v>1.14493764355952</v>
      </c>
      <c r="D4703">
        <v>1.11520863940475</v>
      </c>
      <c r="E4703">
        <v>1.1665646356418999</v>
      </c>
      <c r="F4703">
        <v>1.19747198567334</v>
      </c>
      <c r="G4703">
        <v>0.78865493015934196</v>
      </c>
      <c r="H4703">
        <v>0.41117406176223797</v>
      </c>
      <c r="I4703">
        <v>0.28053765739929898</v>
      </c>
      <c r="J4703">
        <v>0.157360404143018</v>
      </c>
      <c r="K4703">
        <v>9.1967184532699794E-2</v>
      </c>
      <c r="L4703">
        <v>1844.0102589339299</v>
      </c>
      <c r="M4703">
        <v>30.8873654568124</v>
      </c>
      <c r="N4703">
        <v>60.262966255502597</v>
      </c>
      <c r="O4703">
        <v>59.452543947883001</v>
      </c>
      <c r="P4703">
        <v>-0.113633839482395</v>
      </c>
      <c r="Q4703">
        <v>0.12510745725599701</v>
      </c>
      <c r="R4703">
        <v>0.93688050573088599</v>
      </c>
      <c r="S4703" t="s">
        <v>11319</v>
      </c>
      <c r="T4703" t="s">
        <v>13232</v>
      </c>
      <c r="U4703" t="s">
        <v>13232</v>
      </c>
      <c r="V4703" t="s">
        <v>13232</v>
      </c>
      <c r="W4703" t="s">
        <v>17871</v>
      </c>
      <c r="X4703">
        <v>5</v>
      </c>
      <c r="Y4703" t="s">
        <v>24281</v>
      </c>
      <c r="Z4703" t="s">
        <v>30834</v>
      </c>
      <c r="AA4703">
        <v>0.70485672862352844</v>
      </c>
      <c r="AB4703" t="str">
        <f>HYPERLINK("Melting_Curves/meltCurve_Q8WZ42_5_TTN.pdf", "Melting_Curves/meltCurve_Q8WZ42_5_TTN.pdf")</f>
        <v>Melting_Curves/meltCurve_Q8WZ42_5_TTN.pdf</v>
      </c>
    </row>
    <row r="4704" spans="1:28" x14ac:dyDescent="0.25">
      <c r="A4704" t="s">
        <v>4707</v>
      </c>
      <c r="B4704">
        <v>0.99930955844802105</v>
      </c>
      <c r="C4704">
        <v>1.0131468090495901</v>
      </c>
      <c r="D4704">
        <v>0.96662754835409403</v>
      </c>
      <c r="E4704">
        <v>0.49466452311685699</v>
      </c>
      <c r="F4704">
        <v>0.20978171524019801</v>
      </c>
      <c r="G4704">
        <v>0.138682579741703</v>
      </c>
      <c r="H4704">
        <v>9.0747969100487796E-2</v>
      </c>
      <c r="I4704">
        <v>8.1847756986446002E-2</v>
      </c>
      <c r="J4704">
        <v>6.9029593180951906E-2</v>
      </c>
      <c r="K4704">
        <v>4.0564904984825699E-2</v>
      </c>
      <c r="L4704">
        <v>1593.40980715616</v>
      </c>
      <c r="M4704">
        <v>31.9988176792945</v>
      </c>
      <c r="N4704">
        <v>50.0726687111244</v>
      </c>
      <c r="O4704">
        <v>49.602623874781301</v>
      </c>
      <c r="P4704">
        <v>-0.14820515434083201</v>
      </c>
      <c r="Q4704">
        <v>8.1050112711192904E-2</v>
      </c>
      <c r="R4704">
        <v>0.99680541735449602</v>
      </c>
      <c r="S4704" t="s">
        <v>11320</v>
      </c>
      <c r="T4704" t="s">
        <v>13232</v>
      </c>
      <c r="U4704" t="s">
        <v>13232</v>
      </c>
      <c r="V4704" t="s">
        <v>13232</v>
      </c>
      <c r="W4704" t="s">
        <v>17872</v>
      </c>
      <c r="X4704">
        <v>4</v>
      </c>
      <c r="Y4704" t="s">
        <v>24282</v>
      </c>
      <c r="Z4704" t="s">
        <v>30835</v>
      </c>
      <c r="AA4704">
        <v>0.38608533046272459</v>
      </c>
      <c r="AB4704" t="str">
        <f>HYPERLINK("Melting_Curves/meltCurve_Q8WZ82_OVCA2.pdf", "Melting_Curves/meltCurve_Q8WZ82_OVCA2.pdf")</f>
        <v>Melting_Curves/meltCurve_Q8WZ82_OVCA2.pdf</v>
      </c>
    </row>
    <row r="4705" spans="1:28" x14ac:dyDescent="0.25">
      <c r="A4705" t="s">
        <v>4708</v>
      </c>
      <c r="B4705">
        <v>0.99930955844802105</v>
      </c>
      <c r="C4705">
        <v>1.0891678153456901</v>
      </c>
      <c r="D4705">
        <v>1.08705177587969</v>
      </c>
      <c r="E4705">
        <v>1.09851084487645</v>
      </c>
      <c r="F4705">
        <v>1.0027883919226499</v>
      </c>
      <c r="G4705">
        <v>0.87901266466212702</v>
      </c>
      <c r="H4705">
        <v>0.96197328790855896</v>
      </c>
      <c r="I4705">
        <v>0.95633010734311197</v>
      </c>
      <c r="J4705">
        <v>0.98240118902853701</v>
      </c>
      <c r="K4705">
        <v>0.77051695441355295</v>
      </c>
      <c r="L4705">
        <v>3885.9385549255198</v>
      </c>
      <c r="M4705">
        <v>54.2995337282251</v>
      </c>
      <c r="Q4705">
        <v>0</v>
      </c>
      <c r="R4705">
        <v>0.53730724279108799</v>
      </c>
      <c r="S4705" t="s">
        <v>11321</v>
      </c>
      <c r="T4705" t="s">
        <v>13232</v>
      </c>
      <c r="U4705" t="s">
        <v>13232</v>
      </c>
      <c r="V4705" t="s">
        <v>13232</v>
      </c>
      <c r="W4705" t="s">
        <v>17873</v>
      </c>
      <c r="X4705">
        <v>16</v>
      </c>
      <c r="Y4705" t="s">
        <v>24283</v>
      </c>
      <c r="Z4705" t="s">
        <v>30836</v>
      </c>
      <c r="AA4705">
        <v>0.98946631172354571</v>
      </c>
      <c r="AB4705" t="str">
        <f>HYPERLINK("Melting_Curves/meltCurve_Q8WZA0_LZIC.pdf", "Melting_Curves/meltCurve_Q8WZA0_LZIC.pdf")</f>
        <v>Melting_Curves/meltCurve_Q8WZA0_LZIC.pdf</v>
      </c>
    </row>
    <row r="4706" spans="1:28" x14ac:dyDescent="0.25">
      <c r="A4706" t="s">
        <v>4709</v>
      </c>
      <c r="B4706">
        <v>0.99930955844802105</v>
      </c>
      <c r="C4706">
        <v>1.21654518886897</v>
      </c>
      <c r="D4706">
        <v>1.2251217817808899</v>
      </c>
      <c r="E4706">
        <v>1.0805971747296801</v>
      </c>
      <c r="F4706">
        <v>0.66568168281416895</v>
      </c>
      <c r="G4706">
        <v>0.46495862316141101</v>
      </c>
      <c r="H4706">
        <v>0.38773749147116199</v>
      </c>
      <c r="I4706">
        <v>0.34833773794762302</v>
      </c>
      <c r="J4706">
        <v>0.33350927916467998</v>
      </c>
      <c r="K4706">
        <v>0.25359992790062102</v>
      </c>
      <c r="L4706">
        <v>13245.6635025421</v>
      </c>
      <c r="M4706">
        <v>250</v>
      </c>
      <c r="N4706">
        <v>53.250210928049</v>
      </c>
      <c r="O4706">
        <v>52.979278812224202</v>
      </c>
      <c r="P4706">
        <v>-0.75780993862241097</v>
      </c>
      <c r="Q4706">
        <v>0.35762860151597098</v>
      </c>
      <c r="R4706">
        <v>0.90780132634767896</v>
      </c>
      <c r="S4706" t="s">
        <v>11322</v>
      </c>
      <c r="T4706" t="s">
        <v>13232</v>
      </c>
      <c r="U4706" t="s">
        <v>13232</v>
      </c>
      <c r="V4706" t="s">
        <v>13232</v>
      </c>
      <c r="W4706" t="s">
        <v>17874</v>
      </c>
      <c r="X4706">
        <v>20</v>
      </c>
      <c r="Y4706" t="s">
        <v>24284</v>
      </c>
      <c r="Z4706" t="s">
        <v>30837</v>
      </c>
      <c r="AA4706">
        <v>0.63567785202490579</v>
      </c>
      <c r="AB4706" t="str">
        <f>HYPERLINK("Melting_Curves/meltCurve_Q8WZA9_IRGQ.pdf", "Melting_Curves/meltCurve_Q8WZA9_IRGQ.pdf")</f>
        <v>Melting_Curves/meltCurve_Q8WZA9_IRGQ.pdf</v>
      </c>
    </row>
    <row r="4707" spans="1:28" x14ac:dyDescent="0.25">
      <c r="A4707" t="s">
        <v>4710</v>
      </c>
      <c r="B4707">
        <v>0.99930955844802105</v>
      </c>
      <c r="C4707">
        <v>0.86090631155268205</v>
      </c>
      <c r="D4707">
        <v>0.91356214455968399</v>
      </c>
      <c r="E4707">
        <v>1.00339792921133</v>
      </c>
      <c r="F4707">
        <v>1.05332171588957</v>
      </c>
      <c r="G4707">
        <v>0.80530380314376904</v>
      </c>
      <c r="H4707">
        <v>0.45315796965842198</v>
      </c>
      <c r="I4707">
        <v>0.39612504920243702</v>
      </c>
      <c r="J4707">
        <v>0.32261681751848698</v>
      </c>
      <c r="K4707">
        <v>0.26423140305373999</v>
      </c>
      <c r="L4707">
        <v>1922.4857294969299</v>
      </c>
      <c r="M4707">
        <v>32.690254387805602</v>
      </c>
      <c r="N4707">
        <v>60.523990189425596</v>
      </c>
      <c r="O4707">
        <v>58.590378429582401</v>
      </c>
      <c r="P4707">
        <v>-9.7365203923205496E-2</v>
      </c>
      <c r="Q4707">
        <v>0.30197695289191101</v>
      </c>
      <c r="R4707">
        <v>0.95826360582421899</v>
      </c>
      <c r="S4707" t="s">
        <v>11323</v>
      </c>
      <c r="T4707" t="s">
        <v>13232</v>
      </c>
      <c r="U4707" t="s">
        <v>13232</v>
      </c>
      <c r="V4707" t="s">
        <v>13232</v>
      </c>
      <c r="W4707" t="s">
        <v>17875</v>
      </c>
      <c r="X4707">
        <v>7</v>
      </c>
      <c r="Y4707" t="s">
        <v>24285</v>
      </c>
      <c r="Z4707" t="s">
        <v>30838</v>
      </c>
      <c r="AA4707">
        <v>0.74354197410104217</v>
      </c>
      <c r="AB4707" t="str">
        <f>HYPERLINK("Melting_Curves/meltCurve_Q92466_DDB2.pdf", "Melting_Curves/meltCurve_Q92466_DDB2.pdf")</f>
        <v>Melting_Curves/meltCurve_Q92466_DDB2.pdf</v>
      </c>
    </row>
    <row r="4708" spans="1:28" x14ac:dyDescent="0.25">
      <c r="A4708" t="s">
        <v>4711</v>
      </c>
      <c r="B4708">
        <v>0.99930955844802105</v>
      </c>
      <c r="C4708">
        <v>0.92325038065750797</v>
      </c>
      <c r="D4708">
        <v>0.91220137218099595</v>
      </c>
      <c r="E4708">
        <v>0.77964901488677596</v>
      </c>
      <c r="F4708">
        <v>0.74822152025507105</v>
      </c>
      <c r="G4708">
        <v>0.65591228412248204</v>
      </c>
      <c r="H4708">
        <v>0.64602026305216997</v>
      </c>
      <c r="I4708">
        <v>0.61637310234073694</v>
      </c>
      <c r="J4708">
        <v>0.60226241736903496</v>
      </c>
      <c r="K4708">
        <v>0.49347171752455599</v>
      </c>
      <c r="L4708">
        <v>428.12299645247703</v>
      </c>
      <c r="M4708">
        <v>8.0163649418039995</v>
      </c>
      <c r="O4708">
        <v>50.390162766235598</v>
      </c>
      <c r="P4708">
        <v>-2.06241457583583E-2</v>
      </c>
      <c r="Q4708">
        <v>0.482015175691408</v>
      </c>
      <c r="R4708">
        <v>0.96388385654225095</v>
      </c>
      <c r="S4708" t="s">
        <v>11324</v>
      </c>
      <c r="T4708" t="s">
        <v>13232</v>
      </c>
      <c r="U4708" t="s">
        <v>13232</v>
      </c>
      <c r="V4708" t="s">
        <v>13232</v>
      </c>
      <c r="W4708" t="s">
        <v>17876</v>
      </c>
      <c r="X4708">
        <v>1</v>
      </c>
      <c r="Y4708" t="s">
        <v>24286</v>
      </c>
      <c r="Z4708" t="s">
        <v>30839</v>
      </c>
      <c r="AA4708">
        <v>0.73318181690186202</v>
      </c>
      <c r="AB4708" t="str">
        <f>HYPERLINK("Melting_Curves/meltCurve_Q92481_TFAP2B.pdf", "Melting_Curves/meltCurve_Q92481_TFAP2B.pdf")</f>
        <v>Melting_Curves/meltCurve_Q92481_TFAP2B.pdf</v>
      </c>
    </row>
    <row r="4709" spans="1:28" x14ac:dyDescent="0.25">
      <c r="A4709" t="s">
        <v>4712</v>
      </c>
      <c r="B4709">
        <v>0.99930955844802105</v>
      </c>
      <c r="C4709">
        <v>0.97567887484166804</v>
      </c>
      <c r="D4709">
        <v>0.96135447307896205</v>
      </c>
      <c r="E4709">
        <v>0.670092939802299</v>
      </c>
      <c r="F4709">
        <v>0.219111574551208</v>
      </c>
      <c r="G4709">
        <v>0.15078110704987299</v>
      </c>
      <c r="H4709">
        <v>9.6148905449339295E-2</v>
      </c>
      <c r="I4709">
        <v>8.7930625157024697E-2</v>
      </c>
      <c r="J4709">
        <v>8.1558067820789601E-2</v>
      </c>
      <c r="K4709">
        <v>6.1265065296907201E-2</v>
      </c>
      <c r="L4709">
        <v>1932.70136353372</v>
      </c>
      <c r="M4709">
        <v>38.128590597258999</v>
      </c>
      <c r="N4709">
        <v>50.9548923399377</v>
      </c>
      <c r="O4709">
        <v>50.550200990200899</v>
      </c>
      <c r="P4709">
        <v>-0.17155973505402999</v>
      </c>
      <c r="Q4709">
        <v>9.0199007402789202E-2</v>
      </c>
      <c r="R4709">
        <v>0.99714605439270598</v>
      </c>
      <c r="S4709" t="s">
        <v>11325</v>
      </c>
      <c r="T4709" t="s">
        <v>13232</v>
      </c>
      <c r="U4709" t="s">
        <v>13232</v>
      </c>
      <c r="V4709" t="s">
        <v>13232</v>
      </c>
      <c r="W4709" t="s">
        <v>17877</v>
      </c>
      <c r="X4709">
        <v>40</v>
      </c>
      <c r="Y4709" t="s">
        <v>24287</v>
      </c>
      <c r="Z4709" t="s">
        <v>30840</v>
      </c>
      <c r="AA4709">
        <v>0.41787323772244978</v>
      </c>
      <c r="AB4709" t="str">
        <f>HYPERLINK("Melting_Curves/meltCurve_Q92499_DDX1.pdf", "Melting_Curves/meltCurve_Q92499_DDX1.pdf")</f>
        <v>Melting_Curves/meltCurve_Q92499_DDX1.pdf</v>
      </c>
    </row>
    <row r="4710" spans="1:28" x14ac:dyDescent="0.25">
      <c r="A4710" t="s">
        <v>4713</v>
      </c>
      <c r="B4710">
        <v>0.99930955844802105</v>
      </c>
      <c r="C4710">
        <v>0.815920141722702</v>
      </c>
      <c r="D4710">
        <v>0.67841058138545296</v>
      </c>
      <c r="E4710">
        <v>0.58072528787056599</v>
      </c>
      <c r="F4710">
        <v>0.55302922566434298</v>
      </c>
      <c r="G4710">
        <v>0.45450596817990202</v>
      </c>
      <c r="H4710">
        <v>0.23841502789272701</v>
      </c>
      <c r="I4710">
        <v>0.104698671475012</v>
      </c>
      <c r="J4710">
        <v>0.114699114527823</v>
      </c>
      <c r="K4710">
        <v>9.2128302007237206E-2</v>
      </c>
      <c r="L4710">
        <v>425.69302278244402</v>
      </c>
      <c r="M4710">
        <v>8.1003518834007604</v>
      </c>
      <c r="N4710">
        <v>52.552409948831802</v>
      </c>
      <c r="O4710">
        <v>49.6403809052429</v>
      </c>
      <c r="P4710">
        <v>-4.0839211482663298E-2</v>
      </c>
      <c r="Q4710">
        <v>0</v>
      </c>
      <c r="R4710">
        <v>0.95646395560907704</v>
      </c>
      <c r="S4710" t="s">
        <v>11326</v>
      </c>
      <c r="T4710" t="s">
        <v>13232</v>
      </c>
      <c r="U4710" t="s">
        <v>13232</v>
      </c>
      <c r="V4710" t="s">
        <v>13232</v>
      </c>
      <c r="W4710" t="s">
        <v>17878</v>
      </c>
      <c r="X4710">
        <v>2</v>
      </c>
      <c r="Y4710" t="s">
        <v>24288</v>
      </c>
      <c r="Z4710" t="s">
        <v>30841</v>
      </c>
      <c r="AA4710">
        <v>0.46160404982845538</v>
      </c>
      <c r="AB4710" t="str">
        <f>HYPERLINK("Melting_Curves/meltCurve_Q92502_STARD8.pdf", "Melting_Curves/meltCurve_Q92502_STARD8.pdf")</f>
        <v>Melting_Curves/meltCurve_Q92502_STARD8.pdf</v>
      </c>
    </row>
    <row r="4711" spans="1:28" x14ac:dyDescent="0.25">
      <c r="A4711" t="s">
        <v>4714</v>
      </c>
      <c r="B4711">
        <v>0.99930955844802105</v>
      </c>
      <c r="C4711">
        <v>0.96901037432542403</v>
      </c>
      <c r="D4711">
        <v>0.67375770601408402</v>
      </c>
      <c r="E4711">
        <v>0.912147959855927</v>
      </c>
      <c r="F4711">
        <v>0.49447055501850301</v>
      </c>
      <c r="G4711">
        <v>0.23654342837341799</v>
      </c>
      <c r="H4711">
        <v>0.15400239911848701</v>
      </c>
      <c r="I4711">
        <v>0.16454068453488199</v>
      </c>
      <c r="J4711">
        <v>0.133180975021545</v>
      </c>
      <c r="K4711">
        <v>5.5276868844739799E-2</v>
      </c>
      <c r="L4711">
        <v>727.75110548693306</v>
      </c>
      <c r="M4711">
        <v>13.7139961234205</v>
      </c>
      <c r="N4711">
        <v>53.406061921258001</v>
      </c>
      <c r="O4711">
        <v>51.976118631807701</v>
      </c>
      <c r="P4711">
        <v>-6.3216374467498601E-2</v>
      </c>
      <c r="Q4711">
        <v>4.17758574701887E-2</v>
      </c>
      <c r="R4711">
        <v>0.92280587780441203</v>
      </c>
      <c r="S4711" t="s">
        <v>11327</v>
      </c>
      <c r="T4711" t="s">
        <v>13232</v>
      </c>
      <c r="U4711" t="s">
        <v>13232</v>
      </c>
      <c r="V4711" t="s">
        <v>13232</v>
      </c>
      <c r="W4711" t="s">
        <v>17879</v>
      </c>
      <c r="X4711">
        <v>1</v>
      </c>
      <c r="Y4711" t="s">
        <v>24289</v>
      </c>
      <c r="Z4711" t="s">
        <v>30842</v>
      </c>
      <c r="AA4711">
        <v>0.48228311584761541</v>
      </c>
      <c r="AB4711" t="str">
        <f>HYPERLINK("Melting_Curves/meltCurve_Q92504_SLC39A7.pdf", "Melting_Curves/meltCurve_Q92504_SLC39A7.pdf")</f>
        <v>Melting_Curves/meltCurve_Q92504_SLC39A7.pdf</v>
      </c>
    </row>
    <row r="4712" spans="1:28" x14ac:dyDescent="0.25">
      <c r="A4712" t="s">
        <v>4715</v>
      </c>
      <c r="B4712">
        <v>0.99930955844802105</v>
      </c>
      <c r="C4712">
        <v>0.96700586299262203</v>
      </c>
      <c r="D4712">
        <v>0.94410389625850399</v>
      </c>
      <c r="E4712">
        <v>0.84696889664299702</v>
      </c>
      <c r="F4712">
        <v>0.76915241560006697</v>
      </c>
      <c r="G4712">
        <v>0.62387774311409905</v>
      </c>
      <c r="H4712">
        <v>0.454391047584007</v>
      </c>
      <c r="I4712">
        <v>0.360169961508851</v>
      </c>
      <c r="J4712">
        <v>0.26484636743652001</v>
      </c>
      <c r="K4712">
        <v>0.165996054590488</v>
      </c>
      <c r="L4712">
        <v>571.49454705563096</v>
      </c>
      <c r="M4712">
        <v>9.5682541327983106</v>
      </c>
      <c r="N4712">
        <v>59.7281875196012</v>
      </c>
      <c r="O4712">
        <v>57.293996009651799</v>
      </c>
      <c r="P4712">
        <v>-4.1774720111879701E-2</v>
      </c>
      <c r="Q4712">
        <v>0</v>
      </c>
      <c r="R4712">
        <v>0.997852972278096</v>
      </c>
      <c r="S4712" t="s">
        <v>11328</v>
      </c>
      <c r="T4712" t="s">
        <v>13232</v>
      </c>
      <c r="U4712" t="s">
        <v>13232</v>
      </c>
      <c r="V4712" t="s">
        <v>13232</v>
      </c>
      <c r="W4712" t="s">
        <v>17880</v>
      </c>
      <c r="X4712">
        <v>6</v>
      </c>
      <c r="Y4712" t="s">
        <v>24290</v>
      </c>
      <c r="Z4712" t="s">
        <v>30843</v>
      </c>
      <c r="AA4712">
        <v>0.65389210755323723</v>
      </c>
      <c r="AB4712" t="str">
        <f>HYPERLINK("Melting_Curves/meltCurve_Q92506_HSD17B8.pdf", "Melting_Curves/meltCurve_Q92506_HSD17B8.pdf")</f>
        <v>Melting_Curves/meltCurve_Q92506_HSD17B8.pdf</v>
      </c>
    </row>
    <row r="4713" spans="1:28" x14ac:dyDescent="0.25">
      <c r="A4713" t="s">
        <v>4716</v>
      </c>
      <c r="B4713">
        <v>0.99930955844802105</v>
      </c>
      <c r="C4713">
        <v>1.06119471810982</v>
      </c>
      <c r="D4713">
        <v>0.93920322544012802</v>
      </c>
      <c r="E4713">
        <v>0.80419514592597097</v>
      </c>
      <c r="F4713">
        <v>0.59441046868192204</v>
      </c>
      <c r="G4713">
        <v>0.41044782920699602</v>
      </c>
      <c r="H4713">
        <v>0.302699287214093</v>
      </c>
      <c r="I4713">
        <v>0.32182181265787302</v>
      </c>
      <c r="J4713">
        <v>0.30420537675702303</v>
      </c>
      <c r="K4713">
        <v>0.245217148549803</v>
      </c>
      <c r="L4713">
        <v>1029.0534601967199</v>
      </c>
      <c r="M4713">
        <v>19.612373646515099</v>
      </c>
      <c r="N4713">
        <v>54.693105708647998</v>
      </c>
      <c r="O4713">
        <v>51.933234372668601</v>
      </c>
      <c r="P4713">
        <v>-6.8475875707528694E-2</v>
      </c>
      <c r="Q4713">
        <v>0.27473366453704801</v>
      </c>
      <c r="R4713">
        <v>0.99158573175883402</v>
      </c>
      <c r="S4713" t="s">
        <v>11329</v>
      </c>
      <c r="T4713" t="s">
        <v>13232</v>
      </c>
      <c r="U4713" t="s">
        <v>13232</v>
      </c>
      <c r="V4713" t="s">
        <v>13232</v>
      </c>
      <c r="W4713" t="s">
        <v>17881</v>
      </c>
      <c r="X4713">
        <v>7</v>
      </c>
      <c r="Y4713" t="s">
        <v>24291</v>
      </c>
      <c r="Z4713" t="s">
        <v>30844</v>
      </c>
      <c r="AA4713">
        <v>0.5865541787522448</v>
      </c>
      <c r="AB4713" t="str">
        <f>HYPERLINK("Melting_Curves/meltCurve_Q92522_H1FX.pdf", "Melting_Curves/meltCurve_Q92522_H1FX.pdf")</f>
        <v>Melting_Curves/meltCurve_Q92522_H1FX.pdf</v>
      </c>
    </row>
    <row r="4714" spans="1:28" x14ac:dyDescent="0.25">
      <c r="A4714" t="s">
        <v>4717</v>
      </c>
      <c r="B4714">
        <v>0.99930955844802105</v>
      </c>
      <c r="C4714">
        <v>0.97202262401480799</v>
      </c>
      <c r="D4714">
        <v>0.977982449386538</v>
      </c>
      <c r="E4714">
        <v>0.77522429194785203</v>
      </c>
      <c r="F4714">
        <v>0.48260049917550302</v>
      </c>
      <c r="G4714">
        <v>0.26327838796757302</v>
      </c>
      <c r="H4714">
        <v>0.136429902927728</v>
      </c>
      <c r="I4714">
        <v>9.3737515754090894E-2</v>
      </c>
      <c r="J4714">
        <v>7.9944438943391996E-2</v>
      </c>
      <c r="K4714">
        <v>6.0347493388537003E-2</v>
      </c>
      <c r="L4714">
        <v>1044.1403162249001</v>
      </c>
      <c r="M4714">
        <v>19.7988065697668</v>
      </c>
      <c r="N4714">
        <v>53.126367875604402</v>
      </c>
      <c r="O4714">
        <v>52.208370461251199</v>
      </c>
      <c r="P4714">
        <v>-8.8415103802517797E-2</v>
      </c>
      <c r="Q4714">
        <v>6.7448480776719597E-2</v>
      </c>
      <c r="R4714">
        <v>0.99814689247704003</v>
      </c>
      <c r="S4714" t="s">
        <v>11330</v>
      </c>
      <c r="T4714" t="s">
        <v>13232</v>
      </c>
      <c r="U4714" t="s">
        <v>13232</v>
      </c>
      <c r="V4714" t="s">
        <v>13232</v>
      </c>
      <c r="W4714" t="s">
        <v>17882</v>
      </c>
      <c r="X4714">
        <v>8</v>
      </c>
      <c r="Y4714" t="s">
        <v>24292</v>
      </c>
      <c r="Z4714" t="s">
        <v>30845</v>
      </c>
      <c r="AA4714">
        <v>0.47647428449067708</v>
      </c>
      <c r="AB4714" t="str">
        <f>HYPERLINK("Melting_Curves/meltCurve_Q92526_CCT6B.pdf", "Melting_Curves/meltCurve_Q92526_CCT6B.pdf")</f>
        <v>Melting_Curves/meltCurve_Q92526_CCT6B.pdf</v>
      </c>
    </row>
    <row r="4715" spans="1:28" x14ac:dyDescent="0.25">
      <c r="A4715" t="s">
        <v>4718</v>
      </c>
      <c r="B4715">
        <v>0.99930955844802105</v>
      </c>
      <c r="C4715">
        <v>0.79365877667736895</v>
      </c>
      <c r="D4715">
        <v>0.71202369008773303</v>
      </c>
      <c r="E4715">
        <v>0.43227824749267801</v>
      </c>
      <c r="F4715">
        <v>0.23449616867755499</v>
      </c>
      <c r="G4715">
        <v>0.16577449253519799</v>
      </c>
      <c r="H4715">
        <v>0.111988019129607</v>
      </c>
      <c r="I4715">
        <v>9.9992319673888302E-2</v>
      </c>
      <c r="J4715">
        <v>9.6022746680788695E-2</v>
      </c>
      <c r="K4715">
        <v>6.9110034183783406E-2</v>
      </c>
      <c r="L4715">
        <v>681.43388015755795</v>
      </c>
      <c r="M4715">
        <v>14.152884721177401</v>
      </c>
      <c r="N4715">
        <v>48.645039490775098</v>
      </c>
      <c r="O4715">
        <v>47.217386519323199</v>
      </c>
      <c r="P4715">
        <v>-6.9899736768402401E-2</v>
      </c>
      <c r="Q4715">
        <v>6.7309913270812594E-2</v>
      </c>
      <c r="R4715">
        <v>0.99120908413725795</v>
      </c>
      <c r="S4715" t="s">
        <v>11331</v>
      </c>
      <c r="T4715" t="s">
        <v>13232</v>
      </c>
      <c r="U4715" t="s">
        <v>13232</v>
      </c>
      <c r="V4715" t="s">
        <v>13232</v>
      </c>
      <c r="W4715" t="s">
        <v>17883</v>
      </c>
      <c r="X4715">
        <v>35</v>
      </c>
      <c r="Y4715" t="s">
        <v>24293</v>
      </c>
      <c r="Z4715" t="s">
        <v>30846</v>
      </c>
      <c r="AA4715">
        <v>0.34731676615198281</v>
      </c>
      <c r="AB4715" t="str">
        <f>HYPERLINK("Melting_Curves/meltCurve_Q92538_GBF1.pdf", "Melting_Curves/meltCurve_Q92538_GBF1.pdf")</f>
        <v>Melting_Curves/meltCurve_Q92538_GBF1.pdf</v>
      </c>
    </row>
    <row r="4716" spans="1:28" x14ac:dyDescent="0.25">
      <c r="A4716" t="s">
        <v>4719</v>
      </c>
      <c r="B4716">
        <v>0.99930955844802105</v>
      </c>
      <c r="C4716">
        <v>1.06680074562663</v>
      </c>
      <c r="D4716">
        <v>1.0706688368161901</v>
      </c>
      <c r="E4716">
        <v>0.92136452851263395</v>
      </c>
      <c r="F4716">
        <v>0.634980823155609</v>
      </c>
      <c r="G4716">
        <v>0.56112067094650797</v>
      </c>
      <c r="H4716">
        <v>0.54739706125196397</v>
      </c>
      <c r="I4716">
        <v>0.604413031776454</v>
      </c>
      <c r="J4716">
        <v>0.65201560849775797</v>
      </c>
      <c r="K4716">
        <v>0.49226957847873798</v>
      </c>
      <c r="L4716">
        <v>2924.2148127462501</v>
      </c>
      <c r="M4716">
        <v>56.959349306444501</v>
      </c>
      <c r="O4716">
        <v>51.275468359974901</v>
      </c>
      <c r="P4716">
        <v>-0.119019181006008</v>
      </c>
      <c r="Q4716">
        <v>0.57143047291187299</v>
      </c>
      <c r="R4716">
        <v>0.94993132291059301</v>
      </c>
      <c r="S4716" t="s">
        <v>11332</v>
      </c>
      <c r="T4716" t="s">
        <v>13232</v>
      </c>
      <c r="U4716" t="s">
        <v>13232</v>
      </c>
      <c r="V4716" t="s">
        <v>13232</v>
      </c>
      <c r="W4716" t="s">
        <v>17884</v>
      </c>
      <c r="X4716">
        <v>36</v>
      </c>
      <c r="Y4716" t="s">
        <v>24294</v>
      </c>
      <c r="Z4716" t="s">
        <v>30847</v>
      </c>
      <c r="AA4716">
        <v>0.7341570301453032</v>
      </c>
      <c r="AB4716" t="str">
        <f>HYPERLINK("Melting_Curves/meltCurve_Q92541_RTF1.pdf", "Melting_Curves/meltCurve_Q92541_RTF1.pdf")</f>
        <v>Melting_Curves/meltCurve_Q92541_RTF1.pdf</v>
      </c>
    </row>
    <row r="4717" spans="1:28" x14ac:dyDescent="0.25">
      <c r="A4717" t="s">
        <v>4720</v>
      </c>
      <c r="B4717">
        <v>0.99930955844802105</v>
      </c>
      <c r="C4717">
        <v>1.03407267810397</v>
      </c>
      <c r="D4717">
        <v>0.75129542531702898</v>
      </c>
      <c r="E4717">
        <v>1.02601647266951</v>
      </c>
      <c r="F4717">
        <v>0.79684341153493099</v>
      </c>
      <c r="G4717">
        <v>0.66953147613615105</v>
      </c>
      <c r="H4717">
        <v>0.43061164642831801</v>
      </c>
      <c r="I4717">
        <v>0.40802723947362601</v>
      </c>
      <c r="J4717">
        <v>0.231788469954614</v>
      </c>
      <c r="K4717">
        <v>0.16767770313893801</v>
      </c>
      <c r="L4717">
        <v>659.47758289998001</v>
      </c>
      <c r="M4717">
        <v>10.922446021638301</v>
      </c>
      <c r="N4717">
        <v>60.378195670878199</v>
      </c>
      <c r="O4717">
        <v>58.460089891989902</v>
      </c>
      <c r="P4717">
        <v>-4.67251797626827E-2</v>
      </c>
      <c r="Q4717">
        <v>0</v>
      </c>
      <c r="R4717">
        <v>0.92689482320110606</v>
      </c>
      <c r="S4717" t="s">
        <v>11333</v>
      </c>
      <c r="T4717" t="s">
        <v>13232</v>
      </c>
      <c r="U4717" t="s">
        <v>13232</v>
      </c>
      <c r="V4717" t="s">
        <v>13232</v>
      </c>
      <c r="W4717" t="s">
        <v>17885</v>
      </c>
      <c r="X4717">
        <v>2</v>
      </c>
      <c r="Y4717" t="s">
        <v>24295</v>
      </c>
      <c r="Z4717" t="s">
        <v>30848</v>
      </c>
      <c r="AA4717">
        <v>0.67602027279933563</v>
      </c>
      <c r="AB4717" t="str">
        <f>HYPERLINK("Melting_Curves/meltCurve_Q92544_TM9SF4.pdf", "Melting_Curves/meltCurve_Q92544_TM9SF4.pdf")</f>
        <v>Melting_Curves/meltCurve_Q92544_TM9SF4.pdf</v>
      </c>
    </row>
    <row r="4718" spans="1:28" x14ac:dyDescent="0.25">
      <c r="A4718" t="s">
        <v>4721</v>
      </c>
      <c r="B4718">
        <v>0.99930955844802105</v>
      </c>
      <c r="C4718">
        <v>1.0797608381428001</v>
      </c>
      <c r="D4718">
        <v>0.94975125110560699</v>
      </c>
      <c r="E4718">
        <v>1.08494511854541</v>
      </c>
      <c r="F4718">
        <v>0.98986433287569497</v>
      </c>
      <c r="G4718">
        <v>0.81567580700379205</v>
      </c>
      <c r="H4718">
        <v>0.747239274586186</v>
      </c>
      <c r="I4718">
        <v>0.80729793895056301</v>
      </c>
      <c r="J4718">
        <v>0.91161919870294505</v>
      </c>
      <c r="K4718">
        <v>0.65839466276746605</v>
      </c>
      <c r="L4718">
        <v>3945.3622383557399</v>
      </c>
      <c r="M4718">
        <v>70.932747352510802</v>
      </c>
      <c r="O4718">
        <v>55.5770080633935</v>
      </c>
      <c r="P4718">
        <v>-6.9796544756899101E-2</v>
      </c>
      <c r="Q4718">
        <v>0.78125295190203004</v>
      </c>
      <c r="R4718">
        <v>0.72823354648237704</v>
      </c>
      <c r="S4718" t="s">
        <v>11334</v>
      </c>
      <c r="T4718" t="s">
        <v>13232</v>
      </c>
      <c r="U4718" t="s">
        <v>13232</v>
      </c>
      <c r="V4718" t="s">
        <v>13232</v>
      </c>
      <c r="W4718" t="s">
        <v>17886</v>
      </c>
      <c r="X4718">
        <v>2</v>
      </c>
      <c r="Y4718" t="s">
        <v>24296</v>
      </c>
      <c r="Z4718" t="s">
        <v>30849</v>
      </c>
      <c r="AA4718">
        <v>0.89542167447885845</v>
      </c>
      <c r="AB4718" t="str">
        <f>HYPERLINK("Melting_Curves/meltCurve_Q92545_TMEM131.pdf", "Melting_Curves/meltCurve_Q92545_TMEM131.pdf")</f>
        <v>Melting_Curves/meltCurve_Q92545_TMEM131.pdf</v>
      </c>
    </row>
    <row r="4719" spans="1:28" x14ac:dyDescent="0.25">
      <c r="A4719" t="s">
        <v>4722</v>
      </c>
      <c r="B4719">
        <v>0.99930955844802105</v>
      </c>
      <c r="C4719">
        <v>0.83951086799396102</v>
      </c>
      <c r="D4719">
        <v>0.71089566111365998</v>
      </c>
      <c r="E4719">
        <v>0.53454206875185994</v>
      </c>
      <c r="F4719">
        <v>0.32206190278475999</v>
      </c>
      <c r="G4719">
        <v>0.104697026674946</v>
      </c>
      <c r="H4719">
        <v>4.0564595710110403E-2</v>
      </c>
      <c r="I4719">
        <v>3.2259291119650799E-2</v>
      </c>
      <c r="J4719">
        <v>2.1416437693530101E-2</v>
      </c>
      <c r="K4719">
        <v>1.5999389485570999E-2</v>
      </c>
      <c r="L4719">
        <v>669.50221499682596</v>
      </c>
      <c r="M4719">
        <v>13.4838275363386</v>
      </c>
      <c r="N4719">
        <v>49.652237839358399</v>
      </c>
      <c r="O4719">
        <v>48.598296508273599</v>
      </c>
      <c r="P4719">
        <v>-6.9374311415318399E-2</v>
      </c>
      <c r="Q4719">
        <v>0</v>
      </c>
      <c r="R4719">
        <v>0.99022053670590704</v>
      </c>
      <c r="S4719" t="s">
        <v>11335</v>
      </c>
      <c r="T4719" t="s">
        <v>13232</v>
      </c>
      <c r="U4719" t="s">
        <v>13232</v>
      </c>
      <c r="V4719" t="s">
        <v>13232</v>
      </c>
      <c r="W4719" t="s">
        <v>17887</v>
      </c>
      <c r="X4719">
        <v>1</v>
      </c>
      <c r="Y4719" t="s">
        <v>24297</v>
      </c>
      <c r="Z4719" t="s">
        <v>30850</v>
      </c>
      <c r="AA4719">
        <v>0.35085332911299799</v>
      </c>
      <c r="AB4719" t="str">
        <f>HYPERLINK("Melting_Curves/meltCurve_Q92546_RGP1.pdf", "Melting_Curves/meltCurve_Q92546_RGP1.pdf")</f>
        <v>Melting_Curves/meltCurve_Q92546_RGP1.pdf</v>
      </c>
    </row>
    <row r="4720" spans="1:28" x14ac:dyDescent="0.25">
      <c r="A4720" t="s">
        <v>4723</v>
      </c>
      <c r="B4720">
        <v>0.99930955844802105</v>
      </c>
      <c r="C4720">
        <v>1.0677296350148</v>
      </c>
      <c r="D4720">
        <v>0.996033770179377</v>
      </c>
      <c r="E4720">
        <v>0.72964566802282804</v>
      </c>
      <c r="F4720">
        <v>0.57765837224393302</v>
      </c>
      <c r="G4720">
        <v>0.46578430390512598</v>
      </c>
      <c r="H4720">
        <v>0.40821090979492303</v>
      </c>
      <c r="I4720">
        <v>0.40399701197621002</v>
      </c>
      <c r="J4720">
        <v>0.39342968136126699</v>
      </c>
      <c r="K4720">
        <v>0.31941231520689101</v>
      </c>
      <c r="L4720">
        <v>1144.7855466503199</v>
      </c>
      <c r="M4720">
        <v>22.403846907912602</v>
      </c>
      <c r="N4720">
        <v>54.575587211465603</v>
      </c>
      <c r="O4720">
        <v>50.695826255118597</v>
      </c>
      <c r="P4720">
        <v>-6.8492331106245696E-2</v>
      </c>
      <c r="Q4720">
        <v>0.38006999586972301</v>
      </c>
      <c r="R4720">
        <v>0.98100821013627804</v>
      </c>
      <c r="S4720" t="s">
        <v>11336</v>
      </c>
      <c r="T4720" t="s">
        <v>13232</v>
      </c>
      <c r="U4720" t="s">
        <v>13232</v>
      </c>
      <c r="V4720" t="s">
        <v>13232</v>
      </c>
      <c r="W4720" t="s">
        <v>17888</v>
      </c>
      <c r="X4720">
        <v>13</v>
      </c>
      <c r="Y4720" t="s">
        <v>24298</v>
      </c>
      <c r="Z4720" t="s">
        <v>30851</v>
      </c>
      <c r="AA4720">
        <v>0.61633558831038016</v>
      </c>
      <c r="AB4720" t="str">
        <f>HYPERLINK("Melting_Curves/meltCurve_Q92547_TOPBP1.pdf", "Melting_Curves/meltCurve_Q92547_TOPBP1.pdf")</f>
        <v>Melting_Curves/meltCurve_Q92547_TOPBP1.pdf</v>
      </c>
    </row>
    <row r="4721" spans="1:28" x14ac:dyDescent="0.25">
      <c r="A4721" t="s">
        <v>4724</v>
      </c>
      <c r="B4721">
        <v>0.99930955844802105</v>
      </c>
      <c r="C4721">
        <v>1.02646855199366</v>
      </c>
      <c r="D4721">
        <v>0.69766608369507399</v>
      </c>
      <c r="E4721">
        <v>0.56149655887854</v>
      </c>
      <c r="F4721">
        <v>0.51281111211725705</v>
      </c>
      <c r="G4721">
        <v>0.38077494306568299</v>
      </c>
      <c r="H4721">
        <v>0.34652801271727302</v>
      </c>
      <c r="I4721">
        <v>0.40765287620245799</v>
      </c>
      <c r="J4721">
        <v>0.36780290921862202</v>
      </c>
      <c r="K4721">
        <v>0.288898539047452</v>
      </c>
      <c r="L4721">
        <v>819.15013564640697</v>
      </c>
      <c r="M4721">
        <v>17.1150078709843</v>
      </c>
      <c r="N4721">
        <v>51.502463184386798</v>
      </c>
      <c r="O4721">
        <v>47.2224300278192</v>
      </c>
      <c r="P4721">
        <v>-5.88181341590494E-2</v>
      </c>
      <c r="Q4721">
        <v>0.35089286427719502</v>
      </c>
      <c r="R4721">
        <v>0.95419784326893697</v>
      </c>
      <c r="S4721" t="s">
        <v>11337</v>
      </c>
      <c r="T4721" t="s">
        <v>13232</v>
      </c>
      <c r="U4721" t="s">
        <v>13232</v>
      </c>
      <c r="V4721" t="s">
        <v>13232</v>
      </c>
      <c r="W4721" t="s">
        <v>17889</v>
      </c>
      <c r="X4721">
        <v>3</v>
      </c>
      <c r="Y4721" t="s">
        <v>24299</v>
      </c>
      <c r="Z4721" t="s">
        <v>30852</v>
      </c>
      <c r="AA4721">
        <v>0.53384392819356907</v>
      </c>
      <c r="AB4721" t="str">
        <f>HYPERLINK("Melting_Curves/meltCurve_Q92551_IP6K1.pdf", "Melting_Curves/meltCurve_Q92551_IP6K1.pdf")</f>
        <v>Melting_Curves/meltCurve_Q92551_IP6K1.pdf</v>
      </c>
    </row>
    <row r="4722" spans="1:28" x14ac:dyDescent="0.25">
      <c r="A4722" t="s">
        <v>4725</v>
      </c>
      <c r="B4722">
        <v>0.99930955844802105</v>
      </c>
      <c r="C4722">
        <v>1.1545972889913401</v>
      </c>
      <c r="D4722">
        <v>1.29375817596489</v>
      </c>
      <c r="E4722">
        <v>1.0275733281287101</v>
      </c>
      <c r="F4722">
        <v>0.89161398321080498</v>
      </c>
      <c r="G4722">
        <v>0.92863642802892898</v>
      </c>
      <c r="H4722">
        <v>0.97767953912776695</v>
      </c>
      <c r="I4722">
        <v>0.76986276834322298</v>
      </c>
      <c r="J4722">
        <v>1.0140062221844699</v>
      </c>
      <c r="K4722">
        <v>0.71756425831878701</v>
      </c>
      <c r="L4722">
        <v>674.24375997857896</v>
      </c>
      <c r="M4722">
        <v>8.3570719597811607</v>
      </c>
      <c r="Q4722">
        <v>0</v>
      </c>
      <c r="R4722">
        <v>0.32132121293169602</v>
      </c>
      <c r="S4722" t="s">
        <v>11338</v>
      </c>
      <c r="T4722" t="s">
        <v>13232</v>
      </c>
      <c r="U4722" t="s">
        <v>13232</v>
      </c>
      <c r="V4722" t="s">
        <v>13232</v>
      </c>
      <c r="W4722" t="s">
        <v>17890</v>
      </c>
      <c r="X4722">
        <v>6</v>
      </c>
      <c r="Y4722" t="s">
        <v>24300</v>
      </c>
      <c r="Z4722" t="s">
        <v>30853</v>
      </c>
      <c r="AA4722">
        <v>0.95046230790393027</v>
      </c>
      <c r="AB4722" t="str">
        <f>HYPERLINK("Melting_Curves/meltCurve_Q92552_MRPS27.pdf", "Melting_Curves/meltCurve_Q92552_MRPS27.pdf")</f>
        <v>Melting_Curves/meltCurve_Q92552_MRPS27.pdf</v>
      </c>
    </row>
    <row r="4723" spans="1:28" x14ac:dyDescent="0.25">
      <c r="A4723" t="s">
        <v>4726</v>
      </c>
      <c r="B4723">
        <v>0.99930955844802105</v>
      </c>
      <c r="C4723">
        <v>0.91948080145078603</v>
      </c>
      <c r="D4723">
        <v>0.905999682881374</v>
      </c>
      <c r="E4723">
        <v>0.86641007287651395</v>
      </c>
      <c r="F4723">
        <v>0.61063309238177799</v>
      </c>
      <c r="G4723">
        <v>0.41940491949460801</v>
      </c>
      <c r="H4723">
        <v>0.346337508430208</v>
      </c>
      <c r="I4723">
        <v>0.37224405142104899</v>
      </c>
      <c r="J4723">
        <v>0.33099465828211599</v>
      </c>
      <c r="K4723">
        <v>0.25312728196539502</v>
      </c>
      <c r="L4723">
        <v>939.91651767051997</v>
      </c>
      <c r="M4723">
        <v>17.8133131278334</v>
      </c>
      <c r="N4723">
        <v>55.510696254200496</v>
      </c>
      <c r="O4723">
        <v>52.113333569497399</v>
      </c>
      <c r="P4723">
        <v>-6.0432759443807001E-2</v>
      </c>
      <c r="Q4723">
        <v>0.29284557674420097</v>
      </c>
      <c r="R4723">
        <v>0.97834579265478505</v>
      </c>
      <c r="S4723" t="s">
        <v>11339</v>
      </c>
      <c r="T4723" t="s">
        <v>13232</v>
      </c>
      <c r="U4723" t="s">
        <v>13232</v>
      </c>
      <c r="V4723" t="s">
        <v>13232</v>
      </c>
      <c r="W4723" t="s">
        <v>17891</v>
      </c>
      <c r="X4723">
        <v>7</v>
      </c>
      <c r="Y4723" t="s">
        <v>24301</v>
      </c>
      <c r="Z4723" t="s">
        <v>30854</v>
      </c>
      <c r="AA4723">
        <v>0.60556294915171993</v>
      </c>
      <c r="AB4723" t="str">
        <f>HYPERLINK("Melting_Curves/meltCurve_Q92558_WASF1.pdf", "Melting_Curves/meltCurve_Q92558_WASF1.pdf")</f>
        <v>Melting_Curves/meltCurve_Q92558_WASF1.pdf</v>
      </c>
    </row>
    <row r="4724" spans="1:28" x14ac:dyDescent="0.25">
      <c r="A4724" t="s">
        <v>4727</v>
      </c>
      <c r="B4724">
        <v>0.99930955844802105</v>
      </c>
      <c r="C4724">
        <v>1.0423048576426699</v>
      </c>
      <c r="D4724">
        <v>1.0324656167011701</v>
      </c>
      <c r="E4724">
        <v>0.93085322440106799</v>
      </c>
      <c r="F4724">
        <v>0.61141592878306195</v>
      </c>
      <c r="G4724">
        <v>0.31292949415072002</v>
      </c>
      <c r="H4724">
        <v>0.23523879542020501</v>
      </c>
      <c r="I4724">
        <v>0.22696685278200401</v>
      </c>
      <c r="J4724">
        <v>0.20350754642692201</v>
      </c>
      <c r="K4724">
        <v>0.17062594416115201</v>
      </c>
      <c r="L4724">
        <v>1692.01965679819</v>
      </c>
      <c r="M4724">
        <v>31.791356349126399</v>
      </c>
      <c r="N4724">
        <v>54.133924154923903</v>
      </c>
      <c r="O4724">
        <v>53.013372272209203</v>
      </c>
      <c r="P4724">
        <v>-0.1188557441825</v>
      </c>
      <c r="Q4724">
        <v>0.20721706407593801</v>
      </c>
      <c r="R4724">
        <v>0.99530521838242603</v>
      </c>
      <c r="S4724" t="s">
        <v>11340</v>
      </c>
      <c r="T4724" t="s">
        <v>13232</v>
      </c>
      <c r="U4724" t="s">
        <v>13232</v>
      </c>
      <c r="V4724" t="s">
        <v>13232</v>
      </c>
      <c r="W4724" t="s">
        <v>17892</v>
      </c>
      <c r="X4724">
        <v>17</v>
      </c>
      <c r="Y4724" t="s">
        <v>24302</v>
      </c>
      <c r="Z4724" t="s">
        <v>30855</v>
      </c>
      <c r="AA4724">
        <v>0.5612419512088328</v>
      </c>
      <c r="AB4724" t="str">
        <f>HYPERLINK("Melting_Curves/meltCurve_Q92560_BAP1.pdf", "Melting_Curves/meltCurve_Q92560_BAP1.pdf")</f>
        <v>Melting_Curves/meltCurve_Q92560_BAP1.pdf</v>
      </c>
    </row>
    <row r="4725" spans="1:28" x14ac:dyDescent="0.25">
      <c r="A4725" t="s">
        <v>4728</v>
      </c>
      <c r="B4725">
        <v>0.99930955844802105</v>
      </c>
      <c r="C4725">
        <v>0.94970523442333599</v>
      </c>
      <c r="D4725">
        <v>0.84428277316625</v>
      </c>
      <c r="E4725">
        <v>0.83164845363498696</v>
      </c>
      <c r="F4725">
        <v>0.49616578885464102</v>
      </c>
      <c r="G4725">
        <v>0.27293137665586198</v>
      </c>
      <c r="H4725">
        <v>0.22062132008816801</v>
      </c>
      <c r="I4725">
        <v>0.312566589933304</v>
      </c>
      <c r="J4725">
        <v>0.23546390610658799</v>
      </c>
      <c r="K4725">
        <v>0.200132293299493</v>
      </c>
      <c r="L4725">
        <v>1283.2764255746799</v>
      </c>
      <c r="M4725">
        <v>24.761913447123199</v>
      </c>
      <c r="N4725">
        <v>53.134937520754697</v>
      </c>
      <c r="O4725">
        <v>51.490152896840399</v>
      </c>
      <c r="P4725">
        <v>-9.2755930444646098E-2</v>
      </c>
      <c r="Q4725">
        <v>0.22850063148837799</v>
      </c>
      <c r="R4725">
        <v>0.97085478652108503</v>
      </c>
      <c r="S4725" t="s">
        <v>11341</v>
      </c>
      <c r="T4725" t="s">
        <v>13232</v>
      </c>
      <c r="U4725" t="s">
        <v>13232</v>
      </c>
      <c r="V4725" t="s">
        <v>13232</v>
      </c>
      <c r="W4725" t="s">
        <v>17893</v>
      </c>
      <c r="X4725">
        <v>3</v>
      </c>
      <c r="Y4725" t="s">
        <v>24303</v>
      </c>
      <c r="Z4725" t="s">
        <v>30856</v>
      </c>
      <c r="AA4725">
        <v>0.53975172491415335</v>
      </c>
      <c r="AB4725" t="str">
        <f>HYPERLINK("Melting_Curves/meltCurve_Q92562_FIG4.pdf", "Melting_Curves/meltCurve_Q92562_FIG4.pdf")</f>
        <v>Melting_Curves/meltCurve_Q92562_FIG4.pdf</v>
      </c>
    </row>
    <row r="4726" spans="1:28" x14ac:dyDescent="0.25">
      <c r="A4726" t="s">
        <v>4729</v>
      </c>
      <c r="B4726">
        <v>0.99930955844802105</v>
      </c>
      <c r="C4726">
        <v>1.1766265554517099</v>
      </c>
      <c r="D4726">
        <v>1.06912082301978</v>
      </c>
      <c r="E4726">
        <v>1.0733081855450399</v>
      </c>
      <c r="F4726">
        <v>1.07651718628483</v>
      </c>
      <c r="G4726">
        <v>0.90083419131120102</v>
      </c>
      <c r="H4726">
        <v>0.99334223095957497</v>
      </c>
      <c r="I4726">
        <v>1.13472310585309</v>
      </c>
      <c r="J4726">
        <v>1.1349214267983501</v>
      </c>
      <c r="K4726">
        <v>1.0254210234911101</v>
      </c>
      <c r="L4726">
        <v>1.0000000000000001E-5</v>
      </c>
      <c r="M4726">
        <v>1.0000000000000001E-5</v>
      </c>
      <c r="Q4726">
        <v>1.1168242833531601</v>
      </c>
      <c r="R4726">
        <v>-1.77320380601032E-9</v>
      </c>
      <c r="S4726" t="s">
        <v>11342</v>
      </c>
      <c r="T4726" t="s">
        <v>13232</v>
      </c>
      <c r="U4726" t="s">
        <v>13232</v>
      </c>
      <c r="V4726" t="s">
        <v>13232</v>
      </c>
      <c r="W4726" t="s">
        <v>17894</v>
      </c>
      <c r="X4726">
        <v>1</v>
      </c>
      <c r="Y4726" t="s">
        <v>24304</v>
      </c>
      <c r="Z4726" t="s">
        <v>30857</v>
      </c>
      <c r="AA4726">
        <v>1.0584124282892291</v>
      </c>
      <c r="AB4726" t="str">
        <f>HYPERLINK("Melting_Curves/meltCurve_Q92567_2_FAM168A.pdf", "Melting_Curves/meltCurve_Q92567_2_FAM168A.pdf")</f>
        <v>Melting_Curves/meltCurve_Q92567_2_FAM168A.pdf</v>
      </c>
    </row>
    <row r="4727" spans="1:28" x14ac:dyDescent="0.25">
      <c r="A4727" t="s">
        <v>4730</v>
      </c>
      <c r="B4727">
        <v>0.99930955844802105</v>
      </c>
      <c r="C4727">
        <v>1.01848735479463</v>
      </c>
      <c r="D4727">
        <v>1.01450903765485</v>
      </c>
      <c r="E4727">
        <v>0.70511229220227201</v>
      </c>
      <c r="F4727">
        <v>0.40036455545343302</v>
      </c>
      <c r="G4727">
        <v>0.28265922789518999</v>
      </c>
      <c r="H4727">
        <v>0.14173964880758999</v>
      </c>
      <c r="I4727">
        <v>0.11619455283189301</v>
      </c>
      <c r="J4727">
        <v>9.7500486735393604E-2</v>
      </c>
      <c r="K4727">
        <v>6.4028333301186804E-2</v>
      </c>
      <c r="L4727">
        <v>1119.94580704705</v>
      </c>
      <c r="M4727">
        <v>21.6220958403268</v>
      </c>
      <c r="N4727">
        <v>52.338049152036099</v>
      </c>
      <c r="O4727">
        <v>51.359411825672296</v>
      </c>
      <c r="P4727">
        <v>-9.46989454147419E-2</v>
      </c>
      <c r="Q4727">
        <v>0.10026005160093</v>
      </c>
      <c r="R4727">
        <v>0.99034917434151404</v>
      </c>
      <c r="S4727" t="s">
        <v>11343</v>
      </c>
      <c r="T4727" t="s">
        <v>13232</v>
      </c>
      <c r="U4727" t="s">
        <v>13232</v>
      </c>
      <c r="V4727" t="s">
        <v>13232</v>
      </c>
      <c r="W4727" t="s">
        <v>17895</v>
      </c>
      <c r="X4727">
        <v>5</v>
      </c>
      <c r="Y4727" t="s">
        <v>24305</v>
      </c>
      <c r="Z4727" t="s">
        <v>30858</v>
      </c>
      <c r="AA4727">
        <v>0.46484805954489838</v>
      </c>
      <c r="AB4727" t="str">
        <f>HYPERLINK("Melting_Curves/meltCurve_Q92572_AP3S1.pdf", "Melting_Curves/meltCurve_Q92572_AP3S1.pdf")</f>
        <v>Melting_Curves/meltCurve_Q92572_AP3S1.pdf</v>
      </c>
    </row>
    <row r="4728" spans="1:28" x14ac:dyDescent="0.25">
      <c r="A4728" t="s">
        <v>4731</v>
      </c>
      <c r="B4728">
        <v>0.99930955844802105</v>
      </c>
      <c r="C4728">
        <v>1.0607393843191999</v>
      </c>
      <c r="D4728">
        <v>0.98827933465946105</v>
      </c>
      <c r="E4728">
        <v>0.89472607341622001</v>
      </c>
      <c r="F4728">
        <v>0.813597298822755</v>
      </c>
      <c r="G4728">
        <v>0.53552319423252503</v>
      </c>
      <c r="H4728">
        <v>0.51079459524524096</v>
      </c>
      <c r="I4728">
        <v>0.60303771465474398</v>
      </c>
      <c r="J4728">
        <v>0.52221274902050896</v>
      </c>
      <c r="K4728">
        <v>0.419618886442093</v>
      </c>
      <c r="L4728">
        <v>1442.45741005379</v>
      </c>
      <c r="M4728">
        <v>27.007084930239799</v>
      </c>
      <c r="O4728">
        <v>53.120077824039697</v>
      </c>
      <c r="P4728">
        <v>-6.3394296604641895E-2</v>
      </c>
      <c r="Q4728">
        <v>0.50124546648596702</v>
      </c>
      <c r="R4728">
        <v>0.95264527078749806</v>
      </c>
      <c r="S4728" t="s">
        <v>11344</v>
      </c>
      <c r="T4728" t="s">
        <v>13232</v>
      </c>
      <c r="U4728" t="s">
        <v>13232</v>
      </c>
      <c r="V4728" t="s">
        <v>13232</v>
      </c>
      <c r="W4728" t="s">
        <v>17896</v>
      </c>
      <c r="X4728">
        <v>2</v>
      </c>
      <c r="Y4728" t="s">
        <v>24306</v>
      </c>
      <c r="Z4728" t="s">
        <v>30859</v>
      </c>
      <c r="AA4728">
        <v>0.72817636766008609</v>
      </c>
      <c r="AB4728" t="str">
        <f>HYPERLINK("Melting_Curves/meltCurve_Q92574_2_TSC1.pdf", "Melting_Curves/meltCurve_Q92574_2_TSC1.pdf")</f>
        <v>Melting_Curves/meltCurve_Q92574_2_TSC1.pdf</v>
      </c>
    </row>
    <row r="4729" spans="1:28" x14ac:dyDescent="0.25">
      <c r="A4729" t="s">
        <v>4732</v>
      </c>
      <c r="B4729">
        <v>0.99930955844802105</v>
      </c>
      <c r="C4729">
        <v>1.06054107391149</v>
      </c>
      <c r="D4729">
        <v>0.91611485754896704</v>
      </c>
      <c r="E4729">
        <v>0.953714666400032</v>
      </c>
      <c r="F4729">
        <v>0.79295658457996399</v>
      </c>
      <c r="G4729">
        <v>0.57726237983277295</v>
      </c>
      <c r="H4729">
        <v>0.38064787784036003</v>
      </c>
      <c r="I4729">
        <v>0.27869124007984902</v>
      </c>
      <c r="J4729">
        <v>0.19369445975913099</v>
      </c>
      <c r="K4729">
        <v>0.16436542079420999</v>
      </c>
      <c r="L4729">
        <v>856.20122727339594</v>
      </c>
      <c r="M4729">
        <v>14.87430519942</v>
      </c>
      <c r="N4729">
        <v>58.488429416604703</v>
      </c>
      <c r="O4729">
        <v>56.552043786901699</v>
      </c>
      <c r="P4729">
        <v>-5.8862729356495398E-2</v>
      </c>
      <c r="Q4729">
        <v>0.104910093890262</v>
      </c>
      <c r="R4729">
        <v>0.99088491239605403</v>
      </c>
      <c r="S4729" t="s">
        <v>11345</v>
      </c>
      <c r="T4729" t="s">
        <v>13232</v>
      </c>
      <c r="U4729" t="s">
        <v>13232</v>
      </c>
      <c r="V4729" t="s">
        <v>13232</v>
      </c>
      <c r="W4729" t="s">
        <v>17897</v>
      </c>
      <c r="X4729">
        <v>3</v>
      </c>
      <c r="Y4729" t="s">
        <v>24307</v>
      </c>
      <c r="Z4729" t="s">
        <v>30860</v>
      </c>
      <c r="AA4729">
        <v>0.6419619795114142</v>
      </c>
      <c r="AB4729" t="str">
        <f>HYPERLINK("Melting_Curves/meltCurve_Q92575_UBXN4.pdf", "Melting_Curves/meltCurve_Q92575_UBXN4.pdf")</f>
        <v>Melting_Curves/meltCurve_Q92575_UBXN4.pdf</v>
      </c>
    </row>
    <row r="4730" spans="1:28" x14ac:dyDescent="0.25">
      <c r="A4730" t="s">
        <v>4733</v>
      </c>
      <c r="B4730">
        <v>0.99930955844802105</v>
      </c>
      <c r="C4730">
        <v>1.17570724261885</v>
      </c>
      <c r="D4730">
        <v>1.1223657687123001</v>
      </c>
      <c r="E4730">
        <v>1.0892860129405599</v>
      </c>
      <c r="F4730">
        <v>1.0100484769268001</v>
      </c>
      <c r="G4730">
        <v>0.90010758712252603</v>
      </c>
      <c r="H4730">
        <v>0.94816224850291597</v>
      </c>
      <c r="I4730">
        <v>0.98457943129844905</v>
      </c>
      <c r="J4730">
        <v>0.98549221513365104</v>
      </c>
      <c r="K4730">
        <v>0.754317507054304</v>
      </c>
      <c r="L4730">
        <v>4696.5850879744303</v>
      </c>
      <c r="M4730">
        <v>65.971957151497605</v>
      </c>
      <c r="Q4730">
        <v>0</v>
      </c>
      <c r="R4730">
        <v>0.475213617305281</v>
      </c>
      <c r="S4730" t="s">
        <v>11346</v>
      </c>
      <c r="T4730" t="s">
        <v>13232</v>
      </c>
      <c r="U4730" t="s">
        <v>13232</v>
      </c>
      <c r="V4730" t="s">
        <v>13232</v>
      </c>
      <c r="W4730" t="s">
        <v>17898</v>
      </c>
      <c r="X4730">
        <v>52</v>
      </c>
      <c r="Y4730" t="s">
        <v>24308</v>
      </c>
      <c r="Z4730" t="s">
        <v>30861</v>
      </c>
      <c r="AA4730">
        <v>0.99049753519936801</v>
      </c>
      <c r="AB4730" t="str">
        <f>HYPERLINK("Melting_Curves/meltCurve_Q92576_2_PHF3.pdf", "Melting_Curves/meltCurve_Q92576_2_PHF3.pdf")</f>
        <v>Melting_Curves/meltCurve_Q92576_2_PHF3.pdf</v>
      </c>
    </row>
    <row r="4731" spans="1:28" x14ac:dyDescent="0.25">
      <c r="A4731" t="s">
        <v>4734</v>
      </c>
      <c r="B4731">
        <v>0.99930955844802105</v>
      </c>
      <c r="C4731">
        <v>0.82716367862837603</v>
      </c>
      <c r="D4731">
        <v>0.99106288283435695</v>
      </c>
      <c r="E4731">
        <v>0.75065852054149695</v>
      </c>
      <c r="F4731">
        <v>0.57874165114057996</v>
      </c>
      <c r="G4731">
        <v>0.31571555058674999</v>
      </c>
      <c r="H4731">
        <v>0.27005096083645902</v>
      </c>
      <c r="I4731">
        <v>0.26740080009847</v>
      </c>
      <c r="J4731">
        <v>9.3477849111199093E-2</v>
      </c>
      <c r="K4731">
        <v>0.148863541315746</v>
      </c>
      <c r="L4731">
        <v>751.94741473153101</v>
      </c>
      <c r="M4731">
        <v>14.121654851313499</v>
      </c>
      <c r="N4731">
        <v>54.268706231074297</v>
      </c>
      <c r="O4731">
        <v>52.214162000977801</v>
      </c>
      <c r="P4731">
        <v>-5.9734793156185698E-2</v>
      </c>
      <c r="Q4731">
        <v>0.116646532568719</v>
      </c>
      <c r="R4731">
        <v>0.962588228498232</v>
      </c>
      <c r="S4731" t="s">
        <v>11347</v>
      </c>
      <c r="T4731" t="s">
        <v>13232</v>
      </c>
      <c r="U4731" t="s">
        <v>13232</v>
      </c>
      <c r="V4731" t="s">
        <v>13232</v>
      </c>
      <c r="W4731" t="s">
        <v>17899</v>
      </c>
      <c r="X4731">
        <v>1</v>
      </c>
      <c r="Y4731" t="s">
        <v>24309</v>
      </c>
      <c r="Z4731" t="s">
        <v>30862</v>
      </c>
      <c r="AA4731">
        <v>0.52709201999903366</v>
      </c>
      <c r="AB4731" t="str">
        <f>HYPERLINK("Melting_Curves/meltCurve_Q92581_3_SLC9A6.pdf", "Melting_Curves/meltCurve_Q92581_3_SLC9A6.pdf")</f>
        <v>Melting_Curves/meltCurve_Q92581_3_SLC9A6.pdf</v>
      </c>
    </row>
    <row r="4732" spans="1:28" x14ac:dyDescent="0.25">
      <c r="A4732" t="s">
        <v>4735</v>
      </c>
      <c r="B4732">
        <v>0.99930955844802105</v>
      </c>
      <c r="C4732">
        <v>1.0861283000770201</v>
      </c>
      <c r="D4732">
        <v>1.0569728866699799</v>
      </c>
      <c r="E4732">
        <v>1.0070231089861099</v>
      </c>
      <c r="F4732">
        <v>0.89072395323165898</v>
      </c>
      <c r="G4732">
        <v>0.779905695428743</v>
      </c>
      <c r="H4732">
        <v>0.744890832743202</v>
      </c>
      <c r="I4732">
        <v>0.819567351030425</v>
      </c>
      <c r="J4732">
        <v>0.71860930326233996</v>
      </c>
      <c r="K4732">
        <v>0.62202918219798298</v>
      </c>
      <c r="L4732">
        <v>1371.63926808321</v>
      </c>
      <c r="M4732">
        <v>25.119362177138999</v>
      </c>
      <c r="O4732">
        <v>54.262316306245303</v>
      </c>
      <c r="P4732">
        <v>-3.2887697509273797E-2</v>
      </c>
      <c r="Q4732">
        <v>0.71583050863132802</v>
      </c>
      <c r="R4732">
        <v>0.86419578834726496</v>
      </c>
      <c r="S4732" t="s">
        <v>11348</v>
      </c>
      <c r="T4732" t="s">
        <v>13232</v>
      </c>
      <c r="U4732" t="s">
        <v>13232</v>
      </c>
      <c r="V4732" t="s">
        <v>13232</v>
      </c>
      <c r="W4732" t="s">
        <v>17900</v>
      </c>
      <c r="X4732">
        <v>6</v>
      </c>
      <c r="Y4732" t="s">
        <v>24310</v>
      </c>
      <c r="Z4732" t="s">
        <v>30863</v>
      </c>
      <c r="AA4732">
        <v>0.85678140761938504</v>
      </c>
      <c r="AB4732" t="str">
        <f>HYPERLINK("Melting_Curves/meltCurve_Q92585_MAML1.pdf", "Melting_Curves/meltCurve_Q92585_MAML1.pdf")</f>
        <v>Melting_Curves/meltCurve_Q92585_MAML1.pdf</v>
      </c>
    </row>
    <row r="4733" spans="1:28" x14ac:dyDescent="0.25">
      <c r="A4733" t="s">
        <v>4736</v>
      </c>
      <c r="B4733">
        <v>0.99930955844802105</v>
      </c>
      <c r="C4733">
        <v>1.0187324517832199</v>
      </c>
      <c r="D4733">
        <v>0.91908754510564605</v>
      </c>
      <c r="E4733">
        <v>0.54873463279537305</v>
      </c>
      <c r="F4733">
        <v>0.29236394468214699</v>
      </c>
      <c r="G4733">
        <v>0.22041328185064499</v>
      </c>
      <c r="H4733">
        <v>0.16184554077768501</v>
      </c>
      <c r="I4733">
        <v>0.16128571629510999</v>
      </c>
      <c r="J4733">
        <v>0.15366913130365201</v>
      </c>
      <c r="K4733">
        <v>0.120509358635101</v>
      </c>
      <c r="L4733">
        <v>1312.8085603970301</v>
      </c>
      <c r="M4733">
        <v>26.362212768482198</v>
      </c>
      <c r="N4733">
        <v>50.504938090742698</v>
      </c>
      <c r="O4733">
        <v>49.5149836526749</v>
      </c>
      <c r="P4733">
        <v>-0.11258840388541801</v>
      </c>
      <c r="Q4733">
        <v>0.15413009074758899</v>
      </c>
      <c r="R4733">
        <v>0.99722678606097703</v>
      </c>
      <c r="S4733" t="s">
        <v>11349</v>
      </c>
      <c r="T4733" t="s">
        <v>13232</v>
      </c>
      <c r="U4733" t="s">
        <v>13232</v>
      </c>
      <c r="V4733" t="s">
        <v>13232</v>
      </c>
      <c r="W4733" t="s">
        <v>17901</v>
      </c>
      <c r="X4733">
        <v>51</v>
      </c>
      <c r="Y4733" t="s">
        <v>24311</v>
      </c>
      <c r="Z4733" t="s">
        <v>30864</v>
      </c>
      <c r="AA4733">
        <v>0.43719326075821369</v>
      </c>
      <c r="AB4733" t="str">
        <f>HYPERLINK("Melting_Curves/meltCurve_Q92598_2_HSPH1.pdf", "Melting_Curves/meltCurve_Q92598_2_HSPH1.pdf")</f>
        <v>Melting_Curves/meltCurve_Q92598_2_HSPH1.pdf</v>
      </c>
    </row>
    <row r="4734" spans="1:28" x14ac:dyDescent="0.25">
      <c r="A4734" t="s">
        <v>4737</v>
      </c>
      <c r="B4734">
        <v>0.99930955844802105</v>
      </c>
      <c r="C4734">
        <v>0.91562543333989099</v>
      </c>
      <c r="D4734">
        <v>0.96062001611654502</v>
      </c>
      <c r="E4734">
        <v>1.00014419515894</v>
      </c>
      <c r="F4734">
        <v>1.0952452026744099</v>
      </c>
      <c r="G4734">
        <v>0.46784512449468901</v>
      </c>
      <c r="H4734">
        <v>0.25354057810342201</v>
      </c>
      <c r="I4734">
        <v>0.146561627128594</v>
      </c>
      <c r="J4734">
        <v>0.10457428347202601</v>
      </c>
      <c r="K4734">
        <v>8.0946570294155099E-2</v>
      </c>
      <c r="L4734">
        <v>5949.1464280978098</v>
      </c>
      <c r="M4734">
        <v>104.871680483847</v>
      </c>
      <c r="N4734">
        <v>56.915544047852798</v>
      </c>
      <c r="O4734">
        <v>56.707230111211501</v>
      </c>
      <c r="P4734">
        <v>-0.39475402784107899</v>
      </c>
      <c r="Q4734">
        <v>0.14617894501549999</v>
      </c>
      <c r="R4734">
        <v>0.97867405007922104</v>
      </c>
      <c r="S4734" t="s">
        <v>11350</v>
      </c>
      <c r="T4734" t="s">
        <v>13232</v>
      </c>
      <c r="U4734" t="s">
        <v>13232</v>
      </c>
      <c r="V4734" t="s">
        <v>13232</v>
      </c>
      <c r="W4734" t="s">
        <v>17902</v>
      </c>
      <c r="X4734">
        <v>25</v>
      </c>
      <c r="Y4734" t="s">
        <v>24312</v>
      </c>
      <c r="Z4734" t="s">
        <v>30865</v>
      </c>
      <c r="AA4734">
        <v>0.62274925521156299</v>
      </c>
      <c r="AB4734" t="str">
        <f>HYPERLINK("Melting_Curves/meltCurve_Q92599_2_SEPT8.pdf", "Melting_Curves/meltCurve_Q92599_2_SEPT8.pdf")</f>
        <v>Melting_Curves/meltCurve_Q92599_2_SEPT8.pdf</v>
      </c>
    </row>
    <row r="4735" spans="1:28" x14ac:dyDescent="0.25">
      <c r="A4735" t="s">
        <v>4738</v>
      </c>
      <c r="B4735">
        <v>0.99930955844802105</v>
      </c>
      <c r="C4735">
        <v>0.73829306021724495</v>
      </c>
      <c r="D4735">
        <v>0.82355266336567001</v>
      </c>
      <c r="E4735">
        <v>0.92329290516194895</v>
      </c>
      <c r="F4735">
        <v>0.63590269776378905</v>
      </c>
      <c r="G4735">
        <v>0.27484473926341502</v>
      </c>
      <c r="H4735">
        <v>0.18334791602814199</v>
      </c>
      <c r="I4735">
        <v>0.133047609482419</v>
      </c>
      <c r="J4735">
        <v>0.13255250115642001</v>
      </c>
      <c r="K4735">
        <v>9.9410354211407301E-2</v>
      </c>
      <c r="L4735">
        <v>1192.3278889262599</v>
      </c>
      <c r="M4735">
        <v>22.143299292495499</v>
      </c>
      <c r="N4735">
        <v>54.430376676134998</v>
      </c>
      <c r="O4735">
        <v>53.412604986144103</v>
      </c>
      <c r="P4735">
        <v>-9.2679707000266301E-2</v>
      </c>
      <c r="Q4735">
        <v>0.105795982886046</v>
      </c>
      <c r="R4735">
        <v>0.91856073640769398</v>
      </c>
      <c r="S4735" t="s">
        <v>11351</v>
      </c>
      <c r="T4735" t="s">
        <v>13232</v>
      </c>
      <c r="U4735" t="s">
        <v>13232</v>
      </c>
      <c r="V4735" t="s">
        <v>13232</v>
      </c>
      <c r="W4735" t="s">
        <v>17903</v>
      </c>
      <c r="X4735">
        <v>7</v>
      </c>
      <c r="Y4735" t="s">
        <v>24313</v>
      </c>
      <c r="Z4735" t="s">
        <v>30866</v>
      </c>
      <c r="AA4735">
        <v>0.52876814257363303</v>
      </c>
      <c r="AB4735" t="str">
        <f>HYPERLINK("Melting_Curves/meltCurve_Q92600_RQCD1.pdf", "Melting_Curves/meltCurve_Q92600_RQCD1.pdf")</f>
        <v>Melting_Curves/meltCurve_Q92600_RQCD1.pdf</v>
      </c>
    </row>
    <row r="4736" spans="1:28" x14ac:dyDescent="0.25">
      <c r="A4736" t="s">
        <v>4739</v>
      </c>
      <c r="B4736">
        <v>0.99930955844802105</v>
      </c>
      <c r="C4736">
        <v>0.75708658705972498</v>
      </c>
      <c r="D4736">
        <v>0.65406102437010005</v>
      </c>
      <c r="E4736">
        <v>0.52945420540939703</v>
      </c>
      <c r="F4736">
        <v>0.47877096968936</v>
      </c>
      <c r="G4736">
        <v>0.37534017175774897</v>
      </c>
      <c r="H4736">
        <v>0.34021864875468399</v>
      </c>
      <c r="I4736">
        <v>0.35519882229739003</v>
      </c>
      <c r="J4736">
        <v>0.32640035270343798</v>
      </c>
      <c r="K4736">
        <v>0.27701080293849401</v>
      </c>
      <c r="L4736">
        <v>530.85542524111997</v>
      </c>
      <c r="M4736">
        <v>11.373904453427601</v>
      </c>
      <c r="N4736">
        <v>50.764040649280403</v>
      </c>
      <c r="O4736">
        <v>45.300184844594497</v>
      </c>
      <c r="P4736">
        <v>-4.3947958490682303E-2</v>
      </c>
      <c r="Q4736">
        <v>0.30006081008977198</v>
      </c>
      <c r="R4736">
        <v>0.96830710197014103</v>
      </c>
      <c r="S4736" t="s">
        <v>11352</v>
      </c>
      <c r="T4736" t="s">
        <v>13232</v>
      </c>
      <c r="U4736" t="s">
        <v>13232</v>
      </c>
      <c r="V4736" t="s">
        <v>13232</v>
      </c>
      <c r="W4736" t="s">
        <v>17904</v>
      </c>
      <c r="X4736">
        <v>6</v>
      </c>
      <c r="Y4736" t="s">
        <v>24314</v>
      </c>
      <c r="Z4736" t="s">
        <v>30867</v>
      </c>
      <c r="AA4736">
        <v>0.48895668876241422</v>
      </c>
      <c r="AB4736" t="str">
        <f>HYPERLINK("Melting_Curves/meltCurve_Q92608_DOCK2.pdf", "Melting_Curves/meltCurve_Q92608_DOCK2.pdf")</f>
        <v>Melting_Curves/meltCurve_Q92608_DOCK2.pdf</v>
      </c>
    </row>
    <row r="4737" spans="1:28" x14ac:dyDescent="0.25">
      <c r="A4737" t="s">
        <v>4740</v>
      </c>
      <c r="B4737">
        <v>0.99930955844802105</v>
      </c>
      <c r="C4737">
        <v>1.0579954771523801</v>
      </c>
      <c r="D4737">
        <v>1.0245872167996799</v>
      </c>
      <c r="E4737">
        <v>0.92551881510959699</v>
      </c>
      <c r="F4737">
        <v>0.67756321896180405</v>
      </c>
      <c r="G4737">
        <v>0.42846897848597798</v>
      </c>
      <c r="H4737">
        <v>0.36144062516049102</v>
      </c>
      <c r="I4737">
        <v>0.36784294028337</v>
      </c>
      <c r="J4737">
        <v>0.35799469513457799</v>
      </c>
      <c r="K4737">
        <v>0.29302197751298797</v>
      </c>
      <c r="L4737">
        <v>1609.7290562329699</v>
      </c>
      <c r="M4737">
        <v>30.2672059483887</v>
      </c>
      <c r="N4737">
        <v>55.283801283195601</v>
      </c>
      <c r="O4737">
        <v>52.953391855023398</v>
      </c>
      <c r="P4737">
        <v>-9.40794608457097E-2</v>
      </c>
      <c r="Q4737">
        <v>0.34162470708042603</v>
      </c>
      <c r="R4737">
        <v>0.99160175668800099</v>
      </c>
      <c r="S4737" t="s">
        <v>11353</v>
      </c>
      <c r="T4737" t="s">
        <v>13232</v>
      </c>
      <c r="U4737" t="s">
        <v>13232</v>
      </c>
      <c r="V4737" t="s">
        <v>13232</v>
      </c>
      <c r="W4737" t="s">
        <v>17905</v>
      </c>
      <c r="X4737">
        <v>29</v>
      </c>
      <c r="Y4737" t="s">
        <v>24315</v>
      </c>
      <c r="Z4737" t="s">
        <v>30868</v>
      </c>
      <c r="AA4737">
        <v>0.63516407402864206</v>
      </c>
      <c r="AB4737" t="str">
        <f>HYPERLINK("Melting_Curves/meltCurve_Q92609_TBC1D5.pdf", "Melting_Curves/meltCurve_Q92609_TBC1D5.pdf")</f>
        <v>Melting_Curves/meltCurve_Q92609_TBC1D5.pdf</v>
      </c>
    </row>
    <row r="4738" spans="1:28" x14ac:dyDescent="0.25">
      <c r="A4738" t="s">
        <v>4741</v>
      </c>
      <c r="B4738">
        <v>0.99930955844802105</v>
      </c>
      <c r="C4738">
        <v>0.98056721898613197</v>
      </c>
      <c r="D4738">
        <v>0.98023613050418601</v>
      </c>
      <c r="E4738">
        <v>0.88380284502939899</v>
      </c>
      <c r="F4738">
        <v>0.74723170111628301</v>
      </c>
      <c r="G4738">
        <v>0.64336581204256804</v>
      </c>
      <c r="H4738">
        <v>0.54380083622028397</v>
      </c>
      <c r="I4738">
        <v>0.58504673860795098</v>
      </c>
      <c r="J4738">
        <v>0.52367312053375403</v>
      </c>
      <c r="K4738">
        <v>0.45796900248078198</v>
      </c>
      <c r="L4738">
        <v>801.70489246982095</v>
      </c>
      <c r="M4738">
        <v>14.9279289781943</v>
      </c>
      <c r="O4738">
        <v>52.768928343937098</v>
      </c>
      <c r="P4738">
        <v>-3.6260922972908297E-2</v>
      </c>
      <c r="Q4738">
        <v>0.48733609972932801</v>
      </c>
      <c r="R4738">
        <v>0.98378431088149998</v>
      </c>
      <c r="S4738" t="s">
        <v>11354</v>
      </c>
      <c r="T4738" t="s">
        <v>13232</v>
      </c>
      <c r="U4738" t="s">
        <v>13232</v>
      </c>
      <c r="V4738" t="s">
        <v>13232</v>
      </c>
      <c r="W4738" t="s">
        <v>17906</v>
      </c>
      <c r="X4738">
        <v>9</v>
      </c>
      <c r="Y4738" t="s">
        <v>24316</v>
      </c>
      <c r="Z4738" t="s">
        <v>30869</v>
      </c>
      <c r="AA4738">
        <v>0.73228566484292179</v>
      </c>
      <c r="AB4738" t="str">
        <f>HYPERLINK("Melting_Curves/meltCurve_Q92610_ZNF592.pdf", "Melting_Curves/meltCurve_Q92610_ZNF592.pdf")</f>
        <v>Melting_Curves/meltCurve_Q92610_ZNF592.pdf</v>
      </c>
    </row>
    <row r="4739" spans="1:28" x14ac:dyDescent="0.25">
      <c r="A4739" t="s">
        <v>4742</v>
      </c>
      <c r="B4739">
        <v>0.99930955844802105</v>
      </c>
      <c r="C4739">
        <v>0.56535308710376697</v>
      </c>
      <c r="D4739">
        <v>0.65885543644747402</v>
      </c>
      <c r="E4739">
        <v>0.60508369946169405</v>
      </c>
      <c r="F4739">
        <v>0.27054066639764601</v>
      </c>
      <c r="G4739">
        <v>0.20069407635297001</v>
      </c>
      <c r="H4739">
        <v>0.14084022597672999</v>
      </c>
      <c r="I4739">
        <v>0.13265416689255599</v>
      </c>
      <c r="J4739">
        <v>0.12847526987164801</v>
      </c>
      <c r="K4739">
        <v>9.6421110531568099E-2</v>
      </c>
      <c r="L4739">
        <v>415.73339223496498</v>
      </c>
      <c r="M4739">
        <v>8.5356915246733003</v>
      </c>
      <c r="N4739">
        <v>48.9041325551295</v>
      </c>
      <c r="O4739">
        <v>46.252799713235902</v>
      </c>
      <c r="P4739">
        <v>-4.5389470948346299E-2</v>
      </c>
      <c r="Q4739">
        <v>1.7054597330962699E-2</v>
      </c>
      <c r="R4739">
        <v>0.89570618769270405</v>
      </c>
      <c r="S4739" t="s">
        <v>11355</v>
      </c>
      <c r="T4739" t="s">
        <v>13232</v>
      </c>
      <c r="U4739" t="s">
        <v>13232</v>
      </c>
      <c r="V4739" t="s">
        <v>13232</v>
      </c>
      <c r="W4739" t="s">
        <v>17907</v>
      </c>
      <c r="X4739">
        <v>45</v>
      </c>
      <c r="Y4739" t="s">
        <v>24317</v>
      </c>
      <c r="Z4739" t="s">
        <v>30870</v>
      </c>
      <c r="AA4739">
        <v>0.36377353024461362</v>
      </c>
      <c r="AB4739" t="str">
        <f>HYPERLINK("Melting_Curves/meltCurve_Q92614_4_MYO18A.pdf", "Melting_Curves/meltCurve_Q92614_4_MYO18A.pdf")</f>
        <v>Melting_Curves/meltCurve_Q92614_4_MYO18A.pdf</v>
      </c>
    </row>
    <row r="4740" spans="1:28" x14ac:dyDescent="0.25">
      <c r="A4740" t="s">
        <v>4743</v>
      </c>
      <c r="B4740">
        <v>0.99930955844802105</v>
      </c>
      <c r="C4740">
        <v>1.03188627643541</v>
      </c>
      <c r="D4740">
        <v>0.97715428208453703</v>
      </c>
      <c r="E4740">
        <v>0.91575540445119596</v>
      </c>
      <c r="F4740">
        <v>0.78270308213117601</v>
      </c>
      <c r="G4740">
        <v>0.68821426618955195</v>
      </c>
      <c r="H4740">
        <v>0.65469621376220899</v>
      </c>
      <c r="I4740">
        <v>0.71685776695578396</v>
      </c>
      <c r="J4740">
        <v>0.72142207582269602</v>
      </c>
      <c r="K4740">
        <v>0.55895087202858396</v>
      </c>
      <c r="L4740">
        <v>1373.2007655392999</v>
      </c>
      <c r="M4740">
        <v>26.433057932375402</v>
      </c>
      <c r="O4740">
        <v>51.655528372869597</v>
      </c>
      <c r="P4740">
        <v>-4.3526101461820198E-2</v>
      </c>
      <c r="Q4740">
        <v>0.65976853043484196</v>
      </c>
      <c r="R4740">
        <v>0.92451737856083505</v>
      </c>
      <c r="S4740" t="s">
        <v>11356</v>
      </c>
      <c r="T4740" t="s">
        <v>13232</v>
      </c>
      <c r="U4740" t="s">
        <v>13232</v>
      </c>
      <c r="V4740" t="s">
        <v>13232</v>
      </c>
      <c r="W4740" t="s">
        <v>17908</v>
      </c>
      <c r="X4740">
        <v>24</v>
      </c>
      <c r="Y4740" t="s">
        <v>20476</v>
      </c>
      <c r="Z4740" t="s">
        <v>30871</v>
      </c>
      <c r="AA4740">
        <v>0.79808208266117597</v>
      </c>
      <c r="AB4740" t="str">
        <f>HYPERLINK("Melting_Curves/meltCurve_Q92615_LARP4B.pdf", "Melting_Curves/meltCurve_Q92615_LARP4B.pdf")</f>
        <v>Melting_Curves/meltCurve_Q92615_LARP4B.pdf</v>
      </c>
    </row>
    <row r="4741" spans="1:28" x14ac:dyDescent="0.25">
      <c r="A4741" t="s">
        <v>4744</v>
      </c>
      <c r="B4741">
        <v>0.99930955844802105</v>
      </c>
      <c r="C4741">
        <v>0.28111412069907399</v>
      </c>
      <c r="D4741">
        <v>0.179943779401672</v>
      </c>
      <c r="E4741">
        <v>0.16919137939857701</v>
      </c>
      <c r="F4741">
        <v>0.12399875948250599</v>
      </c>
      <c r="G4741">
        <v>8.1230899425616204E-2</v>
      </c>
      <c r="H4741">
        <v>3.94148915118991E-2</v>
      </c>
      <c r="I4741">
        <v>2.6069914867330599E-2</v>
      </c>
      <c r="J4741">
        <v>2.1530805803409499E-2</v>
      </c>
      <c r="K4741">
        <v>1.6183151294811501E-2</v>
      </c>
      <c r="L4741">
        <v>3338.4140706974099</v>
      </c>
      <c r="M4741">
        <v>79.091336726338298</v>
      </c>
      <c r="N4741">
        <v>42.305247627275101</v>
      </c>
      <c r="O4741">
        <v>42.1826432312495</v>
      </c>
      <c r="P4741">
        <v>-0.43036894314433699</v>
      </c>
      <c r="Q4741">
        <v>8.1866725883726496E-2</v>
      </c>
      <c r="R4741">
        <v>0.95971488533425398</v>
      </c>
      <c r="S4741" t="s">
        <v>11357</v>
      </c>
      <c r="T4741" t="s">
        <v>13232</v>
      </c>
      <c r="U4741" t="s">
        <v>13232</v>
      </c>
      <c r="V4741" t="s">
        <v>13232</v>
      </c>
      <c r="W4741" t="s">
        <v>17909</v>
      </c>
      <c r="X4741">
        <v>79</v>
      </c>
      <c r="Y4741" t="s">
        <v>24318</v>
      </c>
      <c r="Z4741" t="s">
        <v>30872</v>
      </c>
      <c r="AA4741">
        <v>0.15035164199271031</v>
      </c>
      <c r="AB4741" t="str">
        <f>HYPERLINK("Melting_Curves/meltCurve_Q92616_GCN1L1.pdf", "Melting_Curves/meltCurve_Q92616_GCN1L1.pdf")</f>
        <v>Melting_Curves/meltCurve_Q92616_GCN1L1.pdf</v>
      </c>
    </row>
    <row r="4742" spans="1:28" x14ac:dyDescent="0.25">
      <c r="A4742" t="s">
        <v>4745</v>
      </c>
      <c r="B4742">
        <v>0.99930955844802105</v>
      </c>
      <c r="C4742">
        <v>1.05574340279437</v>
      </c>
      <c r="D4742">
        <v>1.0368665182373999</v>
      </c>
      <c r="E4742">
        <v>1.0271304128877701</v>
      </c>
      <c r="F4742">
        <v>0.89681353625702098</v>
      </c>
      <c r="G4742">
        <v>0.84403996327096797</v>
      </c>
      <c r="H4742">
        <v>0.72396803802514698</v>
      </c>
      <c r="I4742">
        <v>0.86560634678161996</v>
      </c>
      <c r="J4742">
        <v>0.75629085779649996</v>
      </c>
      <c r="K4742">
        <v>0.59925426256984005</v>
      </c>
      <c r="L4742">
        <v>510.93793004227598</v>
      </c>
      <c r="M4742">
        <v>7.4034864701952596</v>
      </c>
      <c r="O4742">
        <v>64.514652297747105</v>
      </c>
      <c r="P4742">
        <v>-1.8991082206640999E-2</v>
      </c>
      <c r="Q4742">
        <v>0.33903715143447899</v>
      </c>
      <c r="R4742">
        <v>0.815542239140436</v>
      </c>
      <c r="S4742" t="s">
        <v>11358</v>
      </c>
      <c r="T4742" t="s">
        <v>13232</v>
      </c>
      <c r="U4742" t="s">
        <v>13232</v>
      </c>
      <c r="V4742" t="s">
        <v>13232</v>
      </c>
      <c r="W4742" t="s">
        <v>17910</v>
      </c>
      <c r="X4742">
        <v>5</v>
      </c>
      <c r="Y4742" t="s">
        <v>24319</v>
      </c>
      <c r="Z4742" t="s">
        <v>30873</v>
      </c>
      <c r="AA4742">
        <v>0.87912115552000392</v>
      </c>
      <c r="AB4742" t="str">
        <f>HYPERLINK("Melting_Curves/meltCurve_Q92618_ZNF516.pdf", "Melting_Curves/meltCurve_Q92618_ZNF516.pdf")</f>
        <v>Melting_Curves/meltCurve_Q92618_ZNF516.pdf</v>
      </c>
    </row>
    <row r="4743" spans="1:28" x14ac:dyDescent="0.25">
      <c r="A4743" t="s">
        <v>4746</v>
      </c>
      <c r="B4743">
        <v>0.99930955844802105</v>
      </c>
      <c r="C4743">
        <v>0.95869863018039003</v>
      </c>
      <c r="D4743">
        <v>0.86861087541326398</v>
      </c>
      <c r="E4743">
        <v>0.70986668936049102</v>
      </c>
      <c r="F4743">
        <v>0.40107467433897798</v>
      </c>
      <c r="G4743">
        <v>0.23417053816737499</v>
      </c>
      <c r="H4743">
        <v>0.139225647575352</v>
      </c>
      <c r="I4743">
        <v>0.117815496535051</v>
      </c>
      <c r="J4743">
        <v>9.6112643952499993E-2</v>
      </c>
      <c r="K4743">
        <v>7.6889863746331902E-2</v>
      </c>
      <c r="L4743">
        <v>886.63559440618201</v>
      </c>
      <c r="M4743">
        <v>17.174752508833201</v>
      </c>
      <c r="N4743">
        <v>52.125028471674497</v>
      </c>
      <c r="O4743">
        <v>50.939723012538501</v>
      </c>
      <c r="P4743">
        <v>-7.7884962111105002E-2</v>
      </c>
      <c r="Q4743">
        <v>7.60384118659123E-2</v>
      </c>
      <c r="R4743">
        <v>0.99638320241021405</v>
      </c>
      <c r="S4743" t="s">
        <v>11359</v>
      </c>
      <c r="T4743" t="s">
        <v>13232</v>
      </c>
      <c r="U4743" t="s">
        <v>13232</v>
      </c>
      <c r="V4743" t="s">
        <v>13232</v>
      </c>
      <c r="W4743" t="s">
        <v>17911</v>
      </c>
      <c r="X4743">
        <v>18</v>
      </c>
      <c r="Y4743" t="s">
        <v>24320</v>
      </c>
      <c r="Z4743" t="s">
        <v>30874</v>
      </c>
      <c r="AA4743">
        <v>0.45080720486134801</v>
      </c>
      <c r="AB4743" t="str">
        <f>HYPERLINK("Melting_Curves/meltCurve_Q92619_HMHA1.pdf", "Melting_Curves/meltCurve_Q92619_HMHA1.pdf")</f>
        <v>Melting_Curves/meltCurve_Q92619_HMHA1.pdf</v>
      </c>
    </row>
    <row r="4744" spans="1:28" x14ac:dyDescent="0.25">
      <c r="A4744" t="s">
        <v>4747</v>
      </c>
      <c r="B4744">
        <v>0.99930955844802105</v>
      </c>
      <c r="C4744">
        <v>0.77250961265104801</v>
      </c>
      <c r="D4744">
        <v>0.78147596210707304</v>
      </c>
      <c r="E4744">
        <v>0.45390735374379698</v>
      </c>
      <c r="F4744">
        <v>0.19414341126933701</v>
      </c>
      <c r="G4744">
        <v>0.14257692509343201</v>
      </c>
      <c r="H4744">
        <v>8.4677367119164307E-2</v>
      </c>
      <c r="I4744">
        <v>6.8446546917221004E-2</v>
      </c>
      <c r="J4744">
        <v>5.9841927255025601E-2</v>
      </c>
      <c r="K4744">
        <v>4.3702375187339403E-2</v>
      </c>
      <c r="L4744">
        <v>723.68849909322</v>
      </c>
      <c r="M4744">
        <v>14.8591336773866</v>
      </c>
      <c r="N4744">
        <v>48.941139518961798</v>
      </c>
      <c r="O4744">
        <v>47.846700025806499</v>
      </c>
      <c r="P4744">
        <v>-7.4942504120227599E-2</v>
      </c>
      <c r="Q4744">
        <v>3.4836005644304301E-2</v>
      </c>
      <c r="R4744">
        <v>0.98026394898192604</v>
      </c>
      <c r="S4744" t="s">
        <v>11360</v>
      </c>
      <c r="T4744" t="s">
        <v>13232</v>
      </c>
      <c r="U4744" t="s">
        <v>13232</v>
      </c>
      <c r="V4744" t="s">
        <v>13232</v>
      </c>
      <c r="W4744" t="s">
        <v>17912</v>
      </c>
      <c r="X4744">
        <v>25</v>
      </c>
      <c r="Y4744" t="s">
        <v>24321</v>
      </c>
      <c r="Z4744" t="s">
        <v>30875</v>
      </c>
      <c r="AA4744">
        <v>0.33937053853329541</v>
      </c>
      <c r="AB4744" t="str">
        <f>HYPERLINK("Melting_Curves/meltCurve_Q92621_NUP205.pdf", "Melting_Curves/meltCurve_Q92621_NUP205.pdf")</f>
        <v>Melting_Curves/meltCurve_Q92621_NUP205.pdf</v>
      </c>
    </row>
    <row r="4745" spans="1:28" x14ac:dyDescent="0.25">
      <c r="A4745" t="s">
        <v>4748</v>
      </c>
      <c r="B4745">
        <v>0.99930955844802105</v>
      </c>
      <c r="C4745">
        <v>0.78882402155234499</v>
      </c>
      <c r="D4745">
        <v>0.81353861060796495</v>
      </c>
      <c r="E4745">
        <v>0.73117700870952695</v>
      </c>
      <c r="F4745">
        <v>0.46304643560490499</v>
      </c>
      <c r="G4745">
        <v>0.31736317000313102</v>
      </c>
      <c r="H4745">
        <v>0.16168567351295801</v>
      </c>
      <c r="I4745">
        <v>6.3536719379562803E-2</v>
      </c>
      <c r="J4745">
        <v>6.3199538905970007E-2</v>
      </c>
      <c r="K4745">
        <v>4.8964606708791499E-2</v>
      </c>
      <c r="L4745">
        <v>596.50527113234102</v>
      </c>
      <c r="M4745">
        <v>11.337681911898001</v>
      </c>
      <c r="N4745">
        <v>52.612626315367997</v>
      </c>
      <c r="O4745">
        <v>51.055573308161797</v>
      </c>
      <c r="P4745">
        <v>-5.5533046880353702E-2</v>
      </c>
      <c r="Q4745">
        <v>0</v>
      </c>
      <c r="R4745">
        <v>0.97258142299559103</v>
      </c>
      <c r="S4745" t="s">
        <v>11361</v>
      </c>
      <c r="T4745" t="s">
        <v>13232</v>
      </c>
      <c r="U4745" t="s">
        <v>13232</v>
      </c>
      <c r="V4745" t="s">
        <v>13232</v>
      </c>
      <c r="W4745" t="s">
        <v>17913</v>
      </c>
      <c r="X4745">
        <v>3</v>
      </c>
      <c r="Y4745" t="s">
        <v>24322</v>
      </c>
      <c r="Z4745" t="s">
        <v>30876</v>
      </c>
      <c r="AA4745">
        <v>0.45171832747014729</v>
      </c>
      <c r="AB4745" t="str">
        <f>HYPERLINK("Melting_Curves/meltCurve_Q92622_2_KIAA0226.pdf", "Melting_Curves/meltCurve_Q92622_2_KIAA0226.pdf")</f>
        <v>Melting_Curves/meltCurve_Q92622_2_KIAA0226.pdf</v>
      </c>
    </row>
    <row r="4746" spans="1:28" x14ac:dyDescent="0.25">
      <c r="A4746" t="s">
        <v>4749</v>
      </c>
      <c r="B4746">
        <v>0.99930955844802105</v>
      </c>
      <c r="C4746">
        <v>0.98170572184504201</v>
      </c>
      <c r="D4746">
        <v>0.84919789953725899</v>
      </c>
      <c r="E4746">
        <v>0.75423132667054504</v>
      </c>
      <c r="F4746">
        <v>0.60601094734752003</v>
      </c>
      <c r="G4746">
        <v>0.45943641309448602</v>
      </c>
      <c r="H4746">
        <v>0.38213613633651999</v>
      </c>
      <c r="I4746">
        <v>0.39776263296423597</v>
      </c>
      <c r="J4746">
        <v>0.40046551290794902</v>
      </c>
      <c r="K4746">
        <v>0.31128702300605599</v>
      </c>
      <c r="L4746">
        <v>693.69992493529401</v>
      </c>
      <c r="M4746">
        <v>13.469294829209799</v>
      </c>
      <c r="N4746">
        <v>55.996758811364799</v>
      </c>
      <c r="O4746">
        <v>50.406829312160603</v>
      </c>
      <c r="P4746">
        <v>-4.4739144751036401E-2</v>
      </c>
      <c r="Q4746">
        <v>0.330384684276401</v>
      </c>
      <c r="R4746">
        <v>0.98853420438818096</v>
      </c>
      <c r="S4746" t="s">
        <v>11362</v>
      </c>
      <c r="T4746" t="s">
        <v>13232</v>
      </c>
      <c r="U4746" t="s">
        <v>13232</v>
      </c>
      <c r="V4746" t="s">
        <v>13232</v>
      </c>
      <c r="W4746" t="s">
        <v>17914</v>
      </c>
      <c r="X4746">
        <v>23</v>
      </c>
      <c r="Y4746" t="s">
        <v>24323</v>
      </c>
      <c r="Z4746" t="s">
        <v>30877</v>
      </c>
      <c r="AA4746">
        <v>0.60508635679304024</v>
      </c>
      <c r="AB4746" t="str">
        <f>HYPERLINK("Melting_Curves/meltCurve_Q92625_ANKS1A.pdf", "Melting_Curves/meltCurve_Q92625_ANKS1A.pdf")</f>
        <v>Melting_Curves/meltCurve_Q92625_ANKS1A.pdf</v>
      </c>
    </row>
    <row r="4747" spans="1:28" x14ac:dyDescent="0.25">
      <c r="A4747" t="s">
        <v>4750</v>
      </c>
      <c r="B4747">
        <v>0.99930955844802105</v>
      </c>
      <c r="C4747">
        <v>0.97400357643666702</v>
      </c>
      <c r="D4747">
        <v>0.96379905707790403</v>
      </c>
      <c r="E4747">
        <v>0.92539724203423201</v>
      </c>
      <c r="F4747">
        <v>0.65030286155035899</v>
      </c>
      <c r="G4747">
        <v>0.340540737345086</v>
      </c>
      <c r="H4747">
        <v>0.28925110292857198</v>
      </c>
      <c r="I4747">
        <v>0.25395383450679598</v>
      </c>
      <c r="J4747">
        <v>0.205906464235833</v>
      </c>
      <c r="K4747">
        <v>0.123548096079338</v>
      </c>
      <c r="L4747">
        <v>1290.6148643388501</v>
      </c>
      <c r="M4747">
        <v>23.998435863903701</v>
      </c>
      <c r="N4747">
        <v>54.910140444360898</v>
      </c>
      <c r="O4747">
        <v>53.409872833534401</v>
      </c>
      <c r="P4747">
        <v>-9.0427788051793606E-2</v>
      </c>
      <c r="Q4747">
        <v>0.19500410564232501</v>
      </c>
      <c r="R4747">
        <v>0.98911542508135997</v>
      </c>
      <c r="S4747" t="s">
        <v>11363</v>
      </c>
      <c r="T4747" t="s">
        <v>13232</v>
      </c>
      <c r="U4747" t="s">
        <v>13232</v>
      </c>
      <c r="V4747" t="s">
        <v>13232</v>
      </c>
      <c r="W4747" t="s">
        <v>17915</v>
      </c>
      <c r="X4747">
        <v>11</v>
      </c>
      <c r="Y4747" t="s">
        <v>24324</v>
      </c>
      <c r="Z4747" t="s">
        <v>30878</v>
      </c>
      <c r="AA4747">
        <v>0.57276072063987937</v>
      </c>
      <c r="AB4747" t="str">
        <f>HYPERLINK("Melting_Curves/meltCurve_Q92636_NSMAF.pdf", "Melting_Curves/meltCurve_Q92636_NSMAF.pdf")</f>
        <v>Melting_Curves/meltCurve_Q92636_NSMAF.pdf</v>
      </c>
    </row>
    <row r="4748" spans="1:28" x14ac:dyDescent="0.25">
      <c r="A4748" t="s">
        <v>4751</v>
      </c>
      <c r="B4748">
        <v>0.99930955844802105</v>
      </c>
      <c r="C4748">
        <v>0.89296809504007701</v>
      </c>
      <c r="D4748">
        <v>0.75472928652779703</v>
      </c>
      <c r="E4748">
        <v>0.710603257600672</v>
      </c>
      <c r="F4748">
        <v>0.53976230750375198</v>
      </c>
      <c r="G4748">
        <v>0.431291494823905</v>
      </c>
      <c r="H4748">
        <v>0.29716950721798302</v>
      </c>
      <c r="I4748">
        <v>0.249593641389636</v>
      </c>
      <c r="J4748">
        <v>0.26595251971295802</v>
      </c>
      <c r="K4748">
        <v>0.19081937556171499</v>
      </c>
      <c r="L4748">
        <v>466.63993806772902</v>
      </c>
      <c r="M4748">
        <v>8.8255195155283808</v>
      </c>
      <c r="N4748">
        <v>54.402585702920703</v>
      </c>
      <c r="O4748">
        <v>50.370283017255602</v>
      </c>
      <c r="P4748">
        <v>-3.9023406775905899E-2</v>
      </c>
      <c r="Q4748">
        <v>0.109815996296819</v>
      </c>
      <c r="R4748">
        <v>0.98649434939179004</v>
      </c>
      <c r="S4748" t="s">
        <v>11364</v>
      </c>
      <c r="T4748" t="s">
        <v>13232</v>
      </c>
      <c r="U4748" t="s">
        <v>13232</v>
      </c>
      <c r="V4748" t="s">
        <v>13232</v>
      </c>
      <c r="W4748" t="s">
        <v>17916</v>
      </c>
      <c r="X4748">
        <v>2</v>
      </c>
      <c r="Y4748" t="s">
        <v>24325</v>
      </c>
      <c r="Z4748" t="s">
        <v>30879</v>
      </c>
      <c r="AA4748">
        <v>0.52619727196258537</v>
      </c>
      <c r="AB4748" t="str">
        <f>HYPERLINK("Melting_Curves/meltCurve_Q92664_2_GTF3A.pdf", "Melting_Curves/meltCurve_Q92664_2_GTF3A.pdf")</f>
        <v>Melting_Curves/meltCurve_Q92664_2_GTF3A.pdf</v>
      </c>
    </row>
    <row r="4749" spans="1:28" x14ac:dyDescent="0.25">
      <c r="A4749" t="s">
        <v>4752</v>
      </c>
      <c r="B4749">
        <v>0.99930955844802105</v>
      </c>
      <c r="C4749">
        <v>0.98301859996659402</v>
      </c>
      <c r="D4749">
        <v>0.99043009841904095</v>
      </c>
      <c r="E4749">
        <v>0.95534193603094997</v>
      </c>
      <c r="F4749">
        <v>0.76830064235472295</v>
      </c>
      <c r="G4749">
        <v>0.64686430320598698</v>
      </c>
      <c r="H4749">
        <v>0.66072830134092897</v>
      </c>
      <c r="I4749">
        <v>0.72075304028459797</v>
      </c>
      <c r="J4749">
        <v>0.73827128634505501</v>
      </c>
      <c r="K4749">
        <v>0.55697997060311699</v>
      </c>
      <c r="L4749">
        <v>2479.0858091078899</v>
      </c>
      <c r="M4749">
        <v>47.621109363486198</v>
      </c>
      <c r="O4749">
        <v>51.966994152808802</v>
      </c>
      <c r="P4749">
        <v>-7.6966104246089004E-2</v>
      </c>
      <c r="Q4749">
        <v>0.66404034010342805</v>
      </c>
      <c r="R4749">
        <v>0.91446154812688796</v>
      </c>
      <c r="S4749" t="s">
        <v>11365</v>
      </c>
      <c r="T4749" t="s">
        <v>13232</v>
      </c>
      <c r="U4749" t="s">
        <v>13232</v>
      </c>
      <c r="V4749" t="s">
        <v>13232</v>
      </c>
      <c r="W4749" t="s">
        <v>17917</v>
      </c>
      <c r="X4749">
        <v>7</v>
      </c>
      <c r="Y4749" t="s">
        <v>24326</v>
      </c>
      <c r="Z4749" t="s">
        <v>30880</v>
      </c>
      <c r="AA4749">
        <v>0.79993071668309246</v>
      </c>
      <c r="AB4749" t="str">
        <f>HYPERLINK("Melting_Curves/meltCurve_Q92665_MRPS31.pdf", "Melting_Curves/meltCurve_Q92665_MRPS31.pdf")</f>
        <v>Melting_Curves/meltCurve_Q92665_MRPS31.pdf</v>
      </c>
    </row>
    <row r="4750" spans="1:28" x14ac:dyDescent="0.25">
      <c r="A4750" t="s">
        <v>4753</v>
      </c>
      <c r="B4750">
        <v>0.99930955844802105</v>
      </c>
      <c r="C4750">
        <v>1.0701799100459199</v>
      </c>
      <c r="D4750">
        <v>1.02064175634483</v>
      </c>
      <c r="E4750">
        <v>0.98223035802450398</v>
      </c>
      <c r="F4750">
        <v>0.92498027611563804</v>
      </c>
      <c r="G4750">
        <v>0.80696981471322304</v>
      </c>
      <c r="H4750">
        <v>0.84763103649045501</v>
      </c>
      <c r="I4750">
        <v>0.88784581035093801</v>
      </c>
      <c r="J4750">
        <v>0.86665530057833695</v>
      </c>
      <c r="K4750">
        <v>0.72837149681783597</v>
      </c>
      <c r="L4750">
        <v>4490.9468255042002</v>
      </c>
      <c r="M4750">
        <v>84.486651668045695</v>
      </c>
      <c r="O4750">
        <v>53.125928970240899</v>
      </c>
      <c r="P4750">
        <v>-6.8609893369042094E-2</v>
      </c>
      <c r="Q4750">
        <v>0.82743004170984602</v>
      </c>
      <c r="R4750">
        <v>0.78734410079848005</v>
      </c>
      <c r="S4750" t="s">
        <v>11366</v>
      </c>
      <c r="T4750" t="s">
        <v>13232</v>
      </c>
      <c r="U4750" t="s">
        <v>13232</v>
      </c>
      <c r="V4750" t="s">
        <v>13232</v>
      </c>
      <c r="W4750" t="s">
        <v>17918</v>
      </c>
      <c r="X4750">
        <v>24</v>
      </c>
      <c r="Y4750" t="s">
        <v>24327</v>
      </c>
      <c r="Z4750" t="s">
        <v>30881</v>
      </c>
      <c r="AA4750">
        <v>0.90324717726975834</v>
      </c>
      <c r="AB4750" t="str">
        <f>HYPERLINK("Melting_Curves/meltCurve_Q92667_AKAP1.pdf", "Melting_Curves/meltCurve_Q92667_AKAP1.pdf")</f>
        <v>Melting_Curves/meltCurve_Q92667_AKAP1.pdf</v>
      </c>
    </row>
    <row r="4751" spans="1:28" x14ac:dyDescent="0.25">
      <c r="A4751" t="s">
        <v>4754</v>
      </c>
      <c r="B4751">
        <v>0.99930955844802105</v>
      </c>
      <c r="C4751">
        <v>1.5772080615419299</v>
      </c>
      <c r="D4751">
        <v>1.4058167810809299</v>
      </c>
      <c r="E4751">
        <v>1.3308118797514199</v>
      </c>
      <c r="F4751">
        <v>1.6697075619688899</v>
      </c>
      <c r="G4751">
        <v>1.9550858630586301</v>
      </c>
      <c r="H4751">
        <v>2.37479702497677</v>
      </c>
      <c r="I4751">
        <v>2.9021071568887198</v>
      </c>
      <c r="J4751">
        <v>3.1637397974211598</v>
      </c>
      <c r="K4751">
        <v>2.3590452639436399</v>
      </c>
      <c r="L4751">
        <v>10266.838927091199</v>
      </c>
      <c r="M4751">
        <v>250</v>
      </c>
      <c r="O4751">
        <v>41.064726825260699</v>
      </c>
      <c r="P4751">
        <v>0.760993724043461</v>
      </c>
      <c r="Q4751">
        <v>1.5</v>
      </c>
      <c r="R4751">
        <v>-0.440848353168308</v>
      </c>
      <c r="S4751" t="s">
        <v>11367</v>
      </c>
      <c r="T4751" t="s">
        <v>13232</v>
      </c>
      <c r="U4751" t="s">
        <v>13232</v>
      </c>
      <c r="V4751" t="s">
        <v>13232</v>
      </c>
      <c r="W4751" t="s">
        <v>17919</v>
      </c>
      <c r="X4751">
        <v>2</v>
      </c>
      <c r="Y4751" t="s">
        <v>24328</v>
      </c>
      <c r="Z4751" t="s">
        <v>30882</v>
      </c>
      <c r="AA4751">
        <v>1.48217143805271</v>
      </c>
      <c r="AB4751" t="str">
        <f>HYPERLINK("Melting_Curves/meltCurve_Q92686_NRGN.pdf", "Melting_Curves/meltCurve_Q92686_NRGN.pdf")</f>
        <v>Melting_Curves/meltCurve_Q92686_NRGN.pdf</v>
      </c>
    </row>
    <row r="4752" spans="1:28" x14ac:dyDescent="0.25">
      <c r="A4752" t="s">
        <v>4755</v>
      </c>
      <c r="B4752">
        <v>0.99930955844802105</v>
      </c>
      <c r="C4752">
        <v>1.0022054587453</v>
      </c>
      <c r="D4752">
        <v>1.02327248849638</v>
      </c>
      <c r="E4752">
        <v>0.82673485728031504</v>
      </c>
      <c r="F4752">
        <v>0.83078545917104396</v>
      </c>
      <c r="G4752">
        <v>0.67924214567475505</v>
      </c>
      <c r="H4752">
        <v>0.209700344327481</v>
      </c>
      <c r="I4752">
        <v>9.8232657818580593E-2</v>
      </c>
      <c r="J4752">
        <v>6.2160804761301702E-2</v>
      </c>
      <c r="K4752">
        <v>4.8302349431867099E-2</v>
      </c>
      <c r="L4752">
        <v>1174.6550389650699</v>
      </c>
      <c r="M4752">
        <v>20.2683347492354</v>
      </c>
      <c r="N4752">
        <v>57.955185558840903</v>
      </c>
      <c r="O4752">
        <v>57.3998648252987</v>
      </c>
      <c r="P4752">
        <v>-8.8279653733014898E-2</v>
      </c>
      <c r="Q4752">
        <v>0</v>
      </c>
      <c r="R4752">
        <v>0.97874967385245404</v>
      </c>
      <c r="S4752" t="s">
        <v>11368</v>
      </c>
      <c r="T4752" t="s">
        <v>13232</v>
      </c>
      <c r="U4752" t="s">
        <v>13232</v>
      </c>
      <c r="V4752" t="s">
        <v>13232</v>
      </c>
      <c r="W4752" t="s">
        <v>17920</v>
      </c>
      <c r="X4752">
        <v>11</v>
      </c>
      <c r="Y4752" t="s">
        <v>24329</v>
      </c>
      <c r="Z4752" t="s">
        <v>30883</v>
      </c>
      <c r="AA4752">
        <v>0.60973563754589566</v>
      </c>
      <c r="AB4752" t="str">
        <f>HYPERLINK("Melting_Curves/meltCurve_Q92688_2_ANP32B.pdf", "Melting_Curves/meltCurve_Q92688_2_ANP32B.pdf")</f>
        <v>Melting_Curves/meltCurve_Q92688_2_ANP32B.pdf</v>
      </c>
    </row>
    <row r="4753" spans="1:28" x14ac:dyDescent="0.25">
      <c r="A4753" t="s">
        <v>4756</v>
      </c>
      <c r="B4753">
        <v>0.99930955844802105</v>
      </c>
      <c r="C4753">
        <v>0.69979903629649098</v>
      </c>
      <c r="D4753">
        <v>0.63199653879670803</v>
      </c>
      <c r="E4753">
        <v>0.74978684318911404</v>
      </c>
      <c r="F4753">
        <v>0.46249843347530101</v>
      </c>
      <c r="G4753">
        <v>0.270828971095667</v>
      </c>
      <c r="H4753">
        <v>0.176295791287817</v>
      </c>
      <c r="I4753">
        <v>0.158145092490175</v>
      </c>
      <c r="J4753">
        <v>0.14139034615007501</v>
      </c>
      <c r="K4753">
        <v>0.107655619197473</v>
      </c>
      <c r="L4753">
        <v>413.44753556010699</v>
      </c>
      <c r="M4753">
        <v>8.0177697206459104</v>
      </c>
      <c r="N4753">
        <v>51.566398229299097</v>
      </c>
      <c r="O4753">
        <v>48.655254647110198</v>
      </c>
      <c r="P4753">
        <v>-4.1243041547793E-2</v>
      </c>
      <c r="Q4753">
        <v>0</v>
      </c>
      <c r="R4753">
        <v>0.915864601324481</v>
      </c>
      <c r="S4753" t="s">
        <v>11369</v>
      </c>
      <c r="T4753" t="s">
        <v>13232</v>
      </c>
      <c r="U4753" t="s">
        <v>13232</v>
      </c>
      <c r="V4753" t="s">
        <v>13232</v>
      </c>
      <c r="W4753" t="s">
        <v>17921</v>
      </c>
      <c r="X4753">
        <v>5</v>
      </c>
      <c r="Y4753" t="s">
        <v>24330</v>
      </c>
      <c r="Z4753" t="s">
        <v>30884</v>
      </c>
      <c r="AA4753">
        <v>0.43528405358274019</v>
      </c>
      <c r="AB4753" t="str">
        <f>HYPERLINK("Melting_Curves/meltCurve_Q92692_PVRL2.pdf", "Melting_Curves/meltCurve_Q92692_PVRL2.pdf")</f>
        <v>Melting_Curves/meltCurve_Q92692_PVRL2.pdf</v>
      </c>
    </row>
    <row r="4754" spans="1:28" x14ac:dyDescent="0.25">
      <c r="A4754" t="s">
        <v>4757</v>
      </c>
      <c r="B4754">
        <v>0.99930955844802105</v>
      </c>
      <c r="C4754">
        <v>1.0633673539481701</v>
      </c>
      <c r="D4754">
        <v>1.01890880954012</v>
      </c>
      <c r="E4754">
        <v>0.83346352271152901</v>
      </c>
      <c r="F4754">
        <v>0.287295114916859</v>
      </c>
      <c r="G4754">
        <v>0.16182234074591301</v>
      </c>
      <c r="H4754">
        <v>9.8143451250282399E-2</v>
      </c>
      <c r="I4754">
        <v>7.9445419810942899E-2</v>
      </c>
      <c r="J4754">
        <v>6.8197059189741296E-2</v>
      </c>
      <c r="K4754">
        <v>5.2214038531852101E-2</v>
      </c>
      <c r="L4754">
        <v>2371.8327222654102</v>
      </c>
      <c r="M4754">
        <v>45.970746666750998</v>
      </c>
      <c r="N4754">
        <v>51.812984395037802</v>
      </c>
      <c r="O4754">
        <v>51.497042841437001</v>
      </c>
      <c r="P4754">
        <v>-0.20350034925173399</v>
      </c>
      <c r="Q4754">
        <v>8.8145875393692202E-2</v>
      </c>
      <c r="R4754">
        <v>0.99432079172464305</v>
      </c>
      <c r="S4754" t="s">
        <v>11370</v>
      </c>
      <c r="T4754" t="s">
        <v>13232</v>
      </c>
      <c r="U4754" t="s">
        <v>13232</v>
      </c>
      <c r="V4754" t="s">
        <v>13232</v>
      </c>
      <c r="W4754" t="s">
        <v>17922</v>
      </c>
      <c r="X4754">
        <v>24</v>
      </c>
      <c r="Y4754" t="s">
        <v>24331</v>
      </c>
      <c r="Z4754" t="s">
        <v>30885</v>
      </c>
      <c r="AA4754">
        <v>0.4430161781239414</v>
      </c>
      <c r="AB4754" t="str">
        <f>HYPERLINK("Melting_Curves/meltCurve_Q92696_RABGGTA.pdf", "Melting_Curves/meltCurve_Q92696_RABGGTA.pdf")</f>
        <v>Melting_Curves/meltCurve_Q92696_RABGGTA.pdf</v>
      </c>
    </row>
    <row r="4755" spans="1:28" x14ac:dyDescent="0.25">
      <c r="A4755" t="s">
        <v>4758</v>
      </c>
      <c r="B4755">
        <v>0.99930955844802105</v>
      </c>
      <c r="C4755">
        <v>0.99210787733845396</v>
      </c>
      <c r="D4755">
        <v>0.92448262793330505</v>
      </c>
      <c r="E4755">
        <v>0.93801309990141701</v>
      </c>
      <c r="F4755">
        <v>0.897810049446646</v>
      </c>
      <c r="G4755">
        <v>0.77694739261488099</v>
      </c>
      <c r="H4755">
        <v>0.561089919958915</v>
      </c>
      <c r="I4755">
        <v>0.49600029951934399</v>
      </c>
      <c r="J4755">
        <v>0.42176579011516602</v>
      </c>
      <c r="K4755">
        <v>0.24344757740303</v>
      </c>
      <c r="L4755">
        <v>638.36655968671198</v>
      </c>
      <c r="M4755">
        <v>10.0449426350159</v>
      </c>
      <c r="N4755">
        <v>63.551017148815802</v>
      </c>
      <c r="O4755">
        <v>61.186431526070699</v>
      </c>
      <c r="P4755">
        <v>-4.1061983663930698E-2</v>
      </c>
      <c r="Q4755">
        <v>0</v>
      </c>
      <c r="R4755">
        <v>0.98581978133959303</v>
      </c>
      <c r="S4755" t="s">
        <v>11371</v>
      </c>
      <c r="T4755" t="s">
        <v>13232</v>
      </c>
      <c r="U4755" t="s">
        <v>13232</v>
      </c>
      <c r="V4755" t="s">
        <v>13232</v>
      </c>
      <c r="W4755" t="s">
        <v>17923</v>
      </c>
      <c r="X4755">
        <v>14</v>
      </c>
      <c r="Y4755" t="s">
        <v>24332</v>
      </c>
      <c r="Z4755" t="s">
        <v>30886</v>
      </c>
      <c r="AA4755">
        <v>0.74818370748902274</v>
      </c>
      <c r="AB4755" t="str">
        <f>HYPERLINK("Melting_Curves/meltCurve_Q92734_2_TFG.pdf", "Melting_Curves/meltCurve_Q92734_2_TFG.pdf")</f>
        <v>Melting_Curves/meltCurve_Q92734_2_TFG.pdf</v>
      </c>
    </row>
    <row r="4756" spans="1:28" x14ac:dyDescent="0.25">
      <c r="A4756" t="s">
        <v>4759</v>
      </c>
      <c r="B4756">
        <v>0.99930955844802105</v>
      </c>
      <c r="C4756">
        <v>1.0024450146783199</v>
      </c>
      <c r="D4756">
        <v>1.07885720495166</v>
      </c>
      <c r="E4756">
        <v>1.1638036206737901</v>
      </c>
      <c r="F4756">
        <v>1.1973948527906599</v>
      </c>
      <c r="G4756">
        <v>0.93648257938421398</v>
      </c>
      <c r="H4756">
        <v>0.38931423292592499</v>
      </c>
      <c r="I4756">
        <v>0.205591919872611</v>
      </c>
      <c r="J4756">
        <v>0.155541881143587</v>
      </c>
      <c r="K4756">
        <v>0.12925938221671401</v>
      </c>
      <c r="L4756">
        <v>2995.6200477499901</v>
      </c>
      <c r="M4756">
        <v>50.012657006332702</v>
      </c>
      <c r="N4756">
        <v>60.325207374992097</v>
      </c>
      <c r="O4756">
        <v>59.801716074184696</v>
      </c>
      <c r="P4756">
        <v>-0.177852371128914</v>
      </c>
      <c r="Q4756">
        <v>0.14934604040726299</v>
      </c>
      <c r="R4756">
        <v>0.95913720855380102</v>
      </c>
      <c r="S4756" t="s">
        <v>11372</v>
      </c>
      <c r="T4756" t="s">
        <v>13232</v>
      </c>
      <c r="U4756" t="s">
        <v>13232</v>
      </c>
      <c r="V4756" t="s">
        <v>13232</v>
      </c>
      <c r="W4756" t="s">
        <v>17924</v>
      </c>
      <c r="X4756">
        <v>10</v>
      </c>
      <c r="Y4756" t="s">
        <v>24333</v>
      </c>
      <c r="Z4756" t="s">
        <v>30887</v>
      </c>
      <c r="AA4756">
        <v>0.71574552317599471</v>
      </c>
      <c r="AB4756" t="str">
        <f>HYPERLINK("Melting_Curves/meltCurve_Q92747_ARPC1A.pdf", "Melting_Curves/meltCurve_Q92747_ARPC1A.pdf")</f>
        <v>Melting_Curves/meltCurve_Q92747_ARPC1A.pdf</v>
      </c>
    </row>
    <row r="4757" spans="1:28" x14ac:dyDescent="0.25">
      <c r="A4757" t="s">
        <v>4760</v>
      </c>
      <c r="B4757">
        <v>0.99930955844802105</v>
      </c>
      <c r="C4757">
        <v>1.0807217258060899</v>
      </c>
      <c r="D4757">
        <v>1.0775769769205801</v>
      </c>
      <c r="E4757">
        <v>0.91606996583482003</v>
      </c>
      <c r="F4757">
        <v>0.744949731142314</v>
      </c>
      <c r="G4757">
        <v>0.56848065359566802</v>
      </c>
      <c r="H4757">
        <v>0.50300475655881804</v>
      </c>
      <c r="I4757">
        <v>0.44346329908381099</v>
      </c>
      <c r="J4757">
        <v>0.44719114479065197</v>
      </c>
      <c r="K4757">
        <v>0.309432335877531</v>
      </c>
      <c r="L4757">
        <v>1022.7653659676999</v>
      </c>
      <c r="M4757">
        <v>18.7216941495473</v>
      </c>
      <c r="N4757">
        <v>59.283424422061699</v>
      </c>
      <c r="O4757">
        <v>54.018114769827903</v>
      </c>
      <c r="P4757">
        <v>-5.3290288606591699E-2</v>
      </c>
      <c r="Q4757">
        <v>0.38498744223562997</v>
      </c>
      <c r="R4757">
        <v>0.96212988230395302</v>
      </c>
      <c r="S4757" t="s">
        <v>11373</v>
      </c>
      <c r="T4757" t="s">
        <v>13232</v>
      </c>
      <c r="U4757" t="s">
        <v>13232</v>
      </c>
      <c r="V4757" t="s">
        <v>13232</v>
      </c>
      <c r="W4757" t="s">
        <v>17925</v>
      </c>
      <c r="X4757">
        <v>8</v>
      </c>
      <c r="Y4757" t="s">
        <v>24334</v>
      </c>
      <c r="Z4757" t="s">
        <v>30888</v>
      </c>
      <c r="AA4757">
        <v>0.69402881170495478</v>
      </c>
      <c r="AB4757" t="str">
        <f>HYPERLINK("Melting_Curves/meltCurve_Q92750_TAF4B.pdf", "Melting_Curves/meltCurve_Q92750_TAF4B.pdf")</f>
        <v>Melting_Curves/meltCurve_Q92750_TAF4B.pdf</v>
      </c>
    </row>
    <row r="4758" spans="1:28" x14ac:dyDescent="0.25">
      <c r="A4758" t="s">
        <v>4761</v>
      </c>
      <c r="B4758">
        <v>0.99930955844802105</v>
      </c>
      <c r="C4758">
        <v>0.61992297467969204</v>
      </c>
      <c r="D4758">
        <v>0.50965434328311199</v>
      </c>
      <c r="E4758">
        <v>0.24384152083153501</v>
      </c>
      <c r="F4758">
        <v>0.123986634981554</v>
      </c>
      <c r="G4758">
        <v>7.5420202129783107E-2</v>
      </c>
      <c r="H4758">
        <v>3.5105430363376003E-2</v>
      </c>
      <c r="I4758">
        <v>2.85825615796634E-2</v>
      </c>
      <c r="J4758">
        <v>2.11437433486731E-2</v>
      </c>
      <c r="K4758">
        <v>1.9733152848252201E-2</v>
      </c>
      <c r="L4758">
        <v>670.34205210010998</v>
      </c>
      <c r="M4758">
        <v>14.6930311041761</v>
      </c>
      <c r="N4758">
        <v>45.7288970331903</v>
      </c>
      <c r="O4758">
        <v>44.803016147274199</v>
      </c>
      <c r="P4758">
        <v>-8.0625955374449707E-2</v>
      </c>
      <c r="Q4758">
        <v>1.6706553419468299E-2</v>
      </c>
      <c r="R4758">
        <v>0.97632992850412403</v>
      </c>
      <c r="S4758" t="s">
        <v>11374</v>
      </c>
      <c r="T4758" t="s">
        <v>13232</v>
      </c>
      <c r="U4758" t="s">
        <v>13232</v>
      </c>
      <c r="V4758" t="s">
        <v>13232</v>
      </c>
      <c r="W4758" t="s">
        <v>17926</v>
      </c>
      <c r="X4758">
        <v>8</v>
      </c>
      <c r="Y4758" t="s">
        <v>24335</v>
      </c>
      <c r="Z4758" t="s">
        <v>30889</v>
      </c>
      <c r="AA4758">
        <v>0.23200837145979539</v>
      </c>
      <c r="AB4758" t="str">
        <f>HYPERLINK("Melting_Curves/meltCurve_Q92759_GTF2H4.pdf", "Melting_Curves/meltCurve_Q92759_GTF2H4.pdf")</f>
        <v>Melting_Curves/meltCurve_Q92759_GTF2H4.pdf</v>
      </c>
    </row>
    <row r="4759" spans="1:28" x14ac:dyDescent="0.25">
      <c r="A4759" t="s">
        <v>4762</v>
      </c>
      <c r="B4759">
        <v>0.99930955844802105</v>
      </c>
      <c r="C4759">
        <v>1.0671165098875901</v>
      </c>
      <c r="D4759">
        <v>1.0213711076316201</v>
      </c>
      <c r="E4759">
        <v>0.98899015409838498</v>
      </c>
      <c r="F4759">
        <v>0.80986438174177799</v>
      </c>
      <c r="G4759">
        <v>0.58998364317774799</v>
      </c>
      <c r="H4759">
        <v>0.50591504737665505</v>
      </c>
      <c r="I4759">
        <v>0.52179565896186297</v>
      </c>
      <c r="J4759">
        <v>0.51862339138880598</v>
      </c>
      <c r="K4759">
        <v>0.40139638943374201</v>
      </c>
      <c r="L4759">
        <v>1553.30639007128</v>
      </c>
      <c r="M4759">
        <v>28.609284278130399</v>
      </c>
      <c r="N4759">
        <v>61.061026151005102</v>
      </c>
      <c r="O4759">
        <v>54.0305923822661</v>
      </c>
      <c r="P4759">
        <v>-6.8966432071203093E-2</v>
      </c>
      <c r="Q4759">
        <v>0.479012783084307</v>
      </c>
      <c r="R4759">
        <v>0.97498135861461699</v>
      </c>
      <c r="S4759" t="s">
        <v>11375</v>
      </c>
      <c r="T4759" t="s">
        <v>13232</v>
      </c>
      <c r="U4759" t="s">
        <v>13232</v>
      </c>
      <c r="V4759" t="s">
        <v>13232</v>
      </c>
      <c r="W4759" t="s">
        <v>17927</v>
      </c>
      <c r="X4759">
        <v>34</v>
      </c>
      <c r="Y4759" t="s">
        <v>24336</v>
      </c>
      <c r="Z4759" t="s">
        <v>30890</v>
      </c>
      <c r="AA4759">
        <v>0.73100058070858709</v>
      </c>
      <c r="AB4759" t="str">
        <f>HYPERLINK("Melting_Curves/meltCurve_Q92766_RREB1.pdf", "Melting_Curves/meltCurve_Q92766_RREB1.pdf")</f>
        <v>Melting_Curves/meltCurve_Q92766_RREB1.pdf</v>
      </c>
    </row>
    <row r="4760" spans="1:28" x14ac:dyDescent="0.25">
      <c r="A4760" t="s">
        <v>4763</v>
      </c>
      <c r="B4760">
        <v>0.99930955844802105</v>
      </c>
      <c r="C4760">
        <v>0.82465770016646001</v>
      </c>
      <c r="D4760">
        <v>0.79980877017336005</v>
      </c>
      <c r="E4760">
        <v>0.76118662038122498</v>
      </c>
      <c r="F4760">
        <v>0.42169634436635101</v>
      </c>
      <c r="G4760">
        <v>0.17488950243746701</v>
      </c>
      <c r="H4760">
        <v>0.106317130001223</v>
      </c>
      <c r="I4760">
        <v>8.9214946223588207E-2</v>
      </c>
      <c r="J4760">
        <v>7.8217602183375604E-2</v>
      </c>
      <c r="K4760">
        <v>6.0479963155494601E-2</v>
      </c>
      <c r="L4760">
        <v>708.94974150708595</v>
      </c>
      <c r="M4760">
        <v>13.642046425077201</v>
      </c>
      <c r="N4760">
        <v>52.058408074534697</v>
      </c>
      <c r="O4760">
        <v>50.889462708617302</v>
      </c>
      <c r="P4760">
        <v>-6.6243094330735205E-2</v>
      </c>
      <c r="Q4760">
        <v>1.17078076417413E-2</v>
      </c>
      <c r="R4760">
        <v>0.96831484904807197</v>
      </c>
      <c r="S4760" t="s">
        <v>11376</v>
      </c>
      <c r="T4760" t="s">
        <v>13232</v>
      </c>
      <c r="U4760" t="s">
        <v>13232</v>
      </c>
      <c r="V4760" t="s">
        <v>13232</v>
      </c>
      <c r="W4760" t="s">
        <v>17928</v>
      </c>
      <c r="X4760">
        <v>19</v>
      </c>
      <c r="Y4760" t="s">
        <v>24337</v>
      </c>
      <c r="Z4760" t="s">
        <v>30891</v>
      </c>
      <c r="AA4760">
        <v>0.43142936094685591</v>
      </c>
      <c r="AB4760" t="str">
        <f>HYPERLINK("Melting_Curves/meltCurve_Q92769_HDAC2.pdf", "Melting_Curves/meltCurve_Q92769_HDAC2.pdf")</f>
        <v>Melting_Curves/meltCurve_Q92769_HDAC2.pdf</v>
      </c>
    </row>
    <row r="4761" spans="1:28" x14ac:dyDescent="0.25">
      <c r="A4761" t="s">
        <v>4764</v>
      </c>
      <c r="B4761">
        <v>0.99930955844802105</v>
      </c>
      <c r="C4761">
        <v>0.99414646883536295</v>
      </c>
      <c r="D4761">
        <v>0.631830172667039</v>
      </c>
      <c r="E4761">
        <v>0.79155256609492897</v>
      </c>
      <c r="F4761">
        <v>0.68323841397593899</v>
      </c>
      <c r="G4761">
        <v>0.48625373804141803</v>
      </c>
      <c r="H4761">
        <v>0.37405336688621599</v>
      </c>
      <c r="I4761">
        <v>0.35005916155397798</v>
      </c>
      <c r="J4761">
        <v>0.29417678028195898</v>
      </c>
      <c r="K4761">
        <v>0.25056464003998602</v>
      </c>
      <c r="L4761">
        <v>389.262279846301</v>
      </c>
      <c r="M4761">
        <v>6.9043153694893702</v>
      </c>
      <c r="N4761">
        <v>57.284328003454199</v>
      </c>
      <c r="O4761">
        <v>52.219312077907901</v>
      </c>
      <c r="P4761">
        <v>-3.1408058579040603E-2</v>
      </c>
      <c r="Q4761">
        <v>5.1656664914642901E-2</v>
      </c>
      <c r="R4761">
        <v>0.91178539568267003</v>
      </c>
      <c r="S4761" t="s">
        <v>11377</v>
      </c>
      <c r="T4761" t="s">
        <v>13232</v>
      </c>
      <c r="U4761" t="s">
        <v>13232</v>
      </c>
      <c r="V4761" t="s">
        <v>13232</v>
      </c>
      <c r="W4761" t="s">
        <v>17929</v>
      </c>
      <c r="X4761">
        <v>14</v>
      </c>
      <c r="Y4761" t="s">
        <v>24338</v>
      </c>
      <c r="Z4761" t="s">
        <v>30892</v>
      </c>
      <c r="AA4761">
        <v>0.58280071027033264</v>
      </c>
      <c r="AB4761" t="str">
        <f>HYPERLINK("Melting_Curves/meltCurve_Q92783_2_STAM.pdf", "Melting_Curves/meltCurve_Q92783_2_STAM.pdf")</f>
        <v>Melting_Curves/meltCurve_Q92783_2_STAM.pdf</v>
      </c>
    </row>
    <row r="4762" spans="1:28" x14ac:dyDescent="0.25">
      <c r="A4762" t="s">
        <v>4765</v>
      </c>
      <c r="B4762">
        <v>0.99930955844802105</v>
      </c>
      <c r="C4762">
        <v>0.81956335830223803</v>
      </c>
      <c r="D4762">
        <v>0.72481675725766004</v>
      </c>
      <c r="E4762">
        <v>0.66431015034862595</v>
      </c>
      <c r="F4762">
        <v>0.52440365157430502</v>
      </c>
      <c r="G4762">
        <v>0.42146759858467497</v>
      </c>
      <c r="H4762">
        <v>0.33512274405495601</v>
      </c>
      <c r="I4762">
        <v>0.334381931032257</v>
      </c>
      <c r="J4762">
        <v>0.30351666820584999</v>
      </c>
      <c r="K4762">
        <v>0.23859241915468299</v>
      </c>
      <c r="L4762">
        <v>425.57461616016701</v>
      </c>
      <c r="M4762">
        <v>8.3534050811330207</v>
      </c>
      <c r="N4762">
        <v>53.992413668883202</v>
      </c>
      <c r="O4762">
        <v>48.2773525448196</v>
      </c>
      <c r="P4762">
        <v>-3.5163083407691302E-2</v>
      </c>
      <c r="Q4762">
        <v>0.187900432673901</v>
      </c>
      <c r="R4762">
        <v>0.97951674422136004</v>
      </c>
      <c r="S4762" t="s">
        <v>11378</v>
      </c>
      <c r="T4762" t="s">
        <v>13232</v>
      </c>
      <c r="U4762" t="s">
        <v>13232</v>
      </c>
      <c r="V4762" t="s">
        <v>13232</v>
      </c>
      <c r="W4762" t="s">
        <v>17930</v>
      </c>
      <c r="X4762">
        <v>4</v>
      </c>
      <c r="Y4762" t="s">
        <v>24339</v>
      </c>
      <c r="Z4762" t="s">
        <v>30893</v>
      </c>
      <c r="AA4762">
        <v>0.52593417939662768</v>
      </c>
      <c r="AB4762" t="str">
        <f>HYPERLINK("Melting_Curves/meltCurve_Q92784_DPF3.pdf", "Melting_Curves/meltCurve_Q92784_DPF3.pdf")</f>
        <v>Melting_Curves/meltCurve_Q92784_DPF3.pdf</v>
      </c>
    </row>
    <row r="4763" spans="1:28" x14ac:dyDescent="0.25">
      <c r="A4763" t="s">
        <v>4766</v>
      </c>
      <c r="B4763">
        <v>0.99930955844802105</v>
      </c>
      <c r="C4763">
        <v>0.835603169829924</v>
      </c>
      <c r="D4763">
        <v>0.79693330400535101</v>
      </c>
      <c r="E4763">
        <v>0.65791219656822797</v>
      </c>
      <c r="F4763">
        <v>0.47957394919309798</v>
      </c>
      <c r="G4763">
        <v>0.40895641504586899</v>
      </c>
      <c r="H4763">
        <v>0.29559881141122102</v>
      </c>
      <c r="I4763">
        <v>0.277793711254612</v>
      </c>
      <c r="J4763">
        <v>0.26830310057946599</v>
      </c>
      <c r="K4763">
        <v>0.23053706445955199</v>
      </c>
      <c r="L4763">
        <v>513.841646823715</v>
      </c>
      <c r="M4763">
        <v>10.1173329896227</v>
      </c>
      <c r="N4763">
        <v>53.279737753329101</v>
      </c>
      <c r="O4763">
        <v>48.923849049572198</v>
      </c>
      <c r="P4763">
        <v>-4.1975172456407001E-2</v>
      </c>
      <c r="Q4763">
        <v>0.18846905823930599</v>
      </c>
      <c r="R4763">
        <v>0.98799622352764904</v>
      </c>
      <c r="S4763" t="s">
        <v>11379</v>
      </c>
      <c r="T4763" t="s">
        <v>13232</v>
      </c>
      <c r="U4763" t="s">
        <v>13232</v>
      </c>
      <c r="V4763" t="s">
        <v>13232</v>
      </c>
      <c r="W4763" t="s">
        <v>17931</v>
      </c>
      <c r="X4763">
        <v>14</v>
      </c>
      <c r="Y4763" t="s">
        <v>24340</v>
      </c>
      <c r="Z4763" t="s">
        <v>30894</v>
      </c>
      <c r="AA4763">
        <v>0.51416744276395954</v>
      </c>
      <c r="AB4763" t="str">
        <f>HYPERLINK("Melting_Curves/meltCurve_Q92785_DPF2.pdf", "Melting_Curves/meltCurve_Q92785_DPF2.pdf")</f>
        <v>Melting_Curves/meltCurve_Q92785_DPF2.pdf</v>
      </c>
    </row>
    <row r="4764" spans="1:28" x14ac:dyDescent="0.25">
      <c r="A4764" t="s">
        <v>4767</v>
      </c>
      <c r="B4764">
        <v>0.99930955844802105</v>
      </c>
      <c r="C4764">
        <v>1.10104213122707</v>
      </c>
      <c r="D4764">
        <v>1.0674086711211499</v>
      </c>
      <c r="E4764">
        <v>1.0512842752657101</v>
      </c>
      <c r="F4764">
        <v>0.89902033119073299</v>
      </c>
      <c r="G4764">
        <v>0.62478169177863896</v>
      </c>
      <c r="H4764">
        <v>0.56334600344101105</v>
      </c>
      <c r="I4764">
        <v>0.54344495243961299</v>
      </c>
      <c r="J4764">
        <v>0.524876150180135</v>
      </c>
      <c r="K4764">
        <v>0.41346498951240301</v>
      </c>
      <c r="L4764">
        <v>1879.84700800065</v>
      </c>
      <c r="M4764">
        <v>33.9774751997941</v>
      </c>
      <c r="O4764">
        <v>55.135667954978103</v>
      </c>
      <c r="P4764">
        <v>-7.6727783976561298E-2</v>
      </c>
      <c r="Q4764">
        <v>0.50197341408221097</v>
      </c>
      <c r="R4764">
        <v>0.95281334869753398</v>
      </c>
      <c r="S4764" t="s">
        <v>11380</v>
      </c>
      <c r="T4764" t="s">
        <v>13232</v>
      </c>
      <c r="U4764" t="s">
        <v>13232</v>
      </c>
      <c r="V4764" t="s">
        <v>13232</v>
      </c>
      <c r="W4764" t="s">
        <v>17932</v>
      </c>
      <c r="X4764">
        <v>34</v>
      </c>
      <c r="Y4764" t="s">
        <v>24341</v>
      </c>
      <c r="Z4764" t="s">
        <v>30895</v>
      </c>
      <c r="AA4764">
        <v>0.75901484141570941</v>
      </c>
      <c r="AB4764" t="str">
        <f>HYPERLINK("Melting_Curves/meltCurve_Q92793_CREBBP.pdf", "Melting_Curves/meltCurve_Q92793_CREBBP.pdf")</f>
        <v>Melting_Curves/meltCurve_Q92793_CREBBP.pdf</v>
      </c>
    </row>
    <row r="4765" spans="1:28" x14ac:dyDescent="0.25">
      <c r="A4765" t="s">
        <v>4768</v>
      </c>
      <c r="B4765">
        <v>0.99930955844802105</v>
      </c>
      <c r="C4765">
        <v>1.0567493271283499</v>
      </c>
      <c r="D4765">
        <v>0.97428527014002497</v>
      </c>
      <c r="E4765">
        <v>0.94511187331542901</v>
      </c>
      <c r="F4765">
        <v>0.68333045572397999</v>
      </c>
      <c r="G4765">
        <v>0.39579612452993901</v>
      </c>
      <c r="H4765">
        <v>0.25911366404184299</v>
      </c>
      <c r="I4765">
        <v>0.182267712074451</v>
      </c>
      <c r="J4765">
        <v>0.156524069989706</v>
      </c>
      <c r="K4765">
        <v>0.13516234662391499</v>
      </c>
      <c r="L4765">
        <v>1180.4231945377401</v>
      </c>
      <c r="M4765">
        <v>21.585201111118</v>
      </c>
      <c r="N4765">
        <v>55.573896017845797</v>
      </c>
      <c r="O4765">
        <v>54.223786797282102</v>
      </c>
      <c r="P4765">
        <v>-8.5016345034591101E-2</v>
      </c>
      <c r="Q4765">
        <v>0.14574828350254701</v>
      </c>
      <c r="R4765">
        <v>0.99427331081665005</v>
      </c>
      <c r="S4765" t="s">
        <v>11381</v>
      </c>
      <c r="T4765" t="s">
        <v>13232</v>
      </c>
      <c r="U4765" t="s">
        <v>13232</v>
      </c>
      <c r="V4765" t="s">
        <v>13232</v>
      </c>
      <c r="W4765" t="s">
        <v>17933</v>
      </c>
      <c r="X4765">
        <v>7</v>
      </c>
      <c r="Y4765" t="s">
        <v>24342</v>
      </c>
      <c r="Z4765" t="s">
        <v>30896</v>
      </c>
      <c r="AA4765">
        <v>0.57411098508887115</v>
      </c>
      <c r="AB4765" t="str">
        <f>HYPERLINK("Melting_Curves/meltCurve_Q92796_3_DLG3.pdf", "Melting_Curves/meltCurve_Q92796_3_DLG3.pdf")</f>
        <v>Melting_Curves/meltCurve_Q92796_3_DLG3.pdf</v>
      </c>
    </row>
    <row r="4766" spans="1:28" x14ac:dyDescent="0.25">
      <c r="A4766" t="s">
        <v>4769</v>
      </c>
      <c r="B4766">
        <v>0.99930955844802105</v>
      </c>
      <c r="C4766">
        <v>0.93686208115557501</v>
      </c>
      <c r="D4766">
        <v>0.79563928198413203</v>
      </c>
      <c r="E4766">
        <v>0.43253061219514499</v>
      </c>
      <c r="F4766">
        <v>0.27479183458046602</v>
      </c>
      <c r="G4766">
        <v>0.203390302014232</v>
      </c>
      <c r="H4766">
        <v>0.15898616010247399</v>
      </c>
      <c r="I4766">
        <v>0.15319949552260301</v>
      </c>
      <c r="J4766">
        <v>0.14959623320395601</v>
      </c>
      <c r="K4766">
        <v>0.12051024049143801</v>
      </c>
      <c r="L4766">
        <v>984.33678734070702</v>
      </c>
      <c r="M4766">
        <v>20.299113185028901</v>
      </c>
      <c r="N4766">
        <v>49.312900795889298</v>
      </c>
      <c r="O4766">
        <v>48.028357059800697</v>
      </c>
      <c r="P4766">
        <v>-9.0509944317354804E-2</v>
      </c>
      <c r="Q4766">
        <v>0.14342841517923899</v>
      </c>
      <c r="R4766">
        <v>0.99870056130092999</v>
      </c>
      <c r="S4766" t="s">
        <v>11382</v>
      </c>
      <c r="T4766" t="s">
        <v>13232</v>
      </c>
      <c r="U4766" t="s">
        <v>13232</v>
      </c>
      <c r="V4766" t="s">
        <v>13232</v>
      </c>
      <c r="W4766" t="s">
        <v>17934</v>
      </c>
      <c r="X4766">
        <v>37</v>
      </c>
      <c r="Y4766" t="s">
        <v>24343</v>
      </c>
      <c r="Z4766" t="s">
        <v>30897</v>
      </c>
      <c r="AA4766">
        <v>0.39758748395278831</v>
      </c>
      <c r="AB4766" t="str">
        <f>HYPERLINK("Melting_Curves/meltCurve_Q92797_SYMPK.pdf", "Melting_Curves/meltCurve_Q92797_SYMPK.pdf")</f>
        <v>Melting_Curves/meltCurve_Q92797_SYMPK.pdf</v>
      </c>
    </row>
    <row r="4767" spans="1:28" x14ac:dyDescent="0.25">
      <c r="A4767" t="s">
        <v>4770</v>
      </c>
      <c r="B4767">
        <v>0.99930955844802105</v>
      </c>
      <c r="C4767">
        <v>0.87564214059663403</v>
      </c>
      <c r="D4767">
        <v>0.861448735384853</v>
      </c>
      <c r="E4767">
        <v>0.81077122580316396</v>
      </c>
      <c r="F4767">
        <v>0.57241965042005505</v>
      </c>
      <c r="G4767">
        <v>0.48654615919049199</v>
      </c>
      <c r="H4767">
        <v>0.380956325159652</v>
      </c>
      <c r="I4767">
        <v>0.43981060753089501</v>
      </c>
      <c r="J4767">
        <v>0.48383481912852799</v>
      </c>
      <c r="K4767">
        <v>0.32633969757834003</v>
      </c>
      <c r="L4767">
        <v>633.99518862423702</v>
      </c>
      <c r="M4767">
        <v>12.3876131631049</v>
      </c>
      <c r="N4767">
        <v>57.077054325465603</v>
      </c>
      <c r="O4767">
        <v>49.900891150269601</v>
      </c>
      <c r="P4767">
        <v>-3.96674493894629E-2</v>
      </c>
      <c r="Q4767">
        <v>0.36096831966304299</v>
      </c>
      <c r="R4767">
        <v>0.94230870384504495</v>
      </c>
      <c r="S4767" t="s">
        <v>11383</v>
      </c>
      <c r="T4767" t="s">
        <v>13232</v>
      </c>
      <c r="U4767" t="s">
        <v>13232</v>
      </c>
      <c r="V4767" t="s">
        <v>13232</v>
      </c>
      <c r="W4767" t="s">
        <v>17935</v>
      </c>
      <c r="X4767">
        <v>13</v>
      </c>
      <c r="Y4767" t="s">
        <v>24344</v>
      </c>
      <c r="Z4767" t="s">
        <v>30898</v>
      </c>
      <c r="AA4767">
        <v>0.61881113538325694</v>
      </c>
      <c r="AB4767" t="str">
        <f>HYPERLINK("Melting_Curves/meltCurve_Q92804_2_TAF15.pdf", "Melting_Curves/meltCurve_Q92804_2_TAF15.pdf")</f>
        <v>Melting_Curves/meltCurve_Q92804_2_TAF15.pdf</v>
      </c>
    </row>
    <row r="4768" spans="1:28" x14ac:dyDescent="0.25">
      <c r="A4768" t="s">
        <v>4771</v>
      </c>
      <c r="B4768">
        <v>0.99930955844802105</v>
      </c>
      <c r="C4768">
        <v>1.12116912650655</v>
      </c>
      <c r="D4768">
        <v>0.97236218504362504</v>
      </c>
      <c r="E4768">
        <v>0.82223196472243298</v>
      </c>
      <c r="F4768">
        <v>0.74142274094152305</v>
      </c>
      <c r="G4768">
        <v>0.69537070346886998</v>
      </c>
      <c r="H4768">
        <v>0.56940827914292202</v>
      </c>
      <c r="I4768">
        <v>0.56172558854503096</v>
      </c>
      <c r="J4768">
        <v>0.55149511047410504</v>
      </c>
      <c r="K4768">
        <v>0.422252207679993</v>
      </c>
      <c r="L4768">
        <v>669.18633134908202</v>
      </c>
      <c r="M4768">
        <v>12.252044040839101</v>
      </c>
      <c r="N4768">
        <v>68.122543739503897</v>
      </c>
      <c r="O4768">
        <v>53.224445464636801</v>
      </c>
      <c r="P4768">
        <v>-3.1317768714708101E-2</v>
      </c>
      <c r="Q4768">
        <v>0.45592744450742301</v>
      </c>
      <c r="R4768">
        <v>0.93198628311369902</v>
      </c>
      <c r="S4768" t="s">
        <v>11384</v>
      </c>
      <c r="T4768" t="s">
        <v>13232</v>
      </c>
      <c r="U4768" t="s">
        <v>13232</v>
      </c>
      <c r="V4768" t="s">
        <v>13232</v>
      </c>
      <c r="W4768" t="s">
        <v>17936</v>
      </c>
      <c r="X4768">
        <v>13</v>
      </c>
      <c r="Y4768" t="s">
        <v>24345</v>
      </c>
      <c r="Z4768" t="s">
        <v>30899</v>
      </c>
      <c r="AA4768">
        <v>0.73415780577298551</v>
      </c>
      <c r="AB4768" t="str">
        <f>HYPERLINK("Melting_Curves/meltCurve_Q92805_GOLGA1.pdf", "Melting_Curves/meltCurve_Q92805_GOLGA1.pdf")</f>
        <v>Melting_Curves/meltCurve_Q92805_GOLGA1.pdf</v>
      </c>
    </row>
    <row r="4769" spans="1:28" x14ac:dyDescent="0.25">
      <c r="A4769" t="s">
        <v>4772</v>
      </c>
      <c r="B4769">
        <v>0.99930955844802105</v>
      </c>
      <c r="C4769">
        <v>1.0535130518234099</v>
      </c>
      <c r="D4769">
        <v>1.0128548840773</v>
      </c>
      <c r="E4769">
        <v>1.0314929527897001</v>
      </c>
      <c r="F4769">
        <v>0.96894755056890203</v>
      </c>
      <c r="G4769">
        <v>0.81275056458495698</v>
      </c>
      <c r="H4769">
        <v>0.63071905166045195</v>
      </c>
      <c r="I4769">
        <v>0.468638515283966</v>
      </c>
      <c r="J4769">
        <v>0.19661714243519801</v>
      </c>
      <c r="K4769">
        <v>6.9694468221884298E-2</v>
      </c>
      <c r="L4769">
        <v>1196.3369135452499</v>
      </c>
      <c r="M4769">
        <v>19.087929517535699</v>
      </c>
      <c r="N4769">
        <v>62.675050867557502</v>
      </c>
      <c r="O4769">
        <v>61.999302935928199</v>
      </c>
      <c r="P4769">
        <v>-7.6971336591593401E-2</v>
      </c>
      <c r="Q4769">
        <v>0</v>
      </c>
      <c r="R4769">
        <v>0.98710583227124205</v>
      </c>
      <c r="S4769" t="s">
        <v>11385</v>
      </c>
      <c r="T4769" t="s">
        <v>13232</v>
      </c>
      <c r="U4769" t="s">
        <v>13232</v>
      </c>
      <c r="V4769" t="s">
        <v>13232</v>
      </c>
      <c r="W4769" t="s">
        <v>17937</v>
      </c>
      <c r="X4769">
        <v>11</v>
      </c>
      <c r="Y4769" t="s">
        <v>24346</v>
      </c>
      <c r="Z4769" t="s">
        <v>30900</v>
      </c>
      <c r="AA4769">
        <v>0.75551424902436592</v>
      </c>
      <c r="AB4769" t="str">
        <f>HYPERLINK("Melting_Curves/meltCurve_Q92820_GGH.pdf", "Melting_Curves/meltCurve_Q92820_GGH.pdf")</f>
        <v>Melting_Curves/meltCurve_Q92820_GGH.pdf</v>
      </c>
    </row>
    <row r="4770" spans="1:28" x14ac:dyDescent="0.25">
      <c r="A4770" t="s">
        <v>4773</v>
      </c>
      <c r="B4770">
        <v>0.99930955844802105</v>
      </c>
      <c r="C4770">
        <v>0.68637473237971802</v>
      </c>
      <c r="D4770">
        <v>0.692799128188608</v>
      </c>
      <c r="E4770">
        <v>0.509213498521351</v>
      </c>
      <c r="F4770">
        <v>0.40648856502756098</v>
      </c>
      <c r="G4770">
        <v>0.24935972828310901</v>
      </c>
      <c r="H4770">
        <v>0.19657564773178299</v>
      </c>
      <c r="I4770">
        <v>0.14469150313637799</v>
      </c>
      <c r="J4770">
        <v>0.15254202086272201</v>
      </c>
      <c r="K4770">
        <v>4.8478617672459097E-2</v>
      </c>
      <c r="L4770">
        <v>411.562448134558</v>
      </c>
      <c r="M4770">
        <v>8.2141237245568099</v>
      </c>
      <c r="N4770">
        <v>50.1067089762767</v>
      </c>
      <c r="O4770">
        <v>47.397558946780599</v>
      </c>
      <c r="P4770">
        <v>-4.3361292616845799E-2</v>
      </c>
      <c r="Q4770">
        <v>2.0211368386571001E-4</v>
      </c>
      <c r="R4770">
        <v>0.96559923755581101</v>
      </c>
      <c r="S4770" t="s">
        <v>11386</v>
      </c>
      <c r="T4770" t="s">
        <v>13232</v>
      </c>
      <c r="U4770" t="s">
        <v>13232</v>
      </c>
      <c r="V4770" t="s">
        <v>13232</v>
      </c>
      <c r="W4770" t="s">
        <v>17938</v>
      </c>
      <c r="X4770">
        <v>3</v>
      </c>
      <c r="Y4770" t="s">
        <v>24347</v>
      </c>
      <c r="Z4770" t="s">
        <v>30901</v>
      </c>
      <c r="AA4770">
        <v>0.39419007034057552</v>
      </c>
      <c r="AB4770" t="str">
        <f>HYPERLINK("Melting_Curves/meltCurve_Q92828_CORO2A.pdf", "Melting_Curves/meltCurve_Q92828_CORO2A.pdf")</f>
        <v>Melting_Curves/meltCurve_Q92828_CORO2A.pdf</v>
      </c>
    </row>
    <row r="4771" spans="1:28" x14ac:dyDescent="0.25">
      <c r="A4771" t="s">
        <v>4774</v>
      </c>
      <c r="B4771">
        <v>0.99930955844802105</v>
      </c>
      <c r="C4771">
        <v>0.56893442635301295</v>
      </c>
      <c r="D4771">
        <v>0.44296679573685299</v>
      </c>
      <c r="E4771">
        <v>0.28257225506198502</v>
      </c>
      <c r="F4771">
        <v>0.14677502306674101</v>
      </c>
      <c r="G4771">
        <v>8.4402644660730899E-2</v>
      </c>
      <c r="H4771">
        <v>4.9547876237365701E-2</v>
      </c>
      <c r="I4771">
        <v>4.38552983094182E-2</v>
      </c>
      <c r="J4771">
        <v>4.2288512979485798E-2</v>
      </c>
      <c r="K4771">
        <v>3.3654707067653201E-2</v>
      </c>
      <c r="L4771">
        <v>642.81983678706501</v>
      </c>
      <c r="M4771">
        <v>14.2775681815867</v>
      </c>
      <c r="N4771">
        <v>45.2752644602771</v>
      </c>
      <c r="O4771">
        <v>44.167432734707702</v>
      </c>
      <c r="P4771">
        <v>-7.77353295422121E-2</v>
      </c>
      <c r="Q4771">
        <v>3.8225442749555E-2</v>
      </c>
      <c r="R4771">
        <v>0.9612742825617</v>
      </c>
      <c r="S4771" t="s">
        <v>11387</v>
      </c>
      <c r="T4771" t="s">
        <v>13232</v>
      </c>
      <c r="U4771" t="s">
        <v>13232</v>
      </c>
      <c r="V4771" t="s">
        <v>13232</v>
      </c>
      <c r="W4771" t="s">
        <v>17939</v>
      </c>
      <c r="X4771">
        <v>3</v>
      </c>
      <c r="Y4771" t="s">
        <v>24348</v>
      </c>
      <c r="Z4771" t="s">
        <v>30902</v>
      </c>
      <c r="AA4771">
        <v>0.233402111060105</v>
      </c>
      <c r="AB4771" t="str">
        <f>HYPERLINK("Melting_Curves/meltCurve_Q92830_KAT2A.pdf", "Melting_Curves/meltCurve_Q92830_KAT2A.pdf")</f>
        <v>Melting_Curves/meltCurve_Q92830_KAT2A.pdf</v>
      </c>
    </row>
    <row r="4772" spans="1:28" x14ac:dyDescent="0.25">
      <c r="A4772" t="s">
        <v>4775</v>
      </c>
      <c r="B4772">
        <v>0.99930955844802105</v>
      </c>
      <c r="C4772">
        <v>1.2497600316416699</v>
      </c>
      <c r="D4772">
        <v>1.27714875387237</v>
      </c>
      <c r="E4772">
        <v>1.26053462534973</v>
      </c>
      <c r="F4772">
        <v>1.2293978486239501</v>
      </c>
      <c r="G4772">
        <v>1.2354209478329601</v>
      </c>
      <c r="H4772">
        <v>1.2208332975133001</v>
      </c>
      <c r="I4772">
        <v>1.3309472475576001</v>
      </c>
      <c r="J4772">
        <v>1.2522876815902</v>
      </c>
      <c r="K4772">
        <v>0.97951916178169396</v>
      </c>
      <c r="L4772">
        <v>10283.176267054499</v>
      </c>
      <c r="M4772">
        <v>250</v>
      </c>
      <c r="O4772">
        <v>41.130072851407697</v>
      </c>
      <c r="P4772">
        <v>0.34373599859140702</v>
      </c>
      <c r="Q4772">
        <v>1.2262061863351299</v>
      </c>
      <c r="R4772">
        <v>0.37579651125422803</v>
      </c>
      <c r="S4772" t="s">
        <v>11388</v>
      </c>
      <c r="T4772" t="s">
        <v>13232</v>
      </c>
      <c r="U4772" t="s">
        <v>13232</v>
      </c>
      <c r="V4772" t="s">
        <v>13232</v>
      </c>
      <c r="W4772" t="s">
        <v>17940</v>
      </c>
      <c r="X4772">
        <v>4</v>
      </c>
      <c r="Y4772" t="s">
        <v>24349</v>
      </c>
      <c r="Z4772" t="s">
        <v>30903</v>
      </c>
      <c r="AA4772">
        <v>1.217648047190558</v>
      </c>
      <c r="AB4772" t="str">
        <f>HYPERLINK("Melting_Curves/meltCurve_Q92834_RPGR.pdf", "Melting_Curves/meltCurve_Q92834_RPGR.pdf")</f>
        <v>Melting_Curves/meltCurve_Q92834_RPGR.pdf</v>
      </c>
    </row>
    <row r="4773" spans="1:28" x14ac:dyDescent="0.25">
      <c r="A4773" t="s">
        <v>4776</v>
      </c>
      <c r="B4773">
        <v>0.99930955844802105</v>
      </c>
      <c r="C4773">
        <v>0.98199662674372001</v>
      </c>
      <c r="D4773">
        <v>0.98962469773141504</v>
      </c>
      <c r="E4773">
        <v>0.78621283907135397</v>
      </c>
      <c r="F4773">
        <v>0.242397907530565</v>
      </c>
      <c r="G4773">
        <v>0.19523066606519701</v>
      </c>
      <c r="H4773">
        <v>0.14100319654722299</v>
      </c>
      <c r="I4773">
        <v>0.132634092016712</v>
      </c>
      <c r="J4773">
        <v>0.12494723591061301</v>
      </c>
      <c r="K4773">
        <v>9.9414107659040296E-2</v>
      </c>
      <c r="L4773">
        <v>2668.42551039316</v>
      </c>
      <c r="M4773">
        <v>52.268952098917403</v>
      </c>
      <c r="N4773">
        <v>51.366652040868402</v>
      </c>
      <c r="O4773">
        <v>50.977264503964697</v>
      </c>
      <c r="P4773">
        <v>-0.221201747187285</v>
      </c>
      <c r="Q4773">
        <v>0.13705927972790999</v>
      </c>
      <c r="R4773">
        <v>0.99672224110993202</v>
      </c>
      <c r="S4773" t="s">
        <v>11389</v>
      </c>
      <c r="T4773" t="s">
        <v>13232</v>
      </c>
      <c r="U4773" t="s">
        <v>13232</v>
      </c>
      <c r="V4773" t="s">
        <v>13232</v>
      </c>
      <c r="W4773" t="s">
        <v>17941</v>
      </c>
      <c r="X4773">
        <v>38</v>
      </c>
      <c r="Y4773" t="s">
        <v>24350</v>
      </c>
      <c r="Z4773" t="s">
        <v>30904</v>
      </c>
      <c r="AA4773">
        <v>0.45673901145757961</v>
      </c>
      <c r="AB4773" t="str">
        <f>HYPERLINK("Melting_Curves/meltCurve_Q92841_DDX17.pdf", "Melting_Curves/meltCurve_Q92841_DDX17.pdf")</f>
        <v>Melting_Curves/meltCurve_Q92841_DDX17.pdf</v>
      </c>
    </row>
    <row r="4774" spans="1:28" x14ac:dyDescent="0.25">
      <c r="A4774" t="s">
        <v>4777</v>
      </c>
      <c r="B4774">
        <v>0.99930955844802105</v>
      </c>
      <c r="C4774">
        <v>1.08821876359116</v>
      </c>
      <c r="D4774">
        <v>1.1037280953354101</v>
      </c>
      <c r="E4774">
        <v>1.07412635206496</v>
      </c>
      <c r="F4774">
        <v>0.89638820077220305</v>
      </c>
      <c r="G4774">
        <v>0.70161907603538198</v>
      </c>
      <c r="H4774">
        <v>0.65902603103595003</v>
      </c>
      <c r="I4774">
        <v>0.61430309174154696</v>
      </c>
      <c r="J4774">
        <v>0.64084768923617896</v>
      </c>
      <c r="K4774">
        <v>0.51279537692727595</v>
      </c>
      <c r="L4774">
        <v>1789.56657751377</v>
      </c>
      <c r="M4774">
        <v>32.383018220820802</v>
      </c>
      <c r="O4774">
        <v>55.0530385400006</v>
      </c>
      <c r="P4774">
        <v>-5.9039005375026203E-2</v>
      </c>
      <c r="Q4774">
        <v>0.59852278202336096</v>
      </c>
      <c r="R4774">
        <v>0.91830764576756196</v>
      </c>
      <c r="S4774" t="s">
        <v>11390</v>
      </c>
      <c r="T4774" t="s">
        <v>13232</v>
      </c>
      <c r="U4774" t="s">
        <v>13232</v>
      </c>
      <c r="V4774" t="s">
        <v>13232</v>
      </c>
      <c r="W4774" t="s">
        <v>17942</v>
      </c>
      <c r="X4774">
        <v>15</v>
      </c>
      <c r="Y4774" t="s">
        <v>24351</v>
      </c>
      <c r="Z4774" t="s">
        <v>30905</v>
      </c>
      <c r="AA4774">
        <v>0.80508240699986355</v>
      </c>
      <c r="AB4774" t="str">
        <f>HYPERLINK("Melting_Curves/meltCurve_Q92843_2_BCL2L2.pdf", "Melting_Curves/meltCurve_Q92843_2_BCL2L2.pdf")</f>
        <v>Melting_Curves/meltCurve_Q92843_2_BCL2L2.pdf</v>
      </c>
    </row>
    <row r="4775" spans="1:28" x14ac:dyDescent="0.25">
      <c r="A4775" t="s">
        <v>4778</v>
      </c>
      <c r="B4775">
        <v>0.99930955844802105</v>
      </c>
      <c r="C4775">
        <v>1.1684296537419201</v>
      </c>
      <c r="D4775">
        <v>1.0784271756361401</v>
      </c>
      <c r="E4775">
        <v>0.93405931528727504</v>
      </c>
      <c r="F4775">
        <v>0.90329843071034399</v>
      </c>
      <c r="G4775">
        <v>0.89871404744810002</v>
      </c>
      <c r="H4775">
        <v>1.0596456166783099</v>
      </c>
      <c r="I4775">
        <v>1.0903232329794701</v>
      </c>
      <c r="J4775">
        <v>1.15725117533572</v>
      </c>
      <c r="K4775">
        <v>0.73212165083009095</v>
      </c>
      <c r="L4775">
        <v>15000</v>
      </c>
      <c r="M4775">
        <v>213.280198706634</v>
      </c>
      <c r="Q4775">
        <v>0</v>
      </c>
      <c r="R4775">
        <v>0.43031047919958898</v>
      </c>
      <c r="S4775" t="s">
        <v>11391</v>
      </c>
      <c r="T4775" t="s">
        <v>13232</v>
      </c>
      <c r="U4775" t="s">
        <v>13232</v>
      </c>
      <c r="V4775" t="s">
        <v>13232</v>
      </c>
      <c r="W4775" t="s">
        <v>17943</v>
      </c>
      <c r="X4775">
        <v>11</v>
      </c>
      <c r="Y4775" t="s">
        <v>24352</v>
      </c>
      <c r="Z4775" t="s">
        <v>30906</v>
      </c>
      <c r="AA4775">
        <v>0.99663879977559722</v>
      </c>
      <c r="AB4775" t="str">
        <f>HYPERLINK("Melting_Curves/meltCurve_Q92844_TANK.pdf", "Melting_Curves/meltCurve_Q92844_TANK.pdf")</f>
        <v>Melting_Curves/meltCurve_Q92844_TANK.pdf</v>
      </c>
    </row>
    <row r="4776" spans="1:28" x14ac:dyDescent="0.25">
      <c r="A4776" t="s">
        <v>4779</v>
      </c>
      <c r="B4776">
        <v>0.99930955844802105</v>
      </c>
      <c r="C4776">
        <v>0.74729725060896701</v>
      </c>
      <c r="D4776">
        <v>0.39260004121942499</v>
      </c>
      <c r="E4776">
        <v>0.29314868489622897</v>
      </c>
      <c r="F4776">
        <v>0.19696008171024901</v>
      </c>
      <c r="G4776">
        <v>0.16111113429880999</v>
      </c>
      <c r="H4776">
        <v>0.12514771537203001</v>
      </c>
      <c r="I4776">
        <v>0.13039298846179001</v>
      </c>
      <c r="J4776">
        <v>0.116560036009206</v>
      </c>
      <c r="K4776">
        <v>9.3037919720619602E-2</v>
      </c>
      <c r="L4776">
        <v>946.68402539531996</v>
      </c>
      <c r="M4776">
        <v>21.1720762412568</v>
      </c>
      <c r="N4776">
        <v>45.393848328762097</v>
      </c>
      <c r="O4776">
        <v>44.320635162729701</v>
      </c>
      <c r="P4776">
        <v>-0.10319836484346299</v>
      </c>
      <c r="Q4776">
        <v>0.13589992351093</v>
      </c>
      <c r="R4776">
        <v>0.98126924309721397</v>
      </c>
      <c r="S4776" t="s">
        <v>11392</v>
      </c>
      <c r="T4776" t="s">
        <v>13232</v>
      </c>
      <c r="U4776" t="s">
        <v>13232</v>
      </c>
      <c r="V4776" t="s">
        <v>13232</v>
      </c>
      <c r="W4776" t="s">
        <v>17944</v>
      </c>
      <c r="X4776">
        <v>8</v>
      </c>
      <c r="Y4776" t="s">
        <v>24353</v>
      </c>
      <c r="Z4776" t="s">
        <v>30907</v>
      </c>
      <c r="AA4776">
        <v>0.28491807026352778</v>
      </c>
      <c r="AB4776" t="str">
        <f>HYPERLINK("Melting_Curves/meltCurve_Q92845_4_KIFAP3.pdf", "Melting_Curves/meltCurve_Q92845_4_KIFAP3.pdf")</f>
        <v>Melting_Curves/meltCurve_Q92845_4_KIFAP3.pdf</v>
      </c>
    </row>
    <row r="4777" spans="1:28" x14ac:dyDescent="0.25">
      <c r="A4777" t="s">
        <v>4780</v>
      </c>
      <c r="B4777">
        <v>0.99930955844802105</v>
      </c>
      <c r="C4777">
        <v>1.0555518579869201</v>
      </c>
      <c r="D4777">
        <v>0.97406253701478296</v>
      </c>
      <c r="E4777">
        <v>0.70943840480220099</v>
      </c>
      <c r="F4777">
        <v>0.27371007563645999</v>
      </c>
      <c r="G4777">
        <v>0.15726582334609501</v>
      </c>
      <c r="H4777">
        <v>9.1357757131313597E-2</v>
      </c>
      <c r="I4777">
        <v>6.6615575289450696E-2</v>
      </c>
      <c r="J4777">
        <v>5.7501777786195502E-2</v>
      </c>
      <c r="K4777">
        <v>4.5894303797607602E-2</v>
      </c>
      <c r="L4777">
        <v>1687.2817494890701</v>
      </c>
      <c r="M4777">
        <v>33.003983503999997</v>
      </c>
      <c r="N4777">
        <v>51.371875066912402</v>
      </c>
      <c r="O4777">
        <v>50.936985031139201</v>
      </c>
      <c r="P4777">
        <v>-0.15004308239438499</v>
      </c>
      <c r="Q4777">
        <v>7.3722973178314999E-2</v>
      </c>
      <c r="R4777">
        <v>0.99539297774964197</v>
      </c>
      <c r="S4777" t="s">
        <v>11393</v>
      </c>
      <c r="T4777" t="s">
        <v>13232</v>
      </c>
      <c r="U4777" t="s">
        <v>13232</v>
      </c>
      <c r="V4777" t="s">
        <v>13232</v>
      </c>
      <c r="W4777" t="s">
        <v>17945</v>
      </c>
      <c r="X4777">
        <v>12</v>
      </c>
      <c r="Y4777" t="s">
        <v>24354</v>
      </c>
      <c r="Z4777" t="s">
        <v>30908</v>
      </c>
      <c r="AA4777">
        <v>0.42199274408212722</v>
      </c>
      <c r="AB4777" t="str">
        <f>HYPERLINK("Melting_Curves/meltCurve_Q92851_6_CASP10.pdf", "Melting_Curves/meltCurve_Q92851_6_CASP10.pdf")</f>
        <v>Melting_Curves/meltCurve_Q92851_6_CASP10.pdf</v>
      </c>
    </row>
    <row r="4778" spans="1:28" x14ac:dyDescent="0.25">
      <c r="A4778" t="s">
        <v>4781</v>
      </c>
      <c r="B4778">
        <v>0.99930955844802105</v>
      </c>
      <c r="C4778">
        <v>0.99416991918805597</v>
      </c>
      <c r="D4778">
        <v>0.918908897980936</v>
      </c>
      <c r="E4778">
        <v>0.72571642556441496</v>
      </c>
      <c r="F4778">
        <v>0.53854137929637003</v>
      </c>
      <c r="G4778">
        <v>0.314264737086142</v>
      </c>
      <c r="H4778">
        <v>0.119259025346883</v>
      </c>
      <c r="I4778">
        <v>6.5649950489681599E-2</v>
      </c>
      <c r="J4778">
        <v>3.4632238194694E-2</v>
      </c>
      <c r="K4778">
        <v>7.2317320916169395E-2</v>
      </c>
      <c r="L4778">
        <v>806.55607098240398</v>
      </c>
      <c r="M4778">
        <v>15.0904650808451</v>
      </c>
      <c r="N4778">
        <v>53.506606472418902</v>
      </c>
      <c r="O4778">
        <v>52.535799514431098</v>
      </c>
      <c r="P4778">
        <v>-7.12294256872993E-2</v>
      </c>
      <c r="Q4778">
        <v>8.1877455953558997E-3</v>
      </c>
      <c r="R4778">
        <v>0.99739489299042805</v>
      </c>
      <c r="S4778" t="s">
        <v>11394</v>
      </c>
      <c r="T4778" t="s">
        <v>13232</v>
      </c>
      <c r="U4778" t="s">
        <v>13232</v>
      </c>
      <c r="V4778" t="s">
        <v>13232</v>
      </c>
      <c r="W4778" t="s">
        <v>17946</v>
      </c>
      <c r="X4778">
        <v>2</v>
      </c>
      <c r="Y4778" t="s">
        <v>24355</v>
      </c>
      <c r="Z4778" t="s">
        <v>30909</v>
      </c>
      <c r="AA4778">
        <v>0.47354127949787012</v>
      </c>
      <c r="AB4778" t="str">
        <f>HYPERLINK("Melting_Curves/meltCurve_Q92854_SEMA4D.pdf", "Melting_Curves/meltCurve_Q92854_SEMA4D.pdf")</f>
        <v>Melting_Curves/meltCurve_Q92854_SEMA4D.pdf</v>
      </c>
    </row>
    <row r="4779" spans="1:28" x14ac:dyDescent="0.25">
      <c r="A4779" t="s">
        <v>4782</v>
      </c>
      <c r="B4779">
        <v>0.99930955844802105</v>
      </c>
      <c r="C4779">
        <v>1.07109002764959</v>
      </c>
      <c r="D4779">
        <v>0.99591261348317595</v>
      </c>
      <c r="E4779">
        <v>0.65604954945743998</v>
      </c>
      <c r="F4779">
        <v>0.32111788156914201</v>
      </c>
      <c r="G4779">
        <v>0.20074096252541099</v>
      </c>
      <c r="H4779">
        <v>0.14101863770065001</v>
      </c>
      <c r="I4779">
        <v>0.131777161109881</v>
      </c>
      <c r="J4779">
        <v>0.14574730638406</v>
      </c>
      <c r="K4779">
        <v>0.129365484393592</v>
      </c>
      <c r="L4779">
        <v>1598.8038775355701</v>
      </c>
      <c r="M4779">
        <v>31.523172573085901</v>
      </c>
      <c r="N4779">
        <v>51.266394869739898</v>
      </c>
      <c r="O4779">
        <v>50.515561470029297</v>
      </c>
      <c r="P4779">
        <v>-0.13369314555796399</v>
      </c>
      <c r="Q4779">
        <v>0.14303684955196999</v>
      </c>
      <c r="R4779">
        <v>0.99477017920997901</v>
      </c>
      <c r="S4779" t="s">
        <v>11395</v>
      </c>
      <c r="T4779" t="s">
        <v>13232</v>
      </c>
      <c r="U4779" t="s">
        <v>13232</v>
      </c>
      <c r="V4779" t="s">
        <v>13232</v>
      </c>
      <c r="W4779" t="s">
        <v>17947</v>
      </c>
      <c r="X4779">
        <v>2</v>
      </c>
      <c r="Y4779" t="s">
        <v>24356</v>
      </c>
      <c r="Z4779" t="s">
        <v>30910</v>
      </c>
      <c r="AA4779">
        <v>0.45406667323508271</v>
      </c>
      <c r="AB4779" t="str">
        <f>HYPERLINK("Melting_Curves/meltCurve_Q92871_PMM1.pdf", "Melting_Curves/meltCurve_Q92871_PMM1.pdf")</f>
        <v>Melting_Curves/meltCurve_Q92871_PMM1.pdf</v>
      </c>
    </row>
    <row r="4780" spans="1:28" x14ac:dyDescent="0.25">
      <c r="A4780" t="s">
        <v>4783</v>
      </c>
      <c r="B4780">
        <v>0.99930955844802105</v>
      </c>
      <c r="C4780">
        <v>0.54465198886058697</v>
      </c>
      <c r="D4780">
        <v>0.38180218902767998</v>
      </c>
      <c r="E4780">
        <v>0.31793764713213402</v>
      </c>
      <c r="F4780">
        <v>0.25861899839453301</v>
      </c>
      <c r="G4780">
        <v>0.15073843760081099</v>
      </c>
      <c r="H4780">
        <v>7.6056551273185502E-2</v>
      </c>
      <c r="I4780">
        <v>5.7331130625454002E-2</v>
      </c>
      <c r="J4780">
        <v>4.98333060173052E-2</v>
      </c>
      <c r="K4780">
        <v>3.75509266744153E-2</v>
      </c>
      <c r="L4780">
        <v>567.523200779999</v>
      </c>
      <c r="M4780">
        <v>12.669896388370899</v>
      </c>
      <c r="N4780">
        <v>45.255377300672599</v>
      </c>
      <c r="O4780">
        <v>43.721122527103702</v>
      </c>
      <c r="P4780">
        <v>-6.8062574867563494E-2</v>
      </c>
      <c r="Q4780">
        <v>6.0705230670715399E-2</v>
      </c>
      <c r="R4780">
        <v>0.92670135237445395</v>
      </c>
      <c r="S4780" t="s">
        <v>11396</v>
      </c>
      <c r="T4780" t="s">
        <v>13232</v>
      </c>
      <c r="U4780" t="s">
        <v>13232</v>
      </c>
      <c r="V4780" t="s">
        <v>13232</v>
      </c>
      <c r="W4780" t="s">
        <v>17948</v>
      </c>
      <c r="X4780">
        <v>61</v>
      </c>
      <c r="Y4780" t="s">
        <v>24357</v>
      </c>
      <c r="Z4780" t="s">
        <v>30911</v>
      </c>
      <c r="AA4780">
        <v>0.25404988020938352</v>
      </c>
      <c r="AB4780" t="str">
        <f>HYPERLINK("Melting_Curves/meltCurve_Q92878_RAD50.pdf", "Melting_Curves/meltCurve_Q92878_RAD50.pdf")</f>
        <v>Melting_Curves/meltCurve_Q92878_RAD50.pdf</v>
      </c>
    </row>
    <row r="4781" spans="1:28" x14ac:dyDescent="0.25">
      <c r="A4781" t="s">
        <v>4784</v>
      </c>
      <c r="B4781">
        <v>0.99930955844802105</v>
      </c>
      <c r="C4781">
        <v>1.0101141854265701</v>
      </c>
      <c r="D4781">
        <v>0.77494295060051799</v>
      </c>
      <c r="E4781">
        <v>0.47685379040769199</v>
      </c>
      <c r="F4781">
        <v>0.23913785252053399</v>
      </c>
      <c r="G4781">
        <v>0.16427981408078901</v>
      </c>
      <c r="H4781">
        <v>0.11169401004070401</v>
      </c>
      <c r="I4781">
        <v>9.3336423938676E-2</v>
      </c>
      <c r="J4781">
        <v>8.89147799883903E-2</v>
      </c>
      <c r="K4781">
        <v>6.5138707987523206E-2</v>
      </c>
      <c r="L4781">
        <v>974.38259080970204</v>
      </c>
      <c r="M4781">
        <v>19.845960429996801</v>
      </c>
      <c r="N4781">
        <v>49.560380585583196</v>
      </c>
      <c r="O4781">
        <v>48.606935633598603</v>
      </c>
      <c r="P4781">
        <v>-9.3438056929609395E-2</v>
      </c>
      <c r="Q4781">
        <v>8.4632919984527905E-2</v>
      </c>
      <c r="R4781">
        <v>0.99514639176257202</v>
      </c>
      <c r="S4781" t="s">
        <v>11397</v>
      </c>
      <c r="T4781" t="s">
        <v>13232</v>
      </c>
      <c r="U4781" t="s">
        <v>13232</v>
      </c>
      <c r="V4781" t="s">
        <v>13232</v>
      </c>
      <c r="W4781" t="s">
        <v>17949</v>
      </c>
      <c r="X4781">
        <v>12</v>
      </c>
      <c r="Y4781" t="s">
        <v>24358</v>
      </c>
      <c r="Z4781" t="s">
        <v>30912</v>
      </c>
      <c r="AA4781">
        <v>0.37522418633736199</v>
      </c>
      <c r="AB4781" t="str">
        <f>HYPERLINK("Melting_Curves/meltCurve_Q92879_2_CELF1.pdf", "Melting_Curves/meltCurve_Q92879_2_CELF1.pdf")</f>
        <v>Melting_Curves/meltCurve_Q92879_2_CELF1.pdf</v>
      </c>
    </row>
    <row r="4782" spans="1:28" x14ac:dyDescent="0.25">
      <c r="A4782" t="s">
        <v>4785</v>
      </c>
      <c r="B4782">
        <v>0.99930955844802105</v>
      </c>
      <c r="C4782">
        <v>1.06655886142265</v>
      </c>
      <c r="D4782">
        <v>1.08544640572522</v>
      </c>
      <c r="E4782">
        <v>0.79274533734364105</v>
      </c>
      <c r="F4782">
        <v>0.33178849801695798</v>
      </c>
      <c r="G4782">
        <v>0.22670502519934799</v>
      </c>
      <c r="H4782">
        <v>0.168789623734489</v>
      </c>
      <c r="I4782">
        <v>0.119055852235946</v>
      </c>
      <c r="J4782">
        <v>0.132925189407721</v>
      </c>
      <c r="K4782">
        <v>9.5716303365036698E-2</v>
      </c>
      <c r="L4782">
        <v>2093.1329819379898</v>
      </c>
      <c r="M4782">
        <v>40.703176059220702</v>
      </c>
      <c r="N4782">
        <v>51.855643393147403</v>
      </c>
      <c r="O4782">
        <v>51.300655961142503</v>
      </c>
      <c r="P4782">
        <v>-0.169872789590546</v>
      </c>
      <c r="Q4782">
        <v>0.14359816187680199</v>
      </c>
      <c r="R4782">
        <v>0.98717172818592902</v>
      </c>
      <c r="S4782" t="s">
        <v>11398</v>
      </c>
      <c r="T4782" t="s">
        <v>13232</v>
      </c>
      <c r="U4782" t="s">
        <v>13232</v>
      </c>
      <c r="V4782" t="s">
        <v>13232</v>
      </c>
      <c r="W4782" t="s">
        <v>17950</v>
      </c>
      <c r="X4782">
        <v>8</v>
      </c>
      <c r="Y4782" t="s">
        <v>24359</v>
      </c>
      <c r="Z4782" t="s">
        <v>30913</v>
      </c>
      <c r="AA4782">
        <v>0.47266356481112298</v>
      </c>
      <c r="AB4782" t="str">
        <f>HYPERLINK("Melting_Curves/meltCurve_Q92882_OSTF1.pdf", "Melting_Curves/meltCurve_Q92882_OSTF1.pdf")</f>
        <v>Melting_Curves/meltCurve_Q92882_OSTF1.pdf</v>
      </c>
    </row>
    <row r="4783" spans="1:28" x14ac:dyDescent="0.25">
      <c r="A4783" t="s">
        <v>4786</v>
      </c>
      <c r="B4783">
        <v>0.99930955844802105</v>
      </c>
      <c r="C4783">
        <v>1.1980566646014399</v>
      </c>
      <c r="D4783">
        <v>1.1606615157676801</v>
      </c>
      <c r="E4783">
        <v>1.0490691600042701</v>
      </c>
      <c r="F4783">
        <v>0.71307469646101596</v>
      </c>
      <c r="G4783">
        <v>0.60006935786944704</v>
      </c>
      <c r="H4783">
        <v>0.52847956503002602</v>
      </c>
      <c r="I4783">
        <v>0.54863055724476395</v>
      </c>
      <c r="J4783">
        <v>0.69268344849817698</v>
      </c>
      <c r="K4783">
        <v>0.46142555246321598</v>
      </c>
      <c r="L4783">
        <v>13214.488230045399</v>
      </c>
      <c r="M4783">
        <v>250</v>
      </c>
      <c r="O4783">
        <v>52.854553749265101</v>
      </c>
      <c r="P4783">
        <v>-0.51289594615954104</v>
      </c>
      <c r="Q4783">
        <v>0.566257681844893</v>
      </c>
      <c r="R4783">
        <v>0.86112475318871295</v>
      </c>
      <c r="S4783" t="s">
        <v>11399</v>
      </c>
      <c r="T4783" t="s">
        <v>13232</v>
      </c>
      <c r="U4783" t="s">
        <v>13232</v>
      </c>
      <c r="V4783" t="s">
        <v>13232</v>
      </c>
      <c r="W4783" t="s">
        <v>17951</v>
      </c>
      <c r="X4783">
        <v>44</v>
      </c>
      <c r="Y4783" t="s">
        <v>20745</v>
      </c>
      <c r="Z4783" t="s">
        <v>30914</v>
      </c>
      <c r="AA4783">
        <v>0.75219919477866126</v>
      </c>
      <c r="AB4783" t="str">
        <f>HYPERLINK("Melting_Curves/meltCurve_Q92888_3_ARHGEF1.pdf", "Melting_Curves/meltCurve_Q92888_3_ARHGEF1.pdf")</f>
        <v>Melting_Curves/meltCurve_Q92888_3_ARHGEF1.pdf</v>
      </c>
    </row>
    <row r="4784" spans="1:28" x14ac:dyDescent="0.25">
      <c r="A4784" t="s">
        <v>4787</v>
      </c>
      <c r="B4784">
        <v>0.99930955844802105</v>
      </c>
      <c r="C4784">
        <v>0.89971896233656201</v>
      </c>
      <c r="D4784">
        <v>0.73660215319065203</v>
      </c>
      <c r="E4784">
        <v>0.51264972547535903</v>
      </c>
      <c r="F4784">
        <v>0.227434609936599</v>
      </c>
      <c r="G4784">
        <v>0.14817520504013201</v>
      </c>
      <c r="H4784">
        <v>8.5793900272633894E-2</v>
      </c>
      <c r="I4784">
        <v>8.72038459395654E-2</v>
      </c>
      <c r="J4784">
        <v>7.4861881920381401E-2</v>
      </c>
      <c r="K4784">
        <v>5.7002121283236902E-2</v>
      </c>
      <c r="L4784">
        <v>786.18365864600798</v>
      </c>
      <c r="M4784">
        <v>16.0138416367285</v>
      </c>
      <c r="N4784">
        <v>49.439885097412301</v>
      </c>
      <c r="O4784">
        <v>48.347566914543101</v>
      </c>
      <c r="P4784">
        <v>-7.8423909799376301E-2</v>
      </c>
      <c r="Q4784">
        <v>5.2992006041211397E-2</v>
      </c>
      <c r="R4784">
        <v>0.99448768547545496</v>
      </c>
      <c r="S4784" t="s">
        <v>11400</v>
      </c>
      <c r="T4784" t="s">
        <v>13232</v>
      </c>
      <c r="U4784" t="s">
        <v>13232</v>
      </c>
      <c r="V4784" t="s">
        <v>13232</v>
      </c>
      <c r="W4784" t="s">
        <v>17952</v>
      </c>
      <c r="X4784">
        <v>15</v>
      </c>
      <c r="Y4784" t="s">
        <v>24360</v>
      </c>
      <c r="Z4784" t="s">
        <v>30915</v>
      </c>
      <c r="AA4784">
        <v>0.36063818581255253</v>
      </c>
      <c r="AB4784" t="str">
        <f>HYPERLINK("Melting_Curves/meltCurve_Q92889_ERCC4.pdf", "Melting_Curves/meltCurve_Q92889_ERCC4.pdf")</f>
        <v>Melting_Curves/meltCurve_Q92889_ERCC4.pdf</v>
      </c>
    </row>
    <row r="4785" spans="1:28" x14ac:dyDescent="0.25">
      <c r="A4785" t="s">
        <v>4788</v>
      </c>
      <c r="B4785">
        <v>0.99930955844802105</v>
      </c>
      <c r="C4785">
        <v>1.1080286954299099</v>
      </c>
      <c r="D4785">
        <v>1.10743636597887</v>
      </c>
      <c r="E4785">
        <v>1.13836770959968</v>
      </c>
      <c r="F4785">
        <v>1.0141383972131299</v>
      </c>
      <c r="G4785">
        <v>0.87226379217866501</v>
      </c>
      <c r="H4785">
        <v>0.76943186268020003</v>
      </c>
      <c r="I4785">
        <v>0.57270944568728699</v>
      </c>
      <c r="J4785">
        <v>0.28071057947112998</v>
      </c>
      <c r="K4785">
        <v>0.140159798410466</v>
      </c>
      <c r="L4785">
        <v>1389.4348722738</v>
      </c>
      <c r="M4785">
        <v>21.5712567509152</v>
      </c>
      <c r="N4785">
        <v>64.4114101231782</v>
      </c>
      <c r="O4785">
        <v>63.865494320025597</v>
      </c>
      <c r="P4785">
        <v>-8.4442204206569699E-2</v>
      </c>
      <c r="Q4785">
        <v>0</v>
      </c>
      <c r="R4785">
        <v>0.95610144906658301</v>
      </c>
      <c r="S4785" t="s">
        <v>11401</v>
      </c>
      <c r="T4785" t="s">
        <v>13232</v>
      </c>
      <c r="U4785" t="s">
        <v>13232</v>
      </c>
      <c r="V4785" t="s">
        <v>13232</v>
      </c>
      <c r="W4785" t="s">
        <v>17953</v>
      </c>
      <c r="X4785">
        <v>17</v>
      </c>
      <c r="Y4785" t="s">
        <v>20029</v>
      </c>
      <c r="Z4785" t="s">
        <v>30916</v>
      </c>
      <c r="AA4785">
        <v>0.80762463626530867</v>
      </c>
      <c r="AB4785" t="str">
        <f>HYPERLINK("Melting_Curves/meltCurve_Q92890_UFD1L.pdf", "Melting_Curves/meltCurve_Q92890_UFD1L.pdf")</f>
        <v>Melting_Curves/meltCurve_Q92890_UFD1L.pdf</v>
      </c>
    </row>
    <row r="4786" spans="1:28" x14ac:dyDescent="0.25">
      <c r="A4786" t="s">
        <v>4789</v>
      </c>
      <c r="B4786">
        <v>0.99930955844802105</v>
      </c>
      <c r="C4786">
        <v>0.93241855446182098</v>
      </c>
      <c r="D4786">
        <v>0.75504171306579504</v>
      </c>
      <c r="E4786">
        <v>0.85058210087590802</v>
      </c>
      <c r="F4786">
        <v>0.51939179973661898</v>
      </c>
      <c r="G4786">
        <v>0.34439095642226297</v>
      </c>
      <c r="H4786">
        <v>0.25759232174228602</v>
      </c>
      <c r="I4786">
        <v>0.26512853260947999</v>
      </c>
      <c r="J4786">
        <v>0.253405772532315</v>
      </c>
      <c r="K4786">
        <v>0.18470979238069499</v>
      </c>
      <c r="L4786">
        <v>650.72162465642998</v>
      </c>
      <c r="M4786">
        <v>12.4079455586397</v>
      </c>
      <c r="N4786">
        <v>54.156538059903198</v>
      </c>
      <c r="O4786">
        <v>51.137599729094703</v>
      </c>
      <c r="P4786">
        <v>-5.0826859298619201E-2</v>
      </c>
      <c r="Q4786">
        <v>0.16227453938547601</v>
      </c>
      <c r="R4786">
        <v>0.95332275262430499</v>
      </c>
      <c r="S4786" t="s">
        <v>11402</v>
      </c>
      <c r="T4786" t="s">
        <v>13232</v>
      </c>
      <c r="U4786" t="s">
        <v>13232</v>
      </c>
      <c r="V4786" t="s">
        <v>13232</v>
      </c>
      <c r="W4786" t="s">
        <v>17954</v>
      </c>
      <c r="X4786">
        <v>5</v>
      </c>
      <c r="Y4786" t="s">
        <v>24361</v>
      </c>
      <c r="Z4786" t="s">
        <v>30917</v>
      </c>
      <c r="AA4786">
        <v>0.53362052521571524</v>
      </c>
      <c r="AB4786" t="str">
        <f>HYPERLINK("Melting_Curves/meltCurve_Q92896_GLG1.pdf", "Melting_Curves/meltCurve_Q92896_GLG1.pdf")</f>
        <v>Melting_Curves/meltCurve_Q92896_GLG1.pdf</v>
      </c>
    </row>
    <row r="4787" spans="1:28" x14ac:dyDescent="0.25">
      <c r="A4787" t="s">
        <v>4790</v>
      </c>
      <c r="B4787">
        <v>0.99930955844802105</v>
      </c>
      <c r="C4787">
        <v>0.98483456392753199</v>
      </c>
      <c r="D4787">
        <v>0.94797216192467304</v>
      </c>
      <c r="E4787">
        <v>0.85686399912745903</v>
      </c>
      <c r="F4787">
        <v>0.61396221639743997</v>
      </c>
      <c r="G4787">
        <v>0.28533484002549597</v>
      </c>
      <c r="H4787">
        <v>0.14386691549661701</v>
      </c>
      <c r="I4787">
        <v>0.110997726171085</v>
      </c>
      <c r="J4787">
        <v>8.2792321392931106E-2</v>
      </c>
      <c r="K4787">
        <v>6.6438504636319701E-2</v>
      </c>
      <c r="L4787">
        <v>1124.6797536727499</v>
      </c>
      <c r="M4787">
        <v>20.874253473194099</v>
      </c>
      <c r="N4787">
        <v>54.253119876437701</v>
      </c>
      <c r="O4787">
        <v>53.391635496997203</v>
      </c>
      <c r="P4787">
        <v>-9.1188705037157994E-2</v>
      </c>
      <c r="Q4787">
        <v>6.7065023718696007E-2</v>
      </c>
      <c r="R4787">
        <v>0.999215248004932</v>
      </c>
      <c r="S4787" t="s">
        <v>11403</v>
      </c>
      <c r="T4787" t="s">
        <v>13232</v>
      </c>
      <c r="U4787" t="s">
        <v>13232</v>
      </c>
      <c r="V4787" t="s">
        <v>13232</v>
      </c>
      <c r="W4787" t="s">
        <v>17955</v>
      </c>
      <c r="X4787">
        <v>60</v>
      </c>
      <c r="Y4787" t="s">
        <v>24362</v>
      </c>
      <c r="Z4787" t="s">
        <v>30918</v>
      </c>
      <c r="AA4787">
        <v>0.51050511754961891</v>
      </c>
      <c r="AB4787" t="str">
        <f>HYPERLINK("Melting_Curves/meltCurve_Q92900_UPF1.pdf", "Melting_Curves/meltCurve_Q92900_UPF1.pdf")</f>
        <v>Melting_Curves/meltCurve_Q92900_UPF1.pdf</v>
      </c>
    </row>
    <row r="4788" spans="1:28" x14ac:dyDescent="0.25">
      <c r="A4788" t="s">
        <v>4791</v>
      </c>
      <c r="B4788">
        <v>0.99930955844802105</v>
      </c>
      <c r="C4788">
        <v>1.02135254312019</v>
      </c>
      <c r="D4788">
        <v>0.99558174519160403</v>
      </c>
      <c r="E4788">
        <v>0.86027714787083498</v>
      </c>
      <c r="F4788">
        <v>0.43140930506251002</v>
      </c>
      <c r="G4788">
        <v>0.21332905261398299</v>
      </c>
      <c r="H4788">
        <v>0.115464154627217</v>
      </c>
      <c r="I4788">
        <v>7.7288613239653497E-2</v>
      </c>
      <c r="J4788">
        <v>7.4955067621131896E-2</v>
      </c>
      <c r="K4788">
        <v>5.7002322497826399E-2</v>
      </c>
      <c r="L4788">
        <v>1595.24301283049</v>
      </c>
      <c r="M4788">
        <v>30.428105390944001</v>
      </c>
      <c r="N4788">
        <v>52.751171702812101</v>
      </c>
      <c r="O4788">
        <v>52.201750319239501</v>
      </c>
      <c r="P4788">
        <v>-0.13328520751148601</v>
      </c>
      <c r="Q4788">
        <v>8.5361616720036101E-2</v>
      </c>
      <c r="R4788">
        <v>0.99569824975749099</v>
      </c>
      <c r="S4788" t="s">
        <v>11404</v>
      </c>
      <c r="T4788" t="s">
        <v>13232</v>
      </c>
      <c r="U4788" t="s">
        <v>13232</v>
      </c>
      <c r="V4788" t="s">
        <v>13232</v>
      </c>
      <c r="W4788" t="s">
        <v>17956</v>
      </c>
      <c r="X4788">
        <v>6</v>
      </c>
      <c r="Y4788" t="s">
        <v>24363</v>
      </c>
      <c r="Z4788" t="s">
        <v>30919</v>
      </c>
      <c r="AA4788">
        <v>0.46994395204168071</v>
      </c>
      <c r="AB4788" t="str">
        <f>HYPERLINK("Melting_Curves/meltCurve_Q92902_2_HPS1.pdf", "Melting_Curves/meltCurve_Q92902_2_HPS1.pdf")</f>
        <v>Melting_Curves/meltCurve_Q92902_2_HPS1.pdf</v>
      </c>
    </row>
    <row r="4789" spans="1:28" x14ac:dyDescent="0.25">
      <c r="A4789" t="s">
        <v>4792</v>
      </c>
      <c r="B4789">
        <v>0.99930955844802105</v>
      </c>
      <c r="C4789">
        <v>0.80948738556349698</v>
      </c>
      <c r="D4789">
        <v>0.87711042952200502</v>
      </c>
      <c r="E4789">
        <v>0.95783237837517698</v>
      </c>
      <c r="F4789">
        <v>0.98753982071651403</v>
      </c>
      <c r="G4789">
        <v>0.45995770166835198</v>
      </c>
      <c r="H4789">
        <v>0.147596811767022</v>
      </c>
      <c r="I4789">
        <v>0.104721350836588</v>
      </c>
      <c r="J4789">
        <v>8.8543403748078606E-2</v>
      </c>
      <c r="K4789">
        <v>7.1937409453766504E-2</v>
      </c>
      <c r="L4789">
        <v>2702.9272574309398</v>
      </c>
      <c r="M4789">
        <v>47.781096689980302</v>
      </c>
      <c r="N4789">
        <v>56.817787629220497</v>
      </c>
      <c r="O4789">
        <v>56.470142989376797</v>
      </c>
      <c r="P4789">
        <v>-0.191563533215101</v>
      </c>
      <c r="Q4789">
        <v>9.4402612029918204E-2</v>
      </c>
      <c r="R4789">
        <v>0.96447676392054704</v>
      </c>
      <c r="S4789" t="s">
        <v>11405</v>
      </c>
      <c r="T4789" t="s">
        <v>13232</v>
      </c>
      <c r="U4789" t="s">
        <v>13232</v>
      </c>
      <c r="V4789" t="s">
        <v>13232</v>
      </c>
      <c r="W4789" t="s">
        <v>17957</v>
      </c>
      <c r="X4789">
        <v>15</v>
      </c>
      <c r="Y4789" t="s">
        <v>24364</v>
      </c>
      <c r="Z4789" t="s">
        <v>30920</v>
      </c>
      <c r="AA4789">
        <v>0.59703280696461936</v>
      </c>
      <c r="AB4789" t="str">
        <f>HYPERLINK("Melting_Curves/meltCurve_Q92905_COPS5.pdf", "Melting_Curves/meltCurve_Q92905_COPS5.pdf")</f>
        <v>Melting_Curves/meltCurve_Q92905_COPS5.pdf</v>
      </c>
    </row>
    <row r="4790" spans="1:28" x14ac:dyDescent="0.25">
      <c r="A4790" t="s">
        <v>4793</v>
      </c>
      <c r="B4790">
        <v>0.99930955844802105</v>
      </c>
      <c r="C4790">
        <v>1.0562499351977801</v>
      </c>
      <c r="D4790">
        <v>1.03472009088816</v>
      </c>
      <c r="E4790">
        <v>0.92080781247076504</v>
      </c>
      <c r="F4790">
        <v>0.67206501402659402</v>
      </c>
      <c r="G4790">
        <v>0.49437865977085399</v>
      </c>
      <c r="H4790">
        <v>0.42683573782997197</v>
      </c>
      <c r="I4790">
        <v>0.42881597427219997</v>
      </c>
      <c r="J4790">
        <v>0.41992156860131002</v>
      </c>
      <c r="K4790">
        <v>0.35181665042967902</v>
      </c>
      <c r="L4790">
        <v>1549.4857020439099</v>
      </c>
      <c r="M4790">
        <v>29.307825843967802</v>
      </c>
      <c r="N4790">
        <v>56.069575087091302</v>
      </c>
      <c r="O4790">
        <v>52.625038934451702</v>
      </c>
      <c r="P4790">
        <v>-8.2683827228120996E-2</v>
      </c>
      <c r="Q4790">
        <v>0.406136974833125</v>
      </c>
      <c r="R4790">
        <v>0.98713390685185898</v>
      </c>
      <c r="S4790" t="s">
        <v>11406</v>
      </c>
      <c r="T4790" t="s">
        <v>13232</v>
      </c>
      <c r="U4790" t="s">
        <v>13232</v>
      </c>
      <c r="V4790" t="s">
        <v>13232</v>
      </c>
      <c r="W4790" t="s">
        <v>17958</v>
      </c>
      <c r="X4790">
        <v>24</v>
      </c>
      <c r="Y4790" t="s">
        <v>24365</v>
      </c>
      <c r="Z4790" t="s">
        <v>30921</v>
      </c>
      <c r="AA4790">
        <v>0.66491529525102777</v>
      </c>
      <c r="AB4790" t="str">
        <f>HYPERLINK("Melting_Curves/meltCurve_Q92917_GPKOW.pdf", "Melting_Curves/meltCurve_Q92917_GPKOW.pdf")</f>
        <v>Melting_Curves/meltCurve_Q92917_GPKOW.pdf</v>
      </c>
    </row>
    <row r="4791" spans="1:28" x14ac:dyDescent="0.25">
      <c r="A4791" t="s">
        <v>4794</v>
      </c>
      <c r="B4791">
        <v>0.99930955844802105</v>
      </c>
      <c r="C4791">
        <v>0.93917460634897698</v>
      </c>
      <c r="D4791">
        <v>0.90281136667068296</v>
      </c>
      <c r="E4791">
        <v>0.65835391377538899</v>
      </c>
      <c r="F4791">
        <v>0.315704123654515</v>
      </c>
      <c r="G4791">
        <v>0.22700283347529801</v>
      </c>
      <c r="H4791">
        <v>0.16291242812753801</v>
      </c>
      <c r="I4791">
        <v>0.15398062171048801</v>
      </c>
      <c r="J4791">
        <v>0.150580398591733</v>
      </c>
      <c r="K4791">
        <v>0.108317647483425</v>
      </c>
      <c r="L4791">
        <v>1146.8914831182301</v>
      </c>
      <c r="M4791">
        <v>22.687829590751299</v>
      </c>
      <c r="N4791">
        <v>51.279920906067503</v>
      </c>
      <c r="O4791">
        <v>50.163140511775197</v>
      </c>
      <c r="P4791">
        <v>-9.7486443459252503E-2</v>
      </c>
      <c r="Q4791">
        <v>0.13784092831494801</v>
      </c>
      <c r="R4791">
        <v>0.99376453014967603</v>
      </c>
      <c r="S4791" t="s">
        <v>11407</v>
      </c>
      <c r="T4791" t="s">
        <v>13232</v>
      </c>
      <c r="U4791" t="s">
        <v>13232</v>
      </c>
      <c r="V4791" t="s">
        <v>13232</v>
      </c>
      <c r="W4791" t="s">
        <v>17959</v>
      </c>
      <c r="X4791">
        <v>39</v>
      </c>
      <c r="Y4791" t="s">
        <v>24366</v>
      </c>
      <c r="Z4791" t="s">
        <v>30922</v>
      </c>
      <c r="AA4791">
        <v>0.45044828308250989</v>
      </c>
      <c r="AB4791" t="str">
        <f>HYPERLINK("Melting_Curves/meltCurve_Q92922_SMARCC1.pdf", "Melting_Curves/meltCurve_Q92922_SMARCC1.pdf")</f>
        <v>Melting_Curves/meltCurve_Q92922_SMARCC1.pdf</v>
      </c>
    </row>
    <row r="4792" spans="1:28" x14ac:dyDescent="0.25">
      <c r="A4792" t="s">
        <v>4795</v>
      </c>
      <c r="B4792">
        <v>0.99930955844802105</v>
      </c>
      <c r="C4792">
        <v>0.88948106403803495</v>
      </c>
      <c r="D4792">
        <v>0.75321584891257598</v>
      </c>
      <c r="E4792">
        <v>0.45809122776453198</v>
      </c>
      <c r="F4792">
        <v>0.27153857588546398</v>
      </c>
      <c r="G4792">
        <v>0.16692035424861601</v>
      </c>
      <c r="H4792">
        <v>9.0527376233942303E-2</v>
      </c>
      <c r="I4792">
        <v>7.5832942529981795E-2</v>
      </c>
      <c r="J4792">
        <v>6.7300257317789505E-2</v>
      </c>
      <c r="K4792">
        <v>5.0598335264143098E-2</v>
      </c>
      <c r="L4792">
        <v>749.77846994283902</v>
      </c>
      <c r="M4792">
        <v>15.276692436425799</v>
      </c>
      <c r="N4792">
        <v>49.411832755756599</v>
      </c>
      <c r="O4792">
        <v>48.261950490690403</v>
      </c>
      <c r="P4792">
        <v>-7.5282151350911902E-2</v>
      </c>
      <c r="Q4792">
        <v>4.8767437940063697E-2</v>
      </c>
      <c r="R4792">
        <v>0.99877355475947005</v>
      </c>
      <c r="S4792" t="s">
        <v>11408</v>
      </c>
      <c r="T4792" t="s">
        <v>13232</v>
      </c>
      <c r="U4792" t="s">
        <v>13232</v>
      </c>
      <c r="V4792" t="s">
        <v>13232</v>
      </c>
      <c r="W4792" t="s">
        <v>17960</v>
      </c>
      <c r="X4792">
        <v>19</v>
      </c>
      <c r="Y4792" t="s">
        <v>24367</v>
      </c>
      <c r="Z4792" t="s">
        <v>30923</v>
      </c>
      <c r="AA4792">
        <v>0.35928764919317902</v>
      </c>
      <c r="AB4792" t="str">
        <f>HYPERLINK("Melting_Curves/meltCurve_Q92925_SMARCD2.pdf", "Melting_Curves/meltCurve_Q92925_SMARCD2.pdf")</f>
        <v>Melting_Curves/meltCurve_Q92925_SMARCD2.pdf</v>
      </c>
    </row>
    <row r="4793" spans="1:28" x14ac:dyDescent="0.25">
      <c r="A4793" t="s">
        <v>4796</v>
      </c>
      <c r="B4793">
        <v>0.99930955844802105</v>
      </c>
      <c r="C4793">
        <v>1.0690851743313301</v>
      </c>
      <c r="D4793">
        <v>1.09255531453104</v>
      </c>
      <c r="E4793">
        <v>1.0361593091252399</v>
      </c>
      <c r="F4793">
        <v>0.94573013040904497</v>
      </c>
      <c r="G4793">
        <v>0.87151459716602198</v>
      </c>
      <c r="H4793">
        <v>0.75519663827337002</v>
      </c>
      <c r="I4793">
        <v>0.71389524009970495</v>
      </c>
      <c r="J4793">
        <v>0.74566109256896895</v>
      </c>
      <c r="K4793">
        <v>0.56846632991878399</v>
      </c>
      <c r="L4793">
        <v>923.729003876192</v>
      </c>
      <c r="M4793">
        <v>15.2479744198675</v>
      </c>
      <c r="O4793">
        <v>59.567131117476102</v>
      </c>
      <c r="P4793">
        <v>-2.6685445029213498E-2</v>
      </c>
      <c r="Q4793">
        <v>0.58304630697662896</v>
      </c>
      <c r="R4793">
        <v>0.89842776434656701</v>
      </c>
      <c r="S4793" t="s">
        <v>11409</v>
      </c>
      <c r="T4793" t="s">
        <v>13232</v>
      </c>
      <c r="U4793" t="s">
        <v>13232</v>
      </c>
      <c r="V4793" t="s">
        <v>13232</v>
      </c>
      <c r="W4793" t="s">
        <v>17961</v>
      </c>
      <c r="X4793">
        <v>49</v>
      </c>
      <c r="Y4793" t="s">
        <v>24368</v>
      </c>
      <c r="Z4793" t="s">
        <v>30924</v>
      </c>
      <c r="AA4793">
        <v>0.87104465082041704</v>
      </c>
      <c r="AB4793" t="str">
        <f>HYPERLINK("Melting_Curves/meltCurve_Q92945_KHSRP.pdf", "Melting_Curves/meltCurve_Q92945_KHSRP.pdf")</f>
        <v>Melting_Curves/meltCurve_Q92945_KHSRP.pdf</v>
      </c>
    </row>
    <row r="4794" spans="1:28" x14ac:dyDescent="0.25">
      <c r="A4794" t="s">
        <v>4797</v>
      </c>
      <c r="B4794">
        <v>0.99930955844802105</v>
      </c>
      <c r="C4794">
        <v>0.69505618699340799</v>
      </c>
      <c r="D4794">
        <v>0.51696294225860695</v>
      </c>
      <c r="E4794">
        <v>0.40757974940236202</v>
      </c>
      <c r="F4794">
        <v>0.24515679367570201</v>
      </c>
      <c r="G4794">
        <v>0.142277171947956</v>
      </c>
      <c r="H4794">
        <v>7.1710196179572402E-2</v>
      </c>
      <c r="I4794">
        <v>5.6563781902008899E-2</v>
      </c>
      <c r="J4794">
        <v>4.9228865192279203E-2</v>
      </c>
      <c r="K4794">
        <v>3.8452914125200001E-2</v>
      </c>
      <c r="L4794">
        <v>532.69529691682601</v>
      </c>
      <c r="M4794">
        <v>11.3091652405085</v>
      </c>
      <c r="N4794">
        <v>47.243721199227103</v>
      </c>
      <c r="O4794">
        <v>45.702300246789697</v>
      </c>
      <c r="P4794">
        <v>-6.0856936858683097E-2</v>
      </c>
      <c r="Q4794">
        <v>1.65648905674943E-2</v>
      </c>
      <c r="R4794">
        <v>0.97543321906039604</v>
      </c>
      <c r="S4794" t="s">
        <v>11410</v>
      </c>
      <c r="T4794" t="s">
        <v>13232</v>
      </c>
      <c r="U4794" t="s">
        <v>13232</v>
      </c>
      <c r="V4794" t="s">
        <v>13232</v>
      </c>
      <c r="W4794" t="s">
        <v>17962</v>
      </c>
      <c r="X4794">
        <v>8</v>
      </c>
      <c r="Y4794" t="s">
        <v>24369</v>
      </c>
      <c r="Z4794" t="s">
        <v>30925</v>
      </c>
      <c r="AA4794">
        <v>0.29496850747983738</v>
      </c>
      <c r="AB4794" t="str">
        <f>HYPERLINK("Melting_Curves/meltCurve_Q92947_2_GCDH.pdf", "Melting_Curves/meltCurve_Q92947_2_GCDH.pdf")</f>
        <v>Melting_Curves/meltCurve_Q92947_2_GCDH.pdf</v>
      </c>
    </row>
    <row r="4795" spans="1:28" x14ac:dyDescent="0.25">
      <c r="A4795" t="s">
        <v>4798</v>
      </c>
      <c r="B4795">
        <v>0.99930955844802105</v>
      </c>
      <c r="C4795">
        <v>0.95346742319298705</v>
      </c>
      <c r="D4795">
        <v>0.96747037772428501</v>
      </c>
      <c r="E4795">
        <v>0.86171386627192004</v>
      </c>
      <c r="F4795">
        <v>0.53226322303084095</v>
      </c>
      <c r="G4795">
        <v>0.24503741991506101</v>
      </c>
      <c r="H4795">
        <v>0.123653584609762</v>
      </c>
      <c r="I4795">
        <v>9.6887998217427801E-2</v>
      </c>
      <c r="J4795">
        <v>8.5919945669187703E-2</v>
      </c>
      <c r="K4795">
        <v>6.2547340623586106E-2</v>
      </c>
      <c r="L4795">
        <v>1272.9102706855699</v>
      </c>
      <c r="M4795">
        <v>23.940598485855801</v>
      </c>
      <c r="N4795">
        <v>53.5430217730595</v>
      </c>
      <c r="O4795">
        <v>52.8027177886404</v>
      </c>
      <c r="P4795">
        <v>-0.104634334594238</v>
      </c>
      <c r="Q4795">
        <v>7.6900436977244802E-2</v>
      </c>
      <c r="R4795">
        <v>0.99745509363886298</v>
      </c>
      <c r="S4795" t="s">
        <v>11411</v>
      </c>
      <c r="T4795" t="s">
        <v>13232</v>
      </c>
      <c r="U4795" t="s">
        <v>13232</v>
      </c>
      <c r="V4795" t="s">
        <v>13232</v>
      </c>
      <c r="W4795" t="s">
        <v>17963</v>
      </c>
      <c r="X4795">
        <v>33</v>
      </c>
      <c r="Y4795" t="s">
        <v>24370</v>
      </c>
      <c r="Z4795" t="s">
        <v>30926</v>
      </c>
      <c r="AA4795">
        <v>0.49134702350373283</v>
      </c>
      <c r="AB4795" t="str">
        <f>HYPERLINK("Melting_Curves/meltCurve_Q92973_2_TNPO1.pdf", "Melting_Curves/meltCurve_Q92973_2_TNPO1.pdf")</f>
        <v>Melting_Curves/meltCurve_Q92973_2_TNPO1.pdf</v>
      </c>
    </row>
    <row r="4796" spans="1:28" x14ac:dyDescent="0.25">
      <c r="A4796" t="s">
        <v>4799</v>
      </c>
      <c r="B4796">
        <v>0.99930955844802105</v>
      </c>
      <c r="C4796">
        <v>0.80785286126063904</v>
      </c>
      <c r="D4796">
        <v>0.46837785182417901</v>
      </c>
      <c r="E4796">
        <v>0.34705878780946298</v>
      </c>
      <c r="F4796">
        <v>0.247017653634588</v>
      </c>
      <c r="G4796">
        <v>0.19445880060915699</v>
      </c>
      <c r="H4796">
        <v>0.16662959933038399</v>
      </c>
      <c r="I4796">
        <v>0.173925920430888</v>
      </c>
      <c r="J4796">
        <v>0.178047005958024</v>
      </c>
      <c r="K4796">
        <v>0.13727897111885001</v>
      </c>
      <c r="L4796">
        <v>889.298785215105</v>
      </c>
      <c r="M4796">
        <v>19.626817655600799</v>
      </c>
      <c r="N4796">
        <v>46.327775123147802</v>
      </c>
      <c r="O4796">
        <v>44.847876627238897</v>
      </c>
      <c r="P4796">
        <v>-9.0256272424350095E-2</v>
      </c>
      <c r="Q4796">
        <v>0.17507559248825799</v>
      </c>
      <c r="R4796">
        <v>0.98440009719309396</v>
      </c>
      <c r="S4796" t="s">
        <v>11412</v>
      </c>
      <c r="T4796" t="s">
        <v>13232</v>
      </c>
      <c r="U4796" t="s">
        <v>13232</v>
      </c>
      <c r="V4796" t="s">
        <v>13232</v>
      </c>
      <c r="W4796" t="s">
        <v>17964</v>
      </c>
      <c r="X4796">
        <v>49</v>
      </c>
      <c r="Y4796" t="s">
        <v>24371</v>
      </c>
      <c r="Z4796" t="s">
        <v>30927</v>
      </c>
      <c r="AA4796">
        <v>0.33521585725683922</v>
      </c>
      <c r="AB4796" t="str">
        <f>HYPERLINK("Melting_Curves/meltCurve_Q92974_3_ARHGEF2.pdf", "Melting_Curves/meltCurve_Q92974_3_ARHGEF2.pdf")</f>
        <v>Melting_Curves/meltCurve_Q92974_3_ARHGEF2.pdf</v>
      </c>
    </row>
    <row r="4797" spans="1:28" x14ac:dyDescent="0.25">
      <c r="A4797" t="s">
        <v>4800</v>
      </c>
      <c r="B4797">
        <v>0.99930955844802105</v>
      </c>
      <c r="C4797">
        <v>0.99601274163250797</v>
      </c>
      <c r="D4797">
        <v>0.95579869742438195</v>
      </c>
      <c r="E4797">
        <v>0.75017941336649896</v>
      </c>
      <c r="F4797">
        <v>0.43473907226663</v>
      </c>
      <c r="G4797">
        <v>0.31332877419227201</v>
      </c>
      <c r="H4797">
        <v>0.22358254232875299</v>
      </c>
      <c r="I4797">
        <v>0.22779950552897801</v>
      </c>
      <c r="J4797">
        <v>0.21165248413773899</v>
      </c>
      <c r="K4797">
        <v>0.17021831429535</v>
      </c>
      <c r="L4797">
        <v>1241.41967913177</v>
      </c>
      <c r="M4797">
        <v>24.1454036236123</v>
      </c>
      <c r="N4797">
        <v>52.572482421367603</v>
      </c>
      <c r="O4797">
        <v>51.065528759030599</v>
      </c>
      <c r="P4797">
        <v>-9.3827562601223893E-2</v>
      </c>
      <c r="Q4797">
        <v>0.20626180073795999</v>
      </c>
      <c r="R4797">
        <v>0.99615862803099098</v>
      </c>
      <c r="S4797" t="s">
        <v>11413</v>
      </c>
      <c r="T4797" t="s">
        <v>13232</v>
      </c>
      <c r="U4797" t="s">
        <v>13232</v>
      </c>
      <c r="V4797" t="s">
        <v>13232</v>
      </c>
      <c r="W4797" t="s">
        <v>17965</v>
      </c>
      <c r="X4797">
        <v>8</v>
      </c>
      <c r="Y4797" t="s">
        <v>24372</v>
      </c>
      <c r="Z4797" t="s">
        <v>30928</v>
      </c>
      <c r="AA4797">
        <v>0.5159679013005547</v>
      </c>
      <c r="AB4797" t="str">
        <f>HYPERLINK("Melting_Curves/meltCurve_Q92979_EMG1.pdf", "Melting_Curves/meltCurve_Q92979_EMG1.pdf")</f>
        <v>Melting_Curves/meltCurve_Q92979_EMG1.pdf</v>
      </c>
    </row>
    <row r="4798" spans="1:28" x14ac:dyDescent="0.25">
      <c r="A4798" t="s">
        <v>4801</v>
      </c>
      <c r="B4798">
        <v>0.99930955844802105</v>
      </c>
      <c r="C4798">
        <v>0.95654805945774801</v>
      </c>
      <c r="D4798">
        <v>0.93155652456118998</v>
      </c>
      <c r="E4798">
        <v>0.85586540504911601</v>
      </c>
      <c r="F4798">
        <v>0.74054436700166304</v>
      </c>
      <c r="G4798">
        <v>0.372334757055795</v>
      </c>
      <c r="H4798">
        <v>0.10748265184012901</v>
      </c>
      <c r="I4798">
        <v>7.6668825680026406E-2</v>
      </c>
      <c r="J4798">
        <v>6.3908963215366502E-2</v>
      </c>
      <c r="K4798">
        <v>5.6816483661524197E-2</v>
      </c>
      <c r="L4798">
        <v>1116.96066674186</v>
      </c>
      <c r="M4798">
        <v>20.2281870785066</v>
      </c>
      <c r="N4798">
        <v>55.355769236779302</v>
      </c>
      <c r="O4798">
        <v>54.686871533515799</v>
      </c>
      <c r="P4798">
        <v>-9.0205956649863195E-2</v>
      </c>
      <c r="Q4798">
        <v>2.45437199604993E-2</v>
      </c>
      <c r="R4798">
        <v>0.99402764664425103</v>
      </c>
      <c r="S4798" t="s">
        <v>11414</v>
      </c>
      <c r="T4798" t="s">
        <v>13232</v>
      </c>
      <c r="U4798" t="s">
        <v>13232</v>
      </c>
      <c r="V4798" t="s">
        <v>13232</v>
      </c>
      <c r="W4798" t="s">
        <v>17966</v>
      </c>
      <c r="X4798">
        <v>11</v>
      </c>
      <c r="Y4798" t="s">
        <v>24373</v>
      </c>
      <c r="Z4798" t="s">
        <v>30929</v>
      </c>
      <c r="AA4798">
        <v>0.53205694130308034</v>
      </c>
      <c r="AB4798" t="str">
        <f>HYPERLINK("Melting_Curves/meltCurve_Q92989_CLP1.pdf", "Melting_Curves/meltCurve_Q92989_CLP1.pdf")</f>
        <v>Melting_Curves/meltCurve_Q92989_CLP1.pdf</v>
      </c>
    </row>
    <row r="4799" spans="1:28" x14ac:dyDescent="0.25">
      <c r="A4799" t="s">
        <v>4802</v>
      </c>
      <c r="B4799">
        <v>0.99930955844802105</v>
      </c>
      <c r="C4799">
        <v>0.92318980485117097</v>
      </c>
      <c r="D4799">
        <v>0.86488568103869401</v>
      </c>
      <c r="E4799">
        <v>0.61404491222962798</v>
      </c>
      <c r="F4799">
        <v>0.29713479823043698</v>
      </c>
      <c r="G4799">
        <v>0.18439662695640399</v>
      </c>
      <c r="H4799">
        <v>9.3118887814381102E-2</v>
      </c>
      <c r="I4799">
        <v>8.0519968267294295E-2</v>
      </c>
      <c r="J4799">
        <v>6.9477043516920897E-2</v>
      </c>
      <c r="K4799">
        <v>5.2572243389767501E-2</v>
      </c>
      <c r="L4799">
        <v>922.55665641136295</v>
      </c>
      <c r="M4799">
        <v>18.2392033621542</v>
      </c>
      <c r="N4799">
        <v>50.908337103982902</v>
      </c>
      <c r="O4799">
        <v>49.984704492899901</v>
      </c>
      <c r="P4799">
        <v>-8.6180108048540302E-2</v>
      </c>
      <c r="Q4799">
        <v>5.5334780595005302E-2</v>
      </c>
      <c r="R4799">
        <v>0.99583015472939995</v>
      </c>
      <c r="S4799" t="s">
        <v>11415</v>
      </c>
      <c r="T4799" t="s">
        <v>13232</v>
      </c>
      <c r="U4799" t="s">
        <v>13232</v>
      </c>
      <c r="V4799" t="s">
        <v>13232</v>
      </c>
      <c r="W4799" t="s">
        <v>17967</v>
      </c>
      <c r="X4799">
        <v>15</v>
      </c>
      <c r="Y4799" t="s">
        <v>24374</v>
      </c>
      <c r="Z4799" t="s">
        <v>30930</v>
      </c>
      <c r="AA4799">
        <v>0.40412692115860088</v>
      </c>
      <c r="AB4799" t="str">
        <f>HYPERLINK("Melting_Curves/meltCurve_Q92990_GLMN.pdf", "Melting_Curves/meltCurve_Q92990_GLMN.pdf")</f>
        <v>Melting_Curves/meltCurve_Q92990_GLMN.pdf</v>
      </c>
    </row>
    <row r="4800" spans="1:28" x14ac:dyDescent="0.25">
      <c r="A4800" t="s">
        <v>4803</v>
      </c>
      <c r="B4800">
        <v>0.99930955844802105</v>
      </c>
      <c r="C4800">
        <v>1.0224230270443899</v>
      </c>
      <c r="D4800">
        <v>1.00685157833367</v>
      </c>
      <c r="E4800">
        <v>0.86986742297945996</v>
      </c>
      <c r="F4800">
        <v>0.67325116473562496</v>
      </c>
      <c r="G4800">
        <v>0.497479058783454</v>
      </c>
      <c r="H4800">
        <v>0.37782677538259102</v>
      </c>
      <c r="I4800">
        <v>0.33279292412815498</v>
      </c>
      <c r="J4800">
        <v>0.29105164663840799</v>
      </c>
      <c r="K4800">
        <v>0.19147755529757499</v>
      </c>
      <c r="L4800">
        <v>833.29118293604097</v>
      </c>
      <c r="M4800">
        <v>15.1895605534278</v>
      </c>
      <c r="N4800">
        <v>57.043806445609597</v>
      </c>
      <c r="O4800">
        <v>53.934975425029499</v>
      </c>
      <c r="P4800">
        <v>-5.4886688583750003E-2</v>
      </c>
      <c r="Q4800">
        <v>0.22051003599218399</v>
      </c>
      <c r="R4800">
        <v>0.98942778980856505</v>
      </c>
      <c r="S4800" t="s">
        <v>11416</v>
      </c>
      <c r="T4800" t="s">
        <v>13232</v>
      </c>
      <c r="U4800" t="s">
        <v>13232</v>
      </c>
      <c r="V4800" t="s">
        <v>13232</v>
      </c>
      <c r="W4800" t="s">
        <v>17968</v>
      </c>
      <c r="X4800">
        <v>6</v>
      </c>
      <c r="Y4800" t="s">
        <v>24375</v>
      </c>
      <c r="Z4800" t="s">
        <v>30931</v>
      </c>
      <c r="AA4800">
        <v>0.62157428282225013</v>
      </c>
      <c r="AB4800" t="str">
        <f>HYPERLINK("Melting_Curves/meltCurve_Q92993_KAT5.pdf", "Melting_Curves/meltCurve_Q92993_KAT5.pdf")</f>
        <v>Melting_Curves/meltCurve_Q92993_KAT5.pdf</v>
      </c>
    </row>
    <row r="4801" spans="1:28" x14ac:dyDescent="0.25">
      <c r="A4801" t="s">
        <v>4804</v>
      </c>
      <c r="B4801">
        <v>0.99930955844802105</v>
      </c>
      <c r="C4801">
        <v>1.0741753834287799</v>
      </c>
      <c r="D4801">
        <v>0.96320510081468902</v>
      </c>
      <c r="E4801">
        <v>0.819670485381086</v>
      </c>
      <c r="F4801">
        <v>0.66853437385825998</v>
      </c>
      <c r="G4801">
        <v>0.62245421943865198</v>
      </c>
      <c r="H4801">
        <v>0.63032631978012399</v>
      </c>
      <c r="I4801">
        <v>0.61453318822383496</v>
      </c>
      <c r="J4801">
        <v>0.64089641088343696</v>
      </c>
      <c r="K4801">
        <v>0.49928913700634098</v>
      </c>
      <c r="L4801">
        <v>1425.0453872675801</v>
      </c>
      <c r="M4801">
        <v>28.308276494726801</v>
      </c>
      <c r="O4801">
        <v>50.091044560308703</v>
      </c>
      <c r="P4801">
        <v>-5.6975309476220398E-2</v>
      </c>
      <c r="Q4801">
        <v>0.59673577860501503</v>
      </c>
      <c r="R4801">
        <v>0.94561389399426998</v>
      </c>
      <c r="S4801" t="s">
        <v>11417</v>
      </c>
      <c r="T4801" t="s">
        <v>13232</v>
      </c>
      <c r="U4801" t="s">
        <v>13232</v>
      </c>
      <c r="V4801" t="s">
        <v>13232</v>
      </c>
      <c r="W4801" t="s">
        <v>17969</v>
      </c>
      <c r="X4801">
        <v>3</v>
      </c>
      <c r="Y4801" t="s">
        <v>24376</v>
      </c>
      <c r="Z4801" t="s">
        <v>30932</v>
      </c>
      <c r="AA4801">
        <v>0.73854995744422491</v>
      </c>
      <c r="AB4801" t="str">
        <f>HYPERLINK("Melting_Curves/meltCurve_Q92994_5_BRF1.pdf", "Melting_Curves/meltCurve_Q92994_5_BRF1.pdf")</f>
        <v>Melting_Curves/meltCurve_Q92994_5_BRF1.pdf</v>
      </c>
    </row>
    <row r="4802" spans="1:28" x14ac:dyDescent="0.25">
      <c r="A4802" t="s">
        <v>4805</v>
      </c>
      <c r="B4802">
        <v>0.99930955844802105</v>
      </c>
      <c r="C4802">
        <v>1.54747050750988</v>
      </c>
      <c r="D4802">
        <v>1.4652542710796901</v>
      </c>
      <c r="E4802">
        <v>0.69657587493527695</v>
      </c>
      <c r="F4802">
        <v>0.39158511052932699</v>
      </c>
      <c r="G4802">
        <v>0.319585651709413</v>
      </c>
      <c r="H4802">
        <v>0.25076885626827</v>
      </c>
      <c r="I4802">
        <v>0.27457660442716603</v>
      </c>
      <c r="J4802">
        <v>0.245834679764385</v>
      </c>
      <c r="K4802">
        <v>0.22365365011859401</v>
      </c>
      <c r="L4802">
        <v>2591.2845534058501</v>
      </c>
      <c r="M4802">
        <v>51.297535806579297</v>
      </c>
      <c r="N4802">
        <v>51.298007269782403</v>
      </c>
      <c r="O4802">
        <v>50.438203304577101</v>
      </c>
      <c r="P4802">
        <v>-0.18522065991202699</v>
      </c>
      <c r="Q4802">
        <v>0.27152913055106498</v>
      </c>
      <c r="R4802">
        <v>0.78017737515637198</v>
      </c>
      <c r="S4802" t="s">
        <v>11418</v>
      </c>
      <c r="T4802" t="s">
        <v>13232</v>
      </c>
      <c r="U4802" t="s">
        <v>13232</v>
      </c>
      <c r="V4802" t="s">
        <v>13232</v>
      </c>
      <c r="W4802" t="s">
        <v>17970</v>
      </c>
      <c r="X4802">
        <v>4</v>
      </c>
      <c r="Y4802" t="s">
        <v>24377</v>
      </c>
      <c r="Z4802" t="s">
        <v>30933</v>
      </c>
      <c r="AA4802">
        <v>0.5283948947115783</v>
      </c>
      <c r="AB4802" t="str">
        <f>HYPERLINK("Melting_Curves/meltCurve_Q92995_2_USP13.pdf", "Melting_Curves/meltCurve_Q92995_2_USP13.pdf")</f>
        <v>Melting_Curves/meltCurve_Q92995_2_USP13.pdf</v>
      </c>
    </row>
    <row r="4803" spans="1:28" x14ac:dyDescent="0.25">
      <c r="A4803" t="s">
        <v>4806</v>
      </c>
      <c r="B4803">
        <v>0.99930955844802105</v>
      </c>
      <c r="C4803">
        <v>0.66518031827758195</v>
      </c>
      <c r="D4803">
        <v>0.72044374645927201</v>
      </c>
      <c r="E4803">
        <v>0.59018367791651105</v>
      </c>
      <c r="F4803">
        <v>0.22161260357234899</v>
      </c>
      <c r="G4803">
        <v>0.15944310439204701</v>
      </c>
      <c r="H4803">
        <v>0.101859074787777</v>
      </c>
      <c r="I4803">
        <v>9.5112094750442897E-2</v>
      </c>
      <c r="J4803">
        <v>8.9029432104618306E-2</v>
      </c>
      <c r="K4803">
        <v>6.6068937262837898E-2</v>
      </c>
      <c r="L4803">
        <v>526.17153048972</v>
      </c>
      <c r="M4803">
        <v>10.723021472203801</v>
      </c>
      <c r="N4803">
        <v>49.181151663122101</v>
      </c>
      <c r="O4803">
        <v>47.455126156967502</v>
      </c>
      <c r="P4803">
        <v>-5.5830814808694E-2</v>
      </c>
      <c r="Q4803">
        <v>1.2042386509720501E-2</v>
      </c>
      <c r="R4803">
        <v>0.93863167380791601</v>
      </c>
      <c r="S4803" t="s">
        <v>11419</v>
      </c>
      <c r="T4803" t="s">
        <v>13232</v>
      </c>
      <c r="U4803" t="s">
        <v>13232</v>
      </c>
      <c r="V4803" t="s">
        <v>13232</v>
      </c>
      <c r="W4803" t="s">
        <v>17971</v>
      </c>
      <c r="X4803">
        <v>62</v>
      </c>
      <c r="Y4803" t="s">
        <v>24378</v>
      </c>
      <c r="Z4803" t="s">
        <v>30934</v>
      </c>
      <c r="AA4803">
        <v>0.35401407060667173</v>
      </c>
      <c r="AB4803" t="str">
        <f>HYPERLINK("Melting_Curves/meltCurve_Q93008_USP9X.pdf", "Melting_Curves/meltCurve_Q93008_USP9X.pdf")</f>
        <v>Melting_Curves/meltCurve_Q93008_USP9X.pdf</v>
      </c>
    </row>
    <row r="4804" spans="1:28" x14ac:dyDescent="0.25">
      <c r="A4804" t="s">
        <v>4807</v>
      </c>
      <c r="B4804">
        <v>0.99930955844802105</v>
      </c>
      <c r="C4804">
        <v>0.90231263698370001</v>
      </c>
      <c r="D4804">
        <v>0.71739888882446201</v>
      </c>
      <c r="E4804">
        <v>0.23495789045280799</v>
      </c>
      <c r="F4804">
        <v>0.59145534793059795</v>
      </c>
      <c r="G4804">
        <v>0.45946976059387001</v>
      </c>
      <c r="H4804">
        <v>0.38653276961941901</v>
      </c>
      <c r="I4804">
        <v>0.38791248039015802</v>
      </c>
      <c r="J4804">
        <v>0.398697465984305</v>
      </c>
      <c r="K4804">
        <v>0.29732754550519402</v>
      </c>
      <c r="L4804">
        <v>5065.2540631613601</v>
      </c>
      <c r="M4804">
        <v>109.980159753035</v>
      </c>
      <c r="N4804">
        <v>46.713984681349501</v>
      </c>
      <c r="O4804">
        <v>46.040826328138102</v>
      </c>
      <c r="P4804">
        <v>-0.36203637980413</v>
      </c>
      <c r="Q4804">
        <v>0.39376477713142999</v>
      </c>
      <c r="R4804">
        <v>0.85438329096736298</v>
      </c>
      <c r="S4804" t="s">
        <v>11420</v>
      </c>
      <c r="T4804" t="s">
        <v>13232</v>
      </c>
      <c r="U4804" t="s">
        <v>13232</v>
      </c>
      <c r="V4804" t="s">
        <v>13232</v>
      </c>
      <c r="W4804" t="s">
        <v>17972</v>
      </c>
      <c r="X4804">
        <v>3</v>
      </c>
      <c r="Y4804" t="s">
        <v>24379</v>
      </c>
      <c r="Z4804" t="s">
        <v>30935</v>
      </c>
      <c r="AA4804">
        <v>0.516398326519665</v>
      </c>
      <c r="AB4804" t="str">
        <f>HYPERLINK("Melting_Curves/meltCurve_Q93015_2_NAT6.pdf", "Melting_Curves/meltCurve_Q93015_2_NAT6.pdf")</f>
        <v>Melting_Curves/meltCurve_Q93015_2_NAT6.pdf</v>
      </c>
    </row>
    <row r="4805" spans="1:28" x14ac:dyDescent="0.25">
      <c r="A4805" t="s">
        <v>4808</v>
      </c>
      <c r="B4805">
        <v>0.99930955844802105</v>
      </c>
      <c r="C4805">
        <v>1.0028529087243401</v>
      </c>
      <c r="D4805">
        <v>0.99364574945023598</v>
      </c>
      <c r="E4805">
        <v>0.95297372143621994</v>
      </c>
      <c r="F4805">
        <v>0.86651303827468795</v>
      </c>
      <c r="G4805">
        <v>0.51207315674613396</v>
      </c>
      <c r="H4805">
        <v>0.13044066885237399</v>
      </c>
      <c r="I4805">
        <v>0.106975865732721</v>
      </c>
      <c r="J4805">
        <v>8.8647705298166193E-2</v>
      </c>
      <c r="K4805">
        <v>6.9074404455283595E-2</v>
      </c>
      <c r="L4805">
        <v>1603.8663364546801</v>
      </c>
      <c r="M4805">
        <v>28.3236415396543</v>
      </c>
      <c r="N4805">
        <v>56.895782439222003</v>
      </c>
      <c r="O4805">
        <v>56.346395726770098</v>
      </c>
      <c r="P4805">
        <v>-0.11778325626946901</v>
      </c>
      <c r="Q4805">
        <v>6.2746561908575402E-2</v>
      </c>
      <c r="R4805">
        <v>0.99791733934615301</v>
      </c>
      <c r="S4805" t="s">
        <v>11421</v>
      </c>
      <c r="T4805" t="s">
        <v>13232</v>
      </c>
      <c r="U4805" t="s">
        <v>13232</v>
      </c>
      <c r="V4805" t="s">
        <v>13232</v>
      </c>
      <c r="W4805" t="s">
        <v>17973</v>
      </c>
      <c r="X4805">
        <v>38</v>
      </c>
      <c r="Y4805" t="s">
        <v>24380</v>
      </c>
      <c r="Z4805" t="s">
        <v>30936</v>
      </c>
      <c r="AA4805">
        <v>0.5891023862506134</v>
      </c>
      <c r="AB4805" t="str">
        <f>HYPERLINK("Melting_Curves/meltCurve_Q93034_CUL5.pdf", "Melting_Curves/meltCurve_Q93034_CUL5.pdf")</f>
        <v>Melting_Curves/meltCurve_Q93034_CUL5.pdf</v>
      </c>
    </row>
    <row r="4806" spans="1:28" x14ac:dyDescent="0.25">
      <c r="A4806" t="s">
        <v>4809</v>
      </c>
      <c r="B4806">
        <v>0.99930955844802105</v>
      </c>
      <c r="C4806">
        <v>0.92196720318133896</v>
      </c>
      <c r="D4806">
        <v>0.80522045126837705</v>
      </c>
      <c r="E4806">
        <v>0.73776599882045302</v>
      </c>
      <c r="F4806">
        <v>0.37261345800809498</v>
      </c>
      <c r="G4806">
        <v>0.224050934434114</v>
      </c>
      <c r="H4806">
        <v>0.13461477704215899</v>
      </c>
      <c r="I4806">
        <v>7.6405318639130707E-2</v>
      </c>
      <c r="J4806">
        <v>2.3354697238546499E-2</v>
      </c>
      <c r="K4806">
        <v>2.0286550507770101E-2</v>
      </c>
      <c r="L4806">
        <v>726.23927967622001</v>
      </c>
      <c r="M4806">
        <v>13.956253244912499</v>
      </c>
      <c r="N4806">
        <v>52.036822891963197</v>
      </c>
      <c r="O4806">
        <v>51.003385620186698</v>
      </c>
      <c r="P4806">
        <v>-6.8417628681923207E-2</v>
      </c>
      <c r="Q4806">
        <v>0</v>
      </c>
      <c r="R4806">
        <v>0.98621390619809202</v>
      </c>
      <c r="S4806" t="s">
        <v>11422</v>
      </c>
      <c r="T4806" t="s">
        <v>13232</v>
      </c>
      <c r="U4806" t="s">
        <v>13232</v>
      </c>
      <c r="V4806" t="s">
        <v>13232</v>
      </c>
      <c r="W4806" t="s">
        <v>17974</v>
      </c>
      <c r="X4806">
        <v>3</v>
      </c>
      <c r="Y4806" t="s">
        <v>24381</v>
      </c>
      <c r="Z4806" t="s">
        <v>30937</v>
      </c>
      <c r="AA4806">
        <v>0.42607938163557219</v>
      </c>
      <c r="AB4806" t="str">
        <f>HYPERLINK("Melting_Curves/meltCurve_Q93073_2_SECISBP2L.pdf", "Melting_Curves/meltCurve_Q93073_2_SECISBP2L.pdf")</f>
        <v>Melting_Curves/meltCurve_Q93073_2_SECISBP2L.pdf</v>
      </c>
    </row>
    <row r="4807" spans="1:28" x14ac:dyDescent="0.25">
      <c r="A4807" t="s">
        <v>4810</v>
      </c>
      <c r="B4807">
        <v>0.99930955844802105</v>
      </c>
      <c r="C4807">
        <v>1.33256133510536</v>
      </c>
      <c r="D4807">
        <v>1.28953791109008</v>
      </c>
      <c r="E4807">
        <v>1.18029358473218</v>
      </c>
      <c r="F4807">
        <v>1.27120242288261</v>
      </c>
      <c r="G4807">
        <v>1.2495181285919399</v>
      </c>
      <c r="H4807">
        <v>1.65709331955852</v>
      </c>
      <c r="I4807">
        <v>1.9001935613476799</v>
      </c>
      <c r="J4807">
        <v>1.97991422798658</v>
      </c>
      <c r="K4807">
        <v>1.5663667821980201</v>
      </c>
      <c r="L4807">
        <v>548.55840251363304</v>
      </c>
      <c r="M4807">
        <v>11.8735125582346</v>
      </c>
      <c r="O4807">
        <v>44.948166408916002</v>
      </c>
      <c r="P4807">
        <v>3.3028321345371099E-2</v>
      </c>
      <c r="Q4807">
        <v>1.5</v>
      </c>
      <c r="R4807">
        <v>0.36314327816716402</v>
      </c>
      <c r="S4807" t="s">
        <v>11423</v>
      </c>
      <c r="T4807" t="s">
        <v>13232</v>
      </c>
      <c r="U4807" t="s">
        <v>13232</v>
      </c>
      <c r="V4807" t="s">
        <v>13232</v>
      </c>
      <c r="W4807" t="s">
        <v>17975</v>
      </c>
      <c r="X4807">
        <v>6</v>
      </c>
      <c r="Y4807" t="s">
        <v>24382</v>
      </c>
      <c r="Z4807" t="s">
        <v>30938</v>
      </c>
      <c r="AA4807">
        <v>1.3738542131279401</v>
      </c>
      <c r="AB4807" t="str">
        <f>HYPERLINK("Melting_Curves/meltCurve_Q93074_3_MED12.pdf", "Melting_Curves/meltCurve_Q93074_3_MED12.pdf")</f>
        <v>Melting_Curves/meltCurve_Q93074_3_MED12.pdf</v>
      </c>
    </row>
    <row r="4808" spans="1:28" x14ac:dyDescent="0.25">
      <c r="A4808" t="s">
        <v>4811</v>
      </c>
      <c r="B4808">
        <v>0.99930955844802105</v>
      </c>
      <c r="C4808">
        <v>0.95909397546104902</v>
      </c>
      <c r="D4808">
        <v>0.908098200600718</v>
      </c>
      <c r="E4808">
        <v>0.82122375631711997</v>
      </c>
      <c r="F4808">
        <v>0.76663407322261901</v>
      </c>
      <c r="G4808">
        <v>0.62336336310049201</v>
      </c>
      <c r="H4808">
        <v>0.58221878058862397</v>
      </c>
      <c r="I4808">
        <v>0.54721885048801</v>
      </c>
      <c r="J4808">
        <v>0.52912269727079897</v>
      </c>
      <c r="K4808">
        <v>0.401167935048863</v>
      </c>
      <c r="L4808">
        <v>443.60618015523198</v>
      </c>
      <c r="M4808">
        <v>7.7856925009779596</v>
      </c>
      <c r="N4808">
        <v>65.666131072504299</v>
      </c>
      <c r="O4808">
        <v>53.584627693083</v>
      </c>
      <c r="P4808">
        <v>-2.4675612417365801E-2</v>
      </c>
      <c r="Q4808">
        <v>0.32153454890467098</v>
      </c>
      <c r="R4808">
        <v>0.980785938294361</v>
      </c>
      <c r="S4808" t="s">
        <v>11424</v>
      </c>
      <c r="T4808" t="s">
        <v>13232</v>
      </c>
      <c r="U4808" t="s">
        <v>13232</v>
      </c>
      <c r="V4808" t="s">
        <v>13232</v>
      </c>
      <c r="W4808" t="s">
        <v>17976</v>
      </c>
      <c r="X4808">
        <v>2</v>
      </c>
      <c r="Y4808" t="s">
        <v>24383</v>
      </c>
      <c r="Z4808" t="s">
        <v>30939</v>
      </c>
      <c r="AA4808">
        <v>0.71329824804395336</v>
      </c>
      <c r="AB4808" t="str">
        <f>HYPERLINK("Melting_Curves/meltCurve_Q93075_TATDN2.pdf", "Melting_Curves/meltCurve_Q93075_TATDN2.pdf")</f>
        <v>Melting_Curves/meltCurve_Q93075_TATDN2.pdf</v>
      </c>
    </row>
    <row r="4809" spans="1:28" x14ac:dyDescent="0.25">
      <c r="A4809" t="s">
        <v>4812</v>
      </c>
      <c r="B4809">
        <v>0.99930955844802105</v>
      </c>
      <c r="C4809">
        <v>1.05307392879436</v>
      </c>
      <c r="D4809">
        <v>1.08560800296576</v>
      </c>
      <c r="E4809">
        <v>0.92867756841289595</v>
      </c>
      <c r="F4809">
        <v>0.70358195629530196</v>
      </c>
      <c r="G4809">
        <v>0.42656211305347602</v>
      </c>
      <c r="H4809">
        <v>0.17667062607327499</v>
      </c>
      <c r="I4809">
        <v>0.110916977556656</v>
      </c>
      <c r="J4809">
        <v>7.4780686444650801E-2</v>
      </c>
      <c r="K4809">
        <v>5.2857911861362003E-2</v>
      </c>
      <c r="L4809">
        <v>1135.75781514246</v>
      </c>
      <c r="M4809">
        <v>20.431816722047401</v>
      </c>
      <c r="N4809">
        <v>55.852016349492203</v>
      </c>
      <c r="O4809">
        <v>55.063440505037299</v>
      </c>
      <c r="P4809">
        <v>-8.8492818494577505E-2</v>
      </c>
      <c r="Q4809">
        <v>4.6081442702975997E-2</v>
      </c>
      <c r="R4809">
        <v>0.99118257279144795</v>
      </c>
      <c r="S4809" t="s">
        <v>11425</v>
      </c>
      <c r="T4809" t="s">
        <v>13232</v>
      </c>
      <c r="U4809" t="s">
        <v>13232</v>
      </c>
      <c r="V4809" t="s">
        <v>13232</v>
      </c>
      <c r="W4809" t="s">
        <v>17977</v>
      </c>
      <c r="X4809">
        <v>5</v>
      </c>
      <c r="Y4809" t="s">
        <v>24384</v>
      </c>
      <c r="Z4809" t="s">
        <v>30940</v>
      </c>
      <c r="AA4809">
        <v>0.55383065822230249</v>
      </c>
      <c r="AB4809" t="str">
        <f>HYPERLINK("Melting_Curves/meltCurve_Q93096_PTP4A1.pdf", "Melting_Curves/meltCurve_Q93096_PTP4A1.pdf")</f>
        <v>Melting_Curves/meltCurve_Q93096_PTP4A1.pdf</v>
      </c>
    </row>
    <row r="4810" spans="1:28" x14ac:dyDescent="0.25">
      <c r="A4810" t="s">
        <v>4813</v>
      </c>
      <c r="B4810">
        <v>0.99930955844802105</v>
      </c>
      <c r="C4810">
        <v>0.50651822230598198</v>
      </c>
      <c r="D4810">
        <v>0.38430739848988599</v>
      </c>
      <c r="E4810">
        <v>0.30691445806024797</v>
      </c>
      <c r="F4810">
        <v>0.169472325690813</v>
      </c>
      <c r="G4810">
        <v>0.10911305715146299</v>
      </c>
      <c r="H4810">
        <v>5.4477287784302199E-2</v>
      </c>
      <c r="I4810">
        <v>4.9160415824211497E-2</v>
      </c>
      <c r="J4810">
        <v>3.8576427410617203E-2</v>
      </c>
      <c r="K4810">
        <v>2.83697403537874E-2</v>
      </c>
      <c r="L4810">
        <v>620.08467514419203</v>
      </c>
      <c r="M4810">
        <v>13.9488659079674</v>
      </c>
      <c r="N4810">
        <v>44.790116415464198</v>
      </c>
      <c r="O4810">
        <v>43.570366936500498</v>
      </c>
      <c r="P4810">
        <v>-7.6070929847002297E-2</v>
      </c>
      <c r="Q4810">
        <v>4.9673769054423798E-2</v>
      </c>
      <c r="R4810">
        <v>0.931781543879175</v>
      </c>
      <c r="S4810" t="s">
        <v>11426</v>
      </c>
      <c r="T4810" t="s">
        <v>13232</v>
      </c>
      <c r="U4810" t="s">
        <v>13232</v>
      </c>
      <c r="V4810" t="s">
        <v>13232</v>
      </c>
      <c r="W4810" t="s">
        <v>17978</v>
      </c>
      <c r="X4810">
        <v>7</v>
      </c>
      <c r="Y4810" t="s">
        <v>24385</v>
      </c>
      <c r="Z4810" t="s">
        <v>30941</v>
      </c>
      <c r="AA4810">
        <v>0.22845567257310209</v>
      </c>
      <c r="AB4810" t="str">
        <f>HYPERLINK("Melting_Curves/meltCurve_Q93100_4_PHKB.pdf", "Melting_Curves/meltCurve_Q93100_4_PHKB.pdf")</f>
        <v>Melting_Curves/meltCurve_Q93100_4_PHKB.pdf</v>
      </c>
    </row>
    <row r="4811" spans="1:28" x14ac:dyDescent="0.25">
      <c r="A4811" t="s">
        <v>4814</v>
      </c>
      <c r="B4811">
        <v>0.99930955844802105</v>
      </c>
      <c r="C4811">
        <v>1.1265650142611401</v>
      </c>
      <c r="D4811">
        <v>1.0486389461163601</v>
      </c>
      <c r="E4811">
        <v>0.93279981192558503</v>
      </c>
      <c r="F4811">
        <v>0.75149531185621699</v>
      </c>
      <c r="G4811">
        <v>0.57322449606005699</v>
      </c>
      <c r="H4811">
        <v>0.53773155011285001</v>
      </c>
      <c r="I4811">
        <v>0.59530514462117701</v>
      </c>
      <c r="J4811">
        <v>0.57415116660881704</v>
      </c>
      <c r="K4811">
        <v>0.46180597401586498</v>
      </c>
      <c r="L4811">
        <v>1822.97554714543</v>
      </c>
      <c r="M4811">
        <v>34.573076274396499</v>
      </c>
      <c r="O4811">
        <v>52.552701940360699</v>
      </c>
      <c r="P4811">
        <v>-7.5500234428577701E-2</v>
      </c>
      <c r="Q4811">
        <v>0.54094599760460205</v>
      </c>
      <c r="R4811">
        <v>0.94622691265856196</v>
      </c>
      <c r="S4811" t="s">
        <v>11427</v>
      </c>
      <c r="T4811" t="s">
        <v>13232</v>
      </c>
      <c r="U4811" t="s">
        <v>13232</v>
      </c>
      <c r="V4811" t="s">
        <v>13232</v>
      </c>
      <c r="W4811" t="s">
        <v>17979</v>
      </c>
      <c r="X4811">
        <v>3</v>
      </c>
      <c r="Y4811" t="s">
        <v>24386</v>
      </c>
      <c r="Z4811" t="s">
        <v>30942</v>
      </c>
      <c r="AA4811">
        <v>0.73794858829784904</v>
      </c>
      <c r="AB4811" t="str">
        <f>HYPERLINK("Melting_Curves/meltCurve_Q969E8_TSR2.pdf", "Melting_Curves/meltCurve_Q969E8_TSR2.pdf")</f>
        <v>Melting_Curves/meltCurve_Q969E8_TSR2.pdf</v>
      </c>
    </row>
    <row r="4812" spans="1:28" x14ac:dyDescent="0.25">
      <c r="A4812" t="s">
        <v>4815</v>
      </c>
      <c r="B4812">
        <v>0.99930955844802105</v>
      </c>
      <c r="C4812">
        <v>0.78568779759019103</v>
      </c>
      <c r="D4812">
        <v>0.71260163640894303</v>
      </c>
      <c r="E4812">
        <v>0.63620244319986397</v>
      </c>
      <c r="F4812">
        <v>0.466258554666932</v>
      </c>
      <c r="G4812">
        <v>0.44344395914452001</v>
      </c>
      <c r="H4812">
        <v>0.46224406329250001</v>
      </c>
      <c r="I4812">
        <v>0.511336629311822</v>
      </c>
      <c r="J4812">
        <v>0.49135599918074002</v>
      </c>
      <c r="K4812">
        <v>0.39734807056878002</v>
      </c>
      <c r="L4812">
        <v>658.07522885467995</v>
      </c>
      <c r="M4812">
        <v>14.4062560884935</v>
      </c>
      <c r="N4812">
        <v>54.250200067753397</v>
      </c>
      <c r="O4812">
        <v>44.826694853960703</v>
      </c>
      <c r="P4812">
        <v>-4.4303251134788002E-2</v>
      </c>
      <c r="Q4812">
        <v>0.44864696809800703</v>
      </c>
      <c r="R4812">
        <v>0.93198026986842597</v>
      </c>
      <c r="S4812" t="s">
        <v>11428</v>
      </c>
      <c r="T4812" t="s">
        <v>13232</v>
      </c>
      <c r="U4812" t="s">
        <v>13232</v>
      </c>
      <c r="V4812" t="s">
        <v>13232</v>
      </c>
      <c r="W4812" t="s">
        <v>17980</v>
      </c>
      <c r="X4812">
        <v>2</v>
      </c>
      <c r="Y4812" t="s">
        <v>24387</v>
      </c>
      <c r="Z4812" t="s">
        <v>30943</v>
      </c>
      <c r="AA4812">
        <v>0.57104630151157798</v>
      </c>
      <c r="AB4812" t="str">
        <f>HYPERLINK("Melting_Curves/meltCurve_Q969F1_GTF3C6.pdf", "Melting_Curves/meltCurve_Q969F1_GTF3C6.pdf")</f>
        <v>Melting_Curves/meltCurve_Q969F1_GTF3C6.pdf</v>
      </c>
    </row>
    <row r="4813" spans="1:28" x14ac:dyDescent="0.25">
      <c r="A4813" t="s">
        <v>4816</v>
      </c>
      <c r="B4813">
        <v>0.99930955844802105</v>
      </c>
      <c r="C4813">
        <v>0.84924503978411103</v>
      </c>
      <c r="D4813">
        <v>0.60351408680575902</v>
      </c>
      <c r="E4813">
        <v>0.387585902924513</v>
      </c>
      <c r="F4813">
        <v>0.25252619943958599</v>
      </c>
      <c r="G4813">
        <v>0.16075784300577001</v>
      </c>
      <c r="H4813">
        <v>9.0808230150033503E-2</v>
      </c>
      <c r="I4813">
        <v>7.0091524162058494E-2</v>
      </c>
      <c r="J4813">
        <v>4.1029793303970698E-2</v>
      </c>
      <c r="K4813">
        <v>3.2451791251275001E-2</v>
      </c>
      <c r="L4813">
        <v>650.93007491770402</v>
      </c>
      <c r="M4813">
        <v>13.5930421584626</v>
      </c>
      <c r="N4813">
        <v>48.1566611453731</v>
      </c>
      <c r="O4813">
        <v>46.886241208156697</v>
      </c>
      <c r="P4813">
        <v>-6.9833273312601099E-2</v>
      </c>
      <c r="Q4813">
        <v>3.6644315424711998E-2</v>
      </c>
      <c r="R4813">
        <v>0.99343461172265102</v>
      </c>
      <c r="S4813" t="s">
        <v>11429</v>
      </c>
      <c r="T4813" t="s">
        <v>13232</v>
      </c>
      <c r="U4813" t="s">
        <v>13232</v>
      </c>
      <c r="V4813" t="s">
        <v>13232</v>
      </c>
      <c r="W4813" t="s">
        <v>17981</v>
      </c>
      <c r="X4813">
        <v>9</v>
      </c>
      <c r="Y4813" t="s">
        <v>24388</v>
      </c>
      <c r="Z4813" t="s">
        <v>30944</v>
      </c>
      <c r="AA4813">
        <v>0.3201065030751406</v>
      </c>
      <c r="AB4813" t="str">
        <f>HYPERLINK("Melting_Curves/meltCurve_Q969F9_HPS3.pdf", "Melting_Curves/meltCurve_Q969F9_HPS3.pdf")</f>
        <v>Melting_Curves/meltCurve_Q969F9_HPS3.pdf</v>
      </c>
    </row>
    <row r="4814" spans="1:28" x14ac:dyDescent="0.25">
      <c r="A4814" t="s">
        <v>4817</v>
      </c>
      <c r="B4814">
        <v>0.99930955844802105</v>
      </c>
      <c r="C4814">
        <v>0.65925782128553101</v>
      </c>
      <c r="D4814">
        <v>0.60753082853928897</v>
      </c>
      <c r="E4814">
        <v>0.37199649302916599</v>
      </c>
      <c r="F4814">
        <v>0.252723968486955</v>
      </c>
      <c r="G4814">
        <v>0.15927637137304501</v>
      </c>
      <c r="H4814">
        <v>0.102394122353414</v>
      </c>
      <c r="I4814">
        <v>8.8010850817494601E-2</v>
      </c>
      <c r="J4814">
        <v>9.0022796185230902E-2</v>
      </c>
      <c r="K4814">
        <v>6.97560646990176E-2</v>
      </c>
      <c r="L4814">
        <v>557.60711404574204</v>
      </c>
      <c r="M4814">
        <v>11.8896403618061</v>
      </c>
      <c r="N4814">
        <v>47.3673212142075</v>
      </c>
      <c r="O4814">
        <v>45.630892820927698</v>
      </c>
      <c r="P4814">
        <v>-6.15402743569003E-2</v>
      </c>
      <c r="Q4814">
        <v>5.5501504752623297E-2</v>
      </c>
      <c r="R4814">
        <v>0.97375501575746803</v>
      </c>
      <c r="S4814" t="s">
        <v>11430</v>
      </c>
      <c r="T4814" t="s">
        <v>13232</v>
      </c>
      <c r="U4814" t="s">
        <v>13232</v>
      </c>
      <c r="V4814" t="s">
        <v>13232</v>
      </c>
      <c r="W4814" t="s">
        <v>17982</v>
      </c>
      <c r="X4814">
        <v>15</v>
      </c>
      <c r="Y4814" t="s">
        <v>24389</v>
      </c>
      <c r="Z4814" t="s">
        <v>30945</v>
      </c>
      <c r="AA4814">
        <v>0.31332888666592429</v>
      </c>
      <c r="AB4814" t="str">
        <f>HYPERLINK("Melting_Curves/meltCurve_Q969G3_2_SMARCE1.pdf", "Melting_Curves/meltCurve_Q969G3_2_SMARCE1.pdf")</f>
        <v>Melting_Curves/meltCurve_Q969G3_2_SMARCE1.pdf</v>
      </c>
    </row>
    <row r="4815" spans="1:28" x14ac:dyDescent="0.25">
      <c r="A4815" t="s">
        <v>4818</v>
      </c>
      <c r="B4815">
        <v>0.99930955844802105</v>
      </c>
      <c r="C4815">
        <v>1.08597181438648</v>
      </c>
      <c r="D4815">
        <v>1.1109082217533801</v>
      </c>
      <c r="E4815">
        <v>0.62686903803563099</v>
      </c>
      <c r="F4815">
        <v>0.13927291496570901</v>
      </c>
      <c r="G4815">
        <v>0.104662946930224</v>
      </c>
      <c r="H4815">
        <v>4.6380312301456998E-2</v>
      </c>
      <c r="I4815">
        <v>4.1602863269714997E-2</v>
      </c>
      <c r="J4815">
        <v>3.4140864188004202E-2</v>
      </c>
      <c r="K4815">
        <v>2.76113473163964E-2</v>
      </c>
      <c r="L4815">
        <v>2598.6766838885101</v>
      </c>
      <c r="M4815">
        <v>51.506470743153102</v>
      </c>
      <c r="N4815">
        <v>50.561917843445201</v>
      </c>
      <c r="O4815">
        <v>50.377520804858797</v>
      </c>
      <c r="P4815">
        <v>-0.24222805681618101</v>
      </c>
      <c r="Q4815">
        <v>5.2325698405672402E-2</v>
      </c>
      <c r="R4815">
        <v>0.98788559896961703</v>
      </c>
      <c r="S4815" t="s">
        <v>11431</v>
      </c>
      <c r="T4815" t="s">
        <v>13232</v>
      </c>
      <c r="U4815" t="s">
        <v>13232</v>
      </c>
      <c r="V4815" t="s">
        <v>13232</v>
      </c>
      <c r="W4815" t="s">
        <v>17983</v>
      </c>
      <c r="X4815">
        <v>5</v>
      </c>
      <c r="Y4815" t="s">
        <v>24390</v>
      </c>
      <c r="Z4815" t="s">
        <v>30946</v>
      </c>
      <c r="AA4815">
        <v>0.38452656624426468</v>
      </c>
      <c r="AB4815" t="str">
        <f>HYPERLINK("Melting_Curves/meltCurve_Q969G6_RFK.pdf", "Melting_Curves/meltCurve_Q969G6_RFK.pdf")</f>
        <v>Melting_Curves/meltCurve_Q969G6_RFK.pdf</v>
      </c>
    </row>
    <row r="4816" spans="1:28" x14ac:dyDescent="0.25">
      <c r="A4816" t="s">
        <v>4819</v>
      </c>
      <c r="B4816">
        <v>0.99930955844802105</v>
      </c>
      <c r="C4816">
        <v>1.2819066607415599</v>
      </c>
      <c r="D4816">
        <v>1.22931762061588</v>
      </c>
      <c r="E4816">
        <v>1.2251911994564799</v>
      </c>
      <c r="F4816">
        <v>1.01497637135712</v>
      </c>
      <c r="G4816">
        <v>0.91327670348485901</v>
      </c>
      <c r="H4816">
        <v>0.95679388355529205</v>
      </c>
      <c r="I4816">
        <v>0.98091890756604705</v>
      </c>
      <c r="J4816">
        <v>0.95858312385005195</v>
      </c>
      <c r="K4816">
        <v>0.80382020807131105</v>
      </c>
      <c r="L4816">
        <v>2340.6873820636101</v>
      </c>
      <c r="M4816">
        <v>32.015729898329397</v>
      </c>
      <c r="Q4816">
        <v>0</v>
      </c>
      <c r="R4816">
        <v>0.124272387643135</v>
      </c>
      <c r="S4816" t="s">
        <v>11432</v>
      </c>
      <c r="T4816" t="s">
        <v>13232</v>
      </c>
      <c r="U4816" t="s">
        <v>13232</v>
      </c>
      <c r="V4816" t="s">
        <v>13232</v>
      </c>
      <c r="W4816" t="s">
        <v>17984</v>
      </c>
      <c r="X4816">
        <v>2</v>
      </c>
      <c r="Y4816" t="s">
        <v>24391</v>
      </c>
      <c r="Z4816" t="s">
        <v>30947</v>
      </c>
      <c r="AA4816">
        <v>0.98580203150042878</v>
      </c>
      <c r="AB4816" t="str">
        <f>HYPERLINK("Melting_Curves/meltCurve_Q969H0_FBXW7.pdf", "Melting_Curves/meltCurve_Q969H0_FBXW7.pdf")</f>
        <v>Melting_Curves/meltCurve_Q969H0_FBXW7.pdf</v>
      </c>
    </row>
    <row r="4817" spans="1:28" x14ac:dyDescent="0.25">
      <c r="A4817" t="s">
        <v>4820</v>
      </c>
      <c r="B4817">
        <v>0.99930955844802105</v>
      </c>
      <c r="C4817">
        <v>0.80905622042385095</v>
      </c>
      <c r="D4817">
        <v>0.79016631905725698</v>
      </c>
      <c r="E4817">
        <v>0.80944668637824502</v>
      </c>
      <c r="F4817">
        <v>0.64929301427006003</v>
      </c>
      <c r="G4817">
        <v>0.446212979873639</v>
      </c>
      <c r="H4817">
        <v>0.22871778502174001</v>
      </c>
      <c r="I4817">
        <v>0.18016288235886899</v>
      </c>
      <c r="J4817">
        <v>0.13280819498142599</v>
      </c>
      <c r="K4817">
        <v>9.0874889376420298E-2</v>
      </c>
      <c r="L4817">
        <v>551.57085220809995</v>
      </c>
      <c r="M4817">
        <v>10.0003658737609</v>
      </c>
      <c r="N4817">
        <v>55.155067230499199</v>
      </c>
      <c r="O4817">
        <v>53.0856456398406</v>
      </c>
      <c r="P4817">
        <v>-4.7118336096427897E-2</v>
      </c>
      <c r="Q4817">
        <v>0</v>
      </c>
      <c r="R4817">
        <v>0.96229801334478005</v>
      </c>
      <c r="S4817" t="s">
        <v>11433</v>
      </c>
      <c r="T4817" t="s">
        <v>13232</v>
      </c>
      <c r="U4817" t="s">
        <v>13232</v>
      </c>
      <c r="V4817" t="s">
        <v>13232</v>
      </c>
      <c r="W4817" t="s">
        <v>17985</v>
      </c>
      <c r="X4817">
        <v>4</v>
      </c>
      <c r="Y4817" t="s">
        <v>24392</v>
      </c>
      <c r="Z4817" t="s">
        <v>30948</v>
      </c>
      <c r="AA4817">
        <v>0.53033057834244635</v>
      </c>
      <c r="AB4817" t="str">
        <f>HYPERLINK("Melting_Curves/meltCurve_Q969H6_2_POP5.pdf", "Melting_Curves/meltCurve_Q969H6_2_POP5.pdf")</f>
        <v>Melting_Curves/meltCurve_Q969H6_2_POP5.pdf</v>
      </c>
    </row>
    <row r="4818" spans="1:28" x14ac:dyDescent="0.25">
      <c r="A4818" t="s">
        <v>4821</v>
      </c>
      <c r="B4818">
        <v>0.99930955844802105</v>
      </c>
      <c r="C4818">
        <v>1.0264979672344099</v>
      </c>
      <c r="D4818">
        <v>1.07481196302377</v>
      </c>
      <c r="E4818">
        <v>1.05167497996805</v>
      </c>
      <c r="F4818">
        <v>0.90785427355134396</v>
      </c>
      <c r="G4818">
        <v>0.86214891954773498</v>
      </c>
      <c r="H4818">
        <v>0.72512213756024602</v>
      </c>
      <c r="I4818">
        <v>0.47290646111243601</v>
      </c>
      <c r="J4818">
        <v>0.17334811610088499</v>
      </c>
      <c r="K4818">
        <v>0.11247087733617001</v>
      </c>
      <c r="L4818">
        <v>1396.7966890963701</v>
      </c>
      <c r="M4818">
        <v>22.067878799131801</v>
      </c>
      <c r="N4818">
        <v>63.295469139009803</v>
      </c>
      <c r="O4818">
        <v>62.782583315814598</v>
      </c>
      <c r="P4818">
        <v>-8.7876144314994895E-2</v>
      </c>
      <c r="Q4818">
        <v>0</v>
      </c>
      <c r="R4818">
        <v>0.98003530690458096</v>
      </c>
      <c r="S4818" t="s">
        <v>11434</v>
      </c>
      <c r="T4818" t="s">
        <v>13232</v>
      </c>
      <c r="U4818" t="s">
        <v>13232</v>
      </c>
      <c r="V4818" t="s">
        <v>13232</v>
      </c>
      <c r="W4818" t="s">
        <v>17986</v>
      </c>
      <c r="X4818">
        <v>5</v>
      </c>
      <c r="Y4818" t="s">
        <v>24393</v>
      </c>
      <c r="Z4818" t="s">
        <v>30949</v>
      </c>
      <c r="AA4818">
        <v>0.77622448985647974</v>
      </c>
      <c r="AB4818" t="str">
        <f>HYPERLINK("Melting_Curves/meltCurve_Q969H8_C19orf10.pdf", "Melting_Curves/meltCurve_Q969H8_C19orf10.pdf")</f>
        <v>Melting_Curves/meltCurve_Q969H8_C19orf10.pdf</v>
      </c>
    </row>
    <row r="4819" spans="1:28" x14ac:dyDescent="0.25">
      <c r="A4819" t="s">
        <v>4822</v>
      </c>
      <c r="B4819">
        <v>0.99930955844802105</v>
      </c>
      <c r="C4819">
        <v>1.0933063994640499</v>
      </c>
      <c r="D4819">
        <v>1.08939436571193</v>
      </c>
      <c r="E4819">
        <v>1.01999482484126</v>
      </c>
      <c r="F4819">
        <v>0.83477752404716199</v>
      </c>
      <c r="G4819">
        <v>0.65390453102159796</v>
      </c>
      <c r="H4819">
        <v>0.574447220655944</v>
      </c>
      <c r="I4819">
        <v>0.56052369436095395</v>
      </c>
      <c r="J4819">
        <v>0.58913543260752099</v>
      </c>
      <c r="K4819">
        <v>0.47918470548276698</v>
      </c>
      <c r="L4819">
        <v>1637.1326898637201</v>
      </c>
      <c r="M4819">
        <v>30.046843595139201</v>
      </c>
      <c r="O4819">
        <v>54.246374531585801</v>
      </c>
      <c r="P4819">
        <v>-6.2913104456554694E-2</v>
      </c>
      <c r="Q4819">
        <v>0.54567131727283302</v>
      </c>
      <c r="R4819">
        <v>0.94979660544086097</v>
      </c>
      <c r="S4819" t="s">
        <v>11435</v>
      </c>
      <c r="T4819" t="s">
        <v>13232</v>
      </c>
      <c r="U4819" t="s">
        <v>13232</v>
      </c>
      <c r="V4819" t="s">
        <v>13232</v>
      </c>
      <c r="W4819" t="s">
        <v>17987</v>
      </c>
      <c r="X4819">
        <v>7</v>
      </c>
      <c r="Y4819" t="s">
        <v>24394</v>
      </c>
      <c r="Z4819" t="s">
        <v>30950</v>
      </c>
      <c r="AA4819">
        <v>0.76804271395866075</v>
      </c>
      <c r="AB4819" t="str">
        <f>HYPERLINK("Melting_Curves/meltCurve_Q969J2_ZKSCAN4.pdf", "Melting_Curves/meltCurve_Q969J2_ZKSCAN4.pdf")</f>
        <v>Melting_Curves/meltCurve_Q969J2_ZKSCAN4.pdf</v>
      </c>
    </row>
    <row r="4820" spans="1:28" x14ac:dyDescent="0.25">
      <c r="A4820" t="s">
        <v>4823</v>
      </c>
      <c r="B4820">
        <v>0.99930955844802105</v>
      </c>
      <c r="C4820">
        <v>1.1501058790235701</v>
      </c>
      <c r="D4820">
        <v>1.0957674363472201</v>
      </c>
      <c r="E4820">
        <v>1.0765093787562701</v>
      </c>
      <c r="F4820">
        <v>0.90905617730729604</v>
      </c>
      <c r="G4820">
        <v>0.60363665381341902</v>
      </c>
      <c r="H4820">
        <v>0.35788964609260399</v>
      </c>
      <c r="I4820">
        <v>0.259874632499483</v>
      </c>
      <c r="J4820">
        <v>0.19996669247464199</v>
      </c>
      <c r="K4820">
        <v>0.119302618861351</v>
      </c>
      <c r="L4820">
        <v>1356.76237872142</v>
      </c>
      <c r="M4820">
        <v>23.506531204739701</v>
      </c>
      <c r="N4820">
        <v>58.626301243382102</v>
      </c>
      <c r="O4820">
        <v>57.305671239266402</v>
      </c>
      <c r="P4820">
        <v>-8.6906923524764895E-2</v>
      </c>
      <c r="Q4820">
        <v>0.15254631833601601</v>
      </c>
      <c r="R4820">
        <v>0.96951716753050898</v>
      </c>
      <c r="S4820" t="s">
        <v>11436</v>
      </c>
      <c r="T4820" t="s">
        <v>13232</v>
      </c>
      <c r="U4820" t="s">
        <v>13232</v>
      </c>
      <c r="V4820" t="s">
        <v>13232</v>
      </c>
      <c r="W4820" t="s">
        <v>17988</v>
      </c>
      <c r="X4820">
        <v>10</v>
      </c>
      <c r="Y4820" t="s">
        <v>24395</v>
      </c>
      <c r="Z4820" t="s">
        <v>30951</v>
      </c>
      <c r="AA4820">
        <v>0.66119352751120863</v>
      </c>
      <c r="AB4820" t="str">
        <f>HYPERLINK("Melting_Curves/meltCurve_Q969J3_LOH12CR1.pdf", "Melting_Curves/meltCurve_Q969J3_LOH12CR1.pdf")</f>
        <v>Melting_Curves/meltCurve_Q969J3_LOH12CR1.pdf</v>
      </c>
    </row>
    <row r="4821" spans="1:28" x14ac:dyDescent="0.25">
      <c r="A4821" t="s">
        <v>4824</v>
      </c>
      <c r="B4821">
        <v>0.99930955844802105</v>
      </c>
      <c r="C4821">
        <v>1.06355838770904</v>
      </c>
      <c r="D4821">
        <v>1.01819467712793</v>
      </c>
      <c r="E4821">
        <v>0.87572819848549999</v>
      </c>
      <c r="F4821">
        <v>0.69610536543752399</v>
      </c>
      <c r="G4821">
        <v>0.53637895712233896</v>
      </c>
      <c r="H4821">
        <v>0.66169171192873899</v>
      </c>
      <c r="I4821">
        <v>0.49459291151224399</v>
      </c>
      <c r="J4821">
        <v>0.48341145771424399</v>
      </c>
      <c r="K4821">
        <v>0.32912129899773701</v>
      </c>
      <c r="L4821">
        <v>786.91412488314302</v>
      </c>
      <c r="M4821">
        <v>14.589065149569199</v>
      </c>
      <c r="N4821">
        <v>61.882450780919299</v>
      </c>
      <c r="O4821">
        <v>52.955584034645</v>
      </c>
      <c r="P4821">
        <v>-3.9734243750489499E-2</v>
      </c>
      <c r="Q4821">
        <v>0.42315341278415303</v>
      </c>
      <c r="R4821">
        <v>0.91200992201836595</v>
      </c>
      <c r="S4821" t="s">
        <v>11437</v>
      </c>
      <c r="T4821" t="s">
        <v>13232</v>
      </c>
      <c r="U4821" t="s">
        <v>13232</v>
      </c>
      <c r="V4821" t="s">
        <v>13232</v>
      </c>
      <c r="W4821" t="s">
        <v>17989</v>
      </c>
      <c r="X4821">
        <v>6</v>
      </c>
      <c r="Y4821" t="s">
        <v>24396</v>
      </c>
      <c r="Z4821" t="s">
        <v>30952</v>
      </c>
      <c r="AA4821">
        <v>0.70345554787085551</v>
      </c>
      <c r="AB4821" t="str">
        <f>HYPERLINK("Melting_Curves/meltCurve_Q969K3_RNF34.pdf", "Melting_Curves/meltCurve_Q969K3_RNF34.pdf")</f>
        <v>Melting_Curves/meltCurve_Q969K3_RNF34.pdf</v>
      </c>
    </row>
    <row r="4822" spans="1:28" x14ac:dyDescent="0.25">
      <c r="A4822" t="s">
        <v>4825</v>
      </c>
      <c r="B4822">
        <v>0.99930955844802105</v>
      </c>
      <c r="C4822">
        <v>0.87072354625957704</v>
      </c>
      <c r="D4822">
        <v>0.85833749722299701</v>
      </c>
      <c r="E4822">
        <v>0.81253817094927405</v>
      </c>
      <c r="F4822">
        <v>0.76714244732561598</v>
      </c>
      <c r="G4822">
        <v>0.56179673189587598</v>
      </c>
      <c r="H4822">
        <v>0.34449226742543798</v>
      </c>
      <c r="I4822">
        <v>0.28833666263848201</v>
      </c>
      <c r="J4822">
        <v>0.14552495402205201</v>
      </c>
      <c r="K4822">
        <v>6.7601903843262201E-2</v>
      </c>
      <c r="L4822">
        <v>616.83057109988999</v>
      </c>
      <c r="M4822">
        <v>10.710568359202099</v>
      </c>
      <c r="N4822">
        <v>57.590833826313997</v>
      </c>
      <c r="O4822">
        <v>55.692128783685703</v>
      </c>
      <c r="P4822">
        <v>-4.8097337153075799E-2</v>
      </c>
      <c r="Q4822">
        <v>0</v>
      </c>
      <c r="R4822">
        <v>0.972649936838761</v>
      </c>
      <c r="S4822" t="s">
        <v>11438</v>
      </c>
      <c r="T4822" t="s">
        <v>13232</v>
      </c>
      <c r="U4822" t="s">
        <v>13232</v>
      </c>
      <c r="V4822" t="s">
        <v>13232</v>
      </c>
      <c r="W4822" t="s">
        <v>17990</v>
      </c>
      <c r="X4822">
        <v>5</v>
      </c>
      <c r="Y4822" t="s">
        <v>24397</v>
      </c>
      <c r="Z4822" t="s">
        <v>30953</v>
      </c>
      <c r="AA4822">
        <v>0.59977990794758085</v>
      </c>
      <c r="AB4822" t="str">
        <f>HYPERLINK("Melting_Curves/meltCurve_Q969L4_LSM10.pdf", "Melting_Curves/meltCurve_Q969L4_LSM10.pdf")</f>
        <v>Melting_Curves/meltCurve_Q969L4_LSM10.pdf</v>
      </c>
    </row>
    <row r="4823" spans="1:28" x14ac:dyDescent="0.25">
      <c r="A4823" t="s">
        <v>4826</v>
      </c>
      <c r="B4823">
        <v>0.99930955844802105</v>
      </c>
      <c r="C4823">
        <v>1.07570095370277</v>
      </c>
      <c r="D4823">
        <v>0.98373890096934302</v>
      </c>
      <c r="E4823">
        <v>0.96470284977344001</v>
      </c>
      <c r="F4823">
        <v>0.79518604433295403</v>
      </c>
      <c r="G4823">
        <v>0.72663588769354404</v>
      </c>
      <c r="H4823">
        <v>0.82528640212917603</v>
      </c>
      <c r="I4823">
        <v>0.89717718680523295</v>
      </c>
      <c r="J4823">
        <v>0.90720897921884103</v>
      </c>
      <c r="K4823">
        <v>0.67540945098395799</v>
      </c>
      <c r="L4823">
        <v>12575.6366474325</v>
      </c>
      <c r="M4823">
        <v>250</v>
      </c>
      <c r="O4823">
        <v>50.299327766348298</v>
      </c>
      <c r="P4823">
        <v>-0.24294074219829301</v>
      </c>
      <c r="Q4823">
        <v>0.80448390471555598</v>
      </c>
      <c r="R4823">
        <v>0.67047492057947899</v>
      </c>
      <c r="S4823" t="s">
        <v>11439</v>
      </c>
      <c r="T4823" t="s">
        <v>13232</v>
      </c>
      <c r="U4823" t="s">
        <v>13232</v>
      </c>
      <c r="V4823" t="s">
        <v>13232</v>
      </c>
      <c r="W4823" t="s">
        <v>17991</v>
      </c>
      <c r="X4823">
        <v>2</v>
      </c>
      <c r="Y4823" t="s">
        <v>24398</v>
      </c>
      <c r="Z4823" t="s">
        <v>30954</v>
      </c>
      <c r="AA4823">
        <v>0.8716449542698913</v>
      </c>
      <c r="AB4823" t="str">
        <f>HYPERLINK("Melting_Curves/meltCurve_Q969M3_YIPF5.pdf", "Melting_Curves/meltCurve_Q969M3_YIPF5.pdf")</f>
        <v>Melting_Curves/meltCurve_Q969M3_YIPF5.pdf</v>
      </c>
    </row>
    <row r="4824" spans="1:28" x14ac:dyDescent="0.25">
      <c r="A4824" t="s">
        <v>4827</v>
      </c>
      <c r="B4824">
        <v>0.99930955844802105</v>
      </c>
      <c r="C4824">
        <v>0.94113058996551602</v>
      </c>
      <c r="D4824">
        <v>0.89572806737644906</v>
      </c>
      <c r="E4824">
        <v>0.74824430291358601</v>
      </c>
      <c r="F4824">
        <v>0.62896609385862801</v>
      </c>
      <c r="G4824">
        <v>0.55112664736470696</v>
      </c>
      <c r="H4824">
        <v>0.462905031445973</v>
      </c>
      <c r="I4824">
        <v>0.51851166122480796</v>
      </c>
      <c r="J4824">
        <v>0.40922766650037701</v>
      </c>
      <c r="K4824">
        <v>0.38304297321713798</v>
      </c>
      <c r="L4824">
        <v>597.71479554266705</v>
      </c>
      <c r="M4824">
        <v>11.568331907323801</v>
      </c>
      <c r="N4824">
        <v>59.3170031209104</v>
      </c>
      <c r="O4824">
        <v>50.196634697056702</v>
      </c>
      <c r="P4824">
        <v>-3.5298661293700698E-2</v>
      </c>
      <c r="Q4824">
        <v>0.38750660716006002</v>
      </c>
      <c r="R4824">
        <v>0.98320593651506305</v>
      </c>
      <c r="S4824" t="s">
        <v>11440</v>
      </c>
      <c r="T4824" t="s">
        <v>13232</v>
      </c>
      <c r="U4824" t="s">
        <v>13232</v>
      </c>
      <c r="V4824" t="s">
        <v>13232</v>
      </c>
      <c r="W4824" t="s">
        <v>17992</v>
      </c>
      <c r="X4824">
        <v>8</v>
      </c>
      <c r="Y4824" t="s">
        <v>24399</v>
      </c>
      <c r="Z4824" t="s">
        <v>30955</v>
      </c>
      <c r="AA4824">
        <v>0.64583292025602068</v>
      </c>
      <c r="AB4824" t="str">
        <f>HYPERLINK("Melting_Curves/meltCurve_Q969R5_L3MBTL2.pdf", "Melting_Curves/meltCurve_Q969R5_L3MBTL2.pdf")</f>
        <v>Melting_Curves/meltCurve_Q969R5_L3MBTL2.pdf</v>
      </c>
    </row>
    <row r="4825" spans="1:28" x14ac:dyDescent="0.25">
      <c r="A4825" t="s">
        <v>4828</v>
      </c>
      <c r="B4825">
        <v>0.99930955844802105</v>
      </c>
      <c r="C4825">
        <v>0.51584585859182597</v>
      </c>
      <c r="D4825">
        <v>0.27579598172796099</v>
      </c>
      <c r="E4825">
        <v>0.22329740789684999</v>
      </c>
      <c r="F4825">
        <v>0.15764551958435799</v>
      </c>
      <c r="G4825">
        <v>8.66000999169729E-2</v>
      </c>
      <c r="H4825">
        <v>6.0594005104902898E-2</v>
      </c>
      <c r="I4825">
        <v>3.69667978489596E-2</v>
      </c>
      <c r="J4825">
        <v>3.3844714437843697E-2</v>
      </c>
      <c r="K4825">
        <v>2.8841293529785799E-2</v>
      </c>
      <c r="L4825">
        <v>1037.5392341439399</v>
      </c>
      <c r="M4825">
        <v>23.958399941530399</v>
      </c>
      <c r="N4825">
        <v>43.624691385033799</v>
      </c>
      <c r="O4825">
        <v>43.0075433657926</v>
      </c>
      <c r="P4825">
        <v>-0.12808589275394799</v>
      </c>
      <c r="Q4825">
        <v>8.0310555695253402E-2</v>
      </c>
      <c r="R4825">
        <v>0.95108237350816505</v>
      </c>
      <c r="S4825" t="s">
        <v>11441</v>
      </c>
      <c r="T4825" t="s">
        <v>13232</v>
      </c>
      <c r="U4825" t="s">
        <v>13232</v>
      </c>
      <c r="V4825" t="s">
        <v>13232</v>
      </c>
      <c r="W4825" t="s">
        <v>17993</v>
      </c>
      <c r="X4825">
        <v>4</v>
      </c>
      <c r="Y4825" t="s">
        <v>24400</v>
      </c>
      <c r="Z4825" t="s">
        <v>30956</v>
      </c>
      <c r="AA4825">
        <v>0.1951179369056634</v>
      </c>
      <c r="AB4825" t="str">
        <f>HYPERLINK("Melting_Curves/meltCurve_Q969S9_2_GFM2.pdf", "Melting_Curves/meltCurve_Q969S9_2_GFM2.pdf")</f>
        <v>Melting_Curves/meltCurve_Q969S9_2_GFM2.pdf</v>
      </c>
    </row>
    <row r="4826" spans="1:28" x14ac:dyDescent="0.25">
      <c r="A4826" t="s">
        <v>4829</v>
      </c>
      <c r="B4826">
        <v>0.99930955844802105</v>
      </c>
      <c r="C4826">
        <v>1.08474351037337</v>
      </c>
      <c r="D4826">
        <v>1.1222835067139101</v>
      </c>
      <c r="E4826">
        <v>0.82636302196779299</v>
      </c>
      <c r="F4826">
        <v>0.258545041074627</v>
      </c>
      <c r="G4826">
        <v>0.168028670684153</v>
      </c>
      <c r="H4826">
        <v>9.39956112621637E-2</v>
      </c>
      <c r="I4826">
        <v>7.3727574242859098E-2</v>
      </c>
      <c r="J4826">
        <v>6.13361335012809E-2</v>
      </c>
      <c r="K4826">
        <v>3.7750429601749E-2</v>
      </c>
      <c r="L4826">
        <v>2536.3805633636298</v>
      </c>
      <c r="M4826">
        <v>49.267852667135401</v>
      </c>
      <c r="N4826">
        <v>51.675338546601097</v>
      </c>
      <c r="O4826">
        <v>51.396850941120398</v>
      </c>
      <c r="P4826">
        <v>-0.21942242016976499</v>
      </c>
      <c r="Q4826">
        <v>8.4383849764690197E-2</v>
      </c>
      <c r="R4826">
        <v>0.98424813376699305</v>
      </c>
      <c r="S4826" t="s">
        <v>11442</v>
      </c>
      <c r="T4826" t="s">
        <v>13232</v>
      </c>
      <c r="U4826" t="s">
        <v>13232</v>
      </c>
      <c r="V4826" t="s">
        <v>13232</v>
      </c>
      <c r="W4826" t="s">
        <v>17994</v>
      </c>
      <c r="X4826">
        <v>6</v>
      </c>
      <c r="Y4826" t="s">
        <v>24401</v>
      </c>
      <c r="Z4826" t="s">
        <v>30957</v>
      </c>
      <c r="AA4826">
        <v>0.43694566814829389</v>
      </c>
      <c r="AB4826" t="str">
        <f>HYPERLINK("Melting_Curves/meltCurve_Q969T7_2_NT5C3B.pdf", "Melting_Curves/meltCurve_Q969T7_2_NT5C3B.pdf")</f>
        <v>Melting_Curves/meltCurve_Q969T7_2_NT5C3B.pdf</v>
      </c>
    </row>
    <row r="4827" spans="1:28" x14ac:dyDescent="0.25">
      <c r="A4827" t="s">
        <v>4830</v>
      </c>
      <c r="B4827">
        <v>0.99930955844802105</v>
      </c>
      <c r="C4827">
        <v>1.1170187003129699</v>
      </c>
      <c r="D4827">
        <v>1.1666880439015199</v>
      </c>
      <c r="E4827">
        <v>0.95108685972597995</v>
      </c>
      <c r="F4827">
        <v>0.522369299885031</v>
      </c>
      <c r="G4827">
        <v>0.291801538098028</v>
      </c>
      <c r="H4827">
        <v>0.18040301252402699</v>
      </c>
      <c r="I4827">
        <v>0.214299519875845</v>
      </c>
      <c r="J4827">
        <v>0.21629838621810299</v>
      </c>
      <c r="K4827">
        <v>0.16805863010264199</v>
      </c>
      <c r="L4827">
        <v>2436.71353775446</v>
      </c>
      <c r="M4827">
        <v>46.327698393160702</v>
      </c>
      <c r="N4827">
        <v>53.215362201485398</v>
      </c>
      <c r="O4827">
        <v>52.499613909783001</v>
      </c>
      <c r="P4827">
        <v>-0.17471156508744201</v>
      </c>
      <c r="Q4827">
        <v>0.20805225362674101</v>
      </c>
      <c r="R4827">
        <v>0.97009423185044696</v>
      </c>
      <c r="S4827" t="s">
        <v>11443</v>
      </c>
      <c r="T4827" t="s">
        <v>13232</v>
      </c>
      <c r="U4827" t="s">
        <v>13232</v>
      </c>
      <c r="V4827" t="s">
        <v>13232</v>
      </c>
      <c r="W4827" t="s">
        <v>17995</v>
      </c>
      <c r="X4827">
        <v>3</v>
      </c>
      <c r="Y4827" t="s">
        <v>24402</v>
      </c>
      <c r="Z4827" t="s">
        <v>30958</v>
      </c>
      <c r="AA4827">
        <v>0.54274166165287596</v>
      </c>
      <c r="AB4827" t="str">
        <f>HYPERLINK("Melting_Curves/meltCurve_Q969U6_FBXW5.pdf", "Melting_Curves/meltCurve_Q969U6_FBXW5.pdf")</f>
        <v>Melting_Curves/meltCurve_Q969U6_FBXW5.pdf</v>
      </c>
    </row>
    <row r="4828" spans="1:28" x14ac:dyDescent="0.25">
      <c r="A4828" t="s">
        <v>4831</v>
      </c>
      <c r="B4828">
        <v>0.99930955844802105</v>
      </c>
      <c r="C4828">
        <v>0.89082212620329504</v>
      </c>
      <c r="D4828">
        <v>0.82100750468362305</v>
      </c>
      <c r="E4828">
        <v>0.58543481535571695</v>
      </c>
      <c r="F4828">
        <v>0.37276079607581603</v>
      </c>
      <c r="G4828">
        <v>0.241033414652917</v>
      </c>
      <c r="H4828">
        <v>0.17611468506352199</v>
      </c>
      <c r="I4828">
        <v>0.132428480555209</v>
      </c>
      <c r="J4828">
        <v>9.4149088425539804E-2</v>
      </c>
      <c r="K4828">
        <v>5.0997875131511598E-2</v>
      </c>
      <c r="L4828">
        <v>656.60748070629904</v>
      </c>
      <c r="M4828">
        <v>12.930078763674301</v>
      </c>
      <c r="N4828">
        <v>51.233596387072403</v>
      </c>
      <c r="O4828">
        <v>49.612761919017302</v>
      </c>
      <c r="P4828">
        <v>-6.1652568149812202E-2</v>
      </c>
      <c r="Q4828">
        <v>5.3926096706843903E-2</v>
      </c>
      <c r="R4828">
        <v>0.99603203349266101</v>
      </c>
      <c r="S4828" t="s">
        <v>11444</v>
      </c>
      <c r="T4828" t="s">
        <v>13232</v>
      </c>
      <c r="U4828" t="s">
        <v>13232</v>
      </c>
      <c r="V4828" t="s">
        <v>13232</v>
      </c>
      <c r="W4828" t="s">
        <v>17996</v>
      </c>
      <c r="X4828">
        <v>5</v>
      </c>
      <c r="Y4828" t="s">
        <v>24403</v>
      </c>
      <c r="Z4828" t="s">
        <v>30959</v>
      </c>
      <c r="AA4828">
        <v>0.42188154433906422</v>
      </c>
      <c r="AB4828" t="str">
        <f>HYPERLINK("Melting_Curves/meltCurve_Q969X6_CIRH1A.pdf", "Melting_Curves/meltCurve_Q969X6_CIRH1A.pdf")</f>
        <v>Melting_Curves/meltCurve_Q969X6_CIRH1A.pdf</v>
      </c>
    </row>
    <row r="4829" spans="1:28" x14ac:dyDescent="0.25">
      <c r="A4829" t="s">
        <v>4832</v>
      </c>
      <c r="B4829">
        <v>0.99930955844802105</v>
      </c>
      <c r="C4829">
        <v>0.96973977245166298</v>
      </c>
      <c r="D4829">
        <v>0.24861851178373401</v>
      </c>
      <c r="E4829">
        <v>0.58490092386652903</v>
      </c>
      <c r="F4829">
        <v>0.273096887117591</v>
      </c>
      <c r="G4829">
        <v>0.19725504084398299</v>
      </c>
      <c r="H4829">
        <v>0.15189730830338399</v>
      </c>
      <c r="I4829">
        <v>0.15364931059561701</v>
      </c>
      <c r="J4829">
        <v>0.133942983529721</v>
      </c>
      <c r="K4829">
        <v>0.105979448635881</v>
      </c>
      <c r="L4829">
        <v>675.101153287996</v>
      </c>
      <c r="M4829">
        <v>14.612738567519999</v>
      </c>
      <c r="N4829">
        <v>47.289484212162598</v>
      </c>
      <c r="O4829">
        <v>45.360123176397202</v>
      </c>
      <c r="P4829">
        <v>-6.9029913247212804E-2</v>
      </c>
      <c r="Q4829">
        <v>0.142978855147879</v>
      </c>
      <c r="R4829">
        <v>0.80695964972605005</v>
      </c>
      <c r="S4829" t="s">
        <v>11445</v>
      </c>
      <c r="T4829" t="s">
        <v>13232</v>
      </c>
      <c r="U4829" t="s">
        <v>13232</v>
      </c>
      <c r="V4829" t="s">
        <v>13232</v>
      </c>
      <c r="W4829" t="s">
        <v>17997</v>
      </c>
      <c r="X4829">
        <v>9</v>
      </c>
      <c r="Y4829" t="s">
        <v>24404</v>
      </c>
      <c r="Z4829" t="s">
        <v>30960</v>
      </c>
      <c r="AA4829">
        <v>0.34609284107527127</v>
      </c>
      <c r="AB4829" t="str">
        <f>HYPERLINK("Melting_Curves/meltCurve_Q969Y2_3_GTPBP3.pdf", "Melting_Curves/meltCurve_Q969Y2_3_GTPBP3.pdf")</f>
        <v>Melting_Curves/meltCurve_Q969Y2_3_GTPBP3.pdf</v>
      </c>
    </row>
    <row r="4830" spans="1:28" x14ac:dyDescent="0.25">
      <c r="A4830" t="s">
        <v>4833</v>
      </c>
      <c r="B4830">
        <v>0.99930955844802105</v>
      </c>
      <c r="C4830">
        <v>0.70915002842466002</v>
      </c>
      <c r="D4830">
        <v>0.42205397242131398</v>
      </c>
      <c r="E4830">
        <v>0.31328208031690102</v>
      </c>
      <c r="F4830">
        <v>0.15529860135142901</v>
      </c>
      <c r="G4830">
        <v>9.4834519099071493E-2</v>
      </c>
      <c r="H4830">
        <v>4.9345775492479503E-2</v>
      </c>
      <c r="I4830">
        <v>3.8565103641323303E-2</v>
      </c>
      <c r="J4830">
        <v>3.2647436376028897E-2</v>
      </c>
      <c r="K4830">
        <v>2.3328513826839401E-2</v>
      </c>
      <c r="L4830">
        <v>683.65157013640203</v>
      </c>
      <c r="M4830">
        <v>14.963666303299201</v>
      </c>
      <c r="N4830">
        <v>45.909630756501301</v>
      </c>
      <c r="O4830">
        <v>44.894773967589799</v>
      </c>
      <c r="P4830">
        <v>-8.0423922347523005E-2</v>
      </c>
      <c r="Q4830">
        <v>3.4930425540633803E-2</v>
      </c>
      <c r="R4830">
        <v>0.978360909634443</v>
      </c>
      <c r="S4830" t="s">
        <v>11446</v>
      </c>
      <c r="T4830" t="s">
        <v>13232</v>
      </c>
      <c r="U4830" t="s">
        <v>13232</v>
      </c>
      <c r="V4830" t="s">
        <v>13232</v>
      </c>
      <c r="W4830" t="s">
        <v>17998</v>
      </c>
      <c r="X4830">
        <v>11</v>
      </c>
      <c r="Y4830" t="s">
        <v>24405</v>
      </c>
      <c r="Z4830" t="s">
        <v>30961</v>
      </c>
      <c r="AA4830">
        <v>0.24699687699813341</v>
      </c>
      <c r="AB4830" t="str">
        <f>HYPERLINK("Melting_Curves/meltCurve_Q969Z0_TBRG4.pdf", "Melting_Curves/meltCurve_Q969Z0_TBRG4.pdf")</f>
        <v>Melting_Curves/meltCurve_Q969Z0_TBRG4.pdf</v>
      </c>
    </row>
    <row r="4831" spans="1:28" x14ac:dyDescent="0.25">
      <c r="A4831" t="s">
        <v>4834</v>
      </c>
      <c r="B4831">
        <v>0.99930955844802105</v>
      </c>
      <c r="C4831">
        <v>1.0369371030960299</v>
      </c>
      <c r="D4831">
        <v>1.08337990338223</v>
      </c>
      <c r="E4831">
        <v>0.99988666341245003</v>
      </c>
      <c r="F4831">
        <v>0.86727067938129099</v>
      </c>
      <c r="G4831">
        <v>0.82517511293592405</v>
      </c>
      <c r="H4831">
        <v>0.81392641845610103</v>
      </c>
      <c r="I4831">
        <v>0.92075189657267498</v>
      </c>
      <c r="J4831">
        <v>0.82291828307856096</v>
      </c>
      <c r="K4831">
        <v>0.62153605397601697</v>
      </c>
      <c r="L4831">
        <v>441.98240038520697</v>
      </c>
      <c r="M4831">
        <v>5.4652567710898197</v>
      </c>
      <c r="Q4831">
        <v>0</v>
      </c>
      <c r="R4831">
        <v>0.70009295197236399</v>
      </c>
      <c r="S4831" t="s">
        <v>11447</v>
      </c>
      <c r="T4831" t="s">
        <v>13232</v>
      </c>
      <c r="U4831" t="s">
        <v>13232</v>
      </c>
      <c r="V4831" t="s">
        <v>13232</v>
      </c>
      <c r="W4831" t="s">
        <v>17999</v>
      </c>
      <c r="X4831">
        <v>6</v>
      </c>
      <c r="Y4831" t="s">
        <v>24406</v>
      </c>
      <c r="Z4831" t="s">
        <v>30962</v>
      </c>
      <c r="AA4831">
        <v>0.90009206228029381</v>
      </c>
      <c r="AB4831" t="str">
        <f>HYPERLINK("Melting_Curves/meltCurve_Q96A00_2_PPP1R14A.pdf", "Melting_Curves/meltCurve_Q96A00_2_PPP1R14A.pdf")</f>
        <v>Melting_Curves/meltCurve_Q96A00_2_PPP1R14A.pdf</v>
      </c>
    </row>
    <row r="4832" spans="1:28" x14ac:dyDescent="0.25">
      <c r="A4832" t="s">
        <v>4835</v>
      </c>
      <c r="B4832">
        <v>0.99930955844802105</v>
      </c>
      <c r="C4832">
        <v>0.90270511019981503</v>
      </c>
      <c r="D4832">
        <v>0.98242776331769799</v>
      </c>
      <c r="E4832">
        <v>0.99099653697254797</v>
      </c>
      <c r="F4832">
        <v>0.73464374475666305</v>
      </c>
      <c r="G4832">
        <v>0.48904629311867598</v>
      </c>
      <c r="H4832">
        <v>0.33183466080184498</v>
      </c>
      <c r="I4832">
        <v>0.35434332578287497</v>
      </c>
      <c r="J4832">
        <v>0.386193336377332</v>
      </c>
      <c r="K4832">
        <v>0.22934521870562699</v>
      </c>
      <c r="L4832">
        <v>1427.0037958892401</v>
      </c>
      <c r="M4832">
        <v>26.251700443826302</v>
      </c>
      <c r="N4832">
        <v>56.477608060904998</v>
      </c>
      <c r="O4832">
        <v>54.046060599914099</v>
      </c>
      <c r="P4832">
        <v>-8.3391368035708194E-2</v>
      </c>
      <c r="Q4832">
        <v>0.31327526070659201</v>
      </c>
      <c r="R4832">
        <v>0.96926103972965205</v>
      </c>
      <c r="S4832" t="s">
        <v>11448</v>
      </c>
      <c r="T4832" t="s">
        <v>13232</v>
      </c>
      <c r="U4832" t="s">
        <v>13232</v>
      </c>
      <c r="V4832" t="s">
        <v>13232</v>
      </c>
      <c r="W4832" t="s">
        <v>18000</v>
      </c>
      <c r="X4832">
        <v>2</v>
      </c>
      <c r="Y4832" t="s">
        <v>24407</v>
      </c>
      <c r="Z4832" t="s">
        <v>30963</v>
      </c>
      <c r="AA4832">
        <v>0.64777248442883595</v>
      </c>
      <c r="AB4832" t="str">
        <f>HYPERLINK("Melting_Curves/meltCurve_Q96A19_CCDC102A.pdf", "Melting_Curves/meltCurve_Q96A19_CCDC102A.pdf")</f>
        <v>Melting_Curves/meltCurve_Q96A19_CCDC102A.pdf</v>
      </c>
    </row>
    <row r="4833" spans="1:28" x14ac:dyDescent="0.25">
      <c r="A4833" t="s">
        <v>4836</v>
      </c>
      <c r="B4833">
        <v>0.99930955844802105</v>
      </c>
      <c r="C4833">
        <v>0.80452881576083701</v>
      </c>
      <c r="D4833">
        <v>0.60162613213205596</v>
      </c>
      <c r="E4833">
        <v>0.72765217166815299</v>
      </c>
      <c r="F4833">
        <v>0.39940294094221401</v>
      </c>
      <c r="G4833">
        <v>0.22200653987174501</v>
      </c>
      <c r="H4833">
        <v>0.16518801015766499</v>
      </c>
      <c r="I4833">
        <v>0.13448158911205499</v>
      </c>
      <c r="J4833">
        <v>0.12446483517292301</v>
      </c>
      <c r="K4833">
        <v>0.10707056203936099</v>
      </c>
      <c r="L4833">
        <v>458.85204094159201</v>
      </c>
      <c r="M4833">
        <v>8.9845120450770608</v>
      </c>
      <c r="N4833">
        <v>51.0958066472393</v>
      </c>
      <c r="O4833">
        <v>48.7316536855447</v>
      </c>
      <c r="P4833">
        <v>-4.6026835361132598E-2</v>
      </c>
      <c r="Q4833">
        <v>2.1381573382343601E-3</v>
      </c>
      <c r="R4833">
        <v>0.93714226668628997</v>
      </c>
      <c r="S4833" t="s">
        <v>11449</v>
      </c>
      <c r="T4833" t="s">
        <v>13232</v>
      </c>
      <c r="U4833" t="s">
        <v>13232</v>
      </c>
      <c r="V4833" t="s">
        <v>13232</v>
      </c>
      <c r="W4833" t="s">
        <v>18001</v>
      </c>
      <c r="X4833">
        <v>8</v>
      </c>
      <c r="Y4833" t="s">
        <v>24408</v>
      </c>
      <c r="Z4833" t="s">
        <v>30964</v>
      </c>
      <c r="AA4833">
        <v>0.41714272733289098</v>
      </c>
      <c r="AB4833" t="str">
        <f>HYPERLINK("Melting_Curves/meltCurve_Q96A33_CCDC47.pdf", "Melting_Curves/meltCurve_Q96A33_CCDC47.pdf")</f>
        <v>Melting_Curves/meltCurve_Q96A33_CCDC47.pdf</v>
      </c>
    </row>
    <row r="4834" spans="1:28" x14ac:dyDescent="0.25">
      <c r="A4834" t="s">
        <v>4837</v>
      </c>
      <c r="B4834">
        <v>0.99930955844802105</v>
      </c>
      <c r="C4834">
        <v>0.96301088378020105</v>
      </c>
      <c r="D4834">
        <v>1.0604276639131101</v>
      </c>
      <c r="E4834">
        <v>0.92225183526883503</v>
      </c>
      <c r="F4834">
        <v>0.68846231227496502</v>
      </c>
      <c r="G4834">
        <v>0.48703718712953797</v>
      </c>
      <c r="H4834">
        <v>0.40586580625249302</v>
      </c>
      <c r="I4834">
        <v>0.21509873257141199</v>
      </c>
      <c r="J4834">
        <v>0.21167943896177999</v>
      </c>
      <c r="K4834">
        <v>0.13799742358539999</v>
      </c>
      <c r="L4834">
        <v>841.39710741789895</v>
      </c>
      <c r="M4834">
        <v>14.9848390997566</v>
      </c>
      <c r="N4834">
        <v>57.238078268249303</v>
      </c>
      <c r="O4834">
        <v>55.178368471287698</v>
      </c>
      <c r="P4834">
        <v>-5.9483472760570699E-2</v>
      </c>
      <c r="Q4834">
        <v>0.123949728735416</v>
      </c>
      <c r="R4834">
        <v>0.980596516911728</v>
      </c>
      <c r="S4834" t="s">
        <v>11450</v>
      </c>
      <c r="T4834" t="s">
        <v>13232</v>
      </c>
      <c r="U4834" t="s">
        <v>13232</v>
      </c>
      <c r="V4834" t="s">
        <v>13232</v>
      </c>
      <c r="W4834" t="s">
        <v>18002</v>
      </c>
      <c r="X4834">
        <v>2</v>
      </c>
      <c r="Y4834" t="s">
        <v>24409</v>
      </c>
      <c r="Z4834" t="s">
        <v>30965</v>
      </c>
      <c r="AA4834">
        <v>0.61087983182178573</v>
      </c>
      <c r="AB4834" t="str">
        <f>HYPERLINK("Melting_Curves/meltCurve_Q96A37_2_RNF166.pdf", "Melting_Curves/meltCurve_Q96A37_2_RNF166.pdf")</f>
        <v>Melting_Curves/meltCurve_Q96A37_2_RNF166.pdf</v>
      </c>
    </row>
    <row r="4835" spans="1:28" x14ac:dyDescent="0.25">
      <c r="A4835" t="s">
        <v>4838</v>
      </c>
      <c r="B4835">
        <v>0.99930955844802105</v>
      </c>
      <c r="C4835">
        <v>1.1268051281504801</v>
      </c>
      <c r="D4835">
        <v>1.1567497281096699</v>
      </c>
      <c r="E4835">
        <v>1.1505353504748701</v>
      </c>
      <c r="F4835">
        <v>1.02168209240367</v>
      </c>
      <c r="G4835">
        <v>0.83860618464131198</v>
      </c>
      <c r="H4835">
        <v>0.65302856070406801</v>
      </c>
      <c r="I4835">
        <v>0.515072516576071</v>
      </c>
      <c r="J4835">
        <v>0.43309302347156298</v>
      </c>
      <c r="K4835">
        <v>0.339965863864024</v>
      </c>
      <c r="L4835">
        <v>1339.2871732993001</v>
      </c>
      <c r="M4835">
        <v>22.003558271704399</v>
      </c>
      <c r="N4835">
        <v>64.018993241399102</v>
      </c>
      <c r="O4835">
        <v>60.3708156508211</v>
      </c>
      <c r="P4835">
        <v>-6.0979594907058801E-2</v>
      </c>
      <c r="Q4835">
        <v>0.33078017879386201</v>
      </c>
      <c r="R4835">
        <v>0.92105771304190698</v>
      </c>
      <c r="S4835" t="s">
        <v>11451</v>
      </c>
      <c r="T4835" t="s">
        <v>13232</v>
      </c>
      <c r="U4835" t="s">
        <v>13232</v>
      </c>
      <c r="V4835" t="s">
        <v>13232</v>
      </c>
      <c r="W4835" t="s">
        <v>18003</v>
      </c>
      <c r="X4835">
        <v>17</v>
      </c>
      <c r="Y4835" t="s">
        <v>24410</v>
      </c>
      <c r="Z4835" t="s">
        <v>30966</v>
      </c>
      <c r="AA4835">
        <v>0.80070178925400037</v>
      </c>
      <c r="AB4835" t="str">
        <f>HYPERLINK("Melting_Curves/meltCurve_Q96A49_SYAP1.pdf", "Melting_Curves/meltCurve_Q96A49_SYAP1.pdf")</f>
        <v>Melting_Curves/meltCurve_Q96A49_SYAP1.pdf</v>
      </c>
    </row>
    <row r="4836" spans="1:28" x14ac:dyDescent="0.25">
      <c r="A4836" t="s">
        <v>4839</v>
      </c>
      <c r="B4836">
        <v>0.99930955844802105</v>
      </c>
      <c r="C4836">
        <v>0.727695635051403</v>
      </c>
      <c r="D4836">
        <v>0.60289194745617702</v>
      </c>
      <c r="E4836">
        <v>0.31797626402097101</v>
      </c>
      <c r="F4836">
        <v>0.203167059303028</v>
      </c>
      <c r="G4836">
        <v>0.152298723433756</v>
      </c>
      <c r="H4836">
        <v>0.10225428607569099</v>
      </c>
      <c r="I4836">
        <v>9.2756577730621903E-2</v>
      </c>
      <c r="J4836">
        <v>8.9448603750122105E-2</v>
      </c>
      <c r="K4836">
        <v>7.23333310175618E-2</v>
      </c>
      <c r="L4836">
        <v>686.31800624535504</v>
      </c>
      <c r="M4836">
        <v>14.749500382250901</v>
      </c>
      <c r="N4836">
        <v>47.067826222639397</v>
      </c>
      <c r="O4836">
        <v>45.701371129668203</v>
      </c>
      <c r="P4836">
        <v>-7.4452133826409306E-2</v>
      </c>
      <c r="Q4836">
        <v>7.7338932268601196E-2</v>
      </c>
      <c r="R4836">
        <v>0.98830363234825602</v>
      </c>
      <c r="S4836" t="s">
        <v>11452</v>
      </c>
      <c r="T4836" t="s">
        <v>13232</v>
      </c>
      <c r="U4836" t="s">
        <v>13232</v>
      </c>
      <c r="V4836" t="s">
        <v>13232</v>
      </c>
      <c r="W4836" t="s">
        <v>18004</v>
      </c>
      <c r="X4836">
        <v>27</v>
      </c>
      <c r="Y4836" t="s">
        <v>24411</v>
      </c>
      <c r="Z4836" t="s">
        <v>30967</v>
      </c>
      <c r="AA4836">
        <v>0.30500648329213981</v>
      </c>
      <c r="AB4836" t="str">
        <f>HYPERLINK("Melting_Curves/meltCurve_Q96A65_EXOC4.pdf", "Melting_Curves/meltCurve_Q96A65_EXOC4.pdf")</f>
        <v>Melting_Curves/meltCurve_Q96A65_EXOC4.pdf</v>
      </c>
    </row>
    <row r="4837" spans="1:28" x14ac:dyDescent="0.25">
      <c r="A4837" t="s">
        <v>4840</v>
      </c>
      <c r="B4837">
        <v>0.99930955844802105</v>
      </c>
      <c r="C4837">
        <v>1.11064079124058</v>
      </c>
      <c r="D4837">
        <v>1.11147269008788</v>
      </c>
      <c r="E4837">
        <v>1.10610607318927</v>
      </c>
      <c r="F4837">
        <v>0.91866061050333003</v>
      </c>
      <c r="G4837">
        <v>0.83148371574803104</v>
      </c>
      <c r="H4837">
        <v>0.79099289302279696</v>
      </c>
      <c r="I4837">
        <v>0.99984130967354601</v>
      </c>
      <c r="J4837">
        <v>0.90875848498804501</v>
      </c>
      <c r="K4837">
        <v>0.76982876520112098</v>
      </c>
      <c r="L4837">
        <v>13232.512823303399</v>
      </c>
      <c r="M4837">
        <v>250</v>
      </c>
      <c r="O4837">
        <v>52.926672174011202</v>
      </c>
      <c r="P4837">
        <v>-0.16510933458007501</v>
      </c>
      <c r="Q4837">
        <v>0.86018101940042702</v>
      </c>
      <c r="R4837">
        <v>0.53952342368631601</v>
      </c>
      <c r="S4837" t="s">
        <v>11453</v>
      </c>
      <c r="T4837" t="s">
        <v>13232</v>
      </c>
      <c r="U4837" t="s">
        <v>13232</v>
      </c>
      <c r="V4837" t="s">
        <v>13232</v>
      </c>
      <c r="W4837" t="s">
        <v>18005</v>
      </c>
      <c r="X4837">
        <v>3</v>
      </c>
      <c r="Y4837" t="s">
        <v>24412</v>
      </c>
      <c r="Z4837" t="s">
        <v>30968</v>
      </c>
      <c r="AA4837">
        <v>0.920456227080797</v>
      </c>
      <c r="AB4837" t="str">
        <f>HYPERLINK("Melting_Curves/meltCurve_Q96A73_KIAA1191.pdf", "Melting_Curves/meltCurve_Q96A73_KIAA1191.pdf")</f>
        <v>Melting_Curves/meltCurve_Q96A73_KIAA1191.pdf</v>
      </c>
    </row>
    <row r="4838" spans="1:28" x14ac:dyDescent="0.25">
      <c r="A4838" t="s">
        <v>4841</v>
      </c>
      <c r="B4838">
        <v>0.99930955844802105</v>
      </c>
      <c r="C4838">
        <v>0.92219871796752895</v>
      </c>
      <c r="D4838">
        <v>0.842264421840908</v>
      </c>
      <c r="E4838">
        <v>0.71100240700635498</v>
      </c>
      <c r="F4838">
        <v>0.491818061457855</v>
      </c>
      <c r="G4838">
        <v>0.34032683549808701</v>
      </c>
      <c r="H4838">
        <v>0.21761632494614</v>
      </c>
      <c r="I4838">
        <v>0.17211047811546201</v>
      </c>
      <c r="J4838">
        <v>0.13152037432302999</v>
      </c>
      <c r="K4838">
        <v>9.85522595825052E-2</v>
      </c>
      <c r="L4838">
        <v>611.39853275100097</v>
      </c>
      <c r="M4838">
        <v>11.5717478745094</v>
      </c>
      <c r="N4838">
        <v>53.352351214250398</v>
      </c>
      <c r="O4838">
        <v>51.331490448396302</v>
      </c>
      <c r="P4838">
        <v>-5.3384157289190798E-2</v>
      </c>
      <c r="Q4838">
        <v>5.30287198558963E-2</v>
      </c>
      <c r="R4838">
        <v>0.99729973877547595</v>
      </c>
      <c r="S4838" t="s">
        <v>11454</v>
      </c>
      <c r="T4838" t="s">
        <v>13232</v>
      </c>
      <c r="U4838" t="s">
        <v>13232</v>
      </c>
      <c r="V4838" t="s">
        <v>13232</v>
      </c>
      <c r="W4838" t="s">
        <v>18006</v>
      </c>
      <c r="X4838">
        <v>5</v>
      </c>
      <c r="Y4838" t="s">
        <v>24413</v>
      </c>
      <c r="Z4838" t="s">
        <v>30969</v>
      </c>
      <c r="AA4838">
        <v>0.48663265213503942</v>
      </c>
      <c r="AB4838" t="str">
        <f>HYPERLINK("Melting_Curves/meltCurve_Q96AB3_ISOC2.pdf", "Melting_Curves/meltCurve_Q96AB3_ISOC2.pdf")</f>
        <v>Melting_Curves/meltCurve_Q96AB3_ISOC2.pdf</v>
      </c>
    </row>
    <row r="4839" spans="1:28" x14ac:dyDescent="0.25">
      <c r="A4839" t="s">
        <v>4842</v>
      </c>
      <c r="B4839">
        <v>0.99930955844802105</v>
      </c>
      <c r="C4839">
        <v>0.93138893309785697</v>
      </c>
      <c r="D4839">
        <v>0.80296346944623997</v>
      </c>
      <c r="E4839">
        <v>0.61649091653516597</v>
      </c>
      <c r="F4839">
        <v>0.20857811692263301</v>
      </c>
      <c r="G4839">
        <v>0.111889091436431</v>
      </c>
      <c r="H4839">
        <v>8.4727629025475398E-2</v>
      </c>
      <c r="I4839">
        <v>7.6412545055921099E-2</v>
      </c>
      <c r="J4839">
        <v>5.8699328902892103E-2</v>
      </c>
      <c r="K4839">
        <v>5.0961786391373401E-2</v>
      </c>
      <c r="L4839">
        <v>993.81417203016701</v>
      </c>
      <c r="M4839">
        <v>19.863334981147698</v>
      </c>
      <c r="N4839">
        <v>50.284889232394903</v>
      </c>
      <c r="O4839">
        <v>49.533766731658503</v>
      </c>
      <c r="P4839">
        <v>-9.5499978381234904E-2</v>
      </c>
      <c r="Q4839">
        <v>4.7427746253353803E-2</v>
      </c>
      <c r="R4839">
        <v>0.98692584461145505</v>
      </c>
      <c r="S4839" t="s">
        <v>11455</v>
      </c>
      <c r="T4839" t="s">
        <v>13232</v>
      </c>
      <c r="U4839" t="s">
        <v>13232</v>
      </c>
      <c r="V4839" t="s">
        <v>13232</v>
      </c>
      <c r="W4839" t="s">
        <v>18007</v>
      </c>
      <c r="X4839">
        <v>4</v>
      </c>
      <c r="Y4839" t="s">
        <v>24414</v>
      </c>
      <c r="Z4839" t="s">
        <v>30970</v>
      </c>
      <c r="AA4839">
        <v>0.37942435367248101</v>
      </c>
      <c r="AB4839" t="str">
        <f>HYPERLINK("Melting_Curves/meltCurve_Q96AB6_NTAN1.pdf", "Melting_Curves/meltCurve_Q96AB6_NTAN1.pdf")</f>
        <v>Melting_Curves/meltCurve_Q96AB6_NTAN1.pdf</v>
      </c>
    </row>
    <row r="4840" spans="1:28" x14ac:dyDescent="0.25">
      <c r="A4840" t="s">
        <v>4843</v>
      </c>
      <c r="B4840">
        <v>0.99930955844802105</v>
      </c>
      <c r="C4840">
        <v>0.92133420305775504</v>
      </c>
      <c r="D4840">
        <v>0.86342509564639303</v>
      </c>
      <c r="E4840">
        <v>0.75410597692682102</v>
      </c>
      <c r="F4840">
        <v>0.577328123589541</v>
      </c>
      <c r="G4840">
        <v>0.30377532373342098</v>
      </c>
      <c r="H4840">
        <v>0.112615782724364</v>
      </c>
      <c r="I4840">
        <v>7.7197690335885805E-2</v>
      </c>
      <c r="J4840">
        <v>6.1253431259607902E-2</v>
      </c>
      <c r="K4840">
        <v>4.7020707670489402E-2</v>
      </c>
      <c r="L4840">
        <v>762.39189001575596</v>
      </c>
      <c r="M4840">
        <v>14.2063687647757</v>
      </c>
      <c r="N4840">
        <v>53.665501856655602</v>
      </c>
      <c r="O4840">
        <v>52.635705300886798</v>
      </c>
      <c r="P4840">
        <v>-6.7483370571729803E-2</v>
      </c>
      <c r="Q4840">
        <v>0</v>
      </c>
      <c r="R4840">
        <v>0.99379589818720704</v>
      </c>
      <c r="S4840" t="s">
        <v>11456</v>
      </c>
      <c r="T4840" t="s">
        <v>13232</v>
      </c>
      <c r="U4840" t="s">
        <v>13232</v>
      </c>
      <c r="V4840" t="s">
        <v>13232</v>
      </c>
      <c r="W4840" t="s">
        <v>18008</v>
      </c>
      <c r="X4840">
        <v>12</v>
      </c>
      <c r="Y4840" t="s">
        <v>24415</v>
      </c>
      <c r="Z4840" t="s">
        <v>30971</v>
      </c>
      <c r="AA4840">
        <v>0.47786708714425052</v>
      </c>
      <c r="AB4840" t="str">
        <f>HYPERLINK("Melting_Curves/meltCurve_Q96AC1_FERMT2.pdf", "Melting_Curves/meltCurve_Q96AC1_FERMT2.pdf")</f>
        <v>Melting_Curves/meltCurve_Q96AC1_FERMT2.pdf</v>
      </c>
    </row>
    <row r="4841" spans="1:28" x14ac:dyDescent="0.25">
      <c r="A4841" t="s">
        <v>4844</v>
      </c>
      <c r="B4841">
        <v>0.99930955844802105</v>
      </c>
      <c r="C4841">
        <v>0.75808571270958502</v>
      </c>
      <c r="D4841">
        <v>0.69597780440500201</v>
      </c>
      <c r="E4841">
        <v>0.41891584022225498</v>
      </c>
      <c r="F4841">
        <v>0.243885224797559</v>
      </c>
      <c r="G4841">
        <v>0.15157656827827201</v>
      </c>
      <c r="H4841">
        <v>5.1849487227516998E-2</v>
      </c>
      <c r="I4841">
        <v>3.9597489160077499E-2</v>
      </c>
      <c r="J4841">
        <v>2.70907117510636E-2</v>
      </c>
      <c r="K4841">
        <v>2.7375531637252599E-2</v>
      </c>
      <c r="L4841">
        <v>606.77481706496098</v>
      </c>
      <c r="M4841">
        <v>12.504240582664799</v>
      </c>
      <c r="N4841">
        <v>48.525532428503404</v>
      </c>
      <c r="O4841">
        <v>47.334572583797602</v>
      </c>
      <c r="P4841">
        <v>-6.6055366128517604E-2</v>
      </c>
      <c r="Q4841">
        <v>0</v>
      </c>
      <c r="R4841">
        <v>0.98919968580199202</v>
      </c>
      <c r="S4841" t="s">
        <v>11457</v>
      </c>
      <c r="T4841" t="s">
        <v>13232</v>
      </c>
      <c r="U4841" t="s">
        <v>13232</v>
      </c>
      <c r="V4841" t="s">
        <v>13232</v>
      </c>
      <c r="W4841" t="s">
        <v>18009</v>
      </c>
      <c r="X4841">
        <v>5</v>
      </c>
      <c r="Y4841" t="s">
        <v>24416</v>
      </c>
      <c r="Z4841" t="s">
        <v>30972</v>
      </c>
      <c r="AA4841">
        <v>0.31939587978439582</v>
      </c>
      <c r="AB4841" t="str">
        <f>HYPERLINK("Melting_Curves/meltCurve_Q96AD5_PNPLA2.pdf", "Melting_Curves/meltCurve_Q96AD5_PNPLA2.pdf")</f>
        <v>Melting_Curves/meltCurve_Q96AD5_PNPLA2.pdf</v>
      </c>
    </row>
    <row r="4842" spans="1:28" x14ac:dyDescent="0.25">
      <c r="A4842" t="s">
        <v>4845</v>
      </c>
      <c r="B4842">
        <v>0.99930955844802105</v>
      </c>
      <c r="C4842">
        <v>1.0397870474708599</v>
      </c>
      <c r="D4842">
        <v>1.02489420583962</v>
      </c>
      <c r="E4842">
        <v>0.97023126342956001</v>
      </c>
      <c r="F4842">
        <v>0.91666979070425303</v>
      </c>
      <c r="G4842">
        <v>0.83050046908124597</v>
      </c>
      <c r="H4842">
        <v>0.78890757324374305</v>
      </c>
      <c r="I4842">
        <v>0.774129761093588</v>
      </c>
      <c r="J4842">
        <v>0.76427727886872299</v>
      </c>
      <c r="K4842">
        <v>0.62713203154146502</v>
      </c>
      <c r="L4842">
        <v>578.31544232355895</v>
      </c>
      <c r="M4842">
        <v>9.2912498569393804</v>
      </c>
      <c r="O4842">
        <v>59.563594463012201</v>
      </c>
      <c r="P4842">
        <v>-1.7239975067852301E-2</v>
      </c>
      <c r="Q4842">
        <v>0.55820178569976198</v>
      </c>
      <c r="R4842">
        <v>0.93225939741947195</v>
      </c>
      <c r="S4842" t="s">
        <v>11458</v>
      </c>
      <c r="T4842" t="s">
        <v>13232</v>
      </c>
      <c r="U4842" t="s">
        <v>13232</v>
      </c>
      <c r="V4842" t="s">
        <v>13232</v>
      </c>
      <c r="W4842" t="s">
        <v>18010</v>
      </c>
      <c r="X4842">
        <v>38</v>
      </c>
      <c r="Y4842" t="s">
        <v>24417</v>
      </c>
      <c r="Z4842" t="s">
        <v>30973</v>
      </c>
      <c r="AA4842">
        <v>0.87320274537344966</v>
      </c>
      <c r="AB4842" t="str">
        <f>HYPERLINK("Melting_Curves/meltCurve_Q96AE4_FUBP1.pdf", "Melting_Curves/meltCurve_Q96AE4_FUBP1.pdf")</f>
        <v>Melting_Curves/meltCurve_Q96AE4_FUBP1.pdf</v>
      </c>
    </row>
    <row r="4843" spans="1:28" x14ac:dyDescent="0.25">
      <c r="A4843" t="s">
        <v>4846</v>
      </c>
      <c r="B4843">
        <v>0.99930955844802105</v>
      </c>
      <c r="C4843">
        <v>1.00325201434036</v>
      </c>
      <c r="D4843">
        <v>1.00924435383438</v>
      </c>
      <c r="E4843">
        <v>0.92154334883227296</v>
      </c>
      <c r="F4843">
        <v>0.890042731762135</v>
      </c>
      <c r="G4843">
        <v>0.76790133211471101</v>
      </c>
      <c r="H4843">
        <v>0.67299875560002997</v>
      </c>
      <c r="I4843">
        <v>0.73518190750434598</v>
      </c>
      <c r="J4843">
        <v>0.65397532452326801</v>
      </c>
      <c r="K4843">
        <v>0.54892368043833295</v>
      </c>
      <c r="L4843">
        <v>609.51731058112296</v>
      </c>
      <c r="M4843">
        <v>10.417219476146499</v>
      </c>
      <c r="O4843">
        <v>56.4776392122806</v>
      </c>
      <c r="P4843">
        <v>-2.19049998966072E-2</v>
      </c>
      <c r="Q4843">
        <v>0.52516001045899896</v>
      </c>
      <c r="R4843">
        <v>0.95019248131684497</v>
      </c>
      <c r="S4843" t="s">
        <v>11459</v>
      </c>
      <c r="T4843" t="s">
        <v>13232</v>
      </c>
      <c r="U4843" t="s">
        <v>13232</v>
      </c>
      <c r="V4843" t="s">
        <v>13232</v>
      </c>
      <c r="W4843" t="s">
        <v>18011</v>
      </c>
      <c r="X4843">
        <v>37</v>
      </c>
      <c r="Y4843" t="s">
        <v>24417</v>
      </c>
      <c r="Z4843" t="s">
        <v>30974</v>
      </c>
      <c r="AA4843">
        <v>0.82178849703592471</v>
      </c>
      <c r="AB4843" t="str">
        <f>HYPERLINK("Melting_Curves/meltCurve_Q96AE4_2_FUBP1.pdf", "Melting_Curves/meltCurve_Q96AE4_2_FUBP1.pdf")</f>
        <v>Melting_Curves/meltCurve_Q96AE4_2_FUBP1.pdf</v>
      </c>
    </row>
    <row r="4844" spans="1:28" x14ac:dyDescent="0.25">
      <c r="A4844" t="s">
        <v>4847</v>
      </c>
      <c r="B4844">
        <v>0.99930955844802105</v>
      </c>
      <c r="C4844">
        <v>0.87711685181496502</v>
      </c>
      <c r="D4844">
        <v>0.76798834429601703</v>
      </c>
      <c r="E4844">
        <v>0.851130272853869</v>
      </c>
      <c r="F4844">
        <v>0.53347889635303503</v>
      </c>
      <c r="G4844">
        <v>0.182889028431543</v>
      </c>
      <c r="H4844">
        <v>0.105356063383164</v>
      </c>
      <c r="I4844">
        <v>7.3167079452675005E-2</v>
      </c>
      <c r="J4844">
        <v>5.7244176867284599E-2</v>
      </c>
      <c r="K4844">
        <v>5.8193279193320901E-2</v>
      </c>
      <c r="L4844">
        <v>903.21321948729997</v>
      </c>
      <c r="M4844">
        <v>17.013526963737501</v>
      </c>
      <c r="N4844">
        <v>53.203723172008601</v>
      </c>
      <c r="O4844">
        <v>52.370800388959402</v>
      </c>
      <c r="P4844">
        <v>-7.9745733796203699E-2</v>
      </c>
      <c r="Q4844">
        <v>1.8171804229705799E-2</v>
      </c>
      <c r="R4844">
        <v>0.96013719597134595</v>
      </c>
      <c r="S4844" t="s">
        <v>11460</v>
      </c>
      <c r="T4844" t="s">
        <v>13232</v>
      </c>
      <c r="U4844" t="s">
        <v>13232</v>
      </c>
      <c r="V4844" t="s">
        <v>13232</v>
      </c>
      <c r="W4844" t="s">
        <v>18012</v>
      </c>
      <c r="X4844">
        <v>8</v>
      </c>
      <c r="Y4844" t="s">
        <v>24418</v>
      </c>
      <c r="Z4844" t="s">
        <v>30975</v>
      </c>
      <c r="AA4844">
        <v>0.46403327089096641</v>
      </c>
      <c r="AB4844" t="str">
        <f>HYPERLINK("Melting_Curves/meltCurve_Q96AG4_LRRC59.pdf", "Melting_Curves/meltCurve_Q96AG4_LRRC59.pdf")</f>
        <v>Melting_Curves/meltCurve_Q96AG4_LRRC59.pdf</v>
      </c>
    </row>
    <row r="4845" spans="1:28" x14ac:dyDescent="0.25">
      <c r="A4845" t="s">
        <v>4848</v>
      </c>
      <c r="B4845">
        <v>0.99930955844802105</v>
      </c>
      <c r="C4845">
        <v>1.2121386073953699</v>
      </c>
      <c r="D4845">
        <v>1.1255012982244601</v>
      </c>
      <c r="E4845">
        <v>1.0790596297239401</v>
      </c>
      <c r="F4845">
        <v>1.0199230407439801</v>
      </c>
      <c r="G4845">
        <v>0.89239843877571301</v>
      </c>
      <c r="H4845">
        <v>1.0609064912348201</v>
      </c>
      <c r="I4845">
        <v>1.09462601496023</v>
      </c>
      <c r="J4845">
        <v>1.1382245142319301</v>
      </c>
      <c r="K4845">
        <v>0.95709381750098299</v>
      </c>
      <c r="L4845">
        <v>10243.913126351599</v>
      </c>
      <c r="M4845">
        <v>250</v>
      </c>
      <c r="O4845">
        <v>40.973032041930601</v>
      </c>
      <c r="P4845">
        <v>9.8280918634491496E-2</v>
      </c>
      <c r="Q4845">
        <v>1.0644298728958901</v>
      </c>
      <c r="R4845">
        <v>4.8272298446169398E-2</v>
      </c>
      <c r="S4845" t="s">
        <v>11461</v>
      </c>
      <c r="T4845" t="s">
        <v>13232</v>
      </c>
      <c r="U4845" t="s">
        <v>13232</v>
      </c>
      <c r="V4845" t="s">
        <v>13232</v>
      </c>
      <c r="W4845" t="s">
        <v>18013</v>
      </c>
      <c r="X4845">
        <v>7</v>
      </c>
      <c r="Y4845" t="s">
        <v>24419</v>
      </c>
      <c r="Z4845" t="s">
        <v>30976</v>
      </c>
      <c r="AA4845">
        <v>1.062329120078876</v>
      </c>
      <c r="AB4845" t="str">
        <f>HYPERLINK("Melting_Curves/meltCurve_Q96AJ9_1_VTI1A.pdf", "Melting_Curves/meltCurve_Q96AJ9_1_VTI1A.pdf")</f>
        <v>Melting_Curves/meltCurve_Q96AJ9_1_VTI1A.pdf</v>
      </c>
    </row>
    <row r="4846" spans="1:28" x14ac:dyDescent="0.25">
      <c r="A4846" t="s">
        <v>4849</v>
      </c>
      <c r="B4846">
        <v>0.99930955844802105</v>
      </c>
      <c r="C4846">
        <v>1.1906490691534899</v>
      </c>
      <c r="D4846">
        <v>1.1707728169617799</v>
      </c>
      <c r="E4846">
        <v>1.1153674693384199</v>
      </c>
      <c r="F4846">
        <v>1.0822200245443201</v>
      </c>
      <c r="G4846">
        <v>1.1067263993262499</v>
      </c>
      <c r="H4846">
        <v>1.28300206297009</v>
      </c>
      <c r="I4846">
        <v>1.5273141410744699</v>
      </c>
      <c r="J4846">
        <v>1.5206164737541099</v>
      </c>
      <c r="K4846">
        <v>1.17900188222344</v>
      </c>
      <c r="L4846">
        <v>338.49112513201197</v>
      </c>
      <c r="M4846">
        <v>5.8956489750271404</v>
      </c>
      <c r="O4846">
        <v>51.846988928105297</v>
      </c>
      <c r="P4846">
        <v>1.42630563415648E-2</v>
      </c>
      <c r="Q4846">
        <v>1.5</v>
      </c>
      <c r="R4846">
        <v>0.42567199244418402</v>
      </c>
      <c r="S4846" t="s">
        <v>11462</v>
      </c>
      <c r="T4846" t="s">
        <v>13232</v>
      </c>
      <c r="U4846" t="s">
        <v>13232</v>
      </c>
      <c r="V4846" t="s">
        <v>13232</v>
      </c>
      <c r="W4846" t="s">
        <v>18014</v>
      </c>
      <c r="X4846">
        <v>7</v>
      </c>
      <c r="Y4846" t="s">
        <v>24420</v>
      </c>
      <c r="Z4846" t="s">
        <v>30977</v>
      </c>
      <c r="AA4846">
        <v>1.210872541204504</v>
      </c>
      <c r="AB4846" t="str">
        <f>HYPERLINK("Melting_Curves/meltCurve_Q96AT1_KIAA1143.pdf", "Melting_Curves/meltCurve_Q96AT1_KIAA1143.pdf")</f>
        <v>Melting_Curves/meltCurve_Q96AT1_KIAA1143.pdf</v>
      </c>
    </row>
    <row r="4847" spans="1:28" x14ac:dyDescent="0.25">
      <c r="A4847" t="s">
        <v>4850</v>
      </c>
      <c r="B4847">
        <v>0.99930955844802105</v>
      </c>
      <c r="C4847">
        <v>1.0537723300458299</v>
      </c>
      <c r="D4847">
        <v>1.06883566090032</v>
      </c>
      <c r="E4847">
        <v>1.02588317283777</v>
      </c>
      <c r="F4847">
        <v>0.89058899374625899</v>
      </c>
      <c r="G4847">
        <v>0.55443217386172805</v>
      </c>
      <c r="H4847">
        <v>0.25552397124808901</v>
      </c>
      <c r="I4847">
        <v>0.14626183904661499</v>
      </c>
      <c r="J4847">
        <v>0.10353479599846301</v>
      </c>
      <c r="K4847">
        <v>8.1819728875387299E-2</v>
      </c>
      <c r="L4847">
        <v>1469.0285147447401</v>
      </c>
      <c r="M4847">
        <v>25.6648206549485</v>
      </c>
      <c r="N4847">
        <v>57.652621479909101</v>
      </c>
      <c r="O4847">
        <v>56.894874124243898</v>
      </c>
      <c r="P4847">
        <v>-0.103291425619737</v>
      </c>
      <c r="Q4847">
        <v>8.4087650986840096E-2</v>
      </c>
      <c r="R4847">
        <v>0.99365753961889602</v>
      </c>
      <c r="S4847" t="s">
        <v>11463</v>
      </c>
      <c r="T4847" t="s">
        <v>13232</v>
      </c>
      <c r="U4847" t="s">
        <v>13232</v>
      </c>
      <c r="V4847" t="s">
        <v>13232</v>
      </c>
      <c r="W4847" t="s">
        <v>18015</v>
      </c>
      <c r="X4847">
        <v>9</v>
      </c>
      <c r="Y4847" t="s">
        <v>24421</v>
      </c>
      <c r="Z4847" t="s">
        <v>30978</v>
      </c>
      <c r="AA4847">
        <v>0.61827468677499053</v>
      </c>
      <c r="AB4847" t="str">
        <f>HYPERLINK("Melting_Curves/meltCurve_Q96AT9_RPE.pdf", "Melting_Curves/meltCurve_Q96AT9_RPE.pdf")</f>
        <v>Melting_Curves/meltCurve_Q96AT9_RPE.pdf</v>
      </c>
    </row>
    <row r="4848" spans="1:28" x14ac:dyDescent="0.25">
      <c r="A4848" t="s">
        <v>4851</v>
      </c>
      <c r="B4848">
        <v>0.99930955844802105</v>
      </c>
      <c r="C4848">
        <v>0.69993280360408905</v>
      </c>
      <c r="D4848">
        <v>0.64106356669544295</v>
      </c>
      <c r="E4848">
        <v>0.49395839271717701</v>
      </c>
      <c r="F4848">
        <v>0.22255712383397599</v>
      </c>
      <c r="G4848">
        <v>0.13153511689199601</v>
      </c>
      <c r="H4848">
        <v>8.27915999735995E-2</v>
      </c>
      <c r="I4848">
        <v>7.7743262333429999E-2</v>
      </c>
      <c r="J4848">
        <v>6.6389384616245301E-2</v>
      </c>
      <c r="K4848">
        <v>5.1797758518471598E-2</v>
      </c>
      <c r="L4848">
        <v>546.94482748862799</v>
      </c>
      <c r="M4848">
        <v>11.354604591603101</v>
      </c>
      <c r="N4848">
        <v>48.288435642363801</v>
      </c>
      <c r="O4848">
        <v>46.747886091176397</v>
      </c>
      <c r="P4848">
        <v>-5.9902582250339599E-2</v>
      </c>
      <c r="Q4848">
        <v>1.3797571478613199E-2</v>
      </c>
      <c r="R4848">
        <v>0.97075149884606005</v>
      </c>
      <c r="S4848" t="s">
        <v>11464</v>
      </c>
      <c r="T4848" t="s">
        <v>13232</v>
      </c>
      <c r="U4848" t="s">
        <v>13232</v>
      </c>
      <c r="V4848" t="s">
        <v>13232</v>
      </c>
      <c r="W4848" t="s">
        <v>18016</v>
      </c>
      <c r="X4848">
        <v>13</v>
      </c>
      <c r="Y4848" t="s">
        <v>24422</v>
      </c>
      <c r="Z4848" t="s">
        <v>30979</v>
      </c>
      <c r="AA4848">
        <v>0.32433060407262337</v>
      </c>
      <c r="AB4848" t="str">
        <f>HYPERLINK("Melting_Curves/meltCurve_Q96AX1_VPS33A.pdf", "Melting_Curves/meltCurve_Q96AX1_VPS33A.pdf")</f>
        <v>Melting_Curves/meltCurve_Q96AX1_VPS33A.pdf</v>
      </c>
    </row>
    <row r="4849" spans="1:28" x14ac:dyDescent="0.25">
      <c r="A4849" t="s">
        <v>4852</v>
      </c>
      <c r="B4849">
        <v>0.99930955844802105</v>
      </c>
      <c r="C4849">
        <v>1.13009376931081</v>
      </c>
      <c r="D4849">
        <v>1.1080515053566899</v>
      </c>
      <c r="E4849">
        <v>1.0595364089642401</v>
      </c>
      <c r="F4849">
        <v>0.96272863740915804</v>
      </c>
      <c r="G4849">
        <v>0.86723430932844103</v>
      </c>
      <c r="H4849">
        <v>0.83155087051834398</v>
      </c>
      <c r="I4849">
        <v>0.90674843341124201</v>
      </c>
      <c r="J4849">
        <v>0.88209062805471705</v>
      </c>
      <c r="K4849">
        <v>0.70248106307873204</v>
      </c>
      <c r="L4849">
        <v>556.28886622954599</v>
      </c>
      <c r="M4849">
        <v>6.8673440749069297</v>
      </c>
      <c r="Q4849">
        <v>0</v>
      </c>
      <c r="R4849">
        <v>0.64306766983883701</v>
      </c>
      <c r="S4849" t="s">
        <v>11465</v>
      </c>
      <c r="T4849" t="s">
        <v>13232</v>
      </c>
      <c r="U4849" t="s">
        <v>13232</v>
      </c>
      <c r="V4849" t="s">
        <v>13232</v>
      </c>
      <c r="W4849" t="s">
        <v>18017</v>
      </c>
      <c r="X4849">
        <v>8</v>
      </c>
      <c r="Y4849" t="s">
        <v>24423</v>
      </c>
      <c r="Z4849" t="s">
        <v>30980</v>
      </c>
      <c r="AA4849">
        <v>0.93127373997980423</v>
      </c>
      <c r="AB4849" t="str">
        <f>HYPERLINK("Melting_Curves/meltCurve_Q96AY4_TTC28.pdf", "Melting_Curves/meltCurve_Q96AY4_TTC28.pdf")</f>
        <v>Melting_Curves/meltCurve_Q96AY4_TTC28.pdf</v>
      </c>
    </row>
    <row r="4850" spans="1:28" x14ac:dyDescent="0.25">
      <c r="A4850" t="s">
        <v>4853</v>
      </c>
      <c r="B4850">
        <v>0.99930955844802105</v>
      </c>
      <c r="C4850">
        <v>0.94263499090269498</v>
      </c>
      <c r="D4850">
        <v>1.0314353221855199</v>
      </c>
      <c r="E4850">
        <v>0.81748111912118904</v>
      </c>
      <c r="F4850">
        <v>0.35195381950042298</v>
      </c>
      <c r="G4850">
        <v>0.19489157872815799</v>
      </c>
      <c r="H4850">
        <v>9.5708381287802305E-2</v>
      </c>
      <c r="I4850">
        <v>7.3487828050294607E-2</v>
      </c>
      <c r="J4850">
        <v>8.2882575449552104E-2</v>
      </c>
      <c r="K4850">
        <v>4.5890434177505698E-2</v>
      </c>
      <c r="L4850">
        <v>1827.2465828996701</v>
      </c>
      <c r="M4850">
        <v>35.243081493445601</v>
      </c>
      <c r="N4850">
        <v>52.129035358467803</v>
      </c>
      <c r="O4850">
        <v>51.680880342568997</v>
      </c>
      <c r="P4850">
        <v>-0.15568464339619201</v>
      </c>
      <c r="Q4850">
        <v>8.6811768503010395E-2</v>
      </c>
      <c r="R4850">
        <v>0.99226162570158305</v>
      </c>
      <c r="S4850" t="s">
        <v>11466</v>
      </c>
      <c r="T4850" t="s">
        <v>13232</v>
      </c>
      <c r="U4850" t="s">
        <v>13232</v>
      </c>
      <c r="V4850" t="s">
        <v>13232</v>
      </c>
      <c r="W4850" t="s">
        <v>18018</v>
      </c>
      <c r="X4850">
        <v>1</v>
      </c>
      <c r="Y4850" t="s">
        <v>24424</v>
      </c>
      <c r="Z4850" t="s">
        <v>30981</v>
      </c>
      <c r="AA4850">
        <v>0.45164765202954588</v>
      </c>
      <c r="AB4850" t="str">
        <f>HYPERLINK("Melting_Curves/meltCurve_Q96B02_UBE2W.pdf", "Melting_Curves/meltCurve_Q96B02_UBE2W.pdf")</f>
        <v>Melting_Curves/meltCurve_Q96B02_UBE2W.pdf</v>
      </c>
    </row>
    <row r="4851" spans="1:28" x14ac:dyDescent="0.25">
      <c r="A4851" t="s">
        <v>4854</v>
      </c>
      <c r="B4851">
        <v>0.99930955844802105</v>
      </c>
      <c r="C4851">
        <v>1.0894796179024899</v>
      </c>
      <c r="D4851">
        <v>1.1529971069837099</v>
      </c>
      <c r="E4851">
        <v>1.2285124038106301</v>
      </c>
      <c r="F4851">
        <v>1.15452435330981</v>
      </c>
      <c r="G4851">
        <v>1.0352642301171899</v>
      </c>
      <c r="H4851">
        <v>1.16032635718551</v>
      </c>
      <c r="I4851">
        <v>1.2248969257609601</v>
      </c>
      <c r="J4851">
        <v>1.27127993711231</v>
      </c>
      <c r="K4851">
        <v>0.99079194905078005</v>
      </c>
      <c r="L4851">
        <v>10543.8460236591</v>
      </c>
      <c r="M4851">
        <v>246.13064732969701</v>
      </c>
      <c r="O4851">
        <v>42.835582850007903</v>
      </c>
      <c r="P4851">
        <v>0.21881134336566299</v>
      </c>
      <c r="Q4851">
        <v>1.15232416882342</v>
      </c>
      <c r="R4851">
        <v>0.25860377017999903</v>
      </c>
      <c r="S4851" t="s">
        <v>11467</v>
      </c>
      <c r="T4851" t="s">
        <v>13232</v>
      </c>
      <c r="U4851" t="s">
        <v>13232</v>
      </c>
      <c r="V4851" t="s">
        <v>13232</v>
      </c>
      <c r="W4851" t="s">
        <v>18019</v>
      </c>
      <c r="X4851">
        <v>6</v>
      </c>
      <c r="Y4851" t="s">
        <v>24425</v>
      </c>
      <c r="Z4851" t="s">
        <v>30982</v>
      </c>
      <c r="AA4851">
        <v>1.13790039677648</v>
      </c>
      <c r="AB4851" t="str">
        <f>HYPERLINK("Melting_Curves/meltCurve_Q96B23_2_C18orf25.pdf", "Melting_Curves/meltCurve_Q96B23_2_C18orf25.pdf")</f>
        <v>Melting_Curves/meltCurve_Q96B23_2_C18orf25.pdf</v>
      </c>
    </row>
    <row r="4852" spans="1:28" x14ac:dyDescent="0.25">
      <c r="A4852" t="s">
        <v>4855</v>
      </c>
      <c r="B4852">
        <v>0.99930955844802105</v>
      </c>
      <c r="C4852">
        <v>0.94660211965931496</v>
      </c>
      <c r="D4852">
        <v>0.986744618115728</v>
      </c>
      <c r="E4852">
        <v>1.1118479366263301</v>
      </c>
      <c r="F4852">
        <v>1.13923889424108</v>
      </c>
      <c r="G4852">
        <v>0.74821352543447395</v>
      </c>
      <c r="H4852">
        <v>0.25653915581463799</v>
      </c>
      <c r="I4852">
        <v>0.18949737918401099</v>
      </c>
      <c r="J4852">
        <v>0.178003598262366</v>
      </c>
      <c r="K4852">
        <v>0.12742389127011899</v>
      </c>
      <c r="L4852">
        <v>2828.9352405016298</v>
      </c>
      <c r="M4852">
        <v>48.708101048079598</v>
      </c>
      <c r="N4852">
        <v>58.563256718315898</v>
      </c>
      <c r="O4852">
        <v>57.981726839060997</v>
      </c>
      <c r="P4852">
        <v>-0.175222805673001</v>
      </c>
      <c r="Q4852">
        <v>0.165665818356726</v>
      </c>
      <c r="R4852">
        <v>0.97596805511782603</v>
      </c>
      <c r="S4852" t="s">
        <v>11468</v>
      </c>
      <c r="T4852" t="s">
        <v>13232</v>
      </c>
      <c r="U4852" t="s">
        <v>13232</v>
      </c>
      <c r="V4852" t="s">
        <v>13232</v>
      </c>
      <c r="W4852" t="s">
        <v>18020</v>
      </c>
      <c r="X4852">
        <v>14</v>
      </c>
      <c r="Y4852" t="s">
        <v>24426</v>
      </c>
      <c r="Z4852" t="s">
        <v>30983</v>
      </c>
      <c r="AA4852">
        <v>0.67071374640285408</v>
      </c>
      <c r="AB4852" t="str">
        <f>HYPERLINK("Melting_Curves/meltCurve_Q96B26_EXOSC8.pdf", "Melting_Curves/meltCurve_Q96B26_EXOSC8.pdf")</f>
        <v>Melting_Curves/meltCurve_Q96B26_EXOSC8.pdf</v>
      </c>
    </row>
    <row r="4853" spans="1:28" x14ac:dyDescent="0.25">
      <c r="A4853" t="s">
        <v>4856</v>
      </c>
      <c r="B4853">
        <v>0.99930955844802105</v>
      </c>
      <c r="C4853">
        <v>0.95533929040837096</v>
      </c>
      <c r="D4853">
        <v>1.00107481867092</v>
      </c>
      <c r="E4853">
        <v>1.1164705252048499</v>
      </c>
      <c r="F4853">
        <v>1.0271956313488999</v>
      </c>
      <c r="G4853">
        <v>0.77885148480664401</v>
      </c>
      <c r="H4853">
        <v>0.66396217222874498</v>
      </c>
      <c r="I4853">
        <v>0.69360357788599003</v>
      </c>
      <c r="J4853">
        <v>0.65384135503986796</v>
      </c>
      <c r="K4853">
        <v>0.56461650342334402</v>
      </c>
      <c r="L4853">
        <v>8236.1219205802299</v>
      </c>
      <c r="M4853">
        <v>144.98794452897701</v>
      </c>
      <c r="O4853">
        <v>56.7947557614768</v>
      </c>
      <c r="P4853">
        <v>-0.227202421670852</v>
      </c>
      <c r="Q4853">
        <v>0.64400056942347295</v>
      </c>
      <c r="R4853">
        <v>0.92536796491278706</v>
      </c>
      <c r="S4853" t="s">
        <v>11469</v>
      </c>
      <c r="T4853" t="s">
        <v>13232</v>
      </c>
      <c r="U4853" t="s">
        <v>13232</v>
      </c>
      <c r="V4853" t="s">
        <v>13232</v>
      </c>
      <c r="W4853" t="s">
        <v>18021</v>
      </c>
      <c r="X4853">
        <v>7</v>
      </c>
      <c r="Y4853" t="s">
        <v>24427</v>
      </c>
      <c r="Z4853" t="s">
        <v>30984</v>
      </c>
      <c r="AA4853">
        <v>0.8435318380409067</v>
      </c>
      <c r="AB4853" t="str">
        <f>HYPERLINK("Melting_Curves/meltCurve_Q96B36_AKT1S1.pdf", "Melting_Curves/meltCurve_Q96B36_AKT1S1.pdf")</f>
        <v>Melting_Curves/meltCurve_Q96B36_AKT1S1.pdf</v>
      </c>
    </row>
    <row r="4854" spans="1:28" x14ac:dyDescent="0.25">
      <c r="A4854" t="s">
        <v>4857</v>
      </c>
      <c r="B4854">
        <v>0.99930955844802105</v>
      </c>
      <c r="C4854">
        <v>0.95660523256470997</v>
      </c>
      <c r="D4854">
        <v>1.0039678340378</v>
      </c>
      <c r="E4854">
        <v>0.94764990511442304</v>
      </c>
      <c r="F4854">
        <v>0.847058452090661</v>
      </c>
      <c r="G4854">
        <v>0.66650148890345595</v>
      </c>
      <c r="H4854">
        <v>0.54950343422068404</v>
      </c>
      <c r="I4854">
        <v>0.55092097495491998</v>
      </c>
      <c r="J4854">
        <v>0.49935176508628898</v>
      </c>
      <c r="K4854">
        <v>0.45870706229969999</v>
      </c>
      <c r="L4854">
        <v>1027.7479602388501</v>
      </c>
      <c r="M4854">
        <v>18.5042976666432</v>
      </c>
      <c r="N4854">
        <v>66.022138038695999</v>
      </c>
      <c r="O4854">
        <v>54.904558891142898</v>
      </c>
      <c r="P4854">
        <v>-4.4362820837437499E-2</v>
      </c>
      <c r="Q4854">
        <v>0.473503098123921</v>
      </c>
      <c r="R4854">
        <v>0.99096309961339601</v>
      </c>
      <c r="S4854" t="s">
        <v>11470</v>
      </c>
      <c r="T4854" t="s">
        <v>13232</v>
      </c>
      <c r="U4854" t="s">
        <v>13232</v>
      </c>
      <c r="V4854" t="s">
        <v>13232</v>
      </c>
      <c r="W4854" t="s">
        <v>18022</v>
      </c>
      <c r="X4854">
        <v>4</v>
      </c>
      <c r="Y4854" t="s">
        <v>24428</v>
      </c>
      <c r="Z4854" t="s">
        <v>30985</v>
      </c>
      <c r="AA4854">
        <v>0.75391921928803707</v>
      </c>
      <c r="AB4854" t="str">
        <f>HYPERLINK("Melting_Curves/meltCurve_Q96B45_C10orf32.pdf", "Melting_Curves/meltCurve_Q96B45_C10orf32.pdf")</f>
        <v>Melting_Curves/meltCurve_Q96B45_C10orf32.pdf</v>
      </c>
    </row>
    <row r="4855" spans="1:28" x14ac:dyDescent="0.25">
      <c r="A4855" t="s">
        <v>4858</v>
      </c>
      <c r="B4855">
        <v>0.99930955844802105</v>
      </c>
      <c r="C4855">
        <v>1.1282875474343399</v>
      </c>
      <c r="D4855">
        <v>1.1221643701577899</v>
      </c>
      <c r="E4855">
        <v>1.1617208663308201</v>
      </c>
      <c r="F4855">
        <v>1.04990473075507</v>
      </c>
      <c r="G4855">
        <v>0.95534522709286596</v>
      </c>
      <c r="H4855">
        <v>0.93196607184484304</v>
      </c>
      <c r="I4855">
        <v>1.1361447326609599</v>
      </c>
      <c r="J4855">
        <v>1.1251983692128</v>
      </c>
      <c r="K4855">
        <v>0.91092627120612801</v>
      </c>
      <c r="L4855">
        <v>10256.930556526901</v>
      </c>
      <c r="M4855">
        <v>250</v>
      </c>
      <c r="O4855">
        <v>41.025096740691403</v>
      </c>
      <c r="P4855">
        <v>8.8302434245474307E-2</v>
      </c>
      <c r="Q4855">
        <v>1.0579618544262499</v>
      </c>
      <c r="R4855">
        <v>3.7908650490668397E-2</v>
      </c>
      <c r="S4855" t="s">
        <v>11471</v>
      </c>
      <c r="T4855" t="s">
        <v>13232</v>
      </c>
      <c r="U4855" t="s">
        <v>13232</v>
      </c>
      <c r="V4855" t="s">
        <v>13232</v>
      </c>
      <c r="W4855" t="s">
        <v>18023</v>
      </c>
      <c r="X4855">
        <v>6</v>
      </c>
      <c r="Y4855" t="s">
        <v>24429</v>
      </c>
      <c r="Z4855" t="s">
        <v>30986</v>
      </c>
      <c r="AA4855">
        <v>1.0559715730412751</v>
      </c>
      <c r="AB4855" t="str">
        <f>HYPERLINK("Melting_Curves/meltCurve_Q96B54_ZNF428.pdf", "Melting_Curves/meltCurve_Q96B54_ZNF428.pdf")</f>
        <v>Melting_Curves/meltCurve_Q96B54_ZNF428.pdf</v>
      </c>
    </row>
    <row r="4856" spans="1:28" x14ac:dyDescent="0.25">
      <c r="A4856" t="s">
        <v>4859</v>
      </c>
      <c r="B4856">
        <v>0.99930955844802105</v>
      </c>
      <c r="C4856">
        <v>0.95888818004829102</v>
      </c>
      <c r="D4856">
        <v>0.97955902473585499</v>
      </c>
      <c r="E4856">
        <v>0.930265995097323</v>
      </c>
      <c r="F4856">
        <v>0.814575473460321</v>
      </c>
      <c r="G4856">
        <v>0.67532610786978597</v>
      </c>
      <c r="H4856">
        <v>0.60630675221041797</v>
      </c>
      <c r="I4856">
        <v>0.635199409699717</v>
      </c>
      <c r="J4856">
        <v>0.62657407767484197</v>
      </c>
      <c r="K4856">
        <v>0.49165166516879599</v>
      </c>
      <c r="L4856">
        <v>870.63683404437995</v>
      </c>
      <c r="M4856">
        <v>16.041565302641299</v>
      </c>
      <c r="O4856">
        <v>53.4513923174325</v>
      </c>
      <c r="P4856">
        <v>-3.3523517023676098E-2</v>
      </c>
      <c r="Q4856">
        <v>0.553225753603793</v>
      </c>
      <c r="R4856">
        <v>0.959803795594382</v>
      </c>
      <c r="S4856" t="s">
        <v>11472</v>
      </c>
      <c r="T4856" t="s">
        <v>13232</v>
      </c>
      <c r="U4856" t="s">
        <v>13232</v>
      </c>
      <c r="V4856" t="s">
        <v>13232</v>
      </c>
      <c r="W4856" t="s">
        <v>18024</v>
      </c>
      <c r="X4856">
        <v>8</v>
      </c>
      <c r="Y4856" t="s">
        <v>24430</v>
      </c>
      <c r="Z4856" t="s">
        <v>30987</v>
      </c>
      <c r="AA4856">
        <v>0.7741028334612523</v>
      </c>
      <c r="AB4856" t="str">
        <f>HYPERLINK("Melting_Curves/meltCurve_Q96B97_SH3KBP1.pdf", "Melting_Curves/meltCurve_Q96B97_SH3KBP1.pdf")</f>
        <v>Melting_Curves/meltCurve_Q96B97_SH3KBP1.pdf</v>
      </c>
    </row>
    <row r="4857" spans="1:28" x14ac:dyDescent="0.25">
      <c r="A4857" t="s">
        <v>4860</v>
      </c>
      <c r="B4857">
        <v>0.99930955844802105</v>
      </c>
      <c r="C4857">
        <v>1.0221496734240301</v>
      </c>
      <c r="D4857">
        <v>1.03112093785133</v>
      </c>
      <c r="E4857">
        <v>0.94418021502663296</v>
      </c>
      <c r="F4857">
        <v>0.79909327098751204</v>
      </c>
      <c r="G4857">
        <v>0.69715818020470099</v>
      </c>
      <c r="H4857">
        <v>0.55548009315443903</v>
      </c>
      <c r="I4857">
        <v>0.54768975761760796</v>
      </c>
      <c r="J4857">
        <v>0.48883740330030101</v>
      </c>
      <c r="K4857">
        <v>0.38670646465452102</v>
      </c>
      <c r="L4857">
        <v>764.42099215176302</v>
      </c>
      <c r="M4857">
        <v>13.376081214897299</v>
      </c>
      <c r="N4857">
        <v>64.227294569875596</v>
      </c>
      <c r="O4857">
        <v>55.916372483923602</v>
      </c>
      <c r="P4857">
        <v>-3.6753706292985799E-2</v>
      </c>
      <c r="Q4857">
        <v>0.38552735094825102</v>
      </c>
      <c r="R4857">
        <v>0.97915166127379205</v>
      </c>
      <c r="S4857" t="s">
        <v>11473</v>
      </c>
      <c r="T4857" t="s">
        <v>13232</v>
      </c>
      <c r="U4857" t="s">
        <v>13232</v>
      </c>
      <c r="V4857" t="s">
        <v>13232</v>
      </c>
      <c r="W4857" t="s">
        <v>18025</v>
      </c>
      <c r="X4857">
        <v>12</v>
      </c>
      <c r="Y4857" t="s">
        <v>24431</v>
      </c>
      <c r="Z4857" t="s">
        <v>30988</v>
      </c>
      <c r="AA4857">
        <v>0.74670185220289231</v>
      </c>
      <c r="AB4857" t="str">
        <f>HYPERLINK("Melting_Curves/meltCurve_Q96BD5_2_PHF21A.pdf", "Melting_Curves/meltCurve_Q96BD5_2_PHF21A.pdf")</f>
        <v>Melting_Curves/meltCurve_Q96BD5_2_PHF21A.pdf</v>
      </c>
    </row>
    <row r="4858" spans="1:28" x14ac:dyDescent="0.25">
      <c r="A4858" t="s">
        <v>4861</v>
      </c>
      <c r="B4858">
        <v>0.99930955844802105</v>
      </c>
      <c r="C4858">
        <v>1.55309735149044</v>
      </c>
      <c r="D4858">
        <v>0.99578136404258999</v>
      </c>
      <c r="E4858">
        <v>0.88361646878383704</v>
      </c>
      <c r="F4858">
        <v>0.89527911532341098</v>
      </c>
      <c r="G4858">
        <v>0.77376182897212498</v>
      </c>
      <c r="H4858">
        <v>1.0207190667895201</v>
      </c>
      <c r="I4858">
        <v>1.18042928053921</v>
      </c>
      <c r="J4858">
        <v>1.4088859457977101</v>
      </c>
      <c r="K4858">
        <v>1.10168950534965</v>
      </c>
      <c r="L4858">
        <v>15000</v>
      </c>
      <c r="M4858">
        <v>235.25498613381799</v>
      </c>
      <c r="O4858">
        <v>63.7559997361097</v>
      </c>
      <c r="P4858">
        <v>0.23549549841265399</v>
      </c>
      <c r="Q4858">
        <v>1.25528470773228</v>
      </c>
      <c r="R4858">
        <v>0.18412448763658301</v>
      </c>
      <c r="S4858" t="s">
        <v>11474</v>
      </c>
      <c r="T4858" t="s">
        <v>13232</v>
      </c>
      <c r="U4858" t="s">
        <v>13232</v>
      </c>
      <c r="V4858" t="s">
        <v>13232</v>
      </c>
      <c r="W4858" t="s">
        <v>18026</v>
      </c>
      <c r="X4858">
        <v>2</v>
      </c>
      <c r="Y4858" t="s">
        <v>24432</v>
      </c>
      <c r="Z4858" t="s">
        <v>30989</v>
      </c>
      <c r="AA4858">
        <v>1.053061819770122</v>
      </c>
      <c r="AB4858" t="str">
        <f>HYPERLINK("Melting_Curves/meltCurve_Q96BD8_2_SKA1.pdf", "Melting_Curves/meltCurve_Q96BD8_2_SKA1.pdf")</f>
        <v>Melting_Curves/meltCurve_Q96BD8_2_SKA1.pdf</v>
      </c>
    </row>
    <row r="4859" spans="1:28" x14ac:dyDescent="0.25">
      <c r="A4859" t="s">
        <v>4862</v>
      </c>
      <c r="B4859">
        <v>0.99930955844802105</v>
      </c>
      <c r="C4859">
        <v>1.26929073180355</v>
      </c>
      <c r="D4859">
        <v>1.32270527950285</v>
      </c>
      <c r="E4859">
        <v>1.1190325731833499</v>
      </c>
      <c r="F4859">
        <v>1.04251847499566</v>
      </c>
      <c r="G4859">
        <v>1.03420666016577</v>
      </c>
      <c r="H4859">
        <v>0.92288241339478805</v>
      </c>
      <c r="I4859">
        <v>0.93555059058687295</v>
      </c>
      <c r="J4859">
        <v>0.96206097100156396</v>
      </c>
      <c r="K4859">
        <v>0.70968322418484497</v>
      </c>
      <c r="L4859">
        <v>2911.9087690614101</v>
      </c>
      <c r="M4859">
        <v>40.6895743078301</v>
      </c>
      <c r="Q4859">
        <v>0</v>
      </c>
      <c r="R4859">
        <v>0.27299605284206602</v>
      </c>
      <c r="S4859" t="s">
        <v>11475</v>
      </c>
      <c r="T4859" t="s">
        <v>13232</v>
      </c>
      <c r="U4859" t="s">
        <v>13232</v>
      </c>
      <c r="V4859" t="s">
        <v>13232</v>
      </c>
      <c r="W4859" t="s">
        <v>18027</v>
      </c>
      <c r="X4859">
        <v>3</v>
      </c>
      <c r="Y4859" t="s">
        <v>24433</v>
      </c>
      <c r="Z4859" t="s">
        <v>30990</v>
      </c>
      <c r="AA4859">
        <v>0.98193645245054106</v>
      </c>
      <c r="AB4859" t="str">
        <f>HYPERLINK("Melting_Curves/meltCurve_Q96BF6_NACC2.pdf", "Melting_Curves/meltCurve_Q96BF6_NACC2.pdf")</f>
        <v>Melting_Curves/meltCurve_Q96BF6_NACC2.pdf</v>
      </c>
    </row>
    <row r="4860" spans="1:28" x14ac:dyDescent="0.25">
      <c r="A4860" t="s">
        <v>4863</v>
      </c>
      <c r="B4860">
        <v>0.99930955844802105</v>
      </c>
      <c r="C4860">
        <v>1.1293772367691499</v>
      </c>
      <c r="D4860">
        <v>1.0844882715204001</v>
      </c>
      <c r="E4860">
        <v>0.96036485978850405</v>
      </c>
      <c r="F4860">
        <v>0.75463175254596304</v>
      </c>
      <c r="G4860">
        <v>0.53812685282967698</v>
      </c>
      <c r="H4860">
        <v>0.330699162764376</v>
      </c>
      <c r="I4860">
        <v>0.277900597268255</v>
      </c>
      <c r="J4860">
        <v>0.246709895132394</v>
      </c>
      <c r="K4860">
        <v>0.17927172399506799</v>
      </c>
      <c r="L4860">
        <v>1107.2853552218801</v>
      </c>
      <c r="M4860">
        <v>19.799411293503798</v>
      </c>
      <c r="N4860">
        <v>57.404630772568503</v>
      </c>
      <c r="O4860">
        <v>55.3640427258022</v>
      </c>
      <c r="P4860">
        <v>-7.1541455545643604E-2</v>
      </c>
      <c r="Q4860">
        <v>0.19983680272193599</v>
      </c>
      <c r="R4860">
        <v>0.97567471885122203</v>
      </c>
      <c r="S4860" t="s">
        <v>11476</v>
      </c>
      <c r="T4860" t="s">
        <v>13232</v>
      </c>
      <c r="U4860" t="s">
        <v>13232</v>
      </c>
      <c r="V4860" t="s">
        <v>13232</v>
      </c>
      <c r="W4860" t="s">
        <v>18028</v>
      </c>
      <c r="X4860">
        <v>9</v>
      </c>
      <c r="Y4860" t="s">
        <v>24434</v>
      </c>
      <c r="Z4860" t="s">
        <v>30991</v>
      </c>
      <c r="AA4860">
        <v>0.63507591045170386</v>
      </c>
      <c r="AB4860" t="str">
        <f>HYPERLINK("Melting_Curves/meltCurve_Q96BH1_RNF25.pdf", "Melting_Curves/meltCurve_Q96BH1_RNF25.pdf")</f>
        <v>Melting_Curves/meltCurve_Q96BH1_RNF25.pdf</v>
      </c>
    </row>
    <row r="4861" spans="1:28" x14ac:dyDescent="0.25">
      <c r="A4861" t="s">
        <v>4864</v>
      </c>
      <c r="B4861">
        <v>0.99930955844802105</v>
      </c>
      <c r="C4861">
        <v>1.1229562737016501</v>
      </c>
      <c r="D4861">
        <v>1.1079531591548499</v>
      </c>
      <c r="E4861">
        <v>0.98652615500359897</v>
      </c>
      <c r="F4861">
        <v>0.60153979440724703</v>
      </c>
      <c r="G4861">
        <v>0.24926161959445001</v>
      </c>
      <c r="H4861">
        <v>0.115234681963131</v>
      </c>
      <c r="I4861">
        <v>9.4478534179849097E-2</v>
      </c>
      <c r="J4861">
        <v>8.0140404230301401E-2</v>
      </c>
      <c r="K4861">
        <v>6.9773680425544604E-2</v>
      </c>
      <c r="L4861">
        <v>1769.78447014012</v>
      </c>
      <c r="M4861">
        <v>32.959457697331899</v>
      </c>
      <c r="N4861">
        <v>54.022689306828397</v>
      </c>
      <c r="O4861">
        <v>53.4992914263035</v>
      </c>
      <c r="P4861">
        <v>-0.140094899271207</v>
      </c>
      <c r="Q4861">
        <v>9.0404439364429795E-2</v>
      </c>
      <c r="R4861">
        <v>0.982152435899592</v>
      </c>
      <c r="S4861" t="s">
        <v>11477</v>
      </c>
      <c r="T4861" t="s">
        <v>13232</v>
      </c>
      <c r="U4861" t="s">
        <v>13232</v>
      </c>
      <c r="V4861" t="s">
        <v>13232</v>
      </c>
      <c r="W4861" t="s">
        <v>13813</v>
      </c>
      <c r="X4861">
        <v>12</v>
      </c>
      <c r="Y4861" t="s">
        <v>20353</v>
      </c>
      <c r="Z4861" t="s">
        <v>30992</v>
      </c>
      <c r="AA4861">
        <v>0.51061206576589646</v>
      </c>
      <c r="AB4861" t="str">
        <f>HYPERLINK("Melting_Curves/meltCurve_Q96BJ3_AIDA.pdf", "Melting_Curves/meltCurve_Q96BJ3_AIDA.pdf")</f>
        <v>Melting_Curves/meltCurve_Q96BJ3_AIDA.pdf</v>
      </c>
    </row>
    <row r="4862" spans="1:28" x14ac:dyDescent="0.25">
      <c r="A4862" t="s">
        <v>4865</v>
      </c>
      <c r="B4862">
        <v>0.99930955844802105</v>
      </c>
      <c r="C4862">
        <v>1.0794335980876899</v>
      </c>
      <c r="D4862">
        <v>1.0202615150140499</v>
      </c>
      <c r="E4862">
        <v>0.92829126927001604</v>
      </c>
      <c r="F4862">
        <v>0.85539716930281395</v>
      </c>
      <c r="G4862">
        <v>0.75713651676289995</v>
      </c>
      <c r="H4862">
        <v>0.75601838867354199</v>
      </c>
      <c r="I4862">
        <v>0.81697956560843799</v>
      </c>
      <c r="J4862">
        <v>0.81165579071515803</v>
      </c>
      <c r="K4862">
        <v>0.64730901433139398</v>
      </c>
      <c r="L4862">
        <v>1513.89595152282</v>
      </c>
      <c r="M4862">
        <v>29.105691550296601</v>
      </c>
      <c r="O4862">
        <v>51.770064273697301</v>
      </c>
      <c r="P4862">
        <v>-3.4534927980514898E-2</v>
      </c>
      <c r="Q4862">
        <v>0.75429380107567401</v>
      </c>
      <c r="R4862">
        <v>0.844865649057288</v>
      </c>
      <c r="S4862" t="s">
        <v>11478</v>
      </c>
      <c r="T4862" t="s">
        <v>13232</v>
      </c>
      <c r="U4862" t="s">
        <v>13232</v>
      </c>
      <c r="V4862" t="s">
        <v>13232</v>
      </c>
      <c r="W4862" t="s">
        <v>18029</v>
      </c>
      <c r="X4862">
        <v>14</v>
      </c>
      <c r="Y4862" t="s">
        <v>24435</v>
      </c>
      <c r="Z4862" t="s">
        <v>30993</v>
      </c>
      <c r="AA4862">
        <v>0.85435598717911343</v>
      </c>
      <c r="AB4862" t="str">
        <f>HYPERLINK("Melting_Curves/meltCurve_Q96BK5_PINX1.pdf", "Melting_Curves/meltCurve_Q96BK5_PINX1.pdf")</f>
        <v>Melting_Curves/meltCurve_Q96BK5_PINX1.pdf</v>
      </c>
    </row>
    <row r="4863" spans="1:28" x14ac:dyDescent="0.25">
      <c r="A4863" t="s">
        <v>4866</v>
      </c>
      <c r="B4863">
        <v>0.99930955844802105</v>
      </c>
      <c r="C4863">
        <v>0.978710724915972</v>
      </c>
      <c r="D4863">
        <v>1.02842101837114</v>
      </c>
      <c r="E4863">
        <v>0.86085508768668395</v>
      </c>
      <c r="F4863">
        <v>0.72807077612472104</v>
      </c>
      <c r="G4863">
        <v>0.50789572278732298</v>
      </c>
      <c r="H4863">
        <v>0.26549272186138301</v>
      </c>
      <c r="I4863">
        <v>0.10972624428274599</v>
      </c>
      <c r="J4863">
        <v>3.1605198320198001E-2</v>
      </c>
      <c r="K4863">
        <v>2.4347351161857499E-2</v>
      </c>
      <c r="L4863">
        <v>920.39829301013299</v>
      </c>
      <c r="M4863">
        <v>16.2512489884483</v>
      </c>
      <c r="N4863">
        <v>56.635541930165303</v>
      </c>
      <c r="O4863">
        <v>55.798804593194703</v>
      </c>
      <c r="P4863">
        <v>-7.2817186982000806E-2</v>
      </c>
      <c r="Q4863">
        <v>0</v>
      </c>
      <c r="R4863">
        <v>0.99396954850742403</v>
      </c>
      <c r="S4863" t="s">
        <v>11479</v>
      </c>
      <c r="T4863" t="s">
        <v>13232</v>
      </c>
      <c r="U4863" t="s">
        <v>13232</v>
      </c>
      <c r="V4863" t="s">
        <v>13232</v>
      </c>
      <c r="W4863" t="s">
        <v>18030</v>
      </c>
      <c r="X4863">
        <v>5</v>
      </c>
      <c r="Y4863" t="s">
        <v>24436</v>
      </c>
      <c r="Z4863" t="s">
        <v>30994</v>
      </c>
      <c r="AA4863">
        <v>0.57009813129587106</v>
      </c>
      <c r="AB4863" t="str">
        <f>HYPERLINK("Melting_Curves/meltCurve_Q96BM9_ARL8A.pdf", "Melting_Curves/meltCurve_Q96BM9_ARL8A.pdf")</f>
        <v>Melting_Curves/meltCurve_Q96BM9_ARL8A.pdf</v>
      </c>
    </row>
    <row r="4864" spans="1:28" x14ac:dyDescent="0.25">
      <c r="A4864" t="s">
        <v>4867</v>
      </c>
      <c r="B4864">
        <v>0.99930955844802105</v>
      </c>
      <c r="C4864">
        <v>1.0971301725228899</v>
      </c>
      <c r="D4864">
        <v>0.846708985418692</v>
      </c>
      <c r="E4864">
        <v>0.92405947084212903</v>
      </c>
      <c r="F4864">
        <v>0.29943930977893601</v>
      </c>
      <c r="G4864">
        <v>0.17950766727529099</v>
      </c>
      <c r="H4864">
        <v>0.121367318554892</v>
      </c>
      <c r="I4864">
        <v>0.119143477449404</v>
      </c>
      <c r="J4864">
        <v>0.11528222986188801</v>
      </c>
      <c r="K4864">
        <v>8.5500190635424494E-2</v>
      </c>
      <c r="L4864">
        <v>3226.01147773602</v>
      </c>
      <c r="M4864">
        <v>62.2258167828317</v>
      </c>
      <c r="N4864">
        <v>52.080076919154003</v>
      </c>
      <c r="O4864">
        <v>51.790171065395498</v>
      </c>
      <c r="P4864">
        <v>-0.263410757555604</v>
      </c>
      <c r="Q4864">
        <v>0.123059887953218</v>
      </c>
      <c r="R4864">
        <v>0.97749290885269402</v>
      </c>
      <c r="S4864" t="s">
        <v>11480</v>
      </c>
      <c r="T4864" t="s">
        <v>13232</v>
      </c>
      <c r="U4864" t="s">
        <v>13232</v>
      </c>
      <c r="V4864" t="s">
        <v>13232</v>
      </c>
      <c r="W4864" t="s">
        <v>18031</v>
      </c>
      <c r="X4864">
        <v>21</v>
      </c>
      <c r="Y4864" t="s">
        <v>24437</v>
      </c>
      <c r="Z4864" t="s">
        <v>30995</v>
      </c>
      <c r="AA4864">
        <v>0.47055690797294603</v>
      </c>
      <c r="AB4864" t="str">
        <f>HYPERLINK("Melting_Curves/meltCurve_Q96BN8_FAM105B.pdf", "Melting_Curves/meltCurve_Q96BN8_FAM105B.pdf")</f>
        <v>Melting_Curves/meltCurve_Q96BN8_FAM105B.pdf</v>
      </c>
    </row>
    <row r="4865" spans="1:28" x14ac:dyDescent="0.25">
      <c r="A4865" t="s">
        <v>4868</v>
      </c>
      <c r="B4865">
        <v>0.99930955844802105</v>
      </c>
      <c r="C4865">
        <v>1.01262604048563</v>
      </c>
      <c r="D4865">
        <v>0.94356823372850496</v>
      </c>
      <c r="E4865">
        <v>0.63876605099079997</v>
      </c>
      <c r="F4865">
        <v>0.231190751977048</v>
      </c>
      <c r="G4865">
        <v>0.15983437136586701</v>
      </c>
      <c r="H4865">
        <v>9.2821468775568003E-2</v>
      </c>
      <c r="I4865">
        <v>8.2045721081247094E-2</v>
      </c>
      <c r="J4865">
        <v>6.8121990553838205E-2</v>
      </c>
      <c r="K4865">
        <v>5.3353548445954399E-2</v>
      </c>
      <c r="L4865">
        <v>1596.1150953717399</v>
      </c>
      <c r="M4865">
        <v>31.5513980356566</v>
      </c>
      <c r="N4865">
        <v>50.873886313236397</v>
      </c>
      <c r="O4865">
        <v>50.3858512351499</v>
      </c>
      <c r="P4865">
        <v>-0.14382300564360301</v>
      </c>
      <c r="Q4865">
        <v>8.1294940203036403E-2</v>
      </c>
      <c r="R4865">
        <v>0.99665538696734701</v>
      </c>
      <c r="S4865" t="s">
        <v>11481</v>
      </c>
      <c r="T4865" t="s">
        <v>13232</v>
      </c>
      <c r="U4865" t="s">
        <v>13232</v>
      </c>
      <c r="V4865" t="s">
        <v>13232</v>
      </c>
      <c r="W4865" t="s">
        <v>18032</v>
      </c>
      <c r="X4865">
        <v>24</v>
      </c>
      <c r="Y4865" t="s">
        <v>24438</v>
      </c>
      <c r="Z4865" t="s">
        <v>30996</v>
      </c>
      <c r="AA4865">
        <v>0.41071334341545568</v>
      </c>
      <c r="AB4865" t="str">
        <f>HYPERLINK("Melting_Curves/meltCurve_Q96BP3_PPWD1.pdf", "Melting_Curves/meltCurve_Q96BP3_PPWD1.pdf")</f>
        <v>Melting_Curves/meltCurve_Q96BP3_PPWD1.pdf</v>
      </c>
    </row>
    <row r="4866" spans="1:28" x14ac:dyDescent="0.25">
      <c r="A4866" t="s">
        <v>4869</v>
      </c>
      <c r="B4866">
        <v>0.99930955844802105</v>
      </c>
      <c r="C4866">
        <v>1.03287541590419</v>
      </c>
      <c r="D4866">
        <v>0.90498348119771099</v>
      </c>
      <c r="E4866">
        <v>0.761825873636512</v>
      </c>
      <c r="F4866">
        <v>0.64493192022968404</v>
      </c>
      <c r="G4866">
        <v>0.57215661859622502</v>
      </c>
      <c r="H4866">
        <v>0.49638184081829101</v>
      </c>
      <c r="I4866">
        <v>0.51931187771088305</v>
      </c>
      <c r="J4866">
        <v>0.53060780839947796</v>
      </c>
      <c r="K4866">
        <v>0.43079607320445101</v>
      </c>
      <c r="L4866">
        <v>856.24328294821203</v>
      </c>
      <c r="M4866">
        <v>16.909165087474101</v>
      </c>
      <c r="N4866">
        <v>63.4379585654316</v>
      </c>
      <c r="O4866">
        <v>49.945488351106199</v>
      </c>
      <c r="P4866">
        <v>-4.3717522976986299E-2</v>
      </c>
      <c r="Q4866">
        <v>0.483509631393156</v>
      </c>
      <c r="R4866">
        <v>0.97859292010158205</v>
      </c>
      <c r="S4866" t="s">
        <v>11482</v>
      </c>
      <c r="T4866" t="s">
        <v>13232</v>
      </c>
      <c r="U4866" t="s">
        <v>13232</v>
      </c>
      <c r="V4866" t="s">
        <v>13232</v>
      </c>
      <c r="W4866" t="s">
        <v>18033</v>
      </c>
      <c r="X4866">
        <v>12</v>
      </c>
      <c r="Y4866" t="s">
        <v>24439</v>
      </c>
      <c r="Z4866" t="s">
        <v>30997</v>
      </c>
      <c r="AA4866">
        <v>0.67644453991826647</v>
      </c>
      <c r="AB4866" t="str">
        <f>HYPERLINK("Melting_Curves/meltCurve_Q96BR5_SELRC1.pdf", "Melting_Curves/meltCurve_Q96BR5_SELRC1.pdf")</f>
        <v>Melting_Curves/meltCurve_Q96BR5_SELRC1.pdf</v>
      </c>
    </row>
    <row r="4867" spans="1:28" x14ac:dyDescent="0.25">
      <c r="A4867" t="s">
        <v>4870</v>
      </c>
      <c r="B4867">
        <v>0.99930955844802105</v>
      </c>
      <c r="C4867">
        <v>1.0191686785593701</v>
      </c>
      <c r="D4867">
        <v>1.0471270187922099</v>
      </c>
      <c r="E4867">
        <v>0.90164468311129897</v>
      </c>
      <c r="F4867">
        <v>0.622421441564736</v>
      </c>
      <c r="G4867">
        <v>0.36669017874950499</v>
      </c>
      <c r="H4867">
        <v>0.196970172539147</v>
      </c>
      <c r="I4867">
        <v>0.13805285881249199</v>
      </c>
      <c r="J4867">
        <v>0.11010392025888099</v>
      </c>
      <c r="K4867">
        <v>6.8796921565077204E-2</v>
      </c>
      <c r="L4867">
        <v>1111.95988629612</v>
      </c>
      <c r="M4867">
        <v>20.4235527146406</v>
      </c>
      <c r="N4867">
        <v>54.966487337392699</v>
      </c>
      <c r="O4867">
        <v>53.931070459260503</v>
      </c>
      <c r="P4867">
        <v>-8.63384496213703E-2</v>
      </c>
      <c r="Q4867">
        <v>8.8075310491238096E-2</v>
      </c>
      <c r="R4867">
        <v>0.99379527222560804</v>
      </c>
      <c r="S4867" t="s">
        <v>11483</v>
      </c>
      <c r="T4867" t="s">
        <v>13232</v>
      </c>
      <c r="U4867" t="s">
        <v>13232</v>
      </c>
      <c r="V4867" t="s">
        <v>13232</v>
      </c>
      <c r="W4867" t="s">
        <v>18034</v>
      </c>
      <c r="X4867">
        <v>8</v>
      </c>
      <c r="Y4867" t="s">
        <v>24440</v>
      </c>
      <c r="Z4867" t="s">
        <v>30998</v>
      </c>
      <c r="AA4867">
        <v>0.53906416052189665</v>
      </c>
      <c r="AB4867" t="str">
        <f>HYPERLINK("Melting_Curves/meltCurve_Q96BS2_TESC.pdf", "Melting_Curves/meltCurve_Q96BS2_TESC.pdf")</f>
        <v>Melting_Curves/meltCurve_Q96BS2_TESC.pdf</v>
      </c>
    </row>
    <row r="4868" spans="1:28" x14ac:dyDescent="0.25">
      <c r="A4868" t="s">
        <v>4871</v>
      </c>
      <c r="B4868">
        <v>0.99930955844802105</v>
      </c>
      <c r="C4868">
        <v>0.84974362885223897</v>
      </c>
      <c r="D4868">
        <v>0.65986670414139703</v>
      </c>
      <c r="E4868">
        <v>0.33842523183121698</v>
      </c>
      <c r="F4868">
        <v>0.20989291740632801</v>
      </c>
      <c r="G4868">
        <v>0.11593677950374499</v>
      </c>
      <c r="H4868">
        <v>7.06960541791994E-2</v>
      </c>
      <c r="I4868">
        <v>6.2073704607696498E-2</v>
      </c>
      <c r="J4868">
        <v>7.5188729088134607E-2</v>
      </c>
      <c r="K4868">
        <v>3.6494018667274801E-2</v>
      </c>
      <c r="L4868">
        <v>785.65093263449296</v>
      </c>
      <c r="M4868">
        <v>16.506677683545099</v>
      </c>
      <c r="N4868">
        <v>47.906990402698902</v>
      </c>
      <c r="O4868">
        <v>46.913854394809803</v>
      </c>
      <c r="P4868">
        <v>-8.3498710706228205E-2</v>
      </c>
      <c r="Q4868">
        <v>5.0814802831295199E-2</v>
      </c>
      <c r="R4868">
        <v>0.997733443101255</v>
      </c>
      <c r="S4868" t="s">
        <v>11484</v>
      </c>
      <c r="T4868" t="s">
        <v>13232</v>
      </c>
      <c r="U4868" t="s">
        <v>13232</v>
      </c>
      <c r="V4868" t="s">
        <v>13232</v>
      </c>
      <c r="W4868" t="s">
        <v>18035</v>
      </c>
      <c r="X4868">
        <v>5</v>
      </c>
      <c r="Y4868" t="s">
        <v>24441</v>
      </c>
      <c r="Z4868" t="s">
        <v>30999</v>
      </c>
      <c r="AA4868">
        <v>0.31163076223948161</v>
      </c>
      <c r="AB4868" t="str">
        <f>HYPERLINK("Melting_Curves/meltCurve_Q96BT7_ALKBH8.pdf", "Melting_Curves/meltCurve_Q96BT7_ALKBH8.pdf")</f>
        <v>Melting_Curves/meltCurve_Q96BT7_ALKBH8.pdf</v>
      </c>
    </row>
    <row r="4869" spans="1:28" x14ac:dyDescent="0.25">
      <c r="A4869" t="s">
        <v>4872</v>
      </c>
      <c r="B4869">
        <v>0.99930955844802105</v>
      </c>
      <c r="C4869">
        <v>1.1126127604901099</v>
      </c>
      <c r="D4869">
        <v>1.0965313318652901</v>
      </c>
      <c r="E4869">
        <v>1.04771085972112</v>
      </c>
      <c r="F4869">
        <v>1.0370304952279501</v>
      </c>
      <c r="G4869">
        <v>0.83407953084188202</v>
      </c>
      <c r="H4869">
        <v>0.66167797868252198</v>
      </c>
      <c r="I4869">
        <v>0.447874480659328</v>
      </c>
      <c r="J4869">
        <v>0.26204831028076903</v>
      </c>
      <c r="K4869">
        <v>0.20471360065902899</v>
      </c>
      <c r="L4869">
        <v>1276.1303691170899</v>
      </c>
      <c r="M4869">
        <v>20.4993413567895</v>
      </c>
      <c r="N4869">
        <v>63.0439185236187</v>
      </c>
      <c r="O4869">
        <v>61.668930878196598</v>
      </c>
      <c r="P4869">
        <v>-7.3674457121735398E-2</v>
      </c>
      <c r="Q4869">
        <v>0.113475749998615</v>
      </c>
      <c r="R4869">
        <v>0.97153064678411505</v>
      </c>
      <c r="S4869" t="s">
        <v>11485</v>
      </c>
      <c r="T4869" t="s">
        <v>13232</v>
      </c>
      <c r="U4869" t="s">
        <v>13232</v>
      </c>
      <c r="V4869" t="s">
        <v>13232</v>
      </c>
      <c r="W4869" t="s">
        <v>18036</v>
      </c>
      <c r="X4869">
        <v>15</v>
      </c>
      <c r="Y4869" t="s">
        <v>24442</v>
      </c>
      <c r="Z4869" t="s">
        <v>31000</v>
      </c>
      <c r="AA4869">
        <v>0.77326711891632083</v>
      </c>
      <c r="AB4869" t="str">
        <f>HYPERLINK("Melting_Curves/meltCurve_Q96BW5_2_PTER.pdf", "Melting_Curves/meltCurve_Q96BW5_2_PTER.pdf")</f>
        <v>Melting_Curves/meltCurve_Q96BW5_2_PTER.pdf</v>
      </c>
    </row>
    <row r="4870" spans="1:28" x14ac:dyDescent="0.25">
      <c r="A4870" t="s">
        <v>4873</v>
      </c>
      <c r="B4870">
        <v>0.99930955844802105</v>
      </c>
      <c r="C4870">
        <v>1.1938944947061301</v>
      </c>
      <c r="D4870">
        <v>1.09301196356078</v>
      </c>
      <c r="E4870">
        <v>1.0372654595333599</v>
      </c>
      <c r="F4870">
        <v>0.53827645417387204</v>
      </c>
      <c r="G4870">
        <v>0.198930613900032</v>
      </c>
      <c r="H4870">
        <v>0.15374857477246301</v>
      </c>
      <c r="I4870">
        <v>0.130933428296335</v>
      </c>
      <c r="J4870">
        <v>0.14922443617523201</v>
      </c>
      <c r="K4870">
        <v>0.101779079432327</v>
      </c>
      <c r="L4870">
        <v>13241.2361603109</v>
      </c>
      <c r="M4870">
        <v>250</v>
      </c>
      <c r="N4870">
        <v>53.038760614066703</v>
      </c>
      <c r="O4870">
        <v>52.961560371713801</v>
      </c>
      <c r="P4870">
        <v>-1.0067170167147499</v>
      </c>
      <c r="Q4870">
        <v>0.14692321866939001</v>
      </c>
      <c r="R4870">
        <v>0.973193086986607</v>
      </c>
      <c r="S4870" t="s">
        <v>11486</v>
      </c>
      <c r="T4870" t="s">
        <v>13232</v>
      </c>
      <c r="U4870" t="s">
        <v>13232</v>
      </c>
      <c r="V4870" t="s">
        <v>13232</v>
      </c>
      <c r="W4870" t="s">
        <v>18037</v>
      </c>
      <c r="X4870">
        <v>5</v>
      </c>
      <c r="Y4870" t="s">
        <v>24443</v>
      </c>
      <c r="Z4870" t="s">
        <v>31001</v>
      </c>
      <c r="AA4870">
        <v>0.51567228924260045</v>
      </c>
      <c r="AB4870" t="str">
        <f>HYPERLINK("Melting_Curves/meltCurve_Q96BX8_MOB3A.pdf", "Melting_Curves/meltCurve_Q96BX8_MOB3A.pdf")</f>
        <v>Melting_Curves/meltCurve_Q96BX8_MOB3A.pdf</v>
      </c>
    </row>
    <row r="4871" spans="1:28" x14ac:dyDescent="0.25">
      <c r="A4871" t="s">
        <v>4874</v>
      </c>
      <c r="B4871">
        <v>0.99930955844802105</v>
      </c>
      <c r="C4871">
        <v>0.87836094707469503</v>
      </c>
      <c r="D4871">
        <v>0.87414614363454202</v>
      </c>
      <c r="E4871">
        <v>0.94806543969762302</v>
      </c>
      <c r="F4871">
        <v>0.887380764766869</v>
      </c>
      <c r="G4871">
        <v>0.60616680197618</v>
      </c>
      <c r="H4871">
        <v>0.288134157986702</v>
      </c>
      <c r="I4871">
        <v>0.22206475061661399</v>
      </c>
      <c r="J4871">
        <v>0.18449200405656899</v>
      </c>
      <c r="K4871">
        <v>0.14816104619853099</v>
      </c>
      <c r="L4871">
        <v>1278.2878183278799</v>
      </c>
      <c r="M4871">
        <v>22.318458094833399</v>
      </c>
      <c r="N4871">
        <v>58.122637276143401</v>
      </c>
      <c r="O4871">
        <v>56.821063122628701</v>
      </c>
      <c r="P4871">
        <v>-8.4556376019752605E-2</v>
      </c>
      <c r="Q4871">
        <v>0.138922550816209</v>
      </c>
      <c r="R4871">
        <v>0.97242185056290198</v>
      </c>
      <c r="S4871" t="s">
        <v>11487</v>
      </c>
      <c r="T4871" t="s">
        <v>13232</v>
      </c>
      <c r="U4871" t="s">
        <v>13232</v>
      </c>
      <c r="V4871" t="s">
        <v>13232</v>
      </c>
      <c r="W4871" t="s">
        <v>18038</v>
      </c>
      <c r="X4871">
        <v>17</v>
      </c>
      <c r="Y4871" t="s">
        <v>24444</v>
      </c>
      <c r="Z4871" t="s">
        <v>31002</v>
      </c>
      <c r="AA4871">
        <v>0.64380057450875838</v>
      </c>
      <c r="AB4871" t="str">
        <f>HYPERLINK("Melting_Curves/meltCurve_Q96BY7_ATG2B.pdf", "Melting_Curves/meltCurve_Q96BY7_ATG2B.pdf")</f>
        <v>Melting_Curves/meltCurve_Q96BY7_ATG2B.pdf</v>
      </c>
    </row>
    <row r="4872" spans="1:28" x14ac:dyDescent="0.25">
      <c r="A4872" t="s">
        <v>4875</v>
      </c>
      <c r="B4872">
        <v>0.99930955844802105</v>
      </c>
      <c r="C4872">
        <v>1.14192666892224</v>
      </c>
      <c r="D4872">
        <v>1.21197515760103</v>
      </c>
      <c r="E4872">
        <v>1.1226731177975</v>
      </c>
      <c r="F4872">
        <v>1.0276304660442299</v>
      </c>
      <c r="G4872">
        <v>1.0528554095177001</v>
      </c>
      <c r="H4872">
        <v>1.0639007919613599</v>
      </c>
      <c r="I4872">
        <v>1.1880219996318699</v>
      </c>
      <c r="J4872">
        <v>1.40466272363172</v>
      </c>
      <c r="K4872">
        <v>1.1114628202391701</v>
      </c>
      <c r="L4872">
        <v>139.22990322870999</v>
      </c>
      <c r="M4872">
        <v>1.5271751489316501</v>
      </c>
      <c r="O4872">
        <v>45.242503896436801</v>
      </c>
      <c r="P4872">
        <v>4.9113687363645997E-3</v>
      </c>
      <c r="Q4872">
        <v>1.5</v>
      </c>
      <c r="R4872">
        <v>0.14479511296627701</v>
      </c>
      <c r="S4872" t="s">
        <v>11488</v>
      </c>
      <c r="T4872" t="s">
        <v>13232</v>
      </c>
      <c r="U4872" t="s">
        <v>13232</v>
      </c>
      <c r="V4872" t="s">
        <v>13232</v>
      </c>
      <c r="W4872" t="s">
        <v>18039</v>
      </c>
      <c r="X4872">
        <v>6</v>
      </c>
      <c r="Y4872" t="s">
        <v>24445</v>
      </c>
      <c r="Z4872" t="s">
        <v>31003</v>
      </c>
      <c r="AA4872">
        <v>1.1317587103673059</v>
      </c>
      <c r="AB4872" t="str">
        <f>HYPERLINK("Melting_Curves/meltCurve_Q96BZ8_LENG1.pdf", "Melting_Curves/meltCurve_Q96BZ8_LENG1.pdf")</f>
        <v>Melting_Curves/meltCurve_Q96BZ8_LENG1.pdf</v>
      </c>
    </row>
    <row r="4873" spans="1:28" x14ac:dyDescent="0.25">
      <c r="A4873" t="s">
        <v>4876</v>
      </c>
      <c r="B4873">
        <v>0.99930955844802105</v>
      </c>
      <c r="C4873">
        <v>1.1674065634566499</v>
      </c>
      <c r="D4873">
        <v>1.12975246555166</v>
      </c>
      <c r="E4873">
        <v>1.12093435850495</v>
      </c>
      <c r="F4873">
        <v>1.0626411004445799</v>
      </c>
      <c r="G4873">
        <v>0.93424605265212601</v>
      </c>
      <c r="H4873">
        <v>0.93851912244687896</v>
      </c>
      <c r="I4873">
        <v>0.95772464394245904</v>
      </c>
      <c r="J4873">
        <v>0.86375415710293801</v>
      </c>
      <c r="K4873">
        <v>0.46981342734880799</v>
      </c>
      <c r="L4873">
        <v>2911.6608205442799</v>
      </c>
      <c r="M4873">
        <v>41.702786018729</v>
      </c>
      <c r="N4873">
        <v>69.819353510644206</v>
      </c>
      <c r="O4873">
        <v>69.659346535740099</v>
      </c>
      <c r="P4873">
        <v>-0.14966709816728499</v>
      </c>
      <c r="Q4873">
        <v>0</v>
      </c>
      <c r="R4873">
        <v>0.80083461516163401</v>
      </c>
      <c r="S4873" t="s">
        <v>11489</v>
      </c>
      <c r="T4873" t="s">
        <v>13232</v>
      </c>
      <c r="U4873" t="s">
        <v>13232</v>
      </c>
      <c r="V4873" t="s">
        <v>13232</v>
      </c>
      <c r="W4873" t="s">
        <v>18040</v>
      </c>
      <c r="X4873">
        <v>5</v>
      </c>
      <c r="Y4873" t="s">
        <v>24446</v>
      </c>
      <c r="Z4873" t="s">
        <v>31004</v>
      </c>
      <c r="AA4873">
        <v>0.96026864439946913</v>
      </c>
      <c r="AB4873" t="str">
        <f>HYPERLINK("Melting_Curves/meltCurve_Q96C00_ZBTB9.pdf", "Melting_Curves/meltCurve_Q96C00_ZBTB9.pdf")</f>
        <v>Melting_Curves/meltCurve_Q96C00_ZBTB9.pdf</v>
      </c>
    </row>
    <row r="4874" spans="1:28" x14ac:dyDescent="0.25">
      <c r="A4874" t="s">
        <v>4877</v>
      </c>
      <c r="B4874">
        <v>0.99930955844802105</v>
      </c>
      <c r="C4874">
        <v>1.0362283013189799</v>
      </c>
      <c r="D4874">
        <v>0.96610080368344498</v>
      </c>
      <c r="E4874">
        <v>0.73909027590073395</v>
      </c>
      <c r="F4874">
        <v>0.57640836112920002</v>
      </c>
      <c r="G4874">
        <v>0.577480526695487</v>
      </c>
      <c r="H4874">
        <v>0.546013320572451</v>
      </c>
      <c r="I4874">
        <v>0.60598688353948404</v>
      </c>
      <c r="J4874">
        <v>0.65526840489431204</v>
      </c>
      <c r="K4874">
        <v>0.53634486572649398</v>
      </c>
      <c r="L4874">
        <v>2283.7425441745099</v>
      </c>
      <c r="M4874">
        <v>46.237899668067101</v>
      </c>
      <c r="O4874">
        <v>49.2990180826677</v>
      </c>
      <c r="P4874">
        <v>-9.8340090969610994E-2</v>
      </c>
      <c r="Q4874">
        <v>0.580598228477055</v>
      </c>
      <c r="R4874">
        <v>0.96771024670711103</v>
      </c>
      <c r="S4874" t="s">
        <v>11490</v>
      </c>
      <c r="T4874" t="s">
        <v>13232</v>
      </c>
      <c r="U4874" t="s">
        <v>13232</v>
      </c>
      <c r="V4874" t="s">
        <v>13232</v>
      </c>
      <c r="W4874" t="s">
        <v>18041</v>
      </c>
      <c r="X4874">
        <v>14</v>
      </c>
      <c r="Y4874" t="s">
        <v>24447</v>
      </c>
      <c r="Z4874" t="s">
        <v>31005</v>
      </c>
      <c r="AA4874">
        <v>0.71295655217158971</v>
      </c>
      <c r="AB4874" t="str">
        <f>HYPERLINK("Melting_Curves/meltCurve_Q96C01_FAM136A.pdf", "Melting_Curves/meltCurve_Q96C01_FAM136A.pdf")</f>
        <v>Melting_Curves/meltCurve_Q96C01_FAM136A.pdf</v>
      </c>
    </row>
    <row r="4875" spans="1:28" x14ac:dyDescent="0.25">
      <c r="A4875" t="s">
        <v>4878</v>
      </c>
      <c r="B4875">
        <v>0.99930955844802105</v>
      </c>
      <c r="C4875">
        <v>0.52208014485847198</v>
      </c>
      <c r="D4875">
        <v>0.24203084828327301</v>
      </c>
      <c r="E4875">
        <v>0.26527239800195201</v>
      </c>
      <c r="F4875">
        <v>0.233450180055946</v>
      </c>
      <c r="G4875">
        <v>0.141649436674184</v>
      </c>
      <c r="H4875">
        <v>9.1944876009464493E-2</v>
      </c>
      <c r="I4875">
        <v>0.121731580391403</v>
      </c>
      <c r="J4875">
        <v>0.10181309965658999</v>
      </c>
      <c r="K4875">
        <v>0.14621510879961999</v>
      </c>
      <c r="L4875">
        <v>1843.33041138102</v>
      </c>
      <c r="M4875">
        <v>43.171598501260803</v>
      </c>
      <c r="N4875">
        <v>43.0890275531168</v>
      </c>
      <c r="O4875">
        <v>42.606426615056002</v>
      </c>
      <c r="P4875">
        <v>-0.21224004622333201</v>
      </c>
      <c r="Q4875">
        <v>0.16215468475427</v>
      </c>
      <c r="R4875">
        <v>0.95731058324697005</v>
      </c>
      <c r="S4875" t="s">
        <v>11491</v>
      </c>
      <c r="T4875" t="s">
        <v>13232</v>
      </c>
      <c r="U4875" t="s">
        <v>13232</v>
      </c>
      <c r="V4875" t="s">
        <v>13232</v>
      </c>
      <c r="W4875" t="s">
        <v>18042</v>
      </c>
      <c r="X4875">
        <v>1</v>
      </c>
      <c r="Y4875" t="s">
        <v>24448</v>
      </c>
      <c r="Z4875" t="s">
        <v>31006</v>
      </c>
      <c r="AA4875">
        <v>0.24084960660265339</v>
      </c>
      <c r="AB4875" t="str">
        <f>HYPERLINK("Melting_Curves/meltCurve_Q96C12_3_ARMC5.pdf", "Melting_Curves/meltCurve_Q96C12_3_ARMC5.pdf")</f>
        <v>Melting_Curves/meltCurve_Q96C12_3_ARMC5.pdf</v>
      </c>
    </row>
    <row r="4876" spans="1:28" x14ac:dyDescent="0.25">
      <c r="A4876" t="s">
        <v>4879</v>
      </c>
      <c r="B4876">
        <v>0.99930955844802105</v>
      </c>
      <c r="C4876">
        <v>1.0044450234587601</v>
      </c>
      <c r="D4876">
        <v>0.98740311878429499</v>
      </c>
      <c r="E4876">
        <v>0.76831840406085194</v>
      </c>
      <c r="F4876">
        <v>0.45429407331357502</v>
      </c>
      <c r="G4876">
        <v>0.27182825433736402</v>
      </c>
      <c r="H4876">
        <v>0.175572058972606</v>
      </c>
      <c r="I4876">
        <v>0.164007620712806</v>
      </c>
      <c r="J4876">
        <v>0.15798328526427999</v>
      </c>
      <c r="K4876">
        <v>0.120791110839228</v>
      </c>
      <c r="L4876">
        <v>1254.1134033333101</v>
      </c>
      <c r="M4876">
        <v>24.133261506177199</v>
      </c>
      <c r="N4876">
        <v>52.742862406917098</v>
      </c>
      <c r="O4876">
        <v>51.613295028025597</v>
      </c>
      <c r="P4876">
        <v>-9.9414828506183897E-2</v>
      </c>
      <c r="Q4876">
        <v>0.149547358065763</v>
      </c>
      <c r="R4876">
        <v>0.99765014162617305</v>
      </c>
      <c r="S4876" t="s">
        <v>11492</v>
      </c>
      <c r="T4876" t="s">
        <v>13232</v>
      </c>
      <c r="U4876" t="s">
        <v>13232</v>
      </c>
      <c r="V4876" t="s">
        <v>13232</v>
      </c>
      <c r="W4876" t="s">
        <v>18043</v>
      </c>
      <c r="X4876">
        <v>20</v>
      </c>
      <c r="Y4876" t="s">
        <v>24449</v>
      </c>
      <c r="Z4876" t="s">
        <v>31007</v>
      </c>
      <c r="AA4876">
        <v>0.49707442205725061</v>
      </c>
      <c r="AB4876" t="str">
        <f>HYPERLINK("Melting_Curves/meltCurve_Q96C19_EFHD2.pdf", "Melting_Curves/meltCurve_Q96C19_EFHD2.pdf")</f>
        <v>Melting_Curves/meltCurve_Q96C19_EFHD2.pdf</v>
      </c>
    </row>
    <row r="4877" spans="1:28" x14ac:dyDescent="0.25">
      <c r="A4877" t="s">
        <v>4880</v>
      </c>
      <c r="B4877">
        <v>0.99930955844802105</v>
      </c>
      <c r="C4877">
        <v>0.94150486600347605</v>
      </c>
      <c r="D4877">
        <v>0.888411754369138</v>
      </c>
      <c r="E4877">
        <v>0.77289077086748903</v>
      </c>
      <c r="F4877">
        <v>0.34340120405496599</v>
      </c>
      <c r="G4877">
        <v>0.123027916616521</v>
      </c>
      <c r="H4877">
        <v>6.8942662055221204E-2</v>
      </c>
      <c r="I4877">
        <v>5.49132362809997E-2</v>
      </c>
      <c r="J4877">
        <v>4.6652300112159199E-2</v>
      </c>
      <c r="K4877">
        <v>3.73892909610892E-2</v>
      </c>
      <c r="L4877">
        <v>1423.0201505087</v>
      </c>
      <c r="M4877">
        <v>27.514320042512399</v>
      </c>
      <c r="N4877">
        <v>51.901447868998098</v>
      </c>
      <c r="O4877">
        <v>51.4483684197522</v>
      </c>
      <c r="P4877">
        <v>-0.12754531441963701</v>
      </c>
      <c r="Q4877">
        <v>4.6033086068879701E-2</v>
      </c>
      <c r="R4877">
        <v>0.99231659994841304</v>
      </c>
      <c r="S4877" t="s">
        <v>11493</v>
      </c>
      <c r="T4877" t="s">
        <v>13232</v>
      </c>
      <c r="U4877" t="s">
        <v>13232</v>
      </c>
      <c r="V4877" t="s">
        <v>13232</v>
      </c>
      <c r="W4877" t="s">
        <v>18044</v>
      </c>
      <c r="X4877">
        <v>14</v>
      </c>
      <c r="Y4877" t="s">
        <v>24450</v>
      </c>
      <c r="Z4877" t="s">
        <v>31008</v>
      </c>
      <c r="AA4877">
        <v>0.4258938964320913</v>
      </c>
      <c r="AB4877" t="str">
        <f>HYPERLINK("Melting_Curves/meltCurve_Q96C23_GALM.pdf", "Melting_Curves/meltCurve_Q96C23_GALM.pdf")</f>
        <v>Melting_Curves/meltCurve_Q96C23_GALM.pdf</v>
      </c>
    </row>
    <row r="4878" spans="1:28" x14ac:dyDescent="0.25">
      <c r="A4878" t="s">
        <v>4881</v>
      </c>
      <c r="B4878">
        <v>0.99930955844802105</v>
      </c>
      <c r="C4878">
        <v>0.94521113096629195</v>
      </c>
      <c r="D4878">
        <v>0.83164700011998105</v>
      </c>
      <c r="E4878">
        <v>0.56331020093818496</v>
      </c>
      <c r="F4878">
        <v>0.37000099345800902</v>
      </c>
      <c r="G4878">
        <v>0.28693216686005701</v>
      </c>
      <c r="H4878">
        <v>0.24398583283106701</v>
      </c>
      <c r="I4878">
        <v>0.18852357843305501</v>
      </c>
      <c r="J4878">
        <v>0.18386015749708701</v>
      </c>
      <c r="K4878">
        <v>0.135896030999271</v>
      </c>
      <c r="L4878">
        <v>802.71307770493695</v>
      </c>
      <c r="M4878">
        <v>16.135851360029601</v>
      </c>
      <c r="N4878">
        <v>51.043413645391297</v>
      </c>
      <c r="O4878">
        <v>49.001917879611703</v>
      </c>
      <c r="P4878">
        <v>-6.8489625700751705E-2</v>
      </c>
      <c r="Q4878">
        <v>0.16809628727529999</v>
      </c>
      <c r="R4878">
        <v>0.99572261869171996</v>
      </c>
      <c r="S4878" t="s">
        <v>11494</v>
      </c>
      <c r="T4878" t="s">
        <v>13232</v>
      </c>
      <c r="U4878" t="s">
        <v>13232</v>
      </c>
      <c r="V4878" t="s">
        <v>13232</v>
      </c>
      <c r="W4878" t="s">
        <v>18045</v>
      </c>
      <c r="X4878">
        <v>6</v>
      </c>
      <c r="Y4878" t="s">
        <v>24451</v>
      </c>
      <c r="Z4878" t="s">
        <v>31009</v>
      </c>
      <c r="AA4878">
        <v>0.45589053995282952</v>
      </c>
      <c r="AB4878" t="str">
        <f>HYPERLINK("Melting_Curves/meltCurve_Q96C24_SYTL4.pdf", "Melting_Curves/meltCurve_Q96C24_SYTL4.pdf")</f>
        <v>Melting_Curves/meltCurve_Q96C24_SYTL4.pdf</v>
      </c>
    </row>
    <row r="4879" spans="1:28" x14ac:dyDescent="0.25">
      <c r="A4879" t="s">
        <v>4882</v>
      </c>
      <c r="B4879">
        <v>0.99930955844802105</v>
      </c>
      <c r="C4879">
        <v>0.76364415556269905</v>
      </c>
      <c r="D4879">
        <v>0.76267219015384402</v>
      </c>
      <c r="E4879">
        <v>0.80456000919610604</v>
      </c>
      <c r="F4879">
        <v>0.81487375184014499</v>
      </c>
      <c r="G4879">
        <v>0.69828981170086102</v>
      </c>
      <c r="H4879">
        <v>0.232843969819581</v>
      </c>
      <c r="I4879">
        <v>0.19002393627834599</v>
      </c>
      <c r="J4879">
        <v>0.13899752419315201</v>
      </c>
      <c r="K4879">
        <v>0.10652746248983801</v>
      </c>
      <c r="L4879">
        <v>683.13301838484801</v>
      </c>
      <c r="M4879">
        <v>11.847373892060499</v>
      </c>
      <c r="N4879">
        <v>57.661122135215301</v>
      </c>
      <c r="O4879">
        <v>56.091915359527697</v>
      </c>
      <c r="P4879">
        <v>-5.2816769555226198E-2</v>
      </c>
      <c r="Q4879">
        <v>0</v>
      </c>
      <c r="R4879">
        <v>0.87094076125449205</v>
      </c>
      <c r="S4879" t="s">
        <v>11495</v>
      </c>
      <c r="T4879" t="s">
        <v>13232</v>
      </c>
      <c r="U4879" t="s">
        <v>13232</v>
      </c>
      <c r="V4879" t="s">
        <v>13232</v>
      </c>
      <c r="W4879" t="s">
        <v>18046</v>
      </c>
      <c r="X4879">
        <v>11</v>
      </c>
      <c r="Y4879" t="s">
        <v>24452</v>
      </c>
      <c r="Z4879" t="s">
        <v>31010</v>
      </c>
      <c r="AA4879">
        <v>0.60278840082135254</v>
      </c>
      <c r="AB4879" t="str">
        <f>HYPERLINK("Melting_Curves/meltCurve_Q96C36_PYCR2.pdf", "Melting_Curves/meltCurve_Q96C36_PYCR2.pdf")</f>
        <v>Melting_Curves/meltCurve_Q96C36_PYCR2.pdf</v>
      </c>
    </row>
    <row r="4880" spans="1:28" x14ac:dyDescent="0.25">
      <c r="A4880" t="s">
        <v>4883</v>
      </c>
      <c r="B4880">
        <v>0.99930955844802105</v>
      </c>
      <c r="C4880">
        <v>1.0300239141299501</v>
      </c>
      <c r="D4880">
        <v>0.98898974220064395</v>
      </c>
      <c r="E4880">
        <v>0.96506462268383097</v>
      </c>
      <c r="F4880">
        <v>0.93059584624431302</v>
      </c>
      <c r="G4880">
        <v>0.72830993478875095</v>
      </c>
      <c r="H4880">
        <v>0.46228988889393102</v>
      </c>
      <c r="I4880">
        <v>0.195820346656775</v>
      </c>
      <c r="J4880">
        <v>0.127315739870525</v>
      </c>
      <c r="K4880">
        <v>9.4809118537171194E-2</v>
      </c>
      <c r="L4880">
        <v>1196.17376213016</v>
      </c>
      <c r="M4880">
        <v>19.976823770524302</v>
      </c>
      <c r="N4880">
        <v>60.040458913715497</v>
      </c>
      <c r="O4880">
        <v>59.287746514482897</v>
      </c>
      <c r="P4880">
        <v>-8.2024205678022294E-2</v>
      </c>
      <c r="Q4880">
        <v>2.6297483851818699E-2</v>
      </c>
      <c r="R4880">
        <v>0.99652824949001395</v>
      </c>
      <c r="S4880" t="s">
        <v>11496</v>
      </c>
      <c r="T4880" t="s">
        <v>13232</v>
      </c>
      <c r="U4880" t="s">
        <v>13232</v>
      </c>
      <c r="V4880" t="s">
        <v>13232</v>
      </c>
      <c r="W4880" t="s">
        <v>18047</v>
      </c>
      <c r="X4880">
        <v>17</v>
      </c>
      <c r="Y4880" t="s">
        <v>24453</v>
      </c>
      <c r="Z4880" t="s">
        <v>31011</v>
      </c>
      <c r="AA4880">
        <v>0.67984632744520546</v>
      </c>
      <c r="AB4880" t="str">
        <f>HYPERLINK("Melting_Curves/meltCurve_Q96C86_DCPS.pdf", "Melting_Curves/meltCurve_Q96C86_DCPS.pdf")</f>
        <v>Melting_Curves/meltCurve_Q96C86_DCPS.pdf</v>
      </c>
    </row>
    <row r="4881" spans="1:28" x14ac:dyDescent="0.25">
      <c r="A4881" t="s">
        <v>4884</v>
      </c>
      <c r="B4881">
        <v>0.99930955844802105</v>
      </c>
      <c r="C4881">
        <v>0.96768632169354396</v>
      </c>
      <c r="D4881">
        <v>0.95979658312527305</v>
      </c>
      <c r="E4881">
        <v>0.89289409908551698</v>
      </c>
      <c r="F4881">
        <v>0.73089669323162398</v>
      </c>
      <c r="G4881">
        <v>0.64907349070996101</v>
      </c>
      <c r="H4881">
        <v>0.60971287670500396</v>
      </c>
      <c r="I4881">
        <v>0.75209171638245198</v>
      </c>
      <c r="J4881">
        <v>0.70328286721119304</v>
      </c>
      <c r="K4881">
        <v>0.55401393512756303</v>
      </c>
      <c r="L4881">
        <v>1672.2153908645801</v>
      </c>
      <c r="M4881">
        <v>32.731965305363602</v>
      </c>
      <c r="O4881">
        <v>50.898587451682701</v>
      </c>
      <c r="P4881">
        <v>-5.6107773181587897E-2</v>
      </c>
      <c r="Q4881">
        <v>0.65100865267477104</v>
      </c>
      <c r="R4881">
        <v>0.887849305368407</v>
      </c>
      <c r="S4881" t="s">
        <v>11497</v>
      </c>
      <c r="T4881" t="s">
        <v>13232</v>
      </c>
      <c r="U4881" t="s">
        <v>13232</v>
      </c>
      <c r="V4881" t="s">
        <v>13232</v>
      </c>
      <c r="W4881" t="s">
        <v>18048</v>
      </c>
      <c r="X4881">
        <v>7</v>
      </c>
      <c r="Y4881" t="s">
        <v>24454</v>
      </c>
      <c r="Z4881" t="s">
        <v>31012</v>
      </c>
      <c r="AA4881">
        <v>0.78184256408482944</v>
      </c>
      <c r="AB4881" t="str">
        <f>HYPERLINK("Melting_Curves/meltCurve_Q96C90_PPP1R14B.pdf", "Melting_Curves/meltCurve_Q96C90_PPP1R14B.pdf")</f>
        <v>Melting_Curves/meltCurve_Q96C90_PPP1R14B.pdf</v>
      </c>
    </row>
    <row r="4882" spans="1:28" x14ac:dyDescent="0.25">
      <c r="A4882" t="s">
        <v>4885</v>
      </c>
      <c r="B4882">
        <v>0.99930955844802105</v>
      </c>
      <c r="C4882">
        <v>1.0556600826742999</v>
      </c>
      <c r="D4882">
        <v>1.0060287785861901</v>
      </c>
      <c r="E4882">
        <v>0.86987047605760504</v>
      </c>
      <c r="F4882">
        <v>0.41127205332467798</v>
      </c>
      <c r="G4882">
        <v>0.250772767897884</v>
      </c>
      <c r="H4882">
        <v>0.160969423611596</v>
      </c>
      <c r="I4882">
        <v>0.152444018916818</v>
      </c>
      <c r="J4882">
        <v>0.13242037415855301</v>
      </c>
      <c r="K4882">
        <v>0.101574281125102</v>
      </c>
      <c r="L4882">
        <v>1981.4141748730201</v>
      </c>
      <c r="M4882">
        <v>38.072942385738202</v>
      </c>
      <c r="N4882">
        <v>52.534414584533401</v>
      </c>
      <c r="O4882">
        <v>51.8996273217737</v>
      </c>
      <c r="P4882">
        <v>-0.155902682139234</v>
      </c>
      <c r="Q4882">
        <v>0.149919057464138</v>
      </c>
      <c r="R4882">
        <v>0.99233296424065798</v>
      </c>
      <c r="S4882" t="s">
        <v>11498</v>
      </c>
      <c r="T4882" t="s">
        <v>13232</v>
      </c>
      <c r="U4882" t="s">
        <v>13232</v>
      </c>
      <c r="V4882" t="s">
        <v>13232</v>
      </c>
      <c r="W4882" t="s">
        <v>18049</v>
      </c>
      <c r="X4882">
        <v>4</v>
      </c>
      <c r="Y4882" t="s">
        <v>24455</v>
      </c>
      <c r="Z4882" t="s">
        <v>31013</v>
      </c>
      <c r="AA4882">
        <v>0.49453342267499362</v>
      </c>
      <c r="AB4882" t="str">
        <f>HYPERLINK("Melting_Curves/meltCurve_Q96C92_2_SDCCAG3.pdf", "Melting_Curves/meltCurve_Q96C92_2_SDCCAG3.pdf")</f>
        <v>Melting_Curves/meltCurve_Q96C92_2_SDCCAG3.pdf</v>
      </c>
    </row>
    <row r="4883" spans="1:28" x14ac:dyDescent="0.25">
      <c r="A4883" t="s">
        <v>4886</v>
      </c>
      <c r="B4883">
        <v>0.99930955844802105</v>
      </c>
      <c r="C4883">
        <v>1.0277709870832099</v>
      </c>
      <c r="D4883">
        <v>1.0089858939589</v>
      </c>
      <c r="E4883">
        <v>1.0123603830893799</v>
      </c>
      <c r="F4883">
        <v>0.83931335773077398</v>
      </c>
      <c r="G4883">
        <v>0.69961810296834703</v>
      </c>
      <c r="H4883">
        <v>0.67367560525890302</v>
      </c>
      <c r="I4883">
        <v>0.73561165830275999</v>
      </c>
      <c r="J4883">
        <v>0.73917880366483502</v>
      </c>
      <c r="K4883">
        <v>0.62330822338282998</v>
      </c>
      <c r="L4883">
        <v>13244.568473558</v>
      </c>
      <c r="M4883">
        <v>250</v>
      </c>
      <c r="O4883">
        <v>52.974886332686701</v>
      </c>
      <c r="P4883">
        <v>-0.36069159466684803</v>
      </c>
      <c r="Q4883">
        <v>0.69427847625013195</v>
      </c>
      <c r="R4883">
        <v>0.95635005311702603</v>
      </c>
      <c r="S4883" t="s">
        <v>11499</v>
      </c>
      <c r="T4883" t="s">
        <v>13232</v>
      </c>
      <c r="U4883" t="s">
        <v>13232</v>
      </c>
      <c r="V4883" t="s">
        <v>13232</v>
      </c>
      <c r="W4883" t="s">
        <v>18050</v>
      </c>
      <c r="X4883">
        <v>11</v>
      </c>
      <c r="Y4883" t="s">
        <v>24456</v>
      </c>
      <c r="Z4883" t="s">
        <v>31014</v>
      </c>
      <c r="AA4883">
        <v>0.82656482338156123</v>
      </c>
      <c r="AB4883" t="str">
        <f>HYPERLINK("Melting_Curves/meltCurve_Q96CB8_INTS12.pdf", "Melting_Curves/meltCurve_Q96CB8_INTS12.pdf")</f>
        <v>Melting_Curves/meltCurve_Q96CB8_INTS12.pdf</v>
      </c>
    </row>
    <row r="4884" spans="1:28" x14ac:dyDescent="0.25">
      <c r="A4884" t="s">
        <v>4887</v>
      </c>
      <c r="B4884">
        <v>0.99930955844802105</v>
      </c>
      <c r="C4884">
        <v>0.62833187129542301</v>
      </c>
      <c r="D4884">
        <v>0.330235577201208</v>
      </c>
      <c r="E4884">
        <v>0.151117453054257</v>
      </c>
      <c r="F4884">
        <v>6.5304401599182701E-2</v>
      </c>
      <c r="G4884">
        <v>4.3031912284560901E-2</v>
      </c>
      <c r="H4884">
        <v>2.4621505165837498E-2</v>
      </c>
      <c r="I4884">
        <v>1.6451881538674301E-2</v>
      </c>
      <c r="J4884">
        <v>2.2700473961644201E-2</v>
      </c>
      <c r="K4884">
        <v>1.7250679862261701E-2</v>
      </c>
      <c r="L4884">
        <v>958.71541015237005</v>
      </c>
      <c r="M4884">
        <v>21.653743125911401</v>
      </c>
      <c r="N4884">
        <v>44.405027515790401</v>
      </c>
      <c r="O4884">
        <v>43.902402927294197</v>
      </c>
      <c r="P4884">
        <v>-0.119515839310186</v>
      </c>
      <c r="Q4884">
        <v>3.0762200400250701E-2</v>
      </c>
      <c r="R4884">
        <v>0.98746865553859497</v>
      </c>
      <c r="S4884" t="s">
        <v>11500</v>
      </c>
      <c r="T4884" t="s">
        <v>13232</v>
      </c>
      <c r="U4884" t="s">
        <v>13232</v>
      </c>
      <c r="V4884" t="s">
        <v>13232</v>
      </c>
      <c r="W4884" t="s">
        <v>18051</v>
      </c>
      <c r="X4884">
        <v>3</v>
      </c>
      <c r="Y4884" t="s">
        <v>24457</v>
      </c>
      <c r="Z4884" t="s">
        <v>31015</v>
      </c>
      <c r="AA4884">
        <v>0.18385419808736789</v>
      </c>
      <c r="AB4884" t="str">
        <f>HYPERLINK("Melting_Curves/meltCurve_Q96CB9_4_NSUN4.pdf", "Melting_Curves/meltCurve_Q96CB9_4_NSUN4.pdf")</f>
        <v>Melting_Curves/meltCurve_Q96CB9_4_NSUN4.pdf</v>
      </c>
    </row>
    <row r="4885" spans="1:28" x14ac:dyDescent="0.25">
      <c r="A4885" t="s">
        <v>4888</v>
      </c>
      <c r="B4885">
        <v>0.99930955844802105</v>
      </c>
      <c r="C4885">
        <v>0.94761219704978805</v>
      </c>
      <c r="D4885">
        <v>0.91451249863397699</v>
      </c>
      <c r="E4885">
        <v>0.78913790822378505</v>
      </c>
      <c r="F4885">
        <v>0.52058333936506795</v>
      </c>
      <c r="G4885">
        <v>0.20245499994961699</v>
      </c>
      <c r="H4885">
        <v>9.6870198448023401E-2</v>
      </c>
      <c r="I4885">
        <v>6.7825152695564606E-2</v>
      </c>
      <c r="J4885">
        <v>4.5405738257489503E-2</v>
      </c>
      <c r="K4885">
        <v>3.1607064048516903E-2</v>
      </c>
      <c r="L4885">
        <v>1037.3314135942101</v>
      </c>
      <c r="M4885">
        <v>19.5696744198851</v>
      </c>
      <c r="N4885">
        <v>53.151644247955304</v>
      </c>
      <c r="O4885">
        <v>52.462895008741803</v>
      </c>
      <c r="P4885">
        <v>-9.0841368951069604E-2</v>
      </c>
      <c r="Q4885">
        <v>2.5914878303104499E-2</v>
      </c>
      <c r="R4885">
        <v>0.99727206882638197</v>
      </c>
      <c r="S4885" t="s">
        <v>11501</v>
      </c>
      <c r="T4885" t="s">
        <v>13232</v>
      </c>
      <c r="U4885" t="s">
        <v>13232</v>
      </c>
      <c r="V4885" t="s">
        <v>13232</v>
      </c>
      <c r="W4885" t="s">
        <v>18052</v>
      </c>
      <c r="X4885">
        <v>10</v>
      </c>
      <c r="Y4885" t="s">
        <v>24458</v>
      </c>
      <c r="Z4885" t="s">
        <v>31016</v>
      </c>
      <c r="AA4885">
        <v>0.46214844590196152</v>
      </c>
      <c r="AB4885" t="str">
        <f>HYPERLINK("Melting_Curves/meltCurve_Q96CD0_FBXL8.pdf", "Melting_Curves/meltCurve_Q96CD0_FBXL8.pdf")</f>
        <v>Melting_Curves/meltCurve_Q96CD0_FBXL8.pdf</v>
      </c>
    </row>
    <row r="4886" spans="1:28" x14ac:dyDescent="0.25">
      <c r="A4886" t="s">
        <v>4889</v>
      </c>
      <c r="B4886">
        <v>0.99930955844802105</v>
      </c>
      <c r="C4886">
        <v>0.997508801420809</v>
      </c>
      <c r="D4886">
        <v>0.94537730301366396</v>
      </c>
      <c r="E4886">
        <v>0.90264215631218503</v>
      </c>
      <c r="F4886">
        <v>0.84064404594406195</v>
      </c>
      <c r="G4886">
        <v>0.665052182866122</v>
      </c>
      <c r="H4886">
        <v>0.57956385465399496</v>
      </c>
      <c r="I4886">
        <v>0.51308568288063305</v>
      </c>
      <c r="J4886">
        <v>0.46037034058701398</v>
      </c>
      <c r="K4886">
        <v>0.35845666937787002</v>
      </c>
      <c r="L4886">
        <v>562.70041693934297</v>
      </c>
      <c r="M4886">
        <v>9.4095116851449205</v>
      </c>
      <c r="N4886">
        <v>63.935811002328002</v>
      </c>
      <c r="O4886">
        <v>57.286823720849</v>
      </c>
      <c r="P4886">
        <v>-3.1723738989217799E-2</v>
      </c>
      <c r="Q4886">
        <v>0.227914063200616</v>
      </c>
      <c r="R4886">
        <v>0.99274727528443696</v>
      </c>
      <c r="S4886" t="s">
        <v>11502</v>
      </c>
      <c r="T4886" t="s">
        <v>13232</v>
      </c>
      <c r="U4886" t="s">
        <v>13232</v>
      </c>
      <c r="V4886" t="s">
        <v>13232</v>
      </c>
      <c r="W4886" t="s">
        <v>18053</v>
      </c>
      <c r="X4886">
        <v>10</v>
      </c>
      <c r="Y4886" t="s">
        <v>24459</v>
      </c>
      <c r="Z4886" t="s">
        <v>31017</v>
      </c>
      <c r="AA4886">
        <v>0.73364034226569752</v>
      </c>
      <c r="AB4886" t="str">
        <f>HYPERLINK("Melting_Curves/meltCurve_Q96CD2_PPCDC.pdf", "Melting_Curves/meltCurve_Q96CD2_PPCDC.pdf")</f>
        <v>Melting_Curves/meltCurve_Q96CD2_PPCDC.pdf</v>
      </c>
    </row>
    <row r="4887" spans="1:28" x14ac:dyDescent="0.25">
      <c r="A4887" t="s">
        <v>4890</v>
      </c>
      <c r="B4887">
        <v>0.99930955844802105</v>
      </c>
      <c r="C4887">
        <v>0.97990079354737603</v>
      </c>
      <c r="D4887">
        <v>0.90121299009360301</v>
      </c>
      <c r="E4887">
        <v>0.79755955498088604</v>
      </c>
      <c r="F4887">
        <v>0.67900158438263303</v>
      </c>
      <c r="G4887">
        <v>0.58095958869497499</v>
      </c>
      <c r="H4887">
        <v>0.59450857179305205</v>
      </c>
      <c r="I4887">
        <v>0.61315102230614904</v>
      </c>
      <c r="J4887">
        <v>0.63472379951383096</v>
      </c>
      <c r="K4887">
        <v>0.49590151315807801</v>
      </c>
      <c r="L4887">
        <v>862.12396316291699</v>
      </c>
      <c r="M4887">
        <v>17.297711646895699</v>
      </c>
      <c r="O4887">
        <v>49.188531639612798</v>
      </c>
      <c r="P4887">
        <v>-3.7860529399543201E-2</v>
      </c>
      <c r="Q4887">
        <v>0.56937740523033697</v>
      </c>
      <c r="R4887">
        <v>0.956921172530389</v>
      </c>
      <c r="S4887" t="s">
        <v>11503</v>
      </c>
      <c r="T4887" t="s">
        <v>13232</v>
      </c>
      <c r="U4887" t="s">
        <v>13232</v>
      </c>
      <c r="V4887" t="s">
        <v>13232</v>
      </c>
      <c r="W4887" t="s">
        <v>18054</v>
      </c>
      <c r="X4887">
        <v>7</v>
      </c>
      <c r="Y4887" t="s">
        <v>24460</v>
      </c>
      <c r="Z4887" t="s">
        <v>31018</v>
      </c>
      <c r="AA4887">
        <v>0.71856483034871466</v>
      </c>
      <c r="AB4887" t="str">
        <f>HYPERLINK("Melting_Curves/meltCurve_Q96CF2_CHMP4C.pdf", "Melting_Curves/meltCurve_Q96CF2_CHMP4C.pdf")</f>
        <v>Melting_Curves/meltCurve_Q96CF2_CHMP4C.pdf</v>
      </c>
    </row>
    <row r="4888" spans="1:28" x14ac:dyDescent="0.25">
      <c r="A4888" t="s">
        <v>4891</v>
      </c>
      <c r="B4888">
        <v>0.99930955844802105</v>
      </c>
      <c r="C4888">
        <v>0.98026541713327098</v>
      </c>
      <c r="D4888">
        <v>0.95566801210596597</v>
      </c>
      <c r="E4888">
        <v>0.91061033301517602</v>
      </c>
      <c r="F4888">
        <v>0.89015382845700997</v>
      </c>
      <c r="G4888">
        <v>0.50831120596086998</v>
      </c>
      <c r="H4888">
        <v>0.125482374857039</v>
      </c>
      <c r="I4888">
        <v>9.7975144435749298E-2</v>
      </c>
      <c r="J4888">
        <v>8.3057183493746994E-2</v>
      </c>
      <c r="K4888">
        <v>6.2673755758359595E-2</v>
      </c>
      <c r="L4888">
        <v>1642.5133687550499</v>
      </c>
      <c r="M4888">
        <v>28.981955071438499</v>
      </c>
      <c r="N4888">
        <v>56.9108120788759</v>
      </c>
      <c r="O4888">
        <v>56.405890180975902</v>
      </c>
      <c r="P4888">
        <v>-0.12114689013622</v>
      </c>
      <c r="Q4888">
        <v>5.6882525322615098E-2</v>
      </c>
      <c r="R4888">
        <v>0.99431427465005895</v>
      </c>
      <c r="S4888" t="s">
        <v>11504</v>
      </c>
      <c r="T4888" t="s">
        <v>13232</v>
      </c>
      <c r="U4888" t="s">
        <v>13232</v>
      </c>
      <c r="V4888" t="s">
        <v>13232</v>
      </c>
      <c r="W4888" t="s">
        <v>18055</v>
      </c>
      <c r="X4888">
        <v>14</v>
      </c>
      <c r="Y4888" t="s">
        <v>24461</v>
      </c>
      <c r="Z4888" t="s">
        <v>31019</v>
      </c>
      <c r="AA4888">
        <v>0.58774130288083781</v>
      </c>
      <c r="AB4888" t="str">
        <f>HYPERLINK("Melting_Curves/meltCurve_Q96CN7_ISOC1.pdf", "Melting_Curves/meltCurve_Q96CN7_ISOC1.pdf")</f>
        <v>Melting_Curves/meltCurve_Q96CN7_ISOC1.pdf</v>
      </c>
    </row>
    <row r="4889" spans="1:28" x14ac:dyDescent="0.25">
      <c r="A4889" t="s">
        <v>4892</v>
      </c>
      <c r="B4889">
        <v>0.99930955844802105</v>
      </c>
      <c r="C4889">
        <v>0.92564274452397399</v>
      </c>
      <c r="D4889">
        <v>0.66138805506440201</v>
      </c>
      <c r="E4889">
        <v>0.415598559994868</v>
      </c>
      <c r="F4889">
        <v>0.302847127572556</v>
      </c>
      <c r="G4889">
        <v>0.220479005252008</v>
      </c>
      <c r="H4889">
        <v>0.14412471930666601</v>
      </c>
      <c r="I4889">
        <v>0.13442560144631099</v>
      </c>
      <c r="J4889">
        <v>0.145554127022265</v>
      </c>
      <c r="K4889">
        <v>9.8272471284472501E-2</v>
      </c>
      <c r="L4889">
        <v>763.17330121452096</v>
      </c>
      <c r="M4889">
        <v>15.9216252240609</v>
      </c>
      <c r="N4889">
        <v>48.812024406255098</v>
      </c>
      <c r="O4889">
        <v>47.196084554549401</v>
      </c>
      <c r="P4889">
        <v>-7.3832917013910801E-2</v>
      </c>
      <c r="Q4889">
        <v>0.124625475673282</v>
      </c>
      <c r="R4889">
        <v>0.99266827024033299</v>
      </c>
      <c r="S4889" t="s">
        <v>11505</v>
      </c>
      <c r="T4889" t="s">
        <v>13232</v>
      </c>
      <c r="U4889" t="s">
        <v>13232</v>
      </c>
      <c r="V4889" t="s">
        <v>13232</v>
      </c>
      <c r="W4889" t="s">
        <v>18056</v>
      </c>
      <c r="X4889">
        <v>15</v>
      </c>
      <c r="Y4889" t="s">
        <v>24462</v>
      </c>
      <c r="Z4889" t="s">
        <v>31020</v>
      </c>
      <c r="AA4889">
        <v>0.37615635766928418</v>
      </c>
      <c r="AB4889" t="str">
        <f>HYPERLINK("Melting_Curves/meltCurve_Q96CN9_GCC1.pdf", "Melting_Curves/meltCurve_Q96CN9_GCC1.pdf")</f>
        <v>Melting_Curves/meltCurve_Q96CN9_GCC1.pdf</v>
      </c>
    </row>
    <row r="4890" spans="1:28" x14ac:dyDescent="0.25">
      <c r="A4890" t="s">
        <v>4893</v>
      </c>
      <c r="B4890">
        <v>0.99930955844802105</v>
      </c>
      <c r="C4890">
        <v>1.17263780348809</v>
      </c>
      <c r="D4890">
        <v>1.2468716956789301</v>
      </c>
      <c r="E4890">
        <v>1.2428168384570399</v>
      </c>
      <c r="F4890">
        <v>1.12271435174219</v>
      </c>
      <c r="G4890">
        <v>1.16476903170154</v>
      </c>
      <c r="H4890">
        <v>1.0914459896136099</v>
      </c>
      <c r="I4890">
        <v>1.29880000569196</v>
      </c>
      <c r="J4890">
        <v>1.21591921418937</v>
      </c>
      <c r="K4890">
        <v>1.07871314092384</v>
      </c>
      <c r="L4890">
        <v>10603.299895350599</v>
      </c>
      <c r="M4890">
        <v>250</v>
      </c>
      <c r="O4890">
        <v>42.410485438796798</v>
      </c>
      <c r="P4890">
        <v>0.26932650323455298</v>
      </c>
      <c r="Q4890">
        <v>1.18275628359533</v>
      </c>
      <c r="R4890">
        <v>0.39806965319517201</v>
      </c>
      <c r="S4890" t="s">
        <v>11506</v>
      </c>
      <c r="T4890" t="s">
        <v>13232</v>
      </c>
      <c r="U4890" t="s">
        <v>13232</v>
      </c>
      <c r="V4890" t="s">
        <v>13232</v>
      </c>
      <c r="W4890" t="s">
        <v>18057</v>
      </c>
      <c r="X4890">
        <v>6</v>
      </c>
      <c r="Y4890" t="s">
        <v>24463</v>
      </c>
      <c r="Z4890" t="s">
        <v>31021</v>
      </c>
      <c r="AA4890">
        <v>1.168041767062431</v>
      </c>
      <c r="AB4890" t="str">
        <f>HYPERLINK("Melting_Curves/meltCurve_Q96CP2_FLYWCH2.pdf", "Melting_Curves/meltCurve_Q96CP2_FLYWCH2.pdf")</f>
        <v>Melting_Curves/meltCurve_Q96CP2_FLYWCH2.pdf</v>
      </c>
    </row>
    <row r="4891" spans="1:28" x14ac:dyDescent="0.25">
      <c r="A4891" t="s">
        <v>4894</v>
      </c>
      <c r="B4891">
        <v>0.99930955844802105</v>
      </c>
      <c r="C4891">
        <v>0.89131542778263995</v>
      </c>
      <c r="D4891">
        <v>0.87179983851323795</v>
      </c>
      <c r="E4891">
        <v>0.80855399480684598</v>
      </c>
      <c r="F4891">
        <v>0.84892047704326901</v>
      </c>
      <c r="G4891">
        <v>0.58600849901499796</v>
      </c>
      <c r="H4891">
        <v>0.28319264460104399</v>
      </c>
      <c r="I4891">
        <v>0.15766294065574901</v>
      </c>
      <c r="J4891">
        <v>5.1409610871511101E-2</v>
      </c>
      <c r="K4891">
        <v>2.8766648904372999E-2</v>
      </c>
      <c r="L4891">
        <v>915.28945163528704</v>
      </c>
      <c r="M4891">
        <v>15.8937621961551</v>
      </c>
      <c r="N4891">
        <v>57.587967166107703</v>
      </c>
      <c r="O4891">
        <v>56.699442612988598</v>
      </c>
      <c r="P4891">
        <v>-7.0084647911175704E-2</v>
      </c>
      <c r="Q4891">
        <v>0</v>
      </c>
      <c r="R4891">
        <v>0.967847967315977</v>
      </c>
      <c r="S4891" t="s">
        <v>11507</v>
      </c>
      <c r="T4891" t="s">
        <v>13232</v>
      </c>
      <c r="U4891" t="s">
        <v>13232</v>
      </c>
      <c r="V4891" t="s">
        <v>13232</v>
      </c>
      <c r="W4891" t="s">
        <v>18058</v>
      </c>
      <c r="X4891">
        <v>3</v>
      </c>
      <c r="Y4891" t="s">
        <v>24464</v>
      </c>
      <c r="Z4891" t="s">
        <v>31022</v>
      </c>
      <c r="AA4891">
        <v>0.60037990407889907</v>
      </c>
      <c r="AB4891" t="str">
        <f>HYPERLINK("Melting_Curves/meltCurve_Q96CP6_2_GRAMD1A.pdf", "Melting_Curves/meltCurve_Q96CP6_2_GRAMD1A.pdf")</f>
        <v>Melting_Curves/meltCurve_Q96CP6_2_GRAMD1A.pdf</v>
      </c>
    </row>
    <row r="4892" spans="1:28" x14ac:dyDescent="0.25">
      <c r="A4892" t="s">
        <v>4895</v>
      </c>
      <c r="B4892">
        <v>0.99930955844802105</v>
      </c>
      <c r="C4892">
        <v>0.82014971767559597</v>
      </c>
      <c r="D4892">
        <v>0.58080553847054694</v>
      </c>
      <c r="E4892">
        <v>0.40563708756012101</v>
      </c>
      <c r="F4892">
        <v>0.26173037314089198</v>
      </c>
      <c r="G4892">
        <v>0.17964720892014299</v>
      </c>
      <c r="H4892">
        <v>0.106672617652101</v>
      </c>
      <c r="I4892">
        <v>9.63907600961698E-2</v>
      </c>
      <c r="J4892">
        <v>8.4985235298195405E-2</v>
      </c>
      <c r="K4892">
        <v>6.1474978636269599E-2</v>
      </c>
      <c r="L4892">
        <v>632.06549191991598</v>
      </c>
      <c r="M4892">
        <v>13.3060009600099</v>
      </c>
      <c r="N4892">
        <v>48.019100928601198</v>
      </c>
      <c r="O4892">
        <v>46.467829640572297</v>
      </c>
      <c r="P4892">
        <v>-6.6822141057068199E-2</v>
      </c>
      <c r="Q4892">
        <v>6.6713226884902097E-2</v>
      </c>
      <c r="R4892">
        <v>0.99104950168365302</v>
      </c>
      <c r="S4892" t="s">
        <v>11508</v>
      </c>
      <c r="T4892" t="s">
        <v>13232</v>
      </c>
      <c r="U4892" t="s">
        <v>13232</v>
      </c>
      <c r="V4892" t="s">
        <v>13232</v>
      </c>
      <c r="W4892" t="s">
        <v>18059</v>
      </c>
      <c r="X4892">
        <v>11</v>
      </c>
      <c r="Y4892" t="s">
        <v>24465</v>
      </c>
      <c r="Z4892" t="s">
        <v>31023</v>
      </c>
      <c r="AA4892">
        <v>0.33128765109968089</v>
      </c>
      <c r="AB4892" t="str">
        <f>HYPERLINK("Melting_Curves/meltCurve_Q96CS2_HAUS1.pdf", "Melting_Curves/meltCurve_Q96CS2_HAUS1.pdf")</f>
        <v>Melting_Curves/meltCurve_Q96CS2_HAUS1.pdf</v>
      </c>
    </row>
    <row r="4893" spans="1:28" x14ac:dyDescent="0.25">
      <c r="A4893" t="s">
        <v>4896</v>
      </c>
      <c r="B4893">
        <v>0.99930955844802105</v>
      </c>
      <c r="C4893">
        <v>0.994368426379169</v>
      </c>
      <c r="D4893">
        <v>0.87794810328774497</v>
      </c>
      <c r="E4893">
        <v>0.90866891313936005</v>
      </c>
      <c r="F4893">
        <v>0.70859535062304602</v>
      </c>
      <c r="G4893">
        <v>0.58753775096739502</v>
      </c>
      <c r="H4893">
        <v>0.59251143063591105</v>
      </c>
      <c r="I4893">
        <v>0.67432696202334697</v>
      </c>
      <c r="J4893">
        <v>0.76052095659515495</v>
      </c>
      <c r="K4893">
        <v>0.56166053572254904</v>
      </c>
      <c r="L4893">
        <v>2054.7685868364701</v>
      </c>
      <c r="M4893">
        <v>40.143899047079401</v>
      </c>
      <c r="O4893">
        <v>51.058554238092697</v>
      </c>
      <c r="P4893">
        <v>-7.1836458824972499E-2</v>
      </c>
      <c r="Q4893">
        <v>0.63452895308867596</v>
      </c>
      <c r="R4893">
        <v>0.83731317679388795</v>
      </c>
      <c r="S4893" t="s">
        <v>11509</v>
      </c>
      <c r="T4893" t="s">
        <v>13232</v>
      </c>
      <c r="U4893" t="s">
        <v>13232</v>
      </c>
      <c r="V4893" t="s">
        <v>13232</v>
      </c>
      <c r="W4893" t="s">
        <v>18060</v>
      </c>
      <c r="X4893">
        <v>7</v>
      </c>
      <c r="Y4893" t="s">
        <v>24466</v>
      </c>
      <c r="Z4893" t="s">
        <v>31024</v>
      </c>
      <c r="AA4893">
        <v>0.77207325739228461</v>
      </c>
      <c r="AB4893" t="str">
        <f>HYPERLINK("Melting_Curves/meltCurve_Q96CS3_FAF2.pdf", "Melting_Curves/meltCurve_Q96CS3_FAF2.pdf")</f>
        <v>Melting_Curves/meltCurve_Q96CS3_FAF2.pdf</v>
      </c>
    </row>
    <row r="4894" spans="1:28" x14ac:dyDescent="0.25">
      <c r="A4894" t="s">
        <v>4897</v>
      </c>
      <c r="B4894">
        <v>0.99930955844802105</v>
      </c>
      <c r="C4894">
        <v>1.07906430422602</v>
      </c>
      <c r="D4894">
        <v>1.01763321069984</v>
      </c>
      <c r="E4894">
        <v>0.911732168216707</v>
      </c>
      <c r="F4894">
        <v>0.75731380621546596</v>
      </c>
      <c r="G4894">
        <v>0.73840941306166996</v>
      </c>
      <c r="H4894">
        <v>0.84082954987705605</v>
      </c>
      <c r="I4894">
        <v>1.00347627991566</v>
      </c>
      <c r="J4894">
        <v>1.2032267860902801</v>
      </c>
      <c r="K4894">
        <v>0.85160359413499698</v>
      </c>
      <c r="L4894">
        <v>12402.6213919191</v>
      </c>
      <c r="M4894">
        <v>250</v>
      </c>
      <c r="O4894">
        <v>49.607310839474501</v>
      </c>
      <c r="P4894">
        <v>-0.12706889784505601</v>
      </c>
      <c r="Q4894">
        <v>0.89914325913144</v>
      </c>
      <c r="R4894">
        <v>0.170218339935265</v>
      </c>
      <c r="S4894" t="s">
        <v>11510</v>
      </c>
      <c r="T4894" t="s">
        <v>13232</v>
      </c>
      <c r="U4894" t="s">
        <v>13232</v>
      </c>
      <c r="V4894" t="s">
        <v>13232</v>
      </c>
      <c r="W4894" t="s">
        <v>18061</v>
      </c>
      <c r="X4894">
        <v>17</v>
      </c>
      <c r="Y4894" t="s">
        <v>24467</v>
      </c>
      <c r="Z4894" t="s">
        <v>31025</v>
      </c>
      <c r="AA4894">
        <v>0.9314614487044679</v>
      </c>
      <c r="AB4894" t="str">
        <f>HYPERLINK("Melting_Curves/meltCurve_Q96CT7_CCDC124.pdf", "Melting_Curves/meltCurve_Q96CT7_CCDC124.pdf")</f>
        <v>Melting_Curves/meltCurve_Q96CT7_CCDC124.pdf</v>
      </c>
    </row>
    <row r="4895" spans="1:28" x14ac:dyDescent="0.25">
      <c r="A4895" t="s">
        <v>4898</v>
      </c>
      <c r="B4895">
        <v>0.99930955844802105</v>
      </c>
      <c r="C4895">
        <v>0.87603954200469303</v>
      </c>
      <c r="D4895">
        <v>0.78393934728525905</v>
      </c>
      <c r="E4895">
        <v>0.54220964187236798</v>
      </c>
      <c r="F4895">
        <v>0.31622227840998202</v>
      </c>
      <c r="G4895">
        <v>0.221632155752956</v>
      </c>
      <c r="H4895">
        <v>0.14116441604052801</v>
      </c>
      <c r="I4895">
        <v>0.11435351642448</v>
      </c>
      <c r="J4895">
        <v>8.9908154753358199E-2</v>
      </c>
      <c r="K4895">
        <v>7.1932658868267996E-2</v>
      </c>
      <c r="L4895">
        <v>685.57280984731699</v>
      </c>
      <c r="M4895">
        <v>13.7564110771913</v>
      </c>
      <c r="N4895">
        <v>50.346376546456703</v>
      </c>
      <c r="O4895">
        <v>48.818858771154098</v>
      </c>
      <c r="P4895">
        <v>-6.5875733788070795E-2</v>
      </c>
      <c r="Q4895">
        <v>6.5011229882346602E-2</v>
      </c>
      <c r="R4895">
        <v>0.996410426681134</v>
      </c>
      <c r="S4895" t="s">
        <v>11511</v>
      </c>
      <c r="T4895" t="s">
        <v>13232</v>
      </c>
      <c r="U4895" t="s">
        <v>13232</v>
      </c>
      <c r="V4895" t="s">
        <v>13232</v>
      </c>
      <c r="W4895" t="s">
        <v>18062</v>
      </c>
      <c r="X4895">
        <v>5</v>
      </c>
      <c r="Y4895" t="s">
        <v>24468</v>
      </c>
      <c r="Z4895" t="s">
        <v>31026</v>
      </c>
      <c r="AA4895">
        <v>0.39766874508673161</v>
      </c>
      <c r="AB4895" t="str">
        <f>HYPERLINK("Melting_Curves/meltCurve_Q96CU9_3_FOXRED1.pdf", "Melting_Curves/meltCurve_Q96CU9_3_FOXRED1.pdf")</f>
        <v>Melting_Curves/meltCurve_Q96CU9_3_FOXRED1.pdf</v>
      </c>
    </row>
    <row r="4896" spans="1:28" x14ac:dyDescent="0.25">
      <c r="A4896" t="s">
        <v>4899</v>
      </c>
      <c r="B4896">
        <v>0.99930955844802105</v>
      </c>
      <c r="C4896">
        <v>1.0205138704944701</v>
      </c>
      <c r="D4896">
        <v>1.0688460593283799</v>
      </c>
      <c r="E4896">
        <v>0.95196926725164399</v>
      </c>
      <c r="F4896">
        <v>0.83003516627117302</v>
      </c>
      <c r="G4896">
        <v>0.70052177442185404</v>
      </c>
      <c r="H4896">
        <v>0.55709529572889604</v>
      </c>
      <c r="I4896">
        <v>0.54428333230718595</v>
      </c>
      <c r="J4896">
        <v>0.54154279563025498</v>
      </c>
      <c r="K4896">
        <v>0.45678241322465102</v>
      </c>
      <c r="L4896">
        <v>1050.47192076075</v>
      </c>
      <c r="M4896">
        <v>18.878973537384599</v>
      </c>
      <c r="N4896">
        <v>69.185860399783095</v>
      </c>
      <c r="O4896">
        <v>55.029395477543702</v>
      </c>
      <c r="P4896">
        <v>-4.39505062474237E-2</v>
      </c>
      <c r="Q4896">
        <v>0.48758423450031202</v>
      </c>
      <c r="R4896">
        <v>0.97799585809981204</v>
      </c>
      <c r="S4896" t="s">
        <v>11512</v>
      </c>
      <c r="T4896" t="s">
        <v>13232</v>
      </c>
      <c r="U4896" t="s">
        <v>13232</v>
      </c>
      <c r="V4896" t="s">
        <v>13232</v>
      </c>
      <c r="W4896" t="s">
        <v>18063</v>
      </c>
      <c r="X4896">
        <v>13</v>
      </c>
      <c r="Y4896" t="s">
        <v>24469</v>
      </c>
      <c r="Z4896" t="s">
        <v>31027</v>
      </c>
      <c r="AA4896">
        <v>0.76200536739081537</v>
      </c>
      <c r="AB4896" t="str">
        <f>HYPERLINK("Melting_Curves/meltCurve_Q96CV9_2_OPTN.pdf", "Melting_Curves/meltCurve_Q96CV9_2_OPTN.pdf")</f>
        <v>Melting_Curves/meltCurve_Q96CV9_2_OPTN.pdf</v>
      </c>
    </row>
    <row r="4897" spans="1:28" x14ac:dyDescent="0.25">
      <c r="A4897" t="s">
        <v>4900</v>
      </c>
      <c r="B4897">
        <v>0.99930955844802105</v>
      </c>
      <c r="C4897">
        <v>0.87148273497229001</v>
      </c>
      <c r="D4897">
        <v>0.898739030498104</v>
      </c>
      <c r="E4897">
        <v>0.93234757481610897</v>
      </c>
      <c r="F4897">
        <v>0.850853792086817</v>
      </c>
      <c r="G4897">
        <v>0.51862400914859796</v>
      </c>
      <c r="H4897">
        <v>0.229678912136245</v>
      </c>
      <c r="I4897">
        <v>0.107279450992636</v>
      </c>
      <c r="J4897">
        <v>7.9838148354961905E-2</v>
      </c>
      <c r="K4897">
        <v>6.0648363656778698E-2</v>
      </c>
      <c r="L4897">
        <v>1168.0675639327401</v>
      </c>
      <c r="M4897">
        <v>20.481463070697401</v>
      </c>
      <c r="N4897">
        <v>57.2024919704577</v>
      </c>
      <c r="O4897">
        <v>56.495154645571397</v>
      </c>
      <c r="P4897">
        <v>-8.7929414019441404E-2</v>
      </c>
      <c r="Q4897">
        <v>2.9866440671072601E-2</v>
      </c>
      <c r="R4897">
        <v>0.98162721440581802</v>
      </c>
      <c r="S4897" t="s">
        <v>11513</v>
      </c>
      <c r="T4897" t="s">
        <v>13232</v>
      </c>
      <c r="U4897" t="s">
        <v>13232</v>
      </c>
      <c r="V4897" t="s">
        <v>13232</v>
      </c>
      <c r="W4897" t="s">
        <v>18064</v>
      </c>
      <c r="X4897">
        <v>21</v>
      </c>
      <c r="Y4897" t="s">
        <v>24470</v>
      </c>
      <c r="Z4897" t="s">
        <v>31028</v>
      </c>
      <c r="AA4897">
        <v>0.59211318217222808</v>
      </c>
      <c r="AB4897" t="str">
        <f>HYPERLINK("Melting_Curves/meltCurve_Q96CW1_2_AP2M1.pdf", "Melting_Curves/meltCurve_Q96CW1_2_AP2M1.pdf")</f>
        <v>Melting_Curves/meltCurve_Q96CW1_2_AP2M1.pdf</v>
      </c>
    </row>
    <row r="4898" spans="1:28" x14ac:dyDescent="0.25">
      <c r="A4898" t="s">
        <v>4901</v>
      </c>
      <c r="B4898">
        <v>0.99930955844802105</v>
      </c>
      <c r="C4898">
        <v>0.94225310496080905</v>
      </c>
      <c r="D4898">
        <v>0.92327268165186005</v>
      </c>
      <c r="E4898">
        <v>0.880669058981983</v>
      </c>
      <c r="F4898">
        <v>0.74690414268870897</v>
      </c>
      <c r="G4898">
        <v>0.53879274967480995</v>
      </c>
      <c r="H4898">
        <v>0.328006496637884</v>
      </c>
      <c r="I4898">
        <v>0.196373968498604</v>
      </c>
      <c r="J4898">
        <v>0.113587676328396</v>
      </c>
      <c r="K4898">
        <v>8.4885778040531004E-2</v>
      </c>
      <c r="L4898">
        <v>749.96125024307696</v>
      </c>
      <c r="M4898">
        <v>13.0597924559502</v>
      </c>
      <c r="N4898">
        <v>57.425217514272902</v>
      </c>
      <c r="O4898">
        <v>56.128825065820301</v>
      </c>
      <c r="P4898">
        <v>-5.81789256271164E-2</v>
      </c>
      <c r="Q4898">
        <v>0</v>
      </c>
      <c r="R4898">
        <v>0.996265292314505</v>
      </c>
      <c r="S4898" t="s">
        <v>11514</v>
      </c>
      <c r="T4898" t="s">
        <v>13232</v>
      </c>
      <c r="U4898" t="s">
        <v>13232</v>
      </c>
      <c r="V4898" t="s">
        <v>13232</v>
      </c>
      <c r="W4898" t="s">
        <v>18065</v>
      </c>
      <c r="X4898">
        <v>12</v>
      </c>
      <c r="Y4898" t="s">
        <v>24471</v>
      </c>
      <c r="Z4898" t="s">
        <v>31029</v>
      </c>
      <c r="AA4898">
        <v>0.59616830486709937</v>
      </c>
      <c r="AB4898" t="str">
        <f>HYPERLINK("Melting_Curves/meltCurve_Q96CW5_TUBGCP3.pdf", "Melting_Curves/meltCurve_Q96CW5_TUBGCP3.pdf")</f>
        <v>Melting_Curves/meltCurve_Q96CW5_TUBGCP3.pdf</v>
      </c>
    </row>
    <row r="4899" spans="1:28" x14ac:dyDescent="0.25">
      <c r="A4899" t="s">
        <v>4902</v>
      </c>
      <c r="B4899">
        <v>0.99930955844802105</v>
      </c>
      <c r="C4899">
        <v>0.93857794323992705</v>
      </c>
      <c r="D4899">
        <v>0.95259142624010396</v>
      </c>
      <c r="E4899">
        <v>0.89564526320636495</v>
      </c>
      <c r="F4899">
        <v>0.83288611014408798</v>
      </c>
      <c r="G4899">
        <v>0.60456418384764898</v>
      </c>
      <c r="H4899">
        <v>0.64348772329614301</v>
      </c>
      <c r="I4899">
        <v>0.660874096478684</v>
      </c>
      <c r="J4899">
        <v>0.65338495259292195</v>
      </c>
      <c r="K4899">
        <v>0.51835793492859705</v>
      </c>
      <c r="L4899">
        <v>935.99827337851298</v>
      </c>
      <c r="M4899">
        <v>17.703763520504101</v>
      </c>
      <c r="O4899">
        <v>52.209283381888604</v>
      </c>
      <c r="P4899">
        <v>-3.4648837309064297E-2</v>
      </c>
      <c r="Q4899">
        <v>0.59129691766302295</v>
      </c>
      <c r="R4899">
        <v>0.914753722504278</v>
      </c>
      <c r="S4899" t="s">
        <v>11515</v>
      </c>
      <c r="T4899" t="s">
        <v>13232</v>
      </c>
      <c r="U4899" t="s">
        <v>13232</v>
      </c>
      <c r="V4899" t="s">
        <v>13232</v>
      </c>
      <c r="W4899" t="s">
        <v>18066</v>
      </c>
      <c r="X4899">
        <v>7</v>
      </c>
      <c r="Y4899" t="s">
        <v>24472</v>
      </c>
      <c r="Z4899" t="s">
        <v>31030</v>
      </c>
      <c r="AA4899">
        <v>0.77352032720948782</v>
      </c>
      <c r="AB4899" t="str">
        <f>HYPERLINK("Melting_Curves/meltCurve_Q96CW6_SLC7A6OS.pdf", "Melting_Curves/meltCurve_Q96CW6_SLC7A6OS.pdf")</f>
        <v>Melting_Curves/meltCurve_Q96CW6_SLC7A6OS.pdf</v>
      </c>
    </row>
    <row r="4900" spans="1:28" x14ac:dyDescent="0.25">
      <c r="A4900" t="s">
        <v>4903</v>
      </c>
      <c r="B4900">
        <v>0.99930955844802105</v>
      </c>
      <c r="C4900">
        <v>0.96148617083324805</v>
      </c>
      <c r="D4900">
        <v>0.91395266697990196</v>
      </c>
      <c r="E4900">
        <v>0.64230539506898798</v>
      </c>
      <c r="F4900">
        <v>0.19907993951556699</v>
      </c>
      <c r="G4900">
        <v>0.128359232676901</v>
      </c>
      <c r="H4900">
        <v>7.3327361948862496E-2</v>
      </c>
      <c r="I4900">
        <v>6.1935628527184899E-2</v>
      </c>
      <c r="J4900">
        <v>5.6431944615440099E-2</v>
      </c>
      <c r="K4900">
        <v>4.1463482771012299E-2</v>
      </c>
      <c r="L4900">
        <v>1631.6822776853201</v>
      </c>
      <c r="M4900">
        <v>32.268155324821997</v>
      </c>
      <c r="N4900">
        <v>50.7747721288763</v>
      </c>
      <c r="O4900">
        <v>50.373312366371501</v>
      </c>
      <c r="P4900">
        <v>-0.15021170179448001</v>
      </c>
      <c r="Q4900">
        <v>6.2032031338086498E-2</v>
      </c>
      <c r="R4900">
        <v>0.99488525213782597</v>
      </c>
      <c r="S4900" t="s">
        <v>11516</v>
      </c>
      <c r="T4900" t="s">
        <v>13232</v>
      </c>
      <c r="U4900" t="s">
        <v>13232</v>
      </c>
      <c r="V4900" t="s">
        <v>13232</v>
      </c>
      <c r="W4900" t="s">
        <v>18067</v>
      </c>
      <c r="X4900">
        <v>20</v>
      </c>
      <c r="Y4900" t="s">
        <v>24473</v>
      </c>
      <c r="Z4900" t="s">
        <v>31031</v>
      </c>
      <c r="AA4900">
        <v>0.39745094419273008</v>
      </c>
      <c r="AB4900" t="str">
        <f>HYPERLINK("Melting_Curves/meltCurve_Q96D46_NMD3.pdf", "Melting_Curves/meltCurve_Q96D46_NMD3.pdf")</f>
        <v>Melting_Curves/meltCurve_Q96D46_NMD3.pdf</v>
      </c>
    </row>
    <row r="4901" spans="1:28" x14ac:dyDescent="0.25">
      <c r="A4901" t="s">
        <v>4904</v>
      </c>
      <c r="B4901">
        <v>0.99930955844802105</v>
      </c>
      <c r="C4901">
        <v>1.0407261318013401</v>
      </c>
      <c r="D4901">
        <v>0.874362696869184</v>
      </c>
      <c r="E4901">
        <v>0.67592895130989905</v>
      </c>
      <c r="F4901">
        <v>0.55723146263245005</v>
      </c>
      <c r="G4901">
        <v>0.43110791313430202</v>
      </c>
      <c r="H4901">
        <v>0.47782955160093499</v>
      </c>
      <c r="I4901">
        <v>0.54646529184683101</v>
      </c>
      <c r="J4901">
        <v>0.56855495215648499</v>
      </c>
      <c r="K4901">
        <v>0.45834593450979699</v>
      </c>
      <c r="L4901">
        <v>1267.86501470145</v>
      </c>
      <c r="M4901">
        <v>26.102868219599198</v>
      </c>
      <c r="N4901">
        <v>60.457426848453601</v>
      </c>
      <c r="O4901">
        <v>48.289478112043199</v>
      </c>
      <c r="P4901">
        <v>-6.7968606355109804E-2</v>
      </c>
      <c r="Q4901">
        <v>0.4970466354816</v>
      </c>
      <c r="R4901">
        <v>0.95757455776830303</v>
      </c>
      <c r="S4901" t="s">
        <v>11517</v>
      </c>
      <c r="T4901" t="s">
        <v>13232</v>
      </c>
      <c r="U4901" t="s">
        <v>13232</v>
      </c>
      <c r="V4901" t="s">
        <v>13232</v>
      </c>
      <c r="W4901" t="s">
        <v>18068</v>
      </c>
      <c r="X4901">
        <v>27</v>
      </c>
      <c r="Y4901" t="s">
        <v>24474</v>
      </c>
      <c r="Z4901" t="s">
        <v>31032</v>
      </c>
      <c r="AA4901">
        <v>0.64481963244825979</v>
      </c>
      <c r="AB4901" t="str">
        <f>HYPERLINK("Melting_Curves/meltCurve_Q96D71_3_REPS1.pdf", "Melting_Curves/meltCurve_Q96D71_3_REPS1.pdf")</f>
        <v>Melting_Curves/meltCurve_Q96D71_3_REPS1.pdf</v>
      </c>
    </row>
    <row r="4902" spans="1:28" x14ac:dyDescent="0.25">
      <c r="A4902" t="s">
        <v>4905</v>
      </c>
      <c r="B4902">
        <v>0.99930955844802105</v>
      </c>
      <c r="C4902">
        <v>1.0627394231212199</v>
      </c>
      <c r="D4902">
        <v>0.77991301072894303</v>
      </c>
      <c r="E4902">
        <v>0.79796745172258399</v>
      </c>
      <c r="F4902">
        <v>0.57429080938827304</v>
      </c>
      <c r="G4902">
        <v>0.31025353889028301</v>
      </c>
      <c r="H4902">
        <v>0.18011309995955199</v>
      </c>
      <c r="I4902">
        <v>0.22411255045752199</v>
      </c>
      <c r="J4902">
        <v>0.21192434914241101</v>
      </c>
      <c r="K4902">
        <v>0.17371482037691199</v>
      </c>
      <c r="L4902">
        <v>853.99793626382302</v>
      </c>
      <c r="M4902">
        <v>16.251176105453201</v>
      </c>
      <c r="N4902">
        <v>53.789688345206201</v>
      </c>
      <c r="O4902">
        <v>51.773533336963801</v>
      </c>
      <c r="P4902">
        <v>-6.6219627202667206E-2</v>
      </c>
      <c r="Q4902">
        <v>0.15620356067774599</v>
      </c>
      <c r="R4902">
        <v>0.96717607436375297</v>
      </c>
      <c r="S4902" t="s">
        <v>11518</v>
      </c>
      <c r="T4902" t="s">
        <v>13232</v>
      </c>
      <c r="U4902" t="s">
        <v>13232</v>
      </c>
      <c r="V4902" t="s">
        <v>13232</v>
      </c>
      <c r="W4902" t="s">
        <v>18069</v>
      </c>
      <c r="X4902">
        <v>1</v>
      </c>
      <c r="Y4902" t="s">
        <v>24475</v>
      </c>
      <c r="Z4902" t="s">
        <v>31033</v>
      </c>
      <c r="AA4902">
        <v>0.5255854563863378</v>
      </c>
      <c r="AB4902" t="str">
        <f>HYPERLINK("Melting_Curves/meltCurve_Q96DA6_2_DNAJC19.pdf", "Melting_Curves/meltCurve_Q96DA6_2_DNAJC19.pdf")</f>
        <v>Melting_Curves/meltCurve_Q96DA6_2_DNAJC19.pdf</v>
      </c>
    </row>
    <row r="4903" spans="1:28" x14ac:dyDescent="0.25">
      <c r="A4903" t="s">
        <v>4906</v>
      </c>
      <c r="B4903">
        <v>0.99930955844802105</v>
      </c>
      <c r="C4903">
        <v>1.00707849513035</v>
      </c>
      <c r="D4903">
        <v>1.01292710730661</v>
      </c>
      <c r="E4903">
        <v>0.775868613207505</v>
      </c>
      <c r="F4903">
        <v>0.227968703178657</v>
      </c>
      <c r="G4903">
        <v>0.157998952927868</v>
      </c>
      <c r="H4903">
        <v>8.7760778878226101E-2</v>
      </c>
      <c r="I4903">
        <v>7.2065469638935203E-2</v>
      </c>
      <c r="J4903">
        <v>5.5903601446619301E-2</v>
      </c>
      <c r="K4903">
        <v>4.3462781956838503E-2</v>
      </c>
      <c r="L4903">
        <v>2392.30018331152</v>
      </c>
      <c r="M4903">
        <v>46.728357507801803</v>
      </c>
      <c r="N4903">
        <v>51.3887678430956</v>
      </c>
      <c r="O4903">
        <v>51.102396831067701</v>
      </c>
      <c r="P4903">
        <v>-0.210216911826136</v>
      </c>
      <c r="Q4903">
        <v>8.0423387027051402E-2</v>
      </c>
      <c r="R4903">
        <v>0.99581313238827396</v>
      </c>
      <c r="S4903" t="s">
        <v>11519</v>
      </c>
      <c r="T4903" t="s">
        <v>13232</v>
      </c>
      <c r="U4903" t="s">
        <v>13232</v>
      </c>
      <c r="V4903" t="s">
        <v>13232</v>
      </c>
      <c r="W4903" t="s">
        <v>18070</v>
      </c>
      <c r="X4903">
        <v>9</v>
      </c>
      <c r="Y4903" t="s">
        <v>24476</v>
      </c>
      <c r="Z4903" t="s">
        <v>31034</v>
      </c>
      <c r="AA4903">
        <v>0.42598560296936461</v>
      </c>
      <c r="AB4903" t="str">
        <f>HYPERLINK("Melting_Curves/meltCurve_Q96DB5_RMDN1.pdf", "Melting_Curves/meltCurve_Q96DB5_RMDN1.pdf")</f>
        <v>Melting_Curves/meltCurve_Q96DB5_RMDN1.pdf</v>
      </c>
    </row>
    <row r="4904" spans="1:28" x14ac:dyDescent="0.25">
      <c r="A4904" t="s">
        <v>4907</v>
      </c>
      <c r="B4904">
        <v>0.99930955844802105</v>
      </c>
      <c r="C4904">
        <v>1.03622927082198</v>
      </c>
      <c r="D4904">
        <v>0.91596245242739405</v>
      </c>
      <c r="E4904">
        <v>0.64808310912785605</v>
      </c>
      <c r="F4904">
        <v>0.33094730451048698</v>
      </c>
      <c r="G4904">
        <v>0.220783942293939</v>
      </c>
      <c r="H4904">
        <v>0.141257091573458</v>
      </c>
      <c r="I4904">
        <v>7.5450683986559394E-2</v>
      </c>
      <c r="J4904">
        <v>6.1379433125280998E-2</v>
      </c>
      <c r="K4904">
        <v>5.1730210955986199E-2</v>
      </c>
      <c r="L4904">
        <v>1054.95930801139</v>
      </c>
      <c r="M4904">
        <v>20.652500108541201</v>
      </c>
      <c r="N4904">
        <v>51.479890015176501</v>
      </c>
      <c r="O4904">
        <v>50.609740904066598</v>
      </c>
      <c r="P4904">
        <v>-9.4485549455203099E-2</v>
      </c>
      <c r="Q4904">
        <v>7.3864730398702699E-2</v>
      </c>
      <c r="R4904">
        <v>0.99364035289102004</v>
      </c>
      <c r="S4904" t="s">
        <v>11520</v>
      </c>
      <c r="T4904" t="s">
        <v>13232</v>
      </c>
      <c r="U4904" t="s">
        <v>13232</v>
      </c>
      <c r="V4904" t="s">
        <v>13232</v>
      </c>
      <c r="W4904" t="s">
        <v>18071</v>
      </c>
      <c r="X4904">
        <v>3</v>
      </c>
      <c r="Y4904" t="s">
        <v>24477</v>
      </c>
      <c r="Z4904" t="s">
        <v>31035</v>
      </c>
      <c r="AA4904">
        <v>0.42806443664534533</v>
      </c>
      <c r="AB4904" t="str">
        <f>HYPERLINK("Melting_Curves/meltCurve_Q96DC7_TMCO6.pdf", "Melting_Curves/meltCurve_Q96DC7_TMCO6.pdf")</f>
        <v>Melting_Curves/meltCurve_Q96DC7_TMCO6.pdf</v>
      </c>
    </row>
    <row r="4905" spans="1:28" x14ac:dyDescent="0.25">
      <c r="A4905" t="s">
        <v>4908</v>
      </c>
      <c r="B4905">
        <v>0.99930955844802105</v>
      </c>
      <c r="C4905">
        <v>1.0838898667391601</v>
      </c>
      <c r="D4905">
        <v>1.0605526386045601</v>
      </c>
      <c r="E4905">
        <v>1.0287299541636099</v>
      </c>
      <c r="F4905">
        <v>0.86113861381282897</v>
      </c>
      <c r="G4905">
        <v>0.518366353669518</v>
      </c>
      <c r="H4905">
        <v>0.27085746545823097</v>
      </c>
      <c r="I4905">
        <v>0.15466008808097401</v>
      </c>
      <c r="J4905">
        <v>0.14358261837703601</v>
      </c>
      <c r="K4905">
        <v>0.102939495874599</v>
      </c>
      <c r="L4905">
        <v>1437.8544945400399</v>
      </c>
      <c r="M4905">
        <v>25.339698535489902</v>
      </c>
      <c r="N4905">
        <v>57.3343732758645</v>
      </c>
      <c r="O4905">
        <v>56.3932991615481</v>
      </c>
      <c r="P4905">
        <v>-9.9420457040707094E-2</v>
      </c>
      <c r="Q4905">
        <v>0.114973509035748</v>
      </c>
      <c r="R4905">
        <v>0.99020693962429096</v>
      </c>
      <c r="S4905" t="s">
        <v>11521</v>
      </c>
      <c r="T4905" t="s">
        <v>13232</v>
      </c>
      <c r="U4905" t="s">
        <v>13232</v>
      </c>
      <c r="V4905" t="s">
        <v>13232</v>
      </c>
      <c r="W4905" t="s">
        <v>18072</v>
      </c>
      <c r="X4905">
        <v>8</v>
      </c>
      <c r="Y4905" t="s">
        <v>24478</v>
      </c>
      <c r="Z4905" t="s">
        <v>31036</v>
      </c>
      <c r="AA4905">
        <v>0.61676321538503465</v>
      </c>
      <c r="AB4905" t="str">
        <f>HYPERLINK("Melting_Curves/meltCurve_Q96DC8_ECHDC3.pdf", "Melting_Curves/meltCurve_Q96DC8_ECHDC3.pdf")</f>
        <v>Melting_Curves/meltCurve_Q96DC8_ECHDC3.pdf</v>
      </c>
    </row>
    <row r="4906" spans="1:28" x14ac:dyDescent="0.25">
      <c r="A4906" t="s">
        <v>4909</v>
      </c>
      <c r="B4906">
        <v>0.99930955844802105</v>
      </c>
      <c r="C4906">
        <v>0.99913652407450504</v>
      </c>
      <c r="D4906">
        <v>0.97176964036439095</v>
      </c>
      <c r="E4906">
        <v>0.86029351360088302</v>
      </c>
      <c r="F4906">
        <v>0.64117042691555903</v>
      </c>
      <c r="G4906">
        <v>0.54435547053327604</v>
      </c>
      <c r="H4906">
        <v>0.40795228313431098</v>
      </c>
      <c r="I4906">
        <v>0.22313093846985599</v>
      </c>
      <c r="J4906">
        <v>8.3262625242020896E-2</v>
      </c>
      <c r="K4906">
        <v>5.29257910882837E-2</v>
      </c>
      <c r="L4906">
        <v>688.96772394532297</v>
      </c>
      <c r="M4906">
        <v>12.032225322661001</v>
      </c>
      <c r="N4906">
        <v>57.2602027802902</v>
      </c>
      <c r="O4906">
        <v>55.747368170867503</v>
      </c>
      <c r="P4906">
        <v>-5.3971606690804398E-2</v>
      </c>
      <c r="Q4906">
        <v>0</v>
      </c>
      <c r="R4906">
        <v>0.98238557637782098</v>
      </c>
      <c r="S4906" t="s">
        <v>11522</v>
      </c>
      <c r="T4906" t="s">
        <v>13232</v>
      </c>
      <c r="U4906" t="s">
        <v>13232</v>
      </c>
      <c r="V4906" t="s">
        <v>13232</v>
      </c>
      <c r="W4906" t="s">
        <v>18073</v>
      </c>
      <c r="X4906">
        <v>13</v>
      </c>
      <c r="Y4906" t="s">
        <v>24479</v>
      </c>
      <c r="Z4906" t="s">
        <v>31037</v>
      </c>
      <c r="AA4906">
        <v>0.5911634903160935</v>
      </c>
      <c r="AB4906" t="str">
        <f>HYPERLINK("Melting_Curves/meltCurve_Q96DE0_NUDT16.pdf", "Melting_Curves/meltCurve_Q96DE0_NUDT16.pdf")</f>
        <v>Melting_Curves/meltCurve_Q96DE0_NUDT16.pdf</v>
      </c>
    </row>
    <row r="4907" spans="1:28" x14ac:dyDescent="0.25">
      <c r="A4907" t="s">
        <v>4910</v>
      </c>
      <c r="B4907">
        <v>0.99930955844802105</v>
      </c>
      <c r="C4907">
        <v>0.81876345770552394</v>
      </c>
      <c r="D4907">
        <v>0.85724982570173103</v>
      </c>
      <c r="E4907">
        <v>0.84091011616538602</v>
      </c>
      <c r="F4907">
        <v>0.85659664582295303</v>
      </c>
      <c r="G4907">
        <v>0.78754880643540803</v>
      </c>
      <c r="H4907">
        <v>0.79000111202358303</v>
      </c>
      <c r="I4907">
        <v>0.87668569766677995</v>
      </c>
      <c r="J4907">
        <v>0.822499244954633</v>
      </c>
      <c r="K4907">
        <v>0.67916503126022698</v>
      </c>
      <c r="L4907">
        <v>312.48395084514902</v>
      </c>
      <c r="M4907">
        <v>7.0237916081134104</v>
      </c>
      <c r="O4907">
        <v>41.304461701985403</v>
      </c>
      <c r="P4907">
        <v>-9.9709948885605103E-3</v>
      </c>
      <c r="Q4907">
        <v>0.76588484209897301</v>
      </c>
      <c r="R4907">
        <v>0.44243078689084098</v>
      </c>
      <c r="S4907" t="s">
        <v>11523</v>
      </c>
      <c r="T4907" t="s">
        <v>13232</v>
      </c>
      <c r="U4907" t="s">
        <v>13232</v>
      </c>
      <c r="V4907" t="s">
        <v>13232</v>
      </c>
      <c r="W4907" t="s">
        <v>18074</v>
      </c>
      <c r="X4907">
        <v>2</v>
      </c>
      <c r="Y4907" t="s">
        <v>24480</v>
      </c>
      <c r="Z4907" t="s">
        <v>31038</v>
      </c>
      <c r="AA4907">
        <v>0.8285034141946408</v>
      </c>
      <c r="AB4907" t="str">
        <f>HYPERLINK("Melting_Curves/meltCurve_Q96DE5_ANAPC16.pdf", "Melting_Curves/meltCurve_Q96DE5_ANAPC16.pdf")</f>
        <v>Melting_Curves/meltCurve_Q96DE5_ANAPC16.pdf</v>
      </c>
    </row>
    <row r="4908" spans="1:28" x14ac:dyDescent="0.25">
      <c r="A4908" t="s">
        <v>4911</v>
      </c>
      <c r="B4908">
        <v>0.99930955844802105</v>
      </c>
      <c r="C4908">
        <v>0.97579771853179298</v>
      </c>
      <c r="D4908">
        <v>0.94649023300539203</v>
      </c>
      <c r="E4908">
        <v>0.88669893411992795</v>
      </c>
      <c r="F4908">
        <v>0.74713154900011702</v>
      </c>
      <c r="G4908">
        <v>0.66182144651306396</v>
      </c>
      <c r="H4908">
        <v>0.69620055637413902</v>
      </c>
      <c r="I4908">
        <v>0.77739006075661399</v>
      </c>
      <c r="J4908">
        <v>0.78374342100049699</v>
      </c>
      <c r="K4908">
        <v>0.625819306298386</v>
      </c>
      <c r="L4908">
        <v>1798.1591045806599</v>
      </c>
      <c r="M4908">
        <v>35.666869073243603</v>
      </c>
      <c r="O4908">
        <v>50.257706233129703</v>
      </c>
      <c r="P4908">
        <v>-5.1812223588115103E-2</v>
      </c>
      <c r="Q4908">
        <v>0.70796940302521605</v>
      </c>
      <c r="R4908">
        <v>0.86028130292146499</v>
      </c>
      <c r="S4908" t="s">
        <v>11524</v>
      </c>
      <c r="T4908" t="s">
        <v>13232</v>
      </c>
      <c r="U4908" t="s">
        <v>13232</v>
      </c>
      <c r="V4908" t="s">
        <v>13232</v>
      </c>
      <c r="W4908" t="s">
        <v>18075</v>
      </c>
      <c r="X4908">
        <v>19</v>
      </c>
      <c r="Y4908" t="s">
        <v>24481</v>
      </c>
      <c r="Z4908" t="s">
        <v>31039</v>
      </c>
      <c r="AA4908">
        <v>0.81063922198443217</v>
      </c>
      <c r="AB4908" t="str">
        <f>HYPERLINK("Melting_Curves/meltCurve_Q96DF8_DGCR14.pdf", "Melting_Curves/meltCurve_Q96DF8_DGCR14.pdf")</f>
        <v>Melting_Curves/meltCurve_Q96DF8_DGCR14.pdf</v>
      </c>
    </row>
    <row r="4909" spans="1:28" x14ac:dyDescent="0.25">
      <c r="A4909" t="s">
        <v>4912</v>
      </c>
      <c r="B4909">
        <v>0.99930955844802105</v>
      </c>
      <c r="C4909">
        <v>1.31693584205243</v>
      </c>
      <c r="D4909">
        <v>1.2187623841627899</v>
      </c>
      <c r="E4909">
        <v>1.2641537292638301</v>
      </c>
      <c r="F4909">
        <v>0.917859713238658</v>
      </c>
      <c r="G4909">
        <v>0.42176446830153203</v>
      </c>
      <c r="H4909">
        <v>0.24646543039767499</v>
      </c>
      <c r="I4909">
        <v>0.22755319160059601</v>
      </c>
      <c r="J4909">
        <v>0.232628620692375</v>
      </c>
      <c r="K4909">
        <v>0.14203782292266701</v>
      </c>
      <c r="L4909">
        <v>2650.7615680214199</v>
      </c>
      <c r="M4909">
        <v>47.500914462708202</v>
      </c>
      <c r="N4909">
        <v>56.443516460718399</v>
      </c>
      <c r="O4909">
        <v>55.705794429177999</v>
      </c>
      <c r="P4909">
        <v>-0.168838311959666</v>
      </c>
      <c r="Q4909">
        <v>0.207993143730904</v>
      </c>
      <c r="R4909">
        <v>0.89435836103913402</v>
      </c>
      <c r="S4909" t="s">
        <v>11525</v>
      </c>
      <c r="T4909" t="s">
        <v>13232</v>
      </c>
      <c r="U4909" t="s">
        <v>13232</v>
      </c>
      <c r="V4909" t="s">
        <v>13232</v>
      </c>
      <c r="W4909" t="s">
        <v>18076</v>
      </c>
      <c r="X4909">
        <v>24</v>
      </c>
      <c r="Y4909" t="s">
        <v>24482</v>
      </c>
      <c r="Z4909" t="s">
        <v>31040</v>
      </c>
      <c r="AA4909">
        <v>0.62739181155584722</v>
      </c>
      <c r="AB4909" t="str">
        <f>HYPERLINK("Melting_Curves/meltCurve_Q96DG6_CMBL.pdf", "Melting_Curves/meltCurve_Q96DG6_CMBL.pdf")</f>
        <v>Melting_Curves/meltCurve_Q96DG6_CMBL.pdf</v>
      </c>
    </row>
    <row r="4910" spans="1:28" x14ac:dyDescent="0.25">
      <c r="A4910" t="s">
        <v>4913</v>
      </c>
      <c r="B4910">
        <v>0.99930955844802105</v>
      </c>
      <c r="C4910">
        <v>0.73033454421848398</v>
      </c>
      <c r="D4910">
        <v>0.58599669656999098</v>
      </c>
      <c r="E4910">
        <v>0.61905126668905996</v>
      </c>
      <c r="F4910">
        <v>0.425467987720765</v>
      </c>
      <c r="G4910">
        <v>0.29484325714820497</v>
      </c>
      <c r="H4910">
        <v>0.15258712658000501</v>
      </c>
      <c r="I4910">
        <v>0.109714881693978</v>
      </c>
      <c r="J4910">
        <v>0.100369227632867</v>
      </c>
      <c r="K4910">
        <v>7.2091773692634697E-2</v>
      </c>
      <c r="L4910">
        <v>421.73046098779099</v>
      </c>
      <c r="M4910">
        <v>8.37418811357613</v>
      </c>
      <c r="N4910">
        <v>50.360739500898397</v>
      </c>
      <c r="O4910">
        <v>47.734509444244701</v>
      </c>
      <c r="P4910">
        <v>-4.3899942032099001E-2</v>
      </c>
      <c r="Q4910">
        <v>0</v>
      </c>
      <c r="R4910">
        <v>0.953297653462573</v>
      </c>
      <c r="S4910" t="s">
        <v>11526</v>
      </c>
      <c r="T4910" t="s">
        <v>13232</v>
      </c>
      <c r="U4910" t="s">
        <v>13232</v>
      </c>
      <c r="V4910" t="s">
        <v>13232</v>
      </c>
      <c r="W4910" t="s">
        <v>18077</v>
      </c>
      <c r="X4910">
        <v>3</v>
      </c>
      <c r="Y4910" t="s">
        <v>24483</v>
      </c>
      <c r="Z4910" t="s">
        <v>31041</v>
      </c>
      <c r="AA4910">
        <v>0.39990690385071459</v>
      </c>
      <c r="AB4910" t="str">
        <f>HYPERLINK("Melting_Curves/meltCurve_Q96DH6_2_MSI2.pdf", "Melting_Curves/meltCurve_Q96DH6_2_MSI2.pdf")</f>
        <v>Melting_Curves/meltCurve_Q96DH6_2_MSI2.pdf</v>
      </c>
    </row>
    <row r="4911" spans="1:28" x14ac:dyDescent="0.25">
      <c r="A4911" t="s">
        <v>4914</v>
      </c>
      <c r="B4911">
        <v>0.99930955844802105</v>
      </c>
      <c r="C4911">
        <v>0.87804444878080801</v>
      </c>
      <c r="D4911">
        <v>0.88182693663034495</v>
      </c>
      <c r="E4911">
        <v>0.85836433340972995</v>
      </c>
      <c r="F4911">
        <v>0.45435903593488097</v>
      </c>
      <c r="G4911">
        <v>0.231195984579353</v>
      </c>
      <c r="H4911">
        <v>0.17350793604704901</v>
      </c>
      <c r="I4911">
        <v>0.19397332479196899</v>
      </c>
      <c r="J4911">
        <v>0.23286251299328301</v>
      </c>
      <c r="K4911">
        <v>0.17253539767495399</v>
      </c>
      <c r="L4911">
        <v>1832.0904336451799</v>
      </c>
      <c r="M4911">
        <v>35.250561971985398</v>
      </c>
      <c r="N4911">
        <v>52.698057780419298</v>
      </c>
      <c r="O4911">
        <v>51.806943433824003</v>
      </c>
      <c r="P4911">
        <v>-0.13743260645986399</v>
      </c>
      <c r="Q4911">
        <v>0.19207637064963101</v>
      </c>
      <c r="R4911">
        <v>0.97330481807901403</v>
      </c>
      <c r="S4911" t="s">
        <v>11527</v>
      </c>
      <c r="T4911" t="s">
        <v>13232</v>
      </c>
      <c r="U4911" t="s">
        <v>13232</v>
      </c>
      <c r="V4911" t="s">
        <v>13232</v>
      </c>
      <c r="W4911" t="s">
        <v>18078</v>
      </c>
      <c r="X4911">
        <v>12</v>
      </c>
      <c r="Y4911" t="s">
        <v>24484</v>
      </c>
      <c r="Z4911" t="s">
        <v>31042</v>
      </c>
      <c r="AA4911">
        <v>0.51826830275435987</v>
      </c>
      <c r="AB4911" t="str">
        <f>HYPERLINK("Melting_Curves/meltCurve_Q96DI7_SNRNP40.pdf", "Melting_Curves/meltCurve_Q96DI7_SNRNP40.pdf")</f>
        <v>Melting_Curves/meltCurve_Q96DI7_SNRNP40.pdf</v>
      </c>
    </row>
    <row r="4912" spans="1:28" x14ac:dyDescent="0.25">
      <c r="A4912" t="s">
        <v>4915</v>
      </c>
      <c r="B4912">
        <v>0.99930955844802105</v>
      </c>
      <c r="C4912">
        <v>1.15226492323135</v>
      </c>
      <c r="D4912">
        <v>1.23714436385606</v>
      </c>
      <c r="E4912">
        <v>1.06327164997538</v>
      </c>
      <c r="F4912">
        <v>0.98112793508319096</v>
      </c>
      <c r="G4912">
        <v>0.95040004717767601</v>
      </c>
      <c r="H4912">
        <v>0.81806683488320198</v>
      </c>
      <c r="I4912">
        <v>1.0066984229086999</v>
      </c>
      <c r="J4912">
        <v>0.92682635480645603</v>
      </c>
      <c r="K4912">
        <v>0.77595691140312395</v>
      </c>
      <c r="L4912">
        <v>755.227415488416</v>
      </c>
      <c r="M4912">
        <v>9.3235165053202493</v>
      </c>
      <c r="Q4912">
        <v>0</v>
      </c>
      <c r="R4912">
        <v>0.33851813642717798</v>
      </c>
      <c r="S4912" t="s">
        <v>11528</v>
      </c>
      <c r="T4912" t="s">
        <v>13232</v>
      </c>
      <c r="U4912" t="s">
        <v>13232</v>
      </c>
      <c r="V4912" t="s">
        <v>13232</v>
      </c>
      <c r="W4912" t="s">
        <v>18079</v>
      </c>
      <c r="X4912">
        <v>3</v>
      </c>
      <c r="Y4912" t="s">
        <v>24485</v>
      </c>
      <c r="Z4912" t="s">
        <v>31043</v>
      </c>
      <c r="AA4912">
        <v>0.96198481838668082</v>
      </c>
      <c r="AB4912" t="str">
        <f>HYPERLINK("Melting_Curves/meltCurve_Q96DN5_2_WDR67.pdf", "Melting_Curves/meltCurve_Q96DN5_2_WDR67.pdf")</f>
        <v>Melting_Curves/meltCurve_Q96DN5_2_WDR67.pdf</v>
      </c>
    </row>
    <row r="4913" spans="1:28" x14ac:dyDescent="0.25">
      <c r="A4913" t="s">
        <v>4916</v>
      </c>
      <c r="B4913">
        <v>0.99930955844802105</v>
      </c>
      <c r="C4913">
        <v>0.97161581750579096</v>
      </c>
      <c r="D4913">
        <v>0.98103739084430097</v>
      </c>
      <c r="E4913">
        <v>0.93856398129963703</v>
      </c>
      <c r="F4913">
        <v>0.74865040524899895</v>
      </c>
      <c r="G4913">
        <v>0.66343517300176502</v>
      </c>
      <c r="H4913">
        <v>0.75135092435398498</v>
      </c>
      <c r="I4913">
        <v>0.71561176810156701</v>
      </c>
      <c r="J4913">
        <v>0.67936787948044297</v>
      </c>
      <c r="K4913">
        <v>0.56168124858097501</v>
      </c>
      <c r="L4913">
        <v>2345.4102596614498</v>
      </c>
      <c r="M4913">
        <v>45.463931636313802</v>
      </c>
      <c r="O4913">
        <v>51.4888600910447</v>
      </c>
      <c r="P4913">
        <v>-7.2087131929236895E-2</v>
      </c>
      <c r="Q4913">
        <v>0.67343962663954804</v>
      </c>
      <c r="R4913">
        <v>0.90304569552510505</v>
      </c>
      <c r="S4913" t="s">
        <v>11529</v>
      </c>
      <c r="T4913" t="s">
        <v>13232</v>
      </c>
      <c r="U4913" t="s">
        <v>13232</v>
      </c>
      <c r="V4913" t="s">
        <v>13232</v>
      </c>
      <c r="W4913" t="s">
        <v>18080</v>
      </c>
      <c r="X4913">
        <v>5</v>
      </c>
      <c r="Y4913" t="s">
        <v>24486</v>
      </c>
      <c r="Z4913" t="s">
        <v>31044</v>
      </c>
      <c r="AA4913">
        <v>0.80048279536527622</v>
      </c>
      <c r="AB4913" t="str">
        <f>HYPERLINK("Melting_Curves/meltCurve_Q96DN6_MBD6.pdf", "Melting_Curves/meltCurve_Q96DN6_MBD6.pdf")</f>
        <v>Melting_Curves/meltCurve_Q96DN6_MBD6.pdf</v>
      </c>
    </row>
    <row r="4914" spans="1:28" x14ac:dyDescent="0.25">
      <c r="A4914" t="s">
        <v>4917</v>
      </c>
      <c r="B4914">
        <v>0.99930955844802105</v>
      </c>
      <c r="C4914">
        <v>0.88726638078221598</v>
      </c>
      <c r="D4914">
        <v>0.73104776871888899</v>
      </c>
      <c r="E4914">
        <v>0.60874329024965301</v>
      </c>
      <c r="F4914">
        <v>0.24348778119192699</v>
      </c>
      <c r="G4914">
        <v>0.104278769040083</v>
      </c>
      <c r="H4914">
        <v>5.3505089168532402E-2</v>
      </c>
      <c r="I4914">
        <v>3.7397533472737797E-2</v>
      </c>
      <c r="J4914">
        <v>3.1112077371764E-2</v>
      </c>
      <c r="K4914">
        <v>2.7590437951084699E-2</v>
      </c>
      <c r="L4914">
        <v>751.13394710366094</v>
      </c>
      <c r="M4914">
        <v>15.0216327886847</v>
      </c>
      <c r="N4914">
        <v>50.003480036675398</v>
      </c>
      <c r="O4914">
        <v>49.142419085738702</v>
      </c>
      <c r="P4914">
        <v>-7.6426550406415703E-2</v>
      </c>
      <c r="Q4914">
        <v>0</v>
      </c>
      <c r="R4914">
        <v>0.98460343066811995</v>
      </c>
      <c r="S4914" t="s">
        <v>11530</v>
      </c>
      <c r="T4914" t="s">
        <v>13232</v>
      </c>
      <c r="U4914" t="s">
        <v>13232</v>
      </c>
      <c r="V4914" t="s">
        <v>13232</v>
      </c>
      <c r="W4914" t="s">
        <v>18081</v>
      </c>
      <c r="X4914">
        <v>1</v>
      </c>
      <c r="Y4914" t="s">
        <v>24487</v>
      </c>
      <c r="Z4914" t="s">
        <v>31045</v>
      </c>
      <c r="AA4914">
        <v>0.35723221485589651</v>
      </c>
      <c r="AB4914" t="str">
        <f>HYPERLINK("Melting_Curves/meltCurve_Q96DT0_3_LGALS12.pdf", "Melting_Curves/meltCurve_Q96DT0_3_LGALS12.pdf")</f>
        <v>Melting_Curves/meltCurve_Q96DT0_3_LGALS12.pdf</v>
      </c>
    </row>
    <row r="4915" spans="1:28" x14ac:dyDescent="0.25">
      <c r="A4915" t="s">
        <v>4918</v>
      </c>
      <c r="B4915">
        <v>0.99930955844802105</v>
      </c>
      <c r="C4915">
        <v>1.3772808317809799</v>
      </c>
      <c r="D4915">
        <v>1.3850147712262699</v>
      </c>
      <c r="E4915">
        <v>1.18940788369802</v>
      </c>
      <c r="F4915">
        <v>0.61436890731707305</v>
      </c>
      <c r="G4915">
        <v>0.29764938256121098</v>
      </c>
      <c r="H4915">
        <v>6.5804363199066504E-2</v>
      </c>
      <c r="I4915">
        <v>4.7177373591197502E-2</v>
      </c>
      <c r="J4915">
        <v>3.8342933942240302E-2</v>
      </c>
      <c r="K4915">
        <v>3.1865772255694501E-2</v>
      </c>
      <c r="L4915">
        <v>1839.4038033890499</v>
      </c>
      <c r="M4915">
        <v>33.800550052786903</v>
      </c>
      <c r="N4915">
        <v>54.586163131080298</v>
      </c>
      <c r="O4915">
        <v>54.229920328362802</v>
      </c>
      <c r="P4915">
        <v>-0.148175058622077</v>
      </c>
      <c r="Q4915">
        <v>4.90700543181452E-2</v>
      </c>
      <c r="R4915">
        <v>0.87965740223255595</v>
      </c>
      <c r="S4915" t="s">
        <v>11531</v>
      </c>
      <c r="T4915" t="s">
        <v>13232</v>
      </c>
      <c r="U4915" t="s">
        <v>13232</v>
      </c>
      <c r="V4915" t="s">
        <v>13232</v>
      </c>
      <c r="W4915" t="s">
        <v>18082</v>
      </c>
      <c r="X4915">
        <v>3</v>
      </c>
      <c r="Y4915" t="s">
        <v>24488</v>
      </c>
      <c r="Z4915" t="s">
        <v>31046</v>
      </c>
      <c r="AA4915">
        <v>0.51110921087603545</v>
      </c>
      <c r="AB4915" t="str">
        <f>HYPERLINK("Melting_Curves/meltCurve_Q96DT5_DNAH11.pdf", "Melting_Curves/meltCurve_Q96DT5_DNAH11.pdf")</f>
        <v>Melting_Curves/meltCurve_Q96DT5_DNAH11.pdf</v>
      </c>
    </row>
    <row r="4916" spans="1:28" x14ac:dyDescent="0.25">
      <c r="A4916" t="s">
        <v>4919</v>
      </c>
      <c r="B4916">
        <v>0.99930955844802105</v>
      </c>
      <c r="C4916">
        <v>1.17805196531314</v>
      </c>
      <c r="D4916">
        <v>1.07729119261605</v>
      </c>
      <c r="E4916">
        <v>0.878537731910497</v>
      </c>
      <c r="F4916">
        <v>0.33078874223375698</v>
      </c>
      <c r="G4916">
        <v>0.161754678381165</v>
      </c>
      <c r="H4916">
        <v>8.5052219177659899E-2</v>
      </c>
      <c r="I4916">
        <v>3.9709284610137001E-2</v>
      </c>
      <c r="J4916">
        <v>3.17325638545045E-2</v>
      </c>
      <c r="K4916">
        <v>4.2485456789985297E-2</v>
      </c>
      <c r="L4916">
        <v>2368.1964216725601</v>
      </c>
      <c r="M4916">
        <v>45.545815151229903</v>
      </c>
      <c r="N4916">
        <v>52.1599450699415</v>
      </c>
      <c r="O4916">
        <v>51.895979295532698</v>
      </c>
      <c r="P4916">
        <v>-0.20477194541420099</v>
      </c>
      <c r="Q4916">
        <v>6.6713198027562301E-2</v>
      </c>
      <c r="R4916">
        <v>0.97788003837937298</v>
      </c>
      <c r="S4916" t="s">
        <v>11532</v>
      </c>
      <c r="T4916" t="s">
        <v>13232</v>
      </c>
      <c r="U4916" t="s">
        <v>13232</v>
      </c>
      <c r="V4916" t="s">
        <v>13232</v>
      </c>
      <c r="W4916" t="s">
        <v>18083</v>
      </c>
      <c r="X4916">
        <v>6</v>
      </c>
      <c r="Y4916" t="s">
        <v>24489</v>
      </c>
      <c r="Z4916" t="s">
        <v>31047</v>
      </c>
      <c r="AA4916">
        <v>0.44248305019608758</v>
      </c>
      <c r="AB4916" t="str">
        <f>HYPERLINK("Melting_Curves/meltCurve_Q96DT6_ATG4C.pdf", "Melting_Curves/meltCurve_Q96DT6_ATG4C.pdf")</f>
        <v>Melting_Curves/meltCurve_Q96DT6_ATG4C.pdf</v>
      </c>
    </row>
    <row r="4917" spans="1:28" x14ac:dyDescent="0.25">
      <c r="A4917" t="s">
        <v>4920</v>
      </c>
      <c r="B4917">
        <v>0.99930955844802105</v>
      </c>
      <c r="C4917">
        <v>1.1010576237774199</v>
      </c>
      <c r="D4917">
        <v>1.13924312583585</v>
      </c>
      <c r="E4917">
        <v>1.1467459571697201</v>
      </c>
      <c r="F4917">
        <v>1.0126978330599199</v>
      </c>
      <c r="G4917">
        <v>0.90805417405427302</v>
      </c>
      <c r="H4917">
        <v>0.81886668733893897</v>
      </c>
      <c r="I4917">
        <v>0.82139526566130205</v>
      </c>
      <c r="J4917">
        <v>0.76014579672295102</v>
      </c>
      <c r="K4917">
        <v>0.62685920002295803</v>
      </c>
      <c r="L4917">
        <v>931.13774625327198</v>
      </c>
      <c r="M4917">
        <v>14.284734305314601</v>
      </c>
      <c r="O4917">
        <v>63.946566551514799</v>
      </c>
      <c r="P4917">
        <v>-2.6396946834826102E-2</v>
      </c>
      <c r="Q4917">
        <v>0.52738703598203196</v>
      </c>
      <c r="R4917">
        <v>0.77713603067916004</v>
      </c>
      <c r="S4917" t="s">
        <v>11533</v>
      </c>
      <c r="T4917" t="s">
        <v>13232</v>
      </c>
      <c r="U4917" t="s">
        <v>13232</v>
      </c>
      <c r="V4917" t="s">
        <v>13232</v>
      </c>
      <c r="W4917" t="s">
        <v>18084</v>
      </c>
      <c r="X4917">
        <v>7</v>
      </c>
      <c r="Y4917" t="s">
        <v>24490</v>
      </c>
      <c r="Z4917" t="s">
        <v>31048</v>
      </c>
      <c r="AA4917">
        <v>0.90985618851239636</v>
      </c>
      <c r="AB4917" t="str">
        <f>HYPERLINK("Melting_Curves/meltCurve_Q96DT7_ZBTB10.pdf", "Melting_Curves/meltCurve_Q96DT7_ZBTB10.pdf")</f>
        <v>Melting_Curves/meltCurve_Q96DT7_ZBTB10.pdf</v>
      </c>
    </row>
    <row r="4918" spans="1:28" x14ac:dyDescent="0.25">
      <c r="A4918" t="s">
        <v>4921</v>
      </c>
      <c r="B4918">
        <v>0.99930955844802105</v>
      </c>
      <c r="C4918">
        <v>1.0441468453507501</v>
      </c>
      <c r="D4918">
        <v>1.0362632445170601</v>
      </c>
      <c r="E4918">
        <v>0.94282836747463905</v>
      </c>
      <c r="F4918">
        <v>0.87568027926414405</v>
      </c>
      <c r="G4918">
        <v>0.78311530225764603</v>
      </c>
      <c r="H4918">
        <v>0.80237375475971995</v>
      </c>
      <c r="I4918">
        <v>0.92743196076266599</v>
      </c>
      <c r="J4918">
        <v>0.86692273070049397</v>
      </c>
      <c r="K4918">
        <v>0.84947726751534103</v>
      </c>
      <c r="L4918">
        <v>2446.82379897893</v>
      </c>
      <c r="M4918">
        <v>48.288026844734098</v>
      </c>
      <c r="O4918">
        <v>50.584761948609703</v>
      </c>
      <c r="P4918">
        <v>-3.6370125534017098E-2</v>
      </c>
      <c r="Q4918">
        <v>0.84760012338377</v>
      </c>
      <c r="R4918">
        <v>0.78659434848674603</v>
      </c>
      <c r="S4918" t="s">
        <v>11534</v>
      </c>
      <c r="T4918" t="s">
        <v>13232</v>
      </c>
      <c r="U4918" t="s">
        <v>13232</v>
      </c>
      <c r="V4918" t="s">
        <v>13232</v>
      </c>
      <c r="W4918" t="s">
        <v>18085</v>
      </c>
      <c r="X4918">
        <v>7</v>
      </c>
      <c r="Y4918" t="s">
        <v>24491</v>
      </c>
      <c r="Z4918" t="s">
        <v>31049</v>
      </c>
      <c r="AA4918">
        <v>0.90217634472969832</v>
      </c>
      <c r="AB4918" t="str">
        <f>HYPERLINK("Melting_Curves/meltCurve_Q96DU7_ITPKC.pdf", "Melting_Curves/meltCurve_Q96DU7_ITPKC.pdf")</f>
        <v>Melting_Curves/meltCurve_Q96DU7_ITPKC.pdf</v>
      </c>
    </row>
    <row r="4919" spans="1:28" x14ac:dyDescent="0.25">
      <c r="A4919" t="s">
        <v>4922</v>
      </c>
      <c r="B4919">
        <v>0.99930955844802105</v>
      </c>
      <c r="C4919">
        <v>0.8136281654352</v>
      </c>
      <c r="D4919">
        <v>0.80941246624447805</v>
      </c>
      <c r="E4919">
        <v>0.78416100509119602</v>
      </c>
      <c r="F4919">
        <v>0.61205253314666697</v>
      </c>
      <c r="G4919">
        <v>0.43965235858902102</v>
      </c>
      <c r="H4919">
        <v>0.24931030466101101</v>
      </c>
      <c r="I4919">
        <v>9.8071963183446603E-2</v>
      </c>
      <c r="J4919">
        <v>6.87099394541755E-2</v>
      </c>
      <c r="K4919">
        <v>5.59014924787209E-2</v>
      </c>
      <c r="L4919">
        <v>603.584631045023</v>
      </c>
      <c r="M4919">
        <v>11.0454073515111</v>
      </c>
      <c r="N4919">
        <v>54.645755593730001</v>
      </c>
      <c r="O4919">
        <v>52.946234090594103</v>
      </c>
      <c r="P4919">
        <v>-5.21712039067707E-2</v>
      </c>
      <c r="Q4919">
        <v>0</v>
      </c>
      <c r="R4919">
        <v>0.96567805223357694</v>
      </c>
      <c r="S4919" t="s">
        <v>11535</v>
      </c>
      <c r="T4919" t="s">
        <v>13232</v>
      </c>
      <c r="U4919" t="s">
        <v>13232</v>
      </c>
      <c r="V4919" t="s">
        <v>13232</v>
      </c>
      <c r="W4919" t="s">
        <v>18086</v>
      </c>
      <c r="X4919">
        <v>3</v>
      </c>
      <c r="Y4919" t="s">
        <v>24492</v>
      </c>
      <c r="Z4919" t="s">
        <v>31050</v>
      </c>
      <c r="AA4919">
        <v>0.5141191229390899</v>
      </c>
      <c r="AB4919" t="str">
        <f>HYPERLINK("Melting_Curves/meltCurve_Q96DX4_RSPRY1.pdf", "Melting_Curves/meltCurve_Q96DX4_RSPRY1.pdf")</f>
        <v>Melting_Curves/meltCurve_Q96DX4_RSPRY1.pdf</v>
      </c>
    </row>
    <row r="4920" spans="1:28" x14ac:dyDescent="0.25">
      <c r="A4920" t="s">
        <v>4923</v>
      </c>
      <c r="B4920">
        <v>0.99930955844802105</v>
      </c>
      <c r="C4920">
        <v>1.1720113363098801</v>
      </c>
      <c r="D4920">
        <v>1.05814179639684</v>
      </c>
      <c r="E4920">
        <v>1.0747748377353501</v>
      </c>
      <c r="F4920">
        <v>0.97271693542687698</v>
      </c>
      <c r="G4920">
        <v>0.82101807252944303</v>
      </c>
      <c r="H4920">
        <v>0.84002161053949098</v>
      </c>
      <c r="I4920">
        <v>0.82993193758245198</v>
      </c>
      <c r="J4920">
        <v>0.92022774280206199</v>
      </c>
      <c r="K4920">
        <v>0.71988215982794901</v>
      </c>
      <c r="L4920">
        <v>13339.0805321315</v>
      </c>
      <c r="M4920">
        <v>250</v>
      </c>
      <c r="O4920">
        <v>53.352908423030001</v>
      </c>
      <c r="P4920">
        <v>-0.203578055775852</v>
      </c>
      <c r="Q4920">
        <v>0.82621630076257502</v>
      </c>
      <c r="R4920">
        <v>0.66445158891831702</v>
      </c>
      <c r="S4920" t="s">
        <v>11536</v>
      </c>
      <c r="T4920" t="s">
        <v>13232</v>
      </c>
      <c r="U4920" t="s">
        <v>13232</v>
      </c>
      <c r="V4920" t="s">
        <v>13232</v>
      </c>
      <c r="W4920" t="s">
        <v>18087</v>
      </c>
      <c r="X4920">
        <v>5</v>
      </c>
      <c r="Y4920" t="s">
        <v>24493</v>
      </c>
      <c r="Z4920" t="s">
        <v>31051</v>
      </c>
      <c r="AA4920">
        <v>0.90360294270727126</v>
      </c>
      <c r="AB4920" t="str">
        <f>HYPERLINK("Melting_Curves/meltCurve_Q96DX7_TRIM44.pdf", "Melting_Curves/meltCurve_Q96DX7_TRIM44.pdf")</f>
        <v>Melting_Curves/meltCurve_Q96DX7_TRIM44.pdf</v>
      </c>
    </row>
    <row r="4921" spans="1:28" x14ac:dyDescent="0.25">
      <c r="A4921" t="s">
        <v>4924</v>
      </c>
      <c r="B4921">
        <v>0.99930955844802105</v>
      </c>
      <c r="C4921">
        <v>1.1682558791559099</v>
      </c>
      <c r="D4921">
        <v>1.0615249394139099</v>
      </c>
      <c r="E4921">
        <v>0.94079757889954096</v>
      </c>
      <c r="F4921">
        <v>0.832968977325799</v>
      </c>
      <c r="G4921">
        <v>0.71442617005294995</v>
      </c>
      <c r="H4921">
        <v>0.987059435855272</v>
      </c>
      <c r="I4921">
        <v>1.0850858379527899</v>
      </c>
      <c r="J4921">
        <v>1.2357764716777699</v>
      </c>
      <c r="K4921">
        <v>0.91084136721475195</v>
      </c>
      <c r="L4921">
        <v>1357.45122835655</v>
      </c>
      <c r="M4921">
        <v>21.382921397880502</v>
      </c>
      <c r="O4921">
        <v>62.935553282863701</v>
      </c>
      <c r="P4921">
        <v>5.7062770712709501E-3</v>
      </c>
      <c r="Q4921">
        <v>1.06717861357456</v>
      </c>
      <c r="R4921">
        <v>3.4263376043250998E-2</v>
      </c>
      <c r="S4921" t="s">
        <v>11537</v>
      </c>
      <c r="T4921" t="s">
        <v>13232</v>
      </c>
      <c r="U4921" t="s">
        <v>13232</v>
      </c>
      <c r="V4921" t="s">
        <v>13232</v>
      </c>
      <c r="W4921" t="s">
        <v>18088</v>
      </c>
      <c r="X4921">
        <v>8</v>
      </c>
      <c r="Y4921" t="s">
        <v>24494</v>
      </c>
      <c r="Z4921" t="s">
        <v>31052</v>
      </c>
      <c r="AA4921">
        <v>1.0147047641684559</v>
      </c>
      <c r="AB4921" t="str">
        <f>HYPERLINK("Melting_Curves/meltCurve_Q96E09_FAM122A.pdf", "Melting_Curves/meltCurve_Q96E09_FAM122A.pdf")</f>
        <v>Melting_Curves/meltCurve_Q96E09_FAM122A.pdf</v>
      </c>
    </row>
    <row r="4922" spans="1:28" x14ac:dyDescent="0.25">
      <c r="A4922" t="s">
        <v>4925</v>
      </c>
      <c r="B4922">
        <v>0.99930955844802105</v>
      </c>
      <c r="C4922">
        <v>1.22744696245572</v>
      </c>
      <c r="D4922">
        <v>1.20028436420038</v>
      </c>
      <c r="E4922">
        <v>0.87429488036217895</v>
      </c>
      <c r="F4922">
        <v>0.52341942385533202</v>
      </c>
      <c r="G4922">
        <v>0.35844511098262299</v>
      </c>
      <c r="H4922">
        <v>0.26188807653519802</v>
      </c>
      <c r="I4922">
        <v>0.28058201374167002</v>
      </c>
      <c r="J4922">
        <v>0.25725300832151099</v>
      </c>
      <c r="K4922">
        <v>0.20754258388674701</v>
      </c>
      <c r="L4922">
        <v>1909.0556376289401</v>
      </c>
      <c r="M4922">
        <v>36.541118222054401</v>
      </c>
      <c r="N4922">
        <v>53.335013616865801</v>
      </c>
      <c r="O4922">
        <v>52.0883149753626</v>
      </c>
      <c r="P4922">
        <v>-0.12921830348091101</v>
      </c>
      <c r="Q4922">
        <v>0.263214329996938</v>
      </c>
      <c r="R4922">
        <v>0.93393052990845604</v>
      </c>
      <c r="S4922" t="s">
        <v>11538</v>
      </c>
      <c r="T4922" t="s">
        <v>13232</v>
      </c>
      <c r="U4922" t="s">
        <v>13232</v>
      </c>
      <c r="V4922" t="s">
        <v>13232</v>
      </c>
      <c r="W4922" t="s">
        <v>18089</v>
      </c>
      <c r="X4922">
        <v>5</v>
      </c>
      <c r="Y4922" t="s">
        <v>24495</v>
      </c>
      <c r="Z4922" t="s">
        <v>31053</v>
      </c>
      <c r="AA4922">
        <v>0.56711079364518813</v>
      </c>
      <c r="AB4922" t="str">
        <f>HYPERLINK("Melting_Curves/meltCurve_Q96E11_8_MRRF.pdf", "Melting_Curves/meltCurve_Q96E11_8_MRRF.pdf")</f>
        <v>Melting_Curves/meltCurve_Q96E11_8_MRRF.pdf</v>
      </c>
    </row>
    <row r="4923" spans="1:28" x14ac:dyDescent="0.25">
      <c r="A4923" t="s">
        <v>4926</v>
      </c>
      <c r="B4923">
        <v>0.99930955844802105</v>
      </c>
      <c r="C4923">
        <v>1.36024615050374</v>
      </c>
      <c r="D4923">
        <v>1.10235864724328</v>
      </c>
      <c r="E4923">
        <v>0.73677759560550604</v>
      </c>
      <c r="F4923">
        <v>0.61432125221439604</v>
      </c>
      <c r="G4923">
        <v>0.459508766223934</v>
      </c>
      <c r="H4923">
        <v>0.39344575472128801</v>
      </c>
      <c r="I4923">
        <v>0.335977556834678</v>
      </c>
      <c r="J4923">
        <v>0.28733961891158299</v>
      </c>
      <c r="K4923">
        <v>0.192286705927222</v>
      </c>
      <c r="L4923">
        <v>1043.9343126471899</v>
      </c>
      <c r="M4923">
        <v>19.7533281371642</v>
      </c>
      <c r="N4923">
        <v>55.175292660015998</v>
      </c>
      <c r="O4923">
        <v>52.315841676796801</v>
      </c>
      <c r="P4923">
        <v>-6.7718185366924699E-2</v>
      </c>
      <c r="Q4923">
        <v>0.28262973196569002</v>
      </c>
      <c r="R4923">
        <v>0.87125170410156905</v>
      </c>
      <c r="S4923" t="s">
        <v>11539</v>
      </c>
      <c r="T4923" t="s">
        <v>13232</v>
      </c>
      <c r="U4923" t="s">
        <v>13232</v>
      </c>
      <c r="V4923" t="s">
        <v>13232</v>
      </c>
      <c r="W4923" t="s">
        <v>18090</v>
      </c>
      <c r="X4923">
        <v>5</v>
      </c>
      <c r="Y4923" t="s">
        <v>24496</v>
      </c>
      <c r="Z4923" t="s">
        <v>31054</v>
      </c>
      <c r="AA4923">
        <v>0.59995934627687364</v>
      </c>
      <c r="AB4923" t="str">
        <f>HYPERLINK("Melting_Curves/meltCurve_Q96E14_RMI2.pdf", "Melting_Curves/meltCurve_Q96E14_RMI2.pdf")</f>
        <v>Melting_Curves/meltCurve_Q96E14_RMI2.pdf</v>
      </c>
    </row>
    <row r="4924" spans="1:28" x14ac:dyDescent="0.25">
      <c r="A4924" t="s">
        <v>4927</v>
      </c>
      <c r="B4924">
        <v>0.99930955844802105</v>
      </c>
      <c r="C4924">
        <v>1.01771892659184</v>
      </c>
      <c r="D4924">
        <v>1.02471386122073</v>
      </c>
      <c r="E4924">
        <v>0.93782056086695198</v>
      </c>
      <c r="F4924">
        <v>0.73835685797582096</v>
      </c>
      <c r="G4924">
        <v>0.55888589071018901</v>
      </c>
      <c r="H4924">
        <v>0.50480330345092905</v>
      </c>
      <c r="I4924">
        <v>0.444301581597568</v>
      </c>
      <c r="J4924">
        <v>0.43053792344198399</v>
      </c>
      <c r="K4924">
        <v>0.366119348624241</v>
      </c>
      <c r="L4924">
        <v>1121.10031186984</v>
      </c>
      <c r="M4924">
        <v>20.710610576548099</v>
      </c>
      <c r="N4924">
        <v>59.016873972781902</v>
      </c>
      <c r="O4924">
        <v>53.634587962948203</v>
      </c>
      <c r="P4924">
        <v>-5.6961687146564903E-2</v>
      </c>
      <c r="Q4924">
        <v>0.40995847780799199</v>
      </c>
      <c r="R4924">
        <v>0.98762015033861805</v>
      </c>
      <c r="S4924" t="s">
        <v>11540</v>
      </c>
      <c r="T4924" t="s">
        <v>13232</v>
      </c>
      <c r="U4924" t="s">
        <v>13232</v>
      </c>
      <c r="V4924" t="s">
        <v>13232</v>
      </c>
      <c r="W4924" t="s">
        <v>18091</v>
      </c>
      <c r="X4924">
        <v>20</v>
      </c>
      <c r="Y4924" t="s">
        <v>24497</v>
      </c>
      <c r="Z4924" t="s">
        <v>31055</v>
      </c>
      <c r="AA4924">
        <v>0.6954644927772401</v>
      </c>
      <c r="AB4924" t="str">
        <f>HYPERLINK("Melting_Curves/meltCurve_Q96E39_RBMXL1.pdf", "Melting_Curves/meltCurve_Q96E39_RBMXL1.pdf")</f>
        <v>Melting_Curves/meltCurve_Q96E39_RBMXL1.pdf</v>
      </c>
    </row>
    <row r="4925" spans="1:28" x14ac:dyDescent="0.25">
      <c r="A4925" t="s">
        <v>4928</v>
      </c>
      <c r="B4925">
        <v>0.99930955844802105</v>
      </c>
      <c r="C4925">
        <v>1.0599125385966099</v>
      </c>
      <c r="D4925">
        <v>0.90466505339416303</v>
      </c>
      <c r="E4925">
        <v>0.58778670106477404</v>
      </c>
      <c r="F4925">
        <v>0.36206968757887198</v>
      </c>
      <c r="G4925">
        <v>0.28562521377307298</v>
      </c>
      <c r="H4925">
        <v>0.19140578730726401</v>
      </c>
      <c r="I4925">
        <v>0.17172957093317601</v>
      </c>
      <c r="J4925">
        <v>0.155681479760027</v>
      </c>
      <c r="K4925">
        <v>0.114771716090611</v>
      </c>
      <c r="L4925">
        <v>1057.74350431738</v>
      </c>
      <c r="M4925">
        <v>21.0217302851438</v>
      </c>
      <c r="N4925">
        <v>51.2512426936241</v>
      </c>
      <c r="O4925">
        <v>49.867981049727398</v>
      </c>
      <c r="P4925">
        <v>-8.8610911650527202E-2</v>
      </c>
      <c r="Q4925">
        <v>0.15920732927350401</v>
      </c>
      <c r="R4925">
        <v>0.98948291183546999</v>
      </c>
      <c r="S4925" t="s">
        <v>11541</v>
      </c>
      <c r="T4925" t="s">
        <v>13232</v>
      </c>
      <c r="U4925" t="s">
        <v>13232</v>
      </c>
      <c r="V4925" t="s">
        <v>13232</v>
      </c>
      <c r="W4925" t="s">
        <v>18092</v>
      </c>
      <c r="X4925">
        <v>14</v>
      </c>
      <c r="Y4925" t="s">
        <v>24498</v>
      </c>
      <c r="Z4925" t="s">
        <v>31056</v>
      </c>
      <c r="AA4925">
        <v>0.45896364102550519</v>
      </c>
      <c r="AB4925" t="str">
        <f>HYPERLINK("Melting_Curves/meltCurve_Q96EA4_SPDL1.pdf", "Melting_Curves/meltCurve_Q96EA4_SPDL1.pdf")</f>
        <v>Melting_Curves/meltCurve_Q96EA4_SPDL1.pdf</v>
      </c>
    </row>
    <row r="4926" spans="1:28" x14ac:dyDescent="0.25">
      <c r="A4926" t="s">
        <v>4929</v>
      </c>
      <c r="B4926">
        <v>0.99930955844802105</v>
      </c>
      <c r="C4926">
        <v>0.88534435989383597</v>
      </c>
      <c r="D4926">
        <v>0.89495391039532901</v>
      </c>
      <c r="E4926">
        <v>0.94973017195338005</v>
      </c>
      <c r="F4926">
        <v>0.94993175496399096</v>
      </c>
      <c r="G4926">
        <v>0.68542024229628595</v>
      </c>
      <c r="H4926">
        <v>0.36439056785080298</v>
      </c>
      <c r="I4926">
        <v>0.30576085481798099</v>
      </c>
      <c r="J4926">
        <v>0.25121845480829702</v>
      </c>
      <c r="K4926">
        <v>0.14502377581057199</v>
      </c>
      <c r="L4926">
        <v>1265.2202524458701</v>
      </c>
      <c r="M4926">
        <v>21.698254433929499</v>
      </c>
      <c r="N4926">
        <v>59.421831077788703</v>
      </c>
      <c r="O4926">
        <v>57.821278351601201</v>
      </c>
      <c r="P4926">
        <v>-7.8162774145225294E-2</v>
      </c>
      <c r="Q4926">
        <v>0.16687031673684299</v>
      </c>
      <c r="R4926">
        <v>0.969844663735144</v>
      </c>
      <c r="S4926" t="s">
        <v>11542</v>
      </c>
      <c r="T4926" t="s">
        <v>13232</v>
      </c>
      <c r="U4926" t="s">
        <v>13232</v>
      </c>
      <c r="V4926" t="s">
        <v>13232</v>
      </c>
      <c r="W4926" t="s">
        <v>13411</v>
      </c>
      <c r="X4926">
        <v>16</v>
      </c>
      <c r="Y4926" t="s">
        <v>19950</v>
      </c>
      <c r="Z4926" t="s">
        <v>31057</v>
      </c>
      <c r="AA4926">
        <v>0.68380794231330655</v>
      </c>
      <c r="AB4926" t="str">
        <f>HYPERLINK("Melting_Curves/meltCurve_Q96EB1_ELP4.pdf", "Melting_Curves/meltCurve_Q96EB1_ELP4.pdf")</f>
        <v>Melting_Curves/meltCurve_Q96EB1_ELP4.pdf</v>
      </c>
    </row>
    <row r="4927" spans="1:28" x14ac:dyDescent="0.25">
      <c r="A4927" t="s">
        <v>4930</v>
      </c>
      <c r="B4927">
        <v>0.99930955844802105</v>
      </c>
      <c r="C4927">
        <v>1.0435138551541501</v>
      </c>
      <c r="D4927">
        <v>0.91976229976296398</v>
      </c>
      <c r="E4927">
        <v>0.76262941939861195</v>
      </c>
      <c r="F4927">
        <v>0.47212801864145698</v>
      </c>
      <c r="G4927">
        <v>0.36975256866436501</v>
      </c>
      <c r="H4927">
        <v>0.32018636409840501</v>
      </c>
      <c r="I4927">
        <v>0.32617715506457401</v>
      </c>
      <c r="J4927">
        <v>0.31545532016667999</v>
      </c>
      <c r="K4927">
        <v>0.253994262485219</v>
      </c>
      <c r="L4927">
        <v>1265.4344361773699</v>
      </c>
      <c r="M4927">
        <v>24.796970439050899</v>
      </c>
      <c r="N4927">
        <v>52.9981437062442</v>
      </c>
      <c r="O4927">
        <v>50.703397781928302</v>
      </c>
      <c r="P4927">
        <v>-8.5495728577099098E-2</v>
      </c>
      <c r="Q4927">
        <v>0.30074301683888499</v>
      </c>
      <c r="R4927">
        <v>0.99053504338310105</v>
      </c>
      <c r="S4927" t="s">
        <v>11543</v>
      </c>
      <c r="T4927" t="s">
        <v>13232</v>
      </c>
      <c r="U4927" t="s">
        <v>13232</v>
      </c>
      <c r="V4927" t="s">
        <v>13232</v>
      </c>
      <c r="W4927" t="s">
        <v>18093</v>
      </c>
      <c r="X4927">
        <v>20</v>
      </c>
      <c r="Y4927" t="s">
        <v>24499</v>
      </c>
      <c r="Z4927" t="s">
        <v>31058</v>
      </c>
      <c r="AA4927">
        <v>0.56430015095863861</v>
      </c>
      <c r="AB4927" t="str">
        <f>HYPERLINK("Melting_Curves/meltCurve_Q96EB6_SIRT1.pdf", "Melting_Curves/meltCurve_Q96EB6_SIRT1.pdf")</f>
        <v>Melting_Curves/meltCurve_Q96EB6_SIRT1.pdf</v>
      </c>
    </row>
    <row r="4928" spans="1:28" x14ac:dyDescent="0.25">
      <c r="A4928" t="s">
        <v>4931</v>
      </c>
      <c r="B4928">
        <v>0.99930955844802105</v>
      </c>
      <c r="C4928">
        <v>1.0456893115263399</v>
      </c>
      <c r="D4928">
        <v>0.99580147996838098</v>
      </c>
      <c r="E4928">
        <v>0.73123919352318201</v>
      </c>
      <c r="F4928">
        <v>0.51066130098722595</v>
      </c>
      <c r="G4928">
        <v>0.32949830657774198</v>
      </c>
      <c r="H4928">
        <v>0.23935776995973401</v>
      </c>
      <c r="I4928">
        <v>0.22291388493775</v>
      </c>
      <c r="J4928">
        <v>0.19466198397329701</v>
      </c>
      <c r="K4928">
        <v>0.159101899467329</v>
      </c>
      <c r="L4928">
        <v>1073.34570851492</v>
      </c>
      <c r="M4928">
        <v>20.632935884482102</v>
      </c>
      <c r="N4928">
        <v>53.2592850231946</v>
      </c>
      <c r="O4928">
        <v>51.539740908144303</v>
      </c>
      <c r="P4928">
        <v>-8.1017000724071198E-2</v>
      </c>
      <c r="Q4928">
        <v>0.19052263701297101</v>
      </c>
      <c r="R4928">
        <v>0.99326226012928498</v>
      </c>
      <c r="S4928" t="s">
        <v>11544</v>
      </c>
      <c r="T4928" t="s">
        <v>13232</v>
      </c>
      <c r="U4928" t="s">
        <v>13232</v>
      </c>
      <c r="V4928" t="s">
        <v>13232</v>
      </c>
      <c r="W4928" t="s">
        <v>18094</v>
      </c>
      <c r="X4928">
        <v>6</v>
      </c>
      <c r="Y4928" t="s">
        <v>24500</v>
      </c>
      <c r="Z4928" t="s">
        <v>31059</v>
      </c>
      <c r="AA4928">
        <v>0.52546953077022551</v>
      </c>
      <c r="AB4928" t="str">
        <f>HYPERLINK("Melting_Curves/meltCurve_Q96ED9_2_HOOK2.pdf", "Melting_Curves/meltCurve_Q96ED9_2_HOOK2.pdf")</f>
        <v>Melting_Curves/meltCurve_Q96ED9_2_HOOK2.pdf</v>
      </c>
    </row>
    <row r="4929" spans="1:28" x14ac:dyDescent="0.25">
      <c r="A4929" t="s">
        <v>4932</v>
      </c>
      <c r="B4929">
        <v>0.99930955844802105</v>
      </c>
      <c r="C4929">
        <v>0.80724163918061798</v>
      </c>
      <c r="D4929">
        <v>0.823692144294768</v>
      </c>
      <c r="E4929">
        <v>0.77581040498968001</v>
      </c>
      <c r="F4929">
        <v>0.48305370845603601</v>
      </c>
      <c r="G4929">
        <v>0.23476772608958699</v>
      </c>
      <c r="H4929">
        <v>9.0256267603162105E-2</v>
      </c>
      <c r="I4929">
        <v>6.17790322402735E-2</v>
      </c>
      <c r="J4929">
        <v>4.9914530043020502E-2</v>
      </c>
      <c r="K4929">
        <v>3.6625624598701903E-2</v>
      </c>
      <c r="L4929">
        <v>737.74847788272098</v>
      </c>
      <c r="M4929">
        <v>14.0002852950369</v>
      </c>
      <c r="N4929">
        <v>52.695259164321101</v>
      </c>
      <c r="O4929">
        <v>51.655076806685102</v>
      </c>
      <c r="P4929">
        <v>-6.7767481423479201E-2</v>
      </c>
      <c r="Q4929">
        <v>0</v>
      </c>
      <c r="R4929">
        <v>0.97078394765160603</v>
      </c>
      <c r="S4929" t="s">
        <v>11545</v>
      </c>
      <c r="T4929" t="s">
        <v>13232</v>
      </c>
      <c r="U4929" t="s">
        <v>13232</v>
      </c>
      <c r="V4929" t="s">
        <v>13232</v>
      </c>
      <c r="W4929" t="s">
        <v>18095</v>
      </c>
      <c r="X4929">
        <v>11</v>
      </c>
      <c r="Y4929" t="s">
        <v>24501</v>
      </c>
      <c r="Z4929" t="s">
        <v>31060</v>
      </c>
      <c r="AA4929">
        <v>0.44716263846800308</v>
      </c>
      <c r="AB4929" t="str">
        <f>HYPERLINK("Melting_Curves/meltCurve_Q96EE3_SEH1L.pdf", "Melting_Curves/meltCurve_Q96EE3_SEH1L.pdf")</f>
        <v>Melting_Curves/meltCurve_Q96EE3_SEH1L.pdf</v>
      </c>
    </row>
    <row r="4930" spans="1:28" x14ac:dyDescent="0.25">
      <c r="A4930" t="s">
        <v>4933</v>
      </c>
      <c r="B4930">
        <v>0.99930955844802105</v>
      </c>
      <c r="C4930">
        <v>1.2542526711504001</v>
      </c>
      <c r="D4930">
        <v>1.1006941561071</v>
      </c>
      <c r="E4930">
        <v>1.20889972479546</v>
      </c>
      <c r="F4930">
        <v>0</v>
      </c>
      <c r="G4930">
        <v>0.66333242811277204</v>
      </c>
      <c r="H4930">
        <v>0.43850249231583799</v>
      </c>
      <c r="I4930">
        <v>0.35242476916784099</v>
      </c>
      <c r="J4930">
        <v>0.40119224783469398</v>
      </c>
      <c r="K4930">
        <v>0.27158496086533701</v>
      </c>
      <c r="L4930">
        <v>12851.995587511899</v>
      </c>
      <c r="M4930">
        <v>250</v>
      </c>
      <c r="N4930">
        <v>51.663093102396701</v>
      </c>
      <c r="O4930">
        <v>51.404704972010798</v>
      </c>
      <c r="P4930">
        <v>-0.784813819560783</v>
      </c>
      <c r="Q4930">
        <v>0.35451019013644097</v>
      </c>
      <c r="R4930">
        <v>0.79769427429353801</v>
      </c>
      <c r="S4930" t="s">
        <v>11546</v>
      </c>
      <c r="T4930" t="s">
        <v>13232</v>
      </c>
      <c r="U4930" t="s">
        <v>13232</v>
      </c>
      <c r="V4930" t="s">
        <v>13232</v>
      </c>
      <c r="W4930" t="s">
        <v>18096</v>
      </c>
      <c r="X4930">
        <v>1</v>
      </c>
      <c r="Y4930" t="s">
        <v>24502</v>
      </c>
      <c r="Z4930" t="s">
        <v>31061</v>
      </c>
      <c r="AA4930">
        <v>0.60002630496392351</v>
      </c>
      <c r="AB4930" t="str">
        <f>HYPERLINK("Melting_Curves/meltCurve_Q96EH3_MALSU1.pdf", "Melting_Curves/meltCurve_Q96EH3_MALSU1.pdf")</f>
        <v>Melting_Curves/meltCurve_Q96EH3_MALSU1.pdf</v>
      </c>
    </row>
    <row r="4931" spans="1:28" x14ac:dyDescent="0.25">
      <c r="A4931" t="s">
        <v>4934</v>
      </c>
      <c r="B4931">
        <v>0.99930955844802105</v>
      </c>
      <c r="C4931">
        <v>0.96018600444662505</v>
      </c>
      <c r="D4931">
        <v>0.93641419128704395</v>
      </c>
      <c r="E4931">
        <v>0.87761159209254802</v>
      </c>
      <c r="F4931">
        <v>0.70879752683677599</v>
      </c>
      <c r="G4931">
        <v>0.53836615133752896</v>
      </c>
      <c r="H4931">
        <v>0.43734449344700199</v>
      </c>
      <c r="I4931">
        <v>0.44171104383821802</v>
      </c>
      <c r="J4931">
        <v>0.42358130270966698</v>
      </c>
      <c r="K4931">
        <v>0.36324427530515302</v>
      </c>
      <c r="L4931">
        <v>874.13386465086899</v>
      </c>
      <c r="M4931">
        <v>16.326678601818401</v>
      </c>
      <c r="N4931">
        <v>58.598031320214602</v>
      </c>
      <c r="O4931">
        <v>52.756321709138803</v>
      </c>
      <c r="P4931">
        <v>-4.81395518328918E-2</v>
      </c>
      <c r="Q4931">
        <v>0.37783261045561101</v>
      </c>
      <c r="R4931">
        <v>0.99269004357322399</v>
      </c>
      <c r="S4931" t="s">
        <v>11547</v>
      </c>
      <c r="T4931" t="s">
        <v>13232</v>
      </c>
      <c r="U4931" t="s">
        <v>13232</v>
      </c>
      <c r="V4931" t="s">
        <v>13232</v>
      </c>
      <c r="W4931" t="s">
        <v>18097</v>
      </c>
      <c r="X4931">
        <v>4</v>
      </c>
      <c r="Y4931" t="s">
        <v>24503</v>
      </c>
      <c r="Z4931" t="s">
        <v>31062</v>
      </c>
      <c r="AA4931">
        <v>0.67027972847114825</v>
      </c>
      <c r="AB4931" t="str">
        <f>HYPERLINK("Melting_Curves/meltCurve_Q96EK4_THAP11.pdf", "Melting_Curves/meltCurve_Q96EK4_THAP11.pdf")</f>
        <v>Melting_Curves/meltCurve_Q96EK4_THAP11.pdf</v>
      </c>
    </row>
    <row r="4932" spans="1:28" x14ac:dyDescent="0.25">
      <c r="A4932" t="s">
        <v>4935</v>
      </c>
      <c r="B4932">
        <v>0.99930955844802105</v>
      </c>
      <c r="C4932">
        <v>0.95629784406402696</v>
      </c>
      <c r="D4932">
        <v>0.56849267542620496</v>
      </c>
      <c r="E4932">
        <v>0.32076424504231099</v>
      </c>
      <c r="F4932">
        <v>0.19221856709665899</v>
      </c>
      <c r="G4932">
        <v>0.14279597682561901</v>
      </c>
      <c r="H4932">
        <v>8.7672282445878102E-2</v>
      </c>
      <c r="I4932">
        <v>7.5326473185094694E-2</v>
      </c>
      <c r="J4932">
        <v>7.4263816082291101E-2</v>
      </c>
      <c r="K4932">
        <v>5.5431727816510498E-2</v>
      </c>
      <c r="L4932">
        <v>933.09054843733304</v>
      </c>
      <c r="M4932">
        <v>19.855927705855098</v>
      </c>
      <c r="N4932">
        <v>47.423353510471998</v>
      </c>
      <c r="O4932">
        <v>46.524180605538803</v>
      </c>
      <c r="P4932">
        <v>-9.7904575066631805E-2</v>
      </c>
      <c r="Q4932">
        <v>8.2434698278822799E-2</v>
      </c>
      <c r="R4932">
        <v>0.987899089804672</v>
      </c>
      <c r="S4932" t="s">
        <v>11548</v>
      </c>
      <c r="T4932" t="s">
        <v>13232</v>
      </c>
      <c r="U4932" t="s">
        <v>13232</v>
      </c>
      <c r="V4932" t="s">
        <v>13232</v>
      </c>
      <c r="W4932" t="s">
        <v>18098</v>
      </c>
      <c r="X4932">
        <v>20</v>
      </c>
      <c r="Y4932" t="s">
        <v>24504</v>
      </c>
      <c r="Z4932" t="s">
        <v>31063</v>
      </c>
      <c r="AA4932">
        <v>0.30997344479252498</v>
      </c>
      <c r="AB4932" t="str">
        <f>HYPERLINK("Melting_Curves/meltCurve_Q96EK5_KIAA1279.pdf", "Melting_Curves/meltCurve_Q96EK5_KIAA1279.pdf")</f>
        <v>Melting_Curves/meltCurve_Q96EK5_KIAA1279.pdf</v>
      </c>
    </row>
    <row r="4933" spans="1:28" x14ac:dyDescent="0.25">
      <c r="A4933" t="s">
        <v>4936</v>
      </c>
      <c r="B4933">
        <v>0.99930955844802105</v>
      </c>
      <c r="C4933">
        <v>1.03995713924472</v>
      </c>
      <c r="D4933">
        <v>1.0366159152179399</v>
      </c>
      <c r="E4933">
        <v>1.01574988839981</v>
      </c>
      <c r="F4933">
        <v>0.96212141666693496</v>
      </c>
      <c r="G4933">
        <v>0.76431269269755797</v>
      </c>
      <c r="H4933">
        <v>0.29811282758639002</v>
      </c>
      <c r="I4933">
        <v>0.129637453984389</v>
      </c>
      <c r="J4933">
        <v>8.9174395448280402E-2</v>
      </c>
      <c r="K4933">
        <v>6.8399038342236707E-2</v>
      </c>
      <c r="L4933">
        <v>1888.97172697974</v>
      </c>
      <c r="M4933">
        <v>32.065968858416802</v>
      </c>
      <c r="N4933">
        <v>59.165613755892899</v>
      </c>
      <c r="O4933">
        <v>58.681232516037198</v>
      </c>
      <c r="P4933">
        <v>-0.12774037648057601</v>
      </c>
      <c r="Q4933">
        <v>6.49370096015571E-2</v>
      </c>
      <c r="R4933">
        <v>0.99795713799907904</v>
      </c>
      <c r="S4933" t="s">
        <v>11549</v>
      </c>
      <c r="T4933" t="s">
        <v>13232</v>
      </c>
      <c r="U4933" t="s">
        <v>13232</v>
      </c>
      <c r="V4933" t="s">
        <v>13232</v>
      </c>
      <c r="W4933" t="s">
        <v>18099</v>
      </c>
      <c r="X4933">
        <v>7</v>
      </c>
      <c r="Y4933" t="s">
        <v>24505</v>
      </c>
      <c r="Z4933" t="s">
        <v>31064</v>
      </c>
      <c r="AA4933">
        <v>0.65971801353738135</v>
      </c>
      <c r="AB4933" t="str">
        <f>HYPERLINK("Melting_Curves/meltCurve_Q96EK6_GNPNAT1.pdf", "Melting_Curves/meltCurve_Q96EK6_GNPNAT1.pdf")</f>
        <v>Melting_Curves/meltCurve_Q96EK6_GNPNAT1.pdf</v>
      </c>
    </row>
    <row r="4934" spans="1:28" x14ac:dyDescent="0.25">
      <c r="A4934" t="s">
        <v>4937</v>
      </c>
      <c r="B4934">
        <v>0.99930955844802105</v>
      </c>
      <c r="C4934">
        <v>0.59099878882040302</v>
      </c>
      <c r="D4934">
        <v>0.29576691180410403</v>
      </c>
      <c r="E4934">
        <v>0.253104449742377</v>
      </c>
      <c r="F4934">
        <v>0.18799437598517901</v>
      </c>
      <c r="G4934">
        <v>0.13467202723958099</v>
      </c>
      <c r="H4934">
        <v>0.10992386972474701</v>
      </c>
      <c r="I4934">
        <v>0.12087256749986799</v>
      </c>
      <c r="J4934">
        <v>0.120727753435344</v>
      </c>
      <c r="K4934">
        <v>0.102382612135104</v>
      </c>
      <c r="L4934">
        <v>1212.9654815260401</v>
      </c>
      <c r="M4934">
        <v>27.991640652178699</v>
      </c>
      <c r="N4934">
        <v>43.860148820415802</v>
      </c>
      <c r="O4934">
        <v>43.113781024063101</v>
      </c>
      <c r="P4934">
        <v>-0.13913444161038699</v>
      </c>
      <c r="Q4934">
        <v>0.142806965225166</v>
      </c>
      <c r="R4934">
        <v>0.97220657017546397</v>
      </c>
      <c r="S4934" t="s">
        <v>11550</v>
      </c>
      <c r="T4934" t="s">
        <v>13232</v>
      </c>
      <c r="U4934" t="s">
        <v>13232</v>
      </c>
      <c r="V4934" t="s">
        <v>13232</v>
      </c>
      <c r="W4934" t="s">
        <v>18100</v>
      </c>
      <c r="X4934">
        <v>8</v>
      </c>
      <c r="Y4934" t="s">
        <v>24506</v>
      </c>
      <c r="Z4934" t="s">
        <v>31065</v>
      </c>
      <c r="AA4934">
        <v>0.24661261604251361</v>
      </c>
      <c r="AB4934" t="str">
        <f>HYPERLINK("Melting_Curves/meltCurve_Q96EK9_KTI12.pdf", "Melting_Curves/meltCurve_Q96EK9_KTI12.pdf")</f>
        <v>Melting_Curves/meltCurve_Q96EK9_KTI12.pdf</v>
      </c>
    </row>
    <row r="4935" spans="1:28" x14ac:dyDescent="0.25">
      <c r="A4935" t="s">
        <v>4938</v>
      </c>
      <c r="B4935">
        <v>0.99930955844802105</v>
      </c>
      <c r="C4935">
        <v>1.1790823260096199</v>
      </c>
      <c r="D4935">
        <v>1.08847177364893</v>
      </c>
      <c r="E4935">
        <v>0.64742626087090904</v>
      </c>
      <c r="F4935">
        <v>0.37598154248833299</v>
      </c>
      <c r="G4935">
        <v>0.17700898750820501</v>
      </c>
      <c r="H4935">
        <v>5.6003811033394003E-2</v>
      </c>
      <c r="I4935">
        <v>3.7823572462198002E-2</v>
      </c>
      <c r="J4935">
        <v>3.3877718686739798E-2</v>
      </c>
      <c r="K4935">
        <v>2.8308616104790602E-2</v>
      </c>
      <c r="L4935">
        <v>1330.2527159221299</v>
      </c>
      <c r="M4935">
        <v>25.7871626071306</v>
      </c>
      <c r="N4935">
        <v>51.771938044302502</v>
      </c>
      <c r="O4935">
        <v>51.278635090609598</v>
      </c>
      <c r="P4935">
        <v>-0.12015775311645401</v>
      </c>
      <c r="Q4935">
        <v>4.4260717038457999E-2</v>
      </c>
      <c r="R4935">
        <v>0.97146725858762495</v>
      </c>
      <c r="S4935" t="s">
        <v>11551</v>
      </c>
      <c r="T4935" t="s">
        <v>13232</v>
      </c>
      <c r="U4935" t="s">
        <v>13232</v>
      </c>
      <c r="V4935" t="s">
        <v>13232</v>
      </c>
      <c r="W4935" t="s">
        <v>18101</v>
      </c>
      <c r="X4935">
        <v>8</v>
      </c>
      <c r="Y4935" t="s">
        <v>24507</v>
      </c>
      <c r="Z4935" t="s">
        <v>31066</v>
      </c>
      <c r="AA4935">
        <v>0.42154169964931071</v>
      </c>
      <c r="AB4935" t="str">
        <f>HYPERLINK("Melting_Curves/meltCurve_Q96EM0_L3HYPDH.pdf", "Melting_Curves/meltCurve_Q96EM0_L3HYPDH.pdf")</f>
        <v>Melting_Curves/meltCurve_Q96EM0_L3HYPDH.pdf</v>
      </c>
    </row>
    <row r="4936" spans="1:28" x14ac:dyDescent="0.25">
      <c r="A4936" t="s">
        <v>4939</v>
      </c>
      <c r="B4936">
        <v>0.99930955844802105</v>
      </c>
      <c r="C4936">
        <v>1.1425135235519599</v>
      </c>
      <c r="D4936">
        <v>1.13803908305555</v>
      </c>
      <c r="E4936">
        <v>1.0670831397622</v>
      </c>
      <c r="F4936">
        <v>1.17527075995821</v>
      </c>
      <c r="G4936">
        <v>0.832356285372713</v>
      </c>
      <c r="H4936">
        <v>0.31856775109436802</v>
      </c>
      <c r="I4936">
        <v>0.17491948447047601</v>
      </c>
      <c r="J4936">
        <v>7.9283753328252493E-2</v>
      </c>
      <c r="K4936">
        <v>6.4582561811038205E-2</v>
      </c>
      <c r="L4936">
        <v>2313.4599794390001</v>
      </c>
      <c r="M4936">
        <v>38.947890275311003</v>
      </c>
      <c r="N4936">
        <v>59.671909278806503</v>
      </c>
      <c r="O4936">
        <v>59.242908949396302</v>
      </c>
      <c r="P4936">
        <v>-0.150942480730902</v>
      </c>
      <c r="Q4936">
        <v>8.1618956132289699E-2</v>
      </c>
      <c r="R4936">
        <v>0.961166459834081</v>
      </c>
      <c r="S4936" t="s">
        <v>11552</v>
      </c>
      <c r="T4936" t="s">
        <v>13232</v>
      </c>
      <c r="U4936" t="s">
        <v>13232</v>
      </c>
      <c r="V4936" t="s">
        <v>13232</v>
      </c>
      <c r="W4936" t="s">
        <v>18102</v>
      </c>
      <c r="X4936">
        <v>11</v>
      </c>
      <c r="Y4936" t="s">
        <v>24508</v>
      </c>
      <c r="Z4936" t="s">
        <v>31067</v>
      </c>
      <c r="AA4936">
        <v>0.67926096766134048</v>
      </c>
      <c r="AB4936" t="str">
        <f>HYPERLINK("Melting_Curves/meltCurve_Q96EN8_MOCOS.pdf", "Melting_Curves/meltCurve_Q96EN8_MOCOS.pdf")</f>
        <v>Melting_Curves/meltCurve_Q96EN8_MOCOS.pdf</v>
      </c>
    </row>
    <row r="4937" spans="1:28" x14ac:dyDescent="0.25">
      <c r="A4937" t="s">
        <v>4940</v>
      </c>
      <c r="B4937">
        <v>0.99930955844802105</v>
      </c>
      <c r="C4937">
        <v>0.83651560229368505</v>
      </c>
      <c r="D4937">
        <v>0.69184497543754797</v>
      </c>
      <c r="E4937">
        <v>0.53228929452174101</v>
      </c>
      <c r="F4937">
        <v>0.37479009001576402</v>
      </c>
      <c r="G4937">
        <v>0.24206149944218</v>
      </c>
      <c r="H4937">
        <v>0.13702159612442899</v>
      </c>
      <c r="I4937">
        <v>0.12162473507570699</v>
      </c>
      <c r="J4937">
        <v>0.107991249854153</v>
      </c>
      <c r="K4937">
        <v>7.6166783718912806E-2</v>
      </c>
      <c r="L4937">
        <v>539.46141368494705</v>
      </c>
      <c r="M4937">
        <v>10.8224325895258</v>
      </c>
      <c r="N4937">
        <v>50.2328859318743</v>
      </c>
      <c r="O4937">
        <v>48.2352161266558</v>
      </c>
      <c r="P4937">
        <v>-5.3871687007941198E-2</v>
      </c>
      <c r="Q4937">
        <v>3.9927733097127001E-2</v>
      </c>
      <c r="R4937">
        <v>0.99379254299305297</v>
      </c>
      <c r="S4937" t="s">
        <v>11553</v>
      </c>
      <c r="T4937" t="s">
        <v>13232</v>
      </c>
      <c r="U4937" t="s">
        <v>13232</v>
      </c>
      <c r="V4937" t="s">
        <v>13232</v>
      </c>
      <c r="W4937" t="s">
        <v>18103</v>
      </c>
      <c r="X4937">
        <v>21</v>
      </c>
      <c r="Y4937" t="s">
        <v>24509</v>
      </c>
      <c r="Z4937" t="s">
        <v>31068</v>
      </c>
      <c r="AA4937">
        <v>0.39429942527321837</v>
      </c>
      <c r="AB4937" t="str">
        <f>HYPERLINK("Melting_Curves/meltCurve_Q96EP0_RNF31.pdf", "Melting_Curves/meltCurve_Q96EP0_RNF31.pdf")</f>
        <v>Melting_Curves/meltCurve_Q96EP0_RNF31.pdf</v>
      </c>
    </row>
    <row r="4938" spans="1:28" x14ac:dyDescent="0.25">
      <c r="A4938" t="s">
        <v>4941</v>
      </c>
      <c r="B4938">
        <v>0.99930955844802105</v>
      </c>
      <c r="C4938">
        <v>0.98809683942287996</v>
      </c>
      <c r="D4938">
        <v>0.90661406552449497</v>
      </c>
      <c r="E4938">
        <v>0.78027465991224798</v>
      </c>
      <c r="F4938">
        <v>0.52268233470379599</v>
      </c>
      <c r="G4938">
        <v>0.437625985395934</v>
      </c>
      <c r="H4938">
        <v>0.37549774959266702</v>
      </c>
      <c r="I4938">
        <v>0.411615628848571</v>
      </c>
      <c r="J4938">
        <v>0.38462421543957998</v>
      </c>
      <c r="K4938">
        <v>0.31614036208041801</v>
      </c>
      <c r="L4938">
        <v>1059.5461803272201</v>
      </c>
      <c r="M4938">
        <v>20.801303943104099</v>
      </c>
      <c r="N4938">
        <v>54.308179868077303</v>
      </c>
      <c r="O4938">
        <v>50.472777872863503</v>
      </c>
      <c r="P4938">
        <v>-6.5678649181102194E-2</v>
      </c>
      <c r="Q4938">
        <v>0.36256082779996202</v>
      </c>
      <c r="R4938">
        <v>0.98792891734125199</v>
      </c>
      <c r="S4938" t="s">
        <v>11554</v>
      </c>
      <c r="T4938" t="s">
        <v>13232</v>
      </c>
      <c r="U4938" t="s">
        <v>13232</v>
      </c>
      <c r="V4938" t="s">
        <v>13232</v>
      </c>
      <c r="W4938" t="s">
        <v>18104</v>
      </c>
      <c r="X4938">
        <v>18</v>
      </c>
      <c r="Y4938" t="s">
        <v>24510</v>
      </c>
      <c r="Z4938" t="s">
        <v>31069</v>
      </c>
      <c r="AA4938">
        <v>0.60315738134641628</v>
      </c>
      <c r="AB4938" t="str">
        <f>HYPERLINK("Melting_Curves/meltCurve_Q96EP1_2_CHFR.pdf", "Melting_Curves/meltCurve_Q96EP1_2_CHFR.pdf")</f>
        <v>Melting_Curves/meltCurve_Q96EP1_2_CHFR.pdf</v>
      </c>
    </row>
    <row r="4939" spans="1:28" x14ac:dyDescent="0.25">
      <c r="A4939" t="s">
        <v>4942</v>
      </c>
      <c r="B4939">
        <v>0.99930955844802105</v>
      </c>
      <c r="C4939">
        <v>0.94902791174219503</v>
      </c>
      <c r="D4939">
        <v>0.948071505528854</v>
      </c>
      <c r="E4939">
        <v>0.94882396660450197</v>
      </c>
      <c r="F4939">
        <v>0.78585850137951396</v>
      </c>
      <c r="G4939">
        <v>0.566801452643097</v>
      </c>
      <c r="H4939">
        <v>0.33761019113617302</v>
      </c>
      <c r="I4939">
        <v>0.23673589265445</v>
      </c>
      <c r="J4939">
        <v>0.16788444441928899</v>
      </c>
      <c r="K4939">
        <v>0.12117332373999699</v>
      </c>
      <c r="L4939">
        <v>871.86985274025596</v>
      </c>
      <c r="M4939">
        <v>15.1593455106657</v>
      </c>
      <c r="N4939">
        <v>58.061564532560297</v>
      </c>
      <c r="O4939">
        <v>56.540707802027697</v>
      </c>
      <c r="P4939">
        <v>-6.2567555046072407E-2</v>
      </c>
      <c r="Q4939">
        <v>6.6642823901410006E-2</v>
      </c>
      <c r="R4939">
        <v>0.99610163695926801</v>
      </c>
      <c r="S4939" t="s">
        <v>11555</v>
      </c>
      <c r="T4939" t="s">
        <v>13232</v>
      </c>
      <c r="U4939" t="s">
        <v>13232</v>
      </c>
      <c r="V4939" t="s">
        <v>13232</v>
      </c>
      <c r="W4939" t="s">
        <v>18105</v>
      </c>
      <c r="X4939">
        <v>11</v>
      </c>
      <c r="Y4939" t="s">
        <v>24511</v>
      </c>
      <c r="Z4939" t="s">
        <v>31070</v>
      </c>
      <c r="AA4939">
        <v>0.62514895170332252</v>
      </c>
      <c r="AB4939" t="str">
        <f>HYPERLINK("Melting_Curves/meltCurve_Q96EP5_DAZAP1.pdf", "Melting_Curves/meltCurve_Q96EP5_DAZAP1.pdf")</f>
        <v>Melting_Curves/meltCurve_Q96EP5_DAZAP1.pdf</v>
      </c>
    </row>
    <row r="4940" spans="1:28" x14ac:dyDescent="0.25">
      <c r="A4940" t="s">
        <v>4943</v>
      </c>
      <c r="B4940">
        <v>0.99930955844802105</v>
      </c>
      <c r="C4940">
        <v>1.03024940901898</v>
      </c>
      <c r="D4940">
        <v>1.0326994260455</v>
      </c>
      <c r="E4940">
        <v>1.0413209716070999</v>
      </c>
      <c r="F4940">
        <v>0.84140855185981001</v>
      </c>
      <c r="G4940">
        <v>0.47549123211602301</v>
      </c>
      <c r="H4940">
        <v>0.32468652948994597</v>
      </c>
      <c r="I4940">
        <v>0.27377621123662899</v>
      </c>
      <c r="J4940">
        <v>0.23357614782327901</v>
      </c>
      <c r="K4940">
        <v>0.18693131158816101</v>
      </c>
      <c r="L4940">
        <v>1611.6537789103299</v>
      </c>
      <c r="M4940">
        <v>28.949321895836299</v>
      </c>
      <c r="N4940">
        <v>56.8896751561592</v>
      </c>
      <c r="O4940">
        <v>55.407934921874599</v>
      </c>
      <c r="P4940">
        <v>-0.100448041336206</v>
      </c>
      <c r="Q4940">
        <v>0.23099038377270201</v>
      </c>
      <c r="R4940">
        <v>0.99098078910364196</v>
      </c>
      <c r="S4940" t="s">
        <v>11556</v>
      </c>
      <c r="T4940" t="s">
        <v>13232</v>
      </c>
      <c r="U4940" t="s">
        <v>13232</v>
      </c>
      <c r="V4940" t="s">
        <v>13232</v>
      </c>
      <c r="W4940" t="s">
        <v>18106</v>
      </c>
      <c r="X4940">
        <v>6</v>
      </c>
      <c r="Y4940" t="s">
        <v>24512</v>
      </c>
      <c r="Z4940" t="s">
        <v>31071</v>
      </c>
      <c r="AA4940">
        <v>0.6381792407772271</v>
      </c>
      <c r="AB4940" t="str">
        <f>HYPERLINK("Melting_Curves/meltCurve_Q96EQ0_SGTB.pdf", "Melting_Curves/meltCurve_Q96EQ0_SGTB.pdf")</f>
        <v>Melting_Curves/meltCurve_Q96EQ0_SGTB.pdf</v>
      </c>
    </row>
    <row r="4941" spans="1:28" x14ac:dyDescent="0.25">
      <c r="A4941" t="s">
        <v>4944</v>
      </c>
      <c r="B4941">
        <v>0.99930955844802105</v>
      </c>
      <c r="C4941">
        <v>1.07575278025301</v>
      </c>
      <c r="D4941">
        <v>1.0870791384902301</v>
      </c>
      <c r="E4941">
        <v>0.91125441796274198</v>
      </c>
      <c r="F4941">
        <v>0.58488128440958498</v>
      </c>
      <c r="G4941">
        <v>0.219571210677587</v>
      </c>
      <c r="H4941">
        <v>8.7490468554080394E-2</v>
      </c>
      <c r="I4941">
        <v>5.89851161220286E-2</v>
      </c>
      <c r="J4941">
        <v>4.1508710458594097E-2</v>
      </c>
      <c r="K4941">
        <v>3.2612669619083802E-2</v>
      </c>
      <c r="L4941">
        <v>1527.83785844558</v>
      </c>
      <c r="M4941">
        <v>28.468238033616501</v>
      </c>
      <c r="N4941">
        <v>53.853810280782497</v>
      </c>
      <c r="O4941">
        <v>53.405431353438999</v>
      </c>
      <c r="P4941">
        <v>-0.12703703623299301</v>
      </c>
      <c r="Q4941">
        <v>4.6739280898254597E-2</v>
      </c>
      <c r="R4941">
        <v>0.99158238832792001</v>
      </c>
      <c r="S4941" t="s">
        <v>11557</v>
      </c>
      <c r="T4941" t="s">
        <v>13232</v>
      </c>
      <c r="U4941" t="s">
        <v>13232</v>
      </c>
      <c r="V4941" t="s">
        <v>13232</v>
      </c>
      <c r="W4941" t="s">
        <v>14100</v>
      </c>
      <c r="X4941">
        <v>15</v>
      </c>
      <c r="Y4941" t="s">
        <v>20630</v>
      </c>
      <c r="Z4941" t="s">
        <v>31072</v>
      </c>
      <c r="AA4941">
        <v>0.48795007996611561</v>
      </c>
      <c r="AB4941" t="str">
        <f>HYPERLINK("Melting_Curves/meltCurve_Q96ER3_SAAL1.pdf", "Melting_Curves/meltCurve_Q96ER3_SAAL1.pdf")</f>
        <v>Melting_Curves/meltCurve_Q96ER3_SAAL1.pdf</v>
      </c>
    </row>
    <row r="4942" spans="1:28" x14ac:dyDescent="0.25">
      <c r="A4942" t="s">
        <v>4945</v>
      </c>
      <c r="B4942">
        <v>0.99930955844802105</v>
      </c>
      <c r="C4942">
        <v>1.0851971715170099</v>
      </c>
      <c r="D4942">
        <v>1.0519952868033999</v>
      </c>
      <c r="E4942">
        <v>1.0064297168356799</v>
      </c>
      <c r="F4942">
        <v>0.65626451787886597</v>
      </c>
      <c r="G4942">
        <v>0.26036256984841799</v>
      </c>
      <c r="H4942">
        <v>0.16249949688366699</v>
      </c>
      <c r="I4942">
        <v>0.14050884081019799</v>
      </c>
      <c r="J4942">
        <v>0.121822384520875</v>
      </c>
      <c r="K4942">
        <v>9.2646084490387498E-2</v>
      </c>
      <c r="L4942">
        <v>1911.47497684318</v>
      </c>
      <c r="M4942">
        <v>35.498944014516503</v>
      </c>
      <c r="N4942">
        <v>54.301065885894303</v>
      </c>
      <c r="O4942">
        <v>53.675954827915703</v>
      </c>
      <c r="P4942">
        <v>-0.144065364336285</v>
      </c>
      <c r="Q4942">
        <v>0.128670471468596</v>
      </c>
      <c r="R4942">
        <v>0.99028400576929598</v>
      </c>
      <c r="S4942" t="s">
        <v>11558</v>
      </c>
      <c r="T4942" t="s">
        <v>13232</v>
      </c>
      <c r="U4942" t="s">
        <v>13232</v>
      </c>
      <c r="V4942" t="s">
        <v>13232</v>
      </c>
      <c r="W4942" t="s">
        <v>18107</v>
      </c>
      <c r="X4942">
        <v>8</v>
      </c>
      <c r="Y4942" t="s">
        <v>24513</v>
      </c>
      <c r="Z4942" t="s">
        <v>31073</v>
      </c>
      <c r="AA4942">
        <v>0.53492370351236618</v>
      </c>
      <c r="AB4942" t="str">
        <f>HYPERLINK("Melting_Curves/meltCurve_Q96ES7_CCDC101.pdf", "Melting_Curves/meltCurve_Q96ES7_CCDC101.pdf")</f>
        <v>Melting_Curves/meltCurve_Q96ES7_CCDC101.pdf</v>
      </c>
    </row>
    <row r="4943" spans="1:28" x14ac:dyDescent="0.25">
      <c r="A4943" t="s">
        <v>4946</v>
      </c>
      <c r="B4943">
        <v>0.99930955844802105</v>
      </c>
      <c r="C4943">
        <v>0.97052675690391799</v>
      </c>
      <c r="D4943">
        <v>0.92948739537597902</v>
      </c>
      <c r="E4943">
        <v>0.79302073299065201</v>
      </c>
      <c r="F4943">
        <v>0.68109384683937202</v>
      </c>
      <c r="G4943">
        <v>0.60697410805197505</v>
      </c>
      <c r="H4943">
        <v>0.61568166128603996</v>
      </c>
      <c r="I4943">
        <v>0.60619583958246104</v>
      </c>
      <c r="J4943">
        <v>0.58597395211218495</v>
      </c>
      <c r="K4943">
        <v>0.49440339906201503</v>
      </c>
      <c r="L4943">
        <v>803.44448860051102</v>
      </c>
      <c r="M4943">
        <v>15.9555142470874</v>
      </c>
      <c r="O4943">
        <v>49.584205226482197</v>
      </c>
      <c r="P4943">
        <v>-3.5593195858611398E-2</v>
      </c>
      <c r="Q4943">
        <v>0.55758984366640096</v>
      </c>
      <c r="R4943">
        <v>0.973937053209468</v>
      </c>
      <c r="S4943" t="s">
        <v>11559</v>
      </c>
      <c r="T4943" t="s">
        <v>13232</v>
      </c>
      <c r="U4943" t="s">
        <v>13232</v>
      </c>
      <c r="V4943" t="s">
        <v>13232</v>
      </c>
      <c r="W4943" t="s">
        <v>18108</v>
      </c>
      <c r="X4943">
        <v>4</v>
      </c>
      <c r="Y4943" t="s">
        <v>24514</v>
      </c>
      <c r="Z4943" t="s">
        <v>31074</v>
      </c>
      <c r="AA4943">
        <v>0.71965847528189664</v>
      </c>
      <c r="AB4943" t="str">
        <f>HYPERLINK("Melting_Curves/meltCurve_Q96EU6_2_RRP36.pdf", "Melting_Curves/meltCurve_Q96EU6_2_RRP36.pdf")</f>
        <v>Melting_Curves/meltCurve_Q96EU6_2_RRP36.pdf</v>
      </c>
    </row>
    <row r="4944" spans="1:28" x14ac:dyDescent="0.25">
      <c r="A4944" t="s">
        <v>4947</v>
      </c>
      <c r="B4944">
        <v>0.99930955844802105</v>
      </c>
      <c r="C4944">
        <v>1.0646659197077499</v>
      </c>
      <c r="D4944">
        <v>1.03566992976316</v>
      </c>
      <c r="E4944">
        <v>0.97859907967506199</v>
      </c>
      <c r="F4944">
        <v>0.82348074512177605</v>
      </c>
      <c r="G4944">
        <v>0.72530815920992997</v>
      </c>
      <c r="H4944">
        <v>0.69991115855547403</v>
      </c>
      <c r="I4944">
        <v>0.72923548588027398</v>
      </c>
      <c r="J4944">
        <v>0.70493509812397204</v>
      </c>
      <c r="K4944">
        <v>0.55034955708166</v>
      </c>
      <c r="L4944">
        <v>1499.81819631545</v>
      </c>
      <c r="M4944">
        <v>28.147038394314201</v>
      </c>
      <c r="O4944">
        <v>53.018327443484203</v>
      </c>
      <c r="P4944">
        <v>-4.4042290990588998E-2</v>
      </c>
      <c r="Q4944">
        <v>0.66816700363799797</v>
      </c>
      <c r="R4944">
        <v>0.90660111633864604</v>
      </c>
      <c r="S4944" t="s">
        <v>11560</v>
      </c>
      <c r="T4944" t="s">
        <v>13232</v>
      </c>
      <c r="U4944" t="s">
        <v>13232</v>
      </c>
      <c r="V4944" t="s">
        <v>13232</v>
      </c>
      <c r="W4944" t="s">
        <v>18109</v>
      </c>
      <c r="X4944">
        <v>14</v>
      </c>
      <c r="Y4944" t="s">
        <v>24515</v>
      </c>
      <c r="Z4944" t="s">
        <v>31075</v>
      </c>
      <c r="AA4944">
        <v>0.81755964201066889</v>
      </c>
      <c r="AB4944" t="str">
        <f>HYPERLINK("Melting_Curves/meltCurve_Q96EV2_RBM33.pdf", "Melting_Curves/meltCurve_Q96EV2_RBM33.pdf")</f>
        <v>Melting_Curves/meltCurve_Q96EV2_RBM33.pdf</v>
      </c>
    </row>
    <row r="4945" spans="1:28" x14ac:dyDescent="0.25">
      <c r="A4945" t="s">
        <v>4948</v>
      </c>
      <c r="B4945">
        <v>0.99930955844802105</v>
      </c>
      <c r="C4945">
        <v>1.0458013386433</v>
      </c>
      <c r="D4945">
        <v>0.98125031978258104</v>
      </c>
      <c r="E4945">
        <v>0.94528533750856802</v>
      </c>
      <c r="F4945">
        <v>0.87320974549882802</v>
      </c>
      <c r="G4945">
        <v>0.64600293570527501</v>
      </c>
      <c r="H4945">
        <v>0.42104751592127598</v>
      </c>
      <c r="I4945">
        <v>0.40086467994639102</v>
      </c>
      <c r="J4945">
        <v>0.39202192208243503</v>
      </c>
      <c r="K4945">
        <v>0.30865761179934897</v>
      </c>
      <c r="L4945">
        <v>1182.46752717815</v>
      </c>
      <c r="M4945">
        <v>20.910836903462599</v>
      </c>
      <c r="N4945">
        <v>59.625719781764097</v>
      </c>
      <c r="O4945">
        <v>56.038535386482103</v>
      </c>
      <c r="P4945">
        <v>-6.2496167543078601E-2</v>
      </c>
      <c r="Q4945">
        <v>0.330089379225736</v>
      </c>
      <c r="R4945">
        <v>0.992149513828534</v>
      </c>
      <c r="S4945" t="s">
        <v>11561</v>
      </c>
      <c r="T4945" t="s">
        <v>13232</v>
      </c>
      <c r="U4945" t="s">
        <v>13232</v>
      </c>
      <c r="V4945" t="s">
        <v>13232</v>
      </c>
      <c r="W4945" t="s">
        <v>18110</v>
      </c>
      <c r="X4945">
        <v>14</v>
      </c>
      <c r="Y4945" t="s">
        <v>24516</v>
      </c>
      <c r="Z4945" t="s">
        <v>31076</v>
      </c>
      <c r="AA4945">
        <v>0.70755206336345322</v>
      </c>
      <c r="AB4945" t="str">
        <f>HYPERLINK("Melting_Curves/meltCurve_Q96EV8_DTNBP1.pdf", "Melting_Curves/meltCurve_Q96EV8_DTNBP1.pdf")</f>
        <v>Melting_Curves/meltCurve_Q96EV8_DTNBP1.pdf</v>
      </c>
    </row>
    <row r="4946" spans="1:28" x14ac:dyDescent="0.25">
      <c r="A4946" t="s">
        <v>4949</v>
      </c>
      <c r="B4946">
        <v>0.99930955844802105</v>
      </c>
      <c r="C4946">
        <v>1.05152425740158</v>
      </c>
      <c r="D4946">
        <v>0.887933133122911</v>
      </c>
      <c r="E4946">
        <v>0.56689851213343201</v>
      </c>
      <c r="F4946">
        <v>0.29199496053540402</v>
      </c>
      <c r="G4946">
        <v>0.204377068053227</v>
      </c>
      <c r="H4946">
        <v>0.11435681196653701</v>
      </c>
      <c r="I4946">
        <v>0.134961710209725</v>
      </c>
      <c r="J4946">
        <v>0.109688922666517</v>
      </c>
      <c r="K4946">
        <v>0.10651468042453199</v>
      </c>
      <c r="L4946">
        <v>1185.0545987294099</v>
      </c>
      <c r="M4946">
        <v>23.675433590449199</v>
      </c>
      <c r="N4946">
        <v>50.631363583283999</v>
      </c>
      <c r="O4946">
        <v>49.701184248514302</v>
      </c>
      <c r="P4946">
        <v>-0.105006596200026</v>
      </c>
      <c r="Q4946">
        <v>0.118264915827394</v>
      </c>
      <c r="R4946">
        <v>0.99480034049876598</v>
      </c>
      <c r="S4946" t="s">
        <v>11562</v>
      </c>
      <c r="T4946" t="s">
        <v>13232</v>
      </c>
      <c r="U4946" t="s">
        <v>13232</v>
      </c>
      <c r="V4946" t="s">
        <v>13232</v>
      </c>
      <c r="W4946" t="s">
        <v>18111</v>
      </c>
      <c r="X4946">
        <v>3</v>
      </c>
      <c r="Y4946" t="s">
        <v>24517</v>
      </c>
      <c r="Z4946" t="s">
        <v>31077</v>
      </c>
      <c r="AA4946">
        <v>0.42256311841579669</v>
      </c>
      <c r="AB4946" t="str">
        <f>HYPERLINK("Melting_Curves/meltCurve_Q96EW2_HSPBAP1.pdf", "Melting_Curves/meltCurve_Q96EW2_HSPBAP1.pdf")</f>
        <v>Melting_Curves/meltCurve_Q96EW2_HSPBAP1.pdf</v>
      </c>
    </row>
    <row r="4947" spans="1:28" x14ac:dyDescent="0.25">
      <c r="A4947" t="s">
        <v>4950</v>
      </c>
      <c r="B4947">
        <v>0.99930955844802105</v>
      </c>
      <c r="C4947">
        <v>0.4762686559589</v>
      </c>
      <c r="D4947">
        <v>0.41473239419018798</v>
      </c>
      <c r="E4947">
        <v>0.48323758572005898</v>
      </c>
      <c r="F4947">
        <v>0.35275502878397502</v>
      </c>
      <c r="G4947">
        <v>0.15787158137589499</v>
      </c>
      <c r="H4947">
        <v>5.8905055199561601E-2</v>
      </c>
      <c r="I4947">
        <v>5.2090893038287997E-2</v>
      </c>
      <c r="J4947">
        <v>2.97366223966684E-2</v>
      </c>
      <c r="K4947">
        <v>2.8394905805156401E-2</v>
      </c>
      <c r="L4947">
        <v>402.57063523418498</v>
      </c>
      <c r="M4947">
        <v>8.6749678553364191</v>
      </c>
      <c r="N4947">
        <v>46.406010012312301</v>
      </c>
      <c r="O4947">
        <v>44.1378000419137</v>
      </c>
      <c r="P4947">
        <v>-4.9176702202311497E-2</v>
      </c>
      <c r="Q4947">
        <v>0</v>
      </c>
      <c r="R4947">
        <v>0.85803745549781296</v>
      </c>
      <c r="S4947" t="s">
        <v>11563</v>
      </c>
      <c r="T4947" t="s">
        <v>13232</v>
      </c>
      <c r="U4947" t="s">
        <v>13232</v>
      </c>
      <c r="V4947" t="s">
        <v>13232</v>
      </c>
      <c r="W4947" t="s">
        <v>18112</v>
      </c>
      <c r="X4947">
        <v>4</v>
      </c>
      <c r="Y4947" t="s">
        <v>24518</v>
      </c>
      <c r="Z4947" t="s">
        <v>31078</v>
      </c>
      <c r="AA4947">
        <v>0.28864159449805132</v>
      </c>
      <c r="AB4947" t="str">
        <f>HYPERLINK("Melting_Curves/meltCurve_Q96EY1_2_DNAJA3.pdf", "Melting_Curves/meltCurve_Q96EY1_2_DNAJA3.pdf")</f>
        <v>Melting_Curves/meltCurve_Q96EY1_2_DNAJA3.pdf</v>
      </c>
    </row>
    <row r="4948" spans="1:28" x14ac:dyDescent="0.25">
      <c r="A4948" t="s">
        <v>4951</v>
      </c>
      <c r="B4948">
        <v>0.99930955844802105</v>
      </c>
      <c r="C4948">
        <v>1.12779159538103</v>
      </c>
      <c r="D4948">
        <v>1.05348620665293</v>
      </c>
      <c r="E4948">
        <v>0.88591477467902102</v>
      </c>
      <c r="F4948">
        <v>0.645406446787682</v>
      </c>
      <c r="G4948">
        <v>0.36631651792335002</v>
      </c>
      <c r="H4948">
        <v>0.27493739042856902</v>
      </c>
      <c r="I4948">
        <v>0.27107360927965202</v>
      </c>
      <c r="J4948">
        <v>0.27450276614111702</v>
      </c>
      <c r="K4948">
        <v>0.22798090127213999</v>
      </c>
      <c r="L4948">
        <v>1488.49154700495</v>
      </c>
      <c r="M4948">
        <v>27.968844098430701</v>
      </c>
      <c r="N4948">
        <v>54.621106805417</v>
      </c>
      <c r="O4948">
        <v>52.949793538025702</v>
      </c>
      <c r="P4948">
        <v>-9.8242658624651105E-2</v>
      </c>
      <c r="Q4948">
        <v>0.256045956685019</v>
      </c>
      <c r="R4948">
        <v>0.98237285668053198</v>
      </c>
      <c r="S4948" t="s">
        <v>11564</v>
      </c>
      <c r="T4948" t="s">
        <v>13232</v>
      </c>
      <c r="U4948" t="s">
        <v>13232</v>
      </c>
      <c r="V4948" t="s">
        <v>13232</v>
      </c>
      <c r="W4948" t="s">
        <v>18113</v>
      </c>
      <c r="X4948">
        <v>7</v>
      </c>
      <c r="Y4948" t="s">
        <v>24519</v>
      </c>
      <c r="Z4948" t="s">
        <v>31079</v>
      </c>
      <c r="AA4948">
        <v>0.58941667148839794</v>
      </c>
      <c r="AB4948" t="str">
        <f>HYPERLINK("Melting_Curves/meltCurve_Q96EY4_TMA16.pdf", "Melting_Curves/meltCurve_Q96EY4_TMA16.pdf")</f>
        <v>Melting_Curves/meltCurve_Q96EY4_TMA16.pdf</v>
      </c>
    </row>
    <row r="4949" spans="1:28" x14ac:dyDescent="0.25">
      <c r="A4949" t="s">
        <v>4952</v>
      </c>
      <c r="B4949">
        <v>0.99930955844802105</v>
      </c>
      <c r="C4949">
        <v>1.0078238314141701</v>
      </c>
      <c r="D4949">
        <v>0.93738934417977204</v>
      </c>
      <c r="E4949">
        <v>0.66223241673680799</v>
      </c>
      <c r="F4949">
        <v>0.303131314137285</v>
      </c>
      <c r="G4949">
        <v>0.19272232239738599</v>
      </c>
      <c r="H4949">
        <v>0.135623012940597</v>
      </c>
      <c r="I4949">
        <v>0.12375891286980301</v>
      </c>
      <c r="J4949">
        <v>9.8838024404177702E-2</v>
      </c>
      <c r="K4949">
        <v>8.1745853679184799E-2</v>
      </c>
      <c r="L4949">
        <v>1361.44663356506</v>
      </c>
      <c r="M4949">
        <v>26.808527961419198</v>
      </c>
      <c r="N4949">
        <v>51.264466125819297</v>
      </c>
      <c r="O4949">
        <v>50.504049898380103</v>
      </c>
      <c r="P4949">
        <v>-0.11796659658009299</v>
      </c>
      <c r="Q4949">
        <v>0.111069641001452</v>
      </c>
      <c r="R4949">
        <v>0.99727964796072099</v>
      </c>
      <c r="S4949" t="s">
        <v>11565</v>
      </c>
      <c r="T4949" t="s">
        <v>13232</v>
      </c>
      <c r="U4949" t="s">
        <v>13232</v>
      </c>
      <c r="V4949" t="s">
        <v>13232</v>
      </c>
      <c r="W4949" t="s">
        <v>18114</v>
      </c>
      <c r="X4949">
        <v>8</v>
      </c>
      <c r="Y4949" t="s">
        <v>24520</v>
      </c>
      <c r="Z4949" t="s">
        <v>31080</v>
      </c>
      <c r="AA4949">
        <v>0.43758766690347162</v>
      </c>
      <c r="AB4949" t="str">
        <f>HYPERLINK("Melting_Curves/meltCurve_Q96EY5_MVB12A.pdf", "Melting_Curves/meltCurve_Q96EY5_MVB12A.pdf")</f>
        <v>Melting_Curves/meltCurve_Q96EY5_MVB12A.pdf</v>
      </c>
    </row>
    <row r="4950" spans="1:28" x14ac:dyDescent="0.25">
      <c r="A4950" t="s">
        <v>4953</v>
      </c>
      <c r="B4950">
        <v>0.99930955844802105</v>
      </c>
      <c r="C4950">
        <v>0.72706498435959299</v>
      </c>
      <c r="D4950">
        <v>0.76348397814532398</v>
      </c>
      <c r="E4950">
        <v>0.67394129489281396</v>
      </c>
      <c r="F4950">
        <v>0.465223113745521</v>
      </c>
      <c r="G4950">
        <v>0.369754692100282</v>
      </c>
      <c r="H4950">
        <v>0.31853707206672599</v>
      </c>
      <c r="I4950">
        <v>0.31736850611533302</v>
      </c>
      <c r="J4950">
        <v>0.29211044079332199</v>
      </c>
      <c r="K4950">
        <v>0.24715832653943701</v>
      </c>
      <c r="L4950">
        <v>436.70139424094299</v>
      </c>
      <c r="M4950">
        <v>8.7355987600148399</v>
      </c>
      <c r="N4950">
        <v>52.983500694461398</v>
      </c>
      <c r="O4950">
        <v>47.578729499769103</v>
      </c>
      <c r="P4950">
        <v>-3.6992940301394203E-2</v>
      </c>
      <c r="Q4950">
        <v>0.194721454753471</v>
      </c>
      <c r="R4950">
        <v>0.948845631830742</v>
      </c>
      <c r="S4950" t="s">
        <v>11566</v>
      </c>
      <c r="T4950" t="s">
        <v>13232</v>
      </c>
      <c r="U4950" t="s">
        <v>13232</v>
      </c>
      <c r="V4950" t="s">
        <v>13232</v>
      </c>
      <c r="W4950" t="s">
        <v>18115</v>
      </c>
      <c r="X4950">
        <v>2</v>
      </c>
      <c r="Y4950" t="s">
        <v>24521</v>
      </c>
      <c r="Z4950" t="s">
        <v>31081</v>
      </c>
      <c r="AA4950">
        <v>0.50628191160797897</v>
      </c>
      <c r="AB4950" t="str">
        <f>HYPERLINK("Melting_Curves/meltCurve_Q96EY7_PTCD3.pdf", "Melting_Curves/meltCurve_Q96EY7_PTCD3.pdf")</f>
        <v>Melting_Curves/meltCurve_Q96EY7_PTCD3.pdf</v>
      </c>
    </row>
    <row r="4951" spans="1:28" x14ac:dyDescent="0.25">
      <c r="A4951" t="s">
        <v>4954</v>
      </c>
      <c r="B4951">
        <v>0.99930955844802105</v>
      </c>
      <c r="C4951">
        <v>1.08829044354282</v>
      </c>
      <c r="D4951">
        <v>1.0595283240487801</v>
      </c>
      <c r="E4951">
        <v>0.95839741176986604</v>
      </c>
      <c r="F4951">
        <v>0.887193730751903</v>
      </c>
      <c r="G4951">
        <v>0.69534794310238202</v>
      </c>
      <c r="H4951">
        <v>0.474652383587369</v>
      </c>
      <c r="I4951">
        <v>0.36333148889364902</v>
      </c>
      <c r="J4951">
        <v>0.25728220752488401</v>
      </c>
      <c r="K4951">
        <v>0.17746153102974399</v>
      </c>
      <c r="L4951">
        <v>919.855931191237</v>
      </c>
      <c r="M4951">
        <v>15.4174778533037</v>
      </c>
      <c r="N4951">
        <v>60.649844413635101</v>
      </c>
      <c r="O4951">
        <v>58.686456449930901</v>
      </c>
      <c r="P4951">
        <v>-5.8397990222178002E-2</v>
      </c>
      <c r="Q4951">
        <v>0.110915471743157</v>
      </c>
      <c r="R4951">
        <v>0.98743911920390504</v>
      </c>
      <c r="S4951" t="s">
        <v>11567</v>
      </c>
      <c r="T4951" t="s">
        <v>13232</v>
      </c>
      <c r="U4951" t="s">
        <v>13232</v>
      </c>
      <c r="V4951" t="s">
        <v>13232</v>
      </c>
      <c r="W4951" t="s">
        <v>18116</v>
      </c>
      <c r="X4951">
        <v>10</v>
      </c>
      <c r="Y4951" t="s">
        <v>24522</v>
      </c>
      <c r="Z4951" t="s">
        <v>31082</v>
      </c>
      <c r="AA4951">
        <v>0.70114623213400418</v>
      </c>
      <c r="AB4951" t="str">
        <f>HYPERLINK("Melting_Curves/meltCurve_Q96EY8_MMAB.pdf", "Melting_Curves/meltCurve_Q96EY8_MMAB.pdf")</f>
        <v>Melting_Curves/meltCurve_Q96EY8_MMAB.pdf</v>
      </c>
    </row>
    <row r="4952" spans="1:28" x14ac:dyDescent="0.25">
      <c r="A4952" t="s">
        <v>4955</v>
      </c>
      <c r="B4952">
        <v>0.99930955844802105</v>
      </c>
      <c r="C4952">
        <v>0.895462381222911</v>
      </c>
      <c r="D4952">
        <v>0.78562959890898099</v>
      </c>
      <c r="E4952">
        <v>0.76258279693054698</v>
      </c>
      <c r="F4952">
        <v>0.61876065708957795</v>
      </c>
      <c r="G4952">
        <v>0.38518434271717</v>
      </c>
      <c r="H4952">
        <v>0.19699548568504199</v>
      </c>
      <c r="I4952">
        <v>9.4878486651834501E-2</v>
      </c>
      <c r="J4952">
        <v>7.1002514082950996E-2</v>
      </c>
      <c r="K4952">
        <v>5.63216553073419E-2</v>
      </c>
      <c r="L4952">
        <v>634.41111885819998</v>
      </c>
      <c r="M4952">
        <v>11.697387914028401</v>
      </c>
      <c r="N4952">
        <v>54.235280716569598</v>
      </c>
      <c r="O4952">
        <v>52.722945929240701</v>
      </c>
      <c r="P4952">
        <v>-5.5481064102245098E-2</v>
      </c>
      <c r="Q4952">
        <v>0</v>
      </c>
      <c r="R4952">
        <v>0.98140430469786499</v>
      </c>
      <c r="S4952" t="s">
        <v>11568</v>
      </c>
      <c r="T4952" t="s">
        <v>13232</v>
      </c>
      <c r="U4952" t="s">
        <v>13232</v>
      </c>
      <c r="V4952" t="s">
        <v>13232</v>
      </c>
      <c r="W4952" t="s">
        <v>18117</v>
      </c>
      <c r="X4952">
        <v>10</v>
      </c>
      <c r="Y4952" t="s">
        <v>24523</v>
      </c>
      <c r="Z4952" t="s">
        <v>31083</v>
      </c>
      <c r="AA4952">
        <v>0.50059396848309701</v>
      </c>
      <c r="AB4952" t="str">
        <f>HYPERLINK("Melting_Curves/meltCurve_Q96EY9_ADAT3.pdf", "Melting_Curves/meltCurve_Q96EY9_ADAT3.pdf")</f>
        <v>Melting_Curves/meltCurve_Q96EY9_ADAT3.pdf</v>
      </c>
    </row>
    <row r="4953" spans="1:28" x14ac:dyDescent="0.25">
      <c r="A4953" t="s">
        <v>4956</v>
      </c>
      <c r="B4953">
        <v>0.99930955844802105</v>
      </c>
      <c r="C4953">
        <v>0.97622421446743901</v>
      </c>
      <c r="D4953">
        <v>0.932690445693235</v>
      </c>
      <c r="E4953">
        <v>0.75513772293451398</v>
      </c>
      <c r="F4953">
        <v>0.64508238612018398</v>
      </c>
      <c r="G4953">
        <v>0.56188751507464196</v>
      </c>
      <c r="H4953">
        <v>0.60810386232847902</v>
      </c>
      <c r="I4953">
        <v>0.61141209155949605</v>
      </c>
      <c r="J4953">
        <v>0.61807879562628198</v>
      </c>
      <c r="K4953">
        <v>0.48619939853488398</v>
      </c>
      <c r="L4953">
        <v>1132.0782819676999</v>
      </c>
      <c r="M4953">
        <v>22.9576307233866</v>
      </c>
      <c r="O4953">
        <v>48.942073299597702</v>
      </c>
      <c r="P4953">
        <v>-5.01663963498113E-2</v>
      </c>
      <c r="Q4953">
        <v>0.57222062032686605</v>
      </c>
      <c r="R4953">
        <v>0.95886403195310399</v>
      </c>
      <c r="S4953" t="s">
        <v>11569</v>
      </c>
      <c r="T4953" t="s">
        <v>13232</v>
      </c>
      <c r="U4953" t="s">
        <v>13232</v>
      </c>
      <c r="V4953" t="s">
        <v>13232</v>
      </c>
      <c r="W4953" t="s">
        <v>18118</v>
      </c>
      <c r="X4953">
        <v>7</v>
      </c>
      <c r="Y4953" t="s">
        <v>24524</v>
      </c>
      <c r="Z4953" t="s">
        <v>31084</v>
      </c>
      <c r="AA4953">
        <v>0.70951925640954172</v>
      </c>
      <c r="AB4953" t="str">
        <f>HYPERLINK("Melting_Curves/meltCurve_Q96EZ8_3_MCRS1.pdf", "Melting_Curves/meltCurve_Q96EZ8_3_MCRS1.pdf")</f>
        <v>Melting_Curves/meltCurve_Q96EZ8_3_MCRS1.pdf</v>
      </c>
    </row>
    <row r="4954" spans="1:28" x14ac:dyDescent="0.25">
      <c r="A4954" t="s">
        <v>4957</v>
      </c>
      <c r="B4954">
        <v>0.99930955844802105</v>
      </c>
      <c r="C4954">
        <v>1.08926482036246</v>
      </c>
      <c r="D4954">
        <v>1.09313747697914</v>
      </c>
      <c r="E4954">
        <v>1.0503439942611501</v>
      </c>
      <c r="F4954">
        <v>0.981140447917493</v>
      </c>
      <c r="G4954">
        <v>0.83073314004669396</v>
      </c>
      <c r="H4954">
        <v>0.78876299628024105</v>
      </c>
      <c r="I4954">
        <v>0.73790313025459797</v>
      </c>
      <c r="J4954">
        <v>0.780090191789236</v>
      </c>
      <c r="K4954">
        <v>0.43484677928570498</v>
      </c>
      <c r="L4954">
        <v>704.34864152026501</v>
      </c>
      <c r="M4954">
        <v>9.9574244129352305</v>
      </c>
      <c r="O4954">
        <v>68.060482978145998</v>
      </c>
      <c r="P4954">
        <v>-3.65937265344147E-2</v>
      </c>
      <c r="Q4954">
        <v>0</v>
      </c>
      <c r="R4954">
        <v>0.84050947087396499</v>
      </c>
      <c r="S4954" t="s">
        <v>11570</v>
      </c>
      <c r="T4954" t="s">
        <v>13232</v>
      </c>
      <c r="U4954" t="s">
        <v>13232</v>
      </c>
      <c r="V4954" t="s">
        <v>13232</v>
      </c>
      <c r="W4954" t="s">
        <v>18119</v>
      </c>
      <c r="X4954">
        <v>9</v>
      </c>
      <c r="Y4954" t="s">
        <v>24525</v>
      </c>
      <c r="Z4954" t="s">
        <v>31085</v>
      </c>
      <c r="AA4954">
        <v>0.87771456288378724</v>
      </c>
      <c r="AB4954" t="str">
        <f>HYPERLINK("Melting_Curves/meltCurve_Q96F24_2_NRBF2.pdf", "Melting_Curves/meltCurve_Q96F24_2_NRBF2.pdf")</f>
        <v>Melting_Curves/meltCurve_Q96F24_2_NRBF2.pdf</v>
      </c>
    </row>
    <row r="4955" spans="1:28" x14ac:dyDescent="0.25">
      <c r="A4955" t="s">
        <v>4958</v>
      </c>
      <c r="B4955">
        <v>0.99930955844802105</v>
      </c>
      <c r="C4955">
        <v>1.0364324165747201</v>
      </c>
      <c r="D4955">
        <v>0.93845735707687705</v>
      </c>
      <c r="E4955">
        <v>0.571017023774397</v>
      </c>
      <c r="F4955">
        <v>0.239694603888185</v>
      </c>
      <c r="G4955">
        <v>0.17175282816847201</v>
      </c>
      <c r="H4955">
        <v>0.115531815825841</v>
      </c>
      <c r="I4955">
        <v>0.110439089139082</v>
      </c>
      <c r="J4955">
        <v>0.115752648067038</v>
      </c>
      <c r="K4955">
        <v>8.33161626203624E-2</v>
      </c>
      <c r="L4955">
        <v>1522.0648083221699</v>
      </c>
      <c r="M4955">
        <v>30.389135156501698</v>
      </c>
      <c r="N4955">
        <v>50.5067888307819</v>
      </c>
      <c r="O4955">
        <v>49.870432108585703</v>
      </c>
      <c r="P4955">
        <v>-0.13529768090910199</v>
      </c>
      <c r="Q4955">
        <v>0.111878307220244</v>
      </c>
      <c r="R4955">
        <v>0.99714631162674205</v>
      </c>
      <c r="S4955" t="s">
        <v>11571</v>
      </c>
      <c r="T4955" t="s">
        <v>13232</v>
      </c>
      <c r="U4955" t="s">
        <v>13232</v>
      </c>
      <c r="V4955" t="s">
        <v>13232</v>
      </c>
      <c r="W4955" t="s">
        <v>18120</v>
      </c>
      <c r="X4955">
        <v>18</v>
      </c>
      <c r="Y4955" t="s">
        <v>24526</v>
      </c>
      <c r="Z4955" t="s">
        <v>31086</v>
      </c>
      <c r="AA4955">
        <v>0.41581888518810761</v>
      </c>
      <c r="AB4955" t="str">
        <f>HYPERLINK("Melting_Curves/meltCurve_Q96F44_3_TRIM11.pdf", "Melting_Curves/meltCurve_Q96F44_3_TRIM11.pdf")</f>
        <v>Melting_Curves/meltCurve_Q96F44_3_TRIM11.pdf</v>
      </c>
    </row>
    <row r="4956" spans="1:28" x14ac:dyDescent="0.25">
      <c r="A4956" t="s">
        <v>4959</v>
      </c>
      <c r="B4956">
        <v>0.99930955844802105</v>
      </c>
      <c r="C4956">
        <v>0.770356314322999</v>
      </c>
      <c r="D4956">
        <v>0.763049784452976</v>
      </c>
      <c r="E4956">
        <v>0.77400095226687204</v>
      </c>
      <c r="F4956">
        <v>0.65651610357117796</v>
      </c>
      <c r="G4956">
        <v>0.53377948464136504</v>
      </c>
      <c r="H4956">
        <v>0.481676152945203</v>
      </c>
      <c r="I4956">
        <v>0.53393684172345701</v>
      </c>
      <c r="J4956">
        <v>0.52792799782420696</v>
      </c>
      <c r="K4956">
        <v>0.45100746785310503</v>
      </c>
      <c r="L4956">
        <v>370.39343450067599</v>
      </c>
      <c r="M4956">
        <v>7.4541930293472998</v>
      </c>
      <c r="N4956">
        <v>64.824436174098494</v>
      </c>
      <c r="O4956">
        <v>46.489705534181098</v>
      </c>
      <c r="P4956">
        <v>-2.3593718145142498E-2</v>
      </c>
      <c r="Q4956">
        <v>0.41227486555982501</v>
      </c>
      <c r="R4956">
        <v>0.89482237113224194</v>
      </c>
      <c r="S4956" t="s">
        <v>11572</v>
      </c>
      <c r="T4956" t="s">
        <v>13232</v>
      </c>
      <c r="U4956" t="s">
        <v>13232</v>
      </c>
      <c r="V4956" t="s">
        <v>13232</v>
      </c>
      <c r="W4956" t="s">
        <v>18121</v>
      </c>
      <c r="X4956">
        <v>9</v>
      </c>
      <c r="Y4956" t="s">
        <v>24527</v>
      </c>
      <c r="Z4956" t="s">
        <v>31087</v>
      </c>
      <c r="AA4956">
        <v>0.64126327464255994</v>
      </c>
      <c r="AB4956" t="str">
        <f>HYPERLINK("Melting_Curves/meltCurve_Q96F63_CCDC97.pdf", "Melting_Curves/meltCurve_Q96F63_CCDC97.pdf")</f>
        <v>Melting_Curves/meltCurve_Q96F63_CCDC97.pdf</v>
      </c>
    </row>
    <row r="4957" spans="1:28" x14ac:dyDescent="0.25">
      <c r="A4957" t="s">
        <v>4960</v>
      </c>
      <c r="B4957">
        <v>0.99930955844802105</v>
      </c>
      <c r="C4957">
        <v>1.1511978737673001</v>
      </c>
      <c r="D4957">
        <v>1.27266326823905</v>
      </c>
      <c r="E4957">
        <v>1.17293133225269</v>
      </c>
      <c r="F4957">
        <v>0.92869829978012297</v>
      </c>
      <c r="G4957">
        <v>0.62948465691080702</v>
      </c>
      <c r="H4957">
        <v>0.34683057219002</v>
      </c>
      <c r="I4957">
        <v>0.34856007406148498</v>
      </c>
      <c r="J4957">
        <v>0.26882852097207099</v>
      </c>
      <c r="K4957">
        <v>0.24570654373287701</v>
      </c>
      <c r="L4957">
        <v>1985.426818038</v>
      </c>
      <c r="M4957">
        <v>34.865546252317202</v>
      </c>
      <c r="N4957">
        <v>58.322074122973198</v>
      </c>
      <c r="O4957">
        <v>56.758879093297502</v>
      </c>
      <c r="P4957">
        <v>-0.11049884287032501</v>
      </c>
      <c r="Q4957">
        <v>0.28046239402052803</v>
      </c>
      <c r="R4957">
        <v>0.91237646457527799</v>
      </c>
      <c r="S4957" t="s">
        <v>11573</v>
      </c>
      <c r="T4957" t="s">
        <v>13232</v>
      </c>
      <c r="U4957" t="s">
        <v>13232</v>
      </c>
      <c r="V4957" t="s">
        <v>13232</v>
      </c>
      <c r="W4957" t="s">
        <v>18122</v>
      </c>
      <c r="X4957">
        <v>1</v>
      </c>
      <c r="Y4957" t="s">
        <v>24528</v>
      </c>
      <c r="Z4957" t="s">
        <v>31088</v>
      </c>
      <c r="AA4957">
        <v>0.69053068566215381</v>
      </c>
      <c r="AB4957" t="str">
        <f>HYPERLINK("Melting_Curves/meltCurve_Q96F85_2_CNRIP1.pdf", "Melting_Curves/meltCurve_Q96F85_2_CNRIP1.pdf")</f>
        <v>Melting_Curves/meltCurve_Q96F85_2_CNRIP1.pdf</v>
      </c>
    </row>
    <row r="4958" spans="1:28" x14ac:dyDescent="0.25">
      <c r="A4958" t="s">
        <v>4961</v>
      </c>
      <c r="B4958">
        <v>0.99930955844802105</v>
      </c>
      <c r="C4958">
        <v>1.07790416378611</v>
      </c>
      <c r="D4958">
        <v>1.02013387587981</v>
      </c>
      <c r="E4958">
        <v>0.89261366439287404</v>
      </c>
      <c r="F4958">
        <v>0.65248252784572702</v>
      </c>
      <c r="G4958">
        <v>0.63057564376944997</v>
      </c>
      <c r="H4958">
        <v>0.75703558796463599</v>
      </c>
      <c r="I4958">
        <v>0.74168609125104701</v>
      </c>
      <c r="J4958">
        <v>0.567306360714674</v>
      </c>
      <c r="K4958">
        <v>0.336353621714514</v>
      </c>
      <c r="L4958">
        <v>376.63284731279401</v>
      </c>
      <c r="M4958">
        <v>5.5170586535908797</v>
      </c>
      <c r="N4958">
        <v>68.266939944126094</v>
      </c>
      <c r="O4958">
        <v>60.869384308315198</v>
      </c>
      <c r="P4958">
        <v>-2.2758144058449701E-2</v>
      </c>
      <c r="Q4958">
        <v>0</v>
      </c>
      <c r="R4958">
        <v>0.75969251008488803</v>
      </c>
      <c r="S4958" t="s">
        <v>11574</v>
      </c>
      <c r="T4958" t="s">
        <v>13232</v>
      </c>
      <c r="U4958" t="s">
        <v>13232</v>
      </c>
      <c r="V4958" t="s">
        <v>13232</v>
      </c>
      <c r="W4958" t="s">
        <v>18123</v>
      </c>
      <c r="X4958">
        <v>20</v>
      </c>
      <c r="Y4958" t="s">
        <v>24529</v>
      </c>
      <c r="Z4958" t="s">
        <v>31089</v>
      </c>
      <c r="AA4958">
        <v>0.76637004880230664</v>
      </c>
      <c r="AB4958" t="str">
        <f>HYPERLINK("Melting_Curves/meltCurve_Q96F86_EDC3.pdf", "Melting_Curves/meltCurve_Q96F86_EDC3.pdf")</f>
        <v>Melting_Curves/meltCurve_Q96F86_EDC3.pdf</v>
      </c>
    </row>
    <row r="4959" spans="1:28" x14ac:dyDescent="0.25">
      <c r="A4959" t="s">
        <v>4962</v>
      </c>
      <c r="B4959">
        <v>0.99930955844802105</v>
      </c>
      <c r="C4959">
        <v>0.85836905251600404</v>
      </c>
      <c r="D4959">
        <v>0.68868363402545296</v>
      </c>
      <c r="E4959">
        <v>0.48489774183458401</v>
      </c>
      <c r="F4959">
        <v>0.37930529808484698</v>
      </c>
      <c r="G4959">
        <v>0.17578750137773599</v>
      </c>
      <c r="H4959">
        <v>0.11697592951249999</v>
      </c>
      <c r="I4959">
        <v>0.104655422839684</v>
      </c>
      <c r="J4959">
        <v>0.10936910802630199</v>
      </c>
      <c r="K4959">
        <v>7.4062882331627597E-2</v>
      </c>
      <c r="L4959">
        <v>600.51185276601905</v>
      </c>
      <c r="M4959">
        <v>12.185464710586601</v>
      </c>
      <c r="N4959">
        <v>49.727014456205097</v>
      </c>
      <c r="O4959">
        <v>48.010118984938103</v>
      </c>
      <c r="P4959">
        <v>-6.0181496105398601E-2</v>
      </c>
      <c r="Q4959">
        <v>5.17671523198533E-2</v>
      </c>
      <c r="R4959">
        <v>0.993092705489385</v>
      </c>
      <c r="S4959" t="s">
        <v>11575</v>
      </c>
      <c r="T4959" t="s">
        <v>13232</v>
      </c>
      <c r="U4959" t="s">
        <v>13232</v>
      </c>
      <c r="V4959" t="s">
        <v>13232</v>
      </c>
      <c r="W4959" t="s">
        <v>18124</v>
      </c>
      <c r="X4959">
        <v>5</v>
      </c>
      <c r="Y4959" t="s">
        <v>24530</v>
      </c>
      <c r="Z4959" t="s">
        <v>31090</v>
      </c>
      <c r="AA4959">
        <v>0.37851308578885179</v>
      </c>
      <c r="AB4959" t="str">
        <f>HYPERLINK("Melting_Curves/meltCurve_Q96FC9_4_DDX11.pdf", "Melting_Curves/meltCurve_Q96FC9_4_DDX11.pdf")</f>
        <v>Melting_Curves/meltCurve_Q96FC9_4_DDX11.pdf</v>
      </c>
    </row>
    <row r="4960" spans="1:28" x14ac:dyDescent="0.25">
      <c r="A4960" t="s">
        <v>4963</v>
      </c>
      <c r="B4960">
        <v>0.99930955844802105</v>
      </c>
      <c r="C4960">
        <v>0.99047159790485195</v>
      </c>
      <c r="D4960">
        <v>0.98361638264724705</v>
      </c>
      <c r="E4960">
        <v>0.91143127393684498</v>
      </c>
      <c r="F4960">
        <v>0.75314561029427296</v>
      </c>
      <c r="G4960">
        <v>0.64858340756180899</v>
      </c>
      <c r="H4960">
        <v>0.60481688424822699</v>
      </c>
      <c r="I4960">
        <v>0.61589429171163601</v>
      </c>
      <c r="J4960">
        <v>0.55298928226674104</v>
      </c>
      <c r="K4960">
        <v>0.49108049990719399</v>
      </c>
      <c r="L4960">
        <v>887.52962308402005</v>
      </c>
      <c r="M4960">
        <v>16.616038843352101</v>
      </c>
      <c r="O4960">
        <v>52.658355653648698</v>
      </c>
      <c r="P4960">
        <v>-3.66209394003955E-2</v>
      </c>
      <c r="Q4960">
        <v>0.53580558584814397</v>
      </c>
      <c r="R4960">
        <v>0.97859409043136003</v>
      </c>
      <c r="S4960" t="s">
        <v>11576</v>
      </c>
      <c r="T4960" t="s">
        <v>13232</v>
      </c>
      <c r="U4960" t="s">
        <v>13232</v>
      </c>
      <c r="V4960" t="s">
        <v>13232</v>
      </c>
      <c r="W4960" t="s">
        <v>18125</v>
      </c>
      <c r="X4960">
        <v>9</v>
      </c>
      <c r="Y4960" t="s">
        <v>24531</v>
      </c>
      <c r="Z4960" t="s">
        <v>31091</v>
      </c>
      <c r="AA4960">
        <v>0.75186501027877772</v>
      </c>
      <c r="AB4960" t="str">
        <f>HYPERLINK("Melting_Curves/meltCurve_Q96FF9_CDCA5.pdf", "Melting_Curves/meltCurve_Q96FF9_CDCA5.pdf")</f>
        <v>Melting_Curves/meltCurve_Q96FF9_CDCA5.pdf</v>
      </c>
    </row>
    <row r="4961" spans="1:28" x14ac:dyDescent="0.25">
      <c r="A4961" t="s">
        <v>4964</v>
      </c>
      <c r="B4961">
        <v>0.99930955844802105</v>
      </c>
      <c r="C4961">
        <v>0.93502456846912696</v>
      </c>
      <c r="D4961">
        <v>0.85615049461220805</v>
      </c>
      <c r="E4961">
        <v>0.80069492897090799</v>
      </c>
      <c r="F4961">
        <v>0.57537395581889605</v>
      </c>
      <c r="G4961">
        <v>0.38456353926255998</v>
      </c>
      <c r="H4961">
        <v>0.223623212870078</v>
      </c>
      <c r="I4961">
        <v>0.147447136829192</v>
      </c>
      <c r="J4961">
        <v>0.102844972767951</v>
      </c>
      <c r="K4961">
        <v>7.2744564159638606E-2</v>
      </c>
      <c r="L4961">
        <v>640.56560247884397</v>
      </c>
      <c r="M4961">
        <v>11.717595406975301</v>
      </c>
      <c r="N4961">
        <v>54.666984122225699</v>
      </c>
      <c r="O4961">
        <v>53.147626054380403</v>
      </c>
      <c r="P4961">
        <v>-5.5132721329193501E-2</v>
      </c>
      <c r="Q4961">
        <v>0</v>
      </c>
      <c r="R4961">
        <v>0.99519255448806498</v>
      </c>
      <c r="S4961" t="s">
        <v>11577</v>
      </c>
      <c r="T4961" t="s">
        <v>13232</v>
      </c>
      <c r="U4961" t="s">
        <v>13232</v>
      </c>
      <c r="V4961" t="s">
        <v>13232</v>
      </c>
      <c r="W4961" t="s">
        <v>18126</v>
      </c>
      <c r="X4961">
        <v>8</v>
      </c>
      <c r="Y4961" t="s">
        <v>24532</v>
      </c>
      <c r="Z4961" t="s">
        <v>31092</v>
      </c>
      <c r="AA4961">
        <v>0.51372101449602992</v>
      </c>
      <c r="AB4961" t="str">
        <f>HYPERLINK("Melting_Curves/meltCurve_Q96FJ2_DYNLL2.pdf", "Melting_Curves/meltCurve_Q96FJ2_DYNLL2.pdf")</f>
        <v>Melting_Curves/meltCurve_Q96FJ2_DYNLL2.pdf</v>
      </c>
    </row>
    <row r="4962" spans="1:28" x14ac:dyDescent="0.25">
      <c r="A4962" t="s">
        <v>4965</v>
      </c>
      <c r="B4962">
        <v>0.99930955844802105</v>
      </c>
      <c r="C4962">
        <v>0.98181023042063198</v>
      </c>
      <c r="D4962">
        <v>1.029094403585</v>
      </c>
      <c r="E4962">
        <v>0.83745608116016901</v>
      </c>
      <c r="F4962">
        <v>0.63801382775055704</v>
      </c>
      <c r="G4962">
        <v>0.37861380399458999</v>
      </c>
      <c r="H4962">
        <v>0.161625092582452</v>
      </c>
      <c r="I4962">
        <v>0.117023861990272</v>
      </c>
      <c r="J4962">
        <v>8.82621889227099E-2</v>
      </c>
      <c r="K4962">
        <v>7.0974452592479406E-2</v>
      </c>
      <c r="L4962">
        <v>991.50331999889397</v>
      </c>
      <c r="M4962">
        <v>18.1585926950134</v>
      </c>
      <c r="N4962">
        <v>54.9501180679014</v>
      </c>
      <c r="O4962">
        <v>53.953137919284799</v>
      </c>
      <c r="P4962">
        <v>-7.9578064262455603E-2</v>
      </c>
      <c r="Q4962">
        <v>5.4269940538781702E-2</v>
      </c>
      <c r="R4962">
        <v>0.99674936124539903</v>
      </c>
      <c r="S4962" t="s">
        <v>11578</v>
      </c>
      <c r="T4962" t="s">
        <v>13232</v>
      </c>
      <c r="U4962" t="s">
        <v>13232</v>
      </c>
      <c r="V4962" t="s">
        <v>13232</v>
      </c>
      <c r="W4962" t="s">
        <v>18127</v>
      </c>
      <c r="X4962">
        <v>7</v>
      </c>
      <c r="Y4962" t="s">
        <v>24533</v>
      </c>
      <c r="Z4962" t="s">
        <v>31093</v>
      </c>
      <c r="AA4962">
        <v>0.52926961719776033</v>
      </c>
      <c r="AB4962" t="str">
        <f>HYPERLINK("Melting_Curves/meltCurve_Q96FK6_WDR89.pdf", "Melting_Curves/meltCurve_Q96FK6_WDR89.pdf")</f>
        <v>Melting_Curves/meltCurve_Q96FK6_WDR89.pdf</v>
      </c>
    </row>
    <row r="4963" spans="1:28" x14ac:dyDescent="0.25">
      <c r="A4963" t="s">
        <v>4966</v>
      </c>
      <c r="B4963">
        <v>0.99930955844802105</v>
      </c>
      <c r="C4963">
        <v>1.1046172521292901</v>
      </c>
      <c r="D4963">
        <v>1.07016265181194</v>
      </c>
      <c r="E4963">
        <v>0.69184232097323795</v>
      </c>
      <c r="F4963">
        <v>0.26563534963371699</v>
      </c>
      <c r="G4963">
        <v>0.18163756593288899</v>
      </c>
      <c r="H4963">
        <v>0.11301156771518001</v>
      </c>
      <c r="I4963">
        <v>9.3154583880053293E-2</v>
      </c>
      <c r="J4963">
        <v>6.8097406206084093E-2</v>
      </c>
      <c r="K4963">
        <v>7.0474164300754497E-2</v>
      </c>
      <c r="L4963">
        <v>1946.05945136382</v>
      </c>
      <c r="M4963">
        <v>38.213500761691598</v>
      </c>
      <c r="N4963">
        <v>51.228940271731098</v>
      </c>
      <c r="O4963">
        <v>50.787109527040499</v>
      </c>
      <c r="P4963">
        <v>-0.169081214268227</v>
      </c>
      <c r="Q4963">
        <v>0.10114242734927099</v>
      </c>
      <c r="R4963">
        <v>0.98620655032738203</v>
      </c>
      <c r="S4963" t="s">
        <v>11579</v>
      </c>
      <c r="T4963" t="s">
        <v>13232</v>
      </c>
      <c r="U4963" t="s">
        <v>13232</v>
      </c>
      <c r="V4963" t="s">
        <v>13232</v>
      </c>
      <c r="W4963" t="s">
        <v>18128</v>
      </c>
      <c r="X4963">
        <v>6</v>
      </c>
      <c r="Y4963" t="s">
        <v>24534</v>
      </c>
      <c r="Z4963" t="s">
        <v>31094</v>
      </c>
      <c r="AA4963">
        <v>0.43197442693827698</v>
      </c>
      <c r="AB4963" t="str">
        <f>HYPERLINK("Melting_Curves/meltCurve_Q96FN4_CPNE2.pdf", "Melting_Curves/meltCurve_Q96FN4_CPNE2.pdf")</f>
        <v>Melting_Curves/meltCurve_Q96FN4_CPNE2.pdf</v>
      </c>
    </row>
    <row r="4964" spans="1:28" x14ac:dyDescent="0.25">
      <c r="A4964" t="s">
        <v>4967</v>
      </c>
      <c r="B4964">
        <v>0.99930955844802105</v>
      </c>
      <c r="C4964">
        <v>1.03693545242537</v>
      </c>
      <c r="D4964">
        <v>0.89149951023538199</v>
      </c>
      <c r="E4964">
        <v>0.636992673833089</v>
      </c>
      <c r="F4964">
        <v>0.36030606545161697</v>
      </c>
      <c r="G4964">
        <v>0.29469479654479602</v>
      </c>
      <c r="H4964">
        <v>0.24741280665901699</v>
      </c>
      <c r="I4964">
        <v>0.26192642396763999</v>
      </c>
      <c r="J4964">
        <v>0.25547061133101001</v>
      </c>
      <c r="K4964">
        <v>0.21188590698807599</v>
      </c>
      <c r="L4964">
        <v>1258.9079719890001</v>
      </c>
      <c r="M4964">
        <v>25.205203973238099</v>
      </c>
      <c r="N4964">
        <v>51.297764971742502</v>
      </c>
      <c r="O4964">
        <v>49.635149686949099</v>
      </c>
      <c r="P4964">
        <v>-9.6153668108545698E-2</v>
      </c>
      <c r="Q4964">
        <v>0.24261060474524099</v>
      </c>
      <c r="R4964">
        <v>0.99398433159559696</v>
      </c>
      <c r="S4964" t="s">
        <v>11580</v>
      </c>
      <c r="T4964" t="s">
        <v>13232</v>
      </c>
      <c r="U4964" t="s">
        <v>13232</v>
      </c>
      <c r="V4964" t="s">
        <v>13232</v>
      </c>
      <c r="W4964" t="s">
        <v>18129</v>
      </c>
      <c r="X4964">
        <v>20</v>
      </c>
      <c r="Y4964" t="s">
        <v>24535</v>
      </c>
      <c r="Z4964" t="s">
        <v>31095</v>
      </c>
      <c r="AA4964">
        <v>0.50037453434088308</v>
      </c>
      <c r="AB4964" t="str">
        <f>HYPERLINK("Melting_Curves/meltCurve_Q96FS4_SIPA1.pdf", "Melting_Curves/meltCurve_Q96FS4_SIPA1.pdf")</f>
        <v>Melting_Curves/meltCurve_Q96FS4_SIPA1.pdf</v>
      </c>
    </row>
    <row r="4965" spans="1:28" x14ac:dyDescent="0.25">
      <c r="A4965" t="s">
        <v>4968</v>
      </c>
      <c r="B4965">
        <v>0.99930955844802105</v>
      </c>
      <c r="C4965">
        <v>0.907877514640274</v>
      </c>
      <c r="D4965">
        <v>0.82626486378516095</v>
      </c>
      <c r="E4965">
        <v>0.62228932614255905</v>
      </c>
      <c r="F4965">
        <v>0.59883207962915197</v>
      </c>
      <c r="G4965">
        <v>0.38872228425670602</v>
      </c>
      <c r="H4965">
        <v>0.28008133235363603</v>
      </c>
      <c r="I4965">
        <v>0.28510135271424097</v>
      </c>
      <c r="J4965">
        <v>0.41304798866912101</v>
      </c>
      <c r="K4965">
        <v>0.214539780907296</v>
      </c>
      <c r="L4965">
        <v>599.22311598488</v>
      </c>
      <c r="M4965">
        <v>11.8071044359832</v>
      </c>
      <c r="N4965">
        <v>53.853587546127898</v>
      </c>
      <c r="O4965">
        <v>49.3608928394573</v>
      </c>
      <c r="P4965">
        <v>-4.5056135221917003E-2</v>
      </c>
      <c r="Q4965">
        <v>0.246745010100587</v>
      </c>
      <c r="R4965">
        <v>0.95726156757860004</v>
      </c>
      <c r="S4965" t="s">
        <v>11581</v>
      </c>
      <c r="T4965" t="s">
        <v>13232</v>
      </c>
      <c r="U4965" t="s">
        <v>13232</v>
      </c>
      <c r="V4965" t="s">
        <v>13232</v>
      </c>
      <c r="W4965" t="s">
        <v>18130</v>
      </c>
      <c r="X4965">
        <v>3</v>
      </c>
      <c r="Y4965" t="s">
        <v>24536</v>
      </c>
      <c r="Z4965" t="s">
        <v>31096</v>
      </c>
      <c r="AA4965">
        <v>0.54222327336637366</v>
      </c>
      <c r="AB4965" t="str">
        <f>HYPERLINK("Melting_Curves/meltCurve_Q96FT9_IFT43.pdf", "Melting_Curves/meltCurve_Q96FT9_IFT43.pdf")</f>
        <v>Melting_Curves/meltCurve_Q96FT9_IFT43.pdf</v>
      </c>
    </row>
    <row r="4966" spans="1:28" x14ac:dyDescent="0.25">
      <c r="A4966" t="s">
        <v>4969</v>
      </c>
      <c r="B4966">
        <v>0.99930955844802105</v>
      </c>
      <c r="C4966">
        <v>1.06232442436479</v>
      </c>
      <c r="D4966">
        <v>1.02281867953567</v>
      </c>
      <c r="E4966">
        <v>0.88955250418620002</v>
      </c>
      <c r="F4966">
        <v>0.46965577448623802</v>
      </c>
      <c r="G4966">
        <v>0.34508700973284601</v>
      </c>
      <c r="H4966">
        <v>0.227496621490857</v>
      </c>
      <c r="I4966">
        <v>0.13463756469573099</v>
      </c>
      <c r="J4966">
        <v>0.11970739139348301</v>
      </c>
      <c r="K4966">
        <v>9.8380043741730303E-2</v>
      </c>
      <c r="L4966">
        <v>1254.80453334149</v>
      </c>
      <c r="M4966">
        <v>23.712749271038899</v>
      </c>
      <c r="N4966">
        <v>53.645343565947897</v>
      </c>
      <c r="O4966">
        <v>52.544837074277197</v>
      </c>
      <c r="P4966">
        <v>-9.7292576980607406E-2</v>
      </c>
      <c r="Q4966">
        <v>0.137655767785581</v>
      </c>
      <c r="R4966">
        <v>0.98039028227601099</v>
      </c>
      <c r="S4966" t="s">
        <v>11582</v>
      </c>
      <c r="T4966" t="s">
        <v>13232</v>
      </c>
      <c r="U4966" t="s">
        <v>13232</v>
      </c>
      <c r="V4966" t="s">
        <v>13232</v>
      </c>
      <c r="W4966" t="s">
        <v>18131</v>
      </c>
      <c r="X4966">
        <v>8</v>
      </c>
      <c r="Y4966" t="s">
        <v>24537</v>
      </c>
      <c r="Z4966" t="s">
        <v>31097</v>
      </c>
      <c r="AA4966">
        <v>0.51770632320240706</v>
      </c>
      <c r="AB4966" t="str">
        <f>HYPERLINK("Melting_Curves/meltCurve_Q96FV2_2_SCRN2.pdf", "Melting_Curves/meltCurve_Q96FV2_2_SCRN2.pdf")</f>
        <v>Melting_Curves/meltCurve_Q96FV2_2_SCRN2.pdf</v>
      </c>
    </row>
    <row r="4967" spans="1:28" x14ac:dyDescent="0.25">
      <c r="A4967" t="s">
        <v>4970</v>
      </c>
      <c r="B4967">
        <v>0.99930955844802105</v>
      </c>
      <c r="C4967">
        <v>0.87192199390941905</v>
      </c>
      <c r="D4967">
        <v>0.77152923656708206</v>
      </c>
      <c r="E4967">
        <v>0.63478646493235202</v>
      </c>
      <c r="F4967">
        <v>0.37036962505993798</v>
      </c>
      <c r="G4967">
        <v>0.27038451572855099</v>
      </c>
      <c r="H4967">
        <v>0.183253442640259</v>
      </c>
      <c r="I4967">
        <v>0.17486242810831601</v>
      </c>
      <c r="J4967">
        <v>0.152026811959664</v>
      </c>
      <c r="K4967">
        <v>0.123786987189426</v>
      </c>
      <c r="L4967">
        <v>631.53886398210295</v>
      </c>
      <c r="M4967">
        <v>12.5448381166436</v>
      </c>
      <c r="N4967">
        <v>51.294409832736299</v>
      </c>
      <c r="O4967">
        <v>49.114646648700898</v>
      </c>
      <c r="P4967">
        <v>-5.72356104593017E-2</v>
      </c>
      <c r="Q4967">
        <v>0.103842893594218</v>
      </c>
      <c r="R4967">
        <v>0.99068286708563003</v>
      </c>
      <c r="S4967" t="s">
        <v>11583</v>
      </c>
      <c r="T4967" t="s">
        <v>13232</v>
      </c>
      <c r="U4967" t="s">
        <v>13232</v>
      </c>
      <c r="V4967" t="s">
        <v>13232</v>
      </c>
      <c r="W4967" t="s">
        <v>18132</v>
      </c>
      <c r="X4967">
        <v>16</v>
      </c>
      <c r="Y4967" t="s">
        <v>24538</v>
      </c>
      <c r="Z4967" t="s">
        <v>31098</v>
      </c>
      <c r="AA4967">
        <v>0.44118418290289652</v>
      </c>
      <c r="AB4967" t="str">
        <f>HYPERLINK("Melting_Curves/meltCurve_Q96FV9_THOC1.pdf", "Melting_Curves/meltCurve_Q96FV9_THOC1.pdf")</f>
        <v>Melting_Curves/meltCurve_Q96FV9_THOC1.pdf</v>
      </c>
    </row>
    <row r="4968" spans="1:28" x14ac:dyDescent="0.25">
      <c r="A4968" t="s">
        <v>4971</v>
      </c>
      <c r="B4968">
        <v>0.99930955844802105</v>
      </c>
      <c r="C4968">
        <v>1.1485513043856601</v>
      </c>
      <c r="D4968">
        <v>1.22339109911179</v>
      </c>
      <c r="E4968">
        <v>1.2156121169256999</v>
      </c>
      <c r="F4968">
        <v>1.05582078885748</v>
      </c>
      <c r="G4968">
        <v>0.98459721499292996</v>
      </c>
      <c r="H4968">
        <v>1.12805238639615</v>
      </c>
      <c r="I4968">
        <v>1.1819609753726199</v>
      </c>
      <c r="J4968">
        <v>1.1203571408211499</v>
      </c>
      <c r="K4968">
        <v>0.98233032083827199</v>
      </c>
      <c r="L4968">
        <v>10274.5635085918</v>
      </c>
      <c r="M4968">
        <v>250</v>
      </c>
      <c r="O4968">
        <v>41.095621654696998</v>
      </c>
      <c r="P4968">
        <v>0.17585590610672899</v>
      </c>
      <c r="Q4968">
        <v>1.11563053105179</v>
      </c>
      <c r="R4968">
        <v>0.156186154741317</v>
      </c>
      <c r="S4968" t="s">
        <v>11584</v>
      </c>
      <c r="T4968" t="s">
        <v>13232</v>
      </c>
      <c r="U4968" t="s">
        <v>13232</v>
      </c>
      <c r="V4968" t="s">
        <v>13232</v>
      </c>
      <c r="W4968" t="s">
        <v>18133</v>
      </c>
      <c r="X4968">
        <v>1</v>
      </c>
      <c r="Y4968" t="s">
        <v>24539</v>
      </c>
      <c r="Z4968" t="s">
        <v>31099</v>
      </c>
      <c r="AA4968">
        <v>1.1113885125627021</v>
      </c>
      <c r="AB4968" t="str">
        <f>HYPERLINK("Melting_Curves/meltCurve_Q96FX2_DPH3.pdf", "Melting_Curves/meltCurve_Q96FX2_DPH3.pdf")</f>
        <v>Melting_Curves/meltCurve_Q96FX2_DPH3.pdf</v>
      </c>
    </row>
    <row r="4969" spans="1:28" x14ac:dyDescent="0.25">
      <c r="A4969" t="s">
        <v>4972</v>
      </c>
      <c r="B4969">
        <v>0.99930955844802105</v>
      </c>
      <c r="C4969">
        <v>0.88233782639634395</v>
      </c>
      <c r="D4969">
        <v>0.96477906119290202</v>
      </c>
      <c r="E4969">
        <v>0.99744758610929396</v>
      </c>
      <c r="F4969">
        <v>1.0555209105087899</v>
      </c>
      <c r="G4969">
        <v>0.72314159945170498</v>
      </c>
      <c r="H4969">
        <v>0.182523916643552</v>
      </c>
      <c r="I4969">
        <v>0.119468231672296</v>
      </c>
      <c r="J4969">
        <v>9.1095640101400102E-2</v>
      </c>
      <c r="K4969">
        <v>7.5866367900157106E-2</v>
      </c>
      <c r="L4969">
        <v>2737.5836137257802</v>
      </c>
      <c r="M4969">
        <v>47.168531335004097</v>
      </c>
      <c r="N4969">
        <v>58.291467302944397</v>
      </c>
      <c r="O4969">
        <v>57.934320177752603</v>
      </c>
      <c r="P4969">
        <v>-0.18469461066130699</v>
      </c>
      <c r="Q4969">
        <v>9.2603151730064504E-2</v>
      </c>
      <c r="R4969">
        <v>0.98814939720155903</v>
      </c>
      <c r="S4969" t="s">
        <v>11585</v>
      </c>
      <c r="T4969" t="s">
        <v>13232</v>
      </c>
      <c r="U4969" t="s">
        <v>13232</v>
      </c>
      <c r="V4969" t="s">
        <v>13232</v>
      </c>
      <c r="W4969" t="s">
        <v>18134</v>
      </c>
      <c r="X4969">
        <v>6</v>
      </c>
      <c r="Y4969" t="s">
        <v>24540</v>
      </c>
      <c r="Z4969" t="s">
        <v>31100</v>
      </c>
      <c r="AA4969">
        <v>0.64079520907598964</v>
      </c>
      <c r="AB4969" t="str">
        <f>HYPERLINK("Melting_Curves/meltCurve_Q96FX7_TRMT61A.pdf", "Melting_Curves/meltCurve_Q96FX7_TRMT61A.pdf")</f>
        <v>Melting_Curves/meltCurve_Q96FX7_TRMT61A.pdf</v>
      </c>
    </row>
    <row r="4970" spans="1:28" x14ac:dyDescent="0.25">
      <c r="A4970" t="s">
        <v>4973</v>
      </c>
      <c r="B4970">
        <v>0.99930955844802105</v>
      </c>
      <c r="C4970">
        <v>1.0385250088103</v>
      </c>
      <c r="D4970">
        <v>1.03454013072884</v>
      </c>
      <c r="E4970">
        <v>1.01311035944856</v>
      </c>
      <c r="F4970">
        <v>0.93090315018007896</v>
      </c>
      <c r="G4970">
        <v>0.63675044367910505</v>
      </c>
      <c r="H4970">
        <v>0.27431731628739497</v>
      </c>
      <c r="I4970">
        <v>0.13925868035945099</v>
      </c>
      <c r="J4970">
        <v>0.112133315247716</v>
      </c>
      <c r="K4970">
        <v>7.9697288811778802E-2</v>
      </c>
      <c r="L4970">
        <v>1569.6457206335101</v>
      </c>
      <c r="M4970">
        <v>27.0872591904991</v>
      </c>
      <c r="N4970">
        <v>58.318339826714897</v>
      </c>
      <c r="O4970">
        <v>57.634679304950197</v>
      </c>
      <c r="P4970">
        <v>-0.108206398696105</v>
      </c>
      <c r="Q4970">
        <v>7.9068139533057705E-2</v>
      </c>
      <c r="R4970">
        <v>0.99778073169127501</v>
      </c>
      <c r="S4970" t="s">
        <v>11586</v>
      </c>
      <c r="T4970" t="s">
        <v>13232</v>
      </c>
      <c r="U4970" t="s">
        <v>13232</v>
      </c>
      <c r="V4970" t="s">
        <v>13232</v>
      </c>
      <c r="W4970" t="s">
        <v>18135</v>
      </c>
      <c r="X4970">
        <v>37</v>
      </c>
      <c r="Y4970" t="s">
        <v>24541</v>
      </c>
      <c r="Z4970" t="s">
        <v>31101</v>
      </c>
      <c r="AA4970">
        <v>0.63716347376155325</v>
      </c>
      <c r="AB4970" t="str">
        <f>HYPERLINK("Melting_Curves/meltCurve_Q96G03_PGM2.pdf", "Melting_Curves/meltCurve_Q96G03_PGM2.pdf")</f>
        <v>Melting_Curves/meltCurve_Q96G03_PGM2.pdf</v>
      </c>
    </row>
    <row r="4971" spans="1:28" x14ac:dyDescent="0.25">
      <c r="A4971" t="s">
        <v>4974</v>
      </c>
      <c r="B4971">
        <v>0.99930955844802105</v>
      </c>
      <c r="C4971">
        <v>0.91681668536691896</v>
      </c>
      <c r="D4971">
        <v>0.90301412160454997</v>
      </c>
      <c r="E4971">
        <v>0.84005658515650605</v>
      </c>
      <c r="F4971">
        <v>0.62744580724155896</v>
      </c>
      <c r="G4971">
        <v>0.40275336150762497</v>
      </c>
      <c r="H4971">
        <v>0.27372956816819799</v>
      </c>
      <c r="I4971">
        <v>0.20610911475573601</v>
      </c>
      <c r="J4971">
        <v>0.23128644674117901</v>
      </c>
      <c r="K4971">
        <v>0.15654435869314101</v>
      </c>
      <c r="L4971">
        <v>785.36230106929997</v>
      </c>
      <c r="M4971">
        <v>14.537210402113701</v>
      </c>
      <c r="N4971">
        <v>55.296255471411698</v>
      </c>
      <c r="O4971">
        <v>53.0328521977668</v>
      </c>
      <c r="P4971">
        <v>-5.8796891296644997E-2</v>
      </c>
      <c r="Q4971">
        <v>0.14211581096009199</v>
      </c>
      <c r="R4971">
        <v>0.99071170448944001</v>
      </c>
      <c r="S4971" t="s">
        <v>11587</v>
      </c>
      <c r="T4971" t="s">
        <v>13232</v>
      </c>
      <c r="U4971" t="s">
        <v>13232</v>
      </c>
      <c r="V4971" t="s">
        <v>13232</v>
      </c>
      <c r="W4971" t="s">
        <v>18136</v>
      </c>
      <c r="X4971">
        <v>3</v>
      </c>
      <c r="Y4971" t="s">
        <v>24542</v>
      </c>
      <c r="Z4971" t="s">
        <v>31102</v>
      </c>
      <c r="AA4971">
        <v>0.56141599912319051</v>
      </c>
      <c r="AB4971" t="str">
        <f>HYPERLINK("Melting_Curves/meltCurve_Q96G25_MED8.pdf", "Melting_Curves/meltCurve_Q96G25_MED8.pdf")</f>
        <v>Melting_Curves/meltCurve_Q96G25_MED8.pdf</v>
      </c>
    </row>
    <row r="4972" spans="1:28" x14ac:dyDescent="0.25">
      <c r="A4972" t="s">
        <v>4975</v>
      </c>
      <c r="B4972">
        <v>0.99930955844802105</v>
      </c>
      <c r="C4972">
        <v>1.1336400474375099</v>
      </c>
      <c r="D4972">
        <v>1.0864709131003201</v>
      </c>
      <c r="E4972">
        <v>1.0581950021611</v>
      </c>
      <c r="F4972">
        <v>0.83227015781356295</v>
      </c>
      <c r="G4972">
        <v>0.70976595391197095</v>
      </c>
      <c r="H4972">
        <v>0.68255762550011201</v>
      </c>
      <c r="I4972">
        <v>0.72445355062203498</v>
      </c>
      <c r="J4972">
        <v>0.72674437734905495</v>
      </c>
      <c r="K4972">
        <v>0.55518835027201896</v>
      </c>
      <c r="L4972">
        <v>13244.9647837879</v>
      </c>
      <c r="M4972">
        <v>250</v>
      </c>
      <c r="O4972">
        <v>52.976469165685899</v>
      </c>
      <c r="P4972">
        <v>-0.37783052903456799</v>
      </c>
      <c r="Q4972">
        <v>0.67974196479339</v>
      </c>
      <c r="R4972">
        <v>0.86584061289750702</v>
      </c>
      <c r="S4972" t="s">
        <v>11588</v>
      </c>
      <c r="T4972" t="s">
        <v>13232</v>
      </c>
      <c r="U4972" t="s">
        <v>13232</v>
      </c>
      <c r="V4972" t="s">
        <v>13232</v>
      </c>
      <c r="W4972" t="s">
        <v>18137</v>
      </c>
      <c r="X4972">
        <v>12</v>
      </c>
      <c r="Y4972" t="s">
        <v>24543</v>
      </c>
      <c r="Z4972" t="s">
        <v>31103</v>
      </c>
      <c r="AA4972">
        <v>0.81833521480631022</v>
      </c>
      <c r="AB4972" t="str">
        <f>HYPERLINK("Melting_Curves/meltCurve_Q96G28_CCDC104.pdf", "Melting_Curves/meltCurve_Q96G28_CCDC104.pdf")</f>
        <v>Melting_Curves/meltCurve_Q96G28_CCDC104.pdf</v>
      </c>
    </row>
    <row r="4973" spans="1:28" x14ac:dyDescent="0.25">
      <c r="A4973" t="s">
        <v>4976</v>
      </c>
      <c r="B4973">
        <v>0.99930955844802105</v>
      </c>
      <c r="C4973">
        <v>0.96737925212840403</v>
      </c>
      <c r="D4973">
        <v>0.90486524730499196</v>
      </c>
      <c r="E4973">
        <v>0.76807219979488495</v>
      </c>
      <c r="F4973">
        <v>0.60737511669304201</v>
      </c>
      <c r="G4973">
        <v>0.34291058684810999</v>
      </c>
      <c r="H4973">
        <v>0.199778327890311</v>
      </c>
      <c r="I4973">
        <v>0.160691159070043</v>
      </c>
      <c r="J4973">
        <v>0.128940430224772</v>
      </c>
      <c r="K4973">
        <v>9.7083239517934197E-2</v>
      </c>
      <c r="L4973">
        <v>771.19870235402198</v>
      </c>
      <c r="M4973">
        <v>14.323605393333001</v>
      </c>
      <c r="N4973">
        <v>54.3831092895552</v>
      </c>
      <c r="O4973">
        <v>52.824292517394397</v>
      </c>
      <c r="P4973">
        <v>-6.3287609583999899E-2</v>
      </c>
      <c r="Q4973">
        <v>6.6515060576777196E-2</v>
      </c>
      <c r="R4973">
        <v>0.99878166910605404</v>
      </c>
      <c r="S4973" t="s">
        <v>11589</v>
      </c>
      <c r="T4973" t="s">
        <v>13232</v>
      </c>
      <c r="U4973" t="s">
        <v>13232</v>
      </c>
      <c r="V4973" t="s">
        <v>13232</v>
      </c>
      <c r="W4973" t="s">
        <v>18138</v>
      </c>
      <c r="X4973">
        <v>22</v>
      </c>
      <c r="Y4973" t="s">
        <v>24544</v>
      </c>
      <c r="Z4973" t="s">
        <v>31104</v>
      </c>
      <c r="AA4973">
        <v>0.5176423908018799</v>
      </c>
      <c r="AB4973" t="str">
        <f>HYPERLINK("Melting_Curves/meltCurve_Q96G46_DUS3L.pdf", "Melting_Curves/meltCurve_Q96G46_DUS3L.pdf")</f>
        <v>Melting_Curves/meltCurve_Q96G46_DUS3L.pdf</v>
      </c>
    </row>
    <row r="4974" spans="1:28" x14ac:dyDescent="0.25">
      <c r="A4974" t="s">
        <v>4977</v>
      </c>
      <c r="B4974">
        <v>0.99930955844802105</v>
      </c>
      <c r="C4974">
        <v>0.99334225908501494</v>
      </c>
      <c r="D4974">
        <v>0.98673882246393296</v>
      </c>
      <c r="E4974">
        <v>0.94307157388148499</v>
      </c>
      <c r="F4974">
        <v>0.83485786199238399</v>
      </c>
      <c r="G4974">
        <v>0.60139576865460498</v>
      </c>
      <c r="H4974">
        <v>0.47301696301909402</v>
      </c>
      <c r="I4974">
        <v>0.41636918918530202</v>
      </c>
      <c r="J4974">
        <v>0.39544171742511602</v>
      </c>
      <c r="K4974">
        <v>0.31438077993257002</v>
      </c>
      <c r="L4974">
        <v>988.035984023673</v>
      </c>
      <c r="M4974">
        <v>17.586733635354001</v>
      </c>
      <c r="N4974">
        <v>59.883802479042998</v>
      </c>
      <c r="O4974">
        <v>55.469468342458697</v>
      </c>
      <c r="P4974">
        <v>-5.2992375234322001E-2</v>
      </c>
      <c r="Q4974">
        <v>0.331473371284078</v>
      </c>
      <c r="R4974">
        <v>0.99567087061738602</v>
      </c>
      <c r="S4974" t="s">
        <v>11590</v>
      </c>
      <c r="T4974" t="s">
        <v>13232</v>
      </c>
      <c r="U4974" t="s">
        <v>13232</v>
      </c>
      <c r="V4974" t="s">
        <v>13232</v>
      </c>
      <c r="W4974" t="s">
        <v>18139</v>
      </c>
      <c r="X4974">
        <v>14</v>
      </c>
      <c r="Y4974" t="s">
        <v>24545</v>
      </c>
      <c r="Z4974" t="s">
        <v>31105</v>
      </c>
      <c r="AA4974">
        <v>0.7020491237919857</v>
      </c>
      <c r="AB4974" t="str">
        <f>HYPERLINK("Melting_Curves/meltCurve_Q96G74_3_OTUD5.pdf", "Melting_Curves/meltCurve_Q96G74_3_OTUD5.pdf")</f>
        <v>Melting_Curves/meltCurve_Q96G74_3_OTUD5.pdf</v>
      </c>
    </row>
    <row r="4975" spans="1:28" x14ac:dyDescent="0.25">
      <c r="A4975" t="s">
        <v>4978</v>
      </c>
      <c r="B4975">
        <v>0.99930955844802105</v>
      </c>
      <c r="C4975">
        <v>1.0991108482051599</v>
      </c>
      <c r="D4975">
        <v>1.0275979590292801</v>
      </c>
      <c r="E4975">
        <v>0.981401601519996</v>
      </c>
      <c r="F4975">
        <v>0.88694087134228505</v>
      </c>
      <c r="G4975">
        <v>0.71411767285247696</v>
      </c>
      <c r="H4975">
        <v>0.72877324364856899</v>
      </c>
      <c r="I4975">
        <v>0.77714315134565504</v>
      </c>
      <c r="J4975">
        <v>0.76962596170165498</v>
      </c>
      <c r="K4975">
        <v>0.63157247763421398</v>
      </c>
      <c r="L4975">
        <v>3555.0326344666701</v>
      </c>
      <c r="M4975">
        <v>66.729776474129395</v>
      </c>
      <c r="O4975">
        <v>53.227271490531898</v>
      </c>
      <c r="P4975">
        <v>-8.6613395912754895E-2</v>
      </c>
      <c r="Q4975">
        <v>0.72364999597859703</v>
      </c>
      <c r="R4975">
        <v>0.89166244270598405</v>
      </c>
      <c r="S4975" t="s">
        <v>11591</v>
      </c>
      <c r="T4975" t="s">
        <v>13232</v>
      </c>
      <c r="U4975" t="s">
        <v>13232</v>
      </c>
      <c r="V4975" t="s">
        <v>13232</v>
      </c>
      <c r="W4975" t="s">
        <v>18140</v>
      </c>
      <c r="X4975">
        <v>13</v>
      </c>
      <c r="Y4975" t="s">
        <v>24546</v>
      </c>
      <c r="Z4975" t="s">
        <v>31106</v>
      </c>
      <c r="AA4975">
        <v>0.84629910571610156</v>
      </c>
      <c r="AB4975" t="str">
        <f>HYPERLINK("Melting_Curves/meltCurve_Q96GA3_LTV1.pdf", "Melting_Curves/meltCurve_Q96GA3_LTV1.pdf")</f>
        <v>Melting_Curves/meltCurve_Q96GA3_LTV1.pdf</v>
      </c>
    </row>
    <row r="4976" spans="1:28" x14ac:dyDescent="0.25">
      <c r="A4976" t="s">
        <v>4979</v>
      </c>
      <c r="B4976">
        <v>0.99930955844802105</v>
      </c>
      <c r="C4976">
        <v>1.04740375877084</v>
      </c>
      <c r="D4976">
        <v>1.025794456896</v>
      </c>
      <c r="E4976">
        <v>0.96748060994615204</v>
      </c>
      <c r="F4976">
        <v>0.88561683422316295</v>
      </c>
      <c r="G4976">
        <v>0.70869848827383197</v>
      </c>
      <c r="H4976">
        <v>0.55213838710904695</v>
      </c>
      <c r="I4976">
        <v>0.40415366069161801</v>
      </c>
      <c r="J4976">
        <v>0.23788616629147799</v>
      </c>
      <c r="K4976">
        <v>9.8784593402504201E-2</v>
      </c>
      <c r="L4976">
        <v>856.45256807754504</v>
      </c>
      <c r="M4976">
        <v>13.937227588953499</v>
      </c>
      <c r="N4976">
        <v>61.450712714071898</v>
      </c>
      <c r="O4976">
        <v>60.227076747221297</v>
      </c>
      <c r="P4976">
        <v>-5.7860622357384303E-2</v>
      </c>
      <c r="Q4976">
        <v>0</v>
      </c>
      <c r="R4976">
        <v>0.99014207463674597</v>
      </c>
      <c r="S4976" t="s">
        <v>11592</v>
      </c>
      <c r="T4976" t="s">
        <v>13232</v>
      </c>
      <c r="U4976" t="s">
        <v>13232</v>
      </c>
      <c r="V4976" t="s">
        <v>13232</v>
      </c>
      <c r="W4976" t="s">
        <v>18141</v>
      </c>
      <c r="X4976">
        <v>12</v>
      </c>
      <c r="Y4976" t="s">
        <v>24547</v>
      </c>
      <c r="Z4976" t="s">
        <v>31107</v>
      </c>
      <c r="AA4976">
        <v>0.71320529737681826</v>
      </c>
      <c r="AB4976" t="str">
        <f>HYPERLINK("Melting_Curves/meltCurve_Q96GA7_SDSL.pdf", "Melting_Curves/meltCurve_Q96GA7_SDSL.pdf")</f>
        <v>Melting_Curves/meltCurve_Q96GA7_SDSL.pdf</v>
      </c>
    </row>
    <row r="4977" spans="1:28" x14ac:dyDescent="0.25">
      <c r="A4977" t="s">
        <v>4980</v>
      </c>
      <c r="B4977">
        <v>0.99930955844802105</v>
      </c>
      <c r="C4977">
        <v>1.0747183731311101</v>
      </c>
      <c r="D4977">
        <v>1.05929571356598</v>
      </c>
      <c r="E4977">
        <v>0.98257491588492196</v>
      </c>
      <c r="F4977">
        <v>0.94521489576703299</v>
      </c>
      <c r="G4977">
        <v>0.75802604467416101</v>
      </c>
      <c r="H4977">
        <v>0.68902494096408895</v>
      </c>
      <c r="I4977">
        <v>0.59684655145908005</v>
      </c>
      <c r="J4977">
        <v>0.497870156965454</v>
      </c>
      <c r="K4977">
        <v>0.28990965634162502</v>
      </c>
      <c r="L4977">
        <v>694.62617036530105</v>
      </c>
      <c r="M4977">
        <v>10.579823158189001</v>
      </c>
      <c r="N4977">
        <v>65.655736338564196</v>
      </c>
      <c r="O4977">
        <v>63.440293863864099</v>
      </c>
      <c r="P4977">
        <v>-4.1708387451598397E-2</v>
      </c>
      <c r="Q4977">
        <v>0</v>
      </c>
      <c r="R4977">
        <v>0.96355025690927398</v>
      </c>
      <c r="S4977" t="s">
        <v>11593</v>
      </c>
      <c r="T4977" t="s">
        <v>13232</v>
      </c>
      <c r="U4977" t="s">
        <v>13232</v>
      </c>
      <c r="V4977" t="s">
        <v>13232</v>
      </c>
      <c r="W4977" t="s">
        <v>18142</v>
      </c>
      <c r="X4977">
        <v>21</v>
      </c>
      <c r="Y4977" t="s">
        <v>24548</v>
      </c>
      <c r="Z4977" t="s">
        <v>31108</v>
      </c>
      <c r="AA4977">
        <v>0.79725552645500042</v>
      </c>
      <c r="AB4977" t="str">
        <f>HYPERLINK("Melting_Curves/meltCurve_Q96GD0_PDXP.pdf", "Melting_Curves/meltCurve_Q96GD0_PDXP.pdf")</f>
        <v>Melting_Curves/meltCurve_Q96GD0_PDXP.pdf</v>
      </c>
    </row>
    <row r="4978" spans="1:28" x14ac:dyDescent="0.25">
      <c r="A4978" t="s">
        <v>4981</v>
      </c>
      <c r="B4978">
        <v>0.99930955844802105</v>
      </c>
      <c r="C4978">
        <v>0.98412575829262905</v>
      </c>
      <c r="D4978">
        <v>0.91227947053813996</v>
      </c>
      <c r="E4978">
        <v>0.475286586253725</v>
      </c>
      <c r="F4978">
        <v>0.26999238007161702</v>
      </c>
      <c r="G4978">
        <v>0.15439510271523499</v>
      </c>
      <c r="H4978">
        <v>9.6485544623054198E-2</v>
      </c>
      <c r="I4978">
        <v>9.93111669950867E-2</v>
      </c>
      <c r="J4978">
        <v>9.8482573255133599E-2</v>
      </c>
      <c r="K4978">
        <v>7.6180998765281796E-2</v>
      </c>
      <c r="L4978">
        <v>1231.5877903366199</v>
      </c>
      <c r="M4978">
        <v>24.835368836550799</v>
      </c>
      <c r="N4978">
        <v>50.021412528441303</v>
      </c>
      <c r="O4978">
        <v>49.271910409423199</v>
      </c>
      <c r="P4978">
        <v>-0.113867410684725</v>
      </c>
      <c r="Q4978">
        <v>9.6387517053437399E-2</v>
      </c>
      <c r="R4978">
        <v>0.99792794281250696</v>
      </c>
      <c r="S4978" t="s">
        <v>11594</v>
      </c>
      <c r="T4978" t="s">
        <v>13232</v>
      </c>
      <c r="U4978" t="s">
        <v>13232</v>
      </c>
      <c r="V4978" t="s">
        <v>13232</v>
      </c>
      <c r="W4978" t="s">
        <v>18143</v>
      </c>
      <c r="X4978">
        <v>2</v>
      </c>
      <c r="Y4978" t="s">
        <v>24549</v>
      </c>
      <c r="Z4978" t="s">
        <v>31109</v>
      </c>
      <c r="AA4978">
        <v>0.39339759705108968</v>
      </c>
      <c r="AB4978" t="str">
        <f>HYPERLINK("Melting_Curves/meltCurve_Q96GD3_6_SCMH1.pdf", "Melting_Curves/meltCurve_Q96GD3_6_SCMH1.pdf")</f>
        <v>Melting_Curves/meltCurve_Q96GD3_6_SCMH1.pdf</v>
      </c>
    </row>
    <row r="4979" spans="1:28" x14ac:dyDescent="0.25">
      <c r="A4979" t="s">
        <v>4982</v>
      </c>
      <c r="B4979">
        <v>0.99930955844802105</v>
      </c>
      <c r="C4979">
        <v>1.1751250283326899</v>
      </c>
      <c r="D4979">
        <v>1.1027701430719801</v>
      </c>
      <c r="E4979">
        <v>1.0781537662671501</v>
      </c>
      <c r="F4979">
        <v>0.90406907898448796</v>
      </c>
      <c r="G4979">
        <v>0.48800208479380403</v>
      </c>
      <c r="H4979">
        <v>0.32511081035678202</v>
      </c>
      <c r="I4979">
        <v>0.21005352761378901</v>
      </c>
      <c r="J4979">
        <v>0.1292152304727</v>
      </c>
      <c r="K4979">
        <v>0.152696393293586</v>
      </c>
      <c r="L4979">
        <v>1648.1991453835401</v>
      </c>
      <c r="M4979">
        <v>29.176235707022101</v>
      </c>
      <c r="N4979">
        <v>57.285770000087403</v>
      </c>
      <c r="O4979">
        <v>56.227762184681403</v>
      </c>
      <c r="P4979">
        <v>-0.108136638201884</v>
      </c>
      <c r="Q4979">
        <v>0.16641242166674799</v>
      </c>
      <c r="R4979">
        <v>0.96428220984832902</v>
      </c>
      <c r="S4979" t="s">
        <v>11595</v>
      </c>
      <c r="T4979" t="s">
        <v>13232</v>
      </c>
      <c r="U4979" t="s">
        <v>13232</v>
      </c>
      <c r="V4979" t="s">
        <v>13232</v>
      </c>
      <c r="W4979" t="s">
        <v>18144</v>
      </c>
      <c r="X4979">
        <v>3</v>
      </c>
      <c r="Y4979" t="s">
        <v>24550</v>
      </c>
      <c r="Z4979" t="s">
        <v>31110</v>
      </c>
      <c r="AA4979">
        <v>0.6304838072273502</v>
      </c>
      <c r="AB4979" t="str">
        <f>HYPERLINK("Melting_Curves/meltCurve_Q96GE4_CEP95.pdf", "Melting_Curves/meltCurve_Q96GE4_CEP95.pdf")</f>
        <v>Melting_Curves/meltCurve_Q96GE4_CEP95.pdf</v>
      </c>
    </row>
    <row r="4980" spans="1:28" x14ac:dyDescent="0.25">
      <c r="A4980" t="s">
        <v>4983</v>
      </c>
      <c r="B4980">
        <v>0.99930955844802105</v>
      </c>
      <c r="C4980">
        <v>0.93092743457043203</v>
      </c>
      <c r="D4980">
        <v>0.97339087024115201</v>
      </c>
      <c r="E4980">
        <v>0.97216328349624104</v>
      </c>
      <c r="F4980">
        <v>0.60124769665134103</v>
      </c>
      <c r="G4980">
        <v>0.20544169006844301</v>
      </c>
      <c r="H4980">
        <v>0.13602493652769501</v>
      </c>
      <c r="I4980">
        <v>0.11561804259446</v>
      </c>
      <c r="J4980">
        <v>0.110583088726236</v>
      </c>
      <c r="K4980">
        <v>9.21064078399534E-2</v>
      </c>
      <c r="L4980">
        <v>2062.1284528217102</v>
      </c>
      <c r="M4980">
        <v>38.6409345644566</v>
      </c>
      <c r="N4980">
        <v>53.730179616970801</v>
      </c>
      <c r="O4980">
        <v>53.2240868385895</v>
      </c>
      <c r="P4980">
        <v>-0.16061233776925499</v>
      </c>
      <c r="Q4980">
        <v>0.115091226497249</v>
      </c>
      <c r="R4980">
        <v>0.99498714800711197</v>
      </c>
      <c r="S4980" t="s">
        <v>11596</v>
      </c>
      <c r="T4980" t="s">
        <v>13232</v>
      </c>
      <c r="U4980" t="s">
        <v>13232</v>
      </c>
      <c r="V4980" t="s">
        <v>13232</v>
      </c>
      <c r="W4980" t="s">
        <v>18145</v>
      </c>
      <c r="X4980">
        <v>11</v>
      </c>
      <c r="Y4980" t="s">
        <v>24551</v>
      </c>
      <c r="Z4980" t="s">
        <v>31111</v>
      </c>
      <c r="AA4980">
        <v>0.51285354111514736</v>
      </c>
      <c r="AB4980" t="str">
        <f>HYPERLINK("Melting_Curves/meltCurve_Q96GG9_DCUN1D1.pdf", "Melting_Curves/meltCurve_Q96GG9_DCUN1D1.pdf")</f>
        <v>Melting_Curves/meltCurve_Q96GG9_DCUN1D1.pdf</v>
      </c>
    </row>
    <row r="4981" spans="1:28" x14ac:dyDescent="0.25">
      <c r="A4981" t="s">
        <v>4984</v>
      </c>
      <c r="B4981">
        <v>0.99930955844802105</v>
      </c>
      <c r="C4981">
        <v>1.0053948715380501</v>
      </c>
      <c r="D4981">
        <v>0.976204546888084</v>
      </c>
      <c r="E4981">
        <v>0.80107230548620301</v>
      </c>
      <c r="F4981">
        <v>0.52056203910619003</v>
      </c>
      <c r="G4981">
        <v>0.41451308029932599</v>
      </c>
      <c r="H4981">
        <v>0.26230927306155599</v>
      </c>
      <c r="I4981">
        <v>0.18621472511954801</v>
      </c>
      <c r="J4981">
        <v>0.19064591164484601</v>
      </c>
      <c r="K4981">
        <v>0.15502347191336499</v>
      </c>
      <c r="L4981">
        <v>890.60221822215601</v>
      </c>
      <c r="M4981">
        <v>16.769832004175498</v>
      </c>
      <c r="N4981">
        <v>54.350812137448699</v>
      </c>
      <c r="O4981">
        <v>52.369490566777003</v>
      </c>
      <c r="P4981">
        <v>-6.7305812995480205E-2</v>
      </c>
      <c r="Q4981">
        <v>0.15931423385947599</v>
      </c>
      <c r="R4981">
        <v>0.99130155245422003</v>
      </c>
      <c r="S4981" t="s">
        <v>11597</v>
      </c>
      <c r="T4981" t="s">
        <v>13232</v>
      </c>
      <c r="U4981" t="s">
        <v>13232</v>
      </c>
      <c r="V4981" t="s">
        <v>13232</v>
      </c>
      <c r="W4981" t="s">
        <v>18146</v>
      </c>
      <c r="X4981">
        <v>3</v>
      </c>
      <c r="Y4981" t="s">
        <v>24552</v>
      </c>
      <c r="Z4981" t="s">
        <v>31112</v>
      </c>
      <c r="AA4981">
        <v>0.54195060864863354</v>
      </c>
      <c r="AB4981" t="str">
        <f>HYPERLINK("Melting_Curves/meltCurve_Q96GJ1_3_TRMT2B.pdf", "Melting_Curves/meltCurve_Q96GJ1_3_TRMT2B.pdf")</f>
        <v>Melting_Curves/meltCurve_Q96GJ1_3_TRMT2B.pdf</v>
      </c>
    </row>
    <row r="4982" spans="1:28" x14ac:dyDescent="0.25">
      <c r="A4982" t="s">
        <v>4985</v>
      </c>
      <c r="B4982">
        <v>0.99930955844802105</v>
      </c>
      <c r="C4982">
        <v>1.1157643175499301</v>
      </c>
      <c r="D4982">
        <v>1.08814069948369</v>
      </c>
      <c r="E4982">
        <v>0.92091123531170005</v>
      </c>
      <c r="F4982">
        <v>0.71477752386667504</v>
      </c>
      <c r="G4982">
        <v>0.39703789613813401</v>
      </c>
      <c r="H4982">
        <v>0.27656820491124601</v>
      </c>
      <c r="I4982">
        <v>0.237022780426695</v>
      </c>
      <c r="J4982">
        <v>0.18495901151561001</v>
      </c>
      <c r="K4982">
        <v>0.111355326587798</v>
      </c>
      <c r="L4982">
        <v>1224.8811480509301</v>
      </c>
      <c r="M4982">
        <v>22.3690657165196</v>
      </c>
      <c r="N4982">
        <v>55.765345794435603</v>
      </c>
      <c r="O4982">
        <v>54.325824757323097</v>
      </c>
      <c r="P4982">
        <v>-8.5829800646315901E-2</v>
      </c>
      <c r="Q4982">
        <v>0.16622763332223001</v>
      </c>
      <c r="R4982">
        <v>0.97907326726536703</v>
      </c>
      <c r="S4982" t="s">
        <v>11598</v>
      </c>
      <c r="T4982" t="s">
        <v>13232</v>
      </c>
      <c r="U4982" t="s">
        <v>13232</v>
      </c>
      <c r="V4982" t="s">
        <v>13232</v>
      </c>
      <c r="W4982" t="s">
        <v>18147</v>
      </c>
      <c r="X4982">
        <v>15</v>
      </c>
      <c r="Y4982" t="s">
        <v>24553</v>
      </c>
      <c r="Z4982" t="s">
        <v>31113</v>
      </c>
      <c r="AA4982">
        <v>0.58572490915260311</v>
      </c>
      <c r="AB4982" t="str">
        <f>HYPERLINK("Melting_Curves/meltCurve_Q96GK7_FAHD2A.pdf", "Melting_Curves/meltCurve_Q96GK7_FAHD2A.pdf")</f>
        <v>Melting_Curves/meltCurve_Q96GK7_FAHD2A.pdf</v>
      </c>
    </row>
    <row r="4983" spans="1:28" x14ac:dyDescent="0.25">
      <c r="A4983" t="s">
        <v>4986</v>
      </c>
      <c r="B4983">
        <v>0.99930955844802105</v>
      </c>
      <c r="C4983">
        <v>0.78927438753995804</v>
      </c>
      <c r="D4983">
        <v>0.70792771600514803</v>
      </c>
      <c r="E4983">
        <v>0.41264016962788502</v>
      </c>
      <c r="F4983">
        <v>0.238900381155287</v>
      </c>
      <c r="G4983">
        <v>0.134034840229139</v>
      </c>
      <c r="H4983">
        <v>6.6185667565224704E-2</v>
      </c>
      <c r="I4983">
        <v>5.4463087833077101E-2</v>
      </c>
      <c r="J4983">
        <v>4.8050278330422601E-2</v>
      </c>
      <c r="K4983">
        <v>3.64423242400242E-2</v>
      </c>
      <c r="L4983">
        <v>657.63063435701497</v>
      </c>
      <c r="M4983">
        <v>13.578130904280201</v>
      </c>
      <c r="N4983">
        <v>48.571828754204297</v>
      </c>
      <c r="O4983">
        <v>47.418752005513802</v>
      </c>
      <c r="P4983">
        <v>-7.0234995111895404E-2</v>
      </c>
      <c r="Q4983">
        <v>1.9022785104750702E-2</v>
      </c>
      <c r="R4983">
        <v>0.992906064422305</v>
      </c>
      <c r="S4983" t="s">
        <v>11599</v>
      </c>
      <c r="T4983" t="s">
        <v>13232</v>
      </c>
      <c r="U4983" t="s">
        <v>13232</v>
      </c>
      <c r="V4983" t="s">
        <v>13232</v>
      </c>
      <c r="W4983" t="s">
        <v>18148</v>
      </c>
      <c r="X4983">
        <v>18</v>
      </c>
      <c r="Y4983" t="s">
        <v>24554</v>
      </c>
      <c r="Z4983" t="s">
        <v>31114</v>
      </c>
      <c r="AA4983">
        <v>0.3246887321022115</v>
      </c>
      <c r="AB4983" t="str">
        <f>HYPERLINK("Melting_Curves/meltCurve_Q96GM5_SMARCD1.pdf", "Melting_Curves/meltCurve_Q96GM5_SMARCD1.pdf")</f>
        <v>Melting_Curves/meltCurve_Q96GM5_SMARCD1.pdf</v>
      </c>
    </row>
    <row r="4984" spans="1:28" x14ac:dyDescent="0.25">
      <c r="A4984" t="s">
        <v>4987</v>
      </c>
      <c r="B4984">
        <v>0.99930955844802105</v>
      </c>
      <c r="C4984">
        <v>1.0127671640696101</v>
      </c>
      <c r="D4984">
        <v>1.0824861248736899</v>
      </c>
      <c r="E4984">
        <v>0.84474154336194696</v>
      </c>
      <c r="F4984">
        <v>0.61222649424575504</v>
      </c>
      <c r="G4984">
        <v>0.43328620587423999</v>
      </c>
      <c r="H4984">
        <v>0.36905854388748599</v>
      </c>
      <c r="I4984">
        <v>0.37471681536989299</v>
      </c>
      <c r="J4984">
        <v>0.37545831307821598</v>
      </c>
      <c r="K4984">
        <v>0.31433527281975099</v>
      </c>
      <c r="L4984">
        <v>1494.56547788584</v>
      </c>
      <c r="M4984">
        <v>28.602501408756002</v>
      </c>
      <c r="N4984">
        <v>54.663573338509202</v>
      </c>
      <c r="O4984">
        <v>51.999542705508503</v>
      </c>
      <c r="P4984">
        <v>-8.8234221040876804E-2</v>
      </c>
      <c r="Q4984">
        <v>0.35836338538485302</v>
      </c>
      <c r="R4984">
        <v>0.98572422515316804</v>
      </c>
      <c r="S4984" t="s">
        <v>11600</v>
      </c>
      <c r="T4984" t="s">
        <v>13232</v>
      </c>
      <c r="U4984" t="s">
        <v>13232</v>
      </c>
      <c r="V4984" t="s">
        <v>13232</v>
      </c>
      <c r="W4984" t="s">
        <v>18149</v>
      </c>
      <c r="X4984">
        <v>6</v>
      </c>
      <c r="Y4984" t="s">
        <v>24555</v>
      </c>
      <c r="Z4984" t="s">
        <v>31115</v>
      </c>
      <c r="AA4984">
        <v>0.62494982466889915</v>
      </c>
      <c r="AB4984" t="str">
        <f>HYPERLINK("Melting_Curves/meltCurve_Q96GM8_TOE1.pdf", "Melting_Curves/meltCurve_Q96GM8_TOE1.pdf")</f>
        <v>Melting_Curves/meltCurve_Q96GM8_TOE1.pdf</v>
      </c>
    </row>
    <row r="4985" spans="1:28" x14ac:dyDescent="0.25">
      <c r="A4985" t="s">
        <v>4988</v>
      </c>
      <c r="B4985">
        <v>0.99930955844802105</v>
      </c>
      <c r="C4985">
        <v>0.91665902476727001</v>
      </c>
      <c r="D4985">
        <v>0.88102150117516598</v>
      </c>
      <c r="E4985">
        <v>0.67689456694132299</v>
      </c>
      <c r="F4985">
        <v>0.48719691899927797</v>
      </c>
      <c r="G4985">
        <v>0.38639339206085499</v>
      </c>
      <c r="H4985">
        <v>0.30907591098477</v>
      </c>
      <c r="I4985">
        <v>0.31011789853737698</v>
      </c>
      <c r="J4985">
        <v>0.30264668063539202</v>
      </c>
      <c r="K4985">
        <v>0.25127053040369401</v>
      </c>
      <c r="L4985">
        <v>764.71944818143402</v>
      </c>
      <c r="M4985">
        <v>15.1285226532928</v>
      </c>
      <c r="N4985">
        <v>53.216801885545301</v>
      </c>
      <c r="O4985">
        <v>49.689659162470299</v>
      </c>
      <c r="P4985">
        <v>-5.5885515433975498E-2</v>
      </c>
      <c r="Q4985">
        <v>0.26584743943253902</v>
      </c>
      <c r="R4985">
        <v>0.99496493283748699</v>
      </c>
      <c r="S4985" t="s">
        <v>11601</v>
      </c>
      <c r="T4985" t="s">
        <v>13232</v>
      </c>
      <c r="U4985" t="s">
        <v>13232</v>
      </c>
      <c r="V4985" t="s">
        <v>13232</v>
      </c>
      <c r="W4985" t="s">
        <v>18150</v>
      </c>
      <c r="X4985">
        <v>20</v>
      </c>
      <c r="Y4985" t="s">
        <v>24556</v>
      </c>
      <c r="Z4985" t="s">
        <v>31116</v>
      </c>
      <c r="AA4985">
        <v>0.54093576470330029</v>
      </c>
      <c r="AB4985" t="str">
        <f>HYPERLINK("Melting_Curves/meltCurve_Q96GQ7_DDX27.pdf", "Melting_Curves/meltCurve_Q96GQ7_DDX27.pdf")</f>
        <v>Melting_Curves/meltCurve_Q96GQ7_DDX27.pdf</v>
      </c>
    </row>
    <row r="4986" spans="1:28" x14ac:dyDescent="0.25">
      <c r="A4986" t="s">
        <v>4989</v>
      </c>
      <c r="B4986">
        <v>0.99930955844802105</v>
      </c>
      <c r="C4986">
        <v>0.92608855365798304</v>
      </c>
      <c r="D4986">
        <v>0.89355035290775298</v>
      </c>
      <c r="E4986">
        <v>0.83523197823580797</v>
      </c>
      <c r="F4986">
        <v>0.69102328363341803</v>
      </c>
      <c r="G4986">
        <v>0.479296323119073</v>
      </c>
      <c r="H4986">
        <v>0.354067288850757</v>
      </c>
      <c r="I4986">
        <v>0.34505482492474099</v>
      </c>
      <c r="J4986">
        <v>0.34523184237753901</v>
      </c>
      <c r="K4986">
        <v>0.24285821761005599</v>
      </c>
      <c r="L4986">
        <v>670.510259616589</v>
      </c>
      <c r="M4986">
        <v>12.3495548193888</v>
      </c>
      <c r="N4986">
        <v>57.108220866439098</v>
      </c>
      <c r="O4986">
        <v>52.9295537202022</v>
      </c>
      <c r="P4986">
        <v>-4.5045346837410398E-2</v>
      </c>
      <c r="Q4986">
        <v>0.22791841059142501</v>
      </c>
      <c r="R4986">
        <v>0.98675455883151397</v>
      </c>
      <c r="S4986" t="s">
        <v>11602</v>
      </c>
      <c r="T4986" t="s">
        <v>13232</v>
      </c>
      <c r="U4986" t="s">
        <v>13232</v>
      </c>
      <c r="V4986" t="s">
        <v>13232</v>
      </c>
      <c r="W4986" t="s">
        <v>18151</v>
      </c>
      <c r="X4986">
        <v>16</v>
      </c>
      <c r="Y4986" t="s">
        <v>24557</v>
      </c>
      <c r="Z4986" t="s">
        <v>31117</v>
      </c>
      <c r="AA4986">
        <v>0.61489493358544345</v>
      </c>
      <c r="AB4986" t="str">
        <f>HYPERLINK("Melting_Curves/meltCurve_Q96GS4_C17orf59.pdf", "Melting_Curves/meltCurve_Q96GS4_C17orf59.pdf")</f>
        <v>Melting_Curves/meltCurve_Q96GS4_C17orf59.pdf</v>
      </c>
    </row>
    <row r="4987" spans="1:28" x14ac:dyDescent="0.25">
      <c r="A4987" t="s">
        <v>4990</v>
      </c>
      <c r="B4987">
        <v>0.99930955844802105</v>
      </c>
      <c r="C4987">
        <v>1.8617529036718199</v>
      </c>
      <c r="D4987">
        <v>1.68584799836822</v>
      </c>
      <c r="E4987">
        <v>1.6498213963577999</v>
      </c>
      <c r="F4987">
        <v>1.70545049026226</v>
      </c>
      <c r="G4987">
        <v>1.5677114247527399</v>
      </c>
      <c r="H4987">
        <v>1.9357256243708001</v>
      </c>
      <c r="I4987">
        <v>2.0594523700258098</v>
      </c>
      <c r="J4987">
        <v>2.26501722459447</v>
      </c>
      <c r="K4987">
        <v>1.7711966666127901</v>
      </c>
      <c r="L4987">
        <v>10242.088867402599</v>
      </c>
      <c r="M4987">
        <v>250</v>
      </c>
      <c r="O4987">
        <v>40.965742019393602</v>
      </c>
      <c r="P4987">
        <v>0.76283266875909395</v>
      </c>
      <c r="Q4987">
        <v>1.5</v>
      </c>
      <c r="R4987">
        <v>-0.36712701233094902</v>
      </c>
      <c r="S4987" t="s">
        <v>11603</v>
      </c>
      <c r="T4987" t="s">
        <v>13232</v>
      </c>
      <c r="U4987" t="s">
        <v>13232</v>
      </c>
      <c r="V4987" t="s">
        <v>13232</v>
      </c>
      <c r="W4987" t="s">
        <v>18152</v>
      </c>
      <c r="X4987">
        <v>2</v>
      </c>
      <c r="Y4987" t="s">
        <v>24558</v>
      </c>
      <c r="Z4987" t="s">
        <v>31118</v>
      </c>
      <c r="AA4987">
        <v>1.4838187218295411</v>
      </c>
      <c r="AB4987" t="str">
        <f>HYPERLINK("Melting_Curves/meltCurve_Q96GV9_C5orf30.pdf", "Melting_Curves/meltCurve_Q96GV9_C5orf30.pdf")</f>
        <v>Melting_Curves/meltCurve_Q96GV9_C5orf30.pdf</v>
      </c>
    </row>
    <row r="4988" spans="1:28" x14ac:dyDescent="0.25">
      <c r="A4988" t="s">
        <v>4991</v>
      </c>
      <c r="B4988">
        <v>0.99930955844802105</v>
      </c>
      <c r="C4988">
        <v>1.0792540298108599</v>
      </c>
      <c r="D4988">
        <v>1.0245458199153501</v>
      </c>
      <c r="E4988">
        <v>0.96526876560332198</v>
      </c>
      <c r="F4988">
        <v>0.95914852247953597</v>
      </c>
      <c r="G4988">
        <v>0.76719883555113699</v>
      </c>
      <c r="H4988">
        <v>0.44055726573777299</v>
      </c>
      <c r="I4988">
        <v>0.27608999970938802</v>
      </c>
      <c r="J4988">
        <v>0.24334060309739899</v>
      </c>
      <c r="K4988">
        <v>0.18908998047807599</v>
      </c>
      <c r="L4988">
        <v>1473.4848463630999</v>
      </c>
      <c r="M4988">
        <v>24.939593322814002</v>
      </c>
      <c r="N4988">
        <v>60.181154849061897</v>
      </c>
      <c r="O4988">
        <v>58.706209741941002</v>
      </c>
      <c r="P4988">
        <v>-8.6779946289553794E-2</v>
      </c>
      <c r="Q4988">
        <v>0.18291321238007699</v>
      </c>
      <c r="R4988">
        <v>0.99310988312915705</v>
      </c>
      <c r="S4988" t="s">
        <v>11604</v>
      </c>
      <c r="T4988" t="s">
        <v>13232</v>
      </c>
      <c r="U4988" t="s">
        <v>13232</v>
      </c>
      <c r="V4988" t="s">
        <v>13232</v>
      </c>
      <c r="W4988" t="s">
        <v>18153</v>
      </c>
      <c r="X4988">
        <v>11</v>
      </c>
      <c r="Y4988" t="s">
        <v>24559</v>
      </c>
      <c r="Z4988" t="s">
        <v>31119</v>
      </c>
      <c r="AA4988">
        <v>0.70931029762230779</v>
      </c>
      <c r="AB4988" t="str">
        <f>HYPERLINK("Melting_Curves/meltCurve_Q96GW9_MARS2.pdf", "Melting_Curves/meltCurve_Q96GW9_MARS2.pdf")</f>
        <v>Melting_Curves/meltCurve_Q96GW9_MARS2.pdf</v>
      </c>
    </row>
    <row r="4989" spans="1:28" x14ac:dyDescent="0.25">
      <c r="A4989" t="s">
        <v>4992</v>
      </c>
      <c r="B4989">
        <v>0.99930955844802105</v>
      </c>
      <c r="C4989">
        <v>0.96640399118938203</v>
      </c>
      <c r="D4989">
        <v>1.0203695960238901</v>
      </c>
      <c r="E4989">
        <v>0.87196870855473396</v>
      </c>
      <c r="F4989">
        <v>0.71051383142704405</v>
      </c>
      <c r="G4989">
        <v>0.50550062236655602</v>
      </c>
      <c r="H4989">
        <v>0.26366976934008202</v>
      </c>
      <c r="I4989">
        <v>0.15254905787560899</v>
      </c>
      <c r="J4989">
        <v>9.8998415612646495E-2</v>
      </c>
      <c r="K4989">
        <v>6.5291197248938407E-2</v>
      </c>
      <c r="L4989">
        <v>826.71097064020603</v>
      </c>
      <c r="M4989">
        <v>14.5753835400787</v>
      </c>
      <c r="N4989">
        <v>56.7374005739659</v>
      </c>
      <c r="O4989">
        <v>55.684064282533299</v>
      </c>
      <c r="P4989">
        <v>-6.5296744489113503E-2</v>
      </c>
      <c r="Q4989">
        <v>2.2692829673292901E-3</v>
      </c>
      <c r="R4989">
        <v>0.99667600275671597</v>
      </c>
      <c r="S4989" t="s">
        <v>11605</v>
      </c>
      <c r="T4989" t="s">
        <v>13232</v>
      </c>
      <c r="U4989" t="s">
        <v>13232</v>
      </c>
      <c r="V4989" t="s">
        <v>13232</v>
      </c>
      <c r="W4989" t="s">
        <v>18154</v>
      </c>
      <c r="X4989">
        <v>3</v>
      </c>
      <c r="Y4989" t="s">
        <v>24560</v>
      </c>
      <c r="Z4989" t="s">
        <v>31120</v>
      </c>
      <c r="AA4989">
        <v>0.57498730881543414</v>
      </c>
      <c r="AB4989" t="str">
        <f>HYPERLINK("Melting_Curves/meltCurve_Q96GX2_ATXN7L3B.pdf", "Melting_Curves/meltCurve_Q96GX2_ATXN7L3B.pdf")</f>
        <v>Melting_Curves/meltCurve_Q96GX2_ATXN7L3B.pdf</v>
      </c>
    </row>
    <row r="4990" spans="1:28" x14ac:dyDescent="0.25">
      <c r="A4990" t="s">
        <v>4993</v>
      </c>
      <c r="B4990">
        <v>0.99930955844802105</v>
      </c>
      <c r="C4990">
        <v>1.07563786345521</v>
      </c>
      <c r="D4990">
        <v>0.99083819321891098</v>
      </c>
      <c r="E4990">
        <v>0.958973042375317</v>
      </c>
      <c r="F4990">
        <v>0.80184475016166401</v>
      </c>
      <c r="G4990">
        <v>0.69172641595462503</v>
      </c>
      <c r="H4990">
        <v>0.65522854791838803</v>
      </c>
      <c r="I4990">
        <v>0.66979504252654198</v>
      </c>
      <c r="J4990">
        <v>0.59987134165734701</v>
      </c>
      <c r="K4990">
        <v>0.53235561693889699</v>
      </c>
      <c r="L4990">
        <v>1040.7340239816201</v>
      </c>
      <c r="M4990">
        <v>19.272701578856001</v>
      </c>
      <c r="O4990">
        <v>53.429118620560097</v>
      </c>
      <c r="P4990">
        <v>-3.6831281210782503E-2</v>
      </c>
      <c r="Q4990">
        <v>0.59159046932552395</v>
      </c>
      <c r="R4990">
        <v>0.95189555359859201</v>
      </c>
      <c r="S4990" t="s">
        <v>11606</v>
      </c>
      <c r="T4990" t="s">
        <v>13232</v>
      </c>
      <c r="U4990" t="s">
        <v>13232</v>
      </c>
      <c r="V4990" t="s">
        <v>13232</v>
      </c>
      <c r="W4990" t="s">
        <v>18155</v>
      </c>
      <c r="X4990">
        <v>11</v>
      </c>
      <c r="Y4990" t="s">
        <v>24561</v>
      </c>
      <c r="Z4990" t="s">
        <v>31121</v>
      </c>
      <c r="AA4990">
        <v>0.78807469151328624</v>
      </c>
      <c r="AB4990" t="str">
        <f>HYPERLINK("Melting_Curves/meltCurve_Q96GX5_2_MASTL.pdf", "Melting_Curves/meltCurve_Q96GX5_2_MASTL.pdf")</f>
        <v>Melting_Curves/meltCurve_Q96GX5_2_MASTL.pdf</v>
      </c>
    </row>
    <row r="4991" spans="1:28" x14ac:dyDescent="0.25">
      <c r="A4991" t="s">
        <v>4994</v>
      </c>
      <c r="B4991">
        <v>0.99930955844802105</v>
      </c>
      <c r="C4991">
        <v>1.0177547247255101</v>
      </c>
      <c r="D4991">
        <v>0.99997666097487303</v>
      </c>
      <c r="E4991">
        <v>0.96622067851585403</v>
      </c>
      <c r="F4991">
        <v>0.95415220237437004</v>
      </c>
      <c r="G4991">
        <v>0.74253986955904705</v>
      </c>
      <c r="H4991">
        <v>0.62154922931092504</v>
      </c>
      <c r="I4991">
        <v>0.65687983037835895</v>
      </c>
      <c r="J4991">
        <v>0.59325896121274801</v>
      </c>
      <c r="K4991">
        <v>0.42716083895749701</v>
      </c>
      <c r="L4991">
        <v>765.98269737632802</v>
      </c>
      <c r="M4991">
        <v>12.8291886018485</v>
      </c>
      <c r="N4991">
        <v>69.480834258270804</v>
      </c>
      <c r="O4991">
        <v>58.311362582348998</v>
      </c>
      <c r="P4991">
        <v>-3.2031556118084399E-2</v>
      </c>
      <c r="Q4991">
        <v>0.41774764012253002</v>
      </c>
      <c r="R4991">
        <v>0.95004351337217696</v>
      </c>
      <c r="S4991" t="s">
        <v>11607</v>
      </c>
      <c r="T4991" t="s">
        <v>13232</v>
      </c>
      <c r="U4991" t="s">
        <v>13232</v>
      </c>
      <c r="V4991" t="s">
        <v>13232</v>
      </c>
      <c r="W4991" t="s">
        <v>18156</v>
      </c>
      <c r="X4991">
        <v>18</v>
      </c>
      <c r="Y4991" t="s">
        <v>24562</v>
      </c>
      <c r="Z4991" t="s">
        <v>31122</v>
      </c>
      <c r="AA4991">
        <v>0.80348222383301837</v>
      </c>
      <c r="AB4991" t="str">
        <f>HYPERLINK("Melting_Curves/meltCurve_Q96GX9_APIP.pdf", "Melting_Curves/meltCurve_Q96GX9_APIP.pdf")</f>
        <v>Melting_Curves/meltCurve_Q96GX9_APIP.pdf</v>
      </c>
    </row>
    <row r="4992" spans="1:28" x14ac:dyDescent="0.25">
      <c r="A4992" t="s">
        <v>4995</v>
      </c>
      <c r="B4992">
        <v>0.99930955844802105</v>
      </c>
      <c r="C4992">
        <v>0.95649282362213495</v>
      </c>
      <c r="D4992">
        <v>0.99133751866528297</v>
      </c>
      <c r="E4992">
        <v>0.91543465319735995</v>
      </c>
      <c r="F4992">
        <v>0.71825185737813002</v>
      </c>
      <c r="G4992">
        <v>0.61673353713753598</v>
      </c>
      <c r="H4992">
        <v>0.40614745167684602</v>
      </c>
      <c r="I4992">
        <v>0.42431640524052999</v>
      </c>
      <c r="J4992">
        <v>0.33213696409247101</v>
      </c>
      <c r="K4992">
        <v>0.29327108282991199</v>
      </c>
      <c r="L4992">
        <v>773.81179292174204</v>
      </c>
      <c r="M4992">
        <v>13.83552308632</v>
      </c>
      <c r="N4992">
        <v>59.214601097174203</v>
      </c>
      <c r="O4992">
        <v>54.799785195267802</v>
      </c>
      <c r="P4992">
        <v>-4.6213144244243498E-2</v>
      </c>
      <c r="Q4992">
        <v>0.267936952099395</v>
      </c>
      <c r="R4992">
        <v>0.98619768430792898</v>
      </c>
      <c r="S4992" t="s">
        <v>11608</v>
      </c>
      <c r="T4992" t="s">
        <v>13232</v>
      </c>
      <c r="U4992" t="s">
        <v>13232</v>
      </c>
      <c r="V4992" t="s">
        <v>13232</v>
      </c>
      <c r="W4992" t="s">
        <v>18157</v>
      </c>
      <c r="X4992">
        <v>2</v>
      </c>
      <c r="Y4992" t="s">
        <v>24563</v>
      </c>
      <c r="Z4992" t="s">
        <v>31123</v>
      </c>
      <c r="AA4992">
        <v>0.67058059140582449</v>
      </c>
      <c r="AB4992" t="str">
        <f>HYPERLINK("Melting_Curves/meltCurve_Q96GY0_ZC2HC1A.pdf", "Melting_Curves/meltCurve_Q96GY0_ZC2HC1A.pdf")</f>
        <v>Melting_Curves/meltCurve_Q96GY0_ZC2HC1A.pdf</v>
      </c>
    </row>
    <row r="4993" spans="1:28" x14ac:dyDescent="0.25">
      <c r="A4993" t="s">
        <v>4996</v>
      </c>
      <c r="B4993">
        <v>0.99930955844802105</v>
      </c>
      <c r="C4993">
        <v>0.97092987655358698</v>
      </c>
      <c r="D4993">
        <v>1.0182693595216801</v>
      </c>
      <c r="E4993">
        <v>0.97105503328418896</v>
      </c>
      <c r="F4993">
        <v>0.71606112536863298</v>
      </c>
      <c r="G4993">
        <v>0.41866323458501897</v>
      </c>
      <c r="H4993">
        <v>0.24067611391240001</v>
      </c>
      <c r="I4993">
        <v>0.20409034131430001</v>
      </c>
      <c r="J4993">
        <v>0.19269594562009601</v>
      </c>
      <c r="K4993">
        <v>0.14352929907010401</v>
      </c>
      <c r="L4993">
        <v>1315.9849676188201</v>
      </c>
      <c r="M4993">
        <v>23.995229568634301</v>
      </c>
      <c r="N4993">
        <v>55.798964301554797</v>
      </c>
      <c r="O4993">
        <v>54.4669287434713</v>
      </c>
      <c r="P4993">
        <v>-9.1585128250611103E-2</v>
      </c>
      <c r="Q4993">
        <v>0.168454075491307</v>
      </c>
      <c r="R4993">
        <v>0.995542050373728</v>
      </c>
      <c r="S4993" t="s">
        <v>11609</v>
      </c>
      <c r="T4993" t="s">
        <v>13232</v>
      </c>
      <c r="U4993" t="s">
        <v>13232</v>
      </c>
      <c r="V4993" t="s">
        <v>13232</v>
      </c>
      <c r="W4993" t="s">
        <v>18158</v>
      </c>
      <c r="X4993">
        <v>5</v>
      </c>
      <c r="Y4993" t="s">
        <v>24564</v>
      </c>
      <c r="Z4993" t="s">
        <v>31124</v>
      </c>
      <c r="AA4993">
        <v>0.5881598030378411</v>
      </c>
      <c r="AB4993" t="str">
        <f>HYPERLINK("Melting_Curves/meltCurve_Q96GY3_LIN37.pdf", "Melting_Curves/meltCurve_Q96GY3_LIN37.pdf")</f>
        <v>Melting_Curves/meltCurve_Q96GY3_LIN37.pdf</v>
      </c>
    </row>
    <row r="4994" spans="1:28" x14ac:dyDescent="0.25">
      <c r="A4994" t="s">
        <v>4997</v>
      </c>
      <c r="B4994">
        <v>0.99930955844802105</v>
      </c>
      <c r="C4994">
        <v>1.0373027893978899</v>
      </c>
      <c r="D4994">
        <v>0.722646507170007</v>
      </c>
      <c r="E4994">
        <v>0.91199086191898604</v>
      </c>
      <c r="F4994">
        <v>0.60099026310037396</v>
      </c>
      <c r="G4994">
        <v>0.18059823210381101</v>
      </c>
      <c r="H4994">
        <v>8.1720875536763896E-2</v>
      </c>
      <c r="I4994">
        <v>5.85522748584641E-2</v>
      </c>
      <c r="J4994">
        <v>5.3527340669573903E-2</v>
      </c>
      <c r="K4994">
        <v>4.0995766146153197E-2</v>
      </c>
      <c r="L4994">
        <v>1389.90886408642</v>
      </c>
      <c r="M4994">
        <v>25.9278934552854</v>
      </c>
      <c r="N4994">
        <v>53.775947038907901</v>
      </c>
      <c r="O4994">
        <v>53.2908621452303</v>
      </c>
      <c r="P4994">
        <v>-0.116869586807613</v>
      </c>
      <c r="Q4994">
        <v>3.9180140498138998E-2</v>
      </c>
      <c r="R4994">
        <v>0.95487072622591895</v>
      </c>
      <c r="S4994" t="s">
        <v>11610</v>
      </c>
      <c r="T4994" t="s">
        <v>13232</v>
      </c>
      <c r="U4994" t="s">
        <v>13232</v>
      </c>
      <c r="V4994" t="s">
        <v>13232</v>
      </c>
      <c r="W4994" t="s">
        <v>18159</v>
      </c>
      <c r="X4994">
        <v>9</v>
      </c>
      <c r="Y4994" t="s">
        <v>24565</v>
      </c>
      <c r="Z4994" t="s">
        <v>31125</v>
      </c>
      <c r="AA4994">
        <v>0.48326375632977903</v>
      </c>
      <c r="AB4994" t="str">
        <f>HYPERLINK("Melting_Curves/meltCurve_Q96H20_SNF8.pdf", "Melting_Curves/meltCurve_Q96H20_SNF8.pdf")</f>
        <v>Melting_Curves/meltCurve_Q96H20_SNF8.pdf</v>
      </c>
    </row>
    <row r="4995" spans="1:28" x14ac:dyDescent="0.25">
      <c r="A4995" t="s">
        <v>4998</v>
      </c>
      <c r="B4995">
        <v>0.99930955844802105</v>
      </c>
      <c r="C4995">
        <v>1.0545140191017099</v>
      </c>
      <c r="D4995">
        <v>0.96620165114162404</v>
      </c>
      <c r="E4995">
        <v>0.88052256999923095</v>
      </c>
      <c r="F4995">
        <v>0.69557768490077299</v>
      </c>
      <c r="G4995">
        <v>0.47270445000071598</v>
      </c>
      <c r="H4995">
        <v>0.318431125412176</v>
      </c>
      <c r="I4995">
        <v>0.25433337562276798</v>
      </c>
      <c r="J4995">
        <v>0.24927572364060499</v>
      </c>
      <c r="K4995">
        <v>0.18968371828038999</v>
      </c>
      <c r="L4995">
        <v>941.08987105666495</v>
      </c>
      <c r="M4995">
        <v>17.172308983146898</v>
      </c>
      <c r="N4995">
        <v>56.411794000257999</v>
      </c>
      <c r="O4995">
        <v>54.075765705315597</v>
      </c>
      <c r="P4995">
        <v>-6.4021748888562297E-2</v>
      </c>
      <c r="Q4995">
        <v>0.19362747551378501</v>
      </c>
      <c r="R4995">
        <v>0.99525480133219701</v>
      </c>
      <c r="S4995" t="s">
        <v>11611</v>
      </c>
      <c r="T4995" t="s">
        <v>13232</v>
      </c>
      <c r="U4995" t="s">
        <v>13232</v>
      </c>
      <c r="V4995" t="s">
        <v>13232</v>
      </c>
      <c r="W4995" t="s">
        <v>18160</v>
      </c>
      <c r="X4995">
        <v>3</v>
      </c>
      <c r="Y4995" t="s">
        <v>24566</v>
      </c>
      <c r="Z4995" t="s">
        <v>31126</v>
      </c>
      <c r="AA4995">
        <v>0.60490335226124825</v>
      </c>
      <c r="AB4995" t="str">
        <f>HYPERLINK("Melting_Curves/meltCurve_Q96H35_RBM18.pdf", "Melting_Curves/meltCurve_Q96H35_RBM18.pdf")</f>
        <v>Melting_Curves/meltCurve_Q96H35_RBM18.pdf</v>
      </c>
    </row>
    <row r="4996" spans="1:28" x14ac:dyDescent="0.25">
      <c r="A4996" t="s">
        <v>4999</v>
      </c>
      <c r="B4996">
        <v>0.99930955844802105</v>
      </c>
      <c r="C4996">
        <v>1.1769361045631399</v>
      </c>
      <c r="D4996">
        <v>1.0855104417153201</v>
      </c>
      <c r="E4996">
        <v>0.94953482225456598</v>
      </c>
      <c r="F4996">
        <v>0.337745023712474</v>
      </c>
      <c r="G4996">
        <v>0.19723229759704899</v>
      </c>
      <c r="H4996">
        <v>0.13218868630330899</v>
      </c>
      <c r="I4996">
        <v>0.124523728820455</v>
      </c>
      <c r="J4996">
        <v>0.114041220305547</v>
      </c>
      <c r="K4996">
        <v>8.9223116756140794E-2</v>
      </c>
      <c r="L4996">
        <v>3406.3267231813302</v>
      </c>
      <c r="M4996">
        <v>65.416085710765898</v>
      </c>
      <c r="N4996">
        <v>52.313468275169001</v>
      </c>
      <c r="O4996">
        <v>52.023101176242399</v>
      </c>
      <c r="P4996">
        <v>-0.27335255165283301</v>
      </c>
      <c r="Q4996">
        <v>0.13044975650113799</v>
      </c>
      <c r="R4996">
        <v>0.97717681022013803</v>
      </c>
      <c r="S4996" t="s">
        <v>11612</v>
      </c>
      <c r="T4996" t="s">
        <v>13232</v>
      </c>
      <c r="U4996" t="s">
        <v>13232</v>
      </c>
      <c r="V4996" t="s">
        <v>13232</v>
      </c>
      <c r="W4996" t="s">
        <v>18161</v>
      </c>
      <c r="X4996">
        <v>10</v>
      </c>
      <c r="Y4996" t="s">
        <v>24567</v>
      </c>
      <c r="Z4996" t="s">
        <v>31127</v>
      </c>
      <c r="AA4996">
        <v>0.48151215943990128</v>
      </c>
      <c r="AB4996" t="str">
        <f>HYPERLINK("Melting_Curves/meltCurve_Q96H79_ZC3HAV1L.pdf", "Melting_Curves/meltCurve_Q96H79_ZC3HAV1L.pdf")</f>
        <v>Melting_Curves/meltCurve_Q96H79_ZC3HAV1L.pdf</v>
      </c>
    </row>
    <row r="4997" spans="1:28" x14ac:dyDescent="0.25">
      <c r="A4997" t="s">
        <v>5000</v>
      </c>
      <c r="B4997">
        <v>0.99930955844802105</v>
      </c>
      <c r="C4997">
        <v>0.80936529957519499</v>
      </c>
      <c r="D4997">
        <v>0.49320912454105797</v>
      </c>
      <c r="E4997">
        <v>0.41813757560547499</v>
      </c>
      <c r="F4997">
        <v>0.21673924060088501</v>
      </c>
      <c r="G4997">
        <v>0.150287856818313</v>
      </c>
      <c r="H4997">
        <v>9.0020037736064706E-2</v>
      </c>
      <c r="I4997">
        <v>7.2104407731527501E-2</v>
      </c>
      <c r="J4997">
        <v>6.7963287255637606E-2</v>
      </c>
      <c r="K4997">
        <v>5.63699829320548E-2</v>
      </c>
      <c r="L4997">
        <v>632.413447238206</v>
      </c>
      <c r="M4997">
        <v>13.467135708718301</v>
      </c>
      <c r="N4997">
        <v>47.370633759023697</v>
      </c>
      <c r="O4997">
        <v>45.960591044584397</v>
      </c>
      <c r="P4997">
        <v>-6.9226463588634601E-2</v>
      </c>
      <c r="Q4997">
        <v>5.5122344854194601E-2</v>
      </c>
      <c r="R4997">
        <v>0.97757805575819601</v>
      </c>
      <c r="S4997" t="s">
        <v>11613</v>
      </c>
      <c r="T4997" t="s">
        <v>13232</v>
      </c>
      <c r="U4997" t="s">
        <v>13232</v>
      </c>
      <c r="V4997" t="s">
        <v>13232</v>
      </c>
      <c r="W4997" t="s">
        <v>18162</v>
      </c>
      <c r="X4997">
        <v>11</v>
      </c>
      <c r="Y4997" t="s">
        <v>24568</v>
      </c>
      <c r="Z4997" t="s">
        <v>31128</v>
      </c>
      <c r="AA4997">
        <v>0.30629461157712889</v>
      </c>
      <c r="AB4997" t="str">
        <f>HYPERLINK("Melting_Curves/meltCurve_Q96HA7_2_TONSL.pdf", "Melting_Curves/meltCurve_Q96HA7_2_TONSL.pdf")</f>
        <v>Melting_Curves/meltCurve_Q96HA7_2_TONSL.pdf</v>
      </c>
    </row>
    <row r="4998" spans="1:28" x14ac:dyDescent="0.25">
      <c r="A4998" t="s">
        <v>5001</v>
      </c>
      <c r="B4998">
        <v>0.99930955844802105</v>
      </c>
      <c r="C4998">
        <v>0.95564028351709396</v>
      </c>
      <c r="D4998">
        <v>0.87331055986017903</v>
      </c>
      <c r="E4998">
        <v>0.736661404404789</v>
      </c>
      <c r="F4998">
        <v>0.51923739323311702</v>
      </c>
      <c r="G4998">
        <v>0.42666690585681299</v>
      </c>
      <c r="H4998">
        <v>0.35705994949875403</v>
      </c>
      <c r="I4998">
        <v>0.37526528658556402</v>
      </c>
      <c r="J4998">
        <v>0.35001947777776199</v>
      </c>
      <c r="K4998">
        <v>0.27127706474401297</v>
      </c>
      <c r="L4998">
        <v>774.19251934496299</v>
      </c>
      <c r="M4998">
        <v>15.2043644908946</v>
      </c>
      <c r="N4998">
        <v>54.358316843508298</v>
      </c>
      <c r="O4998">
        <v>50.0626114521041</v>
      </c>
      <c r="P4998">
        <v>-5.2475639510952701E-2</v>
      </c>
      <c r="Q4998">
        <v>0.30893079266960299</v>
      </c>
      <c r="R4998">
        <v>0.98992701442737696</v>
      </c>
      <c r="S4998" t="s">
        <v>11614</v>
      </c>
      <c r="T4998" t="s">
        <v>13232</v>
      </c>
      <c r="U4998" t="s">
        <v>13232</v>
      </c>
      <c r="V4998" t="s">
        <v>13232</v>
      </c>
      <c r="W4998" t="s">
        <v>18163</v>
      </c>
      <c r="X4998">
        <v>23</v>
      </c>
      <c r="Y4998" t="s">
        <v>24569</v>
      </c>
      <c r="Z4998" t="s">
        <v>31129</v>
      </c>
      <c r="AA4998">
        <v>0.57610942023647427</v>
      </c>
      <c r="AB4998" t="str">
        <f>HYPERLINK("Melting_Curves/meltCurve_Q96HC4_PDLIM5.pdf", "Melting_Curves/meltCurve_Q96HC4_PDLIM5.pdf")</f>
        <v>Melting_Curves/meltCurve_Q96HC4_PDLIM5.pdf</v>
      </c>
    </row>
    <row r="4999" spans="1:28" x14ac:dyDescent="0.25">
      <c r="A4999" t="s">
        <v>5002</v>
      </c>
      <c r="B4999">
        <v>0.99930955844802105</v>
      </c>
      <c r="C4999">
        <v>1.02539625581334</v>
      </c>
      <c r="D4999">
        <v>1.0418432669292601</v>
      </c>
      <c r="E4999">
        <v>0.94196252528674396</v>
      </c>
      <c r="F4999">
        <v>0.573985352555895</v>
      </c>
      <c r="G4999">
        <v>0.1883216225107</v>
      </c>
      <c r="H4999">
        <v>0.10723439623552</v>
      </c>
      <c r="I4999">
        <v>8.9690130420249495E-2</v>
      </c>
      <c r="J4999">
        <v>7.6867029538305306E-2</v>
      </c>
      <c r="K4999">
        <v>6.1728730533231302E-2</v>
      </c>
      <c r="L4999">
        <v>1880.57403686255</v>
      </c>
      <c r="M4999">
        <v>35.274259314294099</v>
      </c>
      <c r="N4999">
        <v>53.591037723646203</v>
      </c>
      <c r="O4999">
        <v>53.142476880606999</v>
      </c>
      <c r="P4999">
        <v>-0.152063164327052</v>
      </c>
      <c r="Q4999">
        <v>8.3639773701751505E-2</v>
      </c>
      <c r="R4999">
        <v>0.99747765435388702</v>
      </c>
      <c r="S4999" t="s">
        <v>11615</v>
      </c>
      <c r="T4999" t="s">
        <v>13232</v>
      </c>
      <c r="U4999" t="s">
        <v>13232</v>
      </c>
      <c r="V4999" t="s">
        <v>13232</v>
      </c>
      <c r="W4999" t="s">
        <v>18164</v>
      </c>
      <c r="X4999">
        <v>22</v>
      </c>
      <c r="Y4999" t="s">
        <v>24570</v>
      </c>
      <c r="Z4999" t="s">
        <v>31130</v>
      </c>
      <c r="AA4999">
        <v>0.49462339321494592</v>
      </c>
      <c r="AB4999" t="str">
        <f>HYPERLINK("Melting_Curves/meltCurve_Q96HE7_ERO1L.pdf", "Melting_Curves/meltCurve_Q96HE7_ERO1L.pdf")</f>
        <v>Melting_Curves/meltCurve_Q96HE7_ERO1L.pdf</v>
      </c>
    </row>
    <row r="5000" spans="1:28" x14ac:dyDescent="0.25">
      <c r="A5000" t="s">
        <v>5003</v>
      </c>
      <c r="B5000">
        <v>0.99930955844802105</v>
      </c>
      <c r="C5000">
        <v>1.0832882775135599</v>
      </c>
      <c r="D5000">
        <v>1.12088483838123</v>
      </c>
      <c r="E5000">
        <v>1.11931976460458</v>
      </c>
      <c r="F5000">
        <v>1.0195869421362</v>
      </c>
      <c r="G5000">
        <v>0.77291598353718405</v>
      </c>
      <c r="H5000">
        <v>0.48933435002202802</v>
      </c>
      <c r="I5000">
        <v>0.14172854727881301</v>
      </c>
      <c r="J5000">
        <v>4.1348421754309403E-2</v>
      </c>
      <c r="K5000">
        <v>3.2640669085033699E-2</v>
      </c>
      <c r="L5000">
        <v>1637.26548311069</v>
      </c>
      <c r="M5000">
        <v>27.1081593653991</v>
      </c>
      <c r="N5000">
        <v>60.397515773649999</v>
      </c>
      <c r="O5000">
        <v>60.071712234006</v>
      </c>
      <c r="P5000">
        <v>-0.112816934872128</v>
      </c>
      <c r="Q5000">
        <v>0</v>
      </c>
      <c r="R5000">
        <v>0.97547221843244303</v>
      </c>
      <c r="S5000" t="s">
        <v>11616</v>
      </c>
      <c r="T5000" t="s">
        <v>13232</v>
      </c>
      <c r="U5000" t="s">
        <v>13232</v>
      </c>
      <c r="V5000" t="s">
        <v>13232</v>
      </c>
      <c r="W5000" t="s">
        <v>18165</v>
      </c>
      <c r="X5000">
        <v>1</v>
      </c>
      <c r="Y5000" t="s">
        <v>24571</v>
      </c>
      <c r="Z5000" t="s">
        <v>31131</v>
      </c>
      <c r="AA5000">
        <v>0.68647764894397356</v>
      </c>
      <c r="AB5000" t="str">
        <f>HYPERLINK("Melting_Curves/meltCurve_Q96HJ9_C7orf55.pdf", "Melting_Curves/meltCurve_Q96HJ9_C7orf55.pdf")</f>
        <v>Melting_Curves/meltCurve_Q96HJ9_C7orf55.pdf</v>
      </c>
    </row>
    <row r="5001" spans="1:28" x14ac:dyDescent="0.25">
      <c r="A5001" t="s">
        <v>5004</v>
      </c>
      <c r="B5001">
        <v>0.99930955844802105</v>
      </c>
      <c r="C5001">
        <v>0.97969130934083803</v>
      </c>
      <c r="D5001">
        <v>0.95285472125923898</v>
      </c>
      <c r="E5001">
        <v>0.75828632454807898</v>
      </c>
      <c r="F5001">
        <v>0.50358400595542896</v>
      </c>
      <c r="G5001">
        <v>0.42711652197717698</v>
      </c>
      <c r="H5001">
        <v>0.28084571027701899</v>
      </c>
      <c r="I5001">
        <v>0.218309379703409</v>
      </c>
      <c r="J5001">
        <v>0.13584790540816899</v>
      </c>
      <c r="K5001">
        <v>0.104339924397536</v>
      </c>
      <c r="L5001">
        <v>678.32486383861897</v>
      </c>
      <c r="M5001">
        <v>12.6036581978359</v>
      </c>
      <c r="N5001">
        <v>54.617365769410902</v>
      </c>
      <c r="O5001">
        <v>52.518727294383503</v>
      </c>
      <c r="P5001">
        <v>-5.4963613588533501E-2</v>
      </c>
      <c r="Q5001">
        <v>8.4061502675992994E-2</v>
      </c>
      <c r="R5001">
        <v>0.98806883771661802</v>
      </c>
      <c r="S5001" t="s">
        <v>11617</v>
      </c>
      <c r="T5001" t="s">
        <v>13232</v>
      </c>
      <c r="U5001" t="s">
        <v>13232</v>
      </c>
      <c r="V5001" t="s">
        <v>13232</v>
      </c>
      <c r="W5001" t="s">
        <v>18166</v>
      </c>
      <c r="X5001">
        <v>18</v>
      </c>
      <c r="Y5001" t="s">
        <v>24572</v>
      </c>
      <c r="Z5001" t="s">
        <v>31132</v>
      </c>
      <c r="AA5001">
        <v>0.52916480083811357</v>
      </c>
      <c r="AB5001" t="str">
        <f>HYPERLINK("Melting_Curves/meltCurve_Q96HN2_2_AHCYL2.pdf", "Melting_Curves/meltCurve_Q96HN2_2_AHCYL2.pdf")</f>
        <v>Melting_Curves/meltCurve_Q96HN2_2_AHCYL2.pdf</v>
      </c>
    </row>
    <row r="5002" spans="1:28" x14ac:dyDescent="0.25">
      <c r="A5002" t="s">
        <v>5005</v>
      </c>
      <c r="B5002">
        <v>0.99930955844802105</v>
      </c>
      <c r="C5002">
        <v>0.59464494252407296</v>
      </c>
      <c r="D5002">
        <v>0.49525262038131501</v>
      </c>
      <c r="E5002">
        <v>0.2147417872721</v>
      </c>
      <c r="F5002">
        <v>0.15066183563306601</v>
      </c>
      <c r="G5002">
        <v>0.113306685439464</v>
      </c>
      <c r="H5002">
        <v>9.7495082308859296E-2</v>
      </c>
      <c r="I5002">
        <v>0.100762473057012</v>
      </c>
      <c r="J5002">
        <v>9.4530190370463896E-2</v>
      </c>
      <c r="K5002">
        <v>7.2496741975397794E-2</v>
      </c>
      <c r="L5002">
        <v>757.71450562100597</v>
      </c>
      <c r="M5002">
        <v>16.936787466271401</v>
      </c>
      <c r="N5002">
        <v>45.258785054289703</v>
      </c>
      <c r="O5002">
        <v>44.128099574244303</v>
      </c>
      <c r="P5002">
        <v>-8.7459316646778001E-2</v>
      </c>
      <c r="Q5002">
        <v>8.8571111398209099E-2</v>
      </c>
      <c r="R5002">
        <v>0.96875192142916999</v>
      </c>
      <c r="S5002" t="s">
        <v>11618</v>
      </c>
      <c r="T5002" t="s">
        <v>13232</v>
      </c>
      <c r="U5002" t="s">
        <v>13232</v>
      </c>
      <c r="V5002" t="s">
        <v>13232</v>
      </c>
      <c r="W5002" t="s">
        <v>18167</v>
      </c>
      <c r="X5002">
        <v>7</v>
      </c>
      <c r="Y5002" t="s">
        <v>20699</v>
      </c>
      <c r="Z5002" t="s">
        <v>31133</v>
      </c>
      <c r="AA5002">
        <v>0.25573318207104212</v>
      </c>
      <c r="AB5002" t="str">
        <f>HYPERLINK("Melting_Curves/meltCurve_Q96HP0_DOCK6.pdf", "Melting_Curves/meltCurve_Q96HP0_DOCK6.pdf")</f>
        <v>Melting_Curves/meltCurve_Q96HP0_DOCK6.pdf</v>
      </c>
    </row>
    <row r="5003" spans="1:28" x14ac:dyDescent="0.25">
      <c r="A5003" t="s">
        <v>5006</v>
      </c>
      <c r="B5003">
        <v>0.99930955844802105</v>
      </c>
      <c r="C5003">
        <v>1.0729693646768199</v>
      </c>
      <c r="D5003">
        <v>1.03784034517282</v>
      </c>
      <c r="E5003">
        <v>0.71331411832859404</v>
      </c>
      <c r="F5003">
        <v>0.20132160061635501</v>
      </c>
      <c r="G5003">
        <v>0.143855196971275</v>
      </c>
      <c r="H5003">
        <v>8.7394622887930401E-2</v>
      </c>
      <c r="I5003">
        <v>6.85728562875179E-2</v>
      </c>
      <c r="J5003">
        <v>5.0894535526394898E-2</v>
      </c>
      <c r="K5003">
        <v>3.9436810135408E-2</v>
      </c>
      <c r="L5003">
        <v>2321.3022518016201</v>
      </c>
      <c r="M5003">
        <v>45.6172307134959</v>
      </c>
      <c r="N5003">
        <v>51.070600686272499</v>
      </c>
      <c r="O5003">
        <v>50.789020178491697</v>
      </c>
      <c r="P5003">
        <v>-0.207520809515715</v>
      </c>
      <c r="Q5003">
        <v>7.58083740482908E-2</v>
      </c>
      <c r="R5003">
        <v>0.99288753441668998</v>
      </c>
      <c r="S5003" t="s">
        <v>11619</v>
      </c>
      <c r="T5003" t="s">
        <v>13232</v>
      </c>
      <c r="U5003" t="s">
        <v>13232</v>
      </c>
      <c r="V5003" t="s">
        <v>13232</v>
      </c>
      <c r="W5003" t="s">
        <v>18168</v>
      </c>
      <c r="X5003">
        <v>8</v>
      </c>
      <c r="Y5003" t="s">
        <v>24573</v>
      </c>
      <c r="Z5003" t="s">
        <v>31134</v>
      </c>
      <c r="AA5003">
        <v>0.41367769737986859</v>
      </c>
      <c r="AB5003" t="str">
        <f>HYPERLINK("Melting_Curves/meltCurve_Q96HP4_OXNAD1.pdf", "Melting_Curves/meltCurve_Q96HP4_OXNAD1.pdf")</f>
        <v>Melting_Curves/meltCurve_Q96HP4_OXNAD1.pdf</v>
      </c>
    </row>
    <row r="5004" spans="1:28" x14ac:dyDescent="0.25">
      <c r="A5004" t="s">
        <v>5007</v>
      </c>
      <c r="B5004">
        <v>0.99930955844802105</v>
      </c>
      <c r="C5004">
        <v>0.85352814375397301</v>
      </c>
      <c r="D5004">
        <v>0.87978254460392202</v>
      </c>
      <c r="E5004">
        <v>0.85123736486329205</v>
      </c>
      <c r="F5004">
        <v>0.71327239676521903</v>
      </c>
      <c r="G5004">
        <v>0.44113998394026999</v>
      </c>
      <c r="H5004">
        <v>0.15883178356520999</v>
      </c>
      <c r="I5004">
        <v>0.101515253901123</v>
      </c>
      <c r="J5004">
        <v>7.9269440302373803E-2</v>
      </c>
      <c r="K5004">
        <v>5.3652350379384997E-2</v>
      </c>
      <c r="L5004">
        <v>843.78596880265502</v>
      </c>
      <c r="M5004">
        <v>15.157888726522</v>
      </c>
      <c r="N5004">
        <v>55.666479421250301</v>
      </c>
      <c r="O5004">
        <v>54.7245453559879</v>
      </c>
      <c r="P5004">
        <v>-6.9253003543150504E-2</v>
      </c>
      <c r="Q5004">
        <v>0</v>
      </c>
      <c r="R5004">
        <v>0.97769187568815497</v>
      </c>
      <c r="S5004" t="s">
        <v>11620</v>
      </c>
      <c r="T5004" t="s">
        <v>13232</v>
      </c>
      <c r="U5004" t="s">
        <v>13232</v>
      </c>
      <c r="V5004" t="s">
        <v>13232</v>
      </c>
      <c r="W5004" t="s">
        <v>18169</v>
      </c>
      <c r="X5004">
        <v>2</v>
      </c>
      <c r="Y5004" t="s">
        <v>24574</v>
      </c>
      <c r="Z5004" t="s">
        <v>31135</v>
      </c>
      <c r="AA5004">
        <v>0.54033156529100845</v>
      </c>
      <c r="AB5004" t="str">
        <f>HYPERLINK("Melting_Curves/meltCurve_Q96HR8_2_NAF1.pdf", "Melting_Curves/meltCurve_Q96HR8_2_NAF1.pdf")</f>
        <v>Melting_Curves/meltCurve_Q96HR8_2_NAF1.pdf</v>
      </c>
    </row>
    <row r="5005" spans="1:28" x14ac:dyDescent="0.25">
      <c r="A5005" t="s">
        <v>5008</v>
      </c>
      <c r="B5005">
        <v>0.99930955844802105</v>
      </c>
      <c r="C5005">
        <v>1.2578852075464899</v>
      </c>
      <c r="D5005">
        <v>1.15765178290132</v>
      </c>
      <c r="E5005">
        <v>1.1539990796244699</v>
      </c>
      <c r="F5005">
        <v>1.4062002180545701</v>
      </c>
      <c r="G5005">
        <v>0.98195635502531897</v>
      </c>
      <c r="H5005">
        <v>0.77668929984809199</v>
      </c>
      <c r="I5005">
        <v>0.56852465952298503</v>
      </c>
      <c r="J5005">
        <v>0.27131405968588901</v>
      </c>
      <c r="K5005">
        <v>6.6076560921888294E-2</v>
      </c>
      <c r="L5005">
        <v>1794.16787713553</v>
      </c>
      <c r="M5005">
        <v>27.850333824569599</v>
      </c>
      <c r="N5005">
        <v>64.421770230119805</v>
      </c>
      <c r="O5005">
        <v>64.092376809023804</v>
      </c>
      <c r="P5005">
        <v>-0.10863451941520499</v>
      </c>
      <c r="Q5005">
        <v>0</v>
      </c>
      <c r="R5005">
        <v>0.83479839171550996</v>
      </c>
      <c r="S5005" t="s">
        <v>11621</v>
      </c>
      <c r="T5005" t="s">
        <v>13232</v>
      </c>
      <c r="U5005" t="s">
        <v>13232</v>
      </c>
      <c r="V5005" t="s">
        <v>13232</v>
      </c>
      <c r="W5005" t="s">
        <v>18170</v>
      </c>
      <c r="X5005">
        <v>5</v>
      </c>
      <c r="Y5005" t="s">
        <v>24575</v>
      </c>
      <c r="Z5005" t="s">
        <v>31136</v>
      </c>
      <c r="AA5005">
        <v>0.81308572531659851</v>
      </c>
      <c r="AB5005" t="str">
        <f>HYPERLINK("Melting_Curves/meltCurve_Q96HS1_PGAM5.pdf", "Melting_Curves/meltCurve_Q96HS1_PGAM5.pdf")</f>
        <v>Melting_Curves/meltCurve_Q96HS1_PGAM5.pdf</v>
      </c>
    </row>
    <row r="5006" spans="1:28" x14ac:dyDescent="0.25">
      <c r="A5006" t="s">
        <v>5009</v>
      </c>
      <c r="B5006">
        <v>0.99930955844802105</v>
      </c>
      <c r="C5006">
        <v>0.98165143465531601</v>
      </c>
      <c r="D5006">
        <v>1.0813518064043901</v>
      </c>
      <c r="E5006">
        <v>1.0982715730872099</v>
      </c>
      <c r="F5006">
        <v>1.0353779246585</v>
      </c>
      <c r="G5006">
        <v>0.68967341758379197</v>
      </c>
      <c r="H5006">
        <v>0.59601391533814296</v>
      </c>
      <c r="I5006">
        <v>0.62273970999127004</v>
      </c>
      <c r="J5006">
        <v>0.59799217851678599</v>
      </c>
      <c r="K5006">
        <v>0.46176851070938602</v>
      </c>
      <c r="L5006">
        <v>13472.6449943473</v>
      </c>
      <c r="M5006">
        <v>237.311952661487</v>
      </c>
      <c r="O5006">
        <v>56.767862953671496</v>
      </c>
      <c r="P5006">
        <v>-0.44978052550412401</v>
      </c>
      <c r="Q5006">
        <v>0.569628567795193</v>
      </c>
      <c r="R5006">
        <v>0.93666367381846505</v>
      </c>
      <c r="S5006" t="s">
        <v>11622</v>
      </c>
      <c r="T5006" t="s">
        <v>13232</v>
      </c>
      <c r="U5006" t="s">
        <v>13232</v>
      </c>
      <c r="V5006" t="s">
        <v>13232</v>
      </c>
      <c r="W5006" t="s">
        <v>18171</v>
      </c>
      <c r="X5006">
        <v>13</v>
      </c>
      <c r="Y5006" t="s">
        <v>24576</v>
      </c>
      <c r="Z5006" t="s">
        <v>31137</v>
      </c>
      <c r="AA5006">
        <v>0.81028071416158853</v>
      </c>
      <c r="AB5006" t="str">
        <f>HYPERLINK("Melting_Curves/meltCurve_Q96HW7_INTS4.pdf", "Melting_Curves/meltCurve_Q96HW7_INTS4.pdf")</f>
        <v>Melting_Curves/meltCurve_Q96HW7_INTS4.pdf</v>
      </c>
    </row>
    <row r="5007" spans="1:28" x14ac:dyDescent="0.25">
      <c r="A5007" t="s">
        <v>5010</v>
      </c>
      <c r="B5007">
        <v>0.99930955844802105</v>
      </c>
      <c r="C5007">
        <v>0.88608312763600305</v>
      </c>
      <c r="D5007">
        <v>0.77885404702350003</v>
      </c>
      <c r="E5007">
        <v>0.837441412434489</v>
      </c>
      <c r="F5007">
        <v>0.86061295788234005</v>
      </c>
      <c r="G5007">
        <v>0.75194121781988299</v>
      </c>
      <c r="H5007">
        <v>0.64538410881831998</v>
      </c>
      <c r="I5007">
        <v>0.65851339748898596</v>
      </c>
      <c r="J5007">
        <v>0.68458696273842601</v>
      </c>
      <c r="K5007">
        <v>0.513414064536725</v>
      </c>
      <c r="L5007">
        <v>223.69184264710501</v>
      </c>
      <c r="M5007">
        <v>2.8809430681601702</v>
      </c>
      <c r="O5007">
        <v>56.137892691931398</v>
      </c>
      <c r="P5007">
        <v>-1.3274650212766101E-2</v>
      </c>
      <c r="Q5007">
        <v>0</v>
      </c>
      <c r="R5007">
        <v>0.83020907366226104</v>
      </c>
      <c r="S5007" t="s">
        <v>11623</v>
      </c>
      <c r="T5007" t="s">
        <v>13232</v>
      </c>
      <c r="U5007" t="s">
        <v>13232</v>
      </c>
      <c r="V5007" t="s">
        <v>13232</v>
      </c>
      <c r="W5007" t="s">
        <v>18172</v>
      </c>
      <c r="X5007">
        <v>10</v>
      </c>
      <c r="Y5007" t="s">
        <v>24577</v>
      </c>
      <c r="Z5007" t="s">
        <v>31138</v>
      </c>
      <c r="AA5007">
        <v>0.76377494679026037</v>
      </c>
      <c r="AB5007" t="str">
        <f>HYPERLINK("Melting_Curves/meltCurve_Q96HY6_DDRGK1.pdf", "Melting_Curves/meltCurve_Q96HY6_DDRGK1.pdf")</f>
        <v>Melting_Curves/meltCurve_Q96HY6_DDRGK1.pdf</v>
      </c>
    </row>
    <row r="5008" spans="1:28" x14ac:dyDescent="0.25">
      <c r="A5008" t="s">
        <v>5011</v>
      </c>
      <c r="B5008">
        <v>0.99930955844802105</v>
      </c>
      <c r="C5008">
        <v>0.92067214742082204</v>
      </c>
      <c r="D5008">
        <v>0.72275879498502404</v>
      </c>
      <c r="E5008">
        <v>0.25678977926567997</v>
      </c>
      <c r="F5008">
        <v>0.126348005457533</v>
      </c>
      <c r="G5008">
        <v>7.3968678622870002E-2</v>
      </c>
      <c r="H5008">
        <v>4.7563756653968101E-2</v>
      </c>
      <c r="I5008">
        <v>2.8943201944054298E-2</v>
      </c>
      <c r="J5008">
        <v>2.4392000543470599E-2</v>
      </c>
      <c r="K5008">
        <v>2.5972072051523298E-2</v>
      </c>
      <c r="L5008">
        <v>1130.24497521593</v>
      </c>
      <c r="M5008">
        <v>23.721074030438398</v>
      </c>
      <c r="N5008">
        <v>47.791715107167697</v>
      </c>
      <c r="O5008">
        <v>47.312524075788197</v>
      </c>
      <c r="P5008">
        <v>-0.121009246241751</v>
      </c>
      <c r="Q5008">
        <v>3.4586691497206799E-2</v>
      </c>
      <c r="R5008">
        <v>0.99891093893265703</v>
      </c>
      <c r="S5008" t="s">
        <v>11624</v>
      </c>
      <c r="T5008" t="s">
        <v>13232</v>
      </c>
      <c r="U5008" t="s">
        <v>13232</v>
      </c>
      <c r="V5008" t="s">
        <v>13232</v>
      </c>
      <c r="W5008" t="s">
        <v>18173</v>
      </c>
      <c r="X5008">
        <v>9</v>
      </c>
      <c r="Y5008" t="s">
        <v>24578</v>
      </c>
      <c r="Z5008" t="s">
        <v>31139</v>
      </c>
      <c r="AA5008">
        <v>0.29025066758389739</v>
      </c>
      <c r="AB5008" t="str">
        <f>HYPERLINK("Melting_Curves/meltCurve_Q96HY7_DHTKD1.pdf", "Melting_Curves/meltCurve_Q96HY7_DHTKD1.pdf")</f>
        <v>Melting_Curves/meltCurve_Q96HY7_DHTKD1.pdf</v>
      </c>
    </row>
    <row r="5009" spans="1:28" x14ac:dyDescent="0.25">
      <c r="A5009" t="s">
        <v>5012</v>
      </c>
      <c r="B5009">
        <v>0.99930955844802105</v>
      </c>
      <c r="C5009">
        <v>1.05179753030588</v>
      </c>
      <c r="D5009">
        <v>1.0184060250740199</v>
      </c>
      <c r="E5009">
        <v>0.95885452132989202</v>
      </c>
      <c r="F5009">
        <v>0.899262164103388</v>
      </c>
      <c r="G5009">
        <v>0.63263602210297498</v>
      </c>
      <c r="H5009">
        <v>0.30971317990434</v>
      </c>
      <c r="I5009">
        <v>0.21645972690189599</v>
      </c>
      <c r="J5009">
        <v>0.16337743595017301</v>
      </c>
      <c r="K5009">
        <v>0.131347585888415</v>
      </c>
      <c r="L5009">
        <v>1320.18872947105</v>
      </c>
      <c r="M5009">
        <v>22.864087798883599</v>
      </c>
      <c r="N5009">
        <v>58.457884840995497</v>
      </c>
      <c r="O5009">
        <v>57.3044566313446</v>
      </c>
      <c r="P5009">
        <v>-8.7550986212949503E-2</v>
      </c>
      <c r="Q5009">
        <v>0.12229770758488701</v>
      </c>
      <c r="R5009">
        <v>0.99726658774862298</v>
      </c>
      <c r="S5009" t="s">
        <v>11625</v>
      </c>
      <c r="T5009" t="s">
        <v>13232</v>
      </c>
      <c r="U5009" t="s">
        <v>13232</v>
      </c>
      <c r="V5009" t="s">
        <v>13232</v>
      </c>
      <c r="W5009" t="s">
        <v>18174</v>
      </c>
      <c r="X5009">
        <v>20</v>
      </c>
      <c r="Y5009" t="s">
        <v>24579</v>
      </c>
      <c r="Z5009" t="s">
        <v>31140</v>
      </c>
      <c r="AA5009">
        <v>0.65005068424460688</v>
      </c>
      <c r="AB5009" t="str">
        <f>HYPERLINK("Melting_Curves/meltCurve_Q96I15_SCLY.pdf", "Melting_Curves/meltCurve_Q96I15_SCLY.pdf")</f>
        <v>Melting_Curves/meltCurve_Q96I15_SCLY.pdf</v>
      </c>
    </row>
    <row r="5010" spans="1:28" x14ac:dyDescent="0.25">
      <c r="A5010" t="s">
        <v>5013</v>
      </c>
      <c r="B5010">
        <v>0.99930955844802105</v>
      </c>
      <c r="C5010">
        <v>0.83710198689702098</v>
      </c>
      <c r="D5010">
        <v>0.78663265032180696</v>
      </c>
      <c r="E5010">
        <v>0.69164196918300203</v>
      </c>
      <c r="F5010">
        <v>0.55245110982683898</v>
      </c>
      <c r="G5010">
        <v>0.49817033721986398</v>
      </c>
      <c r="H5010">
        <v>0.38721643666683597</v>
      </c>
      <c r="I5010">
        <v>0.34115763138843203</v>
      </c>
      <c r="J5010">
        <v>0.29621124117092601</v>
      </c>
      <c r="K5010">
        <v>0.248780782298821</v>
      </c>
      <c r="L5010">
        <v>386.54591863466197</v>
      </c>
      <c r="M5010">
        <v>7.1956796001660202</v>
      </c>
      <c r="N5010">
        <v>55.9435292871824</v>
      </c>
      <c r="O5010">
        <v>50.035076857167503</v>
      </c>
      <c r="P5010">
        <v>-3.1533040100910299E-2</v>
      </c>
      <c r="Q5010">
        <v>0.12440866588074199</v>
      </c>
      <c r="R5010">
        <v>0.98561120954450399</v>
      </c>
      <c r="S5010" t="s">
        <v>11626</v>
      </c>
      <c r="T5010" t="s">
        <v>13232</v>
      </c>
      <c r="U5010" t="s">
        <v>13232</v>
      </c>
      <c r="V5010" t="s">
        <v>13232</v>
      </c>
      <c r="W5010" t="s">
        <v>18175</v>
      </c>
      <c r="X5010">
        <v>1</v>
      </c>
      <c r="Y5010" t="s">
        <v>24580</v>
      </c>
      <c r="Z5010" t="s">
        <v>31141</v>
      </c>
      <c r="AA5010">
        <v>0.55785971348412733</v>
      </c>
      <c r="AB5010" t="str">
        <f>HYPERLINK("Melting_Curves/meltCurve_Q96I23_PYURF.pdf", "Melting_Curves/meltCurve_Q96I23_PYURF.pdf")</f>
        <v>Melting_Curves/meltCurve_Q96I23_PYURF.pdf</v>
      </c>
    </row>
    <row r="5011" spans="1:28" x14ac:dyDescent="0.25">
      <c r="A5011" t="s">
        <v>5014</v>
      </c>
      <c r="B5011">
        <v>0.99930955844802105</v>
      </c>
      <c r="C5011">
        <v>1.04041297674813</v>
      </c>
      <c r="D5011">
        <v>1.0128509928018501</v>
      </c>
      <c r="E5011">
        <v>0.90139995820803098</v>
      </c>
      <c r="F5011">
        <v>0.69145995745559297</v>
      </c>
      <c r="G5011">
        <v>0.54484193455868501</v>
      </c>
      <c r="H5011">
        <v>0.45509278974315498</v>
      </c>
      <c r="I5011">
        <v>0.45974114209619399</v>
      </c>
      <c r="J5011">
        <v>0.41836502618007698</v>
      </c>
      <c r="K5011">
        <v>0.33878326141147203</v>
      </c>
      <c r="L5011">
        <v>1084.9376100224799</v>
      </c>
      <c r="M5011">
        <v>20.283070889229599</v>
      </c>
      <c r="N5011">
        <v>58.008727526940099</v>
      </c>
      <c r="O5011">
        <v>52.978007170171701</v>
      </c>
      <c r="P5011">
        <v>-5.7715844582962098E-2</v>
      </c>
      <c r="Q5011">
        <v>0.39701901470321499</v>
      </c>
      <c r="R5011">
        <v>0.98418509639896801</v>
      </c>
      <c r="S5011" t="s">
        <v>11627</v>
      </c>
      <c r="T5011" t="s">
        <v>13232</v>
      </c>
      <c r="U5011" t="s">
        <v>13232</v>
      </c>
      <c r="V5011" t="s">
        <v>13232</v>
      </c>
      <c r="W5011" t="s">
        <v>18176</v>
      </c>
      <c r="X5011">
        <v>26</v>
      </c>
      <c r="Y5011" t="s">
        <v>24581</v>
      </c>
      <c r="Z5011" t="s">
        <v>31142</v>
      </c>
      <c r="AA5011">
        <v>0.67621688714055561</v>
      </c>
      <c r="AB5011" t="str">
        <f>HYPERLINK("Melting_Curves/meltCurve_Q96I24_FUBP3.pdf", "Melting_Curves/meltCurve_Q96I24_FUBP3.pdf")</f>
        <v>Melting_Curves/meltCurve_Q96I24_FUBP3.pdf</v>
      </c>
    </row>
    <row r="5012" spans="1:28" x14ac:dyDescent="0.25">
      <c r="A5012" t="s">
        <v>5015</v>
      </c>
      <c r="B5012">
        <v>0.99930955844802105</v>
      </c>
      <c r="C5012">
        <v>1.0217995442437899</v>
      </c>
      <c r="D5012">
        <v>1.0674959796915799</v>
      </c>
      <c r="E5012">
        <v>0.94653551190339302</v>
      </c>
      <c r="F5012">
        <v>0.74192648753562196</v>
      </c>
      <c r="G5012">
        <v>0.42875113151681199</v>
      </c>
      <c r="H5012">
        <v>0.21721923294311701</v>
      </c>
      <c r="I5012">
        <v>0.18249100438499899</v>
      </c>
      <c r="J5012">
        <v>0.17297937530008201</v>
      </c>
      <c r="K5012">
        <v>0.13603818135777601</v>
      </c>
      <c r="L5012">
        <v>1314.5753022317199</v>
      </c>
      <c r="M5012">
        <v>23.845045761048102</v>
      </c>
      <c r="N5012">
        <v>55.947855019908097</v>
      </c>
      <c r="O5012">
        <v>54.746551983790702</v>
      </c>
      <c r="P5012">
        <v>-9.2865272529059698E-2</v>
      </c>
      <c r="Q5012">
        <v>0.14716508832601299</v>
      </c>
      <c r="R5012">
        <v>0.99476702097176295</v>
      </c>
      <c r="S5012" t="s">
        <v>11628</v>
      </c>
      <c r="T5012" t="s">
        <v>13232</v>
      </c>
      <c r="U5012" t="s">
        <v>13232</v>
      </c>
      <c r="V5012" t="s">
        <v>13232</v>
      </c>
      <c r="W5012" t="s">
        <v>18177</v>
      </c>
      <c r="X5012">
        <v>20</v>
      </c>
      <c r="Y5012" t="s">
        <v>24582</v>
      </c>
      <c r="Z5012" t="s">
        <v>31143</v>
      </c>
      <c r="AA5012">
        <v>0.58582904049794238</v>
      </c>
      <c r="AB5012" t="str">
        <f>HYPERLINK("Melting_Curves/meltCurve_Q96I25_RBM17.pdf", "Melting_Curves/meltCurve_Q96I25_RBM17.pdf")</f>
        <v>Melting_Curves/meltCurve_Q96I25_RBM17.pdf</v>
      </c>
    </row>
    <row r="5013" spans="1:28" x14ac:dyDescent="0.25">
      <c r="A5013" t="s">
        <v>5016</v>
      </c>
      <c r="B5013">
        <v>0.99930955844802105</v>
      </c>
      <c r="C5013">
        <v>0.93433844269483601</v>
      </c>
      <c r="D5013">
        <v>0.91052161228662898</v>
      </c>
      <c r="E5013">
        <v>0.79047034647366099</v>
      </c>
      <c r="F5013">
        <v>0.59757099223524501</v>
      </c>
      <c r="G5013">
        <v>0.42074168412238599</v>
      </c>
      <c r="H5013">
        <v>0.26454942802826797</v>
      </c>
      <c r="I5013">
        <v>0.160149791855558</v>
      </c>
      <c r="J5013">
        <v>9.7416805127701303E-2</v>
      </c>
      <c r="K5013">
        <v>8.4495069850591603E-2</v>
      </c>
      <c r="L5013">
        <v>639.97518619295204</v>
      </c>
      <c r="M5013">
        <v>11.5895145364673</v>
      </c>
      <c r="N5013">
        <v>55.220189261437099</v>
      </c>
      <c r="O5013">
        <v>53.652937476880197</v>
      </c>
      <c r="P5013">
        <v>-5.4017132767628803E-2</v>
      </c>
      <c r="Q5013">
        <v>0</v>
      </c>
      <c r="R5013">
        <v>0.99775787864461596</v>
      </c>
      <c r="S5013" t="s">
        <v>11629</v>
      </c>
      <c r="T5013" t="s">
        <v>13232</v>
      </c>
      <c r="U5013" t="s">
        <v>13232</v>
      </c>
      <c r="V5013" t="s">
        <v>13232</v>
      </c>
      <c r="W5013" t="s">
        <v>18178</v>
      </c>
      <c r="X5013">
        <v>6</v>
      </c>
      <c r="Y5013" t="s">
        <v>24583</v>
      </c>
      <c r="Z5013" t="s">
        <v>31144</v>
      </c>
      <c r="AA5013">
        <v>0.53063464735907495</v>
      </c>
      <c r="AB5013" t="str">
        <f>HYPERLINK("Melting_Curves/meltCurve_Q96I51_WBSCR16.pdf", "Melting_Curves/meltCurve_Q96I51_WBSCR16.pdf")</f>
        <v>Melting_Curves/meltCurve_Q96I51_WBSCR16.pdf</v>
      </c>
    </row>
    <row r="5014" spans="1:28" x14ac:dyDescent="0.25">
      <c r="A5014" t="s">
        <v>5017</v>
      </c>
      <c r="B5014">
        <v>0.99930955844802105</v>
      </c>
      <c r="C5014">
        <v>0.87869336808599396</v>
      </c>
      <c r="D5014">
        <v>0.65449380826691805</v>
      </c>
      <c r="E5014">
        <v>0.25985589507648599</v>
      </c>
      <c r="F5014">
        <v>0.172739217203525</v>
      </c>
      <c r="G5014">
        <v>0.11076540877088401</v>
      </c>
      <c r="H5014">
        <v>7.3830782116695901E-2</v>
      </c>
      <c r="I5014">
        <v>6.1380045909130702E-2</v>
      </c>
      <c r="J5014">
        <v>5.16380693138156E-2</v>
      </c>
      <c r="K5014">
        <v>4.0509805357506597E-2</v>
      </c>
      <c r="L5014">
        <v>953.38470409708304</v>
      </c>
      <c r="M5014">
        <v>20.224390794309599</v>
      </c>
      <c r="N5014">
        <v>47.436924639105698</v>
      </c>
      <c r="O5014">
        <v>46.6867167792918</v>
      </c>
      <c r="P5014">
        <v>-0.101869506203173</v>
      </c>
      <c r="Q5014">
        <v>5.9392253888383997E-2</v>
      </c>
      <c r="R5014">
        <v>0.997591366976746</v>
      </c>
      <c r="S5014" t="s">
        <v>11630</v>
      </c>
      <c r="T5014" t="s">
        <v>13232</v>
      </c>
      <c r="U5014" t="s">
        <v>13232</v>
      </c>
      <c r="V5014" t="s">
        <v>13232</v>
      </c>
      <c r="W5014" t="s">
        <v>18179</v>
      </c>
      <c r="X5014">
        <v>13</v>
      </c>
      <c r="Y5014" t="s">
        <v>24584</v>
      </c>
      <c r="Z5014" t="s">
        <v>31145</v>
      </c>
      <c r="AA5014">
        <v>0.2966312853368126</v>
      </c>
      <c r="AB5014" t="str">
        <f>HYPERLINK("Melting_Curves/meltCurve_Q96I59_NARS2.pdf", "Melting_Curves/meltCurve_Q96I59_NARS2.pdf")</f>
        <v>Melting_Curves/meltCurve_Q96I59_NARS2.pdf</v>
      </c>
    </row>
    <row r="5015" spans="1:28" x14ac:dyDescent="0.25">
      <c r="A5015" t="s">
        <v>5018</v>
      </c>
      <c r="B5015">
        <v>0.99930955844802105</v>
      </c>
      <c r="C5015">
        <v>0.88981944739001595</v>
      </c>
      <c r="D5015">
        <v>0.87060112341028695</v>
      </c>
      <c r="E5015">
        <v>0.78540878498946998</v>
      </c>
      <c r="F5015">
        <v>0.55424601020957898</v>
      </c>
      <c r="G5015">
        <v>0.251555117389687</v>
      </c>
      <c r="H5015">
        <v>0.204167747021165</v>
      </c>
      <c r="I5015">
        <v>0.173491317514365</v>
      </c>
      <c r="J5015">
        <v>0.117976048865536</v>
      </c>
      <c r="K5015">
        <v>4.0554406529085103E-2</v>
      </c>
      <c r="L5015">
        <v>725.29196147178698</v>
      </c>
      <c r="M5015">
        <v>13.5930698051788</v>
      </c>
      <c r="N5015">
        <v>53.696149586777601</v>
      </c>
      <c r="O5015">
        <v>52.242391418592199</v>
      </c>
      <c r="P5015">
        <v>-6.2385256935158097E-2</v>
      </c>
      <c r="Q5015">
        <v>4.1078557751511598E-2</v>
      </c>
      <c r="R5015">
        <v>0.983994963775361</v>
      </c>
      <c r="S5015" t="s">
        <v>11631</v>
      </c>
      <c r="T5015" t="s">
        <v>13232</v>
      </c>
      <c r="U5015" t="s">
        <v>13232</v>
      </c>
      <c r="V5015" t="s">
        <v>13232</v>
      </c>
      <c r="W5015" t="s">
        <v>18180</v>
      </c>
      <c r="X5015">
        <v>2</v>
      </c>
      <c r="Y5015" t="s">
        <v>24585</v>
      </c>
      <c r="Z5015" t="s">
        <v>31146</v>
      </c>
      <c r="AA5015">
        <v>0.49107162793405801</v>
      </c>
      <c r="AB5015" t="str">
        <f>HYPERLINK("Melting_Curves/meltCurve_Q96I76_GPATCH3.pdf", "Melting_Curves/meltCurve_Q96I76_GPATCH3.pdf")</f>
        <v>Melting_Curves/meltCurve_Q96I76_GPATCH3.pdf</v>
      </c>
    </row>
    <row r="5016" spans="1:28" x14ac:dyDescent="0.25">
      <c r="A5016" t="s">
        <v>5019</v>
      </c>
      <c r="B5016">
        <v>0.99930955844802105</v>
      </c>
      <c r="C5016">
        <v>1.1253935624434299</v>
      </c>
      <c r="D5016">
        <v>0.91472188144169897</v>
      </c>
      <c r="E5016">
        <v>0.48487926733359799</v>
      </c>
      <c r="F5016">
        <v>0.216117237026551</v>
      </c>
      <c r="G5016">
        <v>0.154048772184702</v>
      </c>
      <c r="H5016">
        <v>0.102282869120319</v>
      </c>
      <c r="I5016">
        <v>0.106778814705814</v>
      </c>
      <c r="J5016">
        <v>0.117937529853199</v>
      </c>
      <c r="K5016">
        <v>8.1566879124653893E-2</v>
      </c>
      <c r="L5016">
        <v>1558.00541544317</v>
      </c>
      <c r="M5016">
        <v>31.455106423025001</v>
      </c>
      <c r="N5016">
        <v>49.923056112172098</v>
      </c>
      <c r="O5016">
        <v>49.332178050161801</v>
      </c>
      <c r="P5016">
        <v>-0.14196349347173701</v>
      </c>
      <c r="Q5016">
        <v>0.109418945813236</v>
      </c>
      <c r="R5016">
        <v>0.98775739360650305</v>
      </c>
      <c r="S5016" t="s">
        <v>11632</v>
      </c>
      <c r="T5016" t="s">
        <v>13232</v>
      </c>
      <c r="U5016" t="s">
        <v>13232</v>
      </c>
      <c r="V5016" t="s">
        <v>13232</v>
      </c>
      <c r="W5016" t="s">
        <v>18181</v>
      </c>
      <c r="X5016">
        <v>20</v>
      </c>
      <c r="Y5016" t="s">
        <v>24586</v>
      </c>
      <c r="Z5016" t="s">
        <v>31147</v>
      </c>
      <c r="AA5016">
        <v>0.39732426725140552</v>
      </c>
      <c r="AB5016" t="str">
        <f>HYPERLINK("Melting_Curves/meltCurve_Q96I99_SUCLG2.pdf", "Melting_Curves/meltCurve_Q96I99_SUCLG2.pdf")</f>
        <v>Melting_Curves/meltCurve_Q96I99_SUCLG2.pdf</v>
      </c>
    </row>
    <row r="5017" spans="1:28" x14ac:dyDescent="0.25">
      <c r="A5017" t="s">
        <v>5020</v>
      </c>
      <c r="B5017">
        <v>0.99930955844802105</v>
      </c>
      <c r="C5017">
        <v>0.89707862634461899</v>
      </c>
      <c r="D5017">
        <v>0.58999688205444201</v>
      </c>
      <c r="E5017">
        <v>0.76728482328842795</v>
      </c>
      <c r="F5017">
        <v>0.61114939296718496</v>
      </c>
      <c r="G5017">
        <v>0.46812552110261302</v>
      </c>
      <c r="H5017">
        <v>0.41300254841471401</v>
      </c>
      <c r="I5017">
        <v>0.43490090275110399</v>
      </c>
      <c r="J5017">
        <v>0.391921232662861</v>
      </c>
      <c r="K5017">
        <v>0.30098113988405101</v>
      </c>
      <c r="L5017">
        <v>365.07045342398601</v>
      </c>
      <c r="M5017">
        <v>7.0431427062508698</v>
      </c>
      <c r="N5017">
        <v>57.017415707674502</v>
      </c>
      <c r="O5017">
        <v>48.140870207618001</v>
      </c>
      <c r="P5017">
        <v>-2.7978101272588599E-2</v>
      </c>
      <c r="Q5017">
        <v>0.23644704088722299</v>
      </c>
      <c r="R5017">
        <v>0.87665654757028599</v>
      </c>
      <c r="S5017" t="s">
        <v>11633</v>
      </c>
      <c r="T5017" t="s">
        <v>13232</v>
      </c>
      <c r="U5017" t="s">
        <v>13232</v>
      </c>
      <c r="V5017" t="s">
        <v>13232</v>
      </c>
      <c r="W5017" t="s">
        <v>18182</v>
      </c>
      <c r="X5017">
        <v>11</v>
      </c>
      <c r="Y5017" t="s">
        <v>24587</v>
      </c>
      <c r="Z5017" t="s">
        <v>31148</v>
      </c>
      <c r="AA5017">
        <v>0.57848122911453903</v>
      </c>
      <c r="AB5017" t="str">
        <f>HYPERLINK("Melting_Curves/meltCurve_Q96II8_LRCH3.pdf", "Melting_Curves/meltCurve_Q96II8_LRCH3.pdf")</f>
        <v>Melting_Curves/meltCurve_Q96II8_LRCH3.pdf</v>
      </c>
    </row>
    <row r="5018" spans="1:28" x14ac:dyDescent="0.25">
      <c r="A5018" t="s">
        <v>5021</v>
      </c>
      <c r="B5018">
        <v>0.99930955844802105</v>
      </c>
      <c r="C5018">
        <v>0.88233653693644398</v>
      </c>
      <c r="D5018">
        <v>0.82267229190163205</v>
      </c>
      <c r="E5018">
        <v>0.67350739951309202</v>
      </c>
      <c r="F5018">
        <v>0.39821079975639101</v>
      </c>
      <c r="G5018">
        <v>0.19914136768131599</v>
      </c>
      <c r="H5018">
        <v>0.109234840420411</v>
      </c>
      <c r="I5018">
        <v>9.46234154393292E-2</v>
      </c>
      <c r="J5018">
        <v>9.1660745347945299E-2</v>
      </c>
      <c r="K5018">
        <v>6.4686379136439404E-2</v>
      </c>
      <c r="L5018">
        <v>732.46517320115902</v>
      </c>
      <c r="M5018">
        <v>14.2588742716665</v>
      </c>
      <c r="N5018">
        <v>51.645204126899202</v>
      </c>
      <c r="O5018">
        <v>50.390397134053401</v>
      </c>
      <c r="P5018">
        <v>-6.8154071560196497E-2</v>
      </c>
      <c r="Q5018">
        <v>3.6701890246180403E-2</v>
      </c>
      <c r="R5018">
        <v>0.99160687136376502</v>
      </c>
      <c r="S5018" t="s">
        <v>11634</v>
      </c>
      <c r="T5018" t="s">
        <v>13232</v>
      </c>
      <c r="U5018" t="s">
        <v>13232</v>
      </c>
      <c r="V5018" t="s">
        <v>13232</v>
      </c>
      <c r="W5018" t="s">
        <v>18183</v>
      </c>
      <c r="X5018">
        <v>12</v>
      </c>
      <c r="Y5018" t="s">
        <v>24588</v>
      </c>
      <c r="Z5018" t="s">
        <v>31149</v>
      </c>
      <c r="AA5018">
        <v>0.42559600183806068</v>
      </c>
      <c r="AB5018" t="str">
        <f>HYPERLINK("Melting_Curves/meltCurve_Q96IJ6_GMPPA.pdf", "Melting_Curves/meltCurve_Q96IJ6_GMPPA.pdf")</f>
        <v>Melting_Curves/meltCurve_Q96IJ6_GMPPA.pdf</v>
      </c>
    </row>
    <row r="5019" spans="1:28" x14ac:dyDescent="0.25">
      <c r="A5019" t="s">
        <v>5022</v>
      </c>
      <c r="B5019">
        <v>0.99930955844802105</v>
      </c>
      <c r="C5019">
        <v>0.97967765548795005</v>
      </c>
      <c r="D5019">
        <v>0.94819199640267404</v>
      </c>
      <c r="E5019">
        <v>0.90968295109404895</v>
      </c>
      <c r="F5019">
        <v>0.77521765817710397</v>
      </c>
      <c r="G5019">
        <v>0.57096245515856303</v>
      </c>
      <c r="H5019">
        <v>0.50219510480011598</v>
      </c>
      <c r="I5019">
        <v>0.44552770436990702</v>
      </c>
      <c r="J5019">
        <v>0.46564946345736702</v>
      </c>
      <c r="K5019">
        <v>0.40172951450543098</v>
      </c>
      <c r="L5019">
        <v>967.02031319775097</v>
      </c>
      <c r="M5019">
        <v>17.823788943801301</v>
      </c>
      <c r="N5019">
        <v>60.317084419078498</v>
      </c>
      <c r="O5019">
        <v>53.5853545908139</v>
      </c>
      <c r="P5019">
        <v>-4.8511920493208897E-2</v>
      </c>
      <c r="Q5019">
        <v>0.41664588727097801</v>
      </c>
      <c r="R5019">
        <v>0.99357678580045505</v>
      </c>
      <c r="S5019" t="s">
        <v>11635</v>
      </c>
      <c r="T5019" t="s">
        <v>13232</v>
      </c>
      <c r="U5019" t="s">
        <v>13232</v>
      </c>
      <c r="V5019" t="s">
        <v>13232</v>
      </c>
      <c r="W5019" t="s">
        <v>18184</v>
      </c>
      <c r="X5019">
        <v>6</v>
      </c>
      <c r="Y5019" t="s">
        <v>24589</v>
      </c>
      <c r="Z5019" t="s">
        <v>31150</v>
      </c>
      <c r="AA5019">
        <v>0.70322353177476515</v>
      </c>
      <c r="AB5019" t="str">
        <f>HYPERLINK("Melting_Curves/meltCurve_Q96IK1_BOD1.pdf", "Melting_Curves/meltCurve_Q96IK1_BOD1.pdf")</f>
        <v>Melting_Curves/meltCurve_Q96IK1_BOD1.pdf</v>
      </c>
    </row>
    <row r="5020" spans="1:28" x14ac:dyDescent="0.25">
      <c r="A5020" t="s">
        <v>5023</v>
      </c>
      <c r="B5020">
        <v>0.99930955844802105</v>
      </c>
      <c r="C5020">
        <v>0.340322965501833</v>
      </c>
      <c r="D5020">
        <v>0.29005863599922899</v>
      </c>
      <c r="E5020">
        <v>0.41655742205505902</v>
      </c>
      <c r="F5020">
        <v>0.76585516187865099</v>
      </c>
      <c r="G5020">
        <v>0.964677476211241</v>
      </c>
      <c r="H5020">
        <v>1.9350834625042299</v>
      </c>
      <c r="I5020">
        <v>3.5726453167110899</v>
      </c>
      <c r="J5020">
        <v>7.5843996140430097</v>
      </c>
      <c r="K5020">
        <v>2.5762452010533599</v>
      </c>
      <c r="L5020">
        <v>14661.303821743701</v>
      </c>
      <c r="M5020">
        <v>250</v>
      </c>
      <c r="O5020">
        <v>58.641462489690497</v>
      </c>
      <c r="P5020">
        <v>0.53289939860236701</v>
      </c>
      <c r="Q5020">
        <v>1.5</v>
      </c>
      <c r="R5020">
        <v>3.8193768895168498E-2</v>
      </c>
      <c r="S5020" t="s">
        <v>11636</v>
      </c>
      <c r="T5020" t="s">
        <v>13232</v>
      </c>
      <c r="U5020" t="s">
        <v>13232</v>
      </c>
      <c r="V5020" t="s">
        <v>13232</v>
      </c>
      <c r="W5020" t="s">
        <v>18185</v>
      </c>
      <c r="X5020">
        <v>3</v>
      </c>
      <c r="Y5020" t="s">
        <v>20750</v>
      </c>
      <c r="Z5020" t="s">
        <v>31151</v>
      </c>
      <c r="AA5020">
        <v>1.1891949511637001</v>
      </c>
      <c r="AB5020" t="str">
        <f>HYPERLINK("Melting_Curves/meltCurve_Q96IQ9_ZNF414.pdf", "Melting_Curves/meltCurve_Q96IQ9_ZNF414.pdf")</f>
        <v>Melting_Curves/meltCurve_Q96IQ9_ZNF414.pdf</v>
      </c>
    </row>
    <row r="5021" spans="1:28" x14ac:dyDescent="0.25">
      <c r="A5021" t="s">
        <v>5024</v>
      </c>
      <c r="B5021">
        <v>0.99930955844802105</v>
      </c>
      <c r="C5021">
        <v>1.1554118525013699</v>
      </c>
      <c r="D5021">
        <v>1.0076346903207101</v>
      </c>
      <c r="E5021">
        <v>0.93698785660450801</v>
      </c>
      <c r="F5021">
        <v>0.87857586078706196</v>
      </c>
      <c r="G5021">
        <v>0.64478860597612198</v>
      </c>
      <c r="H5021">
        <v>0.50590685915993405</v>
      </c>
      <c r="I5021">
        <v>0.45921022431424002</v>
      </c>
      <c r="J5021">
        <v>0.42027825850947298</v>
      </c>
      <c r="K5021">
        <v>0.34585482685296498</v>
      </c>
      <c r="L5021">
        <v>1037.26399850707</v>
      </c>
      <c r="M5021">
        <v>18.286611898914</v>
      </c>
      <c r="N5021">
        <v>61.059990034309898</v>
      </c>
      <c r="O5021">
        <v>56.057314440794002</v>
      </c>
      <c r="P5021">
        <v>-5.1903155819467701E-2</v>
      </c>
      <c r="Q5021">
        <v>0.36359634925744799</v>
      </c>
      <c r="R5021">
        <v>0.96315475267063499</v>
      </c>
      <c r="S5021" t="s">
        <v>11637</v>
      </c>
      <c r="T5021" t="s">
        <v>13232</v>
      </c>
      <c r="U5021" t="s">
        <v>13232</v>
      </c>
      <c r="V5021" t="s">
        <v>13232</v>
      </c>
      <c r="W5021" t="s">
        <v>18186</v>
      </c>
      <c r="X5021">
        <v>4</v>
      </c>
      <c r="Y5021" t="s">
        <v>24590</v>
      </c>
      <c r="Z5021" t="s">
        <v>31152</v>
      </c>
      <c r="AA5021">
        <v>0.72712308113916579</v>
      </c>
      <c r="AB5021" t="str">
        <f>HYPERLINK("Melting_Curves/meltCurve_Q96IR2_ZNF845.pdf", "Melting_Curves/meltCurve_Q96IR2_ZNF845.pdf")</f>
        <v>Melting_Curves/meltCurve_Q96IR2_ZNF845.pdf</v>
      </c>
    </row>
    <row r="5022" spans="1:28" x14ac:dyDescent="0.25">
      <c r="A5022" t="s">
        <v>5025</v>
      </c>
      <c r="B5022">
        <v>0.99930955844802105</v>
      </c>
      <c r="C5022">
        <v>1.06594958451391</v>
      </c>
      <c r="D5022">
        <v>0.97780209129718598</v>
      </c>
      <c r="E5022">
        <v>0.80305226495814896</v>
      </c>
      <c r="F5022">
        <v>0.56646457504539904</v>
      </c>
      <c r="G5022">
        <v>0.327664819279402</v>
      </c>
      <c r="H5022">
        <v>0.16766176559653101</v>
      </c>
      <c r="I5022">
        <v>0.116173752466637</v>
      </c>
      <c r="J5022">
        <v>9.7892360779092899E-2</v>
      </c>
      <c r="K5022">
        <v>7.2249026124859506E-2</v>
      </c>
      <c r="L5022">
        <v>981.41085935232195</v>
      </c>
      <c r="M5022">
        <v>18.294790269241599</v>
      </c>
      <c r="N5022">
        <v>54.101325920331803</v>
      </c>
      <c r="O5022">
        <v>53.015648061175902</v>
      </c>
      <c r="P5022">
        <v>-8.0097139941918805E-2</v>
      </c>
      <c r="Q5022">
        <v>7.1603189801421593E-2</v>
      </c>
      <c r="R5022">
        <v>0.99533266311172597</v>
      </c>
      <c r="S5022" t="s">
        <v>11638</v>
      </c>
      <c r="T5022" t="s">
        <v>13232</v>
      </c>
      <c r="U5022" t="s">
        <v>13232</v>
      </c>
      <c r="V5022" t="s">
        <v>13232</v>
      </c>
      <c r="W5022" t="s">
        <v>18187</v>
      </c>
      <c r="X5022">
        <v>9</v>
      </c>
      <c r="Y5022" t="s">
        <v>24591</v>
      </c>
      <c r="Z5022" t="s">
        <v>31153</v>
      </c>
      <c r="AA5022">
        <v>0.50846896831924482</v>
      </c>
      <c r="AB5022" t="str">
        <f>HYPERLINK("Melting_Curves/meltCurve_Q96IU4_ABHD14B.pdf", "Melting_Curves/meltCurve_Q96IU4_ABHD14B.pdf")</f>
        <v>Melting_Curves/meltCurve_Q96IU4_ABHD14B.pdf</v>
      </c>
    </row>
    <row r="5023" spans="1:28" x14ac:dyDescent="0.25">
      <c r="A5023" t="s">
        <v>5026</v>
      </c>
      <c r="B5023">
        <v>0.99930955844802105</v>
      </c>
      <c r="C5023">
        <v>1.0034837174775899</v>
      </c>
      <c r="D5023">
        <v>0.801731159517447</v>
      </c>
      <c r="E5023">
        <v>0.57760365538856695</v>
      </c>
      <c r="F5023">
        <v>0.45900452285436599</v>
      </c>
      <c r="G5023">
        <v>0.34806344789265298</v>
      </c>
      <c r="H5023">
        <v>0.23884113173572699</v>
      </c>
      <c r="I5023">
        <v>0.175718475686793</v>
      </c>
      <c r="J5023">
        <v>0.140091260706798</v>
      </c>
      <c r="K5023">
        <v>0.10048649040603801</v>
      </c>
      <c r="L5023">
        <v>619.96993721316005</v>
      </c>
      <c r="M5023">
        <v>12.0672535703935</v>
      </c>
      <c r="N5023">
        <v>52.3045885985387</v>
      </c>
      <c r="O5023">
        <v>50.026354523128397</v>
      </c>
      <c r="P5023">
        <v>-5.4503992078007199E-2</v>
      </c>
      <c r="Q5023">
        <v>9.6399877686592098E-2</v>
      </c>
      <c r="R5023">
        <v>0.98804986081379698</v>
      </c>
      <c r="S5023" t="s">
        <v>11639</v>
      </c>
      <c r="T5023" t="s">
        <v>13232</v>
      </c>
      <c r="U5023" t="s">
        <v>13232</v>
      </c>
      <c r="V5023" t="s">
        <v>13232</v>
      </c>
      <c r="W5023" t="s">
        <v>18188</v>
      </c>
      <c r="X5023">
        <v>20</v>
      </c>
      <c r="Y5023" t="s">
        <v>24592</v>
      </c>
      <c r="Z5023" t="s">
        <v>31154</v>
      </c>
      <c r="AA5023">
        <v>0.46762409118198711</v>
      </c>
      <c r="AB5023" t="str">
        <f>HYPERLINK("Melting_Curves/meltCurve_Q96IV0_2_NGLY1.pdf", "Melting_Curves/meltCurve_Q96IV0_2_NGLY1.pdf")</f>
        <v>Melting_Curves/meltCurve_Q96IV0_2_NGLY1.pdf</v>
      </c>
    </row>
    <row r="5024" spans="1:28" x14ac:dyDescent="0.25">
      <c r="A5024" t="s">
        <v>5027</v>
      </c>
      <c r="B5024">
        <v>0.99930955844802105</v>
      </c>
      <c r="C5024">
        <v>1.0097624436336601</v>
      </c>
      <c r="D5024">
        <v>0.75509739557912303</v>
      </c>
      <c r="E5024">
        <v>0.45602975390762501</v>
      </c>
      <c r="F5024">
        <v>0.33221191781671799</v>
      </c>
      <c r="G5024">
        <v>0.241847770152887</v>
      </c>
      <c r="H5024">
        <v>0.127836538151645</v>
      </c>
      <c r="I5024">
        <v>0.10569441930918599</v>
      </c>
      <c r="J5024">
        <v>9.6859267558242798E-2</v>
      </c>
      <c r="K5024">
        <v>7.7226470020000298E-2</v>
      </c>
      <c r="L5024">
        <v>803.561499167894</v>
      </c>
      <c r="M5024">
        <v>16.305954987105299</v>
      </c>
      <c r="N5024">
        <v>49.9186112088057</v>
      </c>
      <c r="O5024">
        <v>48.556941669038601</v>
      </c>
      <c r="P5024">
        <v>-7.6057640569778998E-2</v>
      </c>
      <c r="Q5024">
        <v>9.4108339663021498E-2</v>
      </c>
      <c r="R5024">
        <v>0.98861475359591999</v>
      </c>
      <c r="S5024" t="s">
        <v>11640</v>
      </c>
      <c r="T5024" t="s">
        <v>13232</v>
      </c>
      <c r="U5024" t="s">
        <v>13232</v>
      </c>
      <c r="V5024" t="s">
        <v>13232</v>
      </c>
      <c r="W5024" t="s">
        <v>18189</v>
      </c>
      <c r="X5024">
        <v>8</v>
      </c>
      <c r="Y5024" t="s">
        <v>24593</v>
      </c>
      <c r="Z5024" t="s">
        <v>31155</v>
      </c>
      <c r="AA5024">
        <v>0.39325219612794132</v>
      </c>
      <c r="AB5024" t="str">
        <f>HYPERLINK("Melting_Curves/meltCurve_Q96IY1_NSL1.pdf", "Melting_Curves/meltCurve_Q96IY1_NSL1.pdf")</f>
        <v>Melting_Curves/meltCurve_Q96IY1_NSL1.pdf</v>
      </c>
    </row>
    <row r="5025" spans="1:28" x14ac:dyDescent="0.25">
      <c r="A5025" t="s">
        <v>5028</v>
      </c>
      <c r="B5025">
        <v>0.99930955844802105</v>
      </c>
      <c r="C5025">
        <v>0.908997671779046</v>
      </c>
      <c r="D5025">
        <v>0.89221404350764399</v>
      </c>
      <c r="E5025">
        <v>0.80730148830874104</v>
      </c>
      <c r="F5025">
        <v>0.636878155579085</v>
      </c>
      <c r="G5025">
        <v>0.56510732766709804</v>
      </c>
      <c r="H5025">
        <v>0.68970066306907796</v>
      </c>
      <c r="I5025">
        <v>0.73850347018383999</v>
      </c>
      <c r="J5025">
        <v>1.01190078978762</v>
      </c>
      <c r="K5025">
        <v>0.67464424825833502</v>
      </c>
      <c r="L5025">
        <v>1090.37984827937</v>
      </c>
      <c r="M5025">
        <v>23.664997771702101</v>
      </c>
      <c r="O5025">
        <v>45.750427027611302</v>
      </c>
      <c r="P5025">
        <v>-3.5534527716775198E-2</v>
      </c>
      <c r="Q5025">
        <v>0.72521577929692405</v>
      </c>
      <c r="R5025">
        <v>0.412177248259252</v>
      </c>
      <c r="S5025" t="s">
        <v>11641</v>
      </c>
      <c r="T5025" t="s">
        <v>13232</v>
      </c>
      <c r="U5025" t="s">
        <v>13232</v>
      </c>
      <c r="V5025" t="s">
        <v>13232</v>
      </c>
      <c r="W5025" t="s">
        <v>18190</v>
      </c>
      <c r="X5025">
        <v>4</v>
      </c>
      <c r="Y5025" t="s">
        <v>24594</v>
      </c>
      <c r="Z5025" t="s">
        <v>31156</v>
      </c>
      <c r="AA5025">
        <v>0.78373486933945335</v>
      </c>
      <c r="AB5025" t="str">
        <f>HYPERLINK("Melting_Curves/meltCurve_Q96IZ0_PAWR.pdf", "Melting_Curves/meltCurve_Q96IZ0_PAWR.pdf")</f>
        <v>Melting_Curves/meltCurve_Q96IZ0_PAWR.pdf</v>
      </c>
    </row>
    <row r="5026" spans="1:28" x14ac:dyDescent="0.25">
      <c r="A5026" t="s">
        <v>5029</v>
      </c>
      <c r="B5026">
        <v>0.99930955844802105</v>
      </c>
      <c r="C5026">
        <v>0.88721839910082301</v>
      </c>
      <c r="D5026">
        <v>0.75606960497055498</v>
      </c>
      <c r="E5026">
        <v>0.631813816297773</v>
      </c>
      <c r="F5026">
        <v>0.371652606195368</v>
      </c>
      <c r="G5026">
        <v>0.25717743832972301</v>
      </c>
      <c r="H5026">
        <v>0.14715720610492</v>
      </c>
      <c r="I5026">
        <v>0.14206016247946401</v>
      </c>
      <c r="J5026">
        <v>0.13316814494950499</v>
      </c>
      <c r="K5026">
        <v>0.10186488323819801</v>
      </c>
      <c r="L5026">
        <v>630.44227728059002</v>
      </c>
      <c r="M5026">
        <v>12.4741483642619</v>
      </c>
      <c r="N5026">
        <v>51.197822924449</v>
      </c>
      <c r="O5026">
        <v>49.293775498430897</v>
      </c>
      <c r="P5026">
        <v>-5.8591408646514097E-2</v>
      </c>
      <c r="Q5026">
        <v>7.4055481052421296E-2</v>
      </c>
      <c r="R5026">
        <v>0.99160731563134896</v>
      </c>
      <c r="S5026" t="s">
        <v>11642</v>
      </c>
      <c r="T5026" t="s">
        <v>13232</v>
      </c>
      <c r="U5026" t="s">
        <v>13232</v>
      </c>
      <c r="V5026" t="s">
        <v>13232</v>
      </c>
      <c r="W5026" t="s">
        <v>18191</v>
      </c>
      <c r="X5026">
        <v>3</v>
      </c>
      <c r="Y5026" t="s">
        <v>24595</v>
      </c>
      <c r="Z5026" t="s">
        <v>31157</v>
      </c>
      <c r="AA5026">
        <v>0.42864615298738001</v>
      </c>
      <c r="AB5026" t="str">
        <f>HYPERLINK("Melting_Curves/meltCurve_Q96IZ5_2_RBM41.pdf", "Melting_Curves/meltCurve_Q96IZ5_2_RBM41.pdf")</f>
        <v>Melting_Curves/meltCurve_Q96IZ5_2_RBM41.pdf</v>
      </c>
    </row>
    <row r="5027" spans="1:28" x14ac:dyDescent="0.25">
      <c r="A5027" t="s">
        <v>5030</v>
      </c>
      <c r="B5027">
        <v>0.99930955844802105</v>
      </c>
      <c r="C5027">
        <v>0.88849365816969705</v>
      </c>
      <c r="D5027">
        <v>0.918452436358419</v>
      </c>
      <c r="E5027">
        <v>0.91569267084957395</v>
      </c>
      <c r="F5027">
        <v>0.73392251963233401</v>
      </c>
      <c r="G5027">
        <v>0.62657615409318501</v>
      </c>
      <c r="H5027">
        <v>0.53199418201693105</v>
      </c>
      <c r="I5027">
        <v>0.52704759223736497</v>
      </c>
      <c r="J5027">
        <v>0.47609513317487101</v>
      </c>
      <c r="K5027">
        <v>0.36606821098384501</v>
      </c>
      <c r="L5027">
        <v>450.682809828068</v>
      </c>
      <c r="M5027">
        <v>7.6902406506488301</v>
      </c>
      <c r="N5027">
        <v>63.6290926021952</v>
      </c>
      <c r="O5027">
        <v>55.036564323771501</v>
      </c>
      <c r="P5027">
        <v>-2.70177569681571E-2</v>
      </c>
      <c r="Q5027">
        <v>0.22758267284703701</v>
      </c>
      <c r="R5027">
        <v>0.96213734182337296</v>
      </c>
      <c r="S5027" t="s">
        <v>11643</v>
      </c>
      <c r="T5027" t="s">
        <v>13232</v>
      </c>
      <c r="U5027" t="s">
        <v>13232</v>
      </c>
      <c r="V5027" t="s">
        <v>13232</v>
      </c>
      <c r="W5027" t="s">
        <v>18192</v>
      </c>
      <c r="X5027">
        <v>6</v>
      </c>
      <c r="Y5027" t="s">
        <v>24596</v>
      </c>
      <c r="Z5027" t="s">
        <v>31158</v>
      </c>
      <c r="AA5027">
        <v>0.70390317996613205</v>
      </c>
      <c r="AB5027" t="str">
        <f>HYPERLINK("Melting_Curves/meltCurve_Q96IZ7_2_RSRC1.pdf", "Melting_Curves/meltCurve_Q96IZ7_2_RSRC1.pdf")</f>
        <v>Melting_Curves/meltCurve_Q96IZ7_2_RSRC1.pdf</v>
      </c>
    </row>
    <row r="5028" spans="1:28" x14ac:dyDescent="0.25">
      <c r="A5028" t="s">
        <v>5031</v>
      </c>
      <c r="B5028">
        <v>0.99930955844802105</v>
      </c>
      <c r="C5028">
        <v>0.93161899557301797</v>
      </c>
      <c r="D5028">
        <v>0.87866968705052295</v>
      </c>
      <c r="E5028">
        <v>0.70509676757119299</v>
      </c>
      <c r="F5028">
        <v>0.38987190358227802</v>
      </c>
      <c r="G5028">
        <v>0.20481486900983101</v>
      </c>
      <c r="H5028">
        <v>0.11195138972577399</v>
      </c>
      <c r="I5028">
        <v>9.5982123370283404E-2</v>
      </c>
      <c r="J5028">
        <v>7.8740310825974394E-2</v>
      </c>
      <c r="K5028">
        <v>6.4284312303988594E-2</v>
      </c>
      <c r="L5028">
        <v>921.46717734112804</v>
      </c>
      <c r="M5028">
        <v>17.860447384436998</v>
      </c>
      <c r="N5028">
        <v>51.958077900753402</v>
      </c>
      <c r="O5028">
        <v>50.958879100602303</v>
      </c>
      <c r="P5028">
        <v>-8.2453921363987798E-2</v>
      </c>
      <c r="Q5028">
        <v>5.9027904039864298E-2</v>
      </c>
      <c r="R5028">
        <v>0.995894870300436</v>
      </c>
      <c r="S5028" t="s">
        <v>11644</v>
      </c>
      <c r="T5028" t="s">
        <v>13232</v>
      </c>
      <c r="U5028" t="s">
        <v>13232</v>
      </c>
      <c r="V5028" t="s">
        <v>13232</v>
      </c>
      <c r="W5028" t="s">
        <v>18193</v>
      </c>
      <c r="X5028">
        <v>12</v>
      </c>
      <c r="Y5028" t="s">
        <v>24597</v>
      </c>
      <c r="Z5028" t="s">
        <v>31159</v>
      </c>
      <c r="AA5028">
        <v>0.43859627508791882</v>
      </c>
      <c r="AB5028" t="str">
        <f>HYPERLINK("Melting_Curves/meltCurve_Q96J01_THOC3.pdf", "Melting_Curves/meltCurve_Q96J01_THOC3.pdf")</f>
        <v>Melting_Curves/meltCurve_Q96J01_THOC3.pdf</v>
      </c>
    </row>
    <row r="5029" spans="1:28" x14ac:dyDescent="0.25">
      <c r="A5029" t="s">
        <v>5032</v>
      </c>
      <c r="B5029">
        <v>0.99930955844802105</v>
      </c>
      <c r="C5029">
        <v>0.886806686269067</v>
      </c>
      <c r="D5029">
        <v>0.86770794509662397</v>
      </c>
      <c r="E5029">
        <v>0.68656189784885602</v>
      </c>
      <c r="F5029">
        <v>0.40587794130386501</v>
      </c>
      <c r="G5029">
        <v>0.22729932310842699</v>
      </c>
      <c r="H5029">
        <v>0.11231256952537801</v>
      </c>
      <c r="I5029">
        <v>0.103887580476498</v>
      </c>
      <c r="J5029">
        <v>7.6772472889488796E-2</v>
      </c>
      <c r="K5029">
        <v>6.1203155063011799E-2</v>
      </c>
      <c r="L5029">
        <v>776.512999694158</v>
      </c>
      <c r="M5029">
        <v>15.0194076190378</v>
      </c>
      <c r="N5029">
        <v>51.993558415071298</v>
      </c>
      <c r="O5029">
        <v>50.8100994654028</v>
      </c>
      <c r="P5029">
        <v>-7.0908952284572696E-2</v>
      </c>
      <c r="Q5029">
        <v>4.0567093474645599E-2</v>
      </c>
      <c r="R5029">
        <v>0.99341340359451502</v>
      </c>
      <c r="S5029" t="s">
        <v>11645</v>
      </c>
      <c r="T5029" t="s">
        <v>13232</v>
      </c>
      <c r="U5029" t="s">
        <v>13232</v>
      </c>
      <c r="V5029" t="s">
        <v>13232</v>
      </c>
      <c r="W5029" t="s">
        <v>18194</v>
      </c>
      <c r="X5029">
        <v>5</v>
      </c>
      <c r="Y5029" t="s">
        <v>24598</v>
      </c>
      <c r="Z5029" t="s">
        <v>31160</v>
      </c>
      <c r="AA5029">
        <v>0.43639273537431239</v>
      </c>
      <c r="AB5029" t="str">
        <f>HYPERLINK("Melting_Curves/meltCurve_Q96J02_2_ITCH.pdf", "Melting_Curves/meltCurve_Q96J02_2_ITCH.pdf")</f>
        <v>Melting_Curves/meltCurve_Q96J02_2_ITCH.pdf</v>
      </c>
    </row>
    <row r="5030" spans="1:28" x14ac:dyDescent="0.25">
      <c r="A5030" t="s">
        <v>5033</v>
      </c>
      <c r="B5030">
        <v>0.99930955844802105</v>
      </c>
      <c r="C5030">
        <v>1.2178034754954199</v>
      </c>
      <c r="D5030">
        <v>1.0499740912762701</v>
      </c>
      <c r="E5030">
        <v>0.69892328378410895</v>
      </c>
      <c r="F5030">
        <v>0.63988219480917496</v>
      </c>
      <c r="G5030">
        <v>0.47573338029505602</v>
      </c>
      <c r="H5030">
        <v>0.41451601544289102</v>
      </c>
      <c r="I5030">
        <v>0.38964908609396698</v>
      </c>
      <c r="J5030">
        <v>0.29845969991164001</v>
      </c>
      <c r="K5030">
        <v>0.25728640094542599</v>
      </c>
      <c r="L5030">
        <v>942.83652538099795</v>
      </c>
      <c r="M5030">
        <v>17.959681893879001</v>
      </c>
      <c r="N5030">
        <v>55.597769555499703</v>
      </c>
      <c r="O5030">
        <v>51.859511919958997</v>
      </c>
      <c r="P5030">
        <v>-5.9193416186179001E-2</v>
      </c>
      <c r="Q5030">
        <v>0.31633783574549701</v>
      </c>
      <c r="R5030">
        <v>0.91895465941464005</v>
      </c>
      <c r="S5030" t="s">
        <v>11646</v>
      </c>
      <c r="T5030" t="s">
        <v>13232</v>
      </c>
      <c r="U5030" t="s">
        <v>13232</v>
      </c>
      <c r="V5030" t="s">
        <v>13232</v>
      </c>
      <c r="W5030" t="s">
        <v>18195</v>
      </c>
      <c r="X5030">
        <v>5</v>
      </c>
      <c r="Y5030" t="s">
        <v>24599</v>
      </c>
      <c r="Z5030" t="s">
        <v>31161</v>
      </c>
      <c r="AA5030">
        <v>0.61247274389360118</v>
      </c>
      <c r="AB5030" t="str">
        <f>HYPERLINK("Melting_Curves/meltCurve_Q96J92_WNK4.pdf", "Melting_Curves/meltCurve_Q96J92_WNK4.pdf")</f>
        <v>Melting_Curves/meltCurve_Q96J92_WNK4.pdf</v>
      </c>
    </row>
    <row r="5031" spans="1:28" x14ac:dyDescent="0.25">
      <c r="A5031" t="s">
        <v>5034</v>
      </c>
      <c r="B5031">
        <v>0.99930955844802105</v>
      </c>
      <c r="C5031">
        <v>0.57950145088466798</v>
      </c>
      <c r="D5031">
        <v>0.44480018538543298</v>
      </c>
      <c r="E5031">
        <v>0.28810848229445302</v>
      </c>
      <c r="F5031">
        <v>0.182741365917582</v>
      </c>
      <c r="G5031">
        <v>0.13129117711928601</v>
      </c>
      <c r="H5031">
        <v>8.1707715057092803E-2</v>
      </c>
      <c r="I5031">
        <v>6.9848275990969405E-2</v>
      </c>
      <c r="J5031">
        <v>6.5839252263697204E-2</v>
      </c>
      <c r="K5031">
        <v>5.0549682457961501E-2</v>
      </c>
      <c r="L5031">
        <v>648.93942875394498</v>
      </c>
      <c r="M5031">
        <v>14.4561444342795</v>
      </c>
      <c r="N5031">
        <v>45.359487228719303</v>
      </c>
      <c r="O5031">
        <v>44.057423425106101</v>
      </c>
      <c r="P5031">
        <v>-7.6341561134664698E-2</v>
      </c>
      <c r="Q5031">
        <v>6.9455769792282795E-2</v>
      </c>
      <c r="R5031">
        <v>0.96059041889389496</v>
      </c>
      <c r="S5031" t="s">
        <v>11647</v>
      </c>
      <c r="T5031" t="s">
        <v>13232</v>
      </c>
      <c r="U5031" t="s">
        <v>13232</v>
      </c>
      <c r="V5031" t="s">
        <v>13232</v>
      </c>
      <c r="W5031" t="s">
        <v>18196</v>
      </c>
      <c r="X5031">
        <v>18</v>
      </c>
      <c r="Y5031" t="s">
        <v>24600</v>
      </c>
      <c r="Z5031" t="s">
        <v>31162</v>
      </c>
      <c r="AA5031">
        <v>0.25380500238328868</v>
      </c>
      <c r="AB5031" t="str">
        <f>HYPERLINK("Melting_Curves/meltCurve_Q96JB2_COG3.pdf", "Melting_Curves/meltCurve_Q96JB2_COG3.pdf")</f>
        <v>Melting_Curves/meltCurve_Q96JB2_COG3.pdf</v>
      </c>
    </row>
    <row r="5032" spans="1:28" x14ac:dyDescent="0.25">
      <c r="A5032" t="s">
        <v>5035</v>
      </c>
      <c r="B5032">
        <v>0.99930955844802105</v>
      </c>
      <c r="C5032">
        <v>1.03945699658257</v>
      </c>
      <c r="D5032">
        <v>1.0126855979960701</v>
      </c>
      <c r="E5032">
        <v>0.90109153015244703</v>
      </c>
      <c r="F5032">
        <v>0.76202227696592295</v>
      </c>
      <c r="G5032">
        <v>0.63933893157399801</v>
      </c>
      <c r="H5032">
        <v>0.64228049256102104</v>
      </c>
      <c r="I5032">
        <v>0.73305944065707396</v>
      </c>
      <c r="J5032">
        <v>0.79187258370973002</v>
      </c>
      <c r="K5032">
        <v>0.61461941927268005</v>
      </c>
      <c r="L5032">
        <v>2027.8070532547699</v>
      </c>
      <c r="M5032">
        <v>39.6562909962554</v>
      </c>
      <c r="O5032">
        <v>51.005045706116299</v>
      </c>
      <c r="P5032">
        <v>-6.1202831811338197E-2</v>
      </c>
      <c r="Q5032">
        <v>0.68512973641429098</v>
      </c>
      <c r="R5032">
        <v>0.895581519863477</v>
      </c>
      <c r="S5032" t="s">
        <v>11648</v>
      </c>
      <c r="T5032" t="s">
        <v>13232</v>
      </c>
      <c r="U5032" t="s">
        <v>13232</v>
      </c>
      <c r="V5032" t="s">
        <v>13232</v>
      </c>
      <c r="W5032" t="s">
        <v>18197</v>
      </c>
      <c r="X5032">
        <v>11</v>
      </c>
      <c r="Y5032" t="s">
        <v>24601</v>
      </c>
      <c r="Z5032" t="s">
        <v>31163</v>
      </c>
      <c r="AA5032">
        <v>0.80312679335810122</v>
      </c>
      <c r="AB5032" t="str">
        <f>HYPERLINK("Melting_Curves/meltCurve_Q96JB3_2_HIC2.pdf", "Melting_Curves/meltCurve_Q96JB3_2_HIC2.pdf")</f>
        <v>Melting_Curves/meltCurve_Q96JB3_2_HIC2.pdf</v>
      </c>
    </row>
    <row r="5033" spans="1:28" x14ac:dyDescent="0.25">
      <c r="A5033" t="s">
        <v>5036</v>
      </c>
      <c r="B5033">
        <v>0.99930955844802105</v>
      </c>
      <c r="C5033">
        <v>0.90512831181021602</v>
      </c>
      <c r="D5033">
        <v>0.72470160180452303</v>
      </c>
      <c r="E5033">
        <v>0.36761881782755002</v>
      </c>
      <c r="F5033">
        <v>0.159097326070826</v>
      </c>
      <c r="G5033">
        <v>0.10907618958517599</v>
      </c>
      <c r="H5033">
        <v>7.0016924492978305E-2</v>
      </c>
      <c r="I5033">
        <v>7.2509884333179203E-2</v>
      </c>
      <c r="J5033">
        <v>6.6870200447525702E-2</v>
      </c>
      <c r="K5033">
        <v>5.1231771270646001E-2</v>
      </c>
      <c r="L5033">
        <v>956.85404449366501</v>
      </c>
      <c r="M5033">
        <v>19.923029915624799</v>
      </c>
      <c r="N5033">
        <v>48.329218907038701</v>
      </c>
      <c r="O5033">
        <v>47.551517857724598</v>
      </c>
      <c r="P5033">
        <v>-9.8622919809210896E-2</v>
      </c>
      <c r="Q5033">
        <v>5.84736248095752E-2</v>
      </c>
      <c r="R5033">
        <v>0.99873001566708797</v>
      </c>
      <c r="S5033" t="s">
        <v>11649</v>
      </c>
      <c r="T5033" t="s">
        <v>13232</v>
      </c>
      <c r="U5033" t="s">
        <v>13232</v>
      </c>
      <c r="V5033" t="s">
        <v>13232</v>
      </c>
      <c r="W5033" t="s">
        <v>18198</v>
      </c>
      <c r="X5033">
        <v>18</v>
      </c>
      <c r="Y5033" t="s">
        <v>24602</v>
      </c>
      <c r="Z5033" t="s">
        <v>31164</v>
      </c>
      <c r="AA5033">
        <v>0.32389399899795329</v>
      </c>
      <c r="AB5033" t="str">
        <f>HYPERLINK("Melting_Curves/meltCurve_Q96JB5_CDK5RAP3.pdf", "Melting_Curves/meltCurve_Q96JB5_CDK5RAP3.pdf")</f>
        <v>Melting_Curves/meltCurve_Q96JB5_CDK5RAP3.pdf</v>
      </c>
    </row>
    <row r="5034" spans="1:28" x14ac:dyDescent="0.25">
      <c r="A5034" t="s">
        <v>5037</v>
      </c>
      <c r="B5034">
        <v>0.99930955844802105</v>
      </c>
      <c r="C5034">
        <v>0.84479807126497497</v>
      </c>
      <c r="D5034">
        <v>0.82812010038686401</v>
      </c>
      <c r="E5034">
        <v>0.63181718787627505</v>
      </c>
      <c r="F5034">
        <v>0.39549776822419402</v>
      </c>
      <c r="G5034">
        <v>0.25836905052534298</v>
      </c>
      <c r="H5034">
        <v>0.12934505913098099</v>
      </c>
      <c r="I5034">
        <v>8.13245359424319E-2</v>
      </c>
      <c r="J5034">
        <v>5.04040888006013E-2</v>
      </c>
      <c r="K5034">
        <v>4.5472778805297501E-2</v>
      </c>
      <c r="L5034">
        <v>617.91692406355401</v>
      </c>
      <c r="M5034">
        <v>11.9682286681573</v>
      </c>
      <c r="N5034">
        <v>51.629772573573803</v>
      </c>
      <c r="O5034">
        <v>50.251688644867201</v>
      </c>
      <c r="P5034">
        <v>-5.9555927074198003E-2</v>
      </c>
      <c r="Q5034">
        <v>0</v>
      </c>
      <c r="R5034">
        <v>0.99255440260607097</v>
      </c>
      <c r="S5034" t="s">
        <v>11650</v>
      </c>
      <c r="T5034" t="s">
        <v>13232</v>
      </c>
      <c r="U5034" t="s">
        <v>13232</v>
      </c>
      <c r="V5034" t="s">
        <v>13232</v>
      </c>
      <c r="W5034" t="s">
        <v>18199</v>
      </c>
      <c r="X5034">
        <v>8</v>
      </c>
      <c r="Y5034" t="s">
        <v>24603</v>
      </c>
      <c r="Z5034" t="s">
        <v>31165</v>
      </c>
      <c r="AA5034">
        <v>0.41912708096541201</v>
      </c>
      <c r="AB5034" t="str">
        <f>HYPERLINK("Melting_Curves/meltCurve_Q96JC1_2_VPS39.pdf", "Melting_Curves/meltCurve_Q96JC1_2_VPS39.pdf")</f>
        <v>Melting_Curves/meltCurve_Q96JC1_2_VPS39.pdf</v>
      </c>
    </row>
    <row r="5035" spans="1:28" x14ac:dyDescent="0.25">
      <c r="A5035" t="s">
        <v>5038</v>
      </c>
      <c r="B5035">
        <v>0.99930955844802105</v>
      </c>
      <c r="C5035">
        <v>1.08164820934276</v>
      </c>
      <c r="D5035">
        <v>1.0749765582963999</v>
      </c>
      <c r="E5035">
        <v>0.98956295112862902</v>
      </c>
      <c r="F5035">
        <v>0.88494369260792205</v>
      </c>
      <c r="G5035">
        <v>0.69435072329841496</v>
      </c>
      <c r="H5035">
        <v>0.62341318361361298</v>
      </c>
      <c r="I5035">
        <v>0.64745577386826703</v>
      </c>
      <c r="J5035">
        <v>0.63086714246783504</v>
      </c>
      <c r="K5035">
        <v>0.51709871996605095</v>
      </c>
      <c r="L5035">
        <v>1554.54219429109</v>
      </c>
      <c r="M5035">
        <v>28.330503409486301</v>
      </c>
      <c r="O5035">
        <v>54.600462161707597</v>
      </c>
      <c r="P5035">
        <v>-5.2507959551062203E-2</v>
      </c>
      <c r="Q5035">
        <v>0.59521575043851505</v>
      </c>
      <c r="R5035">
        <v>0.94572018354925502</v>
      </c>
      <c r="S5035" t="s">
        <v>11651</v>
      </c>
      <c r="T5035" t="s">
        <v>13232</v>
      </c>
      <c r="U5035" t="s">
        <v>13232</v>
      </c>
      <c r="V5035" t="s">
        <v>13232</v>
      </c>
      <c r="W5035" t="s">
        <v>18200</v>
      </c>
      <c r="X5035">
        <v>6</v>
      </c>
      <c r="Y5035" t="s">
        <v>24604</v>
      </c>
      <c r="Z5035" t="s">
        <v>31166</v>
      </c>
      <c r="AA5035">
        <v>0.7988630074004528</v>
      </c>
      <c r="AB5035" t="str">
        <f>HYPERLINK("Melting_Curves/meltCurve_Q96JC9_EAF1.pdf", "Melting_Curves/meltCurve_Q96JC9_EAF1.pdf")</f>
        <v>Melting_Curves/meltCurve_Q96JC9_EAF1.pdf</v>
      </c>
    </row>
    <row r="5036" spans="1:28" x14ac:dyDescent="0.25">
      <c r="A5036" t="s">
        <v>5039</v>
      </c>
      <c r="B5036">
        <v>0.99930955844802105</v>
      </c>
      <c r="C5036">
        <v>0.84088036826278401</v>
      </c>
      <c r="D5036">
        <v>0.85606808843218596</v>
      </c>
      <c r="E5036">
        <v>0.65282601465586598</v>
      </c>
      <c r="F5036">
        <v>0.27321589854483103</v>
      </c>
      <c r="G5036">
        <v>0.16549776559073501</v>
      </c>
      <c r="H5036">
        <v>0.101495500431612</v>
      </c>
      <c r="I5036">
        <v>8.7383736327341394E-2</v>
      </c>
      <c r="J5036">
        <v>8.2769651408216197E-2</v>
      </c>
      <c r="K5036">
        <v>6.2905681476069897E-2</v>
      </c>
      <c r="L5036">
        <v>893.35869711045495</v>
      </c>
      <c r="M5036">
        <v>17.682618138480802</v>
      </c>
      <c r="N5036">
        <v>50.871871328193997</v>
      </c>
      <c r="O5036">
        <v>49.888989284008296</v>
      </c>
      <c r="P5036">
        <v>-8.3539008286130201E-2</v>
      </c>
      <c r="Q5036">
        <v>5.7276225708793302E-2</v>
      </c>
      <c r="R5036">
        <v>0.97969761801209498</v>
      </c>
      <c r="S5036" t="s">
        <v>11652</v>
      </c>
      <c r="T5036" t="s">
        <v>13232</v>
      </c>
      <c r="U5036" t="s">
        <v>13232</v>
      </c>
      <c r="V5036" t="s">
        <v>13232</v>
      </c>
      <c r="W5036" t="s">
        <v>18201</v>
      </c>
      <c r="X5036">
        <v>22</v>
      </c>
      <c r="Y5036" t="s">
        <v>24605</v>
      </c>
      <c r="Z5036" t="s">
        <v>31167</v>
      </c>
      <c r="AA5036">
        <v>0.40442222657560362</v>
      </c>
      <c r="AB5036" t="str">
        <f>HYPERLINK("Melting_Curves/meltCurve_Q96JG6_CCDC132.pdf", "Melting_Curves/meltCurve_Q96JG6_CCDC132.pdf")</f>
        <v>Melting_Curves/meltCurve_Q96JG6_CCDC132.pdf</v>
      </c>
    </row>
    <row r="5037" spans="1:28" x14ac:dyDescent="0.25">
      <c r="A5037" t="s">
        <v>5040</v>
      </c>
      <c r="B5037">
        <v>0.99930955844802105</v>
      </c>
      <c r="C5037">
        <v>0.90120158330703304</v>
      </c>
      <c r="D5037">
        <v>0.72557042244570802</v>
      </c>
      <c r="E5037">
        <v>0.57965744036899802</v>
      </c>
      <c r="F5037">
        <v>0.41811148410020599</v>
      </c>
      <c r="G5037">
        <v>0.32137548187054599</v>
      </c>
      <c r="H5037">
        <v>0.259981071968098</v>
      </c>
      <c r="I5037">
        <v>0.27422470085093997</v>
      </c>
      <c r="J5037">
        <v>0.24748537956257899</v>
      </c>
      <c r="K5037">
        <v>0.197365448371977</v>
      </c>
      <c r="L5037">
        <v>635.84927377214001</v>
      </c>
      <c r="M5037">
        <v>12.9792304223242</v>
      </c>
      <c r="N5037">
        <v>51.161342918504701</v>
      </c>
      <c r="O5037">
        <v>47.870540410334399</v>
      </c>
      <c r="P5037">
        <v>-5.3436785318219E-2</v>
      </c>
      <c r="Q5037">
        <v>0.21178882477429001</v>
      </c>
      <c r="R5037">
        <v>0.99271981066352699</v>
      </c>
      <c r="S5037" t="s">
        <v>11653</v>
      </c>
      <c r="T5037" t="s">
        <v>13232</v>
      </c>
      <c r="U5037" t="s">
        <v>13232</v>
      </c>
      <c r="V5037" t="s">
        <v>13232</v>
      </c>
      <c r="W5037" t="s">
        <v>18202</v>
      </c>
      <c r="X5037">
        <v>23</v>
      </c>
      <c r="Y5037" t="s">
        <v>24606</v>
      </c>
      <c r="Z5037" t="s">
        <v>31168</v>
      </c>
      <c r="AA5037">
        <v>0.47331011123077188</v>
      </c>
      <c r="AB5037" t="str">
        <f>HYPERLINK("Melting_Curves/meltCurve_Q96JH7_VCPIP1.pdf", "Melting_Curves/meltCurve_Q96JH7_VCPIP1.pdf")</f>
        <v>Melting_Curves/meltCurve_Q96JH7_VCPIP1.pdf</v>
      </c>
    </row>
    <row r="5038" spans="1:28" x14ac:dyDescent="0.25">
      <c r="A5038" t="s">
        <v>5041</v>
      </c>
      <c r="B5038">
        <v>0.99930955844802105</v>
      </c>
      <c r="C5038">
        <v>0.64941358027265395</v>
      </c>
      <c r="D5038">
        <v>0.55872878161488404</v>
      </c>
      <c r="E5038">
        <v>0.48085470176456202</v>
      </c>
      <c r="F5038">
        <v>0.41682760272237002</v>
      </c>
      <c r="G5038">
        <v>0.17763557213280601</v>
      </c>
      <c r="H5038">
        <v>9.6334450173477096E-2</v>
      </c>
      <c r="I5038">
        <v>8.5932865850560897E-2</v>
      </c>
      <c r="J5038">
        <v>7.4965193689797302E-2</v>
      </c>
      <c r="K5038">
        <v>6.5419470228174001E-2</v>
      </c>
      <c r="L5038">
        <v>430.085160233995</v>
      </c>
      <c r="M5038">
        <v>8.8649239599780696</v>
      </c>
      <c r="N5038">
        <v>48.515380927914698</v>
      </c>
      <c r="O5038">
        <v>46.236951311320801</v>
      </c>
      <c r="P5038">
        <v>-4.7968908906478702E-2</v>
      </c>
      <c r="Q5038">
        <v>0</v>
      </c>
      <c r="R5038">
        <v>0.94633909044513698</v>
      </c>
      <c r="S5038" t="s">
        <v>11654</v>
      </c>
      <c r="T5038" t="s">
        <v>13232</v>
      </c>
      <c r="U5038" t="s">
        <v>13232</v>
      </c>
      <c r="V5038" t="s">
        <v>13232</v>
      </c>
      <c r="W5038" t="s">
        <v>18203</v>
      </c>
      <c r="X5038">
        <v>2</v>
      </c>
      <c r="Y5038" t="s">
        <v>24607</v>
      </c>
      <c r="Z5038" t="s">
        <v>31169</v>
      </c>
      <c r="AA5038">
        <v>0.34433719001278329</v>
      </c>
      <c r="AB5038" t="str">
        <f>HYPERLINK("Melting_Curves/meltCurve_Q96JI7_2_SPG11.pdf", "Melting_Curves/meltCurve_Q96JI7_2_SPG11.pdf")</f>
        <v>Melting_Curves/meltCurve_Q96JI7_2_SPG11.pdf</v>
      </c>
    </row>
    <row r="5039" spans="1:28" x14ac:dyDescent="0.25">
      <c r="A5039" t="s">
        <v>5042</v>
      </c>
      <c r="B5039">
        <v>0.99930955844802105</v>
      </c>
      <c r="C5039">
        <v>1.95226835720017</v>
      </c>
      <c r="D5039">
        <v>1.7696154175521399</v>
      </c>
      <c r="E5039">
        <v>1.78619894056371</v>
      </c>
      <c r="F5039">
        <v>2.1563270326088202</v>
      </c>
      <c r="G5039">
        <v>1.97995977274311</v>
      </c>
      <c r="H5039">
        <v>2.70478999110161</v>
      </c>
      <c r="I5039">
        <v>3.7777515219512199</v>
      </c>
      <c r="J5039">
        <v>3.58909095316513</v>
      </c>
      <c r="K5039">
        <v>2.93963147066578</v>
      </c>
      <c r="L5039">
        <v>10238.6139287643</v>
      </c>
      <c r="M5039">
        <v>250</v>
      </c>
      <c r="O5039">
        <v>40.951821989231398</v>
      </c>
      <c r="P5039">
        <v>0.76309156996645</v>
      </c>
      <c r="Q5039">
        <v>1.5</v>
      </c>
      <c r="R5039">
        <v>-1.05592346444968</v>
      </c>
      <c r="S5039" t="s">
        <v>11655</v>
      </c>
      <c r="T5039" t="s">
        <v>13232</v>
      </c>
      <c r="U5039" t="s">
        <v>13232</v>
      </c>
      <c r="V5039" t="s">
        <v>13232</v>
      </c>
      <c r="W5039" t="s">
        <v>18204</v>
      </c>
      <c r="X5039">
        <v>2</v>
      </c>
      <c r="Y5039" t="s">
        <v>24608</v>
      </c>
      <c r="Z5039" t="s">
        <v>31170</v>
      </c>
      <c r="AA5039">
        <v>1.4840498440911789</v>
      </c>
      <c r="AB5039" t="str">
        <f>HYPERLINK("Melting_Curves/meltCurve_Q96JK2_2_DCAF5.pdf", "Melting_Curves/meltCurve_Q96JK2_2_DCAF5.pdf")</f>
        <v>Melting_Curves/meltCurve_Q96JK2_2_DCAF5.pdf</v>
      </c>
    </row>
    <row r="5040" spans="1:28" x14ac:dyDescent="0.25">
      <c r="A5040" t="s">
        <v>5043</v>
      </c>
      <c r="B5040">
        <v>0.99930955844802105</v>
      </c>
      <c r="C5040">
        <v>1.0733775315754801</v>
      </c>
      <c r="D5040">
        <v>0.97643121638309804</v>
      </c>
      <c r="E5040">
        <v>1.05479529519299</v>
      </c>
      <c r="F5040">
        <v>0.94043406826106801</v>
      </c>
      <c r="G5040">
        <v>0.92418175422097704</v>
      </c>
      <c r="H5040">
        <v>1.1920855887652699</v>
      </c>
      <c r="I5040">
        <v>1.53138521046073</v>
      </c>
      <c r="J5040">
        <v>1.7969908340195799</v>
      </c>
      <c r="K5040">
        <v>1.3075011590144701</v>
      </c>
      <c r="L5040">
        <v>15000</v>
      </c>
      <c r="M5040">
        <v>245.42977621963499</v>
      </c>
      <c r="O5040">
        <v>61.1132204809971</v>
      </c>
      <c r="P5040">
        <v>0.50199812472238703</v>
      </c>
      <c r="Q5040">
        <v>1.5</v>
      </c>
      <c r="R5040">
        <v>0.80593633139434295</v>
      </c>
      <c r="S5040" t="s">
        <v>11656</v>
      </c>
      <c r="T5040" t="s">
        <v>13232</v>
      </c>
      <c r="U5040" t="s">
        <v>13232</v>
      </c>
      <c r="V5040" t="s">
        <v>13232</v>
      </c>
      <c r="W5040" t="s">
        <v>18205</v>
      </c>
      <c r="X5040">
        <v>4</v>
      </c>
      <c r="Y5040" t="s">
        <v>24609</v>
      </c>
      <c r="Z5040" t="s">
        <v>31171</v>
      </c>
      <c r="AA5040">
        <v>1.147989711027672</v>
      </c>
      <c r="AB5040" t="str">
        <f>HYPERLINK("Melting_Curves/meltCurve_Q96JK9_MAML3.pdf", "Melting_Curves/meltCurve_Q96JK9_MAML3.pdf")</f>
        <v>Melting_Curves/meltCurve_Q96JK9_MAML3.pdf</v>
      </c>
    </row>
    <row r="5041" spans="1:28" x14ac:dyDescent="0.25">
      <c r="A5041" t="s">
        <v>5044</v>
      </c>
      <c r="B5041">
        <v>0.99930955844802105</v>
      </c>
      <c r="C5041">
        <v>1.02686553481301</v>
      </c>
      <c r="D5041">
        <v>0.97067707943183401</v>
      </c>
      <c r="E5041">
        <v>0.91247626949311</v>
      </c>
      <c r="F5041">
        <v>0.76674377421867801</v>
      </c>
      <c r="G5041">
        <v>0.67224803508897102</v>
      </c>
      <c r="H5041">
        <v>0.70608413503895295</v>
      </c>
      <c r="I5041">
        <v>0.76709423985954195</v>
      </c>
      <c r="J5041">
        <v>0.81550546476650498</v>
      </c>
      <c r="K5041">
        <v>0.61882813312628304</v>
      </c>
      <c r="L5041">
        <v>2170.8045586570802</v>
      </c>
      <c r="M5041">
        <v>42.614108736957498</v>
      </c>
      <c r="O5041">
        <v>50.829191750730203</v>
      </c>
      <c r="P5041">
        <v>-5.9483393709101599E-2</v>
      </c>
      <c r="Q5041">
        <v>0.71619844510147401</v>
      </c>
      <c r="R5041">
        <v>0.86247402269896101</v>
      </c>
      <c r="S5041" t="s">
        <v>11657</v>
      </c>
      <c r="T5041" t="s">
        <v>13232</v>
      </c>
      <c r="U5041" t="s">
        <v>13232</v>
      </c>
      <c r="V5041" t="s">
        <v>13232</v>
      </c>
      <c r="W5041" t="s">
        <v>18206</v>
      </c>
      <c r="X5041">
        <v>33</v>
      </c>
      <c r="Y5041" t="s">
        <v>24610</v>
      </c>
      <c r="Z5041" t="s">
        <v>31172</v>
      </c>
      <c r="AA5041">
        <v>0.82058035127507289</v>
      </c>
      <c r="AB5041" t="str">
        <f>HYPERLINK("Melting_Curves/meltCurve_Q96JM3_CHAMP1.pdf", "Melting_Curves/meltCurve_Q96JM3_CHAMP1.pdf")</f>
        <v>Melting_Curves/meltCurve_Q96JM3_CHAMP1.pdf</v>
      </c>
    </row>
    <row r="5042" spans="1:28" x14ac:dyDescent="0.25">
      <c r="A5042" t="s">
        <v>5045</v>
      </c>
      <c r="B5042">
        <v>0.99930955844802105</v>
      </c>
      <c r="C5042">
        <v>0.95357075187079299</v>
      </c>
      <c r="D5042">
        <v>0.67189369127379595</v>
      </c>
      <c r="E5042">
        <v>0.42398605179326398</v>
      </c>
      <c r="F5042">
        <v>0.32029204335471201</v>
      </c>
      <c r="G5042">
        <v>0.25365637860735801</v>
      </c>
      <c r="H5042">
        <v>0.25416578338455897</v>
      </c>
      <c r="I5042">
        <v>0.26223102239926299</v>
      </c>
      <c r="J5042">
        <v>0.27871552961988</v>
      </c>
      <c r="K5042">
        <v>0.21591533084796999</v>
      </c>
      <c r="L5042">
        <v>1034.0992261762001</v>
      </c>
      <c r="M5042">
        <v>22.048723356828301</v>
      </c>
      <c r="N5042">
        <v>48.443873586236101</v>
      </c>
      <c r="O5042">
        <v>46.519953437766098</v>
      </c>
      <c r="P5042">
        <v>-8.8597556519341106E-2</v>
      </c>
      <c r="Q5042">
        <v>0.25229904860743502</v>
      </c>
      <c r="R5042">
        <v>0.99304895495916101</v>
      </c>
      <c r="S5042" t="s">
        <v>11658</v>
      </c>
      <c r="T5042" t="s">
        <v>13232</v>
      </c>
      <c r="U5042" t="s">
        <v>13232</v>
      </c>
      <c r="V5042" t="s">
        <v>13232</v>
      </c>
      <c r="W5042" t="s">
        <v>18207</v>
      </c>
      <c r="X5042">
        <v>11</v>
      </c>
      <c r="Y5042" t="s">
        <v>24611</v>
      </c>
      <c r="Z5042" t="s">
        <v>31173</v>
      </c>
      <c r="AA5042">
        <v>0.43313255596820732</v>
      </c>
      <c r="AB5042" t="str">
        <f>HYPERLINK("Melting_Curves/meltCurve_Q96JM7_2_L3MBTL3.pdf", "Melting_Curves/meltCurve_Q96JM7_2_L3MBTL3.pdf")</f>
        <v>Melting_Curves/meltCurve_Q96JM7_2_L3MBTL3.pdf</v>
      </c>
    </row>
    <row r="5043" spans="1:28" x14ac:dyDescent="0.25">
      <c r="A5043" t="s">
        <v>5046</v>
      </c>
      <c r="B5043">
        <v>0.99930955844802105</v>
      </c>
      <c r="C5043">
        <v>0.83186092804654899</v>
      </c>
      <c r="D5043">
        <v>0.83490494143377103</v>
      </c>
      <c r="E5043">
        <v>0.63453622392179998</v>
      </c>
      <c r="F5043">
        <v>0.56703909719020396</v>
      </c>
      <c r="G5043">
        <v>0.78303156149429898</v>
      </c>
      <c r="H5043">
        <v>0.42647339808222301</v>
      </c>
      <c r="I5043">
        <v>0.85228207375319198</v>
      </c>
      <c r="J5043">
        <v>0.784053366245413</v>
      </c>
      <c r="K5043">
        <v>0.60699894095658802</v>
      </c>
      <c r="L5043">
        <v>988.90544093896006</v>
      </c>
      <c r="M5043">
        <v>22.4082252135461</v>
      </c>
      <c r="O5043">
        <v>43.784402635317797</v>
      </c>
      <c r="P5043">
        <v>-4.2717559277940999E-2</v>
      </c>
      <c r="Q5043">
        <v>0.66613616761026095</v>
      </c>
      <c r="R5043">
        <v>0.43229300768481199</v>
      </c>
      <c r="S5043" t="s">
        <v>11659</v>
      </c>
      <c r="T5043" t="s">
        <v>13232</v>
      </c>
      <c r="U5043" t="s">
        <v>13232</v>
      </c>
      <c r="V5043" t="s">
        <v>13232</v>
      </c>
      <c r="W5043" t="s">
        <v>18208</v>
      </c>
      <c r="X5043">
        <v>5</v>
      </c>
      <c r="Y5043" t="s">
        <v>24612</v>
      </c>
      <c r="Z5043" t="s">
        <v>31174</v>
      </c>
      <c r="AA5043">
        <v>0.7169805419852342</v>
      </c>
      <c r="AB5043" t="str">
        <f>HYPERLINK("Melting_Curves/meltCurve_Q96JN2_2_CCDC136.pdf", "Melting_Curves/meltCurve_Q96JN2_2_CCDC136.pdf")</f>
        <v>Melting_Curves/meltCurve_Q96JN2_2_CCDC136.pdf</v>
      </c>
    </row>
    <row r="5044" spans="1:28" x14ac:dyDescent="0.25">
      <c r="A5044" t="s">
        <v>5047</v>
      </c>
      <c r="B5044">
        <v>0.99930955844802105</v>
      </c>
      <c r="C5044">
        <v>1.0760608987134099</v>
      </c>
      <c r="D5044">
        <v>1.0250368895714299</v>
      </c>
      <c r="E5044">
        <v>1.0049127773700399</v>
      </c>
      <c r="F5044">
        <v>0.83188241765128101</v>
      </c>
      <c r="G5044">
        <v>0.73585991691727604</v>
      </c>
      <c r="H5044">
        <v>0.65109270254538998</v>
      </c>
      <c r="I5044">
        <v>0.68083345755351699</v>
      </c>
      <c r="J5044">
        <v>0.65410201268513102</v>
      </c>
      <c r="K5044">
        <v>0.54534176799498202</v>
      </c>
      <c r="L5044">
        <v>1226.0630136800701</v>
      </c>
      <c r="M5044">
        <v>22.449890598258499</v>
      </c>
      <c r="O5044">
        <v>54.185525364301803</v>
      </c>
      <c r="P5044">
        <v>-3.9514500595379101E-2</v>
      </c>
      <c r="Q5044">
        <v>0.61851576806882702</v>
      </c>
      <c r="R5044">
        <v>0.94024531955970803</v>
      </c>
      <c r="S5044" t="s">
        <v>11660</v>
      </c>
      <c r="T5044" t="s">
        <v>13232</v>
      </c>
      <c r="U5044" t="s">
        <v>13232</v>
      </c>
      <c r="V5044" t="s">
        <v>13232</v>
      </c>
      <c r="W5044" t="s">
        <v>18209</v>
      </c>
      <c r="X5044">
        <v>10</v>
      </c>
      <c r="Y5044" t="s">
        <v>24613</v>
      </c>
      <c r="Z5044" t="s">
        <v>31175</v>
      </c>
      <c r="AA5044">
        <v>0.80859589799798448</v>
      </c>
      <c r="AB5044" t="str">
        <f>HYPERLINK("Melting_Curves/meltCurve_Q96JP5_ZFP91.pdf", "Melting_Curves/meltCurve_Q96JP5_ZFP91.pdf")</f>
        <v>Melting_Curves/meltCurve_Q96JP5_ZFP91.pdf</v>
      </c>
    </row>
    <row r="5045" spans="1:28" x14ac:dyDescent="0.25">
      <c r="A5045" t="s">
        <v>5048</v>
      </c>
      <c r="B5045">
        <v>0.99930955844802105</v>
      </c>
      <c r="C5045">
        <v>1.08023911466797</v>
      </c>
      <c r="D5045">
        <v>1.0972212340938701</v>
      </c>
      <c r="E5045">
        <v>1.1357776822491401</v>
      </c>
      <c r="F5045">
        <v>0.95331825673263104</v>
      </c>
      <c r="G5045">
        <v>0.88676721615714904</v>
      </c>
      <c r="H5045">
        <v>0.86050829892172398</v>
      </c>
      <c r="I5045">
        <v>0.98280417610459203</v>
      </c>
      <c r="J5045">
        <v>0.949595739867234</v>
      </c>
      <c r="K5045">
        <v>0.74740597974992196</v>
      </c>
      <c r="L5045">
        <v>742.88788305941603</v>
      </c>
      <c r="M5045">
        <v>9.2114657215346405</v>
      </c>
      <c r="Q5045">
        <v>0</v>
      </c>
      <c r="R5045">
        <v>0.46148843221010899</v>
      </c>
      <c r="S5045" t="s">
        <v>11661</v>
      </c>
      <c r="T5045" t="s">
        <v>13232</v>
      </c>
      <c r="U5045" t="s">
        <v>13232</v>
      </c>
      <c r="V5045" t="s">
        <v>13232</v>
      </c>
      <c r="W5045" t="s">
        <v>18210</v>
      </c>
      <c r="X5045">
        <v>5</v>
      </c>
      <c r="Y5045" t="s">
        <v>24614</v>
      </c>
      <c r="Z5045" t="s">
        <v>31176</v>
      </c>
      <c r="AA5045">
        <v>0.9591726932391984</v>
      </c>
      <c r="AB5045" t="str">
        <f>HYPERLINK("Melting_Curves/meltCurve_Q96JS3_PGBD1.pdf", "Melting_Curves/meltCurve_Q96JS3_PGBD1.pdf")</f>
        <v>Melting_Curves/meltCurve_Q96JS3_PGBD1.pdf</v>
      </c>
    </row>
    <row r="5046" spans="1:28" x14ac:dyDescent="0.25">
      <c r="A5046" t="s">
        <v>5049</v>
      </c>
      <c r="B5046">
        <v>0.99930955844802105</v>
      </c>
      <c r="C5046">
        <v>1.2838536282741999</v>
      </c>
      <c r="D5046">
        <v>1.24371029351963</v>
      </c>
      <c r="E5046">
        <v>1.25790625700412</v>
      </c>
      <c r="F5046">
        <v>1.1821190119613501</v>
      </c>
      <c r="G5046">
        <v>0.95942386840025096</v>
      </c>
      <c r="H5046">
        <v>1.0540505283552899</v>
      </c>
      <c r="I5046">
        <v>1.04984961589576</v>
      </c>
      <c r="J5046">
        <v>1.06581803281634</v>
      </c>
      <c r="K5046">
        <v>0.85869139303250497</v>
      </c>
      <c r="L5046">
        <v>15000</v>
      </c>
      <c r="M5046">
        <v>212.481200803609</v>
      </c>
      <c r="Q5046">
        <v>0</v>
      </c>
      <c r="R5046">
        <v>-0.39579452120394498</v>
      </c>
      <c r="S5046" t="s">
        <v>11662</v>
      </c>
      <c r="T5046" t="s">
        <v>13232</v>
      </c>
      <c r="U5046" t="s">
        <v>13232</v>
      </c>
      <c r="V5046" t="s">
        <v>13232</v>
      </c>
      <c r="W5046" t="s">
        <v>18211</v>
      </c>
      <c r="X5046">
        <v>5</v>
      </c>
      <c r="Y5046" t="s">
        <v>24615</v>
      </c>
      <c r="Z5046" t="s">
        <v>31177</v>
      </c>
      <c r="AA5046">
        <v>0.99835705825550447</v>
      </c>
      <c r="AB5046" t="str">
        <f>HYPERLINK("Melting_Curves/meltCurve_Q96K17_BTF3L4.pdf", "Melting_Curves/meltCurve_Q96K17_BTF3L4.pdf")</f>
        <v>Melting_Curves/meltCurve_Q96K17_BTF3L4.pdf</v>
      </c>
    </row>
    <row r="5047" spans="1:28" x14ac:dyDescent="0.25">
      <c r="A5047" t="s">
        <v>5050</v>
      </c>
      <c r="B5047">
        <v>0.99930955844802105</v>
      </c>
      <c r="C5047">
        <v>1.0468138960462701</v>
      </c>
      <c r="D5047">
        <v>1.02355844277084</v>
      </c>
      <c r="E5047">
        <v>0.96550772439749499</v>
      </c>
      <c r="F5047">
        <v>0.908650848476388</v>
      </c>
      <c r="G5047">
        <v>0.64843454763790898</v>
      </c>
      <c r="H5047">
        <v>0.37292227579543602</v>
      </c>
      <c r="I5047">
        <v>0.184382632148412</v>
      </c>
      <c r="J5047">
        <v>0.110401542821429</v>
      </c>
      <c r="K5047">
        <v>6.7403538869534194E-2</v>
      </c>
      <c r="L5047">
        <v>1136.53231491515</v>
      </c>
      <c r="M5047">
        <v>19.293731669628801</v>
      </c>
      <c r="N5047">
        <v>59.048671391114503</v>
      </c>
      <c r="O5047">
        <v>58.284917751639398</v>
      </c>
      <c r="P5047">
        <v>-8.0885047886019898E-2</v>
      </c>
      <c r="Q5047">
        <v>2.26456268155046E-2</v>
      </c>
      <c r="R5047">
        <v>0.99744514477414703</v>
      </c>
      <c r="S5047" t="s">
        <v>11663</v>
      </c>
      <c r="T5047" t="s">
        <v>13232</v>
      </c>
      <c r="U5047" t="s">
        <v>13232</v>
      </c>
      <c r="V5047" t="s">
        <v>13232</v>
      </c>
      <c r="W5047" t="s">
        <v>18212</v>
      </c>
      <c r="X5047">
        <v>7</v>
      </c>
      <c r="Y5047" t="s">
        <v>24616</v>
      </c>
      <c r="Z5047" t="s">
        <v>31178</v>
      </c>
      <c r="AA5047">
        <v>0.6487986797156009</v>
      </c>
      <c r="AB5047" t="str">
        <f>HYPERLINK("Melting_Curves/meltCurve_Q96K31_C8orf76.pdf", "Melting_Curves/meltCurve_Q96K31_C8orf76.pdf")</f>
        <v>Melting_Curves/meltCurve_Q96K31_C8orf76.pdf</v>
      </c>
    </row>
    <row r="5048" spans="1:28" x14ac:dyDescent="0.25">
      <c r="A5048" t="s">
        <v>5051</v>
      </c>
      <c r="B5048">
        <v>0.99930955844802105</v>
      </c>
      <c r="C5048">
        <v>1.0340477647795501</v>
      </c>
      <c r="D5048">
        <v>1.06819336180016</v>
      </c>
      <c r="E5048">
        <v>1.04629290567851</v>
      </c>
      <c r="F5048">
        <v>0.93350036883895904</v>
      </c>
      <c r="G5048">
        <v>0.60507139101717899</v>
      </c>
      <c r="H5048">
        <v>0.42081517384002398</v>
      </c>
      <c r="I5048">
        <v>0.40097481610958302</v>
      </c>
      <c r="J5048">
        <v>0.35969401837616899</v>
      </c>
      <c r="K5048">
        <v>0.32091341352972302</v>
      </c>
      <c r="L5048">
        <v>1920.2673707981301</v>
      </c>
      <c r="M5048">
        <v>34.097212857143901</v>
      </c>
      <c r="N5048">
        <v>58.494656770793704</v>
      </c>
      <c r="O5048">
        <v>56.124772804395697</v>
      </c>
      <c r="P5048">
        <v>-9.7286101868710201E-2</v>
      </c>
      <c r="Q5048">
        <v>0.35946213610323502</v>
      </c>
      <c r="R5048">
        <v>0.98749989947919803</v>
      </c>
      <c r="S5048" t="s">
        <v>11664</v>
      </c>
      <c r="T5048" t="s">
        <v>13232</v>
      </c>
      <c r="U5048" t="s">
        <v>13232</v>
      </c>
      <c r="V5048" t="s">
        <v>13232</v>
      </c>
      <c r="W5048" t="s">
        <v>18213</v>
      </c>
      <c r="X5048">
        <v>1</v>
      </c>
      <c r="Y5048" t="s">
        <v>24617</v>
      </c>
      <c r="Z5048" t="s">
        <v>31179</v>
      </c>
      <c r="AA5048">
        <v>0.71122887545471025</v>
      </c>
      <c r="AB5048" t="str">
        <f>HYPERLINK("Melting_Curves/meltCurve_Q96K58_ZNF668.pdf", "Melting_Curves/meltCurve_Q96K58_ZNF668.pdf")</f>
        <v>Melting_Curves/meltCurve_Q96K58_ZNF668.pdf</v>
      </c>
    </row>
    <row r="5049" spans="1:28" x14ac:dyDescent="0.25">
      <c r="A5049" t="s">
        <v>5052</v>
      </c>
      <c r="B5049">
        <v>0.99930955844802105</v>
      </c>
      <c r="C5049">
        <v>0.955077847806592</v>
      </c>
      <c r="D5049">
        <v>0.87505194898462801</v>
      </c>
      <c r="E5049">
        <v>0.78667462081016204</v>
      </c>
      <c r="F5049">
        <v>0.63995647221233398</v>
      </c>
      <c r="G5049">
        <v>0.54319993154229895</v>
      </c>
      <c r="H5049">
        <v>0.38587374522450801</v>
      </c>
      <c r="I5049">
        <v>0.29773566110654098</v>
      </c>
      <c r="J5049">
        <v>0.33784527675004999</v>
      </c>
      <c r="K5049">
        <v>0.21798518487431801</v>
      </c>
      <c r="L5049">
        <v>519.48167160280002</v>
      </c>
      <c r="M5049">
        <v>9.3542506066533697</v>
      </c>
      <c r="N5049">
        <v>57.479300827963797</v>
      </c>
      <c r="O5049">
        <v>53.173530520233498</v>
      </c>
      <c r="P5049">
        <v>-3.8037164820372102E-2</v>
      </c>
      <c r="Q5049">
        <v>0.13566465029958999</v>
      </c>
      <c r="R5049">
        <v>0.99022905572821096</v>
      </c>
      <c r="S5049" t="s">
        <v>11665</v>
      </c>
      <c r="T5049" t="s">
        <v>13232</v>
      </c>
      <c r="U5049" t="s">
        <v>13232</v>
      </c>
      <c r="V5049" t="s">
        <v>13232</v>
      </c>
      <c r="W5049" t="s">
        <v>18214</v>
      </c>
      <c r="X5049">
        <v>7</v>
      </c>
      <c r="Y5049" t="s">
        <v>24618</v>
      </c>
      <c r="Z5049" t="s">
        <v>31180</v>
      </c>
      <c r="AA5049">
        <v>0.60361140555015469</v>
      </c>
      <c r="AB5049" t="str">
        <f>HYPERLINK("Melting_Curves/meltCurve_Q96K83_ZNF521.pdf", "Melting_Curves/meltCurve_Q96K83_ZNF521.pdf")</f>
        <v>Melting_Curves/meltCurve_Q96K83_ZNF521.pdf</v>
      </c>
    </row>
    <row r="5050" spans="1:28" x14ac:dyDescent="0.25">
      <c r="A5050" t="s">
        <v>5053</v>
      </c>
      <c r="B5050">
        <v>0.99930955844802105</v>
      </c>
      <c r="C5050">
        <v>1.15359332251656</v>
      </c>
      <c r="D5050">
        <v>0.95382626733126497</v>
      </c>
      <c r="E5050">
        <v>0.45325688476214299</v>
      </c>
      <c r="F5050">
        <v>0.26151285952833098</v>
      </c>
      <c r="G5050">
        <v>0.19032597780942201</v>
      </c>
      <c r="H5050">
        <v>0.13243619609106699</v>
      </c>
      <c r="I5050">
        <v>0.115865230779148</v>
      </c>
      <c r="J5050">
        <v>0.101817615216617</v>
      </c>
      <c r="K5050">
        <v>6.9741667143626299E-2</v>
      </c>
      <c r="L5050">
        <v>1606.45166140982</v>
      </c>
      <c r="M5050">
        <v>32.480384920348399</v>
      </c>
      <c r="N5050">
        <v>49.8981788917906</v>
      </c>
      <c r="O5050">
        <v>49.272781554370901</v>
      </c>
      <c r="P5050">
        <v>-0.14431670132750599</v>
      </c>
      <c r="Q5050">
        <v>0.124289741284019</v>
      </c>
      <c r="R5050">
        <v>0.97796539643518099</v>
      </c>
      <c r="S5050" t="s">
        <v>11666</v>
      </c>
      <c r="T5050" t="s">
        <v>13232</v>
      </c>
      <c r="U5050" t="s">
        <v>13232</v>
      </c>
      <c r="V5050" t="s">
        <v>13232</v>
      </c>
      <c r="W5050" t="s">
        <v>18215</v>
      </c>
      <c r="X5050">
        <v>15</v>
      </c>
      <c r="Y5050" t="s">
        <v>24619</v>
      </c>
      <c r="Z5050" t="s">
        <v>31181</v>
      </c>
      <c r="AA5050">
        <v>0.404973717005288</v>
      </c>
      <c r="AB5050" t="str">
        <f>HYPERLINK("Melting_Curves/meltCurve_Q96KB5_PBK.pdf", "Melting_Curves/meltCurve_Q96KB5_PBK.pdf")</f>
        <v>Melting_Curves/meltCurve_Q96KB5_PBK.pdf</v>
      </c>
    </row>
    <row r="5051" spans="1:28" x14ac:dyDescent="0.25">
      <c r="A5051" t="s">
        <v>5054</v>
      </c>
      <c r="B5051">
        <v>0.99930955844802105</v>
      </c>
      <c r="C5051">
        <v>1.0159273686283099</v>
      </c>
      <c r="D5051">
        <v>1.01594650664494</v>
      </c>
      <c r="E5051">
        <v>0.92289336675897804</v>
      </c>
      <c r="F5051">
        <v>0.79579313503309401</v>
      </c>
      <c r="G5051">
        <v>0.67263312732673797</v>
      </c>
      <c r="H5051">
        <v>0.62973225095969798</v>
      </c>
      <c r="I5051">
        <v>0.68868286508780696</v>
      </c>
      <c r="J5051">
        <v>0.70542786813365499</v>
      </c>
      <c r="K5051">
        <v>0.55140847520616798</v>
      </c>
      <c r="L5051">
        <v>1512.51356064383</v>
      </c>
      <c r="M5051">
        <v>28.8498019426996</v>
      </c>
      <c r="O5051">
        <v>52.177213813828303</v>
      </c>
      <c r="P5051">
        <v>-4.9554302313334998E-2</v>
      </c>
      <c r="Q5051">
        <v>0.64151078356485902</v>
      </c>
      <c r="R5051">
        <v>0.94449372423780498</v>
      </c>
      <c r="S5051" t="s">
        <v>11667</v>
      </c>
      <c r="T5051" t="s">
        <v>13232</v>
      </c>
      <c r="U5051" t="s">
        <v>13232</v>
      </c>
      <c r="V5051" t="s">
        <v>13232</v>
      </c>
      <c r="W5051" t="s">
        <v>18216</v>
      </c>
      <c r="X5051">
        <v>12</v>
      </c>
      <c r="Y5051" t="s">
        <v>24620</v>
      </c>
      <c r="Z5051" t="s">
        <v>31182</v>
      </c>
      <c r="AA5051">
        <v>0.79250095193928305</v>
      </c>
      <c r="AB5051" t="str">
        <f>HYPERLINK("Melting_Curves/meltCurve_Q96KC8_DNAJC1.pdf", "Melting_Curves/meltCurve_Q96KC8_DNAJC1.pdf")</f>
        <v>Melting_Curves/meltCurve_Q96KC8_DNAJC1.pdf</v>
      </c>
    </row>
    <row r="5052" spans="1:28" x14ac:dyDescent="0.25">
      <c r="A5052" t="s">
        <v>5055</v>
      </c>
      <c r="B5052">
        <v>0.99930955844802105</v>
      </c>
      <c r="C5052">
        <v>0.96707431005573896</v>
      </c>
      <c r="D5052">
        <v>0.97729955261144796</v>
      </c>
      <c r="E5052">
        <v>0.87647340460626899</v>
      </c>
      <c r="F5052">
        <v>0.50970845928513098</v>
      </c>
      <c r="G5052">
        <v>0.22039386601243199</v>
      </c>
      <c r="H5052">
        <v>0.14437571190847401</v>
      </c>
      <c r="I5052">
        <v>0.134845298735978</v>
      </c>
      <c r="J5052">
        <v>0.121025719056692</v>
      </c>
      <c r="K5052">
        <v>9.6984513496107594E-2</v>
      </c>
      <c r="L5052">
        <v>1595.88727329379</v>
      </c>
      <c r="M5052">
        <v>30.272146551972298</v>
      </c>
      <c r="N5052">
        <v>53.207750862661399</v>
      </c>
      <c r="O5052">
        <v>52.489561738120798</v>
      </c>
      <c r="P5052">
        <v>-0.12665118828949701</v>
      </c>
      <c r="Q5052">
        <v>0.12159207489214199</v>
      </c>
      <c r="R5052">
        <v>0.99807858783277104</v>
      </c>
      <c r="S5052" t="s">
        <v>11668</v>
      </c>
      <c r="T5052" t="s">
        <v>13232</v>
      </c>
      <c r="U5052" t="s">
        <v>13232</v>
      </c>
      <c r="V5052" t="s">
        <v>13232</v>
      </c>
      <c r="W5052" t="s">
        <v>18217</v>
      </c>
      <c r="X5052">
        <v>17</v>
      </c>
      <c r="Y5052" t="s">
        <v>24621</v>
      </c>
      <c r="Z5052" t="s">
        <v>31183</v>
      </c>
      <c r="AA5052">
        <v>0.499552413999031</v>
      </c>
      <c r="AB5052" t="str">
        <f>HYPERLINK("Melting_Curves/meltCurve_Q96KG9_3_SCYL1.pdf", "Melting_Curves/meltCurve_Q96KG9_3_SCYL1.pdf")</f>
        <v>Melting_Curves/meltCurve_Q96KG9_3_SCYL1.pdf</v>
      </c>
    </row>
    <row r="5053" spans="1:28" x14ac:dyDescent="0.25">
      <c r="A5053" t="s">
        <v>5056</v>
      </c>
      <c r="B5053">
        <v>0.99930955844802105</v>
      </c>
      <c r="C5053">
        <v>1.0346259337142401</v>
      </c>
      <c r="D5053">
        <v>0.91994011290101796</v>
      </c>
      <c r="E5053">
        <v>0.79392558425183501</v>
      </c>
      <c r="F5053">
        <v>0.62933086015817596</v>
      </c>
      <c r="G5053">
        <v>0.46477556664356801</v>
      </c>
      <c r="H5053">
        <v>0.39060816937602599</v>
      </c>
      <c r="I5053">
        <v>0.38689998127932801</v>
      </c>
      <c r="J5053">
        <v>0.370995645508361</v>
      </c>
      <c r="K5053">
        <v>0.30872315991815602</v>
      </c>
      <c r="L5053">
        <v>879.06489691952402</v>
      </c>
      <c r="M5053">
        <v>16.804848789474299</v>
      </c>
      <c r="N5053">
        <v>56.014339547413698</v>
      </c>
      <c r="O5053">
        <v>51.586292754298803</v>
      </c>
      <c r="P5053">
        <v>-5.4126292706652798E-2</v>
      </c>
      <c r="Q5053">
        <v>0.335431278544847</v>
      </c>
      <c r="R5053">
        <v>0.99285846780632903</v>
      </c>
      <c r="S5053" t="s">
        <v>11669</v>
      </c>
      <c r="T5053" t="s">
        <v>13232</v>
      </c>
      <c r="U5053" t="s">
        <v>13232</v>
      </c>
      <c r="V5053" t="s">
        <v>13232</v>
      </c>
      <c r="W5053" t="s">
        <v>18218</v>
      </c>
      <c r="X5053">
        <v>7</v>
      </c>
      <c r="Y5053" t="s">
        <v>24622</v>
      </c>
      <c r="Z5053" t="s">
        <v>31184</v>
      </c>
      <c r="AA5053">
        <v>0.62045398965266019</v>
      </c>
      <c r="AB5053" t="str">
        <f>HYPERLINK("Melting_Curves/meltCurve_Q96KM6_ZNF512B.pdf", "Melting_Curves/meltCurve_Q96KM6_ZNF512B.pdf")</f>
        <v>Melting_Curves/meltCurve_Q96KM6_ZNF512B.pdf</v>
      </c>
    </row>
    <row r="5054" spans="1:28" x14ac:dyDescent="0.25">
      <c r="A5054" t="s">
        <v>5057</v>
      </c>
      <c r="B5054">
        <v>0.99930955844802105</v>
      </c>
      <c r="C5054">
        <v>0.93854881922994604</v>
      </c>
      <c r="D5054">
        <v>1.0181900102011601</v>
      </c>
      <c r="E5054">
        <v>0.78230806604415803</v>
      </c>
      <c r="F5054">
        <v>0.69051693048261298</v>
      </c>
      <c r="G5054">
        <v>0.42724916504805199</v>
      </c>
      <c r="H5054">
        <v>0.118049505436004</v>
      </c>
      <c r="I5054">
        <v>2.7511839336721501E-2</v>
      </c>
      <c r="J5054">
        <v>1.76796980086588E-2</v>
      </c>
      <c r="K5054">
        <v>1.12527233257632E-2</v>
      </c>
      <c r="L5054">
        <v>983.32281730875604</v>
      </c>
      <c r="M5054">
        <v>17.8193591102462</v>
      </c>
      <c r="N5054">
        <v>55.1828384239248</v>
      </c>
      <c r="O5054">
        <v>54.501937421007703</v>
      </c>
      <c r="P5054">
        <v>-8.1741470422214205E-2</v>
      </c>
      <c r="Q5054">
        <v>0</v>
      </c>
      <c r="R5054">
        <v>0.98743043978760903</v>
      </c>
      <c r="S5054" t="s">
        <v>11670</v>
      </c>
      <c r="T5054" t="s">
        <v>13232</v>
      </c>
      <c r="U5054" t="s">
        <v>13232</v>
      </c>
      <c r="V5054" t="s">
        <v>13232</v>
      </c>
      <c r="W5054" t="s">
        <v>18219</v>
      </c>
      <c r="X5054">
        <v>2</v>
      </c>
      <c r="Y5054" t="s">
        <v>24623</v>
      </c>
      <c r="Z5054" t="s">
        <v>31185</v>
      </c>
      <c r="AA5054">
        <v>0.52165166039714728</v>
      </c>
      <c r="AB5054" t="str">
        <f>HYPERLINK("Melting_Curves/meltCurve_Q96KN8_2_HRASLS5.pdf", "Melting_Curves/meltCurve_Q96KN8_2_HRASLS5.pdf")</f>
        <v>Melting_Curves/meltCurve_Q96KN8_2_HRASLS5.pdf</v>
      </c>
    </row>
    <row r="5055" spans="1:28" x14ac:dyDescent="0.25">
      <c r="A5055" t="s">
        <v>5058</v>
      </c>
      <c r="B5055">
        <v>0.99930955844802105</v>
      </c>
      <c r="C5055">
        <v>0.63996158643038803</v>
      </c>
      <c r="D5055">
        <v>0.47137956212251803</v>
      </c>
      <c r="E5055">
        <v>0.22846594584272301</v>
      </c>
      <c r="F5055">
        <v>0.14462013896626799</v>
      </c>
      <c r="G5055">
        <v>9.1683209682581507E-2</v>
      </c>
      <c r="H5055">
        <v>5.32242238508066E-2</v>
      </c>
      <c r="I5055">
        <v>4.9271224330714597E-2</v>
      </c>
      <c r="J5055">
        <v>4.4486283935434898E-2</v>
      </c>
      <c r="K5055">
        <v>3.1152001532176499E-2</v>
      </c>
      <c r="L5055">
        <v>723.24988270321705</v>
      </c>
      <c r="M5055">
        <v>15.985636161265401</v>
      </c>
      <c r="N5055">
        <v>45.509355381375002</v>
      </c>
      <c r="O5055">
        <v>44.5534684143257</v>
      </c>
      <c r="P5055">
        <v>-8.5710633473841405E-2</v>
      </c>
      <c r="Q5055">
        <v>4.4540882819529497E-2</v>
      </c>
      <c r="R5055">
        <v>0.98121418777115899</v>
      </c>
      <c r="S5055" t="s">
        <v>11671</v>
      </c>
      <c r="T5055" t="s">
        <v>13232</v>
      </c>
      <c r="U5055" t="s">
        <v>13232</v>
      </c>
      <c r="V5055" t="s">
        <v>13232</v>
      </c>
      <c r="W5055" t="s">
        <v>18220</v>
      </c>
      <c r="X5055">
        <v>24</v>
      </c>
      <c r="Y5055" t="s">
        <v>24624</v>
      </c>
      <c r="Z5055" t="s">
        <v>31186</v>
      </c>
      <c r="AA5055">
        <v>0.2376597764288276</v>
      </c>
      <c r="AB5055" t="str">
        <f>HYPERLINK("Melting_Curves/meltCurve_Q96KP1_EXOC2.pdf", "Melting_Curves/meltCurve_Q96KP1_EXOC2.pdf")</f>
        <v>Melting_Curves/meltCurve_Q96KP1_EXOC2.pdf</v>
      </c>
    </row>
    <row r="5056" spans="1:28" x14ac:dyDescent="0.25">
      <c r="A5056" t="s">
        <v>5059</v>
      </c>
      <c r="B5056">
        <v>0.99930955844802105</v>
      </c>
      <c r="C5056">
        <v>0.98736142771874003</v>
      </c>
      <c r="D5056">
        <v>0.946733631565564</v>
      </c>
      <c r="E5056">
        <v>0.83488999922918605</v>
      </c>
      <c r="F5056">
        <v>0.54631104888238202</v>
      </c>
      <c r="G5056">
        <v>0.338214867117625</v>
      </c>
      <c r="H5056">
        <v>0.222610624013792</v>
      </c>
      <c r="I5056">
        <v>0.18861732503902301</v>
      </c>
      <c r="J5056">
        <v>0.14442779021465799</v>
      </c>
      <c r="K5056">
        <v>9.7660363798491995E-2</v>
      </c>
      <c r="L5056">
        <v>958.126747265017</v>
      </c>
      <c r="M5056">
        <v>17.9638539530952</v>
      </c>
      <c r="N5056">
        <v>54.176627601552802</v>
      </c>
      <c r="O5056">
        <v>52.688584042742598</v>
      </c>
      <c r="P5056">
        <v>-7.4876438502472206E-2</v>
      </c>
      <c r="Q5056">
        <v>0.12158329734084999</v>
      </c>
      <c r="R5056">
        <v>0.99581624048569894</v>
      </c>
      <c r="S5056" t="s">
        <v>11672</v>
      </c>
      <c r="T5056" t="s">
        <v>13232</v>
      </c>
      <c r="U5056" t="s">
        <v>13232</v>
      </c>
      <c r="V5056" t="s">
        <v>13232</v>
      </c>
      <c r="W5056" t="s">
        <v>18221</v>
      </c>
      <c r="X5056">
        <v>27</v>
      </c>
      <c r="Y5056" t="s">
        <v>24625</v>
      </c>
      <c r="Z5056" t="s">
        <v>31187</v>
      </c>
      <c r="AA5056">
        <v>0.52640974244381566</v>
      </c>
      <c r="AB5056" t="str">
        <f>HYPERLINK("Melting_Curves/meltCurve_Q96KP4_CNDP2.pdf", "Melting_Curves/meltCurve_Q96KP4_CNDP2.pdf")</f>
        <v>Melting_Curves/meltCurve_Q96KP4_CNDP2.pdf</v>
      </c>
    </row>
    <row r="5057" spans="1:28" x14ac:dyDescent="0.25">
      <c r="A5057" t="s">
        <v>5060</v>
      </c>
      <c r="B5057">
        <v>0.99930955844802105</v>
      </c>
      <c r="C5057">
        <v>1.0521186109949601</v>
      </c>
      <c r="D5057">
        <v>1.03673594099628</v>
      </c>
      <c r="E5057">
        <v>1.03041649106394</v>
      </c>
      <c r="F5057">
        <v>0.97302424465755699</v>
      </c>
      <c r="G5057">
        <v>0.54884600147671203</v>
      </c>
      <c r="H5057">
        <v>0.44477138090875801</v>
      </c>
      <c r="I5057">
        <v>0.47689818489939201</v>
      </c>
      <c r="J5057">
        <v>0.425827378109495</v>
      </c>
      <c r="K5057">
        <v>0.34471788786787999</v>
      </c>
      <c r="L5057">
        <v>3167.98957647724</v>
      </c>
      <c r="M5057">
        <v>56.8258642061598</v>
      </c>
      <c r="N5057">
        <v>57.626846690621903</v>
      </c>
      <c r="O5057">
        <v>55.6801643940437</v>
      </c>
      <c r="P5057">
        <v>-0.14759778076840799</v>
      </c>
      <c r="Q5057">
        <v>0.42151239726906597</v>
      </c>
      <c r="R5057">
        <v>0.98289017911222198</v>
      </c>
      <c r="S5057" t="s">
        <v>11673</v>
      </c>
      <c r="T5057" t="s">
        <v>13232</v>
      </c>
      <c r="U5057" t="s">
        <v>13232</v>
      </c>
      <c r="V5057" t="s">
        <v>13232</v>
      </c>
      <c r="W5057" t="s">
        <v>18222</v>
      </c>
      <c r="X5057">
        <v>35</v>
      </c>
      <c r="Y5057" t="s">
        <v>24626</v>
      </c>
      <c r="Z5057" t="s">
        <v>31188</v>
      </c>
      <c r="AA5057">
        <v>0.72630026933697744</v>
      </c>
      <c r="AB5057" t="str">
        <f>HYPERLINK("Melting_Curves/meltCurve_Q96KR1_ZFR.pdf", "Melting_Curves/meltCurve_Q96KR1_ZFR.pdf")</f>
        <v>Melting_Curves/meltCurve_Q96KR1_ZFR.pdf</v>
      </c>
    </row>
    <row r="5058" spans="1:28" x14ac:dyDescent="0.25">
      <c r="A5058" t="s">
        <v>5061</v>
      </c>
      <c r="B5058">
        <v>0.99930955844802105</v>
      </c>
      <c r="C5058">
        <v>0.84892764964365997</v>
      </c>
      <c r="D5058">
        <v>0.91710806635948505</v>
      </c>
      <c r="E5058">
        <v>0.80612584970044798</v>
      </c>
      <c r="F5058">
        <v>0.60657899173975605</v>
      </c>
      <c r="G5058">
        <v>0.48259028713202601</v>
      </c>
      <c r="H5058">
        <v>0.47812015334880198</v>
      </c>
      <c r="I5058">
        <v>0.50704337431984603</v>
      </c>
      <c r="J5058">
        <v>0.54646018247022099</v>
      </c>
      <c r="K5058">
        <v>0.41200690508656301</v>
      </c>
      <c r="L5058">
        <v>762.32702018222699</v>
      </c>
      <c r="M5058">
        <v>15.1204796932814</v>
      </c>
      <c r="N5058">
        <v>60.108511277215896</v>
      </c>
      <c r="O5058">
        <v>49.559667681764502</v>
      </c>
      <c r="P5058">
        <v>-4.1471946251578601E-2</v>
      </c>
      <c r="Q5058">
        <v>0.45633083221475601</v>
      </c>
      <c r="R5058">
        <v>0.92333305622709005</v>
      </c>
      <c r="S5058" t="s">
        <v>11674</v>
      </c>
      <c r="T5058" t="s">
        <v>13232</v>
      </c>
      <c r="U5058" t="s">
        <v>13232</v>
      </c>
      <c r="V5058" t="s">
        <v>13232</v>
      </c>
      <c r="W5058" t="s">
        <v>18223</v>
      </c>
      <c r="X5058">
        <v>38</v>
      </c>
      <c r="Y5058" t="s">
        <v>24627</v>
      </c>
      <c r="Z5058" t="s">
        <v>31189</v>
      </c>
      <c r="AA5058">
        <v>0.65772644749600839</v>
      </c>
      <c r="AB5058" t="str">
        <f>HYPERLINK("Melting_Curves/meltCurve_Q96L91_3_EP400.pdf", "Melting_Curves/meltCurve_Q96L91_3_EP400.pdf")</f>
        <v>Melting_Curves/meltCurve_Q96L91_3_EP400.pdf</v>
      </c>
    </row>
    <row r="5059" spans="1:28" x14ac:dyDescent="0.25">
      <c r="A5059" t="s">
        <v>5062</v>
      </c>
      <c r="B5059">
        <v>0.99930955844802105</v>
      </c>
      <c r="C5059">
        <v>1.05793562660073</v>
      </c>
      <c r="D5059">
        <v>0.72779914074275598</v>
      </c>
      <c r="E5059">
        <v>0.29455860989781701</v>
      </c>
      <c r="F5059">
        <v>0.18152060342811299</v>
      </c>
      <c r="G5059">
        <v>0.13987579858292901</v>
      </c>
      <c r="H5059">
        <v>9.5433626032166402E-2</v>
      </c>
      <c r="I5059">
        <v>8.2724510120881403E-2</v>
      </c>
      <c r="J5059">
        <v>7.4376394164794496E-2</v>
      </c>
      <c r="K5059">
        <v>5.7954774663906097E-2</v>
      </c>
      <c r="L5059">
        <v>1299.89478132877</v>
      </c>
      <c r="M5059">
        <v>27.235751425930498</v>
      </c>
      <c r="N5059">
        <v>48.087160661158997</v>
      </c>
      <c r="O5059">
        <v>47.472447171942697</v>
      </c>
      <c r="P5059">
        <v>-0.130214206265829</v>
      </c>
      <c r="Q5059">
        <v>9.2145182690260202E-2</v>
      </c>
      <c r="R5059">
        <v>0.98968653005332496</v>
      </c>
      <c r="S5059" t="s">
        <v>11675</v>
      </c>
      <c r="T5059" t="s">
        <v>13232</v>
      </c>
      <c r="U5059" t="s">
        <v>13232</v>
      </c>
      <c r="V5059" t="s">
        <v>13232</v>
      </c>
      <c r="W5059" t="s">
        <v>18224</v>
      </c>
      <c r="X5059">
        <v>18</v>
      </c>
      <c r="Y5059" t="s">
        <v>24628</v>
      </c>
      <c r="Z5059" t="s">
        <v>31190</v>
      </c>
      <c r="AA5059">
        <v>0.33268398209528371</v>
      </c>
      <c r="AB5059" t="str">
        <f>HYPERLINK("Melting_Curves/meltCurve_Q96L92_SNX27.pdf", "Melting_Curves/meltCurve_Q96L92_SNX27.pdf")</f>
        <v>Melting_Curves/meltCurve_Q96L92_SNX27.pdf</v>
      </c>
    </row>
    <row r="5060" spans="1:28" x14ac:dyDescent="0.25">
      <c r="A5060" t="s">
        <v>5063</v>
      </c>
      <c r="B5060">
        <v>0.99930955844802105</v>
      </c>
      <c r="C5060">
        <v>1.04815059999417</v>
      </c>
      <c r="D5060">
        <v>0.95176101555443104</v>
      </c>
      <c r="E5060">
        <v>0.72199308678012697</v>
      </c>
      <c r="F5060">
        <v>0.48157364181836299</v>
      </c>
      <c r="G5060">
        <v>0.34610157203695402</v>
      </c>
      <c r="H5060">
        <v>0.27576825606837901</v>
      </c>
      <c r="I5060">
        <v>0.26935258306104498</v>
      </c>
      <c r="J5060">
        <v>0.26614775504550198</v>
      </c>
      <c r="K5060">
        <v>0.24664122389048501</v>
      </c>
      <c r="L5060">
        <v>1188.80345260637</v>
      </c>
      <c r="M5060">
        <v>23.243735079295099</v>
      </c>
      <c r="N5060">
        <v>52.825270997262102</v>
      </c>
      <c r="O5060">
        <v>50.771061137825399</v>
      </c>
      <c r="P5060">
        <v>-8.4551210128443702E-2</v>
      </c>
      <c r="Q5060">
        <v>0.26127582113709602</v>
      </c>
      <c r="R5060">
        <v>0.99599850727213302</v>
      </c>
      <c r="S5060" t="s">
        <v>11676</v>
      </c>
      <c r="T5060" t="s">
        <v>13232</v>
      </c>
      <c r="U5060" t="s">
        <v>13232</v>
      </c>
      <c r="V5060" t="s">
        <v>13232</v>
      </c>
      <c r="W5060" t="s">
        <v>18225</v>
      </c>
      <c r="X5060">
        <v>19</v>
      </c>
      <c r="Y5060" t="s">
        <v>24629</v>
      </c>
      <c r="Z5060" t="s">
        <v>31191</v>
      </c>
      <c r="AA5060">
        <v>0.5434183954104298</v>
      </c>
      <c r="AB5060" t="str">
        <f>HYPERLINK("Melting_Curves/meltCurve_Q96L93_6_KIF16B.pdf", "Melting_Curves/meltCurve_Q96L93_6_KIF16B.pdf")</f>
        <v>Melting_Curves/meltCurve_Q96L93_6_KIF16B.pdf</v>
      </c>
    </row>
    <row r="5061" spans="1:28" x14ac:dyDescent="0.25">
      <c r="A5061" t="s">
        <v>5064</v>
      </c>
      <c r="B5061">
        <v>0.99930955844802105</v>
      </c>
      <c r="C5061">
        <v>0.96245834695198595</v>
      </c>
      <c r="D5061">
        <v>0.79060879597812195</v>
      </c>
      <c r="E5061">
        <v>0.47915013291742198</v>
      </c>
      <c r="F5061">
        <v>0.30188459195533601</v>
      </c>
      <c r="G5061">
        <v>0.190817853443283</v>
      </c>
      <c r="H5061">
        <v>8.4850301835605602E-2</v>
      </c>
      <c r="I5061">
        <v>6.5025029198004902E-2</v>
      </c>
      <c r="J5061">
        <v>4.6821156186876697E-2</v>
      </c>
      <c r="K5061">
        <v>3.09375049328275E-2</v>
      </c>
      <c r="L5061">
        <v>790.259250193909</v>
      </c>
      <c r="M5061">
        <v>15.877692462654601</v>
      </c>
      <c r="N5061">
        <v>50.018556456223102</v>
      </c>
      <c r="O5061">
        <v>49.002219555001702</v>
      </c>
      <c r="P5061">
        <v>-7.7958231314016496E-2</v>
      </c>
      <c r="Q5061">
        <v>3.7689349859965103E-2</v>
      </c>
      <c r="R5061">
        <v>0.99718553112675101</v>
      </c>
      <c r="S5061" t="s">
        <v>11677</v>
      </c>
      <c r="T5061" t="s">
        <v>13232</v>
      </c>
      <c r="U5061" t="s">
        <v>13232</v>
      </c>
      <c r="V5061" t="s">
        <v>13232</v>
      </c>
      <c r="W5061" t="s">
        <v>18226</v>
      </c>
      <c r="X5061">
        <v>5</v>
      </c>
      <c r="Y5061" t="s">
        <v>24630</v>
      </c>
      <c r="Z5061" t="s">
        <v>31192</v>
      </c>
      <c r="AA5061">
        <v>0.3719822944798285</v>
      </c>
      <c r="AB5061" t="str">
        <f>HYPERLINK("Melting_Curves/meltCurve_Q96LA8_PRMT6.pdf", "Melting_Curves/meltCurve_Q96LA8_PRMT6.pdf")</f>
        <v>Melting_Curves/meltCurve_Q96LA8_PRMT6.pdf</v>
      </c>
    </row>
    <row r="5062" spans="1:28" x14ac:dyDescent="0.25">
      <c r="A5062" t="s">
        <v>5065</v>
      </c>
      <c r="B5062">
        <v>0.99930955844802105</v>
      </c>
      <c r="C5062">
        <v>1.0272330118730499</v>
      </c>
      <c r="D5062">
        <v>1.00944818572438</v>
      </c>
      <c r="E5062">
        <v>0.89167097486011804</v>
      </c>
      <c r="F5062">
        <v>0.68779213876400103</v>
      </c>
      <c r="G5062">
        <v>0.53049785706651298</v>
      </c>
      <c r="H5062">
        <v>0.435612785479286</v>
      </c>
      <c r="I5062">
        <v>0.44337308796831199</v>
      </c>
      <c r="J5062">
        <v>0.406876659863596</v>
      </c>
      <c r="K5062">
        <v>0.35070414308471598</v>
      </c>
      <c r="L5062">
        <v>1129.58138327699</v>
      </c>
      <c r="M5062">
        <v>21.1972317237738</v>
      </c>
      <c r="N5062">
        <v>57.467011483961997</v>
      </c>
      <c r="O5062">
        <v>52.821631665218298</v>
      </c>
      <c r="P5062">
        <v>-6.0906315419358099E-2</v>
      </c>
      <c r="Q5062">
        <v>0.39292311904014199</v>
      </c>
      <c r="R5062">
        <v>0.99109107723282797</v>
      </c>
      <c r="S5062" t="s">
        <v>11678</v>
      </c>
      <c r="T5062" t="s">
        <v>13232</v>
      </c>
      <c r="U5062" t="s">
        <v>13232</v>
      </c>
      <c r="V5062" t="s">
        <v>13232</v>
      </c>
      <c r="W5062" t="s">
        <v>18227</v>
      </c>
      <c r="X5062">
        <v>18</v>
      </c>
      <c r="Y5062" t="s">
        <v>24631</v>
      </c>
      <c r="Z5062" t="s">
        <v>31193</v>
      </c>
      <c r="AA5062">
        <v>0.66937967809318744</v>
      </c>
      <c r="AB5062" t="str">
        <f>HYPERLINK("Melting_Curves/meltCurve_Q96LB3_IFT74.pdf", "Melting_Curves/meltCurve_Q96LB3_IFT74.pdf")</f>
        <v>Melting_Curves/meltCurve_Q96LB3_IFT74.pdf</v>
      </c>
    </row>
    <row r="5063" spans="1:28" x14ac:dyDescent="0.25">
      <c r="A5063" t="s">
        <v>5066</v>
      </c>
      <c r="B5063">
        <v>0.99930955844802105</v>
      </c>
      <c r="C5063">
        <v>1.0255589643162899</v>
      </c>
      <c r="D5063">
        <v>0.86858723982035901</v>
      </c>
      <c r="E5063">
        <v>0.65875482088496495</v>
      </c>
      <c r="F5063">
        <v>0.44249753146016002</v>
      </c>
      <c r="G5063">
        <v>0.34689029492134799</v>
      </c>
      <c r="H5063">
        <v>0.28437162934367499</v>
      </c>
      <c r="I5063">
        <v>0.25274234386771199</v>
      </c>
      <c r="J5063">
        <v>0.26711588590176899</v>
      </c>
      <c r="K5063">
        <v>0.18362937111193001</v>
      </c>
      <c r="L5063">
        <v>902.383359780457</v>
      </c>
      <c r="M5063">
        <v>17.858025325498499</v>
      </c>
      <c r="N5063">
        <v>52.3636409824623</v>
      </c>
      <c r="O5063">
        <v>49.910111519483003</v>
      </c>
      <c r="P5063">
        <v>-6.8668514959000101E-2</v>
      </c>
      <c r="Q5063">
        <v>0.23237228979769001</v>
      </c>
      <c r="R5063">
        <v>0.99105228688279101</v>
      </c>
      <c r="S5063" t="s">
        <v>11679</v>
      </c>
      <c r="T5063" t="s">
        <v>13232</v>
      </c>
      <c r="U5063" t="s">
        <v>13232</v>
      </c>
      <c r="V5063" t="s">
        <v>13232</v>
      </c>
      <c r="W5063" t="s">
        <v>18228</v>
      </c>
      <c r="X5063">
        <v>1</v>
      </c>
      <c r="Y5063" t="s">
        <v>24632</v>
      </c>
      <c r="Z5063" t="s">
        <v>31194</v>
      </c>
      <c r="AA5063">
        <v>0.51503108068038761</v>
      </c>
      <c r="AB5063" t="str">
        <f>HYPERLINK("Melting_Curves/meltCurve_Q96LD4_TRIM47.pdf", "Melting_Curves/meltCurve_Q96LD4_TRIM47.pdf")</f>
        <v>Melting_Curves/meltCurve_Q96LD4_TRIM47.pdf</v>
      </c>
    </row>
    <row r="5064" spans="1:28" x14ac:dyDescent="0.25">
      <c r="A5064" t="s">
        <v>5067</v>
      </c>
      <c r="B5064">
        <v>0.99930955844802105</v>
      </c>
      <c r="C5064">
        <v>1.1083779913774501</v>
      </c>
      <c r="D5064">
        <v>1.10306382724913</v>
      </c>
      <c r="E5064">
        <v>1.01437946119263</v>
      </c>
      <c r="F5064">
        <v>0.35774483088134601</v>
      </c>
      <c r="G5064">
        <v>0.16259145454183899</v>
      </c>
      <c r="H5064">
        <v>8.4275108872746196E-2</v>
      </c>
      <c r="I5064">
        <v>5.1685975866033497E-2</v>
      </c>
      <c r="J5064">
        <v>5.1423192526940303E-2</v>
      </c>
      <c r="K5064">
        <v>3.12201879638648E-2</v>
      </c>
      <c r="L5064">
        <v>13206.283858606699</v>
      </c>
      <c r="M5064">
        <v>250</v>
      </c>
      <c r="N5064">
        <v>52.860104114891598</v>
      </c>
      <c r="O5064">
        <v>52.821774729244197</v>
      </c>
      <c r="P5064">
        <v>-1.09301653239207</v>
      </c>
      <c r="Q5064">
        <v>7.6239175723966698E-2</v>
      </c>
      <c r="R5064">
        <v>0.98468057824798405</v>
      </c>
      <c r="S5064" t="s">
        <v>11680</v>
      </c>
      <c r="T5064" t="s">
        <v>13232</v>
      </c>
      <c r="U5064" t="s">
        <v>13232</v>
      </c>
      <c r="V5064" t="s">
        <v>13232</v>
      </c>
      <c r="W5064" t="s">
        <v>18229</v>
      </c>
      <c r="X5064">
        <v>4</v>
      </c>
      <c r="Y5064" t="s">
        <v>24633</v>
      </c>
      <c r="Z5064" t="s">
        <v>31195</v>
      </c>
      <c r="AA5064">
        <v>0.47123673776569391</v>
      </c>
      <c r="AB5064" t="str">
        <f>HYPERLINK("Melting_Curves/meltCurve_Q96LD8_SENP8.pdf", "Melting_Curves/meltCurve_Q96LD8_SENP8.pdf")</f>
        <v>Melting_Curves/meltCurve_Q96LD8_SENP8.pdf</v>
      </c>
    </row>
    <row r="5065" spans="1:28" x14ac:dyDescent="0.25">
      <c r="A5065" t="s">
        <v>5068</v>
      </c>
      <c r="B5065">
        <v>0.99930955844802105</v>
      </c>
      <c r="C5065">
        <v>0.94167263295562997</v>
      </c>
      <c r="D5065">
        <v>0.88617049970283301</v>
      </c>
      <c r="E5065">
        <v>0.72919332603866804</v>
      </c>
      <c r="F5065">
        <v>0.513328008460742</v>
      </c>
      <c r="G5065">
        <v>0.50700903035860601</v>
      </c>
      <c r="H5065">
        <v>0.37335428525692799</v>
      </c>
      <c r="I5065">
        <v>0.40925945354259502</v>
      </c>
      <c r="J5065">
        <v>0.361456224847233</v>
      </c>
      <c r="K5065">
        <v>0.31196284444149103</v>
      </c>
      <c r="L5065">
        <v>713.55090133380395</v>
      </c>
      <c r="M5065">
        <v>14.0406722573256</v>
      </c>
      <c r="N5065">
        <v>55.197377152433397</v>
      </c>
      <c r="O5065">
        <v>49.822697832516702</v>
      </c>
      <c r="P5065">
        <v>-4.6802405433435099E-2</v>
      </c>
      <c r="Q5065">
        <v>0.33578193285028601</v>
      </c>
      <c r="R5065">
        <v>0.98251727832843705</v>
      </c>
      <c r="S5065" t="s">
        <v>11681</v>
      </c>
      <c r="T5065" t="s">
        <v>13232</v>
      </c>
      <c r="U5065" t="s">
        <v>13232</v>
      </c>
      <c r="V5065" t="s">
        <v>13232</v>
      </c>
      <c r="W5065" t="s">
        <v>18230</v>
      </c>
      <c r="X5065">
        <v>5</v>
      </c>
      <c r="Y5065" t="s">
        <v>24634</v>
      </c>
      <c r="Z5065" t="s">
        <v>31196</v>
      </c>
      <c r="AA5065">
        <v>0.59255575491367041</v>
      </c>
      <c r="AB5065" t="str">
        <f>HYPERLINK("Melting_Curves/meltCurve_Q96LJ8_UBXN10.pdf", "Melting_Curves/meltCurve_Q96LJ8_UBXN10.pdf")</f>
        <v>Melting_Curves/meltCurve_Q96LJ8_UBXN10.pdf</v>
      </c>
    </row>
    <row r="5066" spans="1:28" x14ac:dyDescent="0.25">
      <c r="A5066" t="s">
        <v>5069</v>
      </c>
      <c r="B5066">
        <v>0.99930955844802105</v>
      </c>
      <c r="C5066">
        <v>1.21552126881125</v>
      </c>
      <c r="D5066">
        <v>1.1467886003985299</v>
      </c>
      <c r="E5066">
        <v>1.05252083227687</v>
      </c>
      <c r="F5066">
        <v>0.59580672078550201</v>
      </c>
      <c r="G5066">
        <v>0.64283839006952304</v>
      </c>
      <c r="H5066">
        <v>0.63749643985287396</v>
      </c>
      <c r="I5066">
        <v>0.66703875556226699</v>
      </c>
      <c r="J5066">
        <v>0.61980183215615203</v>
      </c>
      <c r="K5066">
        <v>0.47738201245877399</v>
      </c>
      <c r="L5066">
        <v>12904.9978526307</v>
      </c>
      <c r="M5066">
        <v>250</v>
      </c>
      <c r="O5066">
        <v>51.616707531673299</v>
      </c>
      <c r="P5066">
        <v>-0.47630540735136601</v>
      </c>
      <c r="Q5066">
        <v>0.60663507736507605</v>
      </c>
      <c r="R5066">
        <v>0.85432691072143596</v>
      </c>
      <c r="S5066" t="s">
        <v>11682</v>
      </c>
      <c r="T5066" t="s">
        <v>13232</v>
      </c>
      <c r="U5066" t="s">
        <v>13232</v>
      </c>
      <c r="V5066" t="s">
        <v>13232</v>
      </c>
      <c r="W5066" t="s">
        <v>18231</v>
      </c>
      <c r="X5066">
        <v>4</v>
      </c>
      <c r="Y5066" t="s">
        <v>24635</v>
      </c>
      <c r="Z5066" t="s">
        <v>31197</v>
      </c>
      <c r="AA5066">
        <v>0.75903394726485496</v>
      </c>
      <c r="AB5066" t="str">
        <f>HYPERLINK("Melting_Curves/meltCurve_Q96LR5_UBE2E2.pdf", "Melting_Curves/meltCurve_Q96LR5_UBE2E2.pdf")</f>
        <v>Melting_Curves/meltCurve_Q96LR5_UBE2E2.pdf</v>
      </c>
    </row>
    <row r="5067" spans="1:28" x14ac:dyDescent="0.25">
      <c r="A5067" t="s">
        <v>5070</v>
      </c>
      <c r="B5067">
        <v>0.99930955844802105</v>
      </c>
      <c r="C5067">
        <v>1.0870314768862801</v>
      </c>
      <c r="D5067">
        <v>1.00371477335781</v>
      </c>
      <c r="E5067">
        <v>0.78159046737412396</v>
      </c>
      <c r="F5067">
        <v>0.46611804411764302</v>
      </c>
      <c r="G5067">
        <v>0.37214361211149199</v>
      </c>
      <c r="H5067">
        <v>0.281232421238229</v>
      </c>
      <c r="I5067">
        <v>0.27585204587130702</v>
      </c>
      <c r="J5067">
        <v>0.27382082207069203</v>
      </c>
      <c r="K5067">
        <v>0.24554367014609599</v>
      </c>
      <c r="L5067">
        <v>1527.75393616262</v>
      </c>
      <c r="M5067">
        <v>29.7282005861356</v>
      </c>
      <c r="N5067">
        <v>52.8282388361445</v>
      </c>
      <c r="O5067">
        <v>51.159870867926699</v>
      </c>
      <c r="P5067">
        <v>-0.104983104983286</v>
      </c>
      <c r="Q5067">
        <v>0.27733455657058997</v>
      </c>
      <c r="R5067">
        <v>0.98779204031689505</v>
      </c>
      <c r="S5067" t="s">
        <v>11683</v>
      </c>
      <c r="T5067" t="s">
        <v>13232</v>
      </c>
      <c r="U5067" t="s">
        <v>13232</v>
      </c>
      <c r="V5067" t="s">
        <v>13232</v>
      </c>
      <c r="W5067" t="s">
        <v>18232</v>
      </c>
      <c r="X5067">
        <v>2</v>
      </c>
      <c r="Y5067" t="s">
        <v>24636</v>
      </c>
      <c r="Z5067" t="s">
        <v>31198</v>
      </c>
      <c r="AA5067">
        <v>0.55638066009232157</v>
      </c>
      <c r="AB5067" t="str">
        <f>HYPERLINK("Melting_Curves/meltCurve_Q96LZ7_RMDN2.pdf", "Melting_Curves/meltCurve_Q96LZ7_RMDN2.pdf")</f>
        <v>Melting_Curves/meltCurve_Q96LZ7_RMDN2.pdf</v>
      </c>
    </row>
    <row r="5068" spans="1:28" x14ac:dyDescent="0.25">
      <c r="A5068" t="s">
        <v>5071</v>
      </c>
      <c r="B5068">
        <v>0.99930955844802105</v>
      </c>
      <c r="C5068">
        <v>1.17007707672049</v>
      </c>
      <c r="D5068">
        <v>1.13219989288963</v>
      </c>
      <c r="E5068">
        <v>1.0302709313273599</v>
      </c>
      <c r="F5068">
        <v>0.99504158905291495</v>
      </c>
      <c r="G5068">
        <v>0.77951620776185404</v>
      </c>
      <c r="H5068">
        <v>0.80698546719130204</v>
      </c>
      <c r="I5068">
        <v>0.74224724723078594</v>
      </c>
      <c r="J5068">
        <v>0.56412287291416796</v>
      </c>
      <c r="K5068">
        <v>0.22505746910258601</v>
      </c>
      <c r="L5068">
        <v>1079.1985500703299</v>
      </c>
      <c r="M5068">
        <v>16.141025237657299</v>
      </c>
      <c r="N5068">
        <v>66.860604466326905</v>
      </c>
      <c r="O5068">
        <v>65.859565260605393</v>
      </c>
      <c r="P5068">
        <v>-6.1275238338749899E-2</v>
      </c>
      <c r="Q5068">
        <v>0</v>
      </c>
      <c r="R5068">
        <v>0.87294409996146105</v>
      </c>
      <c r="S5068" t="s">
        <v>11684</v>
      </c>
      <c r="T5068" t="s">
        <v>13232</v>
      </c>
      <c r="U5068" t="s">
        <v>13232</v>
      </c>
      <c r="V5068" t="s">
        <v>13232</v>
      </c>
      <c r="W5068" t="s">
        <v>18233</v>
      </c>
      <c r="X5068">
        <v>11</v>
      </c>
      <c r="Y5068" t="s">
        <v>24637</v>
      </c>
      <c r="Z5068" t="s">
        <v>31199</v>
      </c>
      <c r="AA5068">
        <v>0.85433833846754936</v>
      </c>
      <c r="AB5068" t="str">
        <f>HYPERLINK("Melting_Curves/meltCurve_Q96M27_PRRC1.pdf", "Melting_Curves/meltCurve_Q96M27_PRRC1.pdf")</f>
        <v>Melting_Curves/meltCurve_Q96M27_PRRC1.pdf</v>
      </c>
    </row>
    <row r="5069" spans="1:28" x14ac:dyDescent="0.25">
      <c r="A5069" t="s">
        <v>5072</v>
      </c>
      <c r="B5069">
        <v>0.99930955844802105</v>
      </c>
      <c r="C5069">
        <v>0.99254728113657997</v>
      </c>
      <c r="D5069">
        <v>0.94752346511595298</v>
      </c>
      <c r="E5069">
        <v>0.878000216565612</v>
      </c>
      <c r="F5069">
        <v>0.65751286365316197</v>
      </c>
      <c r="G5069">
        <v>0.23940049623759199</v>
      </c>
      <c r="H5069">
        <v>0.13083760341304801</v>
      </c>
      <c r="I5069">
        <v>0.13607590473848999</v>
      </c>
      <c r="J5069">
        <v>0.109181471162604</v>
      </c>
      <c r="K5069">
        <v>9.1648608432407297E-2</v>
      </c>
      <c r="L5069">
        <v>1456.8980872807799</v>
      </c>
      <c r="M5069">
        <v>27.102709803570299</v>
      </c>
      <c r="N5069">
        <v>54.207371337303201</v>
      </c>
      <c r="O5069">
        <v>53.464618767736702</v>
      </c>
      <c r="P5069">
        <v>-0.113898813538704</v>
      </c>
      <c r="Q5069">
        <v>0.10127119991790499</v>
      </c>
      <c r="R5069">
        <v>0.99748535153629803</v>
      </c>
      <c r="S5069" t="s">
        <v>11685</v>
      </c>
      <c r="T5069" t="s">
        <v>13232</v>
      </c>
      <c r="U5069" t="s">
        <v>13232</v>
      </c>
      <c r="V5069" t="s">
        <v>13232</v>
      </c>
      <c r="W5069" t="s">
        <v>18234</v>
      </c>
      <c r="X5069">
        <v>16</v>
      </c>
      <c r="Y5069" t="s">
        <v>24638</v>
      </c>
      <c r="Z5069" t="s">
        <v>31200</v>
      </c>
      <c r="AA5069">
        <v>0.52047858345278197</v>
      </c>
      <c r="AB5069" t="str">
        <f>HYPERLINK("Melting_Curves/meltCurve_Q96ME1_4_FBXL18.pdf", "Melting_Curves/meltCurve_Q96ME1_4_FBXL18.pdf")</f>
        <v>Melting_Curves/meltCurve_Q96ME1_4_FBXL18.pdf</v>
      </c>
    </row>
    <row r="5070" spans="1:28" x14ac:dyDescent="0.25">
      <c r="A5070" t="s">
        <v>5073</v>
      </c>
      <c r="B5070">
        <v>0.99930955844802105</v>
      </c>
      <c r="C5070">
        <v>1.0825056514310401</v>
      </c>
      <c r="D5070">
        <v>1.0742486510778499</v>
      </c>
      <c r="E5070">
        <v>1.0864837180599101</v>
      </c>
      <c r="F5070">
        <v>0.95691033543760695</v>
      </c>
      <c r="G5070">
        <v>0.88009695115119002</v>
      </c>
      <c r="H5070">
        <v>0.82944837420641704</v>
      </c>
      <c r="I5070">
        <v>0.84178651900349999</v>
      </c>
      <c r="J5070">
        <v>0.78636456960814505</v>
      </c>
      <c r="K5070">
        <v>0.61873302920450401</v>
      </c>
      <c r="L5070">
        <v>640.00374248111495</v>
      </c>
      <c r="M5070">
        <v>8.5264709998364996</v>
      </c>
      <c r="Q5070">
        <v>0</v>
      </c>
      <c r="R5070">
        <v>0.84109044326424298</v>
      </c>
      <c r="S5070" t="s">
        <v>11686</v>
      </c>
      <c r="T5070" t="s">
        <v>13232</v>
      </c>
      <c r="U5070" t="s">
        <v>13232</v>
      </c>
      <c r="V5070" t="s">
        <v>13232</v>
      </c>
      <c r="W5070" t="s">
        <v>18235</v>
      </c>
      <c r="X5070">
        <v>11</v>
      </c>
      <c r="Y5070" t="s">
        <v>24639</v>
      </c>
      <c r="Z5070" t="s">
        <v>31201</v>
      </c>
      <c r="AA5070">
        <v>0.91014516444100757</v>
      </c>
      <c r="AB5070" t="str">
        <f>HYPERLINK("Melting_Curves/meltCurve_Q96ME7_2_ZNF512.pdf", "Melting_Curves/meltCurve_Q96ME7_2_ZNF512.pdf")</f>
        <v>Melting_Curves/meltCurve_Q96ME7_2_ZNF512.pdf</v>
      </c>
    </row>
    <row r="5071" spans="1:28" x14ac:dyDescent="0.25">
      <c r="A5071" t="s">
        <v>5074</v>
      </c>
      <c r="B5071">
        <v>0.99930955844802105</v>
      </c>
      <c r="C5071">
        <v>0.88900833156387504</v>
      </c>
      <c r="D5071">
        <v>0.86694966848570498</v>
      </c>
      <c r="E5071">
        <v>0.64148731925106794</v>
      </c>
      <c r="F5071">
        <v>0.31389448972418998</v>
      </c>
      <c r="G5071">
        <v>0.21187509495054399</v>
      </c>
      <c r="H5071">
        <v>0.100639483119707</v>
      </c>
      <c r="I5071">
        <v>8.4343944600876797E-2</v>
      </c>
      <c r="J5071">
        <v>8.6199671010379494E-2</v>
      </c>
      <c r="K5071">
        <v>5.7360026428615402E-2</v>
      </c>
      <c r="L5071">
        <v>855.44344960183605</v>
      </c>
      <c r="M5071">
        <v>16.834873917083002</v>
      </c>
      <c r="N5071">
        <v>51.175740873815499</v>
      </c>
      <c r="O5071">
        <v>50.113029196136601</v>
      </c>
      <c r="P5071">
        <v>-7.9275648434499996E-2</v>
      </c>
      <c r="Q5071">
        <v>5.6128904579383999E-2</v>
      </c>
      <c r="R5071">
        <v>0.99113106809973495</v>
      </c>
      <c r="S5071" t="s">
        <v>11687</v>
      </c>
      <c r="T5071" t="s">
        <v>13232</v>
      </c>
      <c r="U5071" t="s">
        <v>13232</v>
      </c>
      <c r="V5071" t="s">
        <v>13232</v>
      </c>
      <c r="W5071" t="s">
        <v>18236</v>
      </c>
      <c r="X5071">
        <v>6</v>
      </c>
      <c r="Y5071" t="s">
        <v>24640</v>
      </c>
      <c r="Z5071" t="s">
        <v>31202</v>
      </c>
      <c r="AA5071">
        <v>0.4143311912371454</v>
      </c>
      <c r="AB5071" t="str">
        <f>HYPERLINK("Melting_Curves/meltCurve_Q96MG7_NDNL2.pdf", "Melting_Curves/meltCurve_Q96MG7_NDNL2.pdf")</f>
        <v>Melting_Curves/meltCurve_Q96MG7_NDNL2.pdf</v>
      </c>
    </row>
    <row r="5072" spans="1:28" x14ac:dyDescent="0.25">
      <c r="A5072" t="s">
        <v>5075</v>
      </c>
      <c r="B5072">
        <v>0.99930955844802105</v>
      </c>
      <c r="C5072">
        <v>1.05366547998419</v>
      </c>
      <c r="D5072">
        <v>1.06088054664828</v>
      </c>
      <c r="E5072">
        <v>1.0762680559592399</v>
      </c>
      <c r="F5072">
        <v>1.1318293451938499</v>
      </c>
      <c r="G5072">
        <v>1.0229538670265099</v>
      </c>
      <c r="H5072">
        <v>0.97550145373007402</v>
      </c>
      <c r="I5072">
        <v>1.07494160869091</v>
      </c>
      <c r="J5072">
        <v>1.0848703039371901</v>
      </c>
      <c r="K5072">
        <v>0.862058386607642</v>
      </c>
      <c r="L5072">
        <v>15000</v>
      </c>
      <c r="M5072">
        <v>212.45315639897501</v>
      </c>
      <c r="Q5072">
        <v>0</v>
      </c>
      <c r="R5072">
        <v>0.14322837095108401</v>
      </c>
      <c r="S5072" t="s">
        <v>11688</v>
      </c>
      <c r="T5072" t="s">
        <v>13232</v>
      </c>
      <c r="U5072" t="s">
        <v>13232</v>
      </c>
      <c r="V5072" t="s">
        <v>13232</v>
      </c>
      <c r="W5072" t="s">
        <v>18237</v>
      </c>
      <c r="X5072">
        <v>14</v>
      </c>
      <c r="Y5072" t="s">
        <v>24641</v>
      </c>
      <c r="Z5072" t="s">
        <v>31203</v>
      </c>
      <c r="AA5072">
        <v>0.99839926959244296</v>
      </c>
      <c r="AB5072" t="str">
        <f>HYPERLINK("Melting_Curves/meltCurve_Q96MH2_HEXIM2.pdf", "Melting_Curves/meltCurve_Q96MH2_HEXIM2.pdf")</f>
        <v>Melting_Curves/meltCurve_Q96MH2_HEXIM2.pdf</v>
      </c>
    </row>
    <row r="5073" spans="1:28" x14ac:dyDescent="0.25">
      <c r="A5073" t="s">
        <v>5076</v>
      </c>
      <c r="B5073">
        <v>0.99930955844802105</v>
      </c>
      <c r="C5073">
        <v>1.0446961422769101</v>
      </c>
      <c r="D5073">
        <v>1.01428088711637</v>
      </c>
      <c r="E5073">
        <v>0.97808738819431396</v>
      </c>
      <c r="F5073">
        <v>0.86109041799471597</v>
      </c>
      <c r="G5073">
        <v>0.80732956302551695</v>
      </c>
      <c r="H5073">
        <v>0.71715016238451001</v>
      </c>
      <c r="I5073">
        <v>0.75564866837310396</v>
      </c>
      <c r="J5073">
        <v>0.63862940213022401</v>
      </c>
      <c r="K5073">
        <v>0.52037854661150196</v>
      </c>
      <c r="L5073">
        <v>479.27627327275098</v>
      </c>
      <c r="M5073">
        <v>6.9385016438833702</v>
      </c>
      <c r="O5073">
        <v>64.022066939044706</v>
      </c>
      <c r="P5073">
        <v>-2.3239241785974401E-2</v>
      </c>
      <c r="Q5073">
        <v>0.14391849961195399</v>
      </c>
      <c r="R5073">
        <v>0.940177757249824</v>
      </c>
      <c r="S5073" t="s">
        <v>11689</v>
      </c>
      <c r="T5073" t="s">
        <v>13232</v>
      </c>
      <c r="U5073" t="s">
        <v>13232</v>
      </c>
      <c r="V5073" t="s">
        <v>13232</v>
      </c>
      <c r="W5073" t="s">
        <v>18238</v>
      </c>
      <c r="X5073">
        <v>1</v>
      </c>
      <c r="Z5073" t="s">
        <v>31204</v>
      </c>
      <c r="AA5073">
        <v>0.83700314687507027</v>
      </c>
      <c r="AB5073" t="str">
        <f>HYPERLINK("Melting_Curves/meltCurve_Q96MT0_.pdf", "Melting_Curves/meltCurve_Q96MT0_.pdf")</f>
        <v>Melting_Curves/meltCurve_Q96MT0_.pdf</v>
      </c>
    </row>
    <row r="5074" spans="1:28" x14ac:dyDescent="0.25">
      <c r="A5074" t="s">
        <v>5077</v>
      </c>
      <c r="B5074">
        <v>0.99930955844802105</v>
      </c>
      <c r="C5074">
        <v>1.0274223582812401</v>
      </c>
      <c r="D5074">
        <v>0.85694721653066996</v>
      </c>
      <c r="E5074">
        <v>0.6092892882091</v>
      </c>
      <c r="F5074">
        <v>0.471728604427749</v>
      </c>
      <c r="G5074">
        <v>0.41398188031059102</v>
      </c>
      <c r="H5074">
        <v>0.32392059557714697</v>
      </c>
      <c r="I5074">
        <v>0.343501352726372</v>
      </c>
      <c r="J5074">
        <v>0.33885313131100397</v>
      </c>
      <c r="K5074">
        <v>0.26683034950252499</v>
      </c>
      <c r="L5074">
        <v>936.42814846718295</v>
      </c>
      <c r="M5074">
        <v>18.915575775124498</v>
      </c>
      <c r="N5074">
        <v>52.295097443777003</v>
      </c>
      <c r="O5074">
        <v>48.962320215742402</v>
      </c>
      <c r="P5074">
        <v>-6.5900673210536706E-2</v>
      </c>
      <c r="Q5074">
        <v>0.31770122911455401</v>
      </c>
      <c r="R5074">
        <v>0.98707755902569205</v>
      </c>
      <c r="S5074" t="s">
        <v>11690</v>
      </c>
      <c r="T5074" t="s">
        <v>13232</v>
      </c>
      <c r="U5074" t="s">
        <v>13232</v>
      </c>
      <c r="V5074" t="s">
        <v>13232</v>
      </c>
      <c r="W5074" t="s">
        <v>18239</v>
      </c>
      <c r="X5074">
        <v>3</v>
      </c>
      <c r="Y5074" t="s">
        <v>24642</v>
      </c>
      <c r="Z5074" t="s">
        <v>31205</v>
      </c>
      <c r="AA5074">
        <v>0.54452373697162471</v>
      </c>
      <c r="AB5074" t="str">
        <f>HYPERLINK("Melting_Curves/meltCurve_Q96MT8_3_CEP63.pdf", "Melting_Curves/meltCurve_Q96MT8_3_CEP63.pdf")</f>
        <v>Melting_Curves/meltCurve_Q96MT8_3_CEP63.pdf</v>
      </c>
    </row>
    <row r="5075" spans="1:28" x14ac:dyDescent="0.25">
      <c r="A5075" t="s">
        <v>5078</v>
      </c>
      <c r="B5075">
        <v>0.99930955844802105</v>
      </c>
      <c r="C5075">
        <v>1.16507756631735</v>
      </c>
      <c r="D5075">
        <v>1.1377132155877601</v>
      </c>
      <c r="E5075">
        <v>1.0590725182660701</v>
      </c>
      <c r="F5075">
        <v>0.97076754857778003</v>
      </c>
      <c r="G5075">
        <v>0.95124252593036895</v>
      </c>
      <c r="H5075">
        <v>1.06364043738433</v>
      </c>
      <c r="I5075">
        <v>1.2167853090706</v>
      </c>
      <c r="J5075">
        <v>1.26365720812736</v>
      </c>
      <c r="K5075">
        <v>1.0001242857414101</v>
      </c>
      <c r="L5075">
        <v>10258.605653635101</v>
      </c>
      <c r="M5075">
        <v>250</v>
      </c>
      <c r="O5075">
        <v>41.0317947734423</v>
      </c>
      <c r="P5075">
        <v>0.140148708921258</v>
      </c>
      <c r="Q5075">
        <v>1.09200885317427</v>
      </c>
      <c r="R5075">
        <v>7.36179779531249E-2</v>
      </c>
      <c r="S5075" t="s">
        <v>11691</v>
      </c>
      <c r="T5075" t="s">
        <v>13232</v>
      </c>
      <c r="U5075" t="s">
        <v>13232</v>
      </c>
      <c r="V5075" t="s">
        <v>13232</v>
      </c>
      <c r="W5075" t="s">
        <v>18240</v>
      </c>
      <c r="X5075">
        <v>9</v>
      </c>
      <c r="Y5075" t="s">
        <v>24643</v>
      </c>
      <c r="Z5075" t="s">
        <v>31206</v>
      </c>
      <c r="AA5075">
        <v>1.0888289542076941</v>
      </c>
      <c r="AB5075" t="str">
        <f>HYPERLINK("Melting_Curves/meltCurve_Q96MU7_YTHDC1.pdf", "Melting_Curves/meltCurve_Q96MU7_YTHDC1.pdf")</f>
        <v>Melting_Curves/meltCurve_Q96MU7_YTHDC1.pdf</v>
      </c>
    </row>
    <row r="5076" spans="1:28" x14ac:dyDescent="0.25">
      <c r="A5076" t="s">
        <v>5079</v>
      </c>
      <c r="B5076">
        <v>0.99930955844802105</v>
      </c>
      <c r="C5076">
        <v>1.20207905239724</v>
      </c>
      <c r="D5076">
        <v>1.1766798839217001</v>
      </c>
      <c r="E5076">
        <v>1.16064201370217</v>
      </c>
      <c r="F5076">
        <v>1.0807230125474601</v>
      </c>
      <c r="G5076">
        <v>0.984251219775093</v>
      </c>
      <c r="H5076">
        <v>1.33225540591304</v>
      </c>
      <c r="I5076">
        <v>1.42098681617425</v>
      </c>
      <c r="J5076">
        <v>1.5224623598906999</v>
      </c>
      <c r="K5076">
        <v>1.1570384346500999</v>
      </c>
      <c r="L5076">
        <v>267.488218702393</v>
      </c>
      <c r="M5076">
        <v>4.5055132371967801</v>
      </c>
      <c r="O5076">
        <v>50.47384366432</v>
      </c>
      <c r="P5076">
        <v>1.1255233037365199E-2</v>
      </c>
      <c r="Q5076">
        <v>1.5</v>
      </c>
      <c r="R5076">
        <v>0.31148455985433399</v>
      </c>
      <c r="S5076" t="s">
        <v>11692</v>
      </c>
      <c r="T5076" t="s">
        <v>13232</v>
      </c>
      <c r="U5076" t="s">
        <v>13232</v>
      </c>
      <c r="V5076" t="s">
        <v>13232</v>
      </c>
      <c r="W5076" t="s">
        <v>18241</v>
      </c>
      <c r="X5076">
        <v>9</v>
      </c>
      <c r="Y5076" t="s">
        <v>24644</v>
      </c>
      <c r="Z5076" t="s">
        <v>31207</v>
      </c>
      <c r="AA5076">
        <v>1.19969958232788</v>
      </c>
      <c r="AB5076" t="str">
        <f>HYPERLINK("Melting_Curves/meltCurve_Q96MW1_CCDC43.pdf", "Melting_Curves/meltCurve_Q96MW1_CCDC43.pdf")</f>
        <v>Melting_Curves/meltCurve_Q96MW1_CCDC43.pdf</v>
      </c>
    </row>
    <row r="5077" spans="1:28" x14ac:dyDescent="0.25">
      <c r="A5077" t="s">
        <v>5080</v>
      </c>
      <c r="B5077">
        <v>0.99930955844802105</v>
      </c>
      <c r="C5077">
        <v>0.59437786823138405</v>
      </c>
      <c r="D5077">
        <v>0.39097493305564801</v>
      </c>
      <c r="E5077">
        <v>0.206485260354315</v>
      </c>
      <c r="F5077">
        <v>0.14544828245555699</v>
      </c>
      <c r="G5077">
        <v>6.5040970630358505E-2</v>
      </c>
      <c r="H5077">
        <v>4.1983686357031501E-2</v>
      </c>
      <c r="I5077">
        <v>3.4802290100851702E-2</v>
      </c>
      <c r="J5077">
        <v>2.6375993864456802E-2</v>
      </c>
      <c r="K5077">
        <v>1.54910246472736E-2</v>
      </c>
      <c r="L5077">
        <v>758.11207377604103</v>
      </c>
      <c r="M5077">
        <v>17.000243329223</v>
      </c>
      <c r="N5077">
        <v>44.809896334901602</v>
      </c>
      <c r="O5077">
        <v>43.9908488148698</v>
      </c>
      <c r="P5077">
        <v>-9.2822532477275399E-2</v>
      </c>
      <c r="Q5077">
        <v>3.9286612259363099E-2</v>
      </c>
      <c r="R5077">
        <v>0.973398521316302</v>
      </c>
      <c r="S5077" t="s">
        <v>11693</v>
      </c>
      <c r="T5077" t="s">
        <v>13232</v>
      </c>
      <c r="U5077" t="s">
        <v>13232</v>
      </c>
      <c r="V5077" t="s">
        <v>13232</v>
      </c>
      <c r="W5077" t="s">
        <v>18242</v>
      </c>
      <c r="X5077">
        <v>7</v>
      </c>
      <c r="Y5077" t="s">
        <v>24645</v>
      </c>
      <c r="Z5077" t="s">
        <v>31208</v>
      </c>
      <c r="AA5077">
        <v>0.2111227769263955</v>
      </c>
      <c r="AB5077" t="str">
        <f>HYPERLINK("Melting_Curves/meltCurve_Q96MW5_COG8.pdf", "Melting_Curves/meltCurve_Q96MW5_COG8.pdf")</f>
        <v>Melting_Curves/meltCurve_Q96MW5_COG8.pdf</v>
      </c>
    </row>
    <row r="5078" spans="1:28" x14ac:dyDescent="0.25">
      <c r="A5078" t="s">
        <v>5081</v>
      </c>
      <c r="B5078">
        <v>0.99930955844802105</v>
      </c>
      <c r="C5078">
        <v>0.86004553216425095</v>
      </c>
      <c r="D5078">
        <v>0.83968567926321502</v>
      </c>
      <c r="E5078">
        <v>0.63403127995391195</v>
      </c>
      <c r="F5078">
        <v>0.40005744206313698</v>
      </c>
      <c r="G5078">
        <v>0.233852727480238</v>
      </c>
      <c r="H5078">
        <v>0.11905027036112099</v>
      </c>
      <c r="I5078">
        <v>8.9463140570563704E-2</v>
      </c>
      <c r="J5078">
        <v>8.2470750556324093E-2</v>
      </c>
      <c r="K5078">
        <v>6.2334053165875897E-2</v>
      </c>
      <c r="L5078">
        <v>668.72753924494498</v>
      </c>
      <c r="M5078">
        <v>13.008921589262901</v>
      </c>
      <c r="N5078">
        <v>51.6020947720462</v>
      </c>
      <c r="O5078">
        <v>50.236068792717703</v>
      </c>
      <c r="P5078">
        <v>-6.3183364064316599E-2</v>
      </c>
      <c r="Q5078">
        <v>2.4200538845994098E-2</v>
      </c>
      <c r="R5078">
        <v>0.99366319475831999</v>
      </c>
      <c r="S5078" t="s">
        <v>11694</v>
      </c>
      <c r="T5078" t="s">
        <v>13232</v>
      </c>
      <c r="U5078" t="s">
        <v>13232</v>
      </c>
      <c r="V5078" t="s">
        <v>13232</v>
      </c>
      <c r="W5078" t="s">
        <v>18243</v>
      </c>
      <c r="X5078">
        <v>13</v>
      </c>
      <c r="Y5078" t="s">
        <v>24646</v>
      </c>
      <c r="Z5078" t="s">
        <v>31209</v>
      </c>
      <c r="AA5078">
        <v>0.4228605468971936</v>
      </c>
      <c r="AB5078" t="str">
        <f>HYPERLINK("Melting_Curves/meltCurve_Q96MX6_WDR92.pdf", "Melting_Curves/meltCurve_Q96MX6_WDR92.pdf")</f>
        <v>Melting_Curves/meltCurve_Q96MX6_WDR92.pdf</v>
      </c>
    </row>
    <row r="5079" spans="1:28" x14ac:dyDescent="0.25">
      <c r="A5079" t="s">
        <v>5082</v>
      </c>
      <c r="B5079">
        <v>0.99930955844802105</v>
      </c>
      <c r="C5079">
        <v>0.97836879190327497</v>
      </c>
      <c r="D5079">
        <v>0.94259492957948599</v>
      </c>
      <c r="E5079">
        <v>0.86333417222054099</v>
      </c>
      <c r="F5079">
        <v>0.72740933673872599</v>
      </c>
      <c r="G5079">
        <v>0.59502327303966196</v>
      </c>
      <c r="H5079">
        <v>0.53429469042418698</v>
      </c>
      <c r="I5079">
        <v>0.51975977017158803</v>
      </c>
      <c r="J5079">
        <v>0.52548802675523398</v>
      </c>
      <c r="K5079">
        <v>0.470665236139367</v>
      </c>
      <c r="L5079">
        <v>849.78822856637203</v>
      </c>
      <c r="M5079">
        <v>16.120515335488399</v>
      </c>
      <c r="N5079">
        <v>67.280263742635796</v>
      </c>
      <c r="O5079">
        <v>51.923528029062297</v>
      </c>
      <c r="P5079">
        <v>-3.9995111744390098E-2</v>
      </c>
      <c r="Q5079">
        <v>0.48474869659438402</v>
      </c>
      <c r="R5079">
        <v>0.99565465649693397</v>
      </c>
      <c r="S5079" t="s">
        <v>11695</v>
      </c>
      <c r="T5079" t="s">
        <v>13232</v>
      </c>
      <c r="U5079" t="s">
        <v>13232</v>
      </c>
      <c r="V5079" t="s">
        <v>13232</v>
      </c>
      <c r="W5079" t="s">
        <v>18244</v>
      </c>
      <c r="X5079">
        <v>6</v>
      </c>
      <c r="Y5079" t="s">
        <v>24647</v>
      </c>
      <c r="Z5079" t="s">
        <v>31210</v>
      </c>
      <c r="AA5079">
        <v>0.71321230575953265</v>
      </c>
      <c r="AB5079" t="str">
        <f>HYPERLINK("Melting_Curves/meltCurve_Q96MY1_C20orf112.pdf", "Melting_Curves/meltCurve_Q96MY1_C20orf112.pdf")</f>
        <v>Melting_Curves/meltCurve_Q96MY1_C20orf112.pdf</v>
      </c>
    </row>
    <row r="5080" spans="1:28" x14ac:dyDescent="0.25">
      <c r="A5080" t="s">
        <v>5083</v>
      </c>
      <c r="B5080">
        <v>0.99930955844802105</v>
      </c>
      <c r="C5080">
        <v>1.2498311379723199</v>
      </c>
      <c r="D5080">
        <v>1.31399983922126</v>
      </c>
      <c r="E5080">
        <v>1.4149535840013301</v>
      </c>
      <c r="F5080">
        <v>1.2646337586117</v>
      </c>
      <c r="G5080">
        <v>0.89893348877439005</v>
      </c>
      <c r="H5080">
        <v>1.0902002022346799</v>
      </c>
      <c r="I5080">
        <v>1.22200549247854</v>
      </c>
      <c r="J5080">
        <v>1.17918876786775</v>
      </c>
      <c r="K5080">
        <v>0.92634423317754999</v>
      </c>
      <c r="L5080">
        <v>10259.776352408</v>
      </c>
      <c r="M5080">
        <v>250</v>
      </c>
      <c r="O5080">
        <v>41.0364721382889</v>
      </c>
      <c r="P5080">
        <v>0.26400815096990099</v>
      </c>
      <c r="Q5080">
        <v>1.1733434397229301</v>
      </c>
      <c r="R5080">
        <v>0.102770591490093</v>
      </c>
      <c r="S5080" t="s">
        <v>11696</v>
      </c>
      <c r="T5080" t="s">
        <v>13232</v>
      </c>
      <c r="U5080" t="s">
        <v>13232</v>
      </c>
      <c r="V5080" t="s">
        <v>13232</v>
      </c>
      <c r="W5080" t="s">
        <v>18245</v>
      </c>
      <c r="X5080">
        <v>3</v>
      </c>
      <c r="Y5080" t="s">
        <v>24648</v>
      </c>
      <c r="Z5080" t="s">
        <v>31211</v>
      </c>
      <c r="AA5080">
        <v>1.1673255340069759</v>
      </c>
      <c r="AB5080" t="str">
        <f>HYPERLINK("Melting_Curves/meltCurve_Q96N06_C16orf55.pdf", "Melting_Curves/meltCurve_Q96N06_C16orf55.pdf")</f>
        <v>Melting_Curves/meltCurve_Q96N06_C16orf55.pdf</v>
      </c>
    </row>
    <row r="5081" spans="1:28" x14ac:dyDescent="0.25">
      <c r="A5081" t="s">
        <v>5084</v>
      </c>
      <c r="B5081">
        <v>0.99930955844802105</v>
      </c>
      <c r="C5081">
        <v>1.01153891550782</v>
      </c>
      <c r="D5081">
        <v>0.96453789440895499</v>
      </c>
      <c r="E5081">
        <v>0.81904995817026804</v>
      </c>
      <c r="F5081">
        <v>0.68232927156293399</v>
      </c>
      <c r="G5081">
        <v>0.53326197345172099</v>
      </c>
      <c r="H5081">
        <v>0.42281586215438599</v>
      </c>
      <c r="I5081">
        <v>0.45543573028468398</v>
      </c>
      <c r="J5081">
        <v>0.40638617253959097</v>
      </c>
      <c r="K5081">
        <v>0.34228653059276698</v>
      </c>
      <c r="L5081">
        <v>849.05787296146195</v>
      </c>
      <c r="M5081">
        <v>16.0049934790359</v>
      </c>
      <c r="N5081">
        <v>57.966114345382699</v>
      </c>
      <c r="O5081">
        <v>52.242110987199098</v>
      </c>
      <c r="P5081">
        <v>-4.8152436019708401E-2</v>
      </c>
      <c r="Q5081">
        <v>0.37134923043092299</v>
      </c>
      <c r="R5081">
        <v>0.99156501023972698</v>
      </c>
      <c r="S5081" t="s">
        <v>11697</v>
      </c>
      <c r="T5081" t="s">
        <v>13232</v>
      </c>
      <c r="U5081" t="s">
        <v>13232</v>
      </c>
      <c r="V5081" t="s">
        <v>13232</v>
      </c>
      <c r="W5081" t="s">
        <v>18246</v>
      </c>
      <c r="X5081">
        <v>10</v>
      </c>
      <c r="Y5081" t="s">
        <v>24649</v>
      </c>
      <c r="Z5081" t="s">
        <v>31212</v>
      </c>
      <c r="AA5081">
        <v>0.65711176704286844</v>
      </c>
      <c r="AB5081" t="str">
        <f>HYPERLINK("Melting_Curves/meltCurve_Q96N21_2_ENTHD2.pdf", "Melting_Curves/meltCurve_Q96N21_2_ENTHD2.pdf")</f>
        <v>Melting_Curves/meltCurve_Q96N21_2_ENTHD2.pdf</v>
      </c>
    </row>
    <row r="5082" spans="1:28" x14ac:dyDescent="0.25">
      <c r="A5082" t="s">
        <v>5085</v>
      </c>
      <c r="B5082">
        <v>0.99930955844802105</v>
      </c>
      <c r="C5082">
        <v>0.876846245570156</v>
      </c>
      <c r="D5082">
        <v>0.71376472852140205</v>
      </c>
      <c r="E5082">
        <v>0.83823381404957298</v>
      </c>
      <c r="F5082">
        <v>0.426886673656585</v>
      </c>
      <c r="G5082">
        <v>0.204511131327511</v>
      </c>
      <c r="H5082">
        <v>0.12781177290106199</v>
      </c>
      <c r="I5082">
        <v>0.10996838799794501</v>
      </c>
      <c r="J5082">
        <v>9.8287877661783804E-2</v>
      </c>
      <c r="K5082">
        <v>7.8104432312038397E-2</v>
      </c>
      <c r="L5082">
        <v>663.37988888450195</v>
      </c>
      <c r="M5082">
        <v>12.690701875714799</v>
      </c>
      <c r="N5082">
        <v>52.417938617863797</v>
      </c>
      <c r="O5082">
        <v>51.025938792394598</v>
      </c>
      <c r="P5082">
        <v>-6.11168509044695E-2</v>
      </c>
      <c r="Q5082">
        <v>1.7252218691225799E-2</v>
      </c>
      <c r="R5082">
        <v>0.945136016111498</v>
      </c>
      <c r="S5082" t="s">
        <v>11698</v>
      </c>
      <c r="T5082" t="s">
        <v>13232</v>
      </c>
      <c r="U5082" t="s">
        <v>13232</v>
      </c>
      <c r="V5082" t="s">
        <v>13232</v>
      </c>
      <c r="W5082" t="s">
        <v>18247</v>
      </c>
      <c r="X5082">
        <v>4</v>
      </c>
      <c r="Y5082" t="s">
        <v>24650</v>
      </c>
      <c r="Z5082" t="s">
        <v>31213</v>
      </c>
      <c r="AA5082">
        <v>0.44678231417990327</v>
      </c>
      <c r="AB5082" t="str">
        <f>HYPERLINK("Melting_Curves/meltCurve_Q96N66_2_MBOAT7.pdf", "Melting_Curves/meltCurve_Q96N66_2_MBOAT7.pdf")</f>
        <v>Melting_Curves/meltCurve_Q96N66_2_MBOAT7.pdf</v>
      </c>
    </row>
    <row r="5083" spans="1:28" x14ac:dyDescent="0.25">
      <c r="A5083" t="s">
        <v>5086</v>
      </c>
      <c r="B5083">
        <v>0.99930955844802105</v>
      </c>
      <c r="C5083">
        <v>0.73783101144278296</v>
      </c>
      <c r="D5083">
        <v>0.59915172865112598</v>
      </c>
      <c r="E5083">
        <v>0.30287537501546802</v>
      </c>
      <c r="F5083">
        <v>0.18447999710941601</v>
      </c>
      <c r="G5083">
        <v>0.153317239007492</v>
      </c>
      <c r="H5083">
        <v>0.11140186797012901</v>
      </c>
      <c r="I5083">
        <v>0.111702087081061</v>
      </c>
      <c r="J5083">
        <v>0.10602827912339099</v>
      </c>
      <c r="K5083">
        <v>8.9531249477052696E-2</v>
      </c>
      <c r="L5083">
        <v>746.32046123414398</v>
      </c>
      <c r="M5083">
        <v>16.132199897947299</v>
      </c>
      <c r="N5083">
        <v>46.886089307268001</v>
      </c>
      <c r="O5083">
        <v>45.569419564523997</v>
      </c>
      <c r="P5083">
        <v>-7.9967821470618095E-2</v>
      </c>
      <c r="Q5083">
        <v>9.6512437154690295E-2</v>
      </c>
      <c r="R5083">
        <v>0.98947215351906304</v>
      </c>
      <c r="S5083" t="s">
        <v>11699</v>
      </c>
      <c r="T5083" t="s">
        <v>13232</v>
      </c>
      <c r="U5083" t="s">
        <v>13232</v>
      </c>
      <c r="V5083" t="s">
        <v>13232</v>
      </c>
      <c r="W5083" t="s">
        <v>18248</v>
      </c>
      <c r="X5083">
        <v>9</v>
      </c>
      <c r="Y5083" t="s">
        <v>24651</v>
      </c>
      <c r="Z5083" t="s">
        <v>31214</v>
      </c>
      <c r="AA5083">
        <v>0.30725683458749009</v>
      </c>
      <c r="AB5083" t="str">
        <f>HYPERLINK("Melting_Curves/meltCurve_Q96N67_4_DOCK7.pdf", "Melting_Curves/meltCurve_Q96N67_4_DOCK7.pdf")</f>
        <v>Melting_Curves/meltCurve_Q96N67_4_DOCK7.pdf</v>
      </c>
    </row>
    <row r="5084" spans="1:28" x14ac:dyDescent="0.25">
      <c r="A5084" t="s">
        <v>5087</v>
      </c>
      <c r="B5084">
        <v>0.99930955844802105</v>
      </c>
      <c r="C5084">
        <v>1.0573248890051099</v>
      </c>
      <c r="D5084">
        <v>0.99386398442801505</v>
      </c>
      <c r="E5084">
        <v>0.91041284547753698</v>
      </c>
      <c r="F5084">
        <v>0.74813601918616002</v>
      </c>
      <c r="G5084">
        <v>0.463362311942</v>
      </c>
      <c r="H5084">
        <v>0.352848485825904</v>
      </c>
      <c r="I5084">
        <v>0.38072609577630001</v>
      </c>
      <c r="J5084">
        <v>0.37384833951469398</v>
      </c>
      <c r="K5084">
        <v>0.28105049610690902</v>
      </c>
      <c r="L5084">
        <v>1364.9002633436401</v>
      </c>
      <c r="M5084">
        <v>25.3034838715974</v>
      </c>
      <c r="N5084">
        <v>56.3869688372017</v>
      </c>
      <c r="O5084">
        <v>53.607663466540799</v>
      </c>
      <c r="P5084">
        <v>-7.86910453643061E-2</v>
      </c>
      <c r="Q5084">
        <v>0.33315271914762801</v>
      </c>
      <c r="R5084">
        <v>0.98960402884959897</v>
      </c>
      <c r="S5084" t="s">
        <v>11700</v>
      </c>
      <c r="T5084" t="s">
        <v>13232</v>
      </c>
      <c r="U5084" t="s">
        <v>13232</v>
      </c>
      <c r="V5084" t="s">
        <v>13232</v>
      </c>
      <c r="W5084" t="s">
        <v>18249</v>
      </c>
      <c r="X5084">
        <v>15</v>
      </c>
      <c r="Y5084" t="s">
        <v>24652</v>
      </c>
      <c r="Z5084" t="s">
        <v>31215</v>
      </c>
      <c r="AA5084">
        <v>0.649076166978934</v>
      </c>
      <c r="AB5084" t="str">
        <f>HYPERLINK("Melting_Curves/meltCurve_Q96NA2_RILP.pdf", "Melting_Curves/meltCurve_Q96NA2_RILP.pdf")</f>
        <v>Melting_Curves/meltCurve_Q96NA2_RILP.pdf</v>
      </c>
    </row>
    <row r="5085" spans="1:28" x14ac:dyDescent="0.25">
      <c r="A5085" t="s">
        <v>5088</v>
      </c>
      <c r="B5085">
        <v>0.99930955844802105</v>
      </c>
      <c r="C5085">
        <v>0.921410296632032</v>
      </c>
      <c r="D5085">
        <v>0.93931813055333802</v>
      </c>
      <c r="E5085">
        <v>0.75572560975396696</v>
      </c>
      <c r="F5085">
        <v>0.54555508809941899</v>
      </c>
      <c r="G5085">
        <v>0.252629811800895</v>
      </c>
      <c r="H5085">
        <v>0.115741228311509</v>
      </c>
      <c r="I5085">
        <v>8.7499507265217394E-2</v>
      </c>
      <c r="J5085">
        <v>7.1874112558209399E-2</v>
      </c>
      <c r="K5085">
        <v>5.0087644831107198E-2</v>
      </c>
      <c r="L5085">
        <v>913.14801286528098</v>
      </c>
      <c r="M5085">
        <v>17.176662420846998</v>
      </c>
      <c r="N5085">
        <v>53.3798549304434</v>
      </c>
      <c r="O5085">
        <v>52.457256394170898</v>
      </c>
      <c r="P5085">
        <v>-7.9095771182022795E-2</v>
      </c>
      <c r="Q5085">
        <v>3.3828373165611603E-2</v>
      </c>
      <c r="R5085">
        <v>0.99673969907517501</v>
      </c>
      <c r="S5085" t="s">
        <v>11701</v>
      </c>
      <c r="T5085" t="s">
        <v>13232</v>
      </c>
      <c r="U5085" t="s">
        <v>13232</v>
      </c>
      <c r="V5085" t="s">
        <v>13232</v>
      </c>
      <c r="W5085" t="s">
        <v>18250</v>
      </c>
      <c r="X5085">
        <v>3</v>
      </c>
      <c r="Y5085" t="s">
        <v>24653</v>
      </c>
      <c r="Z5085" t="s">
        <v>31216</v>
      </c>
      <c r="AA5085">
        <v>0.47468658052461382</v>
      </c>
      <c r="AB5085" t="str">
        <f>HYPERLINK("Melting_Curves/meltCurve_Q96NB1_FOPNL.pdf", "Melting_Curves/meltCurve_Q96NB1_FOPNL.pdf")</f>
        <v>Melting_Curves/meltCurve_Q96NB1_FOPNL.pdf</v>
      </c>
    </row>
    <row r="5086" spans="1:28" x14ac:dyDescent="0.25">
      <c r="A5086" t="s">
        <v>5089</v>
      </c>
      <c r="B5086">
        <v>0.99930955844802105</v>
      </c>
      <c r="C5086">
        <v>0.96814855328386296</v>
      </c>
      <c r="D5086">
        <v>0.94653507120571001</v>
      </c>
      <c r="E5086">
        <v>0.873330143748559</v>
      </c>
      <c r="F5086">
        <v>0.68875017244130499</v>
      </c>
      <c r="G5086">
        <v>0.53585400089037705</v>
      </c>
      <c r="H5086">
        <v>0.49078157481451801</v>
      </c>
      <c r="I5086">
        <v>0.46875093239019999</v>
      </c>
      <c r="J5086">
        <v>0.45236919221843103</v>
      </c>
      <c r="K5086">
        <v>0.37467103644998101</v>
      </c>
      <c r="L5086">
        <v>879.15211329558304</v>
      </c>
      <c r="M5086">
        <v>16.576499807910899</v>
      </c>
      <c r="N5086">
        <v>59.231379765423</v>
      </c>
      <c r="O5086">
        <v>52.282225274372401</v>
      </c>
      <c r="P5086">
        <v>-4.6634805732650601E-2</v>
      </c>
      <c r="Q5086">
        <v>0.41169606131539699</v>
      </c>
      <c r="R5086">
        <v>0.98921241795929205</v>
      </c>
      <c r="S5086" t="s">
        <v>11702</v>
      </c>
      <c r="T5086" t="s">
        <v>13232</v>
      </c>
      <c r="U5086" t="s">
        <v>13232</v>
      </c>
      <c r="V5086" t="s">
        <v>13232</v>
      </c>
      <c r="W5086" t="s">
        <v>18251</v>
      </c>
      <c r="X5086">
        <v>11</v>
      </c>
      <c r="Y5086" t="s">
        <v>24654</v>
      </c>
      <c r="Z5086" t="s">
        <v>31217</v>
      </c>
      <c r="AA5086">
        <v>0.67827367108098913</v>
      </c>
      <c r="AB5086" t="str">
        <f>HYPERLINK("Melting_Curves/meltCurve_Q96NB3_ZNF830.pdf", "Melting_Curves/meltCurve_Q96NB3_ZNF830.pdf")</f>
        <v>Melting_Curves/meltCurve_Q96NB3_ZNF830.pdf</v>
      </c>
    </row>
    <row r="5087" spans="1:28" x14ac:dyDescent="0.25">
      <c r="A5087" t="s">
        <v>5090</v>
      </c>
      <c r="B5087">
        <v>0.99930955844802105</v>
      </c>
      <c r="C5087">
        <v>1.2006318007882899</v>
      </c>
      <c r="D5087">
        <v>1.1225950778796301</v>
      </c>
      <c r="E5087">
        <v>1.1818607640475001</v>
      </c>
      <c r="F5087">
        <v>1.05847601599497</v>
      </c>
      <c r="G5087">
        <v>0.98093619203262605</v>
      </c>
      <c r="H5087">
        <v>1.1980226325149199</v>
      </c>
      <c r="I5087">
        <v>1.44220441662957</v>
      </c>
      <c r="J5087">
        <v>1.5980654413978701</v>
      </c>
      <c r="K5087">
        <v>1.1518788591161999</v>
      </c>
      <c r="L5087">
        <v>343.81956094749199</v>
      </c>
      <c r="M5087">
        <v>5.6885298459208897</v>
      </c>
      <c r="O5087">
        <v>54.216954870869998</v>
      </c>
      <c r="P5087">
        <v>1.3166509271657099E-2</v>
      </c>
      <c r="Q5087">
        <v>1.5</v>
      </c>
      <c r="R5087">
        <v>0.29786730566455499</v>
      </c>
      <c r="S5087" t="s">
        <v>11703</v>
      </c>
      <c r="T5087" t="s">
        <v>13232</v>
      </c>
      <c r="U5087" t="s">
        <v>13232</v>
      </c>
      <c r="V5087" t="s">
        <v>13232</v>
      </c>
      <c r="W5087" t="s">
        <v>18252</v>
      </c>
      <c r="X5087">
        <v>14</v>
      </c>
      <c r="Y5087" t="s">
        <v>24655</v>
      </c>
      <c r="Z5087" t="s">
        <v>31218</v>
      </c>
      <c r="AA5087">
        <v>1.181282143569351</v>
      </c>
      <c r="AB5087" t="str">
        <f>HYPERLINK("Melting_Curves/meltCurve_Q96NC0_ZMAT2.pdf", "Melting_Curves/meltCurve_Q96NC0_ZMAT2.pdf")</f>
        <v>Melting_Curves/meltCurve_Q96NC0_ZMAT2.pdf</v>
      </c>
    </row>
    <row r="5088" spans="1:28" x14ac:dyDescent="0.25">
      <c r="A5088" t="s">
        <v>5091</v>
      </c>
      <c r="B5088">
        <v>0.99930955844802105</v>
      </c>
      <c r="C5088">
        <v>1.0626715208433499</v>
      </c>
      <c r="D5088">
        <v>1.0318217150940701</v>
      </c>
      <c r="E5088">
        <v>0.86975303367560897</v>
      </c>
      <c r="F5088">
        <v>0.65216335096656897</v>
      </c>
      <c r="G5088">
        <v>0.47023675564991801</v>
      </c>
      <c r="H5088">
        <v>0.48550971146287503</v>
      </c>
      <c r="I5088">
        <v>0.47571694895495398</v>
      </c>
      <c r="J5088">
        <v>0.51490403982553201</v>
      </c>
      <c r="K5088">
        <v>0.43001217909466499</v>
      </c>
      <c r="L5088">
        <v>1784.14656950003</v>
      </c>
      <c r="M5088">
        <v>34.422388654054998</v>
      </c>
      <c r="N5088">
        <v>56.527909214606503</v>
      </c>
      <c r="O5088">
        <v>51.656999095234603</v>
      </c>
      <c r="P5088">
        <v>-8.8065341284802701E-2</v>
      </c>
      <c r="Q5088">
        <v>0.471370315752485</v>
      </c>
      <c r="R5088">
        <v>0.98371800140885302</v>
      </c>
      <c r="S5088" t="s">
        <v>11704</v>
      </c>
      <c r="T5088" t="s">
        <v>13232</v>
      </c>
      <c r="U5088" t="s">
        <v>13232</v>
      </c>
      <c r="V5088" t="s">
        <v>13232</v>
      </c>
      <c r="W5088" t="s">
        <v>18253</v>
      </c>
      <c r="X5088">
        <v>5</v>
      </c>
      <c r="Y5088" t="s">
        <v>24656</v>
      </c>
      <c r="Z5088" t="s">
        <v>31219</v>
      </c>
      <c r="AA5088">
        <v>0.68240393539978916</v>
      </c>
      <c r="AB5088" t="str">
        <f>HYPERLINK("Melting_Curves/meltCurve_Q96NL8_C8orf37.pdf", "Melting_Curves/meltCurve_Q96NL8_C8orf37.pdf")</f>
        <v>Melting_Curves/meltCurve_Q96NL8_C8orf37.pdf</v>
      </c>
    </row>
    <row r="5089" spans="1:28" x14ac:dyDescent="0.25">
      <c r="A5089" t="s">
        <v>5092</v>
      </c>
      <c r="B5089">
        <v>0.99930955844802105</v>
      </c>
      <c r="C5089">
        <v>1.28872512539733</v>
      </c>
      <c r="D5089">
        <v>0.95370751588039304</v>
      </c>
      <c r="E5089">
        <v>1.37623087735394</v>
      </c>
      <c r="F5089">
        <v>1.53591470718042</v>
      </c>
      <c r="G5089">
        <v>1.88443532332768</v>
      </c>
      <c r="H5089">
        <v>2.4711791643666601</v>
      </c>
      <c r="I5089">
        <v>3.8224453304455901</v>
      </c>
      <c r="J5089">
        <v>3.9739644196254802</v>
      </c>
      <c r="K5089">
        <v>2.77214700121917</v>
      </c>
      <c r="L5089">
        <v>12444.4107219773</v>
      </c>
      <c r="M5089">
        <v>250</v>
      </c>
      <c r="O5089">
        <v>49.774457435263699</v>
      </c>
      <c r="P5089">
        <v>0.627832057610896</v>
      </c>
      <c r="Q5089">
        <v>1.5</v>
      </c>
      <c r="R5089">
        <v>-0.28463143207568098</v>
      </c>
      <c r="S5089" t="s">
        <v>11705</v>
      </c>
      <c r="T5089" t="s">
        <v>13232</v>
      </c>
      <c r="U5089" t="s">
        <v>13232</v>
      </c>
      <c r="V5089" t="s">
        <v>13232</v>
      </c>
      <c r="W5089" t="s">
        <v>18254</v>
      </c>
      <c r="X5089">
        <v>3</v>
      </c>
      <c r="Y5089" t="s">
        <v>24657</v>
      </c>
      <c r="Z5089" t="s">
        <v>31220</v>
      </c>
      <c r="AA5089">
        <v>1.336995605707235</v>
      </c>
      <c r="AB5089" t="str">
        <f>HYPERLINK("Melting_Curves/meltCurve_Q96NT1_NAP1L5.pdf", "Melting_Curves/meltCurve_Q96NT1_NAP1L5.pdf")</f>
        <v>Melting_Curves/meltCurve_Q96NT1_NAP1L5.pdf</v>
      </c>
    </row>
    <row r="5090" spans="1:28" x14ac:dyDescent="0.25">
      <c r="A5090" t="s">
        <v>5093</v>
      </c>
      <c r="B5090">
        <v>0.99930955844802105</v>
      </c>
      <c r="C5090">
        <v>0.88645025270240996</v>
      </c>
      <c r="D5090">
        <v>0.80108590438560801</v>
      </c>
      <c r="E5090">
        <v>0.711189798153958</v>
      </c>
      <c r="F5090">
        <v>0.57056867154979196</v>
      </c>
      <c r="G5090">
        <v>0.43020298611449198</v>
      </c>
      <c r="H5090">
        <v>0.32313571360070897</v>
      </c>
      <c r="I5090">
        <v>0.186965107593593</v>
      </c>
      <c r="J5090">
        <v>0.132917507465629</v>
      </c>
      <c r="K5090">
        <v>0.10144375838905299</v>
      </c>
      <c r="L5090">
        <v>486.09437854789701</v>
      </c>
      <c r="M5090">
        <v>8.8980658920996394</v>
      </c>
      <c r="N5090">
        <v>54.629217625875498</v>
      </c>
      <c r="O5090">
        <v>52.081291542635803</v>
      </c>
      <c r="P5090">
        <v>-4.2744792203875899E-2</v>
      </c>
      <c r="Q5090">
        <v>0</v>
      </c>
      <c r="R5090">
        <v>0.99122679567095695</v>
      </c>
      <c r="S5090" t="s">
        <v>11706</v>
      </c>
      <c r="T5090" t="s">
        <v>13232</v>
      </c>
      <c r="U5090" t="s">
        <v>13232</v>
      </c>
      <c r="V5090" t="s">
        <v>13232</v>
      </c>
      <c r="W5090" t="s">
        <v>18255</v>
      </c>
      <c r="X5090">
        <v>17</v>
      </c>
      <c r="Y5090" t="s">
        <v>24658</v>
      </c>
      <c r="Z5090" t="s">
        <v>31221</v>
      </c>
      <c r="AA5090">
        <v>0.51656299238124836</v>
      </c>
      <c r="AB5090" t="str">
        <f>HYPERLINK("Melting_Curves/meltCurve_Q96P11_2_NSUN5.pdf", "Melting_Curves/meltCurve_Q96P11_2_NSUN5.pdf")</f>
        <v>Melting_Curves/meltCurve_Q96P11_2_NSUN5.pdf</v>
      </c>
    </row>
    <row r="5091" spans="1:28" x14ac:dyDescent="0.25">
      <c r="A5091" t="s">
        <v>5094</v>
      </c>
      <c r="B5091">
        <v>0.99930955844802105</v>
      </c>
      <c r="C5091">
        <v>0.94377705694499703</v>
      </c>
      <c r="D5091">
        <v>0.77172086745906998</v>
      </c>
      <c r="E5091">
        <v>0.36283675261445603</v>
      </c>
      <c r="F5091">
        <v>0.19653975798005599</v>
      </c>
      <c r="G5091">
        <v>0.130223931540419</v>
      </c>
      <c r="H5091">
        <v>8.7267447941315801E-2</v>
      </c>
      <c r="I5091">
        <v>7.9164617805643406E-2</v>
      </c>
      <c r="J5091">
        <v>6.8231848404302298E-2</v>
      </c>
      <c r="K5091">
        <v>5.1952177268577197E-2</v>
      </c>
      <c r="L5091">
        <v>1042.1259394056201</v>
      </c>
      <c r="M5091">
        <v>21.568836715468301</v>
      </c>
      <c r="N5091">
        <v>48.668529793719202</v>
      </c>
      <c r="O5091">
        <v>47.906704949021403</v>
      </c>
      <c r="P5091">
        <v>-0.10442482728359199</v>
      </c>
      <c r="Q5091">
        <v>7.2267351546761005E-2</v>
      </c>
      <c r="R5091">
        <v>0.99893684994753495</v>
      </c>
      <c r="S5091" t="s">
        <v>11707</v>
      </c>
      <c r="T5091" t="s">
        <v>13232</v>
      </c>
      <c r="U5091" t="s">
        <v>13232</v>
      </c>
      <c r="V5091" t="s">
        <v>13232</v>
      </c>
      <c r="W5091" t="s">
        <v>18256</v>
      </c>
      <c r="X5091">
        <v>11</v>
      </c>
      <c r="Y5091" t="s">
        <v>24659</v>
      </c>
      <c r="Z5091" t="s">
        <v>31222</v>
      </c>
      <c r="AA5091">
        <v>0.34062997244157089</v>
      </c>
      <c r="AB5091" t="str">
        <f>HYPERLINK("Melting_Curves/meltCurve_Q96P16_RPRD1A.pdf", "Melting_Curves/meltCurve_Q96P16_RPRD1A.pdf")</f>
        <v>Melting_Curves/meltCurve_Q96P16_RPRD1A.pdf</v>
      </c>
    </row>
    <row r="5092" spans="1:28" x14ac:dyDescent="0.25">
      <c r="A5092" t="s">
        <v>5095</v>
      </c>
      <c r="B5092">
        <v>0.99930955844802105</v>
      </c>
      <c r="C5092">
        <v>1.01854183028778</v>
      </c>
      <c r="D5092">
        <v>0.95778013934154205</v>
      </c>
      <c r="E5092">
        <v>0.84089221404790004</v>
      </c>
      <c r="F5092">
        <v>0.62435110854772002</v>
      </c>
      <c r="G5092">
        <v>0.28186049053684797</v>
      </c>
      <c r="H5092">
        <v>0.172589603170126</v>
      </c>
      <c r="I5092">
        <v>0.151720724112933</v>
      </c>
      <c r="J5092">
        <v>0.13215126937239699</v>
      </c>
      <c r="K5092">
        <v>0.106773645486426</v>
      </c>
      <c r="L5092">
        <v>1189.3955838469999</v>
      </c>
      <c r="M5092">
        <v>22.208811417626698</v>
      </c>
      <c r="N5092">
        <v>54.195265028269198</v>
      </c>
      <c r="O5092">
        <v>53.126577812834803</v>
      </c>
      <c r="P5092">
        <v>-9.2453565724661804E-2</v>
      </c>
      <c r="Q5092">
        <v>0.115371617509401</v>
      </c>
      <c r="R5092">
        <v>0.99868333989012903</v>
      </c>
      <c r="S5092" t="s">
        <v>11708</v>
      </c>
      <c r="T5092" t="s">
        <v>13232</v>
      </c>
      <c r="U5092" t="s">
        <v>13232</v>
      </c>
      <c r="V5092" t="s">
        <v>13232</v>
      </c>
      <c r="W5092" t="s">
        <v>18257</v>
      </c>
      <c r="X5092">
        <v>17</v>
      </c>
      <c r="Y5092" t="s">
        <v>24660</v>
      </c>
      <c r="Z5092" t="s">
        <v>31223</v>
      </c>
      <c r="AA5092">
        <v>0.52519703196576195</v>
      </c>
      <c r="AB5092" t="str">
        <f>HYPERLINK("Melting_Curves/meltCurve_Q96P47_AGAP3.pdf", "Melting_Curves/meltCurve_Q96P47_AGAP3.pdf")</f>
        <v>Melting_Curves/meltCurve_Q96P47_AGAP3.pdf</v>
      </c>
    </row>
    <row r="5093" spans="1:28" x14ac:dyDescent="0.25">
      <c r="A5093" t="s">
        <v>5096</v>
      </c>
      <c r="B5093">
        <v>0.99930955844802105</v>
      </c>
      <c r="C5093">
        <v>0.99985695098026295</v>
      </c>
      <c r="D5093">
        <v>0.62679502973460399</v>
      </c>
      <c r="E5093">
        <v>0.49524956836487499</v>
      </c>
      <c r="F5093">
        <v>0.28344644468062702</v>
      </c>
      <c r="G5093">
        <v>0.18272897112497999</v>
      </c>
      <c r="H5093">
        <v>0.121548345417721</v>
      </c>
      <c r="I5093">
        <v>0.118657489741852</v>
      </c>
      <c r="J5093">
        <v>0.100345468187793</v>
      </c>
      <c r="K5093">
        <v>7.8430272782353497E-2</v>
      </c>
      <c r="L5093">
        <v>751.72096371325904</v>
      </c>
      <c r="M5093">
        <v>15.4557360384583</v>
      </c>
      <c r="N5093">
        <v>49.254244356212602</v>
      </c>
      <c r="O5093">
        <v>47.844639610764197</v>
      </c>
      <c r="P5093">
        <v>-7.3656558409558801E-2</v>
      </c>
      <c r="Q5093">
        <v>8.8039847430805507E-2</v>
      </c>
      <c r="R5093">
        <v>0.97860080433806795</v>
      </c>
      <c r="S5093" t="s">
        <v>11709</v>
      </c>
      <c r="T5093" t="s">
        <v>13232</v>
      </c>
      <c r="U5093" t="s">
        <v>13232</v>
      </c>
      <c r="V5093" t="s">
        <v>13232</v>
      </c>
      <c r="W5093" t="s">
        <v>18258</v>
      </c>
      <c r="X5093">
        <v>39</v>
      </c>
      <c r="Y5093" t="s">
        <v>24661</v>
      </c>
      <c r="Z5093" t="s">
        <v>31224</v>
      </c>
      <c r="AA5093">
        <v>0.37213907888896192</v>
      </c>
      <c r="AB5093" t="str">
        <f>HYPERLINK("Melting_Curves/meltCurve_Q96P48_ARAP1.pdf", "Melting_Curves/meltCurve_Q96P48_ARAP1.pdf")</f>
        <v>Melting_Curves/meltCurve_Q96P48_ARAP1.pdf</v>
      </c>
    </row>
    <row r="5094" spans="1:28" x14ac:dyDescent="0.25">
      <c r="A5094" t="s">
        <v>5097</v>
      </c>
      <c r="B5094">
        <v>0.99930955844802105</v>
      </c>
      <c r="C5094">
        <v>1.0065700779183699</v>
      </c>
      <c r="D5094">
        <v>0.99796276640669102</v>
      </c>
      <c r="E5094">
        <v>1.0050972125623301</v>
      </c>
      <c r="F5094">
        <v>1.0576620695338701</v>
      </c>
      <c r="G5094">
        <v>0.63484307566977305</v>
      </c>
      <c r="H5094">
        <v>0.124565349727074</v>
      </c>
      <c r="I5094">
        <v>9.1933319807051106E-2</v>
      </c>
      <c r="J5094">
        <v>7.0155388853843495E-2</v>
      </c>
      <c r="K5094">
        <v>5.4674620569264303E-2</v>
      </c>
      <c r="L5094">
        <v>3290.3221752464701</v>
      </c>
      <c r="M5094">
        <v>57.278551227463701</v>
      </c>
      <c r="N5094">
        <v>57.610582850421302</v>
      </c>
      <c r="O5094">
        <v>57.374335042784203</v>
      </c>
      <c r="P5094">
        <v>-0.23055987968150099</v>
      </c>
      <c r="Q5094">
        <v>7.6218740874982704E-2</v>
      </c>
      <c r="R5094">
        <v>0.99723848355200195</v>
      </c>
      <c r="S5094" t="s">
        <v>11710</v>
      </c>
      <c r="T5094" t="s">
        <v>13232</v>
      </c>
      <c r="U5094" t="s">
        <v>13232</v>
      </c>
      <c r="V5094" t="s">
        <v>13232</v>
      </c>
      <c r="W5094" t="s">
        <v>18259</v>
      </c>
      <c r="X5094">
        <v>31</v>
      </c>
      <c r="Y5094" t="s">
        <v>24662</v>
      </c>
      <c r="Z5094" t="s">
        <v>31225</v>
      </c>
      <c r="AA5094">
        <v>0.61515340380063865</v>
      </c>
      <c r="AB5094" t="str">
        <f>HYPERLINK("Melting_Curves/meltCurve_Q96P70_IPO9.pdf", "Melting_Curves/meltCurve_Q96P70_IPO9.pdf")</f>
        <v>Melting_Curves/meltCurve_Q96P70_IPO9.pdf</v>
      </c>
    </row>
    <row r="5095" spans="1:28" x14ac:dyDescent="0.25">
      <c r="A5095" t="s">
        <v>5098</v>
      </c>
      <c r="B5095">
        <v>0.99930955844802105</v>
      </c>
      <c r="C5095">
        <v>0.88857364319354903</v>
      </c>
      <c r="D5095">
        <v>0.89090275764536997</v>
      </c>
      <c r="E5095">
        <v>0.77357347693394396</v>
      </c>
      <c r="F5095">
        <v>0.59587483401364405</v>
      </c>
      <c r="G5095">
        <v>0.49059202816667002</v>
      </c>
      <c r="H5095">
        <v>0.25555658804744702</v>
      </c>
      <c r="I5095">
        <v>0.23037353465197699</v>
      </c>
      <c r="J5095">
        <v>0.22340263868867499</v>
      </c>
      <c r="K5095">
        <v>0.116261342794205</v>
      </c>
      <c r="L5095">
        <v>527.47641021239599</v>
      </c>
      <c r="M5095">
        <v>9.4792832977559893</v>
      </c>
      <c r="N5095">
        <v>55.778461528286101</v>
      </c>
      <c r="O5095">
        <v>53.337500268514702</v>
      </c>
      <c r="P5095">
        <v>-4.3959332132579201E-2</v>
      </c>
      <c r="Q5095">
        <v>1.11981140073789E-2</v>
      </c>
      <c r="R5095">
        <v>0.98735959446461596</v>
      </c>
      <c r="S5095" t="s">
        <v>11711</v>
      </c>
      <c r="T5095" t="s">
        <v>13232</v>
      </c>
      <c r="U5095" t="s">
        <v>13232</v>
      </c>
      <c r="V5095" t="s">
        <v>13232</v>
      </c>
      <c r="W5095" t="s">
        <v>18260</v>
      </c>
      <c r="X5095">
        <v>3</v>
      </c>
      <c r="Y5095" t="s">
        <v>24663</v>
      </c>
      <c r="Z5095" t="s">
        <v>31226</v>
      </c>
      <c r="AA5095">
        <v>0.54957019877890534</v>
      </c>
      <c r="AB5095" t="str">
        <f>HYPERLINK("Melting_Curves/meltCurve_Q96PC3_3_AP1S3.pdf", "Melting_Curves/meltCurve_Q96PC3_3_AP1S3.pdf")</f>
        <v>Melting_Curves/meltCurve_Q96PC3_3_AP1S3.pdf</v>
      </c>
    </row>
    <row r="5096" spans="1:28" x14ac:dyDescent="0.25">
      <c r="A5096" t="s">
        <v>5099</v>
      </c>
      <c r="B5096">
        <v>0.99930955844802105</v>
      </c>
      <c r="C5096">
        <v>1.05291194311035</v>
      </c>
      <c r="D5096">
        <v>1.01052327643865</v>
      </c>
      <c r="E5096">
        <v>0.95972187446294599</v>
      </c>
      <c r="F5096">
        <v>0.96027063903891596</v>
      </c>
      <c r="G5096">
        <v>0.96412787232033603</v>
      </c>
      <c r="H5096">
        <v>0.99265927633159501</v>
      </c>
      <c r="I5096">
        <v>1.3595347253169601</v>
      </c>
      <c r="J5096">
        <v>1.0825810818757999</v>
      </c>
      <c r="K5096">
        <v>0.77935892651953997</v>
      </c>
      <c r="L5096">
        <v>15000</v>
      </c>
      <c r="M5096">
        <v>213.023726031438</v>
      </c>
      <c r="Q5096">
        <v>0</v>
      </c>
      <c r="R5096">
        <v>0.24304070961379501</v>
      </c>
      <c r="S5096" t="s">
        <v>11712</v>
      </c>
      <c r="T5096" t="s">
        <v>13232</v>
      </c>
      <c r="U5096" t="s">
        <v>13232</v>
      </c>
      <c r="V5096" t="s">
        <v>13232</v>
      </c>
      <c r="W5096" t="s">
        <v>18261</v>
      </c>
      <c r="X5096">
        <v>1</v>
      </c>
      <c r="Y5096" t="s">
        <v>24664</v>
      </c>
      <c r="Z5096" t="s">
        <v>31227</v>
      </c>
      <c r="AA5096">
        <v>0.99731228151346252</v>
      </c>
      <c r="AB5096" t="str">
        <f>HYPERLINK("Melting_Curves/meltCurve_Q96PG8_BBC3.pdf", "Melting_Curves/meltCurve_Q96PG8_BBC3.pdf")</f>
        <v>Melting_Curves/meltCurve_Q96PG8_BBC3.pdf</v>
      </c>
    </row>
    <row r="5097" spans="1:28" x14ac:dyDescent="0.25">
      <c r="A5097" t="s">
        <v>5100</v>
      </c>
      <c r="B5097">
        <v>0.99930955844802105</v>
      </c>
      <c r="C5097">
        <v>1.00862683549733</v>
      </c>
      <c r="D5097">
        <v>0.72765520927748495</v>
      </c>
      <c r="E5097">
        <v>0.56173047945098298</v>
      </c>
      <c r="F5097">
        <v>0.46684861732572902</v>
      </c>
      <c r="G5097">
        <v>0.41559261705530198</v>
      </c>
      <c r="H5097">
        <v>0.46274180979509399</v>
      </c>
      <c r="I5097">
        <v>0.52633885566540894</v>
      </c>
      <c r="J5097">
        <v>0.55396683331258001</v>
      </c>
      <c r="K5097">
        <v>0.43912952056891802</v>
      </c>
      <c r="L5097">
        <v>1725.1145202620201</v>
      </c>
      <c r="M5097">
        <v>37.4736575711676</v>
      </c>
      <c r="N5097">
        <v>50.693999836625302</v>
      </c>
      <c r="O5097">
        <v>45.904881316407</v>
      </c>
      <c r="P5097">
        <v>-0.10530171199079499</v>
      </c>
      <c r="Q5097">
        <v>0.48402691495273598</v>
      </c>
      <c r="R5097">
        <v>0.95733316691481396</v>
      </c>
      <c r="S5097" t="s">
        <v>11713</v>
      </c>
      <c r="T5097" t="s">
        <v>13232</v>
      </c>
      <c r="U5097" t="s">
        <v>13232</v>
      </c>
      <c r="V5097" t="s">
        <v>13232</v>
      </c>
      <c r="W5097" t="s">
        <v>18262</v>
      </c>
      <c r="X5097">
        <v>22</v>
      </c>
      <c r="Y5097" t="s">
        <v>24665</v>
      </c>
      <c r="Z5097" t="s">
        <v>31228</v>
      </c>
      <c r="AA5097">
        <v>0.58975704468749612</v>
      </c>
      <c r="AB5097" t="str">
        <f>HYPERLINK("Melting_Curves/meltCurve_Q96PK6_RBM14.pdf", "Melting_Curves/meltCurve_Q96PK6_RBM14.pdf")</f>
        <v>Melting_Curves/meltCurve_Q96PK6_RBM14.pdf</v>
      </c>
    </row>
    <row r="5098" spans="1:28" x14ac:dyDescent="0.25">
      <c r="A5098" t="s">
        <v>5101</v>
      </c>
      <c r="B5098">
        <v>0.99930955844802105</v>
      </c>
      <c r="C5098">
        <v>0.96016138149921304</v>
      </c>
      <c r="D5098">
        <v>0.84438770692833898</v>
      </c>
      <c r="E5098">
        <v>0.57950391488493203</v>
      </c>
      <c r="F5098">
        <v>0.33041670751128499</v>
      </c>
      <c r="G5098">
        <v>0.246324146347322</v>
      </c>
      <c r="H5098">
        <v>0.14220738910720199</v>
      </c>
      <c r="I5098">
        <v>0.123984392997076</v>
      </c>
      <c r="J5098">
        <v>0.124701954975382</v>
      </c>
      <c r="K5098">
        <v>8.9719711367234903E-2</v>
      </c>
      <c r="L5098">
        <v>860.48605465223795</v>
      </c>
      <c r="M5098">
        <v>17.1351060813926</v>
      </c>
      <c r="N5098">
        <v>50.909661877444101</v>
      </c>
      <c r="O5098">
        <v>49.548726177164497</v>
      </c>
      <c r="P5098">
        <v>-7.7479460671140393E-2</v>
      </c>
      <c r="Q5098">
        <v>0.103879804338326</v>
      </c>
      <c r="R5098">
        <v>0.99722771753338901</v>
      </c>
      <c r="S5098" t="s">
        <v>11714</v>
      </c>
      <c r="T5098" t="s">
        <v>13232</v>
      </c>
      <c r="U5098" t="s">
        <v>13232</v>
      </c>
      <c r="V5098" t="s">
        <v>13232</v>
      </c>
      <c r="W5098" t="s">
        <v>18263</v>
      </c>
      <c r="X5098">
        <v>12</v>
      </c>
      <c r="Y5098" t="s">
        <v>24666</v>
      </c>
      <c r="Z5098" t="s">
        <v>31229</v>
      </c>
      <c r="AA5098">
        <v>0.42579394224365208</v>
      </c>
      <c r="AB5098" t="str">
        <f>HYPERLINK("Melting_Curves/meltCurve_Q96PM5_RCHY1.pdf", "Melting_Curves/meltCurve_Q96PM5_RCHY1.pdf")</f>
        <v>Melting_Curves/meltCurve_Q96PM5_RCHY1.pdf</v>
      </c>
    </row>
    <row r="5099" spans="1:28" x14ac:dyDescent="0.25">
      <c r="A5099" t="s">
        <v>5102</v>
      </c>
      <c r="B5099">
        <v>0.99930955844802105</v>
      </c>
      <c r="C5099">
        <v>1.2753313146218299</v>
      </c>
      <c r="D5099">
        <v>1.1507655586247301</v>
      </c>
      <c r="E5099">
        <v>0.97448910785990495</v>
      </c>
      <c r="F5099">
        <v>0.83318734160167696</v>
      </c>
      <c r="G5099">
        <v>0.75267222139887202</v>
      </c>
      <c r="H5099">
        <v>0.76467567597782804</v>
      </c>
      <c r="I5099">
        <v>0.85163849288899796</v>
      </c>
      <c r="J5099">
        <v>0.87955974415693805</v>
      </c>
      <c r="K5099">
        <v>0.68950347869159301</v>
      </c>
      <c r="L5099">
        <v>3139.70969920057</v>
      </c>
      <c r="M5099">
        <v>60.617769953154401</v>
      </c>
      <c r="O5099">
        <v>51.738921560673496</v>
      </c>
      <c r="P5099">
        <v>-6.2146663262493497E-2</v>
      </c>
      <c r="Q5099">
        <v>0.78782458732056304</v>
      </c>
      <c r="R5099">
        <v>0.60174483665342704</v>
      </c>
      <c r="S5099" t="s">
        <v>11715</v>
      </c>
      <c r="T5099" t="s">
        <v>13232</v>
      </c>
      <c r="U5099" t="s">
        <v>13232</v>
      </c>
      <c r="V5099" t="s">
        <v>13232</v>
      </c>
      <c r="W5099" t="s">
        <v>18264</v>
      </c>
      <c r="X5099">
        <v>6</v>
      </c>
      <c r="Y5099" t="s">
        <v>24667</v>
      </c>
      <c r="Z5099" t="s">
        <v>31230</v>
      </c>
      <c r="AA5099">
        <v>0.87157554093613265</v>
      </c>
      <c r="AB5099" t="str">
        <f>HYPERLINK("Melting_Curves/meltCurve_Q96PM9_ZNF385A.pdf", "Melting_Curves/meltCurve_Q96PM9_ZNF385A.pdf")</f>
        <v>Melting_Curves/meltCurve_Q96PM9_ZNF385A.pdf</v>
      </c>
    </row>
    <row r="5100" spans="1:28" x14ac:dyDescent="0.25">
      <c r="A5100" t="s">
        <v>5103</v>
      </c>
      <c r="B5100">
        <v>0.99930955844802105</v>
      </c>
      <c r="C5100">
        <v>1.1558348560093501</v>
      </c>
      <c r="D5100">
        <v>0.897645939808149</v>
      </c>
      <c r="E5100">
        <v>1.0534596638602201</v>
      </c>
      <c r="F5100">
        <v>1.0294386917633001</v>
      </c>
      <c r="G5100">
        <v>0.80280205019575201</v>
      </c>
      <c r="H5100">
        <v>0.69168139903882297</v>
      </c>
      <c r="I5100">
        <v>0.75338686978093306</v>
      </c>
      <c r="J5100">
        <v>0.65278333447577597</v>
      </c>
      <c r="K5100">
        <v>0.58365928769783304</v>
      </c>
      <c r="L5100">
        <v>7134.3444078645798</v>
      </c>
      <c r="M5100">
        <v>125.56158738718599</v>
      </c>
      <c r="O5100">
        <v>56.805078100202699</v>
      </c>
      <c r="P5100">
        <v>-0.18215980565335399</v>
      </c>
      <c r="Q5100">
        <v>0.67035775922943697</v>
      </c>
      <c r="R5100">
        <v>0.84063595471805896</v>
      </c>
      <c r="S5100" t="s">
        <v>11716</v>
      </c>
      <c r="T5100" t="s">
        <v>13232</v>
      </c>
      <c r="U5100" t="s">
        <v>13232</v>
      </c>
      <c r="V5100" t="s">
        <v>13232</v>
      </c>
      <c r="W5100" t="s">
        <v>18265</v>
      </c>
      <c r="X5100">
        <v>1</v>
      </c>
      <c r="Y5100" t="s">
        <v>24668</v>
      </c>
      <c r="Z5100" t="s">
        <v>31231</v>
      </c>
      <c r="AA5100">
        <v>0.85530188462265799</v>
      </c>
      <c r="AB5100" t="str">
        <f>HYPERLINK("Melting_Curves/meltCurve_Q96PQ6_4_ZNF317.pdf", "Melting_Curves/meltCurve_Q96PQ6_4_ZNF317.pdf")</f>
        <v>Melting_Curves/meltCurve_Q96PQ6_4_ZNF317.pdf</v>
      </c>
    </row>
    <row r="5101" spans="1:28" x14ac:dyDescent="0.25">
      <c r="A5101" t="s">
        <v>5104</v>
      </c>
      <c r="B5101">
        <v>0.99930955844802105</v>
      </c>
      <c r="C5101">
        <v>1.09452668078371</v>
      </c>
      <c r="D5101">
        <v>1.16067632809433</v>
      </c>
      <c r="E5101">
        <v>1.1275511140478101</v>
      </c>
      <c r="F5101">
        <v>0.93851476328364802</v>
      </c>
      <c r="G5101">
        <v>0.89267298492243596</v>
      </c>
      <c r="H5101">
        <v>0.86235259660727903</v>
      </c>
      <c r="I5101">
        <v>1.0131947175913101</v>
      </c>
      <c r="J5101">
        <v>1.04659122428381</v>
      </c>
      <c r="K5101">
        <v>0.85525985101588298</v>
      </c>
      <c r="L5101">
        <v>13111.5773618649</v>
      </c>
      <c r="M5101">
        <v>250</v>
      </c>
      <c r="O5101">
        <v>52.442943729827697</v>
      </c>
      <c r="P5101">
        <v>-7.8642033697448599E-2</v>
      </c>
      <c r="Q5101">
        <v>0.93401247211978899</v>
      </c>
      <c r="R5101">
        <v>0.23529460244851699</v>
      </c>
      <c r="S5101" t="s">
        <v>11717</v>
      </c>
      <c r="T5101" t="s">
        <v>13232</v>
      </c>
      <c r="U5101" t="s">
        <v>13232</v>
      </c>
      <c r="V5101" t="s">
        <v>13232</v>
      </c>
      <c r="W5101" t="s">
        <v>18266</v>
      </c>
      <c r="X5101">
        <v>1</v>
      </c>
      <c r="Y5101" t="s">
        <v>24669</v>
      </c>
      <c r="Z5101" t="s">
        <v>31232</v>
      </c>
      <c r="AA5101">
        <v>0.96139525216297483</v>
      </c>
      <c r="AB5101" t="str">
        <f>HYPERLINK("Melting_Curves/meltCurve_Q96PU4_UHRF2.pdf", "Melting_Curves/meltCurve_Q96PU4_UHRF2.pdf")</f>
        <v>Melting_Curves/meltCurve_Q96PU4_UHRF2.pdf</v>
      </c>
    </row>
    <row r="5102" spans="1:28" x14ac:dyDescent="0.25">
      <c r="A5102" t="s">
        <v>5105</v>
      </c>
      <c r="B5102">
        <v>0.99930955844802105</v>
      </c>
      <c r="C5102">
        <v>0.89605569118935302</v>
      </c>
      <c r="D5102">
        <v>0.81390255204804296</v>
      </c>
      <c r="E5102">
        <v>0.52870223913268199</v>
      </c>
      <c r="F5102">
        <v>0.281232910820435</v>
      </c>
      <c r="G5102">
        <v>0.21003487206575899</v>
      </c>
      <c r="H5102">
        <v>0.149824530396751</v>
      </c>
      <c r="I5102">
        <v>0.160547767096517</v>
      </c>
      <c r="J5102">
        <v>0.132712667822489</v>
      </c>
      <c r="K5102">
        <v>0.102646462519043</v>
      </c>
      <c r="L5102">
        <v>854.05787095367805</v>
      </c>
      <c r="M5102">
        <v>17.3335002509885</v>
      </c>
      <c r="N5102">
        <v>50.065297154822098</v>
      </c>
      <c r="O5102">
        <v>48.630311518720902</v>
      </c>
      <c r="P5102">
        <v>-7.8413776833835394E-2</v>
      </c>
      <c r="Q5102">
        <v>0.12006968275454501</v>
      </c>
      <c r="R5102">
        <v>0.99502801768673499</v>
      </c>
      <c r="S5102" t="s">
        <v>11718</v>
      </c>
      <c r="T5102" t="s">
        <v>13232</v>
      </c>
      <c r="U5102" t="s">
        <v>13232</v>
      </c>
      <c r="V5102" t="s">
        <v>13232</v>
      </c>
      <c r="W5102" t="s">
        <v>18267</v>
      </c>
      <c r="X5102">
        <v>20</v>
      </c>
      <c r="Y5102" t="s">
        <v>24670</v>
      </c>
      <c r="Z5102" t="s">
        <v>31233</v>
      </c>
      <c r="AA5102">
        <v>0.40836036464322578</v>
      </c>
      <c r="AB5102" t="str">
        <f>HYPERLINK("Melting_Curves/meltCurve_Q96PU5_6_NEDD4L.pdf", "Melting_Curves/meltCurve_Q96PU5_6_NEDD4L.pdf")</f>
        <v>Melting_Curves/meltCurve_Q96PU5_6_NEDD4L.pdf</v>
      </c>
    </row>
    <row r="5103" spans="1:28" x14ac:dyDescent="0.25">
      <c r="A5103" t="s">
        <v>5106</v>
      </c>
      <c r="B5103">
        <v>0.99930955844802105</v>
      </c>
      <c r="C5103">
        <v>0.97901346091804797</v>
      </c>
      <c r="D5103">
        <v>0.95700577018314104</v>
      </c>
      <c r="E5103">
        <v>0.81408525905746998</v>
      </c>
      <c r="F5103">
        <v>0.599755154984697</v>
      </c>
      <c r="G5103">
        <v>0.389139198078781</v>
      </c>
      <c r="H5103">
        <v>0.22808205054147199</v>
      </c>
      <c r="I5103">
        <v>0.1843265459949</v>
      </c>
      <c r="J5103">
        <v>0.15841108169677101</v>
      </c>
      <c r="K5103">
        <v>0.119481596590666</v>
      </c>
      <c r="L5103">
        <v>859.12500582187499</v>
      </c>
      <c r="M5103">
        <v>15.9216638616242</v>
      </c>
      <c r="N5103">
        <v>54.821148154318401</v>
      </c>
      <c r="O5103">
        <v>53.1298069236137</v>
      </c>
      <c r="P5103">
        <v>-6.6630819986850401E-2</v>
      </c>
      <c r="Q5103">
        <v>0.11069619589542801</v>
      </c>
      <c r="R5103">
        <v>0.99909037004231005</v>
      </c>
      <c r="S5103" t="s">
        <v>11719</v>
      </c>
      <c r="T5103" t="s">
        <v>13232</v>
      </c>
      <c r="U5103" t="s">
        <v>13232</v>
      </c>
      <c r="V5103" t="s">
        <v>13232</v>
      </c>
      <c r="W5103" t="s">
        <v>18268</v>
      </c>
      <c r="X5103">
        <v>15</v>
      </c>
      <c r="Y5103" t="s">
        <v>24671</v>
      </c>
      <c r="Z5103" t="s">
        <v>31234</v>
      </c>
      <c r="AA5103">
        <v>0.54143878627561037</v>
      </c>
      <c r="AB5103" t="str">
        <f>HYPERLINK("Melting_Curves/meltCurve_Q96PU8_9_QKI.pdf", "Melting_Curves/meltCurve_Q96PU8_9_QKI.pdf")</f>
        <v>Melting_Curves/meltCurve_Q96PU8_9_QKI.pdf</v>
      </c>
    </row>
    <row r="5104" spans="1:28" x14ac:dyDescent="0.25">
      <c r="A5104" t="s">
        <v>5107</v>
      </c>
      <c r="B5104">
        <v>0.99930955844802105</v>
      </c>
      <c r="C5104">
        <v>1.00207573577793</v>
      </c>
      <c r="D5104">
        <v>0.96911963207016605</v>
      </c>
      <c r="E5104">
        <v>0.81824342496628999</v>
      </c>
      <c r="F5104">
        <v>0.48433270037884002</v>
      </c>
      <c r="G5104">
        <v>0.40736948095631798</v>
      </c>
      <c r="H5104">
        <v>0.37015570419349297</v>
      </c>
      <c r="I5104">
        <v>0.37688465658395598</v>
      </c>
      <c r="J5104">
        <v>0.37615138855143299</v>
      </c>
      <c r="K5104">
        <v>0.29155393087435699</v>
      </c>
      <c r="L5104">
        <v>1909.91236223024</v>
      </c>
      <c r="M5104">
        <v>37.334144618008303</v>
      </c>
      <c r="N5104">
        <v>52.958632509083898</v>
      </c>
      <c r="O5104">
        <v>51.0111472695488</v>
      </c>
      <c r="P5104">
        <v>-0.117179399411761</v>
      </c>
      <c r="Q5104">
        <v>0.35957403554442202</v>
      </c>
      <c r="R5104">
        <v>0.99112427572362105</v>
      </c>
      <c r="S5104" t="s">
        <v>11720</v>
      </c>
      <c r="T5104" t="s">
        <v>13232</v>
      </c>
      <c r="U5104" t="s">
        <v>13232</v>
      </c>
      <c r="V5104" t="s">
        <v>13232</v>
      </c>
      <c r="W5104" t="s">
        <v>18269</v>
      </c>
      <c r="X5104">
        <v>23</v>
      </c>
      <c r="Y5104" t="s">
        <v>24672</v>
      </c>
      <c r="Z5104" t="s">
        <v>31235</v>
      </c>
      <c r="AA5104">
        <v>0.60035563483855314</v>
      </c>
      <c r="AB5104" t="str">
        <f>HYPERLINK("Melting_Curves/meltCurve_Q96PV6_2_LENG8.pdf", "Melting_Curves/meltCurve_Q96PV6_2_LENG8.pdf")</f>
        <v>Melting_Curves/meltCurve_Q96PV6_2_LENG8.pdf</v>
      </c>
    </row>
    <row r="5105" spans="1:28" x14ac:dyDescent="0.25">
      <c r="A5105" t="s">
        <v>5108</v>
      </c>
      <c r="B5105">
        <v>0.99930955844802105</v>
      </c>
      <c r="C5105">
        <v>0.61479788410498604</v>
      </c>
      <c r="D5105">
        <v>0.29543520098672699</v>
      </c>
      <c r="E5105">
        <v>0.23901988733624099</v>
      </c>
      <c r="F5105">
        <v>9.5666180303701095E-2</v>
      </c>
      <c r="G5105">
        <v>3.4099245409879603E-2</v>
      </c>
      <c r="H5105">
        <v>4.86754332916065E-2</v>
      </c>
      <c r="I5105">
        <v>0</v>
      </c>
      <c r="J5105">
        <v>0</v>
      </c>
      <c r="K5105">
        <v>0</v>
      </c>
      <c r="L5105">
        <v>851.31431974297095</v>
      </c>
      <c r="M5105">
        <v>19.224733727676998</v>
      </c>
      <c r="N5105">
        <v>44.4233288993792</v>
      </c>
      <c r="O5105">
        <v>43.811454839833203</v>
      </c>
      <c r="P5105">
        <v>-0.106457245479895</v>
      </c>
      <c r="Q5105">
        <v>2.9610645964549102E-2</v>
      </c>
      <c r="R5105">
        <v>0.96643247628759299</v>
      </c>
      <c r="S5105" t="s">
        <v>11721</v>
      </c>
      <c r="T5105" t="s">
        <v>13232</v>
      </c>
      <c r="U5105" t="s">
        <v>13232</v>
      </c>
      <c r="V5105" t="s">
        <v>13232</v>
      </c>
      <c r="W5105" t="s">
        <v>18270</v>
      </c>
      <c r="X5105">
        <v>4</v>
      </c>
      <c r="Y5105" t="s">
        <v>24673</v>
      </c>
      <c r="Z5105" t="s">
        <v>31236</v>
      </c>
      <c r="AA5105">
        <v>0.18788895849407261</v>
      </c>
      <c r="AB5105" t="str">
        <f>HYPERLINK("Melting_Curves/meltCurve_Q96PY5_FMNL2.pdf", "Melting_Curves/meltCurve_Q96PY5_FMNL2.pdf")</f>
        <v>Melting_Curves/meltCurve_Q96PY5_FMNL2.pdf</v>
      </c>
    </row>
    <row r="5106" spans="1:28" x14ac:dyDescent="0.25">
      <c r="A5106" t="s">
        <v>5109</v>
      </c>
      <c r="B5106">
        <v>0.99930955844802105</v>
      </c>
      <c r="C5106">
        <v>0.988177906484353</v>
      </c>
      <c r="D5106">
        <v>0.949539370292106</v>
      </c>
      <c r="E5106">
        <v>0.76388363689790095</v>
      </c>
      <c r="F5106">
        <v>0.61843170846843298</v>
      </c>
      <c r="G5106">
        <v>0.50941068573630399</v>
      </c>
      <c r="H5106">
        <v>0.46761254345457798</v>
      </c>
      <c r="I5106">
        <v>0.47773267562830102</v>
      </c>
      <c r="J5106">
        <v>0.51269240606520305</v>
      </c>
      <c r="K5106">
        <v>0.39261563047466602</v>
      </c>
      <c r="L5106">
        <v>1032.5782658056801</v>
      </c>
      <c r="M5106">
        <v>20.339134882595499</v>
      </c>
      <c r="N5106">
        <v>57.576797424319999</v>
      </c>
      <c r="O5106">
        <v>50.284903808236898</v>
      </c>
      <c r="P5106">
        <v>-5.5124251868297398E-2</v>
      </c>
      <c r="Q5106">
        <v>0.45487659719484702</v>
      </c>
      <c r="R5106">
        <v>0.98534890454690105</v>
      </c>
      <c r="S5106" t="s">
        <v>11722</v>
      </c>
      <c r="T5106" t="s">
        <v>13232</v>
      </c>
      <c r="U5106" t="s">
        <v>13232</v>
      </c>
      <c r="V5106" t="s">
        <v>13232</v>
      </c>
      <c r="W5106" t="s">
        <v>18271</v>
      </c>
      <c r="X5106">
        <v>24</v>
      </c>
      <c r="Y5106" t="s">
        <v>24674</v>
      </c>
      <c r="Z5106" t="s">
        <v>31237</v>
      </c>
      <c r="AA5106">
        <v>0.65787459260065717</v>
      </c>
      <c r="AB5106" t="str">
        <f>HYPERLINK("Melting_Curves/meltCurve_Q96PY6_2_NEK1.pdf", "Melting_Curves/meltCurve_Q96PY6_2_NEK1.pdf")</f>
        <v>Melting_Curves/meltCurve_Q96PY6_2_NEK1.pdf</v>
      </c>
    </row>
    <row r="5107" spans="1:28" x14ac:dyDescent="0.25">
      <c r="A5107" t="s">
        <v>5110</v>
      </c>
      <c r="B5107">
        <v>0.99930955844802105</v>
      </c>
      <c r="C5107">
        <v>0.97991631699398696</v>
      </c>
      <c r="D5107">
        <v>0.96180270632392995</v>
      </c>
      <c r="E5107">
        <v>0.92847973546942897</v>
      </c>
      <c r="F5107">
        <v>0.86566965668764395</v>
      </c>
      <c r="G5107">
        <v>0.53820515489786303</v>
      </c>
      <c r="H5107">
        <v>0.224980476671993</v>
      </c>
      <c r="I5107">
        <v>0.184241574560849</v>
      </c>
      <c r="J5107">
        <v>0.16201699418569601</v>
      </c>
      <c r="K5107">
        <v>0.13033682741416999</v>
      </c>
      <c r="L5107">
        <v>1376.1387545054399</v>
      </c>
      <c r="M5107">
        <v>24.324427029798301</v>
      </c>
      <c r="N5107">
        <v>57.264793454143103</v>
      </c>
      <c r="O5107">
        <v>56.196140127814502</v>
      </c>
      <c r="P5107">
        <v>-9.4460599906940002E-2</v>
      </c>
      <c r="Q5107">
        <v>0.127092838267264</v>
      </c>
      <c r="R5107">
        <v>0.99666934673431196</v>
      </c>
      <c r="S5107" t="s">
        <v>11723</v>
      </c>
      <c r="T5107" t="s">
        <v>13232</v>
      </c>
      <c r="U5107" t="s">
        <v>13232</v>
      </c>
      <c r="V5107" t="s">
        <v>13232</v>
      </c>
      <c r="W5107" t="s">
        <v>18272</v>
      </c>
      <c r="X5107">
        <v>35</v>
      </c>
      <c r="Y5107" t="s">
        <v>24675</v>
      </c>
      <c r="Z5107" t="s">
        <v>31238</v>
      </c>
      <c r="AA5107">
        <v>0.61764642299698513</v>
      </c>
      <c r="AB5107" t="str">
        <f>HYPERLINK("Melting_Curves/meltCurve_Q96PZ0_PUS7.pdf", "Melting_Curves/meltCurve_Q96PZ0_PUS7.pdf")</f>
        <v>Melting_Curves/meltCurve_Q96PZ0_PUS7.pdf</v>
      </c>
    </row>
    <row r="5108" spans="1:28" x14ac:dyDescent="0.25">
      <c r="A5108" t="s">
        <v>5111</v>
      </c>
      <c r="B5108">
        <v>0.99930955844802105</v>
      </c>
      <c r="C5108">
        <v>0.76766727709579896</v>
      </c>
      <c r="D5108">
        <v>0.79101920963490802</v>
      </c>
      <c r="E5108">
        <v>0.74697779365582795</v>
      </c>
      <c r="F5108">
        <v>0.411534377748697</v>
      </c>
      <c r="G5108">
        <v>0.28704945906348001</v>
      </c>
      <c r="H5108">
        <v>0.16887240878392901</v>
      </c>
      <c r="I5108">
        <v>0.15650658630794301</v>
      </c>
      <c r="J5108">
        <v>0.143194166448079</v>
      </c>
      <c r="K5108">
        <v>0.11815337855901301</v>
      </c>
      <c r="L5108">
        <v>529.22471833885004</v>
      </c>
      <c r="M5108">
        <v>10.188916186790999</v>
      </c>
      <c r="N5108">
        <v>52.291487138753901</v>
      </c>
      <c r="O5108">
        <v>50.059600060801898</v>
      </c>
      <c r="P5108">
        <v>-4.9227629454322901E-2</v>
      </c>
      <c r="Q5108">
        <v>3.2988218506094402E-2</v>
      </c>
      <c r="R5108">
        <v>0.95644980616353104</v>
      </c>
      <c r="S5108" t="s">
        <v>11724</v>
      </c>
      <c r="T5108" t="s">
        <v>13232</v>
      </c>
      <c r="U5108" t="s">
        <v>13232</v>
      </c>
      <c r="V5108" t="s">
        <v>13232</v>
      </c>
      <c r="W5108" t="s">
        <v>18273</v>
      </c>
      <c r="X5108">
        <v>5</v>
      </c>
      <c r="Y5108" t="s">
        <v>24676</v>
      </c>
      <c r="Z5108" t="s">
        <v>31239</v>
      </c>
      <c r="AA5108">
        <v>0.45406673215486631</v>
      </c>
      <c r="AB5108" t="str">
        <f>HYPERLINK("Melting_Curves/meltCurve_Q96Q05_3_TRAPPC9.pdf", "Melting_Curves/meltCurve_Q96Q05_3_TRAPPC9.pdf")</f>
        <v>Melting_Curves/meltCurve_Q96Q05_3_TRAPPC9.pdf</v>
      </c>
    </row>
    <row r="5109" spans="1:28" x14ac:dyDescent="0.25">
      <c r="A5109" t="s">
        <v>5112</v>
      </c>
      <c r="B5109">
        <v>0.99930955844802105</v>
      </c>
      <c r="C5109">
        <v>0.99713354918066599</v>
      </c>
      <c r="D5109">
        <v>0.96155785388631998</v>
      </c>
      <c r="E5109">
        <v>0.65961841325616299</v>
      </c>
      <c r="F5109">
        <v>0.21544199199248601</v>
      </c>
      <c r="G5109">
        <v>0.16237291583676899</v>
      </c>
      <c r="H5109">
        <v>0.105236924964021</v>
      </c>
      <c r="I5109">
        <v>9.4006111665575806E-2</v>
      </c>
      <c r="J5109">
        <v>7.9709820823333402E-2</v>
      </c>
      <c r="K5109">
        <v>5.3952299412095901E-2</v>
      </c>
      <c r="L5109">
        <v>1916.0616969502701</v>
      </c>
      <c r="M5109">
        <v>37.851261453513601</v>
      </c>
      <c r="N5109">
        <v>50.8989529302671</v>
      </c>
      <c r="O5109">
        <v>50.480141365268402</v>
      </c>
      <c r="P5109">
        <v>-0.169943678173926</v>
      </c>
      <c r="Q5109">
        <v>9.3424277535041497E-2</v>
      </c>
      <c r="R5109">
        <v>0.99636600300529399</v>
      </c>
      <c r="S5109" t="s">
        <v>11725</v>
      </c>
      <c r="T5109" t="s">
        <v>13232</v>
      </c>
      <c r="U5109" t="s">
        <v>13232</v>
      </c>
      <c r="V5109" t="s">
        <v>13232</v>
      </c>
      <c r="W5109" t="s">
        <v>18274</v>
      </c>
      <c r="X5109">
        <v>14</v>
      </c>
      <c r="Y5109" t="s">
        <v>24677</v>
      </c>
      <c r="Z5109" t="s">
        <v>31240</v>
      </c>
      <c r="AA5109">
        <v>0.41792265480068841</v>
      </c>
      <c r="AB5109" t="str">
        <f>HYPERLINK("Melting_Curves/meltCurve_Q96Q11_2_TRNT1.pdf", "Melting_Curves/meltCurve_Q96Q11_2_TRNT1.pdf")</f>
        <v>Melting_Curves/meltCurve_Q96Q11_2_TRNT1.pdf</v>
      </c>
    </row>
    <row r="5110" spans="1:28" x14ac:dyDescent="0.25">
      <c r="A5110" t="s">
        <v>5113</v>
      </c>
      <c r="B5110">
        <v>0.99930955844802105</v>
      </c>
      <c r="C5110">
        <v>0.65458868612856302</v>
      </c>
      <c r="D5110">
        <v>0.63272972768209601</v>
      </c>
      <c r="E5110">
        <v>0.38536820351245599</v>
      </c>
      <c r="F5110">
        <v>0.306797171287637</v>
      </c>
      <c r="G5110">
        <v>0.22677530801863799</v>
      </c>
      <c r="H5110">
        <v>0.20134637243702799</v>
      </c>
      <c r="I5110">
        <v>0.19174585886414799</v>
      </c>
      <c r="J5110">
        <v>0.19164067119695499</v>
      </c>
      <c r="K5110">
        <v>0.16582836375597401</v>
      </c>
      <c r="L5110">
        <v>595.54834347638496</v>
      </c>
      <c r="M5110">
        <v>12.9349840834793</v>
      </c>
      <c r="N5110">
        <v>47.556997711270903</v>
      </c>
      <c r="O5110">
        <v>44.9829074307006</v>
      </c>
      <c r="P5110">
        <v>-5.9758049343824698E-2</v>
      </c>
      <c r="Q5110">
        <v>0.168887870105173</v>
      </c>
      <c r="R5110">
        <v>0.96305418312201196</v>
      </c>
      <c r="S5110" t="s">
        <v>11726</v>
      </c>
      <c r="T5110" t="s">
        <v>13232</v>
      </c>
      <c r="U5110" t="s">
        <v>13232</v>
      </c>
      <c r="V5110" t="s">
        <v>13232</v>
      </c>
      <c r="W5110" t="s">
        <v>18275</v>
      </c>
      <c r="X5110">
        <v>19</v>
      </c>
      <c r="Y5110" t="s">
        <v>24678</v>
      </c>
      <c r="Z5110" t="s">
        <v>31241</v>
      </c>
      <c r="AA5110">
        <v>0.36892913700102631</v>
      </c>
      <c r="AB5110" t="str">
        <f>HYPERLINK("Melting_Curves/meltCurve_Q96Q15_SMG1.pdf", "Melting_Curves/meltCurve_Q96Q15_SMG1.pdf")</f>
        <v>Melting_Curves/meltCurve_Q96Q15_SMG1.pdf</v>
      </c>
    </row>
    <row r="5111" spans="1:28" x14ac:dyDescent="0.25">
      <c r="A5111" t="s">
        <v>5114</v>
      </c>
      <c r="B5111">
        <v>0.99930955844802105</v>
      </c>
      <c r="C5111">
        <v>1.0234517095765601</v>
      </c>
      <c r="D5111">
        <v>1.0966576211361001</v>
      </c>
      <c r="E5111">
        <v>1.09626523770134</v>
      </c>
      <c r="F5111">
        <v>0.97442751638658498</v>
      </c>
      <c r="G5111">
        <v>0.86374287334025701</v>
      </c>
      <c r="H5111">
        <v>0.79918526345872698</v>
      </c>
      <c r="I5111">
        <v>0.78328632335466297</v>
      </c>
      <c r="J5111">
        <v>0.78151145929342303</v>
      </c>
      <c r="K5111">
        <v>0.63086062467554205</v>
      </c>
      <c r="L5111">
        <v>976.50218970307503</v>
      </c>
      <c r="M5111">
        <v>16.112806553730501</v>
      </c>
      <c r="O5111">
        <v>59.693665936374899</v>
      </c>
      <c r="P5111">
        <v>-2.3264104459013099E-2</v>
      </c>
      <c r="Q5111">
        <v>0.65527700683800505</v>
      </c>
      <c r="R5111">
        <v>0.85071664887956699</v>
      </c>
      <c r="S5111" t="s">
        <v>11727</v>
      </c>
      <c r="T5111" t="s">
        <v>13232</v>
      </c>
      <c r="U5111" t="s">
        <v>13232</v>
      </c>
      <c r="V5111" t="s">
        <v>13232</v>
      </c>
      <c r="W5111" t="s">
        <v>18276</v>
      </c>
      <c r="X5111">
        <v>4</v>
      </c>
      <c r="Y5111" t="s">
        <v>24679</v>
      </c>
      <c r="Z5111" t="s">
        <v>31242</v>
      </c>
      <c r="AA5111">
        <v>0.89390583964780224</v>
      </c>
      <c r="AB5111" t="str">
        <f>HYPERLINK("Melting_Curves/meltCurve_Q96Q45_2_TMEM237.pdf", "Melting_Curves/meltCurve_Q96Q45_2_TMEM237.pdf")</f>
        <v>Melting_Curves/meltCurve_Q96Q45_2_TMEM237.pdf</v>
      </c>
    </row>
    <row r="5112" spans="1:28" x14ac:dyDescent="0.25">
      <c r="A5112" t="s">
        <v>5115</v>
      </c>
      <c r="B5112">
        <v>0.99930955844802105</v>
      </c>
      <c r="C5112">
        <v>0.90369937091560204</v>
      </c>
      <c r="D5112">
        <v>0.80074305780694699</v>
      </c>
      <c r="E5112">
        <v>0.64679258713405696</v>
      </c>
      <c r="F5112">
        <v>0.56221559547542899</v>
      </c>
      <c r="G5112">
        <v>0.41991720548032402</v>
      </c>
      <c r="H5112">
        <v>0.296537617247213</v>
      </c>
      <c r="I5112">
        <v>0.30030769775103799</v>
      </c>
      <c r="J5112">
        <v>0.32737378705098102</v>
      </c>
      <c r="K5112">
        <v>0.23421325905042001</v>
      </c>
      <c r="L5112">
        <v>546.52348841156595</v>
      </c>
      <c r="M5112">
        <v>10.6922571740104</v>
      </c>
      <c r="N5112">
        <v>54.0352533166987</v>
      </c>
      <c r="O5112">
        <v>49.423321177225297</v>
      </c>
      <c r="P5112">
        <v>-4.2228957149314302E-2</v>
      </c>
      <c r="Q5112">
        <v>0.219506251002761</v>
      </c>
      <c r="R5112">
        <v>0.98930098517329501</v>
      </c>
      <c r="S5112" t="s">
        <v>11728</v>
      </c>
      <c r="T5112" t="s">
        <v>13232</v>
      </c>
      <c r="U5112" t="s">
        <v>13232</v>
      </c>
      <c r="V5112" t="s">
        <v>13232</v>
      </c>
      <c r="W5112" t="s">
        <v>18277</v>
      </c>
      <c r="X5112">
        <v>16</v>
      </c>
      <c r="Y5112" t="s">
        <v>24680</v>
      </c>
      <c r="Z5112" t="s">
        <v>31243</v>
      </c>
      <c r="AA5112">
        <v>0.53820292917805701</v>
      </c>
      <c r="AB5112" t="str">
        <f>HYPERLINK("Melting_Curves/meltCurve_Q96Q89_4_KIF20B.pdf", "Melting_Curves/meltCurve_Q96Q89_4_KIF20B.pdf")</f>
        <v>Melting_Curves/meltCurve_Q96Q89_4_KIF20B.pdf</v>
      </c>
    </row>
    <row r="5113" spans="1:28" x14ac:dyDescent="0.25">
      <c r="A5113" t="s">
        <v>5116</v>
      </c>
      <c r="B5113">
        <v>0.99930955844802105</v>
      </c>
      <c r="C5113">
        <v>1.0946973695167499</v>
      </c>
      <c r="D5113">
        <v>1.0677436898883199</v>
      </c>
      <c r="E5113">
        <v>1.01674611131167</v>
      </c>
      <c r="F5113">
        <v>0.95797283372240205</v>
      </c>
      <c r="G5113">
        <v>0.79173595001295005</v>
      </c>
      <c r="H5113">
        <v>0.74553983580718897</v>
      </c>
      <c r="I5113">
        <v>0.66992262361195998</v>
      </c>
      <c r="J5113">
        <v>0.64823363477765805</v>
      </c>
      <c r="K5113">
        <v>0.53041829613675096</v>
      </c>
      <c r="L5113">
        <v>897.32770919231803</v>
      </c>
      <c r="M5113">
        <v>14.965926180902001</v>
      </c>
      <c r="O5113">
        <v>58.918083402557002</v>
      </c>
      <c r="P5113">
        <v>-3.02344529046388E-2</v>
      </c>
      <c r="Q5113">
        <v>0.52393872145860498</v>
      </c>
      <c r="R5113">
        <v>0.93366557410906703</v>
      </c>
      <c r="S5113" t="s">
        <v>11729</v>
      </c>
      <c r="T5113" t="s">
        <v>13232</v>
      </c>
      <c r="U5113" t="s">
        <v>13232</v>
      </c>
      <c r="V5113" t="s">
        <v>13232</v>
      </c>
      <c r="W5113" t="s">
        <v>18278</v>
      </c>
      <c r="X5113">
        <v>29</v>
      </c>
      <c r="Y5113" t="s">
        <v>24681</v>
      </c>
      <c r="Z5113" t="s">
        <v>31244</v>
      </c>
      <c r="AA5113">
        <v>0.84398431043179534</v>
      </c>
      <c r="AB5113" t="str">
        <f>HYPERLINK("Melting_Curves/meltCurve_Q96QC0_PPP1R10.pdf", "Melting_Curves/meltCurve_Q96QC0_PPP1R10.pdf")</f>
        <v>Melting_Curves/meltCurve_Q96QC0_PPP1R10.pdf</v>
      </c>
    </row>
    <row r="5114" spans="1:28" x14ac:dyDescent="0.25">
      <c r="A5114" t="s">
        <v>5117</v>
      </c>
      <c r="B5114">
        <v>0.99930955844802105</v>
      </c>
      <c r="C5114">
        <v>1.02327964255046</v>
      </c>
      <c r="D5114">
        <v>1.0595659506921999</v>
      </c>
      <c r="E5114">
        <v>0.95365073872446804</v>
      </c>
      <c r="F5114">
        <v>0.84225124134904605</v>
      </c>
      <c r="G5114">
        <v>0.74689671943661795</v>
      </c>
      <c r="H5114">
        <v>0.73180759255549699</v>
      </c>
      <c r="I5114">
        <v>0.77161506473188601</v>
      </c>
      <c r="J5114">
        <v>0.72752862176232902</v>
      </c>
      <c r="K5114">
        <v>0.58873823944043102</v>
      </c>
      <c r="L5114">
        <v>1322.59035409801</v>
      </c>
      <c r="M5114">
        <v>24.8532353687464</v>
      </c>
      <c r="O5114">
        <v>52.875080289463</v>
      </c>
      <c r="P5114">
        <v>-3.5436629389195597E-2</v>
      </c>
      <c r="Q5114">
        <v>0.69843944962596005</v>
      </c>
      <c r="R5114">
        <v>0.894788357367306</v>
      </c>
      <c r="S5114" t="s">
        <v>11730</v>
      </c>
      <c r="T5114" t="s">
        <v>13232</v>
      </c>
      <c r="U5114" t="s">
        <v>13232</v>
      </c>
      <c r="V5114" t="s">
        <v>13232</v>
      </c>
      <c r="W5114" t="s">
        <v>18279</v>
      </c>
      <c r="X5114">
        <v>6</v>
      </c>
      <c r="Y5114" t="s">
        <v>24682</v>
      </c>
      <c r="Z5114" t="s">
        <v>31245</v>
      </c>
      <c r="AA5114">
        <v>0.83409837494088213</v>
      </c>
      <c r="AB5114" t="str">
        <f>HYPERLINK("Melting_Curves/meltCurve_Q96QD9_FYTTD1.pdf", "Melting_Curves/meltCurve_Q96QD9_FYTTD1.pdf")</f>
        <v>Melting_Curves/meltCurve_Q96QD9_FYTTD1.pdf</v>
      </c>
    </row>
    <row r="5115" spans="1:28" x14ac:dyDescent="0.25">
      <c r="A5115" t="s">
        <v>5118</v>
      </c>
      <c r="B5115">
        <v>0.99930955844802105</v>
      </c>
      <c r="C5115">
        <v>0.89065697453012804</v>
      </c>
      <c r="D5115">
        <v>0.89903826150516997</v>
      </c>
      <c r="E5115">
        <v>0.87439496104020697</v>
      </c>
      <c r="F5115">
        <v>0.68515796803525797</v>
      </c>
      <c r="G5115">
        <v>0.62343753537554603</v>
      </c>
      <c r="H5115">
        <v>0.61673677707353403</v>
      </c>
      <c r="I5115">
        <v>0.65961528537493297</v>
      </c>
      <c r="J5115">
        <v>0.63749127778438996</v>
      </c>
      <c r="K5115">
        <v>0.478257560869567</v>
      </c>
      <c r="L5115">
        <v>489.76271828731399</v>
      </c>
      <c r="M5115">
        <v>9.4476327563964002</v>
      </c>
      <c r="O5115">
        <v>49.676421758245098</v>
      </c>
      <c r="P5115">
        <v>-2.2573795875511501E-2</v>
      </c>
      <c r="Q5115">
        <v>0.52550720367626602</v>
      </c>
      <c r="R5115">
        <v>0.885706811459129</v>
      </c>
      <c r="S5115" t="s">
        <v>11731</v>
      </c>
      <c r="T5115" t="s">
        <v>13232</v>
      </c>
      <c r="U5115" t="s">
        <v>13232</v>
      </c>
      <c r="V5115" t="s">
        <v>13232</v>
      </c>
      <c r="W5115" t="s">
        <v>18280</v>
      </c>
      <c r="X5115">
        <v>3</v>
      </c>
      <c r="Y5115" t="s">
        <v>24683</v>
      </c>
      <c r="Z5115" t="s">
        <v>31246</v>
      </c>
      <c r="AA5115">
        <v>0.73221920403448348</v>
      </c>
      <c r="AB5115" t="str">
        <f>HYPERLINK("Melting_Curves/meltCurve_Q96QE3_2_ATAD5.pdf", "Melting_Curves/meltCurve_Q96QE3_2_ATAD5.pdf")</f>
        <v>Melting_Curves/meltCurve_Q96QE3_2_ATAD5.pdf</v>
      </c>
    </row>
    <row r="5116" spans="1:28" x14ac:dyDescent="0.25">
      <c r="A5116" t="s">
        <v>5119</v>
      </c>
      <c r="B5116">
        <v>0.99930955844802105</v>
      </c>
      <c r="C5116">
        <v>1.00549462902579</v>
      </c>
      <c r="D5116">
        <v>0.96627880604891903</v>
      </c>
      <c r="E5116">
        <v>0.86072880393356999</v>
      </c>
      <c r="F5116">
        <v>0.63191116951833504</v>
      </c>
      <c r="G5116">
        <v>0.43598131442113403</v>
      </c>
      <c r="H5116">
        <v>0.33813090512898802</v>
      </c>
      <c r="I5116">
        <v>0.34406102484645401</v>
      </c>
      <c r="J5116">
        <v>0.29606312538310903</v>
      </c>
      <c r="K5116">
        <v>0.25327075547445499</v>
      </c>
      <c r="L5116">
        <v>1060.64002152029</v>
      </c>
      <c r="M5116">
        <v>19.955552317738601</v>
      </c>
      <c r="N5116">
        <v>55.485301430588102</v>
      </c>
      <c r="O5116">
        <v>52.625021697499001</v>
      </c>
      <c r="P5116">
        <v>-6.7868695754609798E-2</v>
      </c>
      <c r="Q5116">
        <v>0.28411421329686198</v>
      </c>
      <c r="R5116">
        <v>0.995969576678848</v>
      </c>
      <c r="S5116" t="s">
        <v>11732</v>
      </c>
      <c r="T5116" t="s">
        <v>13232</v>
      </c>
      <c r="U5116" t="s">
        <v>13232</v>
      </c>
      <c r="V5116" t="s">
        <v>13232</v>
      </c>
      <c r="W5116" t="s">
        <v>18281</v>
      </c>
      <c r="X5116">
        <v>7</v>
      </c>
      <c r="Y5116" t="s">
        <v>24684</v>
      </c>
      <c r="Z5116" t="s">
        <v>31247</v>
      </c>
      <c r="AA5116">
        <v>0.60778366234391834</v>
      </c>
      <c r="AB5116" t="str">
        <f>HYPERLINK("Melting_Curves/meltCurve_Q96QF0_2_RAB3IP.pdf", "Melting_Curves/meltCurve_Q96QF0_2_RAB3IP.pdf")</f>
        <v>Melting_Curves/meltCurve_Q96QF0_2_RAB3IP.pdf</v>
      </c>
    </row>
    <row r="5117" spans="1:28" x14ac:dyDescent="0.25">
      <c r="A5117" t="s">
        <v>5120</v>
      </c>
      <c r="B5117">
        <v>0.99930955844802105</v>
      </c>
      <c r="C5117">
        <v>0.97766330994455797</v>
      </c>
      <c r="D5117">
        <v>0.92882958083530198</v>
      </c>
      <c r="E5117">
        <v>0.76951850797380505</v>
      </c>
      <c r="F5117">
        <v>0.29270611245512601</v>
      </c>
      <c r="G5117">
        <v>0.18964403014932099</v>
      </c>
      <c r="H5117">
        <v>0.137297198309179</v>
      </c>
      <c r="I5117">
        <v>0.128854212924121</v>
      </c>
      <c r="J5117">
        <v>0.12147749946121</v>
      </c>
      <c r="K5117">
        <v>8.9961196955313003E-2</v>
      </c>
      <c r="L5117">
        <v>2003.66383101666</v>
      </c>
      <c r="M5117">
        <v>39.130415783801602</v>
      </c>
      <c r="N5117">
        <v>51.592751267646797</v>
      </c>
      <c r="O5117">
        <v>51.071582117235799</v>
      </c>
      <c r="P5117">
        <v>-0.16713168938586301</v>
      </c>
      <c r="Q5117">
        <v>0.12746539324088199</v>
      </c>
      <c r="R5117">
        <v>0.99420531745281204</v>
      </c>
      <c r="S5117" t="s">
        <v>11733</v>
      </c>
      <c r="T5117" t="s">
        <v>13232</v>
      </c>
      <c r="U5117" t="s">
        <v>13232</v>
      </c>
      <c r="V5117" t="s">
        <v>13232</v>
      </c>
      <c r="W5117" t="s">
        <v>18282</v>
      </c>
      <c r="X5117">
        <v>10</v>
      </c>
      <c r="Y5117" t="s">
        <v>24685</v>
      </c>
      <c r="Z5117" t="s">
        <v>31248</v>
      </c>
      <c r="AA5117">
        <v>0.45657786411010293</v>
      </c>
      <c r="AB5117" t="str">
        <f>HYPERLINK("Melting_Curves/meltCurve_Q96QG7_MTMR9.pdf", "Melting_Curves/meltCurve_Q96QG7_MTMR9.pdf")</f>
        <v>Melting_Curves/meltCurve_Q96QG7_MTMR9.pdf</v>
      </c>
    </row>
    <row r="5118" spans="1:28" x14ac:dyDescent="0.25">
      <c r="A5118" t="s">
        <v>5121</v>
      </c>
      <c r="B5118">
        <v>0.99930955844802105</v>
      </c>
      <c r="C5118">
        <v>0.98442973739623696</v>
      </c>
      <c r="D5118">
        <v>0.95565523372142502</v>
      </c>
      <c r="E5118">
        <v>0.89470448045850204</v>
      </c>
      <c r="F5118">
        <v>0.45994103630877098</v>
      </c>
      <c r="G5118">
        <v>0.15577493661323799</v>
      </c>
      <c r="H5118">
        <v>8.6912484693955197E-2</v>
      </c>
      <c r="I5118">
        <v>6.5408101670540994E-2</v>
      </c>
      <c r="J5118">
        <v>5.71302705562238E-2</v>
      </c>
      <c r="K5118">
        <v>4.2612087383638003E-2</v>
      </c>
      <c r="L5118">
        <v>1816.33898494547</v>
      </c>
      <c r="M5118">
        <v>34.503101791493698</v>
      </c>
      <c r="N5118">
        <v>52.856306559481503</v>
      </c>
      <c r="O5118">
        <v>52.4668769996495</v>
      </c>
      <c r="P5118">
        <v>-0.153709492448172</v>
      </c>
      <c r="Q5118">
        <v>6.5054857508823297E-2</v>
      </c>
      <c r="R5118">
        <v>0.99756465716738596</v>
      </c>
      <c r="S5118" t="s">
        <v>11734</v>
      </c>
      <c r="T5118" t="s">
        <v>13232</v>
      </c>
      <c r="U5118" t="s">
        <v>13232</v>
      </c>
      <c r="V5118" t="s">
        <v>13232</v>
      </c>
      <c r="W5118" t="s">
        <v>18283</v>
      </c>
      <c r="X5118">
        <v>39</v>
      </c>
      <c r="Y5118" t="s">
        <v>24686</v>
      </c>
      <c r="Z5118" t="s">
        <v>31249</v>
      </c>
      <c r="AA5118">
        <v>0.46363564929339429</v>
      </c>
      <c r="AB5118" t="str">
        <f>HYPERLINK("Melting_Curves/meltCurve_Q96QK1_VPS35.pdf", "Melting_Curves/meltCurve_Q96QK1_VPS35.pdf")</f>
        <v>Melting_Curves/meltCurve_Q96QK1_VPS35.pdf</v>
      </c>
    </row>
    <row r="5119" spans="1:28" x14ac:dyDescent="0.25">
      <c r="A5119" t="s">
        <v>5122</v>
      </c>
      <c r="B5119">
        <v>0.99930955844802105</v>
      </c>
      <c r="C5119">
        <v>0.96567109993573197</v>
      </c>
      <c r="D5119">
        <v>0.92225303590272001</v>
      </c>
      <c r="E5119">
        <v>0.95289495103042698</v>
      </c>
      <c r="F5119">
        <v>0.99794443404188804</v>
      </c>
      <c r="G5119">
        <v>0.83608938276885403</v>
      </c>
      <c r="H5119">
        <v>0.55327387572982401</v>
      </c>
      <c r="I5119">
        <v>0.462542679873648</v>
      </c>
      <c r="J5119">
        <v>0.24825553093955299</v>
      </c>
      <c r="K5119">
        <v>0.12250004614099901</v>
      </c>
      <c r="L5119">
        <v>1030.46311854689</v>
      </c>
      <c r="M5119">
        <v>16.4763231694598</v>
      </c>
      <c r="N5119">
        <v>62.5420558606043</v>
      </c>
      <c r="O5119">
        <v>61.642520732385101</v>
      </c>
      <c r="P5119">
        <v>-6.6826729140179703E-2</v>
      </c>
      <c r="Q5119">
        <v>0</v>
      </c>
      <c r="R5119">
        <v>0.98383991282812799</v>
      </c>
      <c r="S5119" t="s">
        <v>11735</v>
      </c>
      <c r="T5119" t="s">
        <v>13232</v>
      </c>
      <c r="U5119" t="s">
        <v>13232</v>
      </c>
      <c r="V5119" t="s">
        <v>13232</v>
      </c>
      <c r="W5119" t="s">
        <v>18284</v>
      </c>
      <c r="X5119">
        <v>7</v>
      </c>
      <c r="Y5119" t="s">
        <v>24687</v>
      </c>
      <c r="Z5119" t="s">
        <v>31250</v>
      </c>
      <c r="AA5119">
        <v>0.74823331950444427</v>
      </c>
      <c r="AB5119" t="str">
        <f>HYPERLINK("Melting_Curves/meltCurve_Q96QR8_PURB.pdf", "Melting_Curves/meltCurve_Q96QR8_PURB.pdf")</f>
        <v>Melting_Curves/meltCurve_Q96QR8_PURB.pdf</v>
      </c>
    </row>
    <row r="5120" spans="1:28" x14ac:dyDescent="0.25">
      <c r="A5120" t="s">
        <v>5123</v>
      </c>
      <c r="B5120">
        <v>0.99930955844802105</v>
      </c>
      <c r="C5120">
        <v>0.95780122141361801</v>
      </c>
      <c r="D5120">
        <v>0.95702534369769998</v>
      </c>
      <c r="E5120">
        <v>0.92239965633719301</v>
      </c>
      <c r="F5120">
        <v>0.78200206247858794</v>
      </c>
      <c r="G5120">
        <v>0.50938398933199203</v>
      </c>
      <c r="H5120">
        <v>0.43905831033618398</v>
      </c>
      <c r="I5120">
        <v>0.39869860951480901</v>
      </c>
      <c r="J5120">
        <v>0.38848364384358203</v>
      </c>
      <c r="K5120">
        <v>0.31725923021705899</v>
      </c>
      <c r="L5120">
        <v>1124.08237068003</v>
      </c>
      <c r="M5120">
        <v>20.622971558326899</v>
      </c>
      <c r="N5120">
        <v>57.937975210301403</v>
      </c>
      <c r="O5120">
        <v>54.001585843216901</v>
      </c>
      <c r="P5120">
        <v>-6.1811188365241403E-2</v>
      </c>
      <c r="Q5120">
        <v>0.35260425491300801</v>
      </c>
      <c r="R5120">
        <v>0.990621630308131</v>
      </c>
      <c r="S5120" t="s">
        <v>11736</v>
      </c>
      <c r="T5120" t="s">
        <v>13232</v>
      </c>
      <c r="U5120" t="s">
        <v>13232</v>
      </c>
      <c r="V5120" t="s">
        <v>13232</v>
      </c>
      <c r="W5120" t="s">
        <v>18285</v>
      </c>
      <c r="X5120">
        <v>4</v>
      </c>
      <c r="Y5120" t="s">
        <v>24688</v>
      </c>
      <c r="Z5120" t="s">
        <v>31251</v>
      </c>
      <c r="AA5120">
        <v>0.67395683947409579</v>
      </c>
      <c r="AB5120" t="str">
        <f>HYPERLINK("Melting_Curves/meltCurve_Q96QT6_4_PHF12.pdf", "Melting_Curves/meltCurve_Q96QT6_4_PHF12.pdf")</f>
        <v>Melting_Curves/meltCurve_Q96QT6_4_PHF12.pdf</v>
      </c>
    </row>
    <row r="5121" spans="1:28" x14ac:dyDescent="0.25">
      <c r="A5121" t="s">
        <v>5124</v>
      </c>
      <c r="B5121">
        <v>0.99930955844802105</v>
      </c>
      <c r="C5121">
        <v>0.98301998438948901</v>
      </c>
      <c r="D5121">
        <v>0.916617755448073</v>
      </c>
      <c r="E5121">
        <v>0.72634297794307501</v>
      </c>
      <c r="F5121">
        <v>0.52648934394785296</v>
      </c>
      <c r="G5121">
        <v>0.39583216678280098</v>
      </c>
      <c r="H5121">
        <v>0.2597769321426</v>
      </c>
      <c r="I5121">
        <v>0.21097533937363799</v>
      </c>
      <c r="J5121">
        <v>0.245801263636095</v>
      </c>
      <c r="K5121">
        <v>0.165676450669655</v>
      </c>
      <c r="L5121">
        <v>779.485944542575</v>
      </c>
      <c r="M5121">
        <v>14.888333394540901</v>
      </c>
      <c r="N5121">
        <v>53.929828836667397</v>
      </c>
      <c r="O5121">
        <v>51.438173969555002</v>
      </c>
      <c r="P5121">
        <v>-5.9613214424184602E-2</v>
      </c>
      <c r="Q5121">
        <v>0.17624737469909299</v>
      </c>
      <c r="R5121">
        <v>0.99551858405678095</v>
      </c>
      <c r="S5121" t="s">
        <v>11737</v>
      </c>
      <c r="T5121" t="s">
        <v>13232</v>
      </c>
      <c r="U5121" t="s">
        <v>13232</v>
      </c>
      <c r="V5121" t="s">
        <v>13232</v>
      </c>
      <c r="W5121" t="s">
        <v>18286</v>
      </c>
      <c r="X5121">
        <v>8</v>
      </c>
      <c r="Y5121" t="s">
        <v>24689</v>
      </c>
      <c r="Z5121" t="s">
        <v>31252</v>
      </c>
      <c r="AA5121">
        <v>0.53389396449584903</v>
      </c>
      <c r="AB5121" t="str">
        <f>HYPERLINK("Melting_Curves/meltCurve_Q96QU6_ACCS.pdf", "Melting_Curves/meltCurve_Q96QU6_ACCS.pdf")</f>
        <v>Melting_Curves/meltCurve_Q96QU6_ACCS.pdf</v>
      </c>
    </row>
    <row r="5122" spans="1:28" x14ac:dyDescent="0.25">
      <c r="A5122" t="s">
        <v>5125</v>
      </c>
      <c r="B5122">
        <v>0.99930955844802105</v>
      </c>
      <c r="C5122">
        <v>1.0741758704452999</v>
      </c>
      <c r="D5122">
        <v>0.75620466774856898</v>
      </c>
      <c r="E5122">
        <v>0.49640718258931599</v>
      </c>
      <c r="F5122">
        <v>0.200952664369248</v>
      </c>
      <c r="G5122">
        <v>0.141394898103991</v>
      </c>
      <c r="H5122">
        <v>9.53511327804379E-2</v>
      </c>
      <c r="I5122">
        <v>9.0723963162642293E-2</v>
      </c>
      <c r="J5122">
        <v>8.3465501841973905E-2</v>
      </c>
      <c r="K5122">
        <v>6.2895604785998802E-2</v>
      </c>
      <c r="L5122">
        <v>1057.2893563791899</v>
      </c>
      <c r="M5122">
        <v>21.5209936694569</v>
      </c>
      <c r="N5122">
        <v>49.519525337438097</v>
      </c>
      <c r="O5122">
        <v>48.7099881255442</v>
      </c>
      <c r="P5122">
        <v>-0.101821625257913</v>
      </c>
      <c r="Q5122">
        <v>7.8182022644481805E-2</v>
      </c>
      <c r="R5122">
        <v>0.98521690279474305</v>
      </c>
      <c r="S5122" t="s">
        <v>11738</v>
      </c>
      <c r="T5122" t="s">
        <v>13232</v>
      </c>
      <c r="U5122" t="s">
        <v>13232</v>
      </c>
      <c r="V5122" t="s">
        <v>13232</v>
      </c>
      <c r="W5122" t="s">
        <v>18287</v>
      </c>
      <c r="X5122">
        <v>21</v>
      </c>
      <c r="Y5122" t="s">
        <v>24690</v>
      </c>
      <c r="Z5122" t="s">
        <v>31253</v>
      </c>
      <c r="AA5122">
        <v>0.36978259189750262</v>
      </c>
      <c r="AB5122" t="str">
        <f>HYPERLINK("Melting_Curves/meltCurve_Q96QU8_XPO6.pdf", "Melting_Curves/meltCurve_Q96QU8_XPO6.pdf")</f>
        <v>Melting_Curves/meltCurve_Q96QU8_XPO6.pdf</v>
      </c>
    </row>
    <row r="5123" spans="1:28" x14ac:dyDescent="0.25">
      <c r="A5123" t="s">
        <v>5126</v>
      </c>
      <c r="B5123">
        <v>0.99930955844802105</v>
      </c>
      <c r="C5123">
        <v>1.0419634861407401</v>
      </c>
      <c r="D5123">
        <v>0.994285555656922</v>
      </c>
      <c r="E5123">
        <v>0.95427518196310301</v>
      </c>
      <c r="F5123">
        <v>0.84142724432185001</v>
      </c>
      <c r="G5123">
        <v>0.64699051266024199</v>
      </c>
      <c r="H5123">
        <v>0.453582218605595</v>
      </c>
      <c r="I5123">
        <v>0.38897972605006598</v>
      </c>
      <c r="J5123">
        <v>0.34041365196665602</v>
      </c>
      <c r="K5123">
        <v>0.27794257872077899</v>
      </c>
      <c r="L5123">
        <v>956.85996141770102</v>
      </c>
      <c r="M5123">
        <v>16.695542043308301</v>
      </c>
      <c r="N5123">
        <v>60.022395576258297</v>
      </c>
      <c r="O5123">
        <v>56.509016204900803</v>
      </c>
      <c r="P5123">
        <v>-5.4313261379386302E-2</v>
      </c>
      <c r="Q5123">
        <v>0.26471760030054797</v>
      </c>
      <c r="R5123">
        <v>0.99618673181775697</v>
      </c>
      <c r="S5123" t="s">
        <v>11739</v>
      </c>
      <c r="T5123" t="s">
        <v>13232</v>
      </c>
      <c r="U5123" t="s">
        <v>13232</v>
      </c>
      <c r="V5123" t="s">
        <v>13232</v>
      </c>
      <c r="W5123" t="s">
        <v>18288</v>
      </c>
      <c r="X5123">
        <v>11</v>
      </c>
      <c r="Y5123" t="s">
        <v>24691</v>
      </c>
      <c r="Z5123" t="s">
        <v>31254</v>
      </c>
      <c r="AA5123">
        <v>0.69946348277280468</v>
      </c>
      <c r="AB5123" t="str">
        <f>HYPERLINK("Melting_Curves/meltCurve_Q96QZ7_7_MAGI1.pdf", "Melting_Curves/meltCurve_Q96QZ7_7_MAGI1.pdf")</f>
        <v>Melting_Curves/meltCurve_Q96QZ7_7_MAGI1.pdf</v>
      </c>
    </row>
    <row r="5124" spans="1:28" x14ac:dyDescent="0.25">
      <c r="A5124" t="s">
        <v>5127</v>
      </c>
      <c r="B5124">
        <v>0.99930955844802105</v>
      </c>
      <c r="C5124">
        <v>1.04859329790234</v>
      </c>
      <c r="D5124">
        <v>0.89593733599090397</v>
      </c>
      <c r="E5124">
        <v>0.60918998299008897</v>
      </c>
      <c r="F5124">
        <v>0.371234564755204</v>
      </c>
      <c r="G5124">
        <v>0.27041544566090198</v>
      </c>
      <c r="H5124">
        <v>0.16569036818987201</v>
      </c>
      <c r="I5124">
        <v>0.14825254576211699</v>
      </c>
      <c r="J5124">
        <v>0.135431069850448</v>
      </c>
      <c r="K5124">
        <v>0.107627615726065</v>
      </c>
      <c r="L5124">
        <v>997.24602092671398</v>
      </c>
      <c r="M5124">
        <v>19.691078311221599</v>
      </c>
      <c r="N5124">
        <v>51.454167909785497</v>
      </c>
      <c r="O5124">
        <v>50.130909074457797</v>
      </c>
      <c r="P5124">
        <v>-8.5120001000870193E-2</v>
      </c>
      <c r="Q5124">
        <v>0.13321246161662301</v>
      </c>
      <c r="R5124">
        <v>0.99297409922010005</v>
      </c>
      <c r="S5124" t="s">
        <v>11740</v>
      </c>
      <c r="T5124" t="s">
        <v>13232</v>
      </c>
      <c r="U5124" t="s">
        <v>13232</v>
      </c>
      <c r="V5124" t="s">
        <v>13232</v>
      </c>
      <c r="W5124" t="s">
        <v>18289</v>
      </c>
      <c r="X5124">
        <v>17</v>
      </c>
      <c r="Y5124" t="s">
        <v>20310</v>
      </c>
      <c r="Z5124" t="s">
        <v>31255</v>
      </c>
      <c r="AA5124">
        <v>0.45316851202138442</v>
      </c>
      <c r="AB5124" t="str">
        <f>HYPERLINK("Melting_Curves/meltCurve_Q96R06_SPAG5.pdf", "Melting_Curves/meltCurve_Q96R06_SPAG5.pdf")</f>
        <v>Melting_Curves/meltCurve_Q96R06_SPAG5.pdf</v>
      </c>
    </row>
    <row r="5125" spans="1:28" x14ac:dyDescent="0.25">
      <c r="A5125" t="s">
        <v>5128</v>
      </c>
      <c r="B5125">
        <v>0.99930955844802105</v>
      </c>
      <c r="C5125">
        <v>1.0882678042598299</v>
      </c>
      <c r="D5125">
        <v>1.06520794747675</v>
      </c>
      <c r="E5125">
        <v>1.0012454153586401</v>
      </c>
      <c r="F5125">
        <v>0.81132967792593003</v>
      </c>
      <c r="G5125">
        <v>0.61090514099500604</v>
      </c>
      <c r="H5125">
        <v>0.54824001920035204</v>
      </c>
      <c r="I5125">
        <v>0.47863588164571902</v>
      </c>
      <c r="J5125">
        <v>0.364174868111516</v>
      </c>
      <c r="K5125">
        <v>0.22302057594057101</v>
      </c>
      <c r="L5125">
        <v>732.64565731526602</v>
      </c>
      <c r="M5125">
        <v>12.3057514423386</v>
      </c>
      <c r="N5125">
        <v>61.595139857578197</v>
      </c>
      <c r="O5125">
        <v>58.030110850181302</v>
      </c>
      <c r="P5125">
        <v>-4.4087056317583598E-2</v>
      </c>
      <c r="Q5125">
        <v>0.16857821344841001</v>
      </c>
      <c r="R5125">
        <v>0.95573023817263503</v>
      </c>
      <c r="S5125" t="s">
        <v>11741</v>
      </c>
      <c r="T5125" t="s">
        <v>13232</v>
      </c>
      <c r="U5125" t="s">
        <v>13232</v>
      </c>
      <c r="V5125" t="s">
        <v>13232</v>
      </c>
      <c r="W5125" t="s">
        <v>18290</v>
      </c>
      <c r="X5125">
        <v>12</v>
      </c>
      <c r="Y5125" t="s">
        <v>24692</v>
      </c>
      <c r="Z5125" t="s">
        <v>31256</v>
      </c>
      <c r="AA5125">
        <v>0.71468870889138347</v>
      </c>
      <c r="AB5125" t="str">
        <f>HYPERLINK("Melting_Curves/meltCurve_Q96RE7_NACC1.pdf", "Melting_Curves/meltCurve_Q96RE7_NACC1.pdf")</f>
        <v>Melting_Curves/meltCurve_Q96RE7_NACC1.pdf</v>
      </c>
    </row>
    <row r="5126" spans="1:28" x14ac:dyDescent="0.25">
      <c r="A5126" t="s">
        <v>5129</v>
      </c>
      <c r="B5126">
        <v>0.99930955844802105</v>
      </c>
      <c r="C5126">
        <v>0.98340735771946797</v>
      </c>
      <c r="D5126">
        <v>0.84808509756629602</v>
      </c>
      <c r="E5126">
        <v>0.86342474379361001</v>
      </c>
      <c r="F5126">
        <v>0.87763990440941297</v>
      </c>
      <c r="G5126">
        <v>0.62852802427449606</v>
      </c>
      <c r="H5126">
        <v>0.55922858074234405</v>
      </c>
      <c r="I5126">
        <v>0.69792281060916905</v>
      </c>
      <c r="J5126">
        <v>0.66892638445336905</v>
      </c>
      <c r="K5126">
        <v>0.47722463503767698</v>
      </c>
      <c r="L5126">
        <v>473.32631241388299</v>
      </c>
      <c r="M5126">
        <v>8.59910883170547</v>
      </c>
      <c r="O5126">
        <v>52.309455636779198</v>
      </c>
      <c r="P5126">
        <v>-2.09802720585134E-2</v>
      </c>
      <c r="Q5126">
        <v>0.48993770768036699</v>
      </c>
      <c r="R5126">
        <v>0.82404258093600102</v>
      </c>
      <c r="S5126" t="s">
        <v>11742</v>
      </c>
      <c r="T5126" t="s">
        <v>13232</v>
      </c>
      <c r="U5126" t="s">
        <v>13232</v>
      </c>
      <c r="V5126" t="s">
        <v>13232</v>
      </c>
      <c r="W5126" t="s">
        <v>18291</v>
      </c>
      <c r="X5126">
        <v>5</v>
      </c>
      <c r="Y5126" t="s">
        <v>24693</v>
      </c>
      <c r="Z5126" t="s">
        <v>31257</v>
      </c>
      <c r="AA5126">
        <v>0.75932134528381667</v>
      </c>
      <c r="AB5126" t="str">
        <f>HYPERLINK("Melting_Curves/meltCurve_Q96RF0_3_SNX18.pdf", "Melting_Curves/meltCurve_Q96RF0_3_SNX18.pdf")</f>
        <v>Melting_Curves/meltCurve_Q96RF0_3_SNX18.pdf</v>
      </c>
    </row>
    <row r="5127" spans="1:28" x14ac:dyDescent="0.25">
      <c r="A5127" t="s">
        <v>5130</v>
      </c>
      <c r="B5127">
        <v>0.99930955844802105</v>
      </c>
      <c r="C5127">
        <v>1.0370330127456699</v>
      </c>
      <c r="D5127">
        <v>0.94775967488686097</v>
      </c>
      <c r="E5127">
        <v>0.73098496185350603</v>
      </c>
      <c r="F5127">
        <v>0.35127177623272299</v>
      </c>
      <c r="G5127">
        <v>0.236003545732072</v>
      </c>
      <c r="H5127">
        <v>0.14580541945080799</v>
      </c>
      <c r="I5127">
        <v>0.14166138701750999</v>
      </c>
      <c r="J5127">
        <v>0.1392537797825</v>
      </c>
      <c r="K5127">
        <v>0.107566907761536</v>
      </c>
      <c r="L5127">
        <v>1435.0266460407199</v>
      </c>
      <c r="M5127">
        <v>28.006599701585198</v>
      </c>
      <c r="N5127">
        <v>51.835356870666303</v>
      </c>
      <c r="O5127">
        <v>50.979774369858902</v>
      </c>
      <c r="P5127">
        <v>-0.118423480327615</v>
      </c>
      <c r="Q5127">
        <v>0.137753151241189</v>
      </c>
      <c r="R5127">
        <v>0.99527168993992199</v>
      </c>
      <c r="S5127" t="s">
        <v>11743</v>
      </c>
      <c r="T5127" t="s">
        <v>13232</v>
      </c>
      <c r="U5127" t="s">
        <v>13232</v>
      </c>
      <c r="V5127" t="s">
        <v>13232</v>
      </c>
      <c r="W5127" t="s">
        <v>18292</v>
      </c>
      <c r="X5127">
        <v>16</v>
      </c>
      <c r="Y5127" t="s">
        <v>24694</v>
      </c>
      <c r="Z5127" t="s">
        <v>31258</v>
      </c>
      <c r="AA5127">
        <v>0.46701776749916529</v>
      </c>
      <c r="AB5127" t="str">
        <f>HYPERLINK("Melting_Curves/meltCurve_Q96RG2_PASK.pdf", "Melting_Curves/meltCurve_Q96RG2_PASK.pdf")</f>
        <v>Melting_Curves/meltCurve_Q96RG2_PASK.pdf</v>
      </c>
    </row>
    <row r="5128" spans="1:28" x14ac:dyDescent="0.25">
      <c r="A5128" t="s">
        <v>5131</v>
      </c>
      <c r="B5128">
        <v>0.99930955844802105</v>
      </c>
      <c r="C5128">
        <v>1.02831865320739</v>
      </c>
      <c r="D5128">
        <v>1.02515789379264</v>
      </c>
      <c r="E5128">
        <v>0.99211613075923899</v>
      </c>
      <c r="F5128">
        <v>0.92355259738695505</v>
      </c>
      <c r="G5128">
        <v>0.77441420530290805</v>
      </c>
      <c r="H5128">
        <v>0.69946214833478504</v>
      </c>
      <c r="I5128">
        <v>0.75287555435218201</v>
      </c>
      <c r="J5128">
        <v>0.75914284505836904</v>
      </c>
      <c r="K5128">
        <v>0.60782422233522004</v>
      </c>
      <c r="L5128">
        <v>1645.64284008757</v>
      </c>
      <c r="M5128">
        <v>29.947426732462301</v>
      </c>
      <c r="O5128">
        <v>54.707781022573997</v>
      </c>
      <c r="P5128">
        <v>-4.1144526428756802E-2</v>
      </c>
      <c r="Q5128">
        <v>0.69935166745854305</v>
      </c>
      <c r="R5128">
        <v>0.92524900236728103</v>
      </c>
      <c r="S5128" t="s">
        <v>11744</v>
      </c>
      <c r="T5128" t="s">
        <v>13232</v>
      </c>
      <c r="U5128" t="s">
        <v>13232</v>
      </c>
      <c r="V5128" t="s">
        <v>13232</v>
      </c>
      <c r="W5128" t="s">
        <v>18293</v>
      </c>
      <c r="X5128">
        <v>22</v>
      </c>
      <c r="Y5128" t="s">
        <v>24695</v>
      </c>
      <c r="Z5128" t="s">
        <v>31259</v>
      </c>
      <c r="AA5128">
        <v>0.85118551475555226</v>
      </c>
      <c r="AB5128" t="str">
        <f>HYPERLINK("Melting_Curves/meltCurve_Q96RL1_UIMC1.pdf", "Melting_Curves/meltCurve_Q96RL1_UIMC1.pdf")</f>
        <v>Melting_Curves/meltCurve_Q96RL1_UIMC1.pdf</v>
      </c>
    </row>
    <row r="5129" spans="1:28" x14ac:dyDescent="0.25">
      <c r="A5129" t="s">
        <v>5132</v>
      </c>
      <c r="B5129">
        <v>0.99930955844802105</v>
      </c>
      <c r="C5129">
        <v>0.83969598030449899</v>
      </c>
      <c r="D5129">
        <v>0.81033460475726304</v>
      </c>
      <c r="E5129">
        <v>0.85587264115565898</v>
      </c>
      <c r="F5129">
        <v>0.88372769394197404</v>
      </c>
      <c r="G5129">
        <v>0.70833491383721203</v>
      </c>
      <c r="H5129">
        <v>0.28633828328952898</v>
      </c>
      <c r="I5129">
        <v>0.180031489711244</v>
      </c>
      <c r="J5129">
        <v>0.14691455926522701</v>
      </c>
      <c r="K5129">
        <v>0.124918744083932</v>
      </c>
      <c r="L5129">
        <v>1103.9499612378499</v>
      </c>
      <c r="M5129">
        <v>18.933240034114</v>
      </c>
      <c r="N5129">
        <v>58.703408483833798</v>
      </c>
      <c r="O5129">
        <v>57.6687207863541</v>
      </c>
      <c r="P5129">
        <v>-7.7161354724638198E-2</v>
      </c>
      <c r="Q5129">
        <v>5.9935506068464102E-2</v>
      </c>
      <c r="R5129">
        <v>0.92752700573900604</v>
      </c>
      <c r="S5129" t="s">
        <v>11745</v>
      </c>
      <c r="T5129" t="s">
        <v>13232</v>
      </c>
      <c r="U5129" t="s">
        <v>13232</v>
      </c>
      <c r="V5129" t="s">
        <v>13232</v>
      </c>
      <c r="W5129" t="s">
        <v>18294</v>
      </c>
      <c r="X5129">
        <v>10</v>
      </c>
      <c r="Y5129" t="s">
        <v>24696</v>
      </c>
      <c r="Z5129" t="s">
        <v>31260</v>
      </c>
      <c r="AA5129">
        <v>0.64440003617687569</v>
      </c>
      <c r="AB5129" t="str">
        <f>HYPERLINK("Melting_Curves/meltCurve_Q96RL7_4_VPS13A.pdf", "Melting_Curves/meltCurve_Q96RL7_4_VPS13A.pdf")</f>
        <v>Melting_Curves/meltCurve_Q96RL7_4_VPS13A.pdf</v>
      </c>
    </row>
    <row r="5130" spans="1:28" x14ac:dyDescent="0.25">
      <c r="A5130" t="s">
        <v>5133</v>
      </c>
      <c r="B5130">
        <v>0.99930955844802105</v>
      </c>
      <c r="C5130">
        <v>0.95954719300212499</v>
      </c>
      <c r="D5130">
        <v>0.93027612396913595</v>
      </c>
      <c r="E5130">
        <v>0.80319605757743495</v>
      </c>
      <c r="F5130">
        <v>0.59222709722506806</v>
      </c>
      <c r="G5130">
        <v>0.44193638206868802</v>
      </c>
      <c r="H5130">
        <v>0.34508250987599398</v>
      </c>
      <c r="I5130">
        <v>0.32543102283351999</v>
      </c>
      <c r="J5130">
        <v>0.27702877193956399</v>
      </c>
      <c r="K5130">
        <v>0.205185737120338</v>
      </c>
      <c r="L5130">
        <v>734.82097442632698</v>
      </c>
      <c r="M5130">
        <v>13.7850378244572</v>
      </c>
      <c r="N5130">
        <v>55.641215811269703</v>
      </c>
      <c r="O5130">
        <v>52.221459801276801</v>
      </c>
      <c r="P5130">
        <v>-5.1504003641860703E-2</v>
      </c>
      <c r="Q5130">
        <v>0.21966507587128101</v>
      </c>
      <c r="R5130">
        <v>0.99369004830170704</v>
      </c>
      <c r="S5130" t="s">
        <v>11746</v>
      </c>
      <c r="T5130" t="s">
        <v>13232</v>
      </c>
      <c r="U5130" t="s">
        <v>13232</v>
      </c>
      <c r="V5130" t="s">
        <v>13232</v>
      </c>
      <c r="W5130" t="s">
        <v>18295</v>
      </c>
      <c r="X5130">
        <v>18</v>
      </c>
      <c r="Y5130" t="s">
        <v>24697</v>
      </c>
      <c r="Z5130" t="s">
        <v>31261</v>
      </c>
      <c r="AA5130">
        <v>0.58424350708615869</v>
      </c>
      <c r="AB5130" t="str">
        <f>HYPERLINK("Melting_Curves/meltCurve_Q96RN5_MED15.pdf", "Melting_Curves/meltCurve_Q96RN5_MED15.pdf")</f>
        <v>Melting_Curves/meltCurve_Q96RN5_MED15.pdf</v>
      </c>
    </row>
    <row r="5131" spans="1:28" x14ac:dyDescent="0.25">
      <c r="A5131" t="s">
        <v>5134</v>
      </c>
      <c r="B5131">
        <v>0.99930955844802105</v>
      </c>
      <c r="C5131">
        <v>0.97745841574154402</v>
      </c>
      <c r="D5131">
        <v>0.87617655493894497</v>
      </c>
      <c r="E5131">
        <v>0.52505755847196001</v>
      </c>
      <c r="F5131">
        <v>0.19675534336175299</v>
      </c>
      <c r="G5131">
        <v>0.12967789282078601</v>
      </c>
      <c r="H5131">
        <v>8.0935116445614602E-2</v>
      </c>
      <c r="I5131">
        <v>7.0497484848195804E-2</v>
      </c>
      <c r="J5131">
        <v>6.8292023045048805E-2</v>
      </c>
      <c r="K5131">
        <v>5.07337914435683E-2</v>
      </c>
      <c r="L5131">
        <v>1240.9275462032999</v>
      </c>
      <c r="M5131">
        <v>24.948595970904002</v>
      </c>
      <c r="N5131">
        <v>50.021674558307801</v>
      </c>
      <c r="O5131">
        <v>49.423112737686203</v>
      </c>
      <c r="P5131">
        <v>-0.117913432579888</v>
      </c>
      <c r="Q5131">
        <v>6.5667719770348396E-2</v>
      </c>
      <c r="R5131">
        <v>0.998018354935857</v>
      </c>
      <c r="S5131" t="s">
        <v>11747</v>
      </c>
      <c r="T5131" t="s">
        <v>13232</v>
      </c>
      <c r="U5131" t="s">
        <v>13232</v>
      </c>
      <c r="V5131" t="s">
        <v>13232</v>
      </c>
      <c r="W5131" t="s">
        <v>18296</v>
      </c>
      <c r="X5131">
        <v>17</v>
      </c>
      <c r="Y5131" t="s">
        <v>24698</v>
      </c>
      <c r="Z5131" t="s">
        <v>31262</v>
      </c>
      <c r="AA5131">
        <v>0.37735897514433958</v>
      </c>
      <c r="AB5131" t="str">
        <f>HYPERLINK("Melting_Curves/meltCurve_Q96RP9_GFM1.pdf", "Melting_Curves/meltCurve_Q96RP9_GFM1.pdf")</f>
        <v>Melting_Curves/meltCurve_Q96RP9_GFM1.pdf</v>
      </c>
    </row>
    <row r="5132" spans="1:28" x14ac:dyDescent="0.25">
      <c r="A5132" t="s">
        <v>5135</v>
      </c>
      <c r="B5132">
        <v>0.99930955844802105</v>
      </c>
      <c r="C5132">
        <v>0.75103423818245496</v>
      </c>
      <c r="D5132">
        <v>0.74984173887999706</v>
      </c>
      <c r="E5132">
        <v>0.52051310695556596</v>
      </c>
      <c r="F5132">
        <v>0.228325051972949</v>
      </c>
      <c r="G5132">
        <v>0.15582479169350399</v>
      </c>
      <c r="H5132">
        <v>0.114086771915518</v>
      </c>
      <c r="I5132">
        <v>7.8595125451753095E-2</v>
      </c>
      <c r="J5132">
        <v>7.7733766615887906E-2</v>
      </c>
      <c r="K5132">
        <v>5.3817089466968698E-2</v>
      </c>
      <c r="L5132">
        <v>622.92438838464102</v>
      </c>
      <c r="M5132">
        <v>12.714260959927399</v>
      </c>
      <c r="N5132">
        <v>49.244736819400899</v>
      </c>
      <c r="O5132">
        <v>47.829551528914202</v>
      </c>
      <c r="P5132">
        <v>-6.4386865198041099E-2</v>
      </c>
      <c r="Q5132">
        <v>3.1323374113294798E-2</v>
      </c>
      <c r="R5132">
        <v>0.97541891042455897</v>
      </c>
      <c r="S5132" t="s">
        <v>11748</v>
      </c>
      <c r="T5132" t="s">
        <v>13232</v>
      </c>
      <c r="U5132" t="s">
        <v>13232</v>
      </c>
      <c r="V5132" t="s">
        <v>13232</v>
      </c>
      <c r="W5132" t="s">
        <v>18297</v>
      </c>
      <c r="X5132">
        <v>5</v>
      </c>
      <c r="Y5132" t="s">
        <v>24699</v>
      </c>
      <c r="Z5132" t="s">
        <v>31263</v>
      </c>
      <c r="AA5132">
        <v>0.35399614255782802</v>
      </c>
      <c r="AB5132" t="str">
        <f>HYPERLINK("Melting_Curves/meltCurve_Q96RQ3_MCCC1.pdf", "Melting_Curves/meltCurve_Q96RQ3_MCCC1.pdf")</f>
        <v>Melting_Curves/meltCurve_Q96RQ3_MCCC1.pdf</v>
      </c>
    </row>
    <row r="5133" spans="1:28" x14ac:dyDescent="0.25">
      <c r="A5133" t="s">
        <v>5136</v>
      </c>
      <c r="B5133">
        <v>0.99930955844802105</v>
      </c>
      <c r="C5133">
        <v>0.95875878482159504</v>
      </c>
      <c r="D5133">
        <v>0.84994014510482596</v>
      </c>
      <c r="E5133">
        <v>0.698170279414707</v>
      </c>
      <c r="F5133">
        <v>0.52972754393216603</v>
      </c>
      <c r="G5133">
        <v>0.39606013035658599</v>
      </c>
      <c r="H5133">
        <v>0.34783098936071299</v>
      </c>
      <c r="I5133">
        <v>0.38962032119326001</v>
      </c>
      <c r="J5133">
        <v>0.34208163779473</v>
      </c>
      <c r="K5133">
        <v>0.29006051444324998</v>
      </c>
      <c r="L5133">
        <v>766.25625574654305</v>
      </c>
      <c r="M5133">
        <v>15.2089764596004</v>
      </c>
      <c r="N5133">
        <v>53.904525957638299</v>
      </c>
      <c r="O5133">
        <v>49.534914620265603</v>
      </c>
      <c r="P5133">
        <v>-5.2589688059448497E-2</v>
      </c>
      <c r="Q5133">
        <v>0.31493708487318101</v>
      </c>
      <c r="R5133">
        <v>0.99223855150519202</v>
      </c>
      <c r="S5133" t="s">
        <v>11749</v>
      </c>
      <c r="T5133" t="s">
        <v>13232</v>
      </c>
      <c r="U5133" t="s">
        <v>13232</v>
      </c>
      <c r="V5133" t="s">
        <v>13232</v>
      </c>
      <c r="W5133" t="s">
        <v>18298</v>
      </c>
      <c r="X5133">
        <v>10</v>
      </c>
      <c r="Y5133" t="s">
        <v>24700</v>
      </c>
      <c r="Z5133" t="s">
        <v>31264</v>
      </c>
      <c r="AA5133">
        <v>0.56776733004556035</v>
      </c>
      <c r="AB5133" t="str">
        <f>HYPERLINK("Melting_Curves/meltCurve_Q96RR4_6_CAMKK2.pdf", "Melting_Curves/meltCurve_Q96RR4_6_CAMKK2.pdf")</f>
        <v>Melting_Curves/meltCurve_Q96RR4_6_CAMKK2.pdf</v>
      </c>
    </row>
    <row r="5134" spans="1:28" x14ac:dyDescent="0.25">
      <c r="A5134" t="s">
        <v>5137</v>
      </c>
      <c r="B5134">
        <v>0.99930955844802105</v>
      </c>
      <c r="C5134">
        <v>0.94205456112892205</v>
      </c>
      <c r="D5134">
        <v>0.82032731416028004</v>
      </c>
      <c r="E5134">
        <v>0.73421662375873797</v>
      </c>
      <c r="F5134">
        <v>0.52511531765032005</v>
      </c>
      <c r="G5134">
        <v>0.42495778703574699</v>
      </c>
      <c r="H5134">
        <v>0.321976466597028</v>
      </c>
      <c r="I5134">
        <v>0.30690454116159899</v>
      </c>
      <c r="J5134">
        <v>0.30942965776041298</v>
      </c>
      <c r="K5134">
        <v>0.22956459709562799</v>
      </c>
      <c r="L5134">
        <v>614.79318353626695</v>
      </c>
      <c r="M5134">
        <v>11.8978779516213</v>
      </c>
      <c r="N5134">
        <v>54.442400485970502</v>
      </c>
      <c r="O5134">
        <v>50.277651562020203</v>
      </c>
      <c r="P5134">
        <v>-4.5739549058763797E-2</v>
      </c>
      <c r="Q5134">
        <v>0.22705405008113899</v>
      </c>
      <c r="R5134">
        <v>0.99047133030923995</v>
      </c>
      <c r="S5134" t="s">
        <v>11750</v>
      </c>
      <c r="T5134" t="s">
        <v>13232</v>
      </c>
      <c r="U5134" t="s">
        <v>13232</v>
      </c>
      <c r="V5134" t="s">
        <v>13232</v>
      </c>
      <c r="W5134" t="s">
        <v>18299</v>
      </c>
      <c r="X5134">
        <v>13</v>
      </c>
      <c r="Y5134" t="s">
        <v>24701</v>
      </c>
      <c r="Z5134" t="s">
        <v>31265</v>
      </c>
      <c r="AA5134">
        <v>0.55224097160248775</v>
      </c>
      <c r="AB5134" t="str">
        <f>HYPERLINK("Melting_Curves/meltCurve_Q96RS0_TGS1.pdf", "Melting_Curves/meltCurve_Q96RS0_TGS1.pdf")</f>
        <v>Melting_Curves/meltCurve_Q96RS0_TGS1.pdf</v>
      </c>
    </row>
    <row r="5135" spans="1:28" x14ac:dyDescent="0.25">
      <c r="A5135" t="s">
        <v>5138</v>
      </c>
      <c r="B5135">
        <v>0.99930955844802105</v>
      </c>
      <c r="C5135">
        <v>1.1679813725388499</v>
      </c>
      <c r="D5135">
        <v>1.22496620023605</v>
      </c>
      <c r="E5135">
        <v>1.21997498505794</v>
      </c>
      <c r="F5135">
        <v>0.98407095378203502</v>
      </c>
      <c r="G5135">
        <v>0.43158169042383399</v>
      </c>
      <c r="H5135">
        <v>0.18590332346525801</v>
      </c>
      <c r="I5135">
        <v>0.116341946717979</v>
      </c>
      <c r="J5135">
        <v>8.3789225289009103E-2</v>
      </c>
      <c r="K5135">
        <v>5.9015708066299598E-2</v>
      </c>
      <c r="L5135">
        <v>2864.83568329834</v>
      </c>
      <c r="M5135">
        <v>50.766216515342201</v>
      </c>
      <c r="N5135">
        <v>56.692716116745402</v>
      </c>
      <c r="O5135">
        <v>56.344572112539502</v>
      </c>
      <c r="P5135">
        <v>-0.20179383404826001</v>
      </c>
      <c r="Q5135">
        <v>0.104130355247952</v>
      </c>
      <c r="R5135">
        <v>0.94333213227213697</v>
      </c>
      <c r="S5135" t="s">
        <v>11751</v>
      </c>
      <c r="T5135" t="s">
        <v>13232</v>
      </c>
      <c r="U5135" t="s">
        <v>13232</v>
      </c>
      <c r="V5135" t="s">
        <v>13232</v>
      </c>
      <c r="W5135" t="s">
        <v>18300</v>
      </c>
      <c r="X5135">
        <v>24</v>
      </c>
      <c r="Y5135" t="s">
        <v>24702</v>
      </c>
      <c r="Z5135" t="s">
        <v>31266</v>
      </c>
      <c r="AA5135">
        <v>0.59698598871555997</v>
      </c>
      <c r="AB5135" t="str">
        <f>HYPERLINK("Melting_Curves/meltCurve_Q96RS6_NUDCD1.pdf", "Melting_Curves/meltCurve_Q96RS6_NUDCD1.pdf")</f>
        <v>Melting_Curves/meltCurve_Q96RS6_NUDCD1.pdf</v>
      </c>
    </row>
    <row r="5136" spans="1:28" x14ac:dyDescent="0.25">
      <c r="A5136" t="s">
        <v>5139</v>
      </c>
      <c r="B5136">
        <v>0.99930955844802105</v>
      </c>
      <c r="C5136">
        <v>1.0424187851620099</v>
      </c>
      <c r="D5136">
        <v>1.02708654533057</v>
      </c>
      <c r="E5136">
        <v>0.99084770074233597</v>
      </c>
      <c r="F5136">
        <v>0.84319618328630497</v>
      </c>
      <c r="G5136">
        <v>0.66023491822162905</v>
      </c>
      <c r="H5136">
        <v>0.68562202779331205</v>
      </c>
      <c r="I5136">
        <v>0.65675482251533202</v>
      </c>
      <c r="J5136">
        <v>0.66299282471338605</v>
      </c>
      <c r="K5136">
        <v>0.52770234573276598</v>
      </c>
      <c r="L5136">
        <v>2115.1959692682599</v>
      </c>
      <c r="M5136">
        <v>39.558094840382502</v>
      </c>
      <c r="O5136">
        <v>53.334532371486901</v>
      </c>
      <c r="P5136">
        <v>-6.8269665729505893E-2</v>
      </c>
      <c r="Q5136">
        <v>0.63182027332888402</v>
      </c>
      <c r="R5136">
        <v>0.94670752687755599</v>
      </c>
      <c r="S5136" t="s">
        <v>11752</v>
      </c>
      <c r="T5136" t="s">
        <v>13232</v>
      </c>
      <c r="U5136" t="s">
        <v>13232</v>
      </c>
      <c r="V5136" t="s">
        <v>13232</v>
      </c>
      <c r="W5136" t="s">
        <v>18301</v>
      </c>
      <c r="X5136">
        <v>12</v>
      </c>
      <c r="Y5136" t="s">
        <v>24703</v>
      </c>
      <c r="Z5136" t="s">
        <v>31267</v>
      </c>
      <c r="AA5136">
        <v>0.79853001145012503</v>
      </c>
      <c r="AB5136" t="str">
        <f>HYPERLINK("Melting_Curves/meltCurve_Q96RT1_9_ERBB2IP.pdf", "Melting_Curves/meltCurve_Q96RT1_9_ERBB2IP.pdf")</f>
        <v>Melting_Curves/meltCurve_Q96RT1_9_ERBB2IP.pdf</v>
      </c>
    </row>
    <row r="5137" spans="1:28" x14ac:dyDescent="0.25">
      <c r="A5137" t="s">
        <v>5140</v>
      </c>
      <c r="B5137">
        <v>0.99930955844802105</v>
      </c>
      <c r="C5137">
        <v>0.94980755798150895</v>
      </c>
      <c r="D5137">
        <v>0.79330244713379805</v>
      </c>
      <c r="E5137">
        <v>0.50242640909200298</v>
      </c>
      <c r="F5137">
        <v>0.31080819857007802</v>
      </c>
      <c r="G5137">
        <v>0.23063078112076901</v>
      </c>
      <c r="H5137">
        <v>0.15086710820524599</v>
      </c>
      <c r="I5137">
        <v>0.144620511976461</v>
      </c>
      <c r="J5137">
        <v>0.125316318552366</v>
      </c>
      <c r="K5137">
        <v>9.5263127043799897E-2</v>
      </c>
      <c r="L5137">
        <v>832.90745594497105</v>
      </c>
      <c r="M5137">
        <v>16.894230693463001</v>
      </c>
      <c r="N5137">
        <v>50.087928580123098</v>
      </c>
      <c r="O5137">
        <v>48.626070940838403</v>
      </c>
      <c r="P5137">
        <v>-7.6741944364026898E-2</v>
      </c>
      <c r="Q5137">
        <v>0.11652139516827301</v>
      </c>
      <c r="R5137">
        <v>0.99772731258445801</v>
      </c>
      <c r="S5137" t="s">
        <v>11753</v>
      </c>
      <c r="T5137" t="s">
        <v>13232</v>
      </c>
      <c r="U5137" t="s">
        <v>13232</v>
      </c>
      <c r="V5137" t="s">
        <v>13232</v>
      </c>
      <c r="W5137" t="s">
        <v>18302</v>
      </c>
      <c r="X5137">
        <v>15</v>
      </c>
      <c r="Y5137" t="s">
        <v>24704</v>
      </c>
      <c r="Z5137" t="s">
        <v>31268</v>
      </c>
      <c r="AA5137">
        <v>0.40766075240858751</v>
      </c>
      <c r="AB5137" t="str">
        <f>HYPERLINK("Melting_Curves/meltCurve_Q96RU2_2_USP28.pdf", "Melting_Curves/meltCurve_Q96RU2_2_USP28.pdf")</f>
        <v>Melting_Curves/meltCurve_Q96RU2_2_USP28.pdf</v>
      </c>
    </row>
    <row r="5138" spans="1:28" x14ac:dyDescent="0.25">
      <c r="A5138" t="s">
        <v>5141</v>
      </c>
      <c r="B5138">
        <v>0.99930955844802105</v>
      </c>
      <c r="C5138">
        <v>1.1036095019629999</v>
      </c>
      <c r="D5138">
        <v>0.97514572101025798</v>
      </c>
      <c r="E5138">
        <v>0.63448743930144202</v>
      </c>
      <c r="F5138">
        <v>0.48436007361914002</v>
      </c>
      <c r="G5138">
        <v>0.40346884250391202</v>
      </c>
      <c r="H5138">
        <v>0.38942095412176098</v>
      </c>
      <c r="I5138">
        <v>0.37413872503276302</v>
      </c>
      <c r="J5138">
        <v>0.36689159094733198</v>
      </c>
      <c r="K5138">
        <v>0.29660861268383198</v>
      </c>
      <c r="L5138">
        <v>1503.63296373195</v>
      </c>
      <c r="M5138">
        <v>30.203610052331399</v>
      </c>
      <c r="N5138">
        <v>52.0466297441995</v>
      </c>
      <c r="O5138">
        <v>49.566521333807799</v>
      </c>
      <c r="P5138">
        <v>-9.6650256438865503E-2</v>
      </c>
      <c r="Q5138">
        <v>0.36556112177766098</v>
      </c>
      <c r="R5138">
        <v>0.97645329618453702</v>
      </c>
      <c r="S5138" t="s">
        <v>11754</v>
      </c>
      <c r="T5138" t="s">
        <v>13232</v>
      </c>
      <c r="U5138" t="s">
        <v>13232</v>
      </c>
      <c r="V5138" t="s">
        <v>13232</v>
      </c>
      <c r="W5138" t="s">
        <v>18303</v>
      </c>
      <c r="X5138">
        <v>21</v>
      </c>
      <c r="Y5138" t="s">
        <v>24705</v>
      </c>
      <c r="Z5138" t="s">
        <v>31269</v>
      </c>
      <c r="AA5138">
        <v>0.57631345347765339</v>
      </c>
      <c r="AB5138" t="str">
        <f>HYPERLINK("Melting_Curves/meltCurve_Q96RU3_2_FNBP1.pdf", "Melting_Curves/meltCurve_Q96RU3_2_FNBP1.pdf")</f>
        <v>Melting_Curves/meltCurve_Q96RU3_2_FNBP1.pdf</v>
      </c>
    </row>
    <row r="5139" spans="1:28" x14ac:dyDescent="0.25">
      <c r="A5139" t="s">
        <v>5142</v>
      </c>
      <c r="B5139">
        <v>0.99930955844802105</v>
      </c>
      <c r="C5139">
        <v>1.0528748247586299</v>
      </c>
      <c r="D5139">
        <v>0.93681371030948002</v>
      </c>
      <c r="E5139">
        <v>0.91065660001677196</v>
      </c>
      <c r="F5139">
        <v>0.72033654408236802</v>
      </c>
      <c r="G5139">
        <v>0.50660535411170704</v>
      </c>
      <c r="H5139">
        <v>0.43064835053040201</v>
      </c>
      <c r="I5139">
        <v>0.396663613745941</v>
      </c>
      <c r="J5139">
        <v>0.40766195551001599</v>
      </c>
      <c r="K5139">
        <v>0.295184477924475</v>
      </c>
      <c r="L5139">
        <v>1029.4525605819499</v>
      </c>
      <c r="M5139">
        <v>19.072781685608899</v>
      </c>
      <c r="N5139">
        <v>57.586649148509203</v>
      </c>
      <c r="O5139">
        <v>53.3921093996072</v>
      </c>
      <c r="P5139">
        <v>-5.8155283471165303E-2</v>
      </c>
      <c r="Q5139">
        <v>0.34882890663994298</v>
      </c>
      <c r="R5139">
        <v>0.98368370660159599</v>
      </c>
      <c r="S5139" t="s">
        <v>11755</v>
      </c>
      <c r="T5139" t="s">
        <v>13232</v>
      </c>
      <c r="U5139" t="s">
        <v>13232</v>
      </c>
      <c r="V5139" t="s">
        <v>13232</v>
      </c>
      <c r="W5139" t="s">
        <v>18304</v>
      </c>
      <c r="X5139">
        <v>2</v>
      </c>
      <c r="Y5139" t="s">
        <v>24706</v>
      </c>
      <c r="Z5139" t="s">
        <v>31270</v>
      </c>
      <c r="AA5139">
        <v>0.66171112719715142</v>
      </c>
      <c r="AB5139" t="str">
        <f>HYPERLINK("Melting_Curves/meltCurve_Q96S15_2_WDR24.pdf", "Melting_Curves/meltCurve_Q96S15_2_WDR24.pdf")</f>
        <v>Melting_Curves/meltCurve_Q96S15_2_WDR24.pdf</v>
      </c>
    </row>
    <row r="5140" spans="1:28" x14ac:dyDescent="0.25">
      <c r="A5140" t="s">
        <v>5143</v>
      </c>
      <c r="B5140">
        <v>0.99930955844802105</v>
      </c>
      <c r="C5140">
        <v>1.12417550457513</v>
      </c>
      <c r="D5140">
        <v>1.1007355518153099</v>
      </c>
      <c r="E5140">
        <v>0.65865328965737902</v>
      </c>
      <c r="F5140">
        <v>0.24266013737477701</v>
      </c>
      <c r="G5140">
        <v>0.167791356044001</v>
      </c>
      <c r="H5140">
        <v>0.12843878777322701</v>
      </c>
      <c r="I5140">
        <v>0.107851756187213</v>
      </c>
      <c r="J5140">
        <v>9.4600609760118498E-2</v>
      </c>
      <c r="K5140">
        <v>6.7758207098779499E-2</v>
      </c>
      <c r="L5140">
        <v>2155.8468240805601</v>
      </c>
      <c r="M5140">
        <v>42.574782624291601</v>
      </c>
      <c r="N5140">
        <v>50.943715291461302</v>
      </c>
      <c r="O5140">
        <v>50.525379038721901</v>
      </c>
      <c r="P5140">
        <v>-0.18682408425070901</v>
      </c>
      <c r="Q5140">
        <v>0.113151881153644</v>
      </c>
      <c r="R5140">
        <v>0.98173502550888903</v>
      </c>
      <c r="S5140" t="s">
        <v>11756</v>
      </c>
      <c r="T5140" t="s">
        <v>13232</v>
      </c>
      <c r="U5140" t="s">
        <v>13232</v>
      </c>
      <c r="V5140" t="s">
        <v>13232</v>
      </c>
      <c r="W5140" t="s">
        <v>18305</v>
      </c>
      <c r="X5140">
        <v>8</v>
      </c>
      <c r="Y5140" t="s">
        <v>24707</v>
      </c>
      <c r="Z5140" t="s">
        <v>31271</v>
      </c>
      <c r="AA5140">
        <v>0.43032766311793991</v>
      </c>
      <c r="AB5140" t="str">
        <f>HYPERLINK("Melting_Curves/meltCurve_Q96S19_C16orf13.pdf", "Melting_Curves/meltCurve_Q96S19_C16orf13.pdf")</f>
        <v>Melting_Curves/meltCurve_Q96S19_C16orf13.pdf</v>
      </c>
    </row>
    <row r="5141" spans="1:28" x14ac:dyDescent="0.25">
      <c r="A5141" t="s">
        <v>5144</v>
      </c>
      <c r="B5141">
        <v>0.99930955844802105</v>
      </c>
      <c r="C5141">
        <v>1.0087468467359899</v>
      </c>
      <c r="D5141">
        <v>0.95928805453965504</v>
      </c>
      <c r="E5141">
        <v>0.79973653345222795</v>
      </c>
      <c r="F5141">
        <v>0.59353836868132004</v>
      </c>
      <c r="G5141">
        <v>0.43155140707092499</v>
      </c>
      <c r="H5141">
        <v>0.37183835071267801</v>
      </c>
      <c r="I5141">
        <v>0.36344580247578501</v>
      </c>
      <c r="J5141">
        <v>0.34661551092836401</v>
      </c>
      <c r="K5141">
        <v>0.28622577783546399</v>
      </c>
      <c r="L5141">
        <v>1036.3791213373399</v>
      </c>
      <c r="M5141">
        <v>19.897344371241498</v>
      </c>
      <c r="N5141">
        <v>54.994463006637602</v>
      </c>
      <c r="O5141">
        <v>51.568745414548403</v>
      </c>
      <c r="P5141">
        <v>-6.5072854375074304E-2</v>
      </c>
      <c r="Q5141">
        <v>0.32541470355788099</v>
      </c>
      <c r="R5141">
        <v>0.99598230954516898</v>
      </c>
      <c r="S5141" t="s">
        <v>11757</v>
      </c>
      <c r="T5141" t="s">
        <v>13232</v>
      </c>
      <c r="U5141" t="s">
        <v>13232</v>
      </c>
      <c r="V5141" t="s">
        <v>13232</v>
      </c>
      <c r="W5141" t="s">
        <v>18306</v>
      </c>
      <c r="X5141">
        <v>15</v>
      </c>
      <c r="Y5141" t="s">
        <v>24708</v>
      </c>
      <c r="Z5141" t="s">
        <v>31272</v>
      </c>
      <c r="AA5141">
        <v>0.60660742091790831</v>
      </c>
      <c r="AB5141" t="str">
        <f>HYPERLINK("Melting_Curves/meltCurve_Q96S38_RPS6KC1.pdf", "Melting_Curves/meltCurve_Q96S38_RPS6KC1.pdf")</f>
        <v>Melting_Curves/meltCurve_Q96S38_RPS6KC1.pdf</v>
      </c>
    </row>
    <row r="5142" spans="1:28" x14ac:dyDescent="0.25">
      <c r="A5142" t="s">
        <v>5145</v>
      </c>
      <c r="B5142">
        <v>0.99930955844802105</v>
      </c>
      <c r="C5142">
        <v>0.99937004078559299</v>
      </c>
      <c r="D5142">
        <v>0.98668431232516096</v>
      </c>
      <c r="E5142">
        <v>0.87967330059670501</v>
      </c>
      <c r="F5142">
        <v>0.42939156652696298</v>
      </c>
      <c r="G5142">
        <v>0.163989180145584</v>
      </c>
      <c r="H5142">
        <v>9.2722955640351198E-2</v>
      </c>
      <c r="I5142">
        <v>7.5304787403922796E-2</v>
      </c>
      <c r="J5142">
        <v>6.8614038779518105E-2</v>
      </c>
      <c r="K5142">
        <v>5.35655010176153E-2</v>
      </c>
      <c r="L5142">
        <v>1881.3537280052301</v>
      </c>
      <c r="M5142">
        <v>35.899425269786001</v>
      </c>
      <c r="N5142">
        <v>52.653683542291702</v>
      </c>
      <c r="O5142">
        <v>52.244425030471497</v>
      </c>
      <c r="P5142">
        <v>-0.158451879422907</v>
      </c>
      <c r="Q5142">
        <v>7.7623160905048894E-2</v>
      </c>
      <c r="R5142">
        <v>0.99829385730658904</v>
      </c>
      <c r="S5142" t="s">
        <v>11758</v>
      </c>
      <c r="T5142" t="s">
        <v>13232</v>
      </c>
      <c r="U5142" t="s">
        <v>13232</v>
      </c>
      <c r="V5142" t="s">
        <v>13232</v>
      </c>
      <c r="W5142" t="s">
        <v>18307</v>
      </c>
      <c r="X5142">
        <v>8</v>
      </c>
      <c r="Y5142" t="s">
        <v>24709</v>
      </c>
      <c r="Z5142" t="s">
        <v>31273</v>
      </c>
      <c r="AA5142">
        <v>0.46321221814863289</v>
      </c>
      <c r="AB5142" t="str">
        <f>HYPERLINK("Melting_Curves/meltCurve_Q96S44_TP53RK.pdf", "Melting_Curves/meltCurve_Q96S44_TP53RK.pdf")</f>
        <v>Melting_Curves/meltCurve_Q96S44_TP53RK.pdf</v>
      </c>
    </row>
    <row r="5143" spans="1:28" x14ac:dyDescent="0.25">
      <c r="A5143" t="s">
        <v>5146</v>
      </c>
      <c r="B5143">
        <v>0.99930955844802105</v>
      </c>
      <c r="C5143">
        <v>0.61474023888469698</v>
      </c>
      <c r="D5143">
        <v>0.445548439057529</v>
      </c>
      <c r="E5143">
        <v>0.64383380489673203</v>
      </c>
      <c r="F5143">
        <v>0.34291652506637199</v>
      </c>
      <c r="G5143">
        <v>0.11413728886135099</v>
      </c>
      <c r="H5143">
        <v>9.3682771870232801E-2</v>
      </c>
      <c r="I5143">
        <v>0.10030145395665201</v>
      </c>
      <c r="J5143">
        <v>9.0044828759809098E-2</v>
      </c>
      <c r="K5143">
        <v>7.7868658423322301E-2</v>
      </c>
      <c r="L5143">
        <v>411.23633925791597</v>
      </c>
      <c r="M5143">
        <v>8.5504846044866696</v>
      </c>
      <c r="N5143">
        <v>48.095091950359802</v>
      </c>
      <c r="O5143">
        <v>45.681011822028402</v>
      </c>
      <c r="P5143">
        <v>-4.6835759953669599E-2</v>
      </c>
      <c r="Q5143">
        <v>0</v>
      </c>
      <c r="R5143">
        <v>0.86513894218695198</v>
      </c>
      <c r="S5143" t="s">
        <v>11759</v>
      </c>
      <c r="T5143" t="s">
        <v>13232</v>
      </c>
      <c r="U5143" t="s">
        <v>13232</v>
      </c>
      <c r="V5143" t="s">
        <v>13232</v>
      </c>
      <c r="W5143" t="s">
        <v>18308</v>
      </c>
      <c r="X5143">
        <v>3</v>
      </c>
      <c r="Y5143" t="s">
        <v>24710</v>
      </c>
      <c r="Z5143" t="s">
        <v>31274</v>
      </c>
      <c r="AA5143">
        <v>0.33580090248854733</v>
      </c>
      <c r="AB5143" t="str">
        <f>HYPERLINK("Melting_Curves/meltCurve_Q96S52_2_PIGS.pdf", "Melting_Curves/meltCurve_Q96S52_2_PIGS.pdf")</f>
        <v>Melting_Curves/meltCurve_Q96S52_2_PIGS.pdf</v>
      </c>
    </row>
    <row r="5144" spans="1:28" x14ac:dyDescent="0.25">
      <c r="A5144" t="s">
        <v>5147</v>
      </c>
      <c r="B5144">
        <v>0.99930955844802105</v>
      </c>
      <c r="C5144">
        <v>0.71726249240161</v>
      </c>
      <c r="D5144">
        <v>0.59124063559731499</v>
      </c>
      <c r="E5144">
        <v>0.53499308468410001</v>
      </c>
      <c r="F5144">
        <v>0.46160431519353101</v>
      </c>
      <c r="G5144">
        <v>0.392667787225912</v>
      </c>
      <c r="H5144">
        <v>0.357294112119389</v>
      </c>
      <c r="I5144">
        <v>0.36248522400698502</v>
      </c>
      <c r="J5144">
        <v>0.38836101924496402</v>
      </c>
      <c r="K5144">
        <v>0.30429535719310702</v>
      </c>
      <c r="L5144">
        <v>602.94507640203506</v>
      </c>
      <c r="M5144">
        <v>13.385371305564499</v>
      </c>
      <c r="N5144">
        <v>49.559315047333499</v>
      </c>
      <c r="O5144">
        <v>44.075305980683197</v>
      </c>
      <c r="P5144">
        <v>-4.9185330544535603E-2</v>
      </c>
      <c r="Q5144">
        <v>0.35227285391615998</v>
      </c>
      <c r="R5144">
        <v>0.94403948890872003</v>
      </c>
      <c r="S5144" t="s">
        <v>11760</v>
      </c>
      <c r="T5144" t="s">
        <v>13232</v>
      </c>
      <c r="U5144" t="s">
        <v>13232</v>
      </c>
      <c r="V5144" t="s">
        <v>13232</v>
      </c>
      <c r="W5144" t="s">
        <v>18309</v>
      </c>
      <c r="X5144">
        <v>8</v>
      </c>
      <c r="Y5144" t="s">
        <v>24711</v>
      </c>
      <c r="Z5144" t="s">
        <v>31275</v>
      </c>
      <c r="AA5144">
        <v>0.48732561808601932</v>
      </c>
      <c r="AB5144" t="str">
        <f>HYPERLINK("Melting_Curves/meltCurve_Q96S55_2_WRNIP1.pdf", "Melting_Curves/meltCurve_Q96S55_2_WRNIP1.pdf")</f>
        <v>Melting_Curves/meltCurve_Q96S55_2_WRNIP1.pdf</v>
      </c>
    </row>
    <row r="5145" spans="1:28" x14ac:dyDescent="0.25">
      <c r="A5145" t="s">
        <v>5148</v>
      </c>
      <c r="B5145">
        <v>0.99930955844802105</v>
      </c>
      <c r="C5145">
        <v>0.43075994079693702</v>
      </c>
      <c r="D5145">
        <v>0.49655743830904298</v>
      </c>
      <c r="E5145">
        <v>0.52108969933507998</v>
      </c>
      <c r="F5145">
        <v>0.29960415389973999</v>
      </c>
      <c r="G5145">
        <v>0.14002430169418001</v>
      </c>
      <c r="H5145">
        <v>5.8977528995843201E-2</v>
      </c>
      <c r="I5145">
        <v>5.09103305172314E-2</v>
      </c>
      <c r="J5145">
        <v>4.5222886953927698E-2</v>
      </c>
      <c r="K5145">
        <v>3.8749403175712398E-2</v>
      </c>
      <c r="L5145">
        <v>405.46205332134701</v>
      </c>
      <c r="M5145">
        <v>8.7051254074715505</v>
      </c>
      <c r="N5145">
        <v>46.5773948295938</v>
      </c>
      <c r="O5145">
        <v>44.315307038950301</v>
      </c>
      <c r="P5145">
        <v>-4.91494579656842E-2</v>
      </c>
      <c r="Q5145">
        <v>0</v>
      </c>
      <c r="R5145">
        <v>0.84636387151206105</v>
      </c>
      <c r="S5145" t="s">
        <v>11761</v>
      </c>
      <c r="T5145" t="s">
        <v>13232</v>
      </c>
      <c r="U5145" t="s">
        <v>13232</v>
      </c>
      <c r="V5145" t="s">
        <v>13232</v>
      </c>
      <c r="W5145" t="s">
        <v>18310</v>
      </c>
      <c r="X5145">
        <v>13</v>
      </c>
      <c r="Y5145" t="s">
        <v>24712</v>
      </c>
      <c r="Z5145" t="s">
        <v>31276</v>
      </c>
      <c r="AA5145">
        <v>0.29285127977947428</v>
      </c>
      <c r="AB5145" t="str">
        <f>HYPERLINK("Melting_Curves/meltCurve_Q96S59_RANBP9.pdf", "Melting_Curves/meltCurve_Q96S59_RANBP9.pdf")</f>
        <v>Melting_Curves/meltCurve_Q96S59_RANBP9.pdf</v>
      </c>
    </row>
    <row r="5146" spans="1:28" x14ac:dyDescent="0.25">
      <c r="A5146" t="s">
        <v>5149</v>
      </c>
      <c r="B5146">
        <v>0.99930955844802105</v>
      </c>
      <c r="C5146">
        <v>1.0453480776825099</v>
      </c>
      <c r="D5146">
        <v>0.937171214953058</v>
      </c>
      <c r="E5146">
        <v>1.01074145713409</v>
      </c>
      <c r="F5146">
        <v>0.92128739498591505</v>
      </c>
      <c r="G5146">
        <v>0.94181689685286196</v>
      </c>
      <c r="H5146">
        <v>0.83657713629379704</v>
      </c>
      <c r="I5146">
        <v>1.07406135171243</v>
      </c>
      <c r="J5146">
        <v>0.99515662223277901</v>
      </c>
      <c r="K5146">
        <v>0.81141733511233305</v>
      </c>
      <c r="L5146">
        <v>12870.7585831299</v>
      </c>
      <c r="M5146">
        <v>250</v>
      </c>
      <c r="O5146">
        <v>51.479741686945196</v>
      </c>
      <c r="P5146">
        <v>-8.4929135854192594E-2</v>
      </c>
      <c r="Q5146">
        <v>0.93004592309170098</v>
      </c>
      <c r="R5146">
        <v>0.17032104988588601</v>
      </c>
      <c r="S5146" t="s">
        <v>11762</v>
      </c>
      <c r="T5146" t="s">
        <v>13232</v>
      </c>
      <c r="U5146" t="s">
        <v>13232</v>
      </c>
      <c r="V5146" t="s">
        <v>13232</v>
      </c>
      <c r="W5146" t="s">
        <v>18311</v>
      </c>
      <c r="X5146">
        <v>3</v>
      </c>
      <c r="Y5146" t="s">
        <v>24713</v>
      </c>
      <c r="Z5146" t="s">
        <v>31277</v>
      </c>
      <c r="AA5146">
        <v>0.95682841247173167</v>
      </c>
      <c r="AB5146" t="str">
        <f>HYPERLINK("Melting_Curves/meltCurve_Q96S66_4_CLCC1.pdf", "Melting_Curves/meltCurve_Q96S66_4_CLCC1.pdf")</f>
        <v>Melting_Curves/meltCurve_Q96S66_4_CLCC1.pdf</v>
      </c>
    </row>
    <row r="5147" spans="1:28" x14ac:dyDescent="0.25">
      <c r="A5147" t="s">
        <v>5150</v>
      </c>
      <c r="B5147">
        <v>0.99930955844802105</v>
      </c>
      <c r="C5147">
        <v>1.04401731857069</v>
      </c>
      <c r="D5147">
        <v>1.02513406797367</v>
      </c>
      <c r="E5147">
        <v>0.91636939882798896</v>
      </c>
      <c r="F5147">
        <v>0.49902928410665998</v>
      </c>
      <c r="G5147">
        <v>0.28331935972212802</v>
      </c>
      <c r="H5147">
        <v>0.20640129595619799</v>
      </c>
      <c r="I5147">
        <v>0.19920733193925799</v>
      </c>
      <c r="J5147">
        <v>0.20468608077954201</v>
      </c>
      <c r="K5147">
        <v>0.16651123641941301</v>
      </c>
      <c r="L5147">
        <v>2104.2893769731299</v>
      </c>
      <c r="M5147">
        <v>40.147282751310598</v>
      </c>
      <c r="N5147">
        <v>53.105047738797502</v>
      </c>
      <c r="O5147">
        <v>52.284706431769798</v>
      </c>
      <c r="P5147">
        <v>-0.15291809922915101</v>
      </c>
      <c r="Q5147">
        <v>0.20340703062950999</v>
      </c>
      <c r="R5147">
        <v>0.994876078963852</v>
      </c>
      <c r="S5147" t="s">
        <v>11763</v>
      </c>
      <c r="T5147" t="s">
        <v>13232</v>
      </c>
      <c r="U5147" t="s">
        <v>13232</v>
      </c>
      <c r="V5147" t="s">
        <v>13232</v>
      </c>
      <c r="W5147" t="s">
        <v>18312</v>
      </c>
      <c r="X5147">
        <v>4</v>
      </c>
      <c r="Y5147" t="s">
        <v>24714</v>
      </c>
      <c r="Z5147" t="s">
        <v>31278</v>
      </c>
      <c r="AA5147">
        <v>0.53590650141000717</v>
      </c>
      <c r="AB5147" t="str">
        <f>HYPERLINK("Melting_Curves/meltCurve_Q96S82_UBL7.pdf", "Melting_Curves/meltCurve_Q96S82_UBL7.pdf")</f>
        <v>Melting_Curves/meltCurve_Q96S82_UBL7.pdf</v>
      </c>
    </row>
    <row r="5148" spans="1:28" x14ac:dyDescent="0.25">
      <c r="A5148" t="s">
        <v>5151</v>
      </c>
      <c r="B5148">
        <v>0.99930955844802105</v>
      </c>
      <c r="C5148">
        <v>0.96809805631736701</v>
      </c>
      <c r="D5148">
        <v>0.95080501312736398</v>
      </c>
      <c r="E5148">
        <v>0.88079015452881904</v>
      </c>
      <c r="F5148">
        <v>0.72898744687744399</v>
      </c>
      <c r="G5148">
        <v>0.55784667408235999</v>
      </c>
      <c r="H5148">
        <v>0.496461093912687</v>
      </c>
      <c r="I5148">
        <v>0.55203484642798795</v>
      </c>
      <c r="J5148">
        <v>0.49921262962781399</v>
      </c>
      <c r="K5148">
        <v>0.40833800906714901</v>
      </c>
      <c r="L5148">
        <v>951.79381021633696</v>
      </c>
      <c r="M5148">
        <v>17.976499474311701</v>
      </c>
      <c r="N5148">
        <v>61.941203294184199</v>
      </c>
      <c r="O5148">
        <v>52.304385563239798</v>
      </c>
      <c r="P5148">
        <v>-4.6121369437625299E-2</v>
      </c>
      <c r="Q5148">
        <v>0.463247953908901</v>
      </c>
      <c r="R5148">
        <v>0.97743793392022504</v>
      </c>
      <c r="S5148" t="s">
        <v>11764</v>
      </c>
      <c r="T5148" t="s">
        <v>13232</v>
      </c>
      <c r="U5148" t="s">
        <v>13232</v>
      </c>
      <c r="V5148" t="s">
        <v>13232</v>
      </c>
      <c r="W5148" t="s">
        <v>18313</v>
      </c>
      <c r="X5148">
        <v>7</v>
      </c>
      <c r="Y5148" t="s">
        <v>24715</v>
      </c>
      <c r="Z5148" t="s">
        <v>31279</v>
      </c>
      <c r="AA5148">
        <v>0.70370047658699553</v>
      </c>
      <c r="AB5148" t="str">
        <f>HYPERLINK("Melting_Curves/meltCurve_Q96S90_LYSMD1.pdf", "Melting_Curves/meltCurve_Q96S90_LYSMD1.pdf")</f>
        <v>Melting_Curves/meltCurve_Q96S90_LYSMD1.pdf</v>
      </c>
    </row>
    <row r="5149" spans="1:28" x14ac:dyDescent="0.25">
      <c r="A5149" t="s">
        <v>5152</v>
      </c>
      <c r="B5149">
        <v>0.99930955844802105</v>
      </c>
      <c r="C5149">
        <v>0.64712417108669795</v>
      </c>
      <c r="D5149">
        <v>0.33656970610546</v>
      </c>
      <c r="E5149">
        <v>0.21308462470607201</v>
      </c>
      <c r="F5149">
        <v>0.12339495222981001</v>
      </c>
      <c r="G5149">
        <v>8.8405892653147106E-2</v>
      </c>
      <c r="H5149">
        <v>3.6823893685890799E-2</v>
      </c>
      <c r="I5149">
        <v>2.1069465945994102E-2</v>
      </c>
      <c r="J5149">
        <v>1.6763500576478699E-2</v>
      </c>
      <c r="K5149">
        <v>1.53233820936546E-2</v>
      </c>
      <c r="L5149">
        <v>860.350109768278</v>
      </c>
      <c r="M5149">
        <v>19.3424984448747</v>
      </c>
      <c r="N5149">
        <v>44.696361857527897</v>
      </c>
      <c r="O5149">
        <v>44.0125111813215</v>
      </c>
      <c r="P5149">
        <v>-0.104957800251053</v>
      </c>
      <c r="Q5149">
        <v>4.4738265178549397E-2</v>
      </c>
      <c r="R5149">
        <v>0.977521364339766</v>
      </c>
      <c r="S5149" t="s">
        <v>11765</v>
      </c>
      <c r="T5149" t="s">
        <v>13232</v>
      </c>
      <c r="U5149" t="s">
        <v>13232</v>
      </c>
      <c r="V5149" t="s">
        <v>13232</v>
      </c>
      <c r="W5149" t="s">
        <v>18314</v>
      </c>
      <c r="X5149">
        <v>6</v>
      </c>
      <c r="Y5149" t="s">
        <v>24716</v>
      </c>
      <c r="Z5149" t="s">
        <v>31280</v>
      </c>
      <c r="AA5149">
        <v>0.20603664364562629</v>
      </c>
      <c r="AB5149" t="str">
        <f>HYPERLINK("Melting_Curves/meltCurve_Q96S94_CCNL2.pdf", "Melting_Curves/meltCurve_Q96S94_CCNL2.pdf")</f>
        <v>Melting_Curves/meltCurve_Q96S94_CCNL2.pdf</v>
      </c>
    </row>
    <row r="5150" spans="1:28" x14ac:dyDescent="0.25">
      <c r="A5150" t="s">
        <v>5153</v>
      </c>
      <c r="B5150">
        <v>0.99930955844802105</v>
      </c>
      <c r="C5150">
        <v>1.0773367395541</v>
      </c>
      <c r="D5150">
        <v>1.02157688540499</v>
      </c>
      <c r="E5150">
        <v>0.67424462092466497</v>
      </c>
      <c r="F5150">
        <v>0.34269237989578499</v>
      </c>
      <c r="G5150">
        <v>0.227591020692613</v>
      </c>
      <c r="H5150">
        <v>0.15627299628715599</v>
      </c>
      <c r="I5150">
        <v>0.15473807965146999</v>
      </c>
      <c r="J5150">
        <v>0.143205243678725</v>
      </c>
      <c r="K5150">
        <v>0.109858313989026</v>
      </c>
      <c r="L5150">
        <v>1573.01117979377</v>
      </c>
      <c r="M5150">
        <v>30.9046433263327</v>
      </c>
      <c r="N5150">
        <v>51.492153966063903</v>
      </c>
      <c r="O5150">
        <v>50.687173980331302</v>
      </c>
      <c r="P5150">
        <v>-0.12959644371505</v>
      </c>
      <c r="Q5150">
        <v>0.14979260600418601</v>
      </c>
      <c r="R5150">
        <v>0.99112052970405895</v>
      </c>
      <c r="S5150" t="s">
        <v>11766</v>
      </c>
      <c r="T5150" t="s">
        <v>13232</v>
      </c>
      <c r="U5150" t="s">
        <v>13232</v>
      </c>
      <c r="V5150" t="s">
        <v>13232</v>
      </c>
      <c r="W5150" t="s">
        <v>18315</v>
      </c>
      <c r="X5150">
        <v>11</v>
      </c>
      <c r="Y5150" t="s">
        <v>24717</v>
      </c>
      <c r="Z5150" t="s">
        <v>31281</v>
      </c>
      <c r="AA5150">
        <v>0.4636969849063069</v>
      </c>
      <c r="AB5150" t="str">
        <f>HYPERLINK("Melting_Curves/meltCurve_Q96S99_PLEKHF1.pdf", "Melting_Curves/meltCurve_Q96S99_PLEKHF1.pdf")</f>
        <v>Melting_Curves/meltCurve_Q96S99_PLEKHF1.pdf</v>
      </c>
    </row>
    <row r="5151" spans="1:28" x14ac:dyDescent="0.25">
      <c r="A5151" t="s">
        <v>5154</v>
      </c>
      <c r="B5151">
        <v>0.99930955844802105</v>
      </c>
      <c r="C5151">
        <v>1.0749666224790799</v>
      </c>
      <c r="D5151">
        <v>1.0616367528662001</v>
      </c>
      <c r="E5151">
        <v>0.95068080710046099</v>
      </c>
      <c r="F5151">
        <v>0.80077546508531505</v>
      </c>
      <c r="G5151">
        <v>0.67415156047583402</v>
      </c>
      <c r="H5151">
        <v>0.64157809057506598</v>
      </c>
      <c r="I5151">
        <v>0.71833637034559505</v>
      </c>
      <c r="J5151">
        <v>0.72155569416469401</v>
      </c>
      <c r="K5151">
        <v>0.60879455506221503</v>
      </c>
      <c r="L5151">
        <v>2163.10697296935</v>
      </c>
      <c r="M5151">
        <v>41.298148258120001</v>
      </c>
      <c r="O5151">
        <v>52.255462949124599</v>
      </c>
      <c r="P5151">
        <v>-6.5031764369550202E-2</v>
      </c>
      <c r="Q5151">
        <v>0.67085610785045702</v>
      </c>
      <c r="R5151">
        <v>0.93359550517496404</v>
      </c>
      <c r="S5151" t="s">
        <v>11767</v>
      </c>
      <c r="T5151" t="s">
        <v>13232</v>
      </c>
      <c r="U5151" t="s">
        <v>13232</v>
      </c>
      <c r="V5151" t="s">
        <v>13232</v>
      </c>
      <c r="W5151" t="s">
        <v>18316</v>
      </c>
      <c r="X5151">
        <v>21</v>
      </c>
      <c r="Y5151" t="s">
        <v>24718</v>
      </c>
      <c r="Z5151" t="s">
        <v>31282</v>
      </c>
      <c r="AA5151">
        <v>0.80777574490541448</v>
      </c>
      <c r="AB5151" t="str">
        <f>HYPERLINK("Melting_Curves/meltCurve_Q96SB3_PPP1R9B.pdf", "Melting_Curves/meltCurve_Q96SB3_PPP1R9B.pdf")</f>
        <v>Melting_Curves/meltCurve_Q96SB3_PPP1R9B.pdf</v>
      </c>
    </row>
    <row r="5152" spans="1:28" x14ac:dyDescent="0.25">
      <c r="A5152" t="s">
        <v>5155</v>
      </c>
      <c r="B5152">
        <v>0.99930955844802105</v>
      </c>
      <c r="C5152">
        <v>0.86239052437519703</v>
      </c>
      <c r="D5152">
        <v>0.83280856896724098</v>
      </c>
      <c r="E5152">
        <v>0.72766244096714405</v>
      </c>
      <c r="F5152">
        <v>0.26712936580789598</v>
      </c>
      <c r="G5152">
        <v>0.19921060542708899</v>
      </c>
      <c r="H5152">
        <v>0.17138042090896399</v>
      </c>
      <c r="I5152">
        <v>0.155544504736219</v>
      </c>
      <c r="J5152">
        <v>0.17535911902247101</v>
      </c>
      <c r="K5152">
        <v>0.120135027018949</v>
      </c>
      <c r="L5152">
        <v>1074.6597058155301</v>
      </c>
      <c r="M5152">
        <v>21.294683680801501</v>
      </c>
      <c r="N5152">
        <v>51.235666831720799</v>
      </c>
      <c r="O5152">
        <v>50.027379420884003</v>
      </c>
      <c r="P5152">
        <v>-9.1852765598066793E-2</v>
      </c>
      <c r="Q5152">
        <v>0.136866954492497</v>
      </c>
      <c r="R5152">
        <v>0.96140770594021296</v>
      </c>
      <c r="S5152" t="s">
        <v>11768</v>
      </c>
      <c r="T5152" t="s">
        <v>13232</v>
      </c>
      <c r="U5152" t="s">
        <v>13232</v>
      </c>
      <c r="V5152" t="s">
        <v>13232</v>
      </c>
      <c r="W5152" t="s">
        <v>18317</v>
      </c>
      <c r="X5152">
        <v>12</v>
      </c>
      <c r="Y5152" t="s">
        <v>24719</v>
      </c>
      <c r="Z5152" t="s">
        <v>31283</v>
      </c>
      <c r="AA5152">
        <v>0.44861936306379319</v>
      </c>
      <c r="AB5152" t="str">
        <f>HYPERLINK("Melting_Curves/meltCurve_Q96SB8_SMC6.pdf", "Melting_Curves/meltCurve_Q96SB8_SMC6.pdf")</f>
        <v>Melting_Curves/meltCurve_Q96SB8_SMC6.pdf</v>
      </c>
    </row>
    <row r="5153" spans="1:28" x14ac:dyDescent="0.25">
      <c r="A5153" t="s">
        <v>5156</v>
      </c>
      <c r="B5153">
        <v>0.99930955844802105</v>
      </c>
      <c r="C5153">
        <v>1.02058218874628</v>
      </c>
      <c r="D5153">
        <v>1.0058267442578199</v>
      </c>
      <c r="E5153">
        <v>0.99329170216302798</v>
      </c>
      <c r="F5153">
        <v>0.98290706877377898</v>
      </c>
      <c r="G5153">
        <v>0.73807143167233602</v>
      </c>
      <c r="H5153">
        <v>0.249437258211475</v>
      </c>
      <c r="I5153">
        <v>0.18813941286556701</v>
      </c>
      <c r="J5153">
        <v>0.17003089341310099</v>
      </c>
      <c r="K5153">
        <v>0.129790994600232</v>
      </c>
      <c r="L5153">
        <v>2413.80756719483</v>
      </c>
      <c r="M5153">
        <v>41.553588882716603</v>
      </c>
      <c r="N5153">
        <v>58.606152922816698</v>
      </c>
      <c r="O5153">
        <v>57.954979515558101</v>
      </c>
      <c r="P5153">
        <v>-0.15173910184470699</v>
      </c>
      <c r="Q5153">
        <v>0.15347666119883199</v>
      </c>
      <c r="R5153">
        <v>0.99893758846931202</v>
      </c>
      <c r="S5153" t="s">
        <v>11769</v>
      </c>
      <c r="T5153" t="s">
        <v>13232</v>
      </c>
      <c r="U5153" t="s">
        <v>13232</v>
      </c>
      <c r="V5153" t="s">
        <v>13232</v>
      </c>
      <c r="W5153" t="s">
        <v>18318</v>
      </c>
      <c r="X5153">
        <v>32</v>
      </c>
      <c r="Y5153" t="s">
        <v>24720</v>
      </c>
      <c r="Z5153" t="s">
        <v>31284</v>
      </c>
      <c r="AA5153">
        <v>0.66699950765257066</v>
      </c>
      <c r="AB5153" t="str">
        <f>HYPERLINK("Melting_Curves/meltCurve_Q96SI9_STRBP.pdf", "Melting_Curves/meltCurve_Q96SI9_STRBP.pdf")</f>
        <v>Melting_Curves/meltCurve_Q96SI9_STRBP.pdf</v>
      </c>
    </row>
    <row r="5154" spans="1:28" x14ac:dyDescent="0.25">
      <c r="A5154" t="s">
        <v>5157</v>
      </c>
      <c r="B5154">
        <v>0.99930955844802105</v>
      </c>
      <c r="C5154">
        <v>1.1080002572437999</v>
      </c>
      <c r="D5154">
        <v>1.07459828909015</v>
      </c>
      <c r="E5154">
        <v>0.99126155472139599</v>
      </c>
      <c r="F5154">
        <v>0.85040985435113803</v>
      </c>
      <c r="G5154">
        <v>0.37648795393456402</v>
      </c>
      <c r="H5154">
        <v>0.18723541320114701</v>
      </c>
      <c r="I5154">
        <v>0.14964204320041199</v>
      </c>
      <c r="J5154">
        <v>0.12771132078900299</v>
      </c>
      <c r="K5154">
        <v>9.7270733117708799E-2</v>
      </c>
      <c r="L5154">
        <v>1841.8858879173299</v>
      </c>
      <c r="M5154">
        <v>33.179209939246697</v>
      </c>
      <c r="N5154">
        <v>55.998044303648399</v>
      </c>
      <c r="O5154">
        <v>55.312757939984103</v>
      </c>
      <c r="P5154">
        <v>-0.13124193868040701</v>
      </c>
      <c r="Q5154">
        <v>0.12483487057788301</v>
      </c>
      <c r="R5154">
        <v>0.989168674262214</v>
      </c>
      <c r="S5154" t="s">
        <v>11770</v>
      </c>
      <c r="T5154" t="s">
        <v>13232</v>
      </c>
      <c r="U5154" t="s">
        <v>13232</v>
      </c>
      <c r="V5154" t="s">
        <v>13232</v>
      </c>
      <c r="W5154" t="s">
        <v>18319</v>
      </c>
      <c r="X5154">
        <v>2</v>
      </c>
      <c r="Y5154" t="s">
        <v>24721</v>
      </c>
      <c r="Z5154" t="s">
        <v>31285</v>
      </c>
      <c r="AA5154">
        <v>0.5822045949267971</v>
      </c>
      <c r="AB5154" t="str">
        <f>HYPERLINK("Melting_Curves/meltCurve_Q96SK2_2_TMEM209.pdf", "Melting_Curves/meltCurve_Q96SK2_2_TMEM209.pdf")</f>
        <v>Melting_Curves/meltCurve_Q96SK2_2_TMEM209.pdf</v>
      </c>
    </row>
    <row r="5155" spans="1:28" x14ac:dyDescent="0.25">
      <c r="A5155" t="s">
        <v>5158</v>
      </c>
      <c r="B5155">
        <v>0.99930955844802105</v>
      </c>
      <c r="C5155">
        <v>1.17380758772036</v>
      </c>
      <c r="D5155">
        <v>1.0821165125208101</v>
      </c>
      <c r="E5155">
        <v>0.88572554368487</v>
      </c>
      <c r="F5155">
        <v>0.93487536167970098</v>
      </c>
      <c r="G5155">
        <v>0.87292414729780599</v>
      </c>
      <c r="H5155">
        <v>0.77239583548741997</v>
      </c>
      <c r="I5155">
        <v>0.731861014627888</v>
      </c>
      <c r="J5155">
        <v>0.83607050557874896</v>
      </c>
      <c r="K5155">
        <v>0.57450984412788197</v>
      </c>
      <c r="L5155">
        <v>561.11649061073001</v>
      </c>
      <c r="M5155">
        <v>8.5683814362540893</v>
      </c>
      <c r="O5155">
        <v>62.212411939313597</v>
      </c>
      <c r="P5155">
        <v>-1.8867049893942198E-2</v>
      </c>
      <c r="Q5155">
        <v>0.45252683907510299</v>
      </c>
      <c r="R5155">
        <v>0.72783283479521599</v>
      </c>
      <c r="S5155" t="s">
        <v>11771</v>
      </c>
      <c r="T5155" t="s">
        <v>13232</v>
      </c>
      <c r="U5155" t="s">
        <v>13232</v>
      </c>
      <c r="V5155" t="s">
        <v>13232</v>
      </c>
      <c r="W5155" t="s">
        <v>18320</v>
      </c>
      <c r="X5155">
        <v>3</v>
      </c>
      <c r="Y5155" t="s">
        <v>24722</v>
      </c>
      <c r="Z5155" t="s">
        <v>31286</v>
      </c>
      <c r="AA5155">
        <v>0.87632571511736979</v>
      </c>
      <c r="AB5155" t="str">
        <f>HYPERLINK("Melting_Curves/meltCurve_Q96SL8_FIZ1.pdf", "Melting_Curves/meltCurve_Q96SL8_FIZ1.pdf")</f>
        <v>Melting_Curves/meltCurve_Q96SL8_FIZ1.pdf</v>
      </c>
    </row>
    <row r="5156" spans="1:28" x14ac:dyDescent="0.25">
      <c r="A5156" t="s">
        <v>5159</v>
      </c>
      <c r="B5156">
        <v>0.99930955844802105</v>
      </c>
      <c r="C5156">
        <v>0.95849993362997499</v>
      </c>
      <c r="D5156">
        <v>0.83321518556471597</v>
      </c>
      <c r="E5156">
        <v>0.66623036946221903</v>
      </c>
      <c r="F5156">
        <v>0.450516620781785</v>
      </c>
      <c r="G5156">
        <v>0.33213982414211501</v>
      </c>
      <c r="H5156">
        <v>0.23742971917494601</v>
      </c>
      <c r="I5156">
        <v>0.216142829966225</v>
      </c>
      <c r="J5156">
        <v>0.22718728025197299</v>
      </c>
      <c r="K5156">
        <v>0.171017067586203</v>
      </c>
      <c r="L5156">
        <v>739.31864547276496</v>
      </c>
      <c r="M5156">
        <v>14.5264244752242</v>
      </c>
      <c r="N5156">
        <v>52.471804481593303</v>
      </c>
      <c r="O5156">
        <v>49.9594034867199</v>
      </c>
      <c r="P5156">
        <v>-5.9840178622504098E-2</v>
      </c>
      <c r="Q5156">
        <v>0.176882868345208</v>
      </c>
      <c r="R5156">
        <v>0.99662993442032199</v>
      </c>
      <c r="S5156" t="s">
        <v>11772</v>
      </c>
      <c r="T5156" t="s">
        <v>13232</v>
      </c>
      <c r="U5156" t="s">
        <v>13232</v>
      </c>
      <c r="V5156" t="s">
        <v>13232</v>
      </c>
      <c r="W5156" t="s">
        <v>18321</v>
      </c>
      <c r="X5156">
        <v>16</v>
      </c>
      <c r="Y5156" t="s">
        <v>24723</v>
      </c>
      <c r="Z5156" t="s">
        <v>31287</v>
      </c>
      <c r="AA5156">
        <v>0.49592405127996081</v>
      </c>
      <c r="AB5156" t="str">
        <f>HYPERLINK("Melting_Curves/meltCurve_Q96SN8_4_CDK5RAP2.pdf", "Melting_Curves/meltCurve_Q96SN8_4_CDK5RAP2.pdf")</f>
        <v>Melting_Curves/meltCurve_Q96SN8_4_CDK5RAP2.pdf</v>
      </c>
    </row>
    <row r="5157" spans="1:28" x14ac:dyDescent="0.25">
      <c r="A5157" t="s">
        <v>5160</v>
      </c>
      <c r="B5157">
        <v>0.99930955844802105</v>
      </c>
      <c r="C5157">
        <v>1.0467536258618799</v>
      </c>
      <c r="D5157">
        <v>0.95995722767017</v>
      </c>
      <c r="E5157">
        <v>0.86387909934165696</v>
      </c>
      <c r="F5157">
        <v>0.73852561048245702</v>
      </c>
      <c r="G5157">
        <v>0.627794258714924</v>
      </c>
      <c r="H5157">
        <v>0.61381192906105897</v>
      </c>
      <c r="I5157">
        <v>0.65837286195991596</v>
      </c>
      <c r="J5157">
        <v>0.66127975825244001</v>
      </c>
      <c r="K5157">
        <v>0.49742764768585501</v>
      </c>
      <c r="L5157">
        <v>1141.9598465516001</v>
      </c>
      <c r="M5157">
        <v>22.1941992082346</v>
      </c>
      <c r="O5157">
        <v>51.040830918144202</v>
      </c>
      <c r="P5157">
        <v>-4.35174721646059E-2</v>
      </c>
      <c r="Q5157">
        <v>0.59969365722953605</v>
      </c>
      <c r="R5157">
        <v>0.936876368066899</v>
      </c>
      <c r="S5157" t="s">
        <v>11773</v>
      </c>
      <c r="T5157" t="s">
        <v>13232</v>
      </c>
      <c r="U5157" t="s">
        <v>13232</v>
      </c>
      <c r="V5157" t="s">
        <v>13232</v>
      </c>
      <c r="W5157" t="s">
        <v>18322</v>
      </c>
      <c r="X5157">
        <v>23</v>
      </c>
      <c r="Y5157" t="s">
        <v>24724</v>
      </c>
      <c r="Z5157" t="s">
        <v>31288</v>
      </c>
      <c r="AA5157">
        <v>0.7570878662521211</v>
      </c>
      <c r="AB5157" t="str">
        <f>HYPERLINK("Melting_Curves/meltCurve_Q96ST2_IWS1.pdf", "Melting_Curves/meltCurve_Q96ST2_IWS1.pdf")</f>
        <v>Melting_Curves/meltCurve_Q96ST2_IWS1.pdf</v>
      </c>
    </row>
    <row r="5158" spans="1:28" x14ac:dyDescent="0.25">
      <c r="A5158" t="s">
        <v>5161</v>
      </c>
      <c r="B5158">
        <v>0.99930955844802105</v>
      </c>
      <c r="C5158">
        <v>0.86457803098100705</v>
      </c>
      <c r="D5158">
        <v>0.80744773472779097</v>
      </c>
      <c r="E5158">
        <v>0.65152555979443405</v>
      </c>
      <c r="F5158">
        <v>0.407892144650777</v>
      </c>
      <c r="G5158">
        <v>0.315846050925983</v>
      </c>
      <c r="H5158">
        <v>0.27665051065452601</v>
      </c>
      <c r="I5158">
        <v>0.27714314368870702</v>
      </c>
      <c r="J5158">
        <v>0.290116735371863</v>
      </c>
      <c r="K5158">
        <v>0.22708280733047501</v>
      </c>
      <c r="L5158">
        <v>700.32285593184997</v>
      </c>
      <c r="M5158">
        <v>14.1417845268207</v>
      </c>
      <c r="N5158">
        <v>51.8385565388744</v>
      </c>
      <c r="O5158">
        <v>48.562852228360597</v>
      </c>
      <c r="P5158">
        <v>-5.5753870526755303E-2</v>
      </c>
      <c r="Q5158">
        <v>0.23426280259184901</v>
      </c>
      <c r="R5158">
        <v>0.98427735603785105</v>
      </c>
      <c r="S5158" t="s">
        <v>11774</v>
      </c>
      <c r="T5158" t="s">
        <v>13232</v>
      </c>
      <c r="U5158" t="s">
        <v>13232</v>
      </c>
      <c r="V5158" t="s">
        <v>13232</v>
      </c>
      <c r="W5158" t="s">
        <v>18323</v>
      </c>
      <c r="X5158">
        <v>44</v>
      </c>
      <c r="Y5158" t="s">
        <v>24725</v>
      </c>
      <c r="Z5158" t="s">
        <v>31289</v>
      </c>
      <c r="AA5158">
        <v>0.49792356066375332</v>
      </c>
      <c r="AB5158" t="str">
        <f>HYPERLINK("Melting_Curves/meltCurve_Q96ST3_SIN3A.pdf", "Melting_Curves/meltCurve_Q96ST3_SIN3A.pdf")</f>
        <v>Melting_Curves/meltCurve_Q96ST3_SIN3A.pdf</v>
      </c>
    </row>
    <row r="5159" spans="1:28" x14ac:dyDescent="0.25">
      <c r="A5159" t="s">
        <v>5162</v>
      </c>
      <c r="B5159">
        <v>0.99930955844802105</v>
      </c>
      <c r="C5159">
        <v>0.72862756883631596</v>
      </c>
      <c r="D5159">
        <v>0.36898787802284699</v>
      </c>
      <c r="E5159">
        <v>0.377210841862821</v>
      </c>
      <c r="F5159">
        <v>0.24480790012957099</v>
      </c>
      <c r="G5159">
        <v>0.171459114004091</v>
      </c>
      <c r="H5159">
        <v>0.10130992542938901</v>
      </c>
      <c r="I5159">
        <v>7.7126136321154698E-2</v>
      </c>
      <c r="J5159">
        <v>6.8768993919955099E-2</v>
      </c>
      <c r="K5159">
        <v>5.4162899110340598E-2</v>
      </c>
      <c r="L5159">
        <v>630.55221630329697</v>
      </c>
      <c r="M5159">
        <v>13.8420135742023</v>
      </c>
      <c r="N5159">
        <v>46.146797243071198</v>
      </c>
      <c r="O5159">
        <v>44.634315556983999</v>
      </c>
      <c r="P5159">
        <v>-7.1220253967581096E-2</v>
      </c>
      <c r="Q5159">
        <v>8.1512929666610306E-2</v>
      </c>
      <c r="R5159">
        <v>0.94777586075706799</v>
      </c>
      <c r="S5159" t="s">
        <v>11775</v>
      </c>
      <c r="T5159" t="s">
        <v>13232</v>
      </c>
      <c r="U5159" t="s">
        <v>13232</v>
      </c>
      <c r="V5159" t="s">
        <v>13232</v>
      </c>
      <c r="W5159" t="s">
        <v>18324</v>
      </c>
      <c r="X5159">
        <v>13</v>
      </c>
      <c r="Y5159" t="s">
        <v>24726</v>
      </c>
      <c r="Z5159" t="s">
        <v>31290</v>
      </c>
      <c r="AA5159">
        <v>0.28448740819493179</v>
      </c>
      <c r="AB5159" t="str">
        <f>HYPERLINK("Melting_Curves/meltCurve_Q96SU4_7_OSBPL9.pdf", "Melting_Curves/meltCurve_Q96SU4_7_OSBPL9.pdf")</f>
        <v>Melting_Curves/meltCurve_Q96SU4_7_OSBPL9.pdf</v>
      </c>
    </row>
    <row r="5160" spans="1:28" x14ac:dyDescent="0.25">
      <c r="A5160" t="s">
        <v>5163</v>
      </c>
      <c r="B5160">
        <v>0.99930955844802105</v>
      </c>
      <c r="C5160">
        <v>0.82400548168112697</v>
      </c>
      <c r="D5160">
        <v>0.82839390371015997</v>
      </c>
      <c r="E5160">
        <v>0.71221496134514395</v>
      </c>
      <c r="F5160">
        <v>0.45967437526154298</v>
      </c>
      <c r="G5160">
        <v>0.20596882628409099</v>
      </c>
      <c r="H5160">
        <v>0.123975558288361</v>
      </c>
      <c r="I5160">
        <v>9.7913063225019303E-2</v>
      </c>
      <c r="J5160">
        <v>7.8915917695109902E-2</v>
      </c>
      <c r="K5160">
        <v>6.5320820906437801E-2</v>
      </c>
      <c r="L5160">
        <v>654.82610843990403</v>
      </c>
      <c r="M5160">
        <v>12.553533270498299</v>
      </c>
      <c r="N5160">
        <v>52.213465852538199</v>
      </c>
      <c r="O5160">
        <v>50.892108562210502</v>
      </c>
      <c r="P5160">
        <v>-6.1305593775656801E-2</v>
      </c>
      <c r="Q5160">
        <v>6.0679880142563199E-3</v>
      </c>
      <c r="R5160">
        <v>0.98062754381976003</v>
      </c>
      <c r="S5160" t="s">
        <v>11776</v>
      </c>
      <c r="T5160" t="s">
        <v>13232</v>
      </c>
      <c r="U5160" t="s">
        <v>13232</v>
      </c>
      <c r="V5160" t="s">
        <v>13232</v>
      </c>
      <c r="W5160" t="s">
        <v>18325</v>
      </c>
      <c r="X5160">
        <v>11</v>
      </c>
      <c r="Y5160" t="s">
        <v>24727</v>
      </c>
      <c r="Z5160" t="s">
        <v>31291</v>
      </c>
      <c r="AA5160">
        <v>0.43742306116627427</v>
      </c>
      <c r="AB5160" t="str">
        <f>HYPERLINK("Melting_Curves/meltCurve_Q96SW2_2_CRBN.pdf", "Melting_Curves/meltCurve_Q96SW2_2_CRBN.pdf")</f>
        <v>Melting_Curves/meltCurve_Q96SW2_2_CRBN.pdf</v>
      </c>
    </row>
    <row r="5161" spans="1:28" x14ac:dyDescent="0.25">
      <c r="A5161" t="s">
        <v>5164</v>
      </c>
      <c r="B5161">
        <v>0.99930955844802105</v>
      </c>
      <c r="C5161">
        <v>0.951822556096376</v>
      </c>
      <c r="D5161">
        <v>0.94413263514214496</v>
      </c>
      <c r="E5161">
        <v>0.79722403546712395</v>
      </c>
      <c r="F5161">
        <v>0.35814515763407101</v>
      </c>
      <c r="G5161">
        <v>0.19446994035792201</v>
      </c>
      <c r="H5161">
        <v>9.1524678247745794E-2</v>
      </c>
      <c r="I5161">
        <v>6.9106025196052301E-2</v>
      </c>
      <c r="J5161">
        <v>6.6090794449072093E-2</v>
      </c>
      <c r="K5161">
        <v>5.0107648391982201E-2</v>
      </c>
      <c r="L5161">
        <v>1471.1616557213299</v>
      </c>
      <c r="M5161">
        <v>28.3619265562638</v>
      </c>
      <c r="N5161">
        <v>52.158478964931902</v>
      </c>
      <c r="O5161">
        <v>51.615186566396602</v>
      </c>
      <c r="P5161">
        <v>-0.12743381664212</v>
      </c>
      <c r="Q5161">
        <v>7.2352630320303701E-2</v>
      </c>
      <c r="R5161">
        <v>0.99374337993822603</v>
      </c>
      <c r="S5161" t="s">
        <v>11777</v>
      </c>
      <c r="T5161" t="s">
        <v>13232</v>
      </c>
      <c r="U5161" t="s">
        <v>13232</v>
      </c>
      <c r="V5161" t="s">
        <v>13232</v>
      </c>
      <c r="W5161" t="s">
        <v>18326</v>
      </c>
      <c r="X5161">
        <v>7</v>
      </c>
      <c r="Y5161" t="s">
        <v>24728</v>
      </c>
      <c r="Z5161" t="s">
        <v>31292</v>
      </c>
      <c r="AA5161">
        <v>0.44603324708021841</v>
      </c>
      <c r="AB5161" t="str">
        <f>HYPERLINK("Melting_Curves/meltCurve_Q96SY0_4_VWA9.pdf", "Melting_Curves/meltCurve_Q96SY0_4_VWA9.pdf")</f>
        <v>Melting_Curves/meltCurve_Q96SY0_4_VWA9.pdf</v>
      </c>
    </row>
    <row r="5162" spans="1:28" x14ac:dyDescent="0.25">
      <c r="A5162" t="s">
        <v>5165</v>
      </c>
      <c r="B5162">
        <v>0.99930955844802105</v>
      </c>
      <c r="C5162">
        <v>1.11858943167701</v>
      </c>
      <c r="D5162">
        <v>1.0740789147916201</v>
      </c>
      <c r="E5162">
        <v>0.89019476421392996</v>
      </c>
      <c r="F5162">
        <v>0.71076813911451397</v>
      </c>
      <c r="G5162">
        <v>0.51894277686943502</v>
      </c>
      <c r="H5162">
        <v>0.405600711342257</v>
      </c>
      <c r="I5162">
        <v>0.28511323940632699</v>
      </c>
      <c r="J5162">
        <v>0.17504465668402899</v>
      </c>
      <c r="K5162">
        <v>0.112725550529194</v>
      </c>
      <c r="L5162">
        <v>767.98420953956702</v>
      </c>
      <c r="M5162">
        <v>13.4038042365938</v>
      </c>
      <c r="N5162">
        <v>57.937481986689797</v>
      </c>
      <c r="O5162">
        <v>56.065748530370001</v>
      </c>
      <c r="P5162">
        <v>-5.5655278016219403E-2</v>
      </c>
      <c r="Q5162">
        <v>6.8961177157166501E-2</v>
      </c>
      <c r="R5162">
        <v>0.971687456213984</v>
      </c>
      <c r="S5162" t="s">
        <v>11778</v>
      </c>
      <c r="T5162" t="s">
        <v>13232</v>
      </c>
      <c r="U5162" t="s">
        <v>13232</v>
      </c>
      <c r="V5162" t="s">
        <v>13232</v>
      </c>
      <c r="W5162" t="s">
        <v>18327</v>
      </c>
      <c r="X5162">
        <v>15</v>
      </c>
      <c r="Y5162" t="s">
        <v>24729</v>
      </c>
      <c r="Z5162" t="s">
        <v>31293</v>
      </c>
      <c r="AA5162">
        <v>0.62036368101825701</v>
      </c>
      <c r="AB5162" t="str">
        <f>HYPERLINK("Melting_Curves/meltCurve_Q96SZ5_ADO.pdf", "Melting_Curves/meltCurve_Q96SZ5_ADO.pdf")</f>
        <v>Melting_Curves/meltCurve_Q96SZ5_ADO.pdf</v>
      </c>
    </row>
    <row r="5163" spans="1:28" x14ac:dyDescent="0.25">
      <c r="A5163" t="s">
        <v>5166</v>
      </c>
      <c r="B5163">
        <v>0.99930955844802105</v>
      </c>
      <c r="C5163">
        <v>0.982848193103531</v>
      </c>
      <c r="D5163">
        <v>1.0009717251458801</v>
      </c>
      <c r="E5163">
        <v>0.85019654000888001</v>
      </c>
      <c r="F5163">
        <v>0.661800798767614</v>
      </c>
      <c r="G5163">
        <v>0.58776455203535205</v>
      </c>
      <c r="H5163">
        <v>0.50847239378531806</v>
      </c>
      <c r="I5163">
        <v>0.62021955363330905</v>
      </c>
      <c r="J5163">
        <v>0.53069185151701104</v>
      </c>
      <c r="K5163">
        <v>0.42076303199184001</v>
      </c>
      <c r="L5163">
        <v>1276.1559780488001</v>
      </c>
      <c r="M5163">
        <v>24.765961725158601</v>
      </c>
      <c r="O5163">
        <v>51.196189925175901</v>
      </c>
      <c r="P5163">
        <v>-5.8091389729506997E-2</v>
      </c>
      <c r="Q5163">
        <v>0.51966069876898602</v>
      </c>
      <c r="R5163">
        <v>0.95109951176756602</v>
      </c>
      <c r="S5163" t="s">
        <v>11779</v>
      </c>
      <c r="T5163" t="s">
        <v>13232</v>
      </c>
      <c r="U5163" t="s">
        <v>13232</v>
      </c>
      <c r="V5163" t="s">
        <v>13232</v>
      </c>
      <c r="W5163" t="s">
        <v>18328</v>
      </c>
      <c r="X5163">
        <v>14</v>
      </c>
      <c r="Y5163" t="s">
        <v>24730</v>
      </c>
      <c r="Z5163" t="s">
        <v>31294</v>
      </c>
      <c r="AA5163">
        <v>0.7086936894917556</v>
      </c>
      <c r="AB5163" t="str">
        <f>HYPERLINK("Melting_Curves/meltCurve_Q96T21_SECISBP2.pdf", "Melting_Curves/meltCurve_Q96T21_SECISBP2.pdf")</f>
        <v>Melting_Curves/meltCurve_Q96T21_SECISBP2.pdf</v>
      </c>
    </row>
    <row r="5164" spans="1:28" x14ac:dyDescent="0.25">
      <c r="A5164" t="s">
        <v>5167</v>
      </c>
      <c r="B5164">
        <v>0.99930955844802105</v>
      </c>
      <c r="C5164">
        <v>1.0944958451331199</v>
      </c>
      <c r="D5164">
        <v>1.0901756034579699</v>
      </c>
      <c r="E5164">
        <v>1.0306499404316001</v>
      </c>
      <c r="F5164">
        <v>0.92029759479648598</v>
      </c>
      <c r="G5164">
        <v>0.816457022954996</v>
      </c>
      <c r="H5164">
        <v>0.81872197253734602</v>
      </c>
      <c r="I5164">
        <v>0.84057689625419996</v>
      </c>
      <c r="J5164">
        <v>0.81146010733408702</v>
      </c>
      <c r="K5164">
        <v>0.65132113144238502</v>
      </c>
      <c r="L5164">
        <v>754.25355537118901</v>
      </c>
      <c r="M5164">
        <v>12.6864217466855</v>
      </c>
      <c r="O5164">
        <v>58.034424894984298</v>
      </c>
      <c r="P5164">
        <v>-1.6913836198692599E-2</v>
      </c>
      <c r="Q5164">
        <v>0.69056866518363402</v>
      </c>
      <c r="R5164">
        <v>0.77990175978058096</v>
      </c>
      <c r="S5164" t="s">
        <v>11780</v>
      </c>
      <c r="T5164" t="s">
        <v>13232</v>
      </c>
      <c r="U5164" t="s">
        <v>13232</v>
      </c>
      <c r="V5164" t="s">
        <v>13232</v>
      </c>
      <c r="W5164" t="s">
        <v>18329</v>
      </c>
      <c r="X5164">
        <v>36</v>
      </c>
      <c r="Y5164" t="s">
        <v>24731</v>
      </c>
      <c r="Z5164" t="s">
        <v>31295</v>
      </c>
      <c r="AA5164">
        <v>0.8932825979877419</v>
      </c>
      <c r="AB5164" t="str">
        <f>HYPERLINK("Melting_Curves/meltCurve_Q96T23_2_RSF1.pdf", "Melting_Curves/meltCurve_Q96T23_2_RSF1.pdf")</f>
        <v>Melting_Curves/meltCurve_Q96T23_2_RSF1.pdf</v>
      </c>
    </row>
    <row r="5165" spans="1:28" x14ac:dyDescent="0.25">
      <c r="A5165" t="s">
        <v>5168</v>
      </c>
      <c r="B5165">
        <v>0.99930955844802105</v>
      </c>
      <c r="C5165">
        <v>0.94679556614611404</v>
      </c>
      <c r="D5165">
        <v>0.82922629076865995</v>
      </c>
      <c r="E5165">
        <v>0.65781262380874195</v>
      </c>
      <c r="F5165">
        <v>0.41290040075184398</v>
      </c>
      <c r="G5165">
        <v>0.295226678786985</v>
      </c>
      <c r="H5165">
        <v>0.234369293432203</v>
      </c>
      <c r="I5165">
        <v>0.247963959643553</v>
      </c>
      <c r="J5165">
        <v>0.24541568751426401</v>
      </c>
      <c r="K5165">
        <v>0.19646579770184699</v>
      </c>
      <c r="L5165">
        <v>832.74880134668399</v>
      </c>
      <c r="M5165">
        <v>16.598713157064999</v>
      </c>
      <c r="N5165">
        <v>51.853686327465603</v>
      </c>
      <c r="O5165">
        <v>49.458259266784999</v>
      </c>
      <c r="P5165">
        <v>-6.6424263435652997E-2</v>
      </c>
      <c r="Q5165">
        <v>0.208371064039689</v>
      </c>
      <c r="R5165">
        <v>0.99458937443535</v>
      </c>
      <c r="S5165" t="s">
        <v>11781</v>
      </c>
      <c r="T5165" t="s">
        <v>13232</v>
      </c>
      <c r="U5165" t="s">
        <v>13232</v>
      </c>
      <c r="V5165" t="s">
        <v>13232</v>
      </c>
      <c r="W5165" t="s">
        <v>18330</v>
      </c>
      <c r="X5165">
        <v>32</v>
      </c>
      <c r="Y5165" t="s">
        <v>24732</v>
      </c>
      <c r="Z5165" t="s">
        <v>31296</v>
      </c>
      <c r="AA5165">
        <v>0.49237851544338529</v>
      </c>
      <c r="AB5165" t="str">
        <f>HYPERLINK("Melting_Curves/meltCurve_Q96T37_2_RBM15.pdf", "Melting_Curves/meltCurve_Q96T37_2_RBM15.pdf")</f>
        <v>Melting_Curves/meltCurve_Q96T37_2_RBM15.pdf</v>
      </c>
    </row>
    <row r="5166" spans="1:28" x14ac:dyDescent="0.25">
      <c r="A5166" t="s">
        <v>5169</v>
      </c>
      <c r="B5166">
        <v>0.99930955844802105</v>
      </c>
      <c r="C5166">
        <v>1.07498713786883</v>
      </c>
      <c r="D5166">
        <v>0.971828324284298</v>
      </c>
      <c r="E5166">
        <v>0.79478843747358596</v>
      </c>
      <c r="F5166">
        <v>0.46363491286543101</v>
      </c>
      <c r="G5166">
        <v>0.238830379006401</v>
      </c>
      <c r="H5166">
        <v>0.140111163648691</v>
      </c>
      <c r="I5166">
        <v>0.116712137730903</v>
      </c>
      <c r="J5166">
        <v>0.109496820284064</v>
      </c>
      <c r="K5166">
        <v>8.5277541105565804E-2</v>
      </c>
      <c r="L5166">
        <v>1277.0643768196301</v>
      </c>
      <c r="M5166">
        <v>24.3972567605649</v>
      </c>
      <c r="N5166">
        <v>52.856775337606798</v>
      </c>
      <c r="O5166">
        <v>51.996716127097599</v>
      </c>
      <c r="P5166">
        <v>-0.10495525389557001</v>
      </c>
      <c r="Q5166">
        <v>0.105268640513868</v>
      </c>
      <c r="R5166">
        <v>0.99481107473225405</v>
      </c>
      <c r="S5166" t="s">
        <v>11782</v>
      </c>
      <c r="T5166" t="s">
        <v>13232</v>
      </c>
      <c r="U5166" t="s">
        <v>13232</v>
      </c>
      <c r="V5166" t="s">
        <v>13232</v>
      </c>
      <c r="W5166" t="s">
        <v>18331</v>
      </c>
      <c r="X5166">
        <v>35</v>
      </c>
      <c r="Y5166" t="s">
        <v>24733</v>
      </c>
      <c r="Z5166" t="s">
        <v>31297</v>
      </c>
      <c r="AA5166">
        <v>0.48202238977978928</v>
      </c>
      <c r="AB5166" t="str">
        <f>HYPERLINK("Melting_Curves/meltCurve_Q96T51_RUFY1.pdf", "Melting_Curves/meltCurve_Q96T51_RUFY1.pdf")</f>
        <v>Melting_Curves/meltCurve_Q96T51_RUFY1.pdf</v>
      </c>
    </row>
    <row r="5167" spans="1:28" x14ac:dyDescent="0.25">
      <c r="A5167" t="s">
        <v>5170</v>
      </c>
      <c r="B5167">
        <v>0.99930955844802105</v>
      </c>
      <c r="C5167">
        <v>1.1015986655400201</v>
      </c>
      <c r="D5167">
        <v>1.08653223244268</v>
      </c>
      <c r="E5167">
        <v>1.0250049897829401</v>
      </c>
      <c r="F5167">
        <v>0.93161805298366396</v>
      </c>
      <c r="G5167">
        <v>0.80962098810198202</v>
      </c>
      <c r="H5167">
        <v>0.76198182896747702</v>
      </c>
      <c r="I5167">
        <v>0.80078025219510396</v>
      </c>
      <c r="J5167">
        <v>0.77030559640294605</v>
      </c>
      <c r="K5167">
        <v>0.62268905566449895</v>
      </c>
      <c r="L5167">
        <v>1302.24810882311</v>
      </c>
      <c r="M5167">
        <v>23.2578281416382</v>
      </c>
      <c r="O5167">
        <v>55.582807508209399</v>
      </c>
      <c r="P5167">
        <v>-2.92847185346242E-2</v>
      </c>
      <c r="Q5167">
        <v>0.72006023998292201</v>
      </c>
      <c r="R5167">
        <v>0.84121394410357098</v>
      </c>
      <c r="S5167" t="s">
        <v>11783</v>
      </c>
      <c r="T5167" t="s">
        <v>13232</v>
      </c>
      <c r="U5167" t="s">
        <v>13232</v>
      </c>
      <c r="V5167" t="s">
        <v>13232</v>
      </c>
      <c r="W5167" t="s">
        <v>18332</v>
      </c>
      <c r="X5167">
        <v>71</v>
      </c>
      <c r="Y5167" t="s">
        <v>24734</v>
      </c>
      <c r="Z5167" t="s">
        <v>31298</v>
      </c>
      <c r="AA5167">
        <v>0.87217411205316542</v>
      </c>
      <c r="AB5167" t="str">
        <f>HYPERLINK("Melting_Curves/meltCurve_Q96T58_SPEN.pdf", "Melting_Curves/meltCurve_Q96T58_SPEN.pdf")</f>
        <v>Melting_Curves/meltCurve_Q96T58_SPEN.pdf</v>
      </c>
    </row>
    <row r="5168" spans="1:28" x14ac:dyDescent="0.25">
      <c r="A5168" t="s">
        <v>5171</v>
      </c>
      <c r="B5168">
        <v>0.99930955844802105</v>
      </c>
      <c r="C5168">
        <v>0.68629691436826101</v>
      </c>
      <c r="D5168">
        <v>0.27248918711764503</v>
      </c>
      <c r="E5168">
        <v>0.25408965570943598</v>
      </c>
      <c r="F5168">
        <v>0.16686455393659999</v>
      </c>
      <c r="G5168">
        <v>0.12585063944364</v>
      </c>
      <c r="H5168">
        <v>0.101034440915147</v>
      </c>
      <c r="I5168">
        <v>0.10139960206048999</v>
      </c>
      <c r="J5168">
        <v>9.9618115168259996E-2</v>
      </c>
      <c r="K5168">
        <v>8.1004214208736103E-2</v>
      </c>
      <c r="L5168">
        <v>1322.6035537496</v>
      </c>
      <c r="M5168">
        <v>30.206618315203901</v>
      </c>
      <c r="N5168">
        <v>44.212085470673202</v>
      </c>
      <c r="O5168">
        <v>43.5946670592229</v>
      </c>
      <c r="P5168">
        <v>-0.151315559721033</v>
      </c>
      <c r="Q5168">
        <v>0.12648154745378801</v>
      </c>
      <c r="R5168">
        <v>0.97709694727097496</v>
      </c>
      <c r="S5168" t="s">
        <v>11784</v>
      </c>
      <c r="T5168" t="s">
        <v>13232</v>
      </c>
      <c r="U5168" t="s">
        <v>13232</v>
      </c>
      <c r="V5168" t="s">
        <v>13232</v>
      </c>
      <c r="W5168" t="s">
        <v>18333</v>
      </c>
      <c r="X5168">
        <v>6</v>
      </c>
      <c r="Y5168" t="s">
        <v>24735</v>
      </c>
      <c r="Z5168" t="s">
        <v>31299</v>
      </c>
      <c r="AA5168">
        <v>0.2432182944997566</v>
      </c>
      <c r="AB5168" t="str">
        <f>HYPERLINK("Melting_Curves/meltCurve_Q96T60_PNKP.pdf", "Melting_Curves/meltCurve_Q96T60_PNKP.pdf")</f>
        <v>Melting_Curves/meltCurve_Q96T60_PNKP.pdf</v>
      </c>
    </row>
    <row r="5169" spans="1:28" x14ac:dyDescent="0.25">
      <c r="A5169" t="s">
        <v>5172</v>
      </c>
      <c r="B5169">
        <v>0.99930955844802105</v>
      </c>
      <c r="C5169">
        <v>0.73559073563341404</v>
      </c>
      <c r="D5169">
        <v>0.40350856135846902</v>
      </c>
      <c r="E5169">
        <v>0.22097355530656401</v>
      </c>
      <c r="F5169">
        <v>0.138719366894546</v>
      </c>
      <c r="G5169">
        <v>0.10221207839648599</v>
      </c>
      <c r="H5169">
        <v>5.9247663817826E-2</v>
      </c>
      <c r="I5169">
        <v>5.1256254871666698E-2</v>
      </c>
      <c r="J5169">
        <v>4.39585287487822E-2</v>
      </c>
      <c r="K5169">
        <v>3.1596669408190801E-2</v>
      </c>
      <c r="L5169">
        <v>882.94838676095299</v>
      </c>
      <c r="M5169">
        <v>19.582653065652401</v>
      </c>
      <c r="N5169">
        <v>45.390097712092803</v>
      </c>
      <c r="O5169">
        <v>44.626006106281501</v>
      </c>
      <c r="P5169">
        <v>-0.10301095665957601</v>
      </c>
      <c r="Q5169">
        <v>6.10456099053951E-2</v>
      </c>
      <c r="R5169">
        <v>0.98893210877172799</v>
      </c>
      <c r="S5169" t="s">
        <v>11785</v>
      </c>
      <c r="T5169" t="s">
        <v>13232</v>
      </c>
      <c r="U5169" t="s">
        <v>13232</v>
      </c>
      <c r="V5169" t="s">
        <v>13232</v>
      </c>
      <c r="W5169" t="s">
        <v>18334</v>
      </c>
      <c r="X5169">
        <v>20</v>
      </c>
      <c r="Y5169" t="s">
        <v>24736</v>
      </c>
      <c r="Z5169" t="s">
        <v>31300</v>
      </c>
      <c r="AA5169">
        <v>0.2368326425929887</v>
      </c>
      <c r="AB5169" t="str">
        <f>HYPERLINK("Melting_Curves/meltCurve_Q96T76_MMS19.pdf", "Melting_Curves/meltCurve_Q96T76_MMS19.pdf")</f>
        <v>Melting_Curves/meltCurve_Q96T76_MMS19.pdf</v>
      </c>
    </row>
    <row r="5170" spans="1:28" x14ac:dyDescent="0.25">
      <c r="A5170" t="s">
        <v>5173</v>
      </c>
      <c r="B5170">
        <v>0.99930955844802105</v>
      </c>
      <c r="C5170">
        <v>1.0149541398386199</v>
      </c>
      <c r="D5170">
        <v>0.93610471837484899</v>
      </c>
      <c r="E5170">
        <v>0.61791622244241895</v>
      </c>
      <c r="F5170">
        <v>0.27641136128575</v>
      </c>
      <c r="G5170">
        <v>0.18988365930526599</v>
      </c>
      <c r="H5170">
        <v>0.13134722144156799</v>
      </c>
      <c r="I5170">
        <v>0.13291333909707401</v>
      </c>
      <c r="J5170">
        <v>0.147002730100458</v>
      </c>
      <c r="K5170">
        <v>0.10174186890947</v>
      </c>
      <c r="L5170">
        <v>1472.22821200513</v>
      </c>
      <c r="M5170">
        <v>29.245593940078901</v>
      </c>
      <c r="N5170">
        <v>50.8695057046736</v>
      </c>
      <c r="O5170">
        <v>50.106577960572601</v>
      </c>
      <c r="P5170">
        <v>-0.126775303855926</v>
      </c>
      <c r="Q5170">
        <v>0.13118821917934601</v>
      </c>
      <c r="R5170">
        <v>0.997812111088069</v>
      </c>
      <c r="S5170" t="s">
        <v>11786</v>
      </c>
      <c r="T5170" t="s">
        <v>13232</v>
      </c>
      <c r="U5170" t="s">
        <v>13232</v>
      </c>
      <c r="V5170" t="s">
        <v>13232</v>
      </c>
      <c r="W5170" t="s">
        <v>18335</v>
      </c>
      <c r="X5170">
        <v>6</v>
      </c>
      <c r="Y5170" t="s">
        <v>24737</v>
      </c>
      <c r="Z5170" t="s">
        <v>31301</v>
      </c>
      <c r="AA5170">
        <v>0.43633191123932169</v>
      </c>
      <c r="AB5170" t="str">
        <f>HYPERLINK("Melting_Curves/meltCurve_Q96T88_UHRF1.pdf", "Melting_Curves/meltCurve_Q96T88_UHRF1.pdf")</f>
        <v>Melting_Curves/meltCurve_Q96T88_UHRF1.pdf</v>
      </c>
    </row>
    <row r="5171" spans="1:28" x14ac:dyDescent="0.25">
      <c r="A5171" t="s">
        <v>5174</v>
      </c>
      <c r="B5171">
        <v>0.99930955844802105</v>
      </c>
      <c r="C5171">
        <v>0.96867582582456102</v>
      </c>
      <c r="D5171">
        <v>0.84984516425926804</v>
      </c>
      <c r="E5171">
        <v>0.80211226600520802</v>
      </c>
      <c r="F5171">
        <v>0.30301014611886601</v>
      </c>
      <c r="G5171">
        <v>0.17094467024992699</v>
      </c>
      <c r="H5171">
        <v>0.10355576403109699</v>
      </c>
      <c r="I5171">
        <v>9.4684881047965297E-2</v>
      </c>
      <c r="J5171">
        <v>8.6973546909597604E-2</v>
      </c>
      <c r="K5171">
        <v>6.6729388185508096E-2</v>
      </c>
      <c r="L5171">
        <v>1840.61500748445</v>
      </c>
      <c r="M5171">
        <v>35.748860284928803</v>
      </c>
      <c r="N5171">
        <v>51.7911870377024</v>
      </c>
      <c r="O5171">
        <v>51.327059337919898</v>
      </c>
      <c r="P5171">
        <v>-0.15765331712146899</v>
      </c>
      <c r="Q5171">
        <v>9.4588765583762696E-2</v>
      </c>
      <c r="R5171">
        <v>0.98289279744010005</v>
      </c>
      <c r="S5171" t="s">
        <v>11787</v>
      </c>
      <c r="T5171" t="s">
        <v>13232</v>
      </c>
      <c r="U5171" t="s">
        <v>13232</v>
      </c>
      <c r="V5171" t="s">
        <v>13232</v>
      </c>
      <c r="W5171" t="s">
        <v>18336</v>
      </c>
      <c r="X5171">
        <v>16</v>
      </c>
      <c r="Y5171" t="s">
        <v>24738</v>
      </c>
      <c r="Z5171" t="s">
        <v>31302</v>
      </c>
      <c r="AA5171">
        <v>0.44532064498872909</v>
      </c>
      <c r="AB5171" t="str">
        <f>HYPERLINK("Melting_Curves/meltCurve_Q96TA1_2_FAM129B.pdf", "Melting_Curves/meltCurve_Q96TA1_2_FAM129B.pdf")</f>
        <v>Melting_Curves/meltCurve_Q96TA1_2_FAM129B.pdf</v>
      </c>
    </row>
    <row r="5172" spans="1:28" x14ac:dyDescent="0.25">
      <c r="A5172" t="s">
        <v>5175</v>
      </c>
      <c r="B5172">
        <v>0.99930955844802105</v>
      </c>
      <c r="C5172">
        <v>0.99641598873231896</v>
      </c>
      <c r="D5172">
        <v>1.02414364784964</v>
      </c>
      <c r="E5172">
        <v>0.93376273796836695</v>
      </c>
      <c r="F5172">
        <v>0.74462489729879999</v>
      </c>
      <c r="G5172">
        <v>0.30310037617302599</v>
      </c>
      <c r="H5172">
        <v>0.132174109522147</v>
      </c>
      <c r="I5172">
        <v>0.106209087089618</v>
      </c>
      <c r="J5172">
        <v>8.8591746800906507E-2</v>
      </c>
      <c r="K5172">
        <v>5.6561749868358199E-2</v>
      </c>
      <c r="L5172">
        <v>1531.6790789906299</v>
      </c>
      <c r="M5172">
        <v>27.960368999304599</v>
      </c>
      <c r="N5172">
        <v>55.106716848821598</v>
      </c>
      <c r="O5172">
        <v>54.502442774291701</v>
      </c>
      <c r="P5172">
        <v>-0.118467941643147</v>
      </c>
      <c r="Q5172">
        <v>7.6301674766649993E-2</v>
      </c>
      <c r="R5172">
        <v>0.99902148598887197</v>
      </c>
      <c r="S5172" t="s">
        <v>11788</v>
      </c>
      <c r="T5172" t="s">
        <v>13232</v>
      </c>
      <c r="U5172" t="s">
        <v>13232</v>
      </c>
      <c r="V5172" t="s">
        <v>13232</v>
      </c>
      <c r="W5172" t="s">
        <v>18337</v>
      </c>
      <c r="X5172">
        <v>7</v>
      </c>
      <c r="Y5172" t="s">
        <v>24739</v>
      </c>
      <c r="Z5172" t="s">
        <v>31303</v>
      </c>
      <c r="AA5172">
        <v>0.53836843389819933</v>
      </c>
      <c r="AB5172" t="str">
        <f>HYPERLINK("Melting_Curves/meltCurve_Q96TC7_RMDN3.pdf", "Melting_Curves/meltCurve_Q96TC7_RMDN3.pdf")</f>
        <v>Melting_Curves/meltCurve_Q96TC7_RMDN3.pdf</v>
      </c>
    </row>
    <row r="5173" spans="1:28" x14ac:dyDescent="0.25">
      <c r="A5173" t="s">
        <v>5176</v>
      </c>
      <c r="B5173">
        <v>0.99930955844802105</v>
      </c>
      <c r="C5173">
        <v>1.27349627895553</v>
      </c>
      <c r="D5173">
        <v>1.0740222930996799</v>
      </c>
      <c r="E5173">
        <v>0.87437511963359904</v>
      </c>
      <c r="F5173">
        <v>0.84831604616693101</v>
      </c>
      <c r="G5173">
        <v>0.71563884396782595</v>
      </c>
      <c r="H5173">
        <v>0.79049402388996604</v>
      </c>
      <c r="I5173">
        <v>0.91185614457072806</v>
      </c>
      <c r="J5173">
        <v>0.93916333687086195</v>
      </c>
      <c r="K5173">
        <v>0.74024420119983603</v>
      </c>
      <c r="L5173">
        <v>5594.1859768157001</v>
      </c>
      <c r="M5173">
        <v>112.79862723020101</v>
      </c>
      <c r="O5173">
        <v>49.578867654692502</v>
      </c>
      <c r="P5173">
        <v>-9.9965287561005797E-2</v>
      </c>
      <c r="Q5173">
        <v>0.82424730804771595</v>
      </c>
      <c r="R5173">
        <v>0.51954622052972499</v>
      </c>
      <c r="S5173" t="s">
        <v>11789</v>
      </c>
      <c r="T5173" t="s">
        <v>13232</v>
      </c>
      <c r="U5173" t="s">
        <v>13232</v>
      </c>
      <c r="V5173" t="s">
        <v>13232</v>
      </c>
      <c r="W5173" t="s">
        <v>18338</v>
      </c>
      <c r="X5173">
        <v>11</v>
      </c>
      <c r="Y5173" t="s">
        <v>24740</v>
      </c>
      <c r="Z5173" t="s">
        <v>31304</v>
      </c>
      <c r="AA5173">
        <v>0.88053086716295081</v>
      </c>
      <c r="AB5173" t="str">
        <f>HYPERLINK("Melting_Curves/meltCurve_Q99081_TCF12.pdf", "Melting_Curves/meltCurve_Q99081_TCF12.pdf")</f>
        <v>Melting_Curves/meltCurve_Q99081_TCF12.pdf</v>
      </c>
    </row>
    <row r="5174" spans="1:28" x14ac:dyDescent="0.25">
      <c r="A5174" t="s">
        <v>5177</v>
      </c>
      <c r="B5174">
        <v>0.99930955844802105</v>
      </c>
      <c r="C5174">
        <v>0.99690885566940801</v>
      </c>
      <c r="D5174">
        <v>0.97336798469230301</v>
      </c>
      <c r="E5174">
        <v>0.79164724444554802</v>
      </c>
      <c r="F5174">
        <v>0.65112538517731</v>
      </c>
      <c r="G5174">
        <v>0.49622137214147499</v>
      </c>
      <c r="H5174">
        <v>0.37811777704025801</v>
      </c>
      <c r="I5174">
        <v>0.37337352357145898</v>
      </c>
      <c r="J5174">
        <v>0.34038420410248899</v>
      </c>
      <c r="K5174">
        <v>0.26939488672939799</v>
      </c>
      <c r="L5174">
        <v>796.70499353203104</v>
      </c>
      <c r="M5174">
        <v>14.938153333595499</v>
      </c>
      <c r="N5174">
        <v>56.623594927958798</v>
      </c>
      <c r="O5174">
        <v>52.405150993351498</v>
      </c>
      <c r="P5174">
        <v>-5.0594924376870999E-2</v>
      </c>
      <c r="Q5174">
        <v>0.29009621279737802</v>
      </c>
      <c r="R5174">
        <v>0.99396182525082299</v>
      </c>
      <c r="S5174" t="s">
        <v>11790</v>
      </c>
      <c r="T5174" t="s">
        <v>13232</v>
      </c>
      <c r="U5174" t="s">
        <v>13232</v>
      </c>
      <c r="V5174" t="s">
        <v>13232</v>
      </c>
      <c r="W5174" t="s">
        <v>18339</v>
      </c>
      <c r="X5174">
        <v>10</v>
      </c>
      <c r="Y5174" t="s">
        <v>24741</v>
      </c>
      <c r="Z5174" t="s">
        <v>31305</v>
      </c>
      <c r="AA5174">
        <v>0.62075265253406464</v>
      </c>
      <c r="AB5174" t="str">
        <f>HYPERLINK("Melting_Curves/meltCurve_Q99417_MYCBP.pdf", "Melting_Curves/meltCurve_Q99417_MYCBP.pdf")</f>
        <v>Melting_Curves/meltCurve_Q99417_MYCBP.pdf</v>
      </c>
    </row>
    <row r="5175" spans="1:28" x14ac:dyDescent="0.25">
      <c r="A5175" t="s">
        <v>5178</v>
      </c>
      <c r="B5175">
        <v>0.99930955844802105</v>
      </c>
      <c r="C5175">
        <v>1.15360662286407</v>
      </c>
      <c r="D5175">
        <v>1.1720472286354799</v>
      </c>
      <c r="E5175">
        <v>1.04300776507341</v>
      </c>
      <c r="F5175">
        <v>0.71289052426699095</v>
      </c>
      <c r="G5175">
        <v>0.41927842086835698</v>
      </c>
      <c r="H5175">
        <v>0.31951083969383798</v>
      </c>
      <c r="I5175">
        <v>0.32355999923516499</v>
      </c>
      <c r="J5175">
        <v>0.32122709230412999</v>
      </c>
      <c r="K5175">
        <v>0.243472316206259</v>
      </c>
      <c r="L5175">
        <v>2060.5186956848502</v>
      </c>
      <c r="M5175">
        <v>38.3176646302921</v>
      </c>
      <c r="N5175">
        <v>55.142980308498501</v>
      </c>
      <c r="O5175">
        <v>53.628808882276701</v>
      </c>
      <c r="P5175">
        <v>-0.123824717478077</v>
      </c>
      <c r="Q5175">
        <v>0.30678916575745102</v>
      </c>
      <c r="R5175">
        <v>0.94994565506637496</v>
      </c>
      <c r="S5175" t="s">
        <v>11791</v>
      </c>
      <c r="T5175" t="s">
        <v>13232</v>
      </c>
      <c r="U5175" t="s">
        <v>13232</v>
      </c>
      <c r="V5175" t="s">
        <v>13232</v>
      </c>
      <c r="W5175" t="s">
        <v>18340</v>
      </c>
      <c r="X5175">
        <v>13</v>
      </c>
      <c r="Y5175" t="s">
        <v>24742</v>
      </c>
      <c r="Z5175" t="s">
        <v>31306</v>
      </c>
      <c r="AA5175">
        <v>0.62788301193020146</v>
      </c>
      <c r="AB5175" t="str">
        <f>HYPERLINK("Melting_Curves/meltCurve_Q99426_TBCB.pdf", "Melting_Curves/meltCurve_Q99426_TBCB.pdf")</f>
        <v>Melting_Curves/meltCurve_Q99426_TBCB.pdf</v>
      </c>
    </row>
    <row r="5176" spans="1:28" x14ac:dyDescent="0.25">
      <c r="A5176" t="s">
        <v>5179</v>
      </c>
      <c r="B5176">
        <v>0.99930955844802105</v>
      </c>
      <c r="C5176">
        <v>0.768904948093726</v>
      </c>
      <c r="D5176">
        <v>0.84324026352347903</v>
      </c>
      <c r="E5176">
        <v>1.1002635491041699</v>
      </c>
      <c r="F5176">
        <v>1.3767358055251699</v>
      </c>
      <c r="G5176">
        <v>1.1963498586524599</v>
      </c>
      <c r="H5176">
        <v>0.34012363733669698</v>
      </c>
      <c r="I5176">
        <v>0.39610123816202403</v>
      </c>
      <c r="J5176">
        <v>0.417076504234767</v>
      </c>
      <c r="K5176">
        <v>0.26470994969230299</v>
      </c>
      <c r="L5176">
        <v>11763.755661670701</v>
      </c>
      <c r="M5176">
        <v>198.34858307313399</v>
      </c>
      <c r="N5176">
        <v>59.678581458405098</v>
      </c>
      <c r="O5176">
        <v>59.3024445374948</v>
      </c>
      <c r="P5176">
        <v>-0.54028675063982201</v>
      </c>
      <c r="Q5176">
        <v>0.35385803493657098</v>
      </c>
      <c r="R5176">
        <v>0.80118524922363898</v>
      </c>
      <c r="S5176" t="s">
        <v>11792</v>
      </c>
      <c r="T5176" t="s">
        <v>13232</v>
      </c>
      <c r="U5176" t="s">
        <v>13232</v>
      </c>
      <c r="V5176" t="s">
        <v>13232</v>
      </c>
      <c r="W5176" t="s">
        <v>18341</v>
      </c>
      <c r="X5176">
        <v>11</v>
      </c>
      <c r="Y5176" t="s">
        <v>24743</v>
      </c>
      <c r="Z5176" t="s">
        <v>31307</v>
      </c>
      <c r="AA5176">
        <v>0.76983248936729898</v>
      </c>
      <c r="AB5176" t="str">
        <f>HYPERLINK("Melting_Curves/meltCurve_Q99436_PSMB7.pdf", "Melting_Curves/meltCurve_Q99436_PSMB7.pdf")</f>
        <v>Melting_Curves/meltCurve_Q99436_PSMB7.pdf</v>
      </c>
    </row>
    <row r="5177" spans="1:28" x14ac:dyDescent="0.25">
      <c r="A5177" t="s">
        <v>5180</v>
      </c>
      <c r="B5177">
        <v>0.99930955844802105</v>
      </c>
      <c r="C5177">
        <v>1.1061615160940801</v>
      </c>
      <c r="D5177">
        <v>1.0546732177500899</v>
      </c>
      <c r="E5177">
        <v>0.90120167895473302</v>
      </c>
      <c r="F5177">
        <v>0.38633181950159101</v>
      </c>
      <c r="G5177">
        <v>0.208289587698751</v>
      </c>
      <c r="H5177">
        <v>0.13614480444310101</v>
      </c>
      <c r="I5177">
        <v>0.11408055622255001</v>
      </c>
      <c r="J5177">
        <v>0.10955773968867499</v>
      </c>
      <c r="K5177">
        <v>7.8205184489614096E-2</v>
      </c>
      <c r="L5177">
        <v>2420.4117615186801</v>
      </c>
      <c r="M5177">
        <v>46.457612513615999</v>
      </c>
      <c r="N5177">
        <v>52.421879035199296</v>
      </c>
      <c r="O5177">
        <v>52.003099231095497</v>
      </c>
      <c r="P5177">
        <v>-0.19557783506731799</v>
      </c>
      <c r="Q5177">
        <v>0.124307829121134</v>
      </c>
      <c r="R5177">
        <v>0.98778150101113305</v>
      </c>
      <c r="S5177" t="s">
        <v>11793</v>
      </c>
      <c r="T5177" t="s">
        <v>13232</v>
      </c>
      <c r="U5177" t="s">
        <v>13232</v>
      </c>
      <c r="V5177" t="s">
        <v>13232</v>
      </c>
      <c r="W5177" t="s">
        <v>18342</v>
      </c>
      <c r="X5177">
        <v>21</v>
      </c>
      <c r="Y5177" t="s">
        <v>24744</v>
      </c>
      <c r="Z5177" t="s">
        <v>31308</v>
      </c>
      <c r="AA5177">
        <v>0.47981763036031039</v>
      </c>
      <c r="AB5177" t="str">
        <f>HYPERLINK("Melting_Curves/meltCurve_Q99447_PCYT2.pdf", "Melting_Curves/meltCurve_Q99447_PCYT2.pdf")</f>
        <v>Melting_Curves/meltCurve_Q99447_PCYT2.pdf</v>
      </c>
    </row>
    <row r="5178" spans="1:28" x14ac:dyDescent="0.25">
      <c r="A5178" t="s">
        <v>5181</v>
      </c>
      <c r="B5178">
        <v>0.99930955844802105</v>
      </c>
      <c r="C5178">
        <v>1.04271915569805</v>
      </c>
      <c r="D5178">
        <v>1.1743668379388099</v>
      </c>
      <c r="E5178">
        <v>1.1512913365795101</v>
      </c>
      <c r="F5178">
        <v>0.98785026444729096</v>
      </c>
      <c r="G5178">
        <v>1.1012842695665299</v>
      </c>
      <c r="H5178">
        <v>1.13829002377384</v>
      </c>
      <c r="I5178">
        <v>1.36660376501144</v>
      </c>
      <c r="J5178">
        <v>1.3835560528408399</v>
      </c>
      <c r="K5178">
        <v>1.08747030078129</v>
      </c>
      <c r="L5178">
        <v>274.29357650489197</v>
      </c>
      <c r="M5178">
        <v>4.3436082470536501</v>
      </c>
      <c r="O5178">
        <v>53.144142174636698</v>
      </c>
      <c r="P5178">
        <v>8.5941694673548306E-3</v>
      </c>
      <c r="Q5178">
        <v>1.4165040188529201</v>
      </c>
      <c r="R5178">
        <v>0.33027235599294502</v>
      </c>
      <c r="S5178" t="s">
        <v>11794</v>
      </c>
      <c r="T5178" t="s">
        <v>13232</v>
      </c>
      <c r="U5178" t="s">
        <v>13232</v>
      </c>
      <c r="V5178" t="s">
        <v>13232</v>
      </c>
      <c r="W5178" t="s">
        <v>18343</v>
      </c>
      <c r="X5178">
        <v>5</v>
      </c>
      <c r="Y5178" t="s">
        <v>24745</v>
      </c>
      <c r="Z5178" t="s">
        <v>31309</v>
      </c>
      <c r="AA5178">
        <v>1.142131892320438</v>
      </c>
      <c r="AB5178" t="str">
        <f>HYPERLINK("Melting_Curves/meltCurve_Q99456_KRT12.pdf", "Melting_Curves/meltCurve_Q99456_KRT12.pdf")</f>
        <v>Melting_Curves/meltCurve_Q99456_KRT12.pdf</v>
      </c>
    </row>
    <row r="5179" spans="1:28" x14ac:dyDescent="0.25">
      <c r="A5179" t="s">
        <v>5182</v>
      </c>
      <c r="B5179">
        <v>0.99930955844802105</v>
      </c>
      <c r="C5179">
        <v>0.99016887065748904</v>
      </c>
      <c r="D5179">
        <v>0.91524049745812597</v>
      </c>
      <c r="E5179">
        <v>0.83418218656690601</v>
      </c>
      <c r="F5179">
        <v>0.66340798717093397</v>
      </c>
      <c r="G5179">
        <v>0.58868493869867</v>
      </c>
      <c r="H5179">
        <v>0.56460636048506496</v>
      </c>
      <c r="I5179">
        <v>0.62011102598292001</v>
      </c>
      <c r="J5179">
        <v>0.59127716433433797</v>
      </c>
      <c r="K5179">
        <v>0.46842359504349901</v>
      </c>
      <c r="L5179">
        <v>927.40584130410298</v>
      </c>
      <c r="M5179">
        <v>18.294908980415201</v>
      </c>
      <c r="O5179">
        <v>50.097999976053998</v>
      </c>
      <c r="P5179">
        <v>-4.1325214684802401E-2</v>
      </c>
      <c r="Q5179">
        <v>0.54736811182506895</v>
      </c>
      <c r="R5179">
        <v>0.95678782035649201</v>
      </c>
      <c r="S5179" t="s">
        <v>11795</v>
      </c>
      <c r="T5179" t="s">
        <v>13232</v>
      </c>
      <c r="U5179" t="s">
        <v>13232</v>
      </c>
      <c r="V5179" t="s">
        <v>13232</v>
      </c>
      <c r="W5179" t="s">
        <v>18344</v>
      </c>
      <c r="X5179">
        <v>35</v>
      </c>
      <c r="Y5179" t="s">
        <v>24746</v>
      </c>
      <c r="Z5179" t="s">
        <v>31310</v>
      </c>
      <c r="AA5179">
        <v>0.71611505389764385</v>
      </c>
      <c r="AB5179" t="str">
        <f>HYPERLINK("Melting_Curves/meltCurve_Q99459_CDC5L.pdf", "Melting_Curves/meltCurve_Q99459_CDC5L.pdf")</f>
        <v>Melting_Curves/meltCurve_Q99459_CDC5L.pdf</v>
      </c>
    </row>
    <row r="5180" spans="1:28" x14ac:dyDescent="0.25">
      <c r="A5180" t="s">
        <v>5183</v>
      </c>
      <c r="B5180">
        <v>0.99930955844802105</v>
      </c>
      <c r="C5180">
        <v>0.548168051561854</v>
      </c>
      <c r="D5180">
        <v>0.59621706705855604</v>
      </c>
      <c r="E5180">
        <v>0.56736289860966205</v>
      </c>
      <c r="F5180">
        <v>0.29724699080836398</v>
      </c>
      <c r="G5180">
        <v>0.201153858800941</v>
      </c>
      <c r="H5180">
        <v>9.6087070484920906E-2</v>
      </c>
      <c r="I5180">
        <v>6.6751894928874206E-2</v>
      </c>
      <c r="J5180">
        <v>5.91106934914769E-2</v>
      </c>
      <c r="K5180">
        <v>4.3474729205847801E-2</v>
      </c>
      <c r="L5180">
        <v>427.23020695137001</v>
      </c>
      <c r="M5180">
        <v>8.8634762895597596</v>
      </c>
      <c r="N5180">
        <v>48.201201964729101</v>
      </c>
      <c r="O5180">
        <v>45.936826023615801</v>
      </c>
      <c r="P5180">
        <v>-4.8274429996323302E-2</v>
      </c>
      <c r="Q5180">
        <v>0</v>
      </c>
      <c r="R5180">
        <v>0.90761597344551403</v>
      </c>
      <c r="S5180" t="s">
        <v>11796</v>
      </c>
      <c r="T5180" t="s">
        <v>13232</v>
      </c>
      <c r="U5180" t="s">
        <v>13232</v>
      </c>
      <c r="V5180" t="s">
        <v>13232</v>
      </c>
      <c r="W5180" t="s">
        <v>18345</v>
      </c>
      <c r="X5180">
        <v>42</v>
      </c>
      <c r="Y5180" t="s">
        <v>24747</v>
      </c>
      <c r="Z5180" t="s">
        <v>31311</v>
      </c>
      <c r="AA5180">
        <v>0.33557381784924661</v>
      </c>
      <c r="AB5180" t="str">
        <f>HYPERLINK("Melting_Curves/meltCurve_Q99460_PSMD1.pdf", "Melting_Curves/meltCurve_Q99460_PSMD1.pdf")</f>
        <v>Melting_Curves/meltCurve_Q99460_PSMD1.pdf</v>
      </c>
    </row>
    <row r="5181" spans="1:28" x14ac:dyDescent="0.25">
      <c r="A5181" t="s">
        <v>5184</v>
      </c>
      <c r="B5181">
        <v>0.99930955844802105</v>
      </c>
      <c r="C5181">
        <v>0.97657545030414805</v>
      </c>
      <c r="D5181">
        <v>0.92576670369422498</v>
      </c>
      <c r="E5181">
        <v>0.88197153053403399</v>
      </c>
      <c r="F5181">
        <v>0.84736015680426802</v>
      </c>
      <c r="G5181">
        <v>0.74985711791515297</v>
      </c>
      <c r="H5181">
        <v>0.526721127826006</v>
      </c>
      <c r="I5181">
        <v>0.321243951081991</v>
      </c>
      <c r="J5181">
        <v>0.192477119426297</v>
      </c>
      <c r="K5181">
        <v>0.14983036043952</v>
      </c>
      <c r="L5181">
        <v>797.494494251844</v>
      </c>
      <c r="M5181">
        <v>13.1157256776285</v>
      </c>
      <c r="N5181">
        <v>60.8044507040618</v>
      </c>
      <c r="O5181">
        <v>59.443035761855697</v>
      </c>
      <c r="P5181">
        <v>-5.5170315751863701E-2</v>
      </c>
      <c r="Q5181">
        <v>0</v>
      </c>
      <c r="R5181">
        <v>0.98623020598656896</v>
      </c>
      <c r="S5181" t="s">
        <v>11797</v>
      </c>
      <c r="T5181" t="s">
        <v>13232</v>
      </c>
      <c r="U5181" t="s">
        <v>13232</v>
      </c>
      <c r="V5181" t="s">
        <v>13232</v>
      </c>
      <c r="W5181" t="s">
        <v>18346</v>
      </c>
      <c r="X5181">
        <v>11</v>
      </c>
      <c r="Y5181" t="s">
        <v>24748</v>
      </c>
      <c r="Z5181" t="s">
        <v>31312</v>
      </c>
      <c r="AA5181">
        <v>0.69365183342318526</v>
      </c>
      <c r="AB5181" t="str">
        <f>HYPERLINK("Melting_Curves/meltCurve_Q99471_PFDN5.pdf", "Melting_Curves/meltCurve_Q99471_PFDN5.pdf")</f>
        <v>Melting_Curves/meltCurve_Q99471_PFDN5.pdf</v>
      </c>
    </row>
    <row r="5182" spans="1:28" x14ac:dyDescent="0.25">
      <c r="A5182" t="s">
        <v>5185</v>
      </c>
      <c r="B5182">
        <v>0.99930955844802105</v>
      </c>
      <c r="C5182">
        <v>1.0308127829767499</v>
      </c>
      <c r="D5182">
        <v>1.02030810726829</v>
      </c>
      <c r="E5182">
        <v>0.96228255935970997</v>
      </c>
      <c r="F5182">
        <v>0.82254289083818299</v>
      </c>
      <c r="G5182">
        <v>0.65254514218079596</v>
      </c>
      <c r="H5182">
        <v>0.46622296177624101</v>
      </c>
      <c r="I5182">
        <v>0.35554662143035598</v>
      </c>
      <c r="J5182">
        <v>0.23679240620035999</v>
      </c>
      <c r="K5182">
        <v>0.142346386860772</v>
      </c>
      <c r="L5182">
        <v>754.151005757191</v>
      </c>
      <c r="M5182">
        <v>12.534680337248799</v>
      </c>
      <c r="N5182">
        <v>60.318528630485503</v>
      </c>
      <c r="O5182">
        <v>58.695412680854098</v>
      </c>
      <c r="P5182">
        <v>-5.2561984409175998E-2</v>
      </c>
      <c r="Q5182">
        <v>1.5684685112641501E-2</v>
      </c>
      <c r="R5182">
        <v>0.99431404374830901</v>
      </c>
      <c r="S5182" t="s">
        <v>11798</v>
      </c>
      <c r="T5182" t="s">
        <v>13232</v>
      </c>
      <c r="U5182" t="s">
        <v>13232</v>
      </c>
      <c r="V5182" t="s">
        <v>13232</v>
      </c>
      <c r="W5182" t="s">
        <v>18347</v>
      </c>
      <c r="X5182">
        <v>11</v>
      </c>
      <c r="Y5182" t="s">
        <v>24749</v>
      </c>
      <c r="Z5182" t="s">
        <v>31313</v>
      </c>
      <c r="AA5182">
        <v>0.67986946423263761</v>
      </c>
      <c r="AB5182" t="str">
        <f>HYPERLINK("Melting_Curves/meltCurve_Q99496_RNF2.pdf", "Melting_Curves/meltCurve_Q99496_RNF2.pdf")</f>
        <v>Melting_Curves/meltCurve_Q99496_RNF2.pdf</v>
      </c>
    </row>
    <row r="5183" spans="1:28" x14ac:dyDescent="0.25">
      <c r="A5183" t="s">
        <v>5186</v>
      </c>
      <c r="B5183">
        <v>0.99930955844802105</v>
      </c>
      <c r="C5183">
        <v>1.0944438470319999</v>
      </c>
      <c r="D5183">
        <v>1.1191147493653</v>
      </c>
      <c r="E5183">
        <v>1.0590993194980201</v>
      </c>
      <c r="F5183">
        <v>0.97991074957864099</v>
      </c>
      <c r="G5183">
        <v>0.83038317659375505</v>
      </c>
      <c r="H5183">
        <v>0.615332599501622</v>
      </c>
      <c r="I5183">
        <v>0.405784915003992</v>
      </c>
      <c r="J5183">
        <v>0.283224669096448</v>
      </c>
      <c r="K5183">
        <v>0.187600346383481</v>
      </c>
      <c r="L5183">
        <v>1221.1344627375199</v>
      </c>
      <c r="M5183">
        <v>19.799896174618201</v>
      </c>
      <c r="N5183">
        <v>62.544931678865098</v>
      </c>
      <c r="O5183">
        <v>61.0550102046737</v>
      </c>
      <c r="P5183">
        <v>-7.1306289602576498E-2</v>
      </c>
      <c r="Q5183">
        <v>0.120508769130503</v>
      </c>
      <c r="R5183">
        <v>0.97458777188337298</v>
      </c>
      <c r="S5183" t="s">
        <v>11799</v>
      </c>
      <c r="T5183" t="s">
        <v>13232</v>
      </c>
      <c r="U5183" t="s">
        <v>13232</v>
      </c>
      <c r="V5183" t="s">
        <v>13232</v>
      </c>
      <c r="W5183" t="s">
        <v>18348</v>
      </c>
      <c r="X5183">
        <v>20</v>
      </c>
      <c r="Y5183" t="s">
        <v>24750</v>
      </c>
      <c r="Z5183" t="s">
        <v>31314</v>
      </c>
      <c r="AA5183">
        <v>0.75945960975632876</v>
      </c>
      <c r="AB5183" t="str">
        <f>HYPERLINK("Melting_Curves/meltCurve_Q99497_PARK7.pdf", "Melting_Curves/meltCurve_Q99497_PARK7.pdf")</f>
        <v>Melting_Curves/meltCurve_Q99497_PARK7.pdf</v>
      </c>
    </row>
    <row r="5184" spans="1:28" x14ac:dyDescent="0.25">
      <c r="A5184" t="s">
        <v>5187</v>
      </c>
      <c r="B5184">
        <v>0.99930955844802105</v>
      </c>
      <c r="C5184">
        <v>1.0174130946431199</v>
      </c>
      <c r="D5184">
        <v>0.98781479779905601</v>
      </c>
      <c r="E5184">
        <v>0.88177195782636697</v>
      </c>
      <c r="F5184">
        <v>0.68859277583411405</v>
      </c>
      <c r="G5184">
        <v>0.63404731005393999</v>
      </c>
      <c r="H5184">
        <v>0.49140035636434798</v>
      </c>
      <c r="I5184">
        <v>0.51595198357903804</v>
      </c>
      <c r="J5184">
        <v>0.53584623912129903</v>
      </c>
      <c r="K5184">
        <v>0.365608936495318</v>
      </c>
      <c r="L5184">
        <v>838.65687532786001</v>
      </c>
      <c r="M5184">
        <v>15.659507647603901</v>
      </c>
      <c r="N5184">
        <v>62.090316964344296</v>
      </c>
      <c r="O5184">
        <v>52.705206617179797</v>
      </c>
      <c r="P5184">
        <v>-4.1458440010119203E-2</v>
      </c>
      <c r="Q5184">
        <v>0.44190101529048198</v>
      </c>
      <c r="R5184">
        <v>0.95987014709324703</v>
      </c>
      <c r="S5184" t="s">
        <v>11800</v>
      </c>
      <c r="T5184" t="s">
        <v>13232</v>
      </c>
      <c r="U5184" t="s">
        <v>13232</v>
      </c>
      <c r="V5184" t="s">
        <v>13232</v>
      </c>
      <c r="W5184" t="s">
        <v>18349</v>
      </c>
      <c r="X5184">
        <v>4</v>
      </c>
      <c r="Y5184" t="s">
        <v>24751</v>
      </c>
      <c r="Z5184" t="s">
        <v>31315</v>
      </c>
      <c r="AA5184">
        <v>0.70514059316489874</v>
      </c>
      <c r="AB5184" t="str">
        <f>HYPERLINK("Melting_Curves/meltCurve_Q99501_GAS2L1.pdf", "Melting_Curves/meltCurve_Q99501_GAS2L1.pdf")</f>
        <v>Melting_Curves/meltCurve_Q99501_GAS2L1.pdf</v>
      </c>
    </row>
    <row r="5185" spans="1:28" x14ac:dyDescent="0.25">
      <c r="A5185" t="s">
        <v>5188</v>
      </c>
      <c r="B5185">
        <v>0.99930955844802105</v>
      </c>
      <c r="C5185">
        <v>0.88692017668388301</v>
      </c>
      <c r="D5185">
        <v>0.67450057020744003</v>
      </c>
      <c r="E5185">
        <v>0.51189526934195595</v>
      </c>
      <c r="F5185">
        <v>0.37945492851505103</v>
      </c>
      <c r="G5185">
        <v>0.32858162947900399</v>
      </c>
      <c r="H5185">
        <v>0.29821520919377098</v>
      </c>
      <c r="I5185">
        <v>0.35251651039645499</v>
      </c>
      <c r="J5185">
        <v>0.40754388625166899</v>
      </c>
      <c r="K5185">
        <v>0.27354559023864899</v>
      </c>
      <c r="L5185">
        <v>857.07711142943901</v>
      </c>
      <c r="M5185">
        <v>18.4088651175216</v>
      </c>
      <c r="N5185">
        <v>49.393661622410903</v>
      </c>
      <c r="O5185">
        <v>46.018882032707999</v>
      </c>
      <c r="P5185">
        <v>-6.7384479328268798E-2</v>
      </c>
      <c r="Q5185">
        <v>0.32623372357424602</v>
      </c>
      <c r="R5185">
        <v>0.97553685046406002</v>
      </c>
      <c r="S5185" t="s">
        <v>11801</v>
      </c>
      <c r="T5185" t="s">
        <v>13232</v>
      </c>
      <c r="U5185" t="s">
        <v>13232</v>
      </c>
      <c r="V5185" t="s">
        <v>13232</v>
      </c>
      <c r="W5185" t="s">
        <v>18350</v>
      </c>
      <c r="X5185">
        <v>3</v>
      </c>
      <c r="Y5185" t="s">
        <v>24752</v>
      </c>
      <c r="Z5185" t="s">
        <v>31316</v>
      </c>
      <c r="AA5185">
        <v>0.48563160814410061</v>
      </c>
      <c r="AB5185" t="str">
        <f>HYPERLINK("Melting_Curves/meltCurve_Q99519_NEU1.pdf", "Melting_Curves/meltCurve_Q99519_NEU1.pdf")</f>
        <v>Melting_Curves/meltCurve_Q99519_NEU1.pdf</v>
      </c>
    </row>
    <row r="5186" spans="1:28" x14ac:dyDescent="0.25">
      <c r="A5186" t="s">
        <v>5189</v>
      </c>
      <c r="B5186">
        <v>0.99930955844802105</v>
      </c>
      <c r="C5186">
        <v>0.93809567758182599</v>
      </c>
      <c r="D5186">
        <v>0.81751850431045303</v>
      </c>
      <c r="E5186">
        <v>0.81136415505479398</v>
      </c>
      <c r="F5186">
        <v>0.61773321073754095</v>
      </c>
      <c r="G5186">
        <v>0.43468325792039603</v>
      </c>
      <c r="H5186">
        <v>0.33452423629975298</v>
      </c>
      <c r="I5186">
        <v>0.23424776978294501</v>
      </c>
      <c r="J5186">
        <v>0.19670334552165</v>
      </c>
      <c r="K5186">
        <v>0.144664142060111</v>
      </c>
      <c r="L5186">
        <v>516.032618229901</v>
      </c>
      <c r="M5186">
        <v>9.2507728697892908</v>
      </c>
      <c r="N5186">
        <v>55.965542563580897</v>
      </c>
      <c r="O5186">
        <v>53.3617598346082</v>
      </c>
      <c r="P5186">
        <v>-4.2722531251338201E-2</v>
      </c>
      <c r="Q5186">
        <v>1.48893958354318E-2</v>
      </c>
      <c r="R5186">
        <v>0.99009389158064198</v>
      </c>
      <c r="S5186" t="s">
        <v>11802</v>
      </c>
      <c r="T5186" t="s">
        <v>13232</v>
      </c>
      <c r="U5186" t="s">
        <v>13232</v>
      </c>
      <c r="V5186" t="s">
        <v>13232</v>
      </c>
      <c r="W5186" t="s">
        <v>18351</v>
      </c>
      <c r="X5186">
        <v>6</v>
      </c>
      <c r="Y5186" t="s">
        <v>24753</v>
      </c>
      <c r="Z5186" t="s">
        <v>31317</v>
      </c>
      <c r="AA5186">
        <v>0.55500119484911403</v>
      </c>
      <c r="AB5186" t="str">
        <f>HYPERLINK("Melting_Curves/meltCurve_Q99523_SORT1.pdf", "Melting_Curves/meltCurve_Q99523_SORT1.pdf")</f>
        <v>Melting_Curves/meltCurve_Q99523_SORT1.pdf</v>
      </c>
    </row>
    <row r="5187" spans="1:28" x14ac:dyDescent="0.25">
      <c r="A5187" t="s">
        <v>5190</v>
      </c>
      <c r="B5187">
        <v>0.99930955844802105</v>
      </c>
      <c r="C5187">
        <v>0.87482869626958204</v>
      </c>
      <c r="D5187">
        <v>0.77842689868691595</v>
      </c>
      <c r="E5187">
        <v>0.77056357819705501</v>
      </c>
      <c r="F5187">
        <v>0.58308039013590995</v>
      </c>
      <c r="G5187">
        <v>0.35671287132839002</v>
      </c>
      <c r="H5187">
        <v>0.16562015682674999</v>
      </c>
      <c r="I5187">
        <v>0.11793050636191101</v>
      </c>
      <c r="J5187">
        <v>9.4202324675160806E-2</v>
      </c>
      <c r="K5187">
        <v>6.9676231246594098E-2</v>
      </c>
      <c r="L5187">
        <v>606.50248357259898</v>
      </c>
      <c r="M5187">
        <v>11.261916517920501</v>
      </c>
      <c r="N5187">
        <v>53.854286543711602</v>
      </c>
      <c r="O5187">
        <v>52.240024583094801</v>
      </c>
      <c r="P5187">
        <v>-5.3911664006308598E-2</v>
      </c>
      <c r="Q5187">
        <v>0</v>
      </c>
      <c r="R5187">
        <v>0.98040188837852305</v>
      </c>
      <c r="S5187" t="s">
        <v>11803</v>
      </c>
      <c r="T5187" t="s">
        <v>13232</v>
      </c>
      <c r="U5187" t="s">
        <v>13232</v>
      </c>
      <c r="V5187" t="s">
        <v>13232</v>
      </c>
      <c r="W5187" t="s">
        <v>18352</v>
      </c>
      <c r="X5187">
        <v>11</v>
      </c>
      <c r="Y5187" t="s">
        <v>24754</v>
      </c>
      <c r="Z5187" t="s">
        <v>31318</v>
      </c>
      <c r="AA5187">
        <v>0.48986268246829978</v>
      </c>
      <c r="AB5187" t="str">
        <f>HYPERLINK("Melting_Curves/meltCurve_Q99536_VAT1.pdf", "Melting_Curves/meltCurve_Q99536_VAT1.pdf")</f>
        <v>Melting_Curves/meltCurve_Q99536_VAT1.pdf</v>
      </c>
    </row>
    <row r="5188" spans="1:28" x14ac:dyDescent="0.25">
      <c r="A5188" t="s">
        <v>5191</v>
      </c>
      <c r="B5188">
        <v>0.99930955844802105</v>
      </c>
      <c r="C5188">
        <v>1.06392959674304</v>
      </c>
      <c r="D5188">
        <v>0.96447365757618198</v>
      </c>
      <c r="E5188">
        <v>0.70987877474535999</v>
      </c>
      <c r="F5188">
        <v>0.521658357973251</v>
      </c>
      <c r="G5188">
        <v>0.396632858514956</v>
      </c>
      <c r="H5188">
        <v>0.29852922947855298</v>
      </c>
      <c r="I5188">
        <v>0.3047930894632</v>
      </c>
      <c r="J5188">
        <v>0.27973717502975798</v>
      </c>
      <c r="K5188">
        <v>0.242121141194656</v>
      </c>
      <c r="L5188">
        <v>1047.76948264727</v>
      </c>
      <c r="M5188">
        <v>20.398849491119901</v>
      </c>
      <c r="N5188">
        <v>53.452547528686999</v>
      </c>
      <c r="O5188">
        <v>50.878158667598697</v>
      </c>
      <c r="P5188">
        <v>-7.2706007115951293E-2</v>
      </c>
      <c r="Q5188">
        <v>0.27465779697742698</v>
      </c>
      <c r="R5188">
        <v>0.98949713892550695</v>
      </c>
      <c r="S5188" t="s">
        <v>11804</v>
      </c>
      <c r="T5188" t="s">
        <v>13232</v>
      </c>
      <c r="U5188" t="s">
        <v>13232</v>
      </c>
      <c r="V5188" t="s">
        <v>13232</v>
      </c>
      <c r="W5188" t="s">
        <v>18353</v>
      </c>
      <c r="X5188">
        <v>15</v>
      </c>
      <c r="Y5188" t="s">
        <v>24755</v>
      </c>
      <c r="Z5188" t="s">
        <v>31319</v>
      </c>
      <c r="AA5188">
        <v>0.55911965310645617</v>
      </c>
      <c r="AB5188" t="str">
        <f>HYPERLINK("Melting_Curves/meltCurve_Q99541_PLIN2.pdf", "Melting_Curves/meltCurve_Q99541_PLIN2.pdf")</f>
        <v>Melting_Curves/meltCurve_Q99541_PLIN2.pdf</v>
      </c>
    </row>
    <row r="5189" spans="1:28" x14ac:dyDescent="0.25">
      <c r="A5189" t="s">
        <v>5192</v>
      </c>
      <c r="B5189">
        <v>0.99930955844802105</v>
      </c>
      <c r="C5189">
        <v>0.83228193849231102</v>
      </c>
      <c r="D5189">
        <v>0.46528576374080199</v>
      </c>
      <c r="E5189">
        <v>0.36894895792768101</v>
      </c>
      <c r="F5189">
        <v>0.27743730965199598</v>
      </c>
      <c r="G5189">
        <v>0.223636051185025</v>
      </c>
      <c r="H5189">
        <v>0.185374493486541</v>
      </c>
      <c r="I5189">
        <v>0.18063184023793299</v>
      </c>
      <c r="J5189">
        <v>0.16920872495252601</v>
      </c>
      <c r="K5189">
        <v>0.13563096192272001</v>
      </c>
      <c r="L5189">
        <v>857.96261785719605</v>
      </c>
      <c r="M5189">
        <v>18.8720787282674</v>
      </c>
      <c r="N5189">
        <v>46.5946627264127</v>
      </c>
      <c r="O5189">
        <v>44.960770771364302</v>
      </c>
      <c r="P5189">
        <v>-8.5635254505208896E-2</v>
      </c>
      <c r="Q5189">
        <v>0.18396480297738399</v>
      </c>
      <c r="R5189">
        <v>0.97587588639241296</v>
      </c>
      <c r="S5189" t="s">
        <v>11805</v>
      </c>
      <c r="T5189" t="s">
        <v>13232</v>
      </c>
      <c r="U5189" t="s">
        <v>13232</v>
      </c>
      <c r="V5189" t="s">
        <v>13232</v>
      </c>
      <c r="W5189" t="s">
        <v>18354</v>
      </c>
      <c r="X5189">
        <v>31</v>
      </c>
      <c r="Y5189" t="s">
        <v>24756</v>
      </c>
      <c r="Z5189" t="s">
        <v>31320</v>
      </c>
      <c r="AA5189">
        <v>0.34760141982049092</v>
      </c>
      <c r="AB5189" t="str">
        <f>HYPERLINK("Melting_Curves/meltCurve_Q99543_DNAJC2.pdf", "Melting_Curves/meltCurve_Q99543_DNAJC2.pdf")</f>
        <v>Melting_Curves/meltCurve_Q99543_DNAJC2.pdf</v>
      </c>
    </row>
    <row r="5190" spans="1:28" x14ac:dyDescent="0.25">
      <c r="A5190" t="s">
        <v>5193</v>
      </c>
      <c r="B5190">
        <v>0.99930955844802105</v>
      </c>
      <c r="C5190">
        <v>1.03559480467987</v>
      </c>
      <c r="D5190">
        <v>1.1314842166975601</v>
      </c>
      <c r="E5190">
        <v>1.03290912886784</v>
      </c>
      <c r="F5190">
        <v>0.88882539219096701</v>
      </c>
      <c r="G5190">
        <v>0.62559201554543598</v>
      </c>
      <c r="H5190">
        <v>0.25670222463140802</v>
      </c>
      <c r="I5190">
        <v>7.4129101662596106E-2</v>
      </c>
      <c r="J5190">
        <v>4.4000697271059701E-2</v>
      </c>
      <c r="K5190">
        <v>3.12042420725216E-2</v>
      </c>
      <c r="L5190">
        <v>1451.62726107715</v>
      </c>
      <c r="M5190">
        <v>24.971365677335001</v>
      </c>
      <c r="N5190">
        <v>58.165184635017198</v>
      </c>
      <c r="O5190">
        <v>57.762715487319902</v>
      </c>
      <c r="P5190">
        <v>-0.10730730655658099</v>
      </c>
      <c r="Q5190">
        <v>7.1383862014742097E-3</v>
      </c>
      <c r="R5190">
        <v>0.98796117996112798</v>
      </c>
      <c r="S5190" t="s">
        <v>11806</v>
      </c>
      <c r="T5190" t="s">
        <v>13232</v>
      </c>
      <c r="U5190" t="s">
        <v>13232</v>
      </c>
      <c r="V5190" t="s">
        <v>13232</v>
      </c>
      <c r="W5190" t="s">
        <v>18355</v>
      </c>
      <c r="X5190">
        <v>27</v>
      </c>
      <c r="Y5190" t="s">
        <v>24756</v>
      </c>
      <c r="Z5190" t="s">
        <v>31321</v>
      </c>
      <c r="AA5190">
        <v>0.6158091912081779</v>
      </c>
      <c r="AB5190" t="str">
        <f>HYPERLINK("Melting_Curves/meltCurve_Q99543_2_DNAJC2.pdf", "Melting_Curves/meltCurve_Q99543_2_DNAJC2.pdf")</f>
        <v>Melting_Curves/meltCurve_Q99543_2_DNAJC2.pdf</v>
      </c>
    </row>
    <row r="5191" spans="1:28" x14ac:dyDescent="0.25">
      <c r="A5191" t="s">
        <v>5194</v>
      </c>
      <c r="B5191">
        <v>0.99930955844802105</v>
      </c>
      <c r="C5191">
        <v>0.92219814018257196</v>
      </c>
      <c r="D5191">
        <v>0.86031245550137503</v>
      </c>
      <c r="E5191">
        <v>0.62744776211331499</v>
      </c>
      <c r="F5191">
        <v>0.386682941256763</v>
      </c>
      <c r="G5191">
        <v>0.29262708344462501</v>
      </c>
      <c r="H5191">
        <v>0.233979639340129</v>
      </c>
      <c r="I5191">
        <v>0.23286626567194699</v>
      </c>
      <c r="J5191">
        <v>0.218768515765842</v>
      </c>
      <c r="K5191">
        <v>0.185963705142172</v>
      </c>
      <c r="L5191">
        <v>868.74145785628696</v>
      </c>
      <c r="M5191">
        <v>17.366674149339001</v>
      </c>
      <c r="N5191">
        <v>51.538548567604998</v>
      </c>
      <c r="O5191">
        <v>49.3743363986788</v>
      </c>
      <c r="P5191">
        <v>-7.0358854584663802E-2</v>
      </c>
      <c r="Q5191">
        <v>0.19991018907151401</v>
      </c>
      <c r="R5191">
        <v>0.99596583355910595</v>
      </c>
      <c r="S5191" t="s">
        <v>11807</v>
      </c>
      <c r="T5191" t="s">
        <v>13232</v>
      </c>
      <c r="U5191" t="s">
        <v>13232</v>
      </c>
      <c r="V5191" t="s">
        <v>13232</v>
      </c>
      <c r="W5191" t="s">
        <v>18356</v>
      </c>
      <c r="X5191">
        <v>14</v>
      </c>
      <c r="Y5191" t="s">
        <v>24757</v>
      </c>
      <c r="Z5191" t="s">
        <v>31322</v>
      </c>
      <c r="AA5191">
        <v>0.48182646538940799</v>
      </c>
      <c r="AB5191" t="str">
        <f>HYPERLINK("Melting_Curves/meltCurve_Q99549_MPHOSPH8.pdf", "Melting_Curves/meltCurve_Q99549_MPHOSPH8.pdf")</f>
        <v>Melting_Curves/meltCurve_Q99549_MPHOSPH8.pdf</v>
      </c>
    </row>
    <row r="5192" spans="1:28" x14ac:dyDescent="0.25">
      <c r="A5192" t="s">
        <v>5195</v>
      </c>
      <c r="B5192">
        <v>0.99930955844802105</v>
      </c>
      <c r="C5192">
        <v>1.08192617310038</v>
      </c>
      <c r="D5192">
        <v>1.02226730584669</v>
      </c>
      <c r="E5192">
        <v>0.82761690738675897</v>
      </c>
      <c r="F5192">
        <v>0.72539201790590402</v>
      </c>
      <c r="G5192">
        <v>0.52137274452667803</v>
      </c>
      <c r="H5192">
        <v>0.44921913499557398</v>
      </c>
      <c r="I5192">
        <v>0.47657321074468401</v>
      </c>
      <c r="J5192">
        <v>0.45137937902480901</v>
      </c>
      <c r="K5192">
        <v>0.35026052038181998</v>
      </c>
      <c r="L5192">
        <v>1061.89166654988</v>
      </c>
      <c r="M5192">
        <v>20.018753011016699</v>
      </c>
      <c r="N5192">
        <v>58.102253660770202</v>
      </c>
      <c r="O5192">
        <v>52.524029876011497</v>
      </c>
      <c r="P5192">
        <v>-5.59849742549745E-2</v>
      </c>
      <c r="Q5192">
        <v>0.41245865346132699</v>
      </c>
      <c r="R5192">
        <v>0.97194874160267697</v>
      </c>
      <c r="S5192" t="s">
        <v>11808</v>
      </c>
      <c r="T5192" t="s">
        <v>13232</v>
      </c>
      <c r="U5192" t="s">
        <v>13232</v>
      </c>
      <c r="V5192" t="s">
        <v>13232</v>
      </c>
      <c r="W5192" t="s">
        <v>18357</v>
      </c>
      <c r="X5192">
        <v>3</v>
      </c>
      <c r="Y5192" t="s">
        <v>24758</v>
      </c>
      <c r="Z5192" t="s">
        <v>31323</v>
      </c>
      <c r="AA5192">
        <v>0.67600310729649515</v>
      </c>
      <c r="AB5192" t="str">
        <f>HYPERLINK("Melting_Curves/meltCurve_Q99550_MPHOSPH9.pdf", "Melting_Curves/meltCurve_Q99550_MPHOSPH9.pdf")</f>
        <v>Melting_Curves/meltCurve_Q99550_MPHOSPH9.pdf</v>
      </c>
    </row>
    <row r="5193" spans="1:28" x14ac:dyDescent="0.25">
      <c r="A5193" t="s">
        <v>5196</v>
      </c>
      <c r="B5193">
        <v>0.99930955844802105</v>
      </c>
      <c r="C5193">
        <v>0.94263959625921701</v>
      </c>
      <c r="D5193">
        <v>0.77565175451312296</v>
      </c>
      <c r="E5193">
        <v>0.60427945608026001</v>
      </c>
      <c r="F5193">
        <v>0.33248727151847601</v>
      </c>
      <c r="G5193">
        <v>0.196175386129116</v>
      </c>
      <c r="H5193">
        <v>0.11451669599215999</v>
      </c>
      <c r="I5193">
        <v>0.100841448087244</v>
      </c>
      <c r="J5193">
        <v>9.6745339935125699E-2</v>
      </c>
      <c r="K5193">
        <v>7.5299096581610298E-2</v>
      </c>
      <c r="L5193">
        <v>760.01977929388397</v>
      </c>
      <c r="M5193">
        <v>15.102652948331899</v>
      </c>
      <c r="N5193">
        <v>50.772353316163603</v>
      </c>
      <c r="O5193">
        <v>49.4660336355524</v>
      </c>
      <c r="P5193">
        <v>-7.1566402907630305E-2</v>
      </c>
      <c r="Q5193">
        <v>6.2480585519370503E-2</v>
      </c>
      <c r="R5193">
        <v>0.99541661338931997</v>
      </c>
      <c r="S5193" t="s">
        <v>11809</v>
      </c>
      <c r="T5193" t="s">
        <v>13232</v>
      </c>
      <c r="U5193" t="s">
        <v>13232</v>
      </c>
      <c r="V5193" t="s">
        <v>13232</v>
      </c>
      <c r="W5193" t="s">
        <v>18358</v>
      </c>
      <c r="X5193">
        <v>18</v>
      </c>
      <c r="Y5193" t="s">
        <v>24759</v>
      </c>
      <c r="Z5193" t="s">
        <v>31324</v>
      </c>
      <c r="AA5193">
        <v>0.40696583194929731</v>
      </c>
      <c r="AB5193" t="str">
        <f>HYPERLINK("Melting_Curves/meltCurve_Q99567_NUP88.pdf", "Melting_Curves/meltCurve_Q99567_NUP88.pdf")</f>
        <v>Melting_Curves/meltCurve_Q99567_NUP88.pdf</v>
      </c>
    </row>
    <row r="5194" spans="1:28" x14ac:dyDescent="0.25">
      <c r="A5194" t="s">
        <v>5197</v>
      </c>
      <c r="B5194">
        <v>0.99930955844802105</v>
      </c>
      <c r="C5194">
        <v>0.726479103422487</v>
      </c>
      <c r="D5194">
        <v>0.70466194958244899</v>
      </c>
      <c r="E5194">
        <v>0.61845638059934005</v>
      </c>
      <c r="F5194">
        <v>0.33184179838139999</v>
      </c>
      <c r="G5194">
        <v>0.191132765502772</v>
      </c>
      <c r="H5194">
        <v>0.13379355421428599</v>
      </c>
      <c r="I5194">
        <v>0.104075313347384</v>
      </c>
      <c r="J5194">
        <v>9.3953137526770703E-2</v>
      </c>
      <c r="K5194">
        <v>7.5844721457358502E-2</v>
      </c>
      <c r="L5194">
        <v>494.02157176707999</v>
      </c>
      <c r="M5194">
        <v>9.8514077480761308</v>
      </c>
      <c r="N5194">
        <v>50.153210220179901</v>
      </c>
      <c r="O5194">
        <v>48.2120654969412</v>
      </c>
      <c r="P5194">
        <v>-5.1080484173331601E-2</v>
      </c>
      <c r="Q5194">
        <v>5.7819044612843597E-4</v>
      </c>
      <c r="R5194">
        <v>0.965145206946464</v>
      </c>
      <c r="S5194" t="s">
        <v>11810</v>
      </c>
      <c r="T5194" t="s">
        <v>13232</v>
      </c>
      <c r="U5194" t="s">
        <v>13232</v>
      </c>
      <c r="V5194" t="s">
        <v>13232</v>
      </c>
      <c r="W5194" t="s">
        <v>18359</v>
      </c>
      <c r="X5194">
        <v>20</v>
      </c>
      <c r="Y5194" t="s">
        <v>24760</v>
      </c>
      <c r="Z5194" t="s">
        <v>31325</v>
      </c>
      <c r="AA5194">
        <v>0.3841731494937673</v>
      </c>
      <c r="AB5194" t="str">
        <f>HYPERLINK("Melting_Curves/meltCurve_Q99570_PIK3R4.pdf", "Melting_Curves/meltCurve_Q99570_PIK3R4.pdf")</f>
        <v>Melting_Curves/meltCurve_Q99570_PIK3R4.pdf</v>
      </c>
    </row>
    <row r="5195" spans="1:28" x14ac:dyDescent="0.25">
      <c r="A5195" t="s">
        <v>5198</v>
      </c>
      <c r="B5195">
        <v>0.99930955844802105</v>
      </c>
      <c r="C5195">
        <v>0.76536021263437204</v>
      </c>
      <c r="D5195">
        <v>0.61292270217667599</v>
      </c>
      <c r="E5195">
        <v>0.58173634355311699</v>
      </c>
      <c r="F5195">
        <v>0.53939476618238502</v>
      </c>
      <c r="G5195">
        <v>0.38596914876189098</v>
      </c>
      <c r="H5195">
        <v>0.16486223208072801</v>
      </c>
      <c r="I5195">
        <v>0.14232395651533</v>
      </c>
      <c r="J5195">
        <v>0.13189058381164701</v>
      </c>
      <c r="K5195">
        <v>0.10480379771800701</v>
      </c>
      <c r="L5195">
        <v>398.20366213266601</v>
      </c>
      <c r="M5195">
        <v>7.7247195706934297</v>
      </c>
      <c r="N5195">
        <v>51.549268042575001</v>
      </c>
      <c r="O5195">
        <v>48.436082186281503</v>
      </c>
      <c r="P5195">
        <v>-3.9922065323811901E-2</v>
      </c>
      <c r="Q5195">
        <v>0</v>
      </c>
      <c r="R5195">
        <v>0.949429195690212</v>
      </c>
      <c r="S5195" t="s">
        <v>11811</v>
      </c>
      <c r="T5195" t="s">
        <v>13232</v>
      </c>
      <c r="U5195" t="s">
        <v>13232</v>
      </c>
      <c r="V5195" t="s">
        <v>13232</v>
      </c>
      <c r="W5195" t="s">
        <v>18360</v>
      </c>
      <c r="X5195">
        <v>28</v>
      </c>
      <c r="Y5195" t="s">
        <v>24761</v>
      </c>
      <c r="Z5195" t="s">
        <v>31326</v>
      </c>
      <c r="AA5195">
        <v>0.43654116256124909</v>
      </c>
      <c r="AB5195" t="str">
        <f>HYPERLINK("Melting_Curves/meltCurve_Q99575_POP1.pdf", "Melting_Curves/meltCurve_Q99575_POP1.pdf")</f>
        <v>Melting_Curves/meltCurve_Q99575_POP1.pdf</v>
      </c>
    </row>
    <row r="5196" spans="1:28" x14ac:dyDescent="0.25">
      <c r="A5196" t="s">
        <v>5199</v>
      </c>
      <c r="B5196">
        <v>0.99930955844802105</v>
      </c>
      <c r="C5196">
        <v>0.847817313190106</v>
      </c>
      <c r="D5196">
        <v>0.70892823558815599</v>
      </c>
      <c r="E5196">
        <v>0.53825543409535204</v>
      </c>
      <c r="F5196">
        <v>0.39273635413568603</v>
      </c>
      <c r="G5196">
        <v>0.24256442520151</v>
      </c>
      <c r="H5196">
        <v>0.19084825226850299</v>
      </c>
      <c r="I5196">
        <v>0.15988789912430401</v>
      </c>
      <c r="J5196">
        <v>0.14593497166098901</v>
      </c>
      <c r="K5196">
        <v>0.135403648070966</v>
      </c>
      <c r="L5196">
        <v>578.72114563834498</v>
      </c>
      <c r="M5196">
        <v>11.722524667868999</v>
      </c>
      <c r="N5196">
        <v>50.377632262941503</v>
      </c>
      <c r="O5196">
        <v>47.997313119388302</v>
      </c>
      <c r="P5196">
        <v>-5.46822611266004E-2</v>
      </c>
      <c r="Q5196">
        <v>0.10466078374009601</v>
      </c>
      <c r="R5196">
        <v>0.99491682226019695</v>
      </c>
      <c r="S5196" t="s">
        <v>11812</v>
      </c>
      <c r="T5196" t="s">
        <v>13232</v>
      </c>
      <c r="U5196" t="s">
        <v>13232</v>
      </c>
      <c r="V5196" t="s">
        <v>13232</v>
      </c>
      <c r="W5196" t="s">
        <v>18361</v>
      </c>
      <c r="X5196">
        <v>6</v>
      </c>
      <c r="Y5196" t="s">
        <v>24762</v>
      </c>
      <c r="Z5196" t="s">
        <v>31327</v>
      </c>
      <c r="AA5196">
        <v>0.41767162041569328</v>
      </c>
      <c r="AB5196" t="str">
        <f>HYPERLINK("Melting_Curves/meltCurve_Q99576_3_TSC22D3.pdf", "Melting_Curves/meltCurve_Q99576_3_TSC22D3.pdf")</f>
        <v>Melting_Curves/meltCurve_Q99576_3_TSC22D3.pdf</v>
      </c>
    </row>
    <row r="5197" spans="1:28" x14ac:dyDescent="0.25">
      <c r="A5197" t="s">
        <v>5200</v>
      </c>
      <c r="B5197">
        <v>0.99930955844802105</v>
      </c>
      <c r="C5197">
        <v>1.0063581350352799</v>
      </c>
      <c r="D5197">
        <v>0.95642539119175096</v>
      </c>
      <c r="E5197">
        <v>0.88089517399561501</v>
      </c>
      <c r="F5197">
        <v>0.74113574947447203</v>
      </c>
      <c r="G5197">
        <v>0.642086082020914</v>
      </c>
      <c r="H5197">
        <v>0.58104410371816695</v>
      </c>
      <c r="I5197">
        <v>0.62657593934073896</v>
      </c>
      <c r="J5197">
        <v>0.58414067708698902</v>
      </c>
      <c r="K5197">
        <v>0.47378674318380198</v>
      </c>
      <c r="L5197">
        <v>830.15081303595503</v>
      </c>
      <c r="M5197">
        <v>15.725835072334799</v>
      </c>
      <c r="O5197">
        <v>51.957468583026198</v>
      </c>
      <c r="P5197">
        <v>-3.4988218901743598E-2</v>
      </c>
      <c r="Q5197">
        <v>0.53764065841103703</v>
      </c>
      <c r="R5197">
        <v>0.96775262659418404</v>
      </c>
      <c r="S5197" t="s">
        <v>11813</v>
      </c>
      <c r="T5197" t="s">
        <v>13232</v>
      </c>
      <c r="U5197" t="s">
        <v>13232</v>
      </c>
      <c r="V5197" t="s">
        <v>13232</v>
      </c>
      <c r="W5197" t="s">
        <v>18362</v>
      </c>
      <c r="X5197">
        <v>3</v>
      </c>
      <c r="Y5197" t="s">
        <v>24763</v>
      </c>
      <c r="Z5197" t="s">
        <v>31328</v>
      </c>
      <c r="AA5197">
        <v>0.74411615316326862</v>
      </c>
      <c r="AB5197" t="str">
        <f>HYPERLINK("Melting_Curves/meltCurve_Q99583_MNT.pdf", "Melting_Curves/meltCurve_Q99583_MNT.pdf")</f>
        <v>Melting_Curves/meltCurve_Q99583_MNT.pdf</v>
      </c>
    </row>
    <row r="5198" spans="1:28" x14ac:dyDescent="0.25">
      <c r="A5198" t="s">
        <v>5201</v>
      </c>
      <c r="B5198">
        <v>0.99930955844802105</v>
      </c>
      <c r="C5198">
        <v>1.1413755904476399</v>
      </c>
      <c r="D5198">
        <v>1.13577566017828</v>
      </c>
      <c r="E5198">
        <v>1.1304348277106699</v>
      </c>
      <c r="F5198">
        <v>0.971609088295046</v>
      </c>
      <c r="G5198">
        <v>0.82049553858628599</v>
      </c>
      <c r="H5198">
        <v>0.82597750148580196</v>
      </c>
      <c r="I5198">
        <v>0.80221278883252101</v>
      </c>
      <c r="J5198">
        <v>0.79633367273417999</v>
      </c>
      <c r="K5198">
        <v>0.636683162914641</v>
      </c>
      <c r="L5198">
        <v>977.950831519806</v>
      </c>
      <c r="M5198">
        <v>16.295588611782598</v>
      </c>
      <c r="O5198">
        <v>59.131285936922602</v>
      </c>
      <c r="P5198">
        <v>-2.19355286344282E-2</v>
      </c>
      <c r="Q5198">
        <v>0.68163620046672402</v>
      </c>
      <c r="R5198">
        <v>0.719473511560629</v>
      </c>
      <c r="S5198" t="s">
        <v>11814</v>
      </c>
      <c r="T5198" t="s">
        <v>13232</v>
      </c>
      <c r="U5198" t="s">
        <v>13232</v>
      </c>
      <c r="V5198" t="s">
        <v>13232</v>
      </c>
      <c r="W5198" t="s">
        <v>18363</v>
      </c>
      <c r="X5198">
        <v>7</v>
      </c>
      <c r="Y5198" t="s">
        <v>24764</v>
      </c>
      <c r="Z5198" t="s">
        <v>31329</v>
      </c>
      <c r="AA5198">
        <v>0.89646521210198249</v>
      </c>
      <c r="AB5198" t="str">
        <f>HYPERLINK("Melting_Curves/meltCurve_Q99584_S100A13.pdf", "Melting_Curves/meltCurve_Q99584_S100A13.pdf")</f>
        <v>Melting_Curves/meltCurve_Q99584_S100A13.pdf</v>
      </c>
    </row>
    <row r="5199" spans="1:28" x14ac:dyDescent="0.25">
      <c r="A5199" t="s">
        <v>5202</v>
      </c>
      <c r="B5199">
        <v>0.99930955844802105</v>
      </c>
      <c r="C5199">
        <v>1.1458328507900799</v>
      </c>
      <c r="D5199">
        <v>1.1266901121683599</v>
      </c>
      <c r="E5199">
        <v>1.12097959289354</v>
      </c>
      <c r="F5199">
        <v>1.0431659843726799</v>
      </c>
      <c r="G5199">
        <v>0.95572360699250603</v>
      </c>
      <c r="H5199">
        <v>0.96725173708869505</v>
      </c>
      <c r="I5199">
        <v>1.0928240109201399</v>
      </c>
      <c r="J5199">
        <v>1.12249138470857</v>
      </c>
      <c r="K5199">
        <v>0.893428067323496</v>
      </c>
      <c r="L5199">
        <v>15000</v>
      </c>
      <c r="M5199">
        <v>212.15935891350799</v>
      </c>
      <c r="Q5199">
        <v>0</v>
      </c>
      <c r="R5199">
        <v>-0.15036183669466199</v>
      </c>
      <c r="S5199" t="s">
        <v>11815</v>
      </c>
      <c r="T5199" t="s">
        <v>13232</v>
      </c>
      <c r="U5199" t="s">
        <v>13232</v>
      </c>
      <c r="V5199" t="s">
        <v>13232</v>
      </c>
      <c r="W5199" t="s">
        <v>18364</v>
      </c>
      <c r="X5199">
        <v>47</v>
      </c>
      <c r="Y5199" t="s">
        <v>24765</v>
      </c>
      <c r="Z5199" t="s">
        <v>31330</v>
      </c>
      <c r="AA5199">
        <v>0.99878467821600414</v>
      </c>
      <c r="AB5199" t="str">
        <f>HYPERLINK("Melting_Curves/meltCurve_Q99590_2_SCAF11.pdf", "Melting_Curves/meltCurve_Q99590_2_SCAF11.pdf")</f>
        <v>Melting_Curves/meltCurve_Q99590_2_SCAF11.pdf</v>
      </c>
    </row>
    <row r="5200" spans="1:28" x14ac:dyDescent="0.25">
      <c r="A5200" t="s">
        <v>5203</v>
      </c>
      <c r="B5200">
        <v>0.99930955844802105</v>
      </c>
      <c r="C5200">
        <v>0.87302943466087901</v>
      </c>
      <c r="D5200">
        <v>0.88772959303438403</v>
      </c>
      <c r="E5200">
        <v>0.89600645726653605</v>
      </c>
      <c r="F5200">
        <v>0.89152082636679997</v>
      </c>
      <c r="G5200">
        <v>0.70352489977444799</v>
      </c>
      <c r="H5200">
        <v>0.29815918677790398</v>
      </c>
      <c r="I5200">
        <v>0.203234864935288</v>
      </c>
      <c r="J5200">
        <v>8.7358023577660301E-2</v>
      </c>
      <c r="K5200">
        <v>5.8640669363987402E-2</v>
      </c>
      <c r="L5200">
        <v>1096.33379745304</v>
      </c>
      <c r="M5200">
        <v>18.604766392063301</v>
      </c>
      <c r="N5200">
        <v>58.927577265192497</v>
      </c>
      <c r="O5200">
        <v>58.259425658946199</v>
      </c>
      <c r="P5200">
        <v>-7.9839309704588204E-2</v>
      </c>
      <c r="Q5200">
        <v>0</v>
      </c>
      <c r="R5200">
        <v>0.97118716978978104</v>
      </c>
      <c r="S5200" t="s">
        <v>11816</v>
      </c>
      <c r="T5200" t="s">
        <v>13232</v>
      </c>
      <c r="U5200" t="s">
        <v>13232</v>
      </c>
      <c r="V5200" t="s">
        <v>13232</v>
      </c>
      <c r="W5200" t="s">
        <v>18365</v>
      </c>
      <c r="X5200">
        <v>23</v>
      </c>
      <c r="Y5200" t="s">
        <v>24766</v>
      </c>
      <c r="Z5200" t="s">
        <v>31331</v>
      </c>
      <c r="AA5200">
        <v>0.64151249360948259</v>
      </c>
      <c r="AB5200" t="str">
        <f>HYPERLINK("Melting_Curves/meltCurve_Q99598_TSNAX.pdf", "Melting_Curves/meltCurve_Q99598_TSNAX.pdf")</f>
        <v>Melting_Curves/meltCurve_Q99598_TSNAX.pdf</v>
      </c>
    </row>
    <row r="5201" spans="1:28" x14ac:dyDescent="0.25">
      <c r="A5201" t="s">
        <v>5204</v>
      </c>
      <c r="B5201">
        <v>0.99930955844802105</v>
      </c>
      <c r="C5201">
        <v>1.1104243237520699</v>
      </c>
      <c r="D5201">
        <v>1.1073524475373699</v>
      </c>
      <c r="E5201">
        <v>1.0018252619419501</v>
      </c>
      <c r="F5201">
        <v>0.90834321789440697</v>
      </c>
      <c r="G5201">
        <v>1.0071989881047501</v>
      </c>
      <c r="H5201">
        <v>1.04964362666086</v>
      </c>
      <c r="I5201">
        <v>0.956681897327748</v>
      </c>
      <c r="J5201">
        <v>0.97561397966733399</v>
      </c>
      <c r="K5201">
        <v>0.87005959217302198</v>
      </c>
      <c r="L5201">
        <v>2230.5612353197598</v>
      </c>
      <c r="M5201">
        <v>29.953246356267702</v>
      </c>
      <c r="Q5201">
        <v>0</v>
      </c>
      <c r="R5201">
        <v>0.330005718198774</v>
      </c>
      <c r="S5201" t="s">
        <v>11817</v>
      </c>
      <c r="T5201" t="s">
        <v>13232</v>
      </c>
      <c r="U5201" t="s">
        <v>13232</v>
      </c>
      <c r="V5201" t="s">
        <v>13232</v>
      </c>
      <c r="W5201" t="s">
        <v>18366</v>
      </c>
      <c r="X5201">
        <v>3</v>
      </c>
      <c r="Y5201" t="s">
        <v>24767</v>
      </c>
      <c r="Z5201" t="s">
        <v>31332</v>
      </c>
      <c r="AA5201">
        <v>0.99050606723828905</v>
      </c>
      <c r="AB5201" t="str">
        <f>HYPERLINK("Melting_Curves/meltCurve_Q99607_ELF4.pdf", "Melting_Curves/meltCurve_Q99607_ELF4.pdf")</f>
        <v>Melting_Curves/meltCurve_Q99607_ELF4.pdf</v>
      </c>
    </row>
    <row r="5202" spans="1:28" x14ac:dyDescent="0.25">
      <c r="A5202" t="s">
        <v>5205</v>
      </c>
      <c r="B5202">
        <v>0.99930955844802105</v>
      </c>
      <c r="C5202">
        <v>1.14229715060544</v>
      </c>
      <c r="D5202">
        <v>1.13786665843096</v>
      </c>
      <c r="E5202">
        <v>1.04381745990673</v>
      </c>
      <c r="F5202">
        <v>1.02959396192425</v>
      </c>
      <c r="G5202">
        <v>0.77552391484446404</v>
      </c>
      <c r="H5202">
        <v>0.62526169157835998</v>
      </c>
      <c r="I5202">
        <v>0.49358248659589099</v>
      </c>
      <c r="J5202">
        <v>0.33762953308797899</v>
      </c>
      <c r="K5202">
        <v>0.14425873604903</v>
      </c>
      <c r="L5202">
        <v>980.129976313611</v>
      </c>
      <c r="M5202">
        <v>15.470052200427499</v>
      </c>
      <c r="N5202">
        <v>63.356604404972401</v>
      </c>
      <c r="O5202">
        <v>62.326256152476397</v>
      </c>
      <c r="P5202">
        <v>-6.2058265700153097E-2</v>
      </c>
      <c r="Q5202">
        <v>0</v>
      </c>
      <c r="R5202">
        <v>0.94797463884671396</v>
      </c>
      <c r="S5202" t="s">
        <v>11818</v>
      </c>
      <c r="T5202" t="s">
        <v>13232</v>
      </c>
      <c r="U5202" t="s">
        <v>13232</v>
      </c>
      <c r="V5202" t="s">
        <v>13232</v>
      </c>
      <c r="W5202" t="s">
        <v>18367</v>
      </c>
      <c r="X5202">
        <v>10</v>
      </c>
      <c r="Y5202" t="s">
        <v>24768</v>
      </c>
      <c r="Z5202" t="s">
        <v>31333</v>
      </c>
      <c r="AA5202">
        <v>0.76812127616335346</v>
      </c>
      <c r="AB5202" t="str">
        <f>HYPERLINK("Melting_Curves/meltCurve_Q99611_SEPHS2.pdf", "Melting_Curves/meltCurve_Q99611_SEPHS2.pdf")</f>
        <v>Melting_Curves/meltCurve_Q99611_SEPHS2.pdf</v>
      </c>
    </row>
    <row r="5203" spans="1:28" x14ac:dyDescent="0.25">
      <c r="A5203" t="s">
        <v>5206</v>
      </c>
      <c r="B5203">
        <v>0.99930955844802105</v>
      </c>
      <c r="C5203">
        <v>1.1536203061063599</v>
      </c>
      <c r="D5203">
        <v>1.12035001495786</v>
      </c>
      <c r="E5203">
        <v>1.0602469808427899</v>
      </c>
      <c r="F5203">
        <v>0.93534828350557297</v>
      </c>
      <c r="G5203">
        <v>0.68856560521357901</v>
      </c>
      <c r="H5203">
        <v>0.68025380355465104</v>
      </c>
      <c r="I5203">
        <v>0.68874756609718302</v>
      </c>
      <c r="J5203">
        <v>0.73342502880775295</v>
      </c>
      <c r="K5203">
        <v>0.614307892561897</v>
      </c>
      <c r="L5203">
        <v>13322.581097452599</v>
      </c>
      <c r="M5203">
        <v>250</v>
      </c>
      <c r="O5203">
        <v>53.2869141660168</v>
      </c>
      <c r="P5203">
        <v>-0.37408343147509199</v>
      </c>
      <c r="Q5203">
        <v>0.68105997313171696</v>
      </c>
      <c r="R5203">
        <v>0.87299880384464201</v>
      </c>
      <c r="S5203" t="s">
        <v>11819</v>
      </c>
      <c r="T5203" t="s">
        <v>13232</v>
      </c>
      <c r="U5203" t="s">
        <v>13232</v>
      </c>
      <c r="V5203" t="s">
        <v>13232</v>
      </c>
      <c r="W5203" t="s">
        <v>18368</v>
      </c>
      <c r="X5203">
        <v>18</v>
      </c>
      <c r="Y5203" t="s">
        <v>24769</v>
      </c>
      <c r="Z5203" t="s">
        <v>31334</v>
      </c>
      <c r="AA5203">
        <v>0.82238368217903779</v>
      </c>
      <c r="AB5203" t="str">
        <f>HYPERLINK("Melting_Curves/meltCurve_Q99614_TTC1.pdf", "Melting_Curves/meltCurve_Q99614_TTC1.pdf")</f>
        <v>Melting_Curves/meltCurve_Q99614_TTC1.pdf</v>
      </c>
    </row>
    <row r="5204" spans="1:28" x14ac:dyDescent="0.25">
      <c r="A5204" t="s">
        <v>5207</v>
      </c>
      <c r="B5204">
        <v>0.99930955844802105</v>
      </c>
      <c r="C5204">
        <v>0.95960451688417203</v>
      </c>
      <c r="D5204">
        <v>0.89849454116268501</v>
      </c>
      <c r="E5204">
        <v>0.41810465789378698</v>
      </c>
      <c r="F5204">
        <v>0.173341581075933</v>
      </c>
      <c r="G5204">
        <v>0.12911345743233399</v>
      </c>
      <c r="H5204">
        <v>8.6047814266810893E-2</v>
      </c>
      <c r="I5204">
        <v>7.5034065709155107E-2</v>
      </c>
      <c r="J5204">
        <v>7.0609614150694694E-2</v>
      </c>
      <c r="K5204">
        <v>5.3439135843646901E-2</v>
      </c>
      <c r="L5204">
        <v>1416.01183641432</v>
      </c>
      <c r="M5204">
        <v>28.8289885851202</v>
      </c>
      <c r="N5204">
        <v>49.405274245705399</v>
      </c>
      <c r="O5204">
        <v>48.8831007322121</v>
      </c>
      <c r="P5204">
        <v>-0.136049137787771</v>
      </c>
      <c r="Q5204">
        <v>7.7254364818304694E-2</v>
      </c>
      <c r="R5204">
        <v>0.99809782855240603</v>
      </c>
      <c r="S5204" t="s">
        <v>11820</v>
      </c>
      <c r="T5204" t="s">
        <v>13232</v>
      </c>
      <c r="U5204" t="s">
        <v>13232</v>
      </c>
      <c r="V5204" t="s">
        <v>13232</v>
      </c>
      <c r="W5204" t="s">
        <v>18369</v>
      </c>
      <c r="X5204">
        <v>38</v>
      </c>
      <c r="Y5204" t="s">
        <v>24770</v>
      </c>
      <c r="Z5204" t="s">
        <v>31335</v>
      </c>
      <c r="AA5204">
        <v>0.36380426752462891</v>
      </c>
      <c r="AB5204" t="str">
        <f>HYPERLINK("Melting_Curves/meltCurve_Q99615_DNAJC7.pdf", "Melting_Curves/meltCurve_Q99615_DNAJC7.pdf")</f>
        <v>Melting_Curves/meltCurve_Q99615_DNAJC7.pdf</v>
      </c>
    </row>
    <row r="5205" spans="1:28" x14ac:dyDescent="0.25">
      <c r="A5205" t="s">
        <v>5208</v>
      </c>
      <c r="B5205">
        <v>0.99930955844802105</v>
      </c>
      <c r="C5205">
        <v>0.99705419390910199</v>
      </c>
      <c r="D5205">
        <v>1.03992311654977</v>
      </c>
      <c r="E5205">
        <v>0.89598571066710297</v>
      </c>
      <c r="F5205">
        <v>0.59333002556032</v>
      </c>
      <c r="G5205">
        <v>0.41777118040070899</v>
      </c>
      <c r="H5205">
        <v>0.28378741440722999</v>
      </c>
      <c r="I5205">
        <v>0.256037681064755</v>
      </c>
      <c r="J5205">
        <v>0.23574806829082101</v>
      </c>
      <c r="K5205">
        <v>0.193790948580124</v>
      </c>
      <c r="L5205">
        <v>1200.8846899340101</v>
      </c>
      <c r="M5205">
        <v>22.484785532546301</v>
      </c>
      <c r="N5205">
        <v>54.888410790395497</v>
      </c>
      <c r="O5205">
        <v>52.991697748148297</v>
      </c>
      <c r="P5205">
        <v>-8.1970411647264693E-2</v>
      </c>
      <c r="Q5205">
        <v>0.22727095425455801</v>
      </c>
      <c r="R5205">
        <v>0.99057245812044104</v>
      </c>
      <c r="S5205" t="s">
        <v>11821</v>
      </c>
      <c r="T5205" t="s">
        <v>13232</v>
      </c>
      <c r="U5205" t="s">
        <v>13232</v>
      </c>
      <c r="V5205" t="s">
        <v>13232</v>
      </c>
      <c r="W5205" t="s">
        <v>18370</v>
      </c>
      <c r="X5205">
        <v>3</v>
      </c>
      <c r="Y5205" t="s">
        <v>24771</v>
      </c>
      <c r="Z5205" t="s">
        <v>31336</v>
      </c>
      <c r="AA5205">
        <v>0.58129862804020527</v>
      </c>
      <c r="AB5205" t="str">
        <f>HYPERLINK("Melting_Curves/meltCurve_Q99622_C12orf57.pdf", "Melting_Curves/meltCurve_Q99622_C12orf57.pdf")</f>
        <v>Melting_Curves/meltCurve_Q99622_C12orf57.pdf</v>
      </c>
    </row>
    <row r="5206" spans="1:28" x14ac:dyDescent="0.25">
      <c r="A5206" t="s">
        <v>5209</v>
      </c>
      <c r="B5206">
        <v>0.99930955844802105</v>
      </c>
      <c r="C5206">
        <v>1.0489104585470601</v>
      </c>
      <c r="D5206">
        <v>0.96948846919826104</v>
      </c>
      <c r="E5206">
        <v>0.72379530270386705</v>
      </c>
      <c r="F5206">
        <v>0.52906649335108702</v>
      </c>
      <c r="G5206">
        <v>0.41710397863705401</v>
      </c>
      <c r="H5206">
        <v>0.37053326920007501</v>
      </c>
      <c r="I5206">
        <v>0.38725831210839001</v>
      </c>
      <c r="J5206">
        <v>0.37633812185593302</v>
      </c>
      <c r="K5206">
        <v>0.28689438198683798</v>
      </c>
      <c r="L5206">
        <v>1227.4706461437299</v>
      </c>
      <c r="M5206">
        <v>24.163308363814799</v>
      </c>
      <c r="N5206">
        <v>53.531790722559599</v>
      </c>
      <c r="O5206">
        <v>50.454851959809297</v>
      </c>
      <c r="P5206">
        <v>-7.73004577831536E-2</v>
      </c>
      <c r="Q5206">
        <v>0.35437265900512699</v>
      </c>
      <c r="R5206">
        <v>0.987448336354255</v>
      </c>
      <c r="S5206" t="s">
        <v>11822</v>
      </c>
      <c r="T5206" t="s">
        <v>13232</v>
      </c>
      <c r="U5206" t="s">
        <v>13232</v>
      </c>
      <c r="V5206" t="s">
        <v>13232</v>
      </c>
      <c r="W5206" t="s">
        <v>18371</v>
      </c>
      <c r="X5206">
        <v>7</v>
      </c>
      <c r="Y5206" t="s">
        <v>24772</v>
      </c>
      <c r="Z5206" t="s">
        <v>31337</v>
      </c>
      <c r="AA5206">
        <v>0.59299959157459081</v>
      </c>
      <c r="AB5206" t="str">
        <f>HYPERLINK("Melting_Curves/meltCurve_Q99633_PRPF18.pdf", "Melting_Curves/meltCurve_Q99633_PRPF18.pdf")</f>
        <v>Melting_Curves/meltCurve_Q99633_PRPF18.pdf</v>
      </c>
    </row>
    <row r="5207" spans="1:28" x14ac:dyDescent="0.25">
      <c r="A5207" t="s">
        <v>5210</v>
      </c>
      <c r="B5207">
        <v>0.99930955844802105</v>
      </c>
      <c r="C5207">
        <v>1.0413740471492401</v>
      </c>
      <c r="D5207">
        <v>1.08979188340942</v>
      </c>
      <c r="E5207">
        <v>0.94571558892701701</v>
      </c>
      <c r="F5207">
        <v>0.73430311708645901</v>
      </c>
      <c r="G5207">
        <v>0.467897723625321</v>
      </c>
      <c r="H5207">
        <v>0.20969111731224099</v>
      </c>
      <c r="I5207">
        <v>9.9636729125480494E-2</v>
      </c>
      <c r="J5207">
        <v>8.2751950868554996E-2</v>
      </c>
      <c r="K5207">
        <v>5.6243709352134498E-2</v>
      </c>
      <c r="L5207">
        <v>1123.0109826626599</v>
      </c>
      <c r="M5207">
        <v>19.998909330207599</v>
      </c>
      <c r="N5207">
        <v>56.387073255810897</v>
      </c>
      <c r="O5207">
        <v>55.601198514491003</v>
      </c>
      <c r="P5207">
        <v>-8.6351144077993394E-2</v>
      </c>
      <c r="Q5207">
        <v>3.97334692597636E-2</v>
      </c>
      <c r="R5207">
        <v>0.99119114560182497</v>
      </c>
      <c r="S5207" t="s">
        <v>11823</v>
      </c>
      <c r="T5207" t="s">
        <v>13232</v>
      </c>
      <c r="U5207" t="s">
        <v>13232</v>
      </c>
      <c r="V5207" t="s">
        <v>13232</v>
      </c>
      <c r="W5207" t="s">
        <v>18372</v>
      </c>
      <c r="X5207">
        <v>6</v>
      </c>
      <c r="Y5207" t="s">
        <v>24773</v>
      </c>
      <c r="Z5207" t="s">
        <v>31338</v>
      </c>
      <c r="AA5207">
        <v>0.56908294899559564</v>
      </c>
      <c r="AB5207" t="str">
        <f>HYPERLINK("Melting_Curves/meltCurve_Q99638_RAD9A.pdf", "Melting_Curves/meltCurve_Q99638_RAD9A.pdf")</f>
        <v>Melting_Curves/meltCurve_Q99638_RAD9A.pdf</v>
      </c>
    </row>
    <row r="5208" spans="1:28" x14ac:dyDescent="0.25">
      <c r="A5208" t="s">
        <v>5211</v>
      </c>
      <c r="B5208">
        <v>0.99930955844802105</v>
      </c>
      <c r="C5208">
        <v>0.831738064586246</v>
      </c>
      <c r="D5208">
        <v>0.74462932050191599</v>
      </c>
      <c r="E5208">
        <v>0.77870270589509405</v>
      </c>
      <c r="F5208">
        <v>0.35162771491191303</v>
      </c>
      <c r="G5208">
        <v>0.25126992556963301</v>
      </c>
      <c r="H5208">
        <v>0.11546436432059599</v>
      </c>
      <c r="I5208">
        <v>9.8502768508597599E-2</v>
      </c>
      <c r="J5208">
        <v>4.2639568516901399E-2</v>
      </c>
      <c r="K5208">
        <v>4.1666369394952198E-2</v>
      </c>
      <c r="L5208">
        <v>622.93541913614001</v>
      </c>
      <c r="M5208">
        <v>12.0205911886171</v>
      </c>
      <c r="N5208">
        <v>51.822356902550403</v>
      </c>
      <c r="O5208">
        <v>50.450638042599799</v>
      </c>
      <c r="P5208">
        <v>-5.95803653715141E-2</v>
      </c>
      <c r="Q5208">
        <v>0</v>
      </c>
      <c r="R5208">
        <v>0.95848743910614997</v>
      </c>
      <c r="S5208" t="s">
        <v>11824</v>
      </c>
      <c r="T5208" t="s">
        <v>13232</v>
      </c>
      <c r="U5208" t="s">
        <v>13232</v>
      </c>
      <c r="V5208" t="s">
        <v>13232</v>
      </c>
      <c r="W5208" t="s">
        <v>18373</v>
      </c>
      <c r="X5208">
        <v>1</v>
      </c>
      <c r="Y5208" t="s">
        <v>24774</v>
      </c>
      <c r="Z5208" t="s">
        <v>31339</v>
      </c>
      <c r="AA5208">
        <v>0.4249756476239519</v>
      </c>
      <c r="AB5208" t="str">
        <f>HYPERLINK("Melting_Curves/meltCurve_Q99640_4_PKMYT1.pdf", "Melting_Curves/meltCurve_Q99640_4_PKMYT1.pdf")</f>
        <v>Melting_Curves/meltCurve_Q99640_4_PKMYT1.pdf</v>
      </c>
    </row>
    <row r="5209" spans="1:28" x14ac:dyDescent="0.25">
      <c r="A5209" t="s">
        <v>5212</v>
      </c>
      <c r="B5209">
        <v>0.99930955844802105</v>
      </c>
      <c r="C5209">
        <v>0.98419281577722495</v>
      </c>
      <c r="D5209">
        <v>0.75134986899372103</v>
      </c>
      <c r="E5209">
        <v>0.85490106597717197</v>
      </c>
      <c r="F5209">
        <v>0.479017270069096</v>
      </c>
      <c r="G5209">
        <v>0.25864867514967099</v>
      </c>
      <c r="H5209">
        <v>0.18732859757638201</v>
      </c>
      <c r="I5209">
        <v>0.12472989517265699</v>
      </c>
      <c r="J5209">
        <v>9.8449572785315007E-2</v>
      </c>
      <c r="K5209">
        <v>8.5420484117786494E-2</v>
      </c>
      <c r="L5209">
        <v>773.55314629577799</v>
      </c>
      <c r="M5209">
        <v>14.6242819265482</v>
      </c>
      <c r="N5209">
        <v>53.309197398425603</v>
      </c>
      <c r="O5209">
        <v>51.935595028394197</v>
      </c>
      <c r="P5209">
        <v>-6.6624118392086998E-2</v>
      </c>
      <c r="Q5209">
        <v>5.3689692398322802E-2</v>
      </c>
      <c r="R5209">
        <v>0.96409222168702602</v>
      </c>
      <c r="S5209" t="s">
        <v>11825</v>
      </c>
      <c r="T5209" t="s">
        <v>13232</v>
      </c>
      <c r="U5209" t="s">
        <v>13232</v>
      </c>
      <c r="V5209" t="s">
        <v>13232</v>
      </c>
      <c r="W5209" t="s">
        <v>18374</v>
      </c>
      <c r="X5209">
        <v>4</v>
      </c>
      <c r="Y5209" t="s">
        <v>24775</v>
      </c>
      <c r="Z5209" t="s">
        <v>31340</v>
      </c>
      <c r="AA5209">
        <v>0.4816367170372382</v>
      </c>
      <c r="AB5209" t="str">
        <f>HYPERLINK("Melting_Curves/meltCurve_Q99653_CHP1.pdf", "Melting_Curves/meltCurve_Q99653_CHP1.pdf")</f>
        <v>Melting_Curves/meltCurve_Q99653_CHP1.pdf</v>
      </c>
    </row>
    <row r="5210" spans="1:28" x14ac:dyDescent="0.25">
      <c r="A5210" t="s">
        <v>5213</v>
      </c>
      <c r="B5210">
        <v>0.99930955844802105</v>
      </c>
      <c r="C5210">
        <v>1.0090990448277899</v>
      </c>
      <c r="D5210">
        <v>0.85929408878595204</v>
      </c>
      <c r="E5210">
        <v>0.60869862603241298</v>
      </c>
      <c r="F5210">
        <v>0.461036826286158</v>
      </c>
      <c r="G5210">
        <v>0.37923241245876899</v>
      </c>
      <c r="H5210">
        <v>0.30942336462471698</v>
      </c>
      <c r="I5210">
        <v>0.32135023651260097</v>
      </c>
      <c r="J5210">
        <v>0.29090654446082997</v>
      </c>
      <c r="K5210">
        <v>0.24185639619719199</v>
      </c>
      <c r="L5210">
        <v>897.14248191356296</v>
      </c>
      <c r="M5210">
        <v>18.035700575293301</v>
      </c>
      <c r="N5210">
        <v>52.166544484187</v>
      </c>
      <c r="O5210">
        <v>49.143161420090102</v>
      </c>
      <c r="P5210">
        <v>-6.5722362495854406E-2</v>
      </c>
      <c r="Q5210">
        <v>0.28372140719556799</v>
      </c>
      <c r="R5210">
        <v>0.99240724697010896</v>
      </c>
      <c r="S5210" t="s">
        <v>11826</v>
      </c>
      <c r="T5210" t="s">
        <v>13232</v>
      </c>
      <c r="U5210" t="s">
        <v>13232</v>
      </c>
      <c r="V5210" t="s">
        <v>13232</v>
      </c>
      <c r="W5210" t="s">
        <v>18375</v>
      </c>
      <c r="X5210">
        <v>22</v>
      </c>
      <c r="Y5210" t="s">
        <v>24776</v>
      </c>
      <c r="Z5210" t="s">
        <v>31341</v>
      </c>
      <c r="AA5210">
        <v>0.5285462233068785</v>
      </c>
      <c r="AB5210" t="str">
        <f>HYPERLINK("Melting_Curves/meltCurve_Q99661_KIF2C.pdf", "Melting_Curves/meltCurve_Q99661_KIF2C.pdf")</f>
        <v>Melting_Curves/meltCurve_Q99661_KIF2C.pdf</v>
      </c>
    </row>
    <row r="5211" spans="1:28" x14ac:dyDescent="0.25">
      <c r="A5211" t="s">
        <v>5214</v>
      </c>
      <c r="B5211">
        <v>0.99930955844802105</v>
      </c>
      <c r="C5211">
        <v>1.0819051959592101</v>
      </c>
      <c r="D5211">
        <v>1.0507079125782399</v>
      </c>
      <c r="E5211">
        <v>1.0760241306135501</v>
      </c>
      <c r="F5211">
        <v>0.87398538493653899</v>
      </c>
      <c r="G5211">
        <v>0.62755920037332602</v>
      </c>
      <c r="H5211">
        <v>0.63033800682302599</v>
      </c>
      <c r="I5211">
        <v>0.62350271751836905</v>
      </c>
      <c r="J5211">
        <v>0.62083491630064602</v>
      </c>
      <c r="K5211">
        <v>0.51253531762327398</v>
      </c>
      <c r="L5211">
        <v>13290.5893760914</v>
      </c>
      <c r="M5211">
        <v>250</v>
      </c>
      <c r="O5211">
        <v>53.158952255636599</v>
      </c>
      <c r="P5211">
        <v>-0.46681454119913701</v>
      </c>
      <c r="Q5211">
        <v>0.60295402593806602</v>
      </c>
      <c r="R5211">
        <v>0.94577590769410202</v>
      </c>
      <c r="S5211" t="s">
        <v>11827</v>
      </c>
      <c r="T5211" t="s">
        <v>13232</v>
      </c>
      <c r="U5211" t="s">
        <v>13232</v>
      </c>
      <c r="V5211" t="s">
        <v>13232</v>
      </c>
      <c r="W5211" t="s">
        <v>18376</v>
      </c>
      <c r="X5211">
        <v>33</v>
      </c>
      <c r="Y5211" t="s">
        <v>20408</v>
      </c>
      <c r="Z5211" t="s">
        <v>31342</v>
      </c>
      <c r="AA5211">
        <v>0.77719310518316231</v>
      </c>
      <c r="AB5211" t="str">
        <f>HYPERLINK("Melting_Curves/meltCurve_Q99700_4_ATXN2.pdf", "Melting_Curves/meltCurve_Q99700_4_ATXN2.pdf")</f>
        <v>Melting_Curves/meltCurve_Q99700_4_ATXN2.pdf</v>
      </c>
    </row>
    <row r="5212" spans="1:28" x14ac:dyDescent="0.25">
      <c r="A5212" t="s">
        <v>5215</v>
      </c>
      <c r="B5212">
        <v>0.99930955844802105</v>
      </c>
      <c r="C5212">
        <v>0.99194520587605495</v>
      </c>
      <c r="D5212">
        <v>0.90799365939054499</v>
      </c>
      <c r="E5212">
        <v>0.68692892843842701</v>
      </c>
      <c r="F5212">
        <v>0.50849165655138795</v>
      </c>
      <c r="G5212">
        <v>0.39892334902288201</v>
      </c>
      <c r="H5212">
        <v>0.30201698470867699</v>
      </c>
      <c r="I5212">
        <v>0.29762260716795802</v>
      </c>
      <c r="J5212">
        <v>0.28239018337819499</v>
      </c>
      <c r="K5212">
        <v>0.22914724699845401</v>
      </c>
      <c r="L5212">
        <v>841.03542878035398</v>
      </c>
      <c r="M5212">
        <v>16.4456502982278</v>
      </c>
      <c r="N5212">
        <v>53.472576974696501</v>
      </c>
      <c r="O5212">
        <v>50.402080396612099</v>
      </c>
      <c r="P5212">
        <v>-6.06968255212985E-2</v>
      </c>
      <c r="Q5212">
        <v>0.25596598341625498</v>
      </c>
      <c r="R5212">
        <v>0.99613994182188004</v>
      </c>
      <c r="S5212" t="s">
        <v>11828</v>
      </c>
      <c r="T5212" t="s">
        <v>13232</v>
      </c>
      <c r="U5212" t="s">
        <v>13232</v>
      </c>
      <c r="V5212" t="s">
        <v>13232</v>
      </c>
      <c r="W5212" t="s">
        <v>18377</v>
      </c>
      <c r="X5212">
        <v>10</v>
      </c>
      <c r="Y5212" t="s">
        <v>24777</v>
      </c>
      <c r="Z5212" t="s">
        <v>31343</v>
      </c>
      <c r="AA5212">
        <v>0.54692363640995578</v>
      </c>
      <c r="AB5212" t="str">
        <f>HYPERLINK("Melting_Curves/meltCurve_Q99704_DOK1.pdf", "Melting_Curves/meltCurve_Q99704_DOK1.pdf")</f>
        <v>Melting_Curves/meltCurve_Q99704_DOK1.pdf</v>
      </c>
    </row>
    <row r="5213" spans="1:28" x14ac:dyDescent="0.25">
      <c r="A5213" t="s">
        <v>5216</v>
      </c>
      <c r="B5213">
        <v>0.99930955844802105</v>
      </c>
      <c r="C5213">
        <v>0.74036537736153196</v>
      </c>
      <c r="D5213">
        <v>0.50154227558451603</v>
      </c>
      <c r="E5213">
        <v>0.32520806995361701</v>
      </c>
      <c r="F5213">
        <v>0.20317825809704901</v>
      </c>
      <c r="G5213">
        <v>0.14098002729546599</v>
      </c>
      <c r="H5213">
        <v>8.2407610551591001E-2</v>
      </c>
      <c r="I5213">
        <v>6.9416932129382894E-2</v>
      </c>
      <c r="J5213">
        <v>5.95664904686646E-2</v>
      </c>
      <c r="K5213">
        <v>4.90178070605937E-2</v>
      </c>
      <c r="L5213">
        <v>666.33726813334204</v>
      </c>
      <c r="M5213">
        <v>14.4180320131446</v>
      </c>
      <c r="N5213">
        <v>46.624074569431102</v>
      </c>
      <c r="O5213">
        <v>45.353802704343202</v>
      </c>
      <c r="P5213">
        <v>-7.4768184260518802E-2</v>
      </c>
      <c r="Q5213">
        <v>5.9339086317396199E-2</v>
      </c>
      <c r="R5213">
        <v>0.98680794852513398</v>
      </c>
      <c r="S5213" t="s">
        <v>11829</v>
      </c>
      <c r="T5213" t="s">
        <v>13232</v>
      </c>
      <c r="U5213" t="s">
        <v>13232</v>
      </c>
      <c r="V5213" t="s">
        <v>13232</v>
      </c>
      <c r="W5213" t="s">
        <v>18378</v>
      </c>
      <c r="X5213">
        <v>29</v>
      </c>
      <c r="Y5213" t="s">
        <v>24778</v>
      </c>
      <c r="Z5213" t="s">
        <v>31344</v>
      </c>
      <c r="AA5213">
        <v>0.28354414103187359</v>
      </c>
      <c r="AB5213" t="str">
        <f>HYPERLINK("Melting_Curves/meltCurve_Q99707_MTR.pdf", "Melting_Curves/meltCurve_Q99707_MTR.pdf")</f>
        <v>Melting_Curves/meltCurve_Q99707_MTR.pdf</v>
      </c>
    </row>
    <row r="5214" spans="1:28" x14ac:dyDescent="0.25">
      <c r="A5214" t="s">
        <v>5217</v>
      </c>
      <c r="B5214">
        <v>0.99930955844802105</v>
      </c>
      <c r="C5214">
        <v>1.3054886086764701</v>
      </c>
      <c r="D5214">
        <v>1.2103498615974</v>
      </c>
      <c r="E5214">
        <v>1.1321603641623501</v>
      </c>
      <c r="F5214">
        <v>1.1264677350102199</v>
      </c>
      <c r="G5214">
        <v>1.01331489565362</v>
      </c>
      <c r="H5214">
        <v>1.0958872312781101</v>
      </c>
      <c r="I5214">
        <v>0.96542671257998602</v>
      </c>
      <c r="J5214">
        <v>0.73831825247444005</v>
      </c>
      <c r="K5214">
        <v>0.53387734278017795</v>
      </c>
      <c r="L5214">
        <v>4314.6809634288302</v>
      </c>
      <c r="M5214">
        <v>64.5359264380116</v>
      </c>
      <c r="O5214">
        <v>66.792932252517204</v>
      </c>
      <c r="P5214">
        <v>-0.11873035313380401</v>
      </c>
      <c r="Q5214">
        <v>0.50846938385826401</v>
      </c>
      <c r="R5214">
        <v>0.61220903690060802</v>
      </c>
      <c r="S5214" t="s">
        <v>11830</v>
      </c>
      <c r="T5214" t="s">
        <v>13232</v>
      </c>
      <c r="U5214" t="s">
        <v>13232</v>
      </c>
      <c r="V5214" t="s">
        <v>13232</v>
      </c>
      <c r="W5214" t="s">
        <v>18379</v>
      </c>
      <c r="X5214">
        <v>8</v>
      </c>
      <c r="Y5214" t="s">
        <v>24779</v>
      </c>
      <c r="Z5214" t="s">
        <v>31345</v>
      </c>
      <c r="AA5214">
        <v>0.94833925714453582</v>
      </c>
      <c r="AB5214" t="str">
        <f>HYPERLINK("Melting_Curves/meltCurve_Q99708_RBBP8.pdf", "Melting_Curves/meltCurve_Q99708_RBBP8.pdf")</f>
        <v>Melting_Curves/meltCurve_Q99708_RBBP8.pdf</v>
      </c>
    </row>
    <row r="5215" spans="1:28" x14ac:dyDescent="0.25">
      <c r="A5215" t="s">
        <v>5218</v>
      </c>
      <c r="B5215">
        <v>0.99930955844802105</v>
      </c>
      <c r="C5215">
        <v>0.87349582081202004</v>
      </c>
      <c r="D5215">
        <v>0.85908965102652601</v>
      </c>
      <c r="E5215">
        <v>0.80871636336335595</v>
      </c>
      <c r="F5215">
        <v>0.28977837043108001</v>
      </c>
      <c r="G5215">
        <v>9.7670908761715594E-2</v>
      </c>
      <c r="H5215">
        <v>5.1158433861407698E-2</v>
      </c>
      <c r="I5215">
        <v>4.6906923690142703E-2</v>
      </c>
      <c r="J5215">
        <v>5.2193491808555398E-2</v>
      </c>
      <c r="K5215">
        <v>3.7730635966906401E-2</v>
      </c>
      <c r="L5215">
        <v>1966.85412062048</v>
      </c>
      <c r="M5215">
        <v>38.102953113058803</v>
      </c>
      <c r="N5215">
        <v>51.761305527402598</v>
      </c>
      <c r="O5215">
        <v>51.477902007657001</v>
      </c>
      <c r="P5215">
        <v>-0.17587361438205201</v>
      </c>
      <c r="Q5215">
        <v>4.95664560852484E-2</v>
      </c>
      <c r="R5215">
        <v>0.97772114979132296</v>
      </c>
      <c r="S5215" t="s">
        <v>11831</v>
      </c>
      <c r="T5215" t="s">
        <v>13232</v>
      </c>
      <c r="U5215" t="s">
        <v>13232</v>
      </c>
      <c r="V5215" t="s">
        <v>13232</v>
      </c>
      <c r="W5215" t="s">
        <v>18380</v>
      </c>
      <c r="X5215">
        <v>13</v>
      </c>
      <c r="Y5215" t="s">
        <v>24780</v>
      </c>
      <c r="Z5215" t="s">
        <v>31346</v>
      </c>
      <c r="AA5215">
        <v>0.42142249085735772</v>
      </c>
      <c r="AB5215" t="str">
        <f>HYPERLINK("Melting_Curves/meltCurve_Q99714_HSD17B10.pdf", "Melting_Curves/meltCurve_Q99714_HSD17B10.pdf")</f>
        <v>Melting_Curves/meltCurve_Q99714_HSD17B10.pdf</v>
      </c>
    </row>
    <row r="5216" spans="1:28" x14ac:dyDescent="0.25">
      <c r="A5216" t="s">
        <v>5219</v>
      </c>
      <c r="B5216">
        <v>0.99930955844802105</v>
      </c>
      <c r="C5216">
        <v>0.93812048954891603</v>
      </c>
      <c r="D5216">
        <v>0.72435669267276503</v>
      </c>
      <c r="E5216">
        <v>0.32767105436946198</v>
      </c>
      <c r="F5216">
        <v>0.137131345929798</v>
      </c>
      <c r="G5216">
        <v>9.9923245873425798E-2</v>
      </c>
      <c r="H5216">
        <v>5.7943307686706899E-2</v>
      </c>
      <c r="I5216">
        <v>5.7478882996851798E-2</v>
      </c>
      <c r="J5216">
        <v>4.6217256234502103E-2</v>
      </c>
      <c r="K5216">
        <v>4.2750938186111302E-2</v>
      </c>
      <c r="L5216">
        <v>1060.0316422457199</v>
      </c>
      <c r="M5216">
        <v>22.123532383056901</v>
      </c>
      <c r="N5216">
        <v>48.146276160695102</v>
      </c>
      <c r="O5216">
        <v>47.527888810386699</v>
      </c>
      <c r="P5216">
        <v>-0.110488345609559</v>
      </c>
      <c r="Q5216">
        <v>5.0574192751817397E-2</v>
      </c>
      <c r="R5216">
        <v>0.99922570129004096</v>
      </c>
      <c r="S5216" t="s">
        <v>11832</v>
      </c>
      <c r="T5216" t="s">
        <v>13232</v>
      </c>
      <c r="U5216" t="s">
        <v>13232</v>
      </c>
      <c r="V5216" t="s">
        <v>13232</v>
      </c>
      <c r="W5216" t="s">
        <v>18381</v>
      </c>
      <c r="X5216">
        <v>2</v>
      </c>
      <c r="Y5216" t="s">
        <v>24781</v>
      </c>
      <c r="Z5216" t="s">
        <v>31347</v>
      </c>
      <c r="AA5216">
        <v>0.31193709188884172</v>
      </c>
      <c r="AB5216" t="str">
        <f>HYPERLINK("Melting_Curves/meltCurve_Q99728_BARD1.pdf", "Melting_Curves/meltCurve_Q99728_BARD1.pdf")</f>
        <v>Melting_Curves/meltCurve_Q99728_BARD1.pdf</v>
      </c>
    </row>
    <row r="5217" spans="1:28" x14ac:dyDescent="0.25">
      <c r="A5217" t="s">
        <v>5220</v>
      </c>
      <c r="B5217">
        <v>0.99930955844802105</v>
      </c>
      <c r="C5217">
        <v>0.94071188049084198</v>
      </c>
      <c r="D5217">
        <v>0.94142666140055997</v>
      </c>
      <c r="E5217">
        <v>0.85100631597020304</v>
      </c>
      <c r="F5217">
        <v>0.49271445140715497</v>
      </c>
      <c r="G5217">
        <v>0.26174083489093602</v>
      </c>
      <c r="H5217">
        <v>0.159370433580488</v>
      </c>
      <c r="I5217">
        <v>0.14195987927973799</v>
      </c>
      <c r="J5217">
        <v>0.12776095501010801</v>
      </c>
      <c r="K5217">
        <v>9.8496178153167496E-2</v>
      </c>
      <c r="L5217">
        <v>1280.1971238998001</v>
      </c>
      <c r="M5217">
        <v>24.310309296403599</v>
      </c>
      <c r="N5217">
        <v>53.270007119832201</v>
      </c>
      <c r="O5217">
        <v>52.3082127687832</v>
      </c>
      <c r="P5217">
        <v>-0.10208678021569299</v>
      </c>
      <c r="Q5217">
        <v>0.121377376065779</v>
      </c>
      <c r="R5217">
        <v>0.99399029632895197</v>
      </c>
      <c r="S5217" t="s">
        <v>11833</v>
      </c>
      <c r="T5217" t="s">
        <v>13232</v>
      </c>
      <c r="U5217" t="s">
        <v>13232</v>
      </c>
      <c r="V5217" t="s">
        <v>13232</v>
      </c>
      <c r="W5217" t="s">
        <v>18382</v>
      </c>
      <c r="X5217">
        <v>17</v>
      </c>
      <c r="Y5217" t="s">
        <v>24782</v>
      </c>
      <c r="Z5217" t="s">
        <v>31348</v>
      </c>
      <c r="AA5217">
        <v>0.50068177175513429</v>
      </c>
      <c r="AB5217" t="str">
        <f>HYPERLINK("Melting_Curves/meltCurve_Q99733_NAP1L4.pdf", "Melting_Curves/meltCurve_Q99733_NAP1L4.pdf")</f>
        <v>Melting_Curves/meltCurve_Q99733_NAP1L4.pdf</v>
      </c>
    </row>
    <row r="5218" spans="1:28" x14ac:dyDescent="0.25">
      <c r="A5218" t="s">
        <v>5221</v>
      </c>
      <c r="B5218">
        <v>0.99930955844802105</v>
      </c>
      <c r="C5218">
        <v>1.10144941692165</v>
      </c>
      <c r="D5218">
        <v>1.0563956007583399</v>
      </c>
      <c r="E5218">
        <v>0.73807254881540296</v>
      </c>
      <c r="F5218">
        <v>0.33842864076061502</v>
      </c>
      <c r="G5218">
        <v>0.24171881215641899</v>
      </c>
      <c r="H5218">
        <v>0.184746954963875</v>
      </c>
      <c r="I5218">
        <v>0.17479039463580801</v>
      </c>
      <c r="J5218">
        <v>0.16464954938003901</v>
      </c>
      <c r="K5218">
        <v>0.13176905992197299</v>
      </c>
      <c r="L5218">
        <v>1939.9422777222001</v>
      </c>
      <c r="M5218">
        <v>37.987781001086802</v>
      </c>
      <c r="N5218">
        <v>51.654170113361403</v>
      </c>
      <c r="O5218">
        <v>50.9266357558284</v>
      </c>
      <c r="P5218">
        <v>-0.15380969965927299</v>
      </c>
      <c r="Q5218">
        <v>0.175209524814993</v>
      </c>
      <c r="R5218">
        <v>0.98693658782453197</v>
      </c>
      <c r="S5218" t="s">
        <v>11834</v>
      </c>
      <c r="T5218" t="s">
        <v>13232</v>
      </c>
      <c r="U5218" t="s">
        <v>13232</v>
      </c>
      <c r="V5218" t="s">
        <v>13232</v>
      </c>
      <c r="W5218" t="s">
        <v>18383</v>
      </c>
      <c r="X5218">
        <v>15</v>
      </c>
      <c r="Y5218" t="s">
        <v>24783</v>
      </c>
      <c r="Z5218" t="s">
        <v>31349</v>
      </c>
      <c r="AA5218">
        <v>0.48271953407399842</v>
      </c>
      <c r="AB5218" t="str">
        <f>HYPERLINK("Melting_Curves/meltCurve_Q99747_NAPG.pdf", "Melting_Curves/meltCurve_Q99747_NAPG.pdf")</f>
        <v>Melting_Curves/meltCurve_Q99747_NAPG.pdf</v>
      </c>
    </row>
    <row r="5219" spans="1:28" x14ac:dyDescent="0.25">
      <c r="A5219" t="s">
        <v>5222</v>
      </c>
      <c r="B5219">
        <v>0.99930955844802105</v>
      </c>
      <c r="C5219">
        <v>1.6486834644811901</v>
      </c>
      <c r="D5219">
        <v>1.6841147140888</v>
      </c>
      <c r="E5219">
        <v>1.7848463851676899</v>
      </c>
      <c r="F5219">
        <v>1.5823954421801001</v>
      </c>
      <c r="G5219">
        <v>1.27842298596139</v>
      </c>
      <c r="H5219">
        <v>1.2929479488955999</v>
      </c>
      <c r="I5219">
        <v>1.0341979817759299</v>
      </c>
      <c r="J5219">
        <v>0.87950290346425397</v>
      </c>
      <c r="K5219">
        <v>0.67548945364444102</v>
      </c>
      <c r="L5219">
        <v>15000</v>
      </c>
      <c r="M5219">
        <v>223.35382014459401</v>
      </c>
      <c r="O5219">
        <v>67.152634175208902</v>
      </c>
      <c r="P5219">
        <v>-0.26986692581830302</v>
      </c>
      <c r="Q5219">
        <v>0.67545171202366705</v>
      </c>
      <c r="R5219">
        <v>-0.53272614222229397</v>
      </c>
      <c r="S5219" t="s">
        <v>11835</v>
      </c>
      <c r="T5219" t="s">
        <v>13232</v>
      </c>
      <c r="U5219" t="s">
        <v>13232</v>
      </c>
      <c r="V5219" t="s">
        <v>13232</v>
      </c>
      <c r="W5219" t="s">
        <v>18384</v>
      </c>
      <c r="X5219">
        <v>3</v>
      </c>
      <c r="Y5219" t="s">
        <v>24784</v>
      </c>
      <c r="Z5219" t="s">
        <v>31350</v>
      </c>
      <c r="AA5219">
        <v>0.96930217410568853</v>
      </c>
      <c r="AB5219" t="str">
        <f>HYPERLINK("Melting_Curves/meltCurve_Q99757_TXN2.pdf", "Melting_Curves/meltCurve_Q99757_TXN2.pdf")</f>
        <v>Melting_Curves/meltCurve_Q99757_TXN2.pdf</v>
      </c>
    </row>
    <row r="5220" spans="1:28" x14ac:dyDescent="0.25">
      <c r="A5220" t="s">
        <v>5223</v>
      </c>
      <c r="B5220">
        <v>0.99930955844802105</v>
      </c>
      <c r="C5220">
        <v>1.0246586418977699</v>
      </c>
      <c r="D5220">
        <v>1.0257420170426601</v>
      </c>
      <c r="E5220">
        <v>0.89169895371404295</v>
      </c>
      <c r="F5220">
        <v>0.56392347856724601</v>
      </c>
      <c r="G5220">
        <v>0.18426148706093501</v>
      </c>
      <c r="H5220">
        <v>8.2977942506249902E-2</v>
      </c>
      <c r="I5220">
        <v>7.4081289485415994E-2</v>
      </c>
      <c r="J5220">
        <v>5.7323634994724398E-2</v>
      </c>
      <c r="K5220">
        <v>5.1363633216848198E-2</v>
      </c>
      <c r="L5220">
        <v>1610.7709580957501</v>
      </c>
      <c r="M5220">
        <v>30.2193967443011</v>
      </c>
      <c r="N5220">
        <v>53.530424489616401</v>
      </c>
      <c r="O5220">
        <v>53.0707690731357</v>
      </c>
      <c r="P5220">
        <v>-0.13376327244505601</v>
      </c>
      <c r="Q5220">
        <v>6.0355191740883399E-2</v>
      </c>
      <c r="R5220">
        <v>0.99885938126134799</v>
      </c>
      <c r="S5220" t="s">
        <v>11836</v>
      </c>
      <c r="T5220" t="s">
        <v>13232</v>
      </c>
      <c r="U5220" t="s">
        <v>13232</v>
      </c>
      <c r="V5220" t="s">
        <v>13232</v>
      </c>
      <c r="W5220" t="s">
        <v>18385</v>
      </c>
      <c r="X5220">
        <v>5</v>
      </c>
      <c r="Y5220" t="s">
        <v>24785</v>
      </c>
      <c r="Z5220" t="s">
        <v>31351</v>
      </c>
      <c r="AA5220">
        <v>0.48304343609233269</v>
      </c>
      <c r="AB5220" t="str">
        <f>HYPERLINK("Melting_Curves/meltCurve_Q99766_ATP5S.pdf", "Melting_Curves/meltCurve_Q99766_ATP5S.pdf")</f>
        <v>Melting_Curves/meltCurve_Q99766_ATP5S.pdf</v>
      </c>
    </row>
    <row r="5221" spans="1:28" x14ac:dyDescent="0.25">
      <c r="A5221" t="s">
        <v>5224</v>
      </c>
      <c r="B5221">
        <v>0.99930955844802105</v>
      </c>
      <c r="C5221">
        <v>0.98873322627266702</v>
      </c>
      <c r="D5221">
        <v>0.79694656074650305</v>
      </c>
      <c r="E5221">
        <v>0.40644135185656299</v>
      </c>
      <c r="F5221">
        <v>0.289216074862025</v>
      </c>
      <c r="G5221">
        <v>0.232735287409742</v>
      </c>
      <c r="H5221">
        <v>0.17575045384770799</v>
      </c>
      <c r="I5221">
        <v>0.174272248689784</v>
      </c>
      <c r="J5221">
        <v>0.17054255952505001</v>
      </c>
      <c r="K5221">
        <v>9.4251160878024001E-2</v>
      </c>
      <c r="L5221">
        <v>1080.03541715607</v>
      </c>
      <c r="M5221">
        <v>22.3375112530724</v>
      </c>
      <c r="N5221">
        <v>49.212595775006299</v>
      </c>
      <c r="O5221">
        <v>47.968237405811003</v>
      </c>
      <c r="P5221">
        <v>-9.7575161396969395E-2</v>
      </c>
      <c r="Q5221">
        <v>0.161874306698058</v>
      </c>
      <c r="R5221">
        <v>0.99183929448966701</v>
      </c>
      <c r="S5221" t="s">
        <v>11837</v>
      </c>
      <c r="T5221" t="s">
        <v>13232</v>
      </c>
      <c r="U5221" t="s">
        <v>13232</v>
      </c>
      <c r="V5221" t="s">
        <v>13232</v>
      </c>
      <c r="W5221" t="s">
        <v>18386</v>
      </c>
      <c r="X5221">
        <v>3</v>
      </c>
      <c r="Y5221" t="s">
        <v>24786</v>
      </c>
      <c r="Z5221" t="s">
        <v>31352</v>
      </c>
      <c r="AA5221">
        <v>0.40455928241191091</v>
      </c>
      <c r="AB5221" t="str">
        <f>HYPERLINK("Melting_Curves/meltCurve_Q99767_2_APBA2.pdf", "Melting_Curves/meltCurve_Q99767_2_APBA2.pdf")</f>
        <v>Melting_Curves/meltCurve_Q99767_2_APBA2.pdf</v>
      </c>
    </row>
    <row r="5222" spans="1:28" x14ac:dyDescent="0.25">
      <c r="A5222" t="s">
        <v>5225</v>
      </c>
      <c r="B5222">
        <v>0.99930955844802105</v>
      </c>
      <c r="C5222">
        <v>0.76856471585208097</v>
      </c>
      <c r="D5222">
        <v>0.91914957992717405</v>
      </c>
      <c r="E5222">
        <v>0.65768964226643301</v>
      </c>
      <c r="F5222">
        <v>0.33861206632608598</v>
      </c>
      <c r="G5222">
        <v>0.24695079363153</v>
      </c>
      <c r="H5222">
        <v>0.143231870881389</v>
      </c>
      <c r="I5222">
        <v>0.119691150225173</v>
      </c>
      <c r="J5222">
        <v>9.3693814554492799E-2</v>
      </c>
      <c r="K5222">
        <v>6.3091370590446505E-2</v>
      </c>
      <c r="L5222">
        <v>720.58059454925001</v>
      </c>
      <c r="M5222">
        <v>14.0838546162</v>
      </c>
      <c r="N5222">
        <v>51.576887780936801</v>
      </c>
      <c r="O5222">
        <v>50.165235607667697</v>
      </c>
      <c r="P5222">
        <v>-6.6450697055631794E-2</v>
      </c>
      <c r="Q5222">
        <v>5.3360561987279898E-2</v>
      </c>
      <c r="R5222">
        <v>0.961895571323095</v>
      </c>
      <c r="S5222" t="s">
        <v>11838</v>
      </c>
      <c r="T5222" t="s">
        <v>13232</v>
      </c>
      <c r="U5222" t="s">
        <v>13232</v>
      </c>
      <c r="V5222" t="s">
        <v>13232</v>
      </c>
      <c r="W5222" t="s">
        <v>18387</v>
      </c>
      <c r="X5222">
        <v>11</v>
      </c>
      <c r="Y5222" t="s">
        <v>24787</v>
      </c>
      <c r="Z5222" t="s">
        <v>31353</v>
      </c>
      <c r="AA5222">
        <v>0.42969644263974449</v>
      </c>
      <c r="AB5222" t="str">
        <f>HYPERLINK("Melting_Curves/meltCurve_Q99797_MIPEP.pdf", "Melting_Curves/meltCurve_Q99797_MIPEP.pdf")</f>
        <v>Melting_Curves/meltCurve_Q99797_MIPEP.pdf</v>
      </c>
    </row>
    <row r="5223" spans="1:28" x14ac:dyDescent="0.25">
      <c r="A5223" t="s">
        <v>5226</v>
      </c>
      <c r="B5223">
        <v>0.99930955844802105</v>
      </c>
      <c r="C5223">
        <v>0.98438564560872899</v>
      </c>
      <c r="D5223">
        <v>0.89728299213776097</v>
      </c>
      <c r="E5223">
        <v>0.80944567607987805</v>
      </c>
      <c r="F5223">
        <v>0.30088133648010401</v>
      </c>
      <c r="G5223">
        <v>0.17008613868589001</v>
      </c>
      <c r="H5223">
        <v>0.11034912581367801</v>
      </c>
      <c r="I5223">
        <v>8.74490394072268E-2</v>
      </c>
      <c r="J5223">
        <v>7.2542201399313E-2</v>
      </c>
      <c r="K5223">
        <v>5.5680415105450597E-2</v>
      </c>
      <c r="L5223">
        <v>1993.2569973566499</v>
      </c>
      <c r="M5223">
        <v>38.676933429794197</v>
      </c>
      <c r="N5223">
        <v>51.806588954605701</v>
      </c>
      <c r="O5223">
        <v>51.398871346197701</v>
      </c>
      <c r="P5223">
        <v>-0.170920544380436</v>
      </c>
      <c r="Q5223">
        <v>9.1437557624461097E-2</v>
      </c>
      <c r="R5223">
        <v>0.99022501277671604</v>
      </c>
      <c r="S5223" t="s">
        <v>11839</v>
      </c>
      <c r="T5223" t="s">
        <v>13232</v>
      </c>
      <c r="U5223" t="s">
        <v>13232</v>
      </c>
      <c r="V5223" t="s">
        <v>13232</v>
      </c>
      <c r="W5223" t="s">
        <v>18388</v>
      </c>
      <c r="X5223">
        <v>36</v>
      </c>
      <c r="Y5223" t="s">
        <v>24788</v>
      </c>
      <c r="Z5223" t="s">
        <v>31354</v>
      </c>
      <c r="AA5223">
        <v>0.44427442123614108</v>
      </c>
      <c r="AB5223" t="str">
        <f>HYPERLINK("Melting_Curves/meltCurve_Q99798_ACO2.pdf", "Melting_Curves/meltCurve_Q99798_ACO2.pdf")</f>
        <v>Melting_Curves/meltCurve_Q99798_ACO2.pdf</v>
      </c>
    </row>
    <row r="5224" spans="1:28" x14ac:dyDescent="0.25">
      <c r="A5224" t="s">
        <v>5227</v>
      </c>
      <c r="B5224">
        <v>0.99930955844802105</v>
      </c>
      <c r="C5224">
        <v>0.52316150095020897</v>
      </c>
      <c r="D5224">
        <v>0.56717792418455903</v>
      </c>
      <c r="E5224">
        <v>0.77547289367814098</v>
      </c>
      <c r="F5224">
        <v>1.22576109604899</v>
      </c>
      <c r="G5224">
        <v>0.34539031440940798</v>
      </c>
      <c r="H5224">
        <v>0.115161018253436</v>
      </c>
      <c r="I5224">
        <v>7.2856156952655293E-2</v>
      </c>
      <c r="J5224">
        <v>5.9536511854311497E-2</v>
      </c>
      <c r="K5224">
        <v>4.64565814407564E-2</v>
      </c>
      <c r="L5224">
        <v>14199.9169663839</v>
      </c>
      <c r="M5224">
        <v>250</v>
      </c>
      <c r="N5224">
        <v>56.835816394944501</v>
      </c>
      <c r="O5224">
        <v>56.796017425959498</v>
      </c>
      <c r="P5224">
        <v>-1.01954462071896</v>
      </c>
      <c r="Q5224">
        <v>7.3502560177225298E-2</v>
      </c>
      <c r="R5224">
        <v>0.67656070877409902</v>
      </c>
      <c r="S5224" t="s">
        <v>11840</v>
      </c>
      <c r="T5224" t="s">
        <v>13232</v>
      </c>
      <c r="U5224" t="s">
        <v>13232</v>
      </c>
      <c r="V5224" t="s">
        <v>13232</v>
      </c>
      <c r="W5224" t="s">
        <v>18389</v>
      </c>
      <c r="X5224">
        <v>39</v>
      </c>
      <c r="Y5224" t="s">
        <v>24789</v>
      </c>
      <c r="Z5224" t="s">
        <v>31355</v>
      </c>
      <c r="AA5224">
        <v>0.59242322469866526</v>
      </c>
      <c r="AB5224" t="str">
        <f>HYPERLINK("Melting_Curves/meltCurve_Q99832_CCT7.pdf", "Melting_Curves/meltCurve_Q99832_CCT7.pdf")</f>
        <v>Melting_Curves/meltCurve_Q99832_CCT7.pdf</v>
      </c>
    </row>
    <row r="5225" spans="1:28" x14ac:dyDescent="0.25">
      <c r="A5225" t="s">
        <v>5228</v>
      </c>
      <c r="B5225">
        <v>0.99930955844802105</v>
      </c>
      <c r="C5225">
        <v>0.98080243086817198</v>
      </c>
      <c r="D5225">
        <v>0.83539808253911096</v>
      </c>
      <c r="E5225">
        <v>0.38683932737516602</v>
      </c>
      <c r="F5225">
        <v>0.17142212335234999</v>
      </c>
      <c r="G5225">
        <v>0.124873372195029</v>
      </c>
      <c r="H5225">
        <v>7.5904649694576498E-2</v>
      </c>
      <c r="I5225">
        <v>6.07733153932156E-2</v>
      </c>
      <c r="J5225">
        <v>4.6599511038536101E-2</v>
      </c>
      <c r="K5225">
        <v>3.6356173957172902E-2</v>
      </c>
      <c r="L5225">
        <v>1216.5616496184</v>
      </c>
      <c r="M5225">
        <v>24.927765850458002</v>
      </c>
      <c r="N5225">
        <v>49.055977574779597</v>
      </c>
      <c r="O5225">
        <v>48.492662745383903</v>
      </c>
      <c r="P5225">
        <v>-0.120777155658759</v>
      </c>
      <c r="Q5225">
        <v>6.0208624464255601E-2</v>
      </c>
      <c r="R5225">
        <v>0.99822158607816402</v>
      </c>
      <c r="S5225" t="s">
        <v>11841</v>
      </c>
      <c r="T5225" t="s">
        <v>13232</v>
      </c>
      <c r="U5225" t="s">
        <v>13232</v>
      </c>
      <c r="V5225" t="s">
        <v>13232</v>
      </c>
      <c r="W5225" t="s">
        <v>18390</v>
      </c>
      <c r="X5225">
        <v>9</v>
      </c>
      <c r="Y5225" t="s">
        <v>24790</v>
      </c>
      <c r="Z5225" t="s">
        <v>31356</v>
      </c>
      <c r="AA5225">
        <v>0.34435809372517429</v>
      </c>
      <c r="AB5225" t="str">
        <f>HYPERLINK("Melting_Curves/meltCurve_Q99836_MYD88.pdf", "Melting_Curves/meltCurve_Q99836_MYD88.pdf")</f>
        <v>Melting_Curves/meltCurve_Q99836_MYD88.pdf</v>
      </c>
    </row>
    <row r="5226" spans="1:28" x14ac:dyDescent="0.25">
      <c r="A5226" t="s">
        <v>5229</v>
      </c>
      <c r="B5226">
        <v>0.99930955844802105</v>
      </c>
      <c r="C5226">
        <v>1.1238066436846801</v>
      </c>
      <c r="D5226">
        <v>1.0712001182411499</v>
      </c>
      <c r="E5226">
        <v>0.881357296114607</v>
      </c>
      <c r="F5226">
        <v>0.607325382134834</v>
      </c>
      <c r="G5226">
        <v>0.41823605029997102</v>
      </c>
      <c r="H5226">
        <v>0.302155380278748</v>
      </c>
      <c r="I5226">
        <v>0.27211428549576799</v>
      </c>
      <c r="J5226">
        <v>0.247605411350348</v>
      </c>
      <c r="K5226">
        <v>0.23801561661368401</v>
      </c>
      <c r="L5226">
        <v>1308.0674964253401</v>
      </c>
      <c r="M5226">
        <v>24.593109979734098</v>
      </c>
      <c r="N5226">
        <v>54.801858670647597</v>
      </c>
      <c r="O5226">
        <v>52.840434218092099</v>
      </c>
      <c r="P5226">
        <v>-8.6382020353301697E-2</v>
      </c>
      <c r="Q5226">
        <v>0.25761347927033401</v>
      </c>
      <c r="R5226">
        <v>0.97748506294188797</v>
      </c>
      <c r="S5226" t="s">
        <v>11842</v>
      </c>
      <c r="T5226" t="s">
        <v>13232</v>
      </c>
      <c r="U5226" t="s">
        <v>13232</v>
      </c>
      <c r="V5226" t="s">
        <v>13232</v>
      </c>
      <c r="W5226" t="s">
        <v>18391</v>
      </c>
      <c r="X5226">
        <v>14</v>
      </c>
      <c r="Y5226" t="s">
        <v>24791</v>
      </c>
      <c r="Z5226" t="s">
        <v>31357</v>
      </c>
      <c r="AA5226">
        <v>0.5910321620559652</v>
      </c>
      <c r="AB5226" t="str">
        <f>HYPERLINK("Melting_Curves/meltCurve_Q99848_EBNA1BP2.pdf", "Melting_Curves/meltCurve_Q99848_EBNA1BP2.pdf")</f>
        <v>Melting_Curves/meltCurve_Q99848_EBNA1BP2.pdf</v>
      </c>
    </row>
    <row r="5227" spans="1:28" x14ac:dyDescent="0.25">
      <c r="A5227" t="s">
        <v>5230</v>
      </c>
      <c r="B5227">
        <v>0.99930955844802105</v>
      </c>
      <c r="C5227">
        <v>1.0861574774465299</v>
      </c>
      <c r="D5227">
        <v>1.0695063299358201</v>
      </c>
      <c r="E5227">
        <v>0.84762303346087498</v>
      </c>
      <c r="F5227">
        <v>0.60776016758224405</v>
      </c>
      <c r="G5227">
        <v>0.50157582787802601</v>
      </c>
      <c r="H5227">
        <v>0.53276664742980695</v>
      </c>
      <c r="I5227">
        <v>0.56825383449570999</v>
      </c>
      <c r="J5227">
        <v>0.62238758202063105</v>
      </c>
      <c r="K5227">
        <v>0.482132183201819</v>
      </c>
      <c r="L5227">
        <v>2463.0997923160498</v>
      </c>
      <c r="M5227">
        <v>48.500964298405599</v>
      </c>
      <c r="O5227">
        <v>50.6984235745295</v>
      </c>
      <c r="P5227">
        <v>-0.109362832490645</v>
      </c>
      <c r="Q5227">
        <v>0.54272910661310703</v>
      </c>
      <c r="R5227">
        <v>0.95217090415142402</v>
      </c>
      <c r="S5227" t="s">
        <v>11843</v>
      </c>
      <c r="T5227" t="s">
        <v>13232</v>
      </c>
      <c r="U5227" t="s">
        <v>13232</v>
      </c>
      <c r="V5227" t="s">
        <v>13232</v>
      </c>
      <c r="W5227" t="s">
        <v>18392</v>
      </c>
      <c r="X5227">
        <v>27</v>
      </c>
      <c r="Y5227" t="s">
        <v>24792</v>
      </c>
      <c r="Z5227" t="s">
        <v>31358</v>
      </c>
      <c r="AA5227">
        <v>0.70820017615112496</v>
      </c>
      <c r="AB5227" t="str">
        <f>HYPERLINK("Melting_Curves/meltCurve_Q99856_ARID3A.pdf", "Melting_Curves/meltCurve_Q99856_ARID3A.pdf")</f>
        <v>Melting_Curves/meltCurve_Q99856_ARID3A.pdf</v>
      </c>
    </row>
    <row r="5228" spans="1:28" x14ac:dyDescent="0.25">
      <c r="A5228" t="s">
        <v>5231</v>
      </c>
      <c r="B5228">
        <v>0.99930955844802105</v>
      </c>
      <c r="C5228">
        <v>0.98530646527356103</v>
      </c>
      <c r="D5228">
        <v>0.48314496783726402</v>
      </c>
      <c r="E5228">
        <v>0.62125274355411697</v>
      </c>
      <c r="F5228">
        <v>0.268047028332485</v>
      </c>
      <c r="G5228">
        <v>0.152005719881289</v>
      </c>
      <c r="H5228">
        <v>6.7820924999447099E-2</v>
      </c>
      <c r="I5228">
        <v>5.3159867391757001E-2</v>
      </c>
      <c r="J5228">
        <v>3.5789248394396102E-2</v>
      </c>
      <c r="K5228">
        <v>3.3395887931941197E-2</v>
      </c>
      <c r="L5228">
        <v>601.63901021602703</v>
      </c>
      <c r="M5228">
        <v>12.189232911236401</v>
      </c>
      <c r="N5228">
        <v>49.358233985323999</v>
      </c>
      <c r="O5228">
        <v>48.086117883895902</v>
      </c>
      <c r="P5228">
        <v>-6.3386272756576406E-2</v>
      </c>
      <c r="Q5228">
        <v>0</v>
      </c>
      <c r="R5228">
        <v>0.92720229301060197</v>
      </c>
      <c r="S5228" t="s">
        <v>11844</v>
      </c>
      <c r="T5228" t="s">
        <v>13232</v>
      </c>
      <c r="U5228" t="s">
        <v>13232</v>
      </c>
      <c r="V5228" t="s">
        <v>13232</v>
      </c>
      <c r="W5228" t="s">
        <v>18393</v>
      </c>
      <c r="X5228">
        <v>6</v>
      </c>
      <c r="Y5228" t="s">
        <v>24793</v>
      </c>
      <c r="Z5228" t="s">
        <v>31359</v>
      </c>
      <c r="AA5228">
        <v>0.34698320332160387</v>
      </c>
      <c r="AB5228" t="str">
        <f>HYPERLINK("Melting_Curves/meltCurve_Q99878_HIST1H2AJ.pdf", "Melting_Curves/meltCurve_Q99878_HIST1H2AJ.pdf")</f>
        <v>Melting_Curves/meltCurve_Q99878_HIST1H2AJ.pdf</v>
      </c>
    </row>
    <row r="5229" spans="1:28" x14ac:dyDescent="0.25">
      <c r="A5229" t="s">
        <v>5232</v>
      </c>
      <c r="B5229">
        <v>0.99930955844802105</v>
      </c>
      <c r="C5229">
        <v>0.91793849391755</v>
      </c>
      <c r="D5229">
        <v>0.78582296439747801</v>
      </c>
      <c r="E5229">
        <v>0.57564024646972201</v>
      </c>
      <c r="F5229">
        <v>0.29235344664107199</v>
      </c>
      <c r="G5229">
        <v>0.164906989148633</v>
      </c>
      <c r="H5229">
        <v>8.6444185324323797E-2</v>
      </c>
      <c r="I5229">
        <v>6.7773469440206693E-2</v>
      </c>
      <c r="J5229">
        <v>6.0241859053497299E-2</v>
      </c>
      <c r="K5229">
        <v>4.4443345076959899E-2</v>
      </c>
      <c r="L5229">
        <v>774.08331694540402</v>
      </c>
      <c r="M5229">
        <v>15.428251303147301</v>
      </c>
      <c r="N5229">
        <v>50.3906217746853</v>
      </c>
      <c r="O5229">
        <v>49.352828720307997</v>
      </c>
      <c r="P5229">
        <v>-7.5642027960714495E-2</v>
      </c>
      <c r="Q5229">
        <v>3.2213868780721702E-2</v>
      </c>
      <c r="R5229">
        <v>0.996521742900768</v>
      </c>
      <c r="S5229" t="s">
        <v>11845</v>
      </c>
      <c r="T5229" t="s">
        <v>13232</v>
      </c>
      <c r="U5229" t="s">
        <v>13232</v>
      </c>
      <c r="V5229" t="s">
        <v>13232</v>
      </c>
      <c r="W5229" t="s">
        <v>18394</v>
      </c>
      <c r="X5229">
        <v>8</v>
      </c>
      <c r="Y5229" t="s">
        <v>24794</v>
      </c>
      <c r="Z5229" t="s">
        <v>31360</v>
      </c>
      <c r="AA5229">
        <v>0.3822328413543174</v>
      </c>
      <c r="AB5229" t="str">
        <f>HYPERLINK("Melting_Curves/meltCurve_Q99879_HIST1H2BM.pdf", "Melting_Curves/meltCurve_Q99879_HIST1H2BM.pdf")</f>
        <v>Melting_Curves/meltCurve_Q99879_HIST1H2BM.pdf</v>
      </c>
    </row>
    <row r="5230" spans="1:28" x14ac:dyDescent="0.25">
      <c r="A5230" t="s">
        <v>5233</v>
      </c>
      <c r="B5230">
        <v>0.99930955844802105</v>
      </c>
      <c r="C5230">
        <v>1.1688991530444699</v>
      </c>
      <c r="D5230">
        <v>1.1393073999966701</v>
      </c>
      <c r="E5230">
        <v>1.16089069804393</v>
      </c>
      <c r="F5230">
        <v>0.78328446588744305</v>
      </c>
      <c r="G5230">
        <v>0.52371979805045998</v>
      </c>
      <c r="H5230">
        <v>0.51567829202218995</v>
      </c>
      <c r="I5230">
        <v>0.41282698767592502</v>
      </c>
      <c r="J5230">
        <v>0.32688486740948602</v>
      </c>
      <c r="K5230">
        <v>0.207020609774102</v>
      </c>
      <c r="L5230">
        <v>1303.57223262773</v>
      </c>
      <c r="M5230">
        <v>23.299892905056598</v>
      </c>
      <c r="N5230">
        <v>58.4575763909301</v>
      </c>
      <c r="O5230">
        <v>55.5403318767382</v>
      </c>
      <c r="P5230">
        <v>-7.1723294519488903E-2</v>
      </c>
      <c r="Q5230">
        <v>0.31614026023458203</v>
      </c>
      <c r="R5230">
        <v>0.896892015736523</v>
      </c>
      <c r="S5230" t="s">
        <v>11846</v>
      </c>
      <c r="T5230" t="s">
        <v>13232</v>
      </c>
      <c r="U5230" t="s">
        <v>13232</v>
      </c>
      <c r="V5230" t="s">
        <v>13232</v>
      </c>
      <c r="W5230" t="s">
        <v>18395</v>
      </c>
      <c r="X5230">
        <v>12</v>
      </c>
      <c r="Y5230" t="s">
        <v>24795</v>
      </c>
      <c r="Z5230" t="s">
        <v>31361</v>
      </c>
      <c r="AA5230">
        <v>0.68671377659762767</v>
      </c>
      <c r="AB5230" t="str">
        <f>HYPERLINK("Melting_Curves/meltCurve_Q99933_4_BAG1.pdf", "Melting_Curves/meltCurve_Q99933_4_BAG1.pdf")</f>
        <v>Melting_Curves/meltCurve_Q99933_4_BAG1.pdf</v>
      </c>
    </row>
    <row r="5231" spans="1:28" x14ac:dyDescent="0.25">
      <c r="A5231" t="s">
        <v>5234</v>
      </c>
      <c r="B5231">
        <v>0.99930955844802105</v>
      </c>
      <c r="C5231">
        <v>0.82701374273943795</v>
      </c>
      <c r="D5231">
        <v>0.83516537132722202</v>
      </c>
      <c r="E5231">
        <v>0.75150142454239599</v>
      </c>
      <c r="F5231">
        <v>0.55760785179868899</v>
      </c>
      <c r="G5231">
        <v>0.40016719603508699</v>
      </c>
      <c r="H5231">
        <v>0.37494959384537502</v>
      </c>
      <c r="I5231">
        <v>0.368793805105465</v>
      </c>
      <c r="J5231">
        <v>0.34585352531005398</v>
      </c>
      <c r="K5231">
        <v>0.28872872489519702</v>
      </c>
      <c r="L5231">
        <v>526.22222937357196</v>
      </c>
      <c r="M5231">
        <v>10.243597274463101</v>
      </c>
      <c r="N5231">
        <v>55.293470701165099</v>
      </c>
      <c r="O5231">
        <v>49.528547955895299</v>
      </c>
      <c r="P5231">
        <v>-3.8369621601234201E-2</v>
      </c>
      <c r="Q5231">
        <v>0.25824926573317097</v>
      </c>
      <c r="R5231">
        <v>0.96834459065782297</v>
      </c>
      <c r="S5231" t="s">
        <v>11847</v>
      </c>
      <c r="T5231" t="s">
        <v>13232</v>
      </c>
      <c r="U5231" t="s">
        <v>13232</v>
      </c>
      <c r="V5231" t="s">
        <v>13232</v>
      </c>
      <c r="W5231" t="s">
        <v>18396</v>
      </c>
      <c r="X5231">
        <v>3</v>
      </c>
      <c r="Y5231" t="s">
        <v>24796</v>
      </c>
      <c r="Z5231" t="s">
        <v>31362</v>
      </c>
      <c r="AA5231">
        <v>0.5684064968505792</v>
      </c>
      <c r="AB5231" t="str">
        <f>HYPERLINK("Melting_Curves/meltCurve_Q99941_2_ATF6B.pdf", "Melting_Curves/meltCurve_Q99941_2_ATF6B.pdf")</f>
        <v>Melting_Curves/meltCurve_Q99941_2_ATF6B.pdf</v>
      </c>
    </row>
    <row r="5232" spans="1:28" x14ac:dyDescent="0.25">
      <c r="A5232" t="s">
        <v>5235</v>
      </c>
      <c r="B5232">
        <v>0.99930955844802105</v>
      </c>
      <c r="C5232">
        <v>0.80171811046945096</v>
      </c>
      <c r="D5232">
        <v>0.72656041041036501</v>
      </c>
      <c r="E5232">
        <v>0.64889947325904995</v>
      </c>
      <c r="F5232">
        <v>0.49563546371142703</v>
      </c>
      <c r="G5232">
        <v>0.34713261281984298</v>
      </c>
      <c r="H5232">
        <v>0.22264365778612999</v>
      </c>
      <c r="I5232">
        <v>0.21963593104748699</v>
      </c>
      <c r="J5232">
        <v>0.17352274026893699</v>
      </c>
      <c r="K5232">
        <v>0.12914452152396999</v>
      </c>
      <c r="L5232">
        <v>423.20561002235303</v>
      </c>
      <c r="M5232">
        <v>8.0713009608988795</v>
      </c>
      <c r="N5232">
        <v>52.668947185694201</v>
      </c>
      <c r="O5232">
        <v>49.508888790505502</v>
      </c>
      <c r="P5232">
        <v>-4.0078094826884902E-2</v>
      </c>
      <c r="Q5232">
        <v>1.7727915282227301E-2</v>
      </c>
      <c r="R5232">
        <v>0.983665962927885</v>
      </c>
      <c r="S5232" t="s">
        <v>11848</v>
      </c>
      <c r="T5232" t="s">
        <v>13232</v>
      </c>
      <c r="U5232" t="s">
        <v>13232</v>
      </c>
      <c r="V5232" t="s">
        <v>13232</v>
      </c>
      <c r="W5232" t="s">
        <v>18397</v>
      </c>
      <c r="X5232">
        <v>3</v>
      </c>
      <c r="Y5232" t="s">
        <v>24797</v>
      </c>
      <c r="Z5232" t="s">
        <v>31363</v>
      </c>
      <c r="AA5232">
        <v>0.46810186629224299</v>
      </c>
      <c r="AB5232" t="str">
        <f>HYPERLINK("Melting_Curves/meltCurve_Q99942_RNF5.pdf", "Melting_Curves/meltCurve_Q99942_RNF5.pdf")</f>
        <v>Melting_Curves/meltCurve_Q99942_RNF5.pdf</v>
      </c>
    </row>
    <row r="5233" spans="1:28" x14ac:dyDescent="0.25">
      <c r="A5233" t="s">
        <v>5236</v>
      </c>
      <c r="B5233">
        <v>0.99930955844802105</v>
      </c>
      <c r="C5233">
        <v>1.41339062695819</v>
      </c>
      <c r="D5233">
        <v>1.3326305979362401</v>
      </c>
      <c r="E5233">
        <v>1.3184455236033701</v>
      </c>
      <c r="F5233">
        <v>1.32491074579834</v>
      </c>
      <c r="G5233">
        <v>1.38030477499237</v>
      </c>
      <c r="H5233">
        <v>1.41271644513592</v>
      </c>
      <c r="I5233">
        <v>1.6690461089100399</v>
      </c>
      <c r="J5233">
        <v>1.63667333564506</v>
      </c>
      <c r="K5233">
        <v>1.34643439404203</v>
      </c>
      <c r="L5233">
        <v>397.87057360754801</v>
      </c>
      <c r="M5233">
        <v>9.0901565308428793</v>
      </c>
      <c r="O5233">
        <v>41.807088410173897</v>
      </c>
      <c r="P5233">
        <v>2.71978828575902E-2</v>
      </c>
      <c r="Q5233">
        <v>1.5</v>
      </c>
      <c r="R5233">
        <v>0.48298416850403197</v>
      </c>
      <c r="S5233" t="s">
        <v>11849</v>
      </c>
      <c r="T5233" t="s">
        <v>13232</v>
      </c>
      <c r="U5233" t="s">
        <v>13232</v>
      </c>
      <c r="V5233" t="s">
        <v>13232</v>
      </c>
      <c r="W5233" t="s">
        <v>18398</v>
      </c>
      <c r="X5233">
        <v>6</v>
      </c>
      <c r="Y5233" t="s">
        <v>24798</v>
      </c>
      <c r="Z5233" t="s">
        <v>31364</v>
      </c>
      <c r="AA5233">
        <v>1.3924387678173631</v>
      </c>
      <c r="AB5233" t="str">
        <f>HYPERLINK("Melting_Curves/meltCurve_Q99952_PTPN18.pdf", "Melting_Curves/meltCurve_Q99952_PTPN18.pdf")</f>
        <v>Melting_Curves/meltCurve_Q99952_PTPN18.pdf</v>
      </c>
    </row>
    <row r="5234" spans="1:28" x14ac:dyDescent="0.25">
      <c r="A5234" t="s">
        <v>5237</v>
      </c>
      <c r="B5234">
        <v>0.99930955844802105</v>
      </c>
      <c r="C5234">
        <v>0.80259486540547798</v>
      </c>
      <c r="D5234">
        <v>0.52355626469234595</v>
      </c>
      <c r="E5234">
        <v>0.37346679445960601</v>
      </c>
      <c r="F5234">
        <v>0.316187442353562</v>
      </c>
      <c r="G5234">
        <v>0.27366635991560401</v>
      </c>
      <c r="H5234">
        <v>0.20667188885042301</v>
      </c>
      <c r="I5234">
        <v>0.232841705025711</v>
      </c>
      <c r="J5234">
        <v>0.218811929424373</v>
      </c>
      <c r="K5234">
        <v>0.172799565651857</v>
      </c>
      <c r="L5234">
        <v>815.71505037063901</v>
      </c>
      <c r="M5234">
        <v>17.9446514017711</v>
      </c>
      <c r="N5234">
        <v>46.984773915777701</v>
      </c>
      <c r="O5234">
        <v>44.904038613165902</v>
      </c>
      <c r="P5234">
        <v>-7.7830586123742093E-2</v>
      </c>
      <c r="Q5234">
        <v>0.220997407799016</v>
      </c>
      <c r="R5234">
        <v>0.98291661083639503</v>
      </c>
      <c r="S5234" t="s">
        <v>11850</v>
      </c>
      <c r="T5234" t="s">
        <v>13232</v>
      </c>
      <c r="U5234" t="s">
        <v>13232</v>
      </c>
      <c r="V5234" t="s">
        <v>13232</v>
      </c>
      <c r="W5234" t="s">
        <v>18399</v>
      </c>
      <c r="X5234">
        <v>2</v>
      </c>
      <c r="Y5234" t="s">
        <v>24799</v>
      </c>
      <c r="Z5234" t="s">
        <v>31365</v>
      </c>
      <c r="AA5234">
        <v>0.37883897470234212</v>
      </c>
      <c r="AB5234" t="str">
        <f>HYPERLINK("Melting_Curves/meltCurve_Q99956_DUSP9.pdf", "Melting_Curves/meltCurve_Q99956_DUSP9.pdf")</f>
        <v>Melting_Curves/meltCurve_Q99956_DUSP9.pdf</v>
      </c>
    </row>
    <row r="5235" spans="1:28" x14ac:dyDescent="0.25">
      <c r="A5235" t="s">
        <v>5238</v>
      </c>
      <c r="B5235">
        <v>0.99930955844802105</v>
      </c>
      <c r="C5235">
        <v>1.1028551885153099</v>
      </c>
      <c r="D5235">
        <v>1.0651402000244301</v>
      </c>
      <c r="E5235">
        <v>0.80506791440944603</v>
      </c>
      <c r="F5235">
        <v>0.54497060017284804</v>
      </c>
      <c r="G5235">
        <v>0.35668860497183402</v>
      </c>
      <c r="H5235">
        <v>0.24827429294223399</v>
      </c>
      <c r="I5235">
        <v>0.22303093118758399</v>
      </c>
      <c r="J5235">
        <v>0.218908903642792</v>
      </c>
      <c r="K5235">
        <v>0.196080277011699</v>
      </c>
      <c r="L5235">
        <v>1289.9921550905301</v>
      </c>
      <c r="M5235">
        <v>24.574133665067698</v>
      </c>
      <c r="N5235">
        <v>53.745341768639598</v>
      </c>
      <c r="O5235">
        <v>52.149986035448499</v>
      </c>
      <c r="P5235">
        <v>-9.2141568164960497E-2</v>
      </c>
      <c r="Q5235">
        <v>0.217858523106295</v>
      </c>
      <c r="R5235">
        <v>0.98306721144238096</v>
      </c>
      <c r="S5235" t="s">
        <v>11851</v>
      </c>
      <c r="T5235" t="s">
        <v>13232</v>
      </c>
      <c r="U5235" t="s">
        <v>13232</v>
      </c>
      <c r="V5235" t="s">
        <v>13232</v>
      </c>
      <c r="W5235" t="s">
        <v>18400</v>
      </c>
      <c r="X5235">
        <v>20</v>
      </c>
      <c r="Y5235" t="s">
        <v>24800</v>
      </c>
      <c r="Z5235" t="s">
        <v>31366</v>
      </c>
      <c r="AA5235">
        <v>0.55100228231009885</v>
      </c>
      <c r="AB5235" t="str">
        <f>HYPERLINK("Melting_Curves/meltCurve_Q99961_SH3GL1.pdf", "Melting_Curves/meltCurve_Q99961_SH3GL1.pdf")</f>
        <v>Melting_Curves/meltCurve_Q99961_SH3GL1.pdf</v>
      </c>
    </row>
    <row r="5236" spans="1:28" x14ac:dyDescent="0.25">
      <c r="A5236" t="s">
        <v>5239</v>
      </c>
      <c r="B5236">
        <v>0.99930955844802105</v>
      </c>
      <c r="C5236">
        <v>1.0439659910739301</v>
      </c>
      <c r="D5236">
        <v>0.80536251562023897</v>
      </c>
      <c r="E5236">
        <v>0.49216962496116601</v>
      </c>
      <c r="F5236">
        <v>0.423210920285918</v>
      </c>
      <c r="G5236">
        <v>0.29403662833708699</v>
      </c>
      <c r="H5236">
        <v>0.36856510656714703</v>
      </c>
      <c r="I5236">
        <v>0.29034413890267602</v>
      </c>
      <c r="J5236">
        <v>0.34473619588190602</v>
      </c>
      <c r="K5236">
        <v>0.25558255822125803</v>
      </c>
      <c r="L5236">
        <v>1192.0061320208599</v>
      </c>
      <c r="M5236">
        <v>24.796874655847098</v>
      </c>
      <c r="N5236">
        <v>50.059296212316497</v>
      </c>
      <c r="O5236">
        <v>47.761460236925203</v>
      </c>
      <c r="P5236">
        <v>-8.9134524443795202E-2</v>
      </c>
      <c r="Q5236">
        <v>0.31327869598372998</v>
      </c>
      <c r="R5236">
        <v>0.97852235500193396</v>
      </c>
      <c r="S5236" t="s">
        <v>11852</v>
      </c>
      <c r="T5236" t="s">
        <v>13232</v>
      </c>
      <c r="U5236" t="s">
        <v>13232</v>
      </c>
      <c r="V5236" t="s">
        <v>13232</v>
      </c>
      <c r="W5236" t="s">
        <v>18401</v>
      </c>
      <c r="X5236">
        <v>5</v>
      </c>
      <c r="Y5236" t="s">
        <v>24801</v>
      </c>
      <c r="Z5236" t="s">
        <v>31367</v>
      </c>
      <c r="AA5236">
        <v>0.50420019952173456</v>
      </c>
      <c r="AB5236" t="str">
        <f>HYPERLINK("Melting_Curves/meltCurve_Q99963_4_SH3GL3.pdf", "Melting_Curves/meltCurve_Q99963_4_SH3GL3.pdf")</f>
        <v>Melting_Curves/meltCurve_Q99963_4_SH3GL3.pdf</v>
      </c>
    </row>
    <row r="5237" spans="1:28" x14ac:dyDescent="0.25">
      <c r="A5237" t="s">
        <v>5240</v>
      </c>
      <c r="B5237">
        <v>0.99930955844802105</v>
      </c>
      <c r="C5237">
        <v>0.92191228647647305</v>
      </c>
      <c r="D5237">
        <v>0.58810618596476905</v>
      </c>
      <c r="E5237">
        <v>0.28932823198102098</v>
      </c>
      <c r="F5237">
        <v>0.168884028673877</v>
      </c>
      <c r="G5237">
        <v>0.119874275129118</v>
      </c>
      <c r="H5237">
        <v>7.6431215986144593E-2</v>
      </c>
      <c r="I5237">
        <v>6.5780368977143594E-2</v>
      </c>
      <c r="J5237">
        <v>5.89576866022858E-2</v>
      </c>
      <c r="K5237">
        <v>4.5744970704230198E-2</v>
      </c>
      <c r="L5237">
        <v>949.14641670608796</v>
      </c>
      <c r="M5237">
        <v>20.221656075526301</v>
      </c>
      <c r="N5237">
        <v>47.278232478995399</v>
      </c>
      <c r="O5237">
        <v>46.485335668085199</v>
      </c>
      <c r="P5237">
        <v>-0.101374267987326</v>
      </c>
      <c r="Q5237">
        <v>6.78765350929698E-2</v>
      </c>
      <c r="R5237">
        <v>0.99508348096668597</v>
      </c>
      <c r="S5237" t="s">
        <v>11853</v>
      </c>
      <c r="T5237" t="s">
        <v>13232</v>
      </c>
      <c r="U5237" t="s">
        <v>13232</v>
      </c>
      <c r="V5237" t="s">
        <v>13232</v>
      </c>
      <c r="W5237" t="s">
        <v>18402</v>
      </c>
      <c r="X5237">
        <v>15</v>
      </c>
      <c r="Y5237" t="s">
        <v>24802</v>
      </c>
      <c r="Z5237" t="s">
        <v>31368</v>
      </c>
      <c r="AA5237">
        <v>0.29676919645179828</v>
      </c>
      <c r="AB5237" t="str">
        <f>HYPERLINK("Melting_Curves/meltCurve_Q99986_VRK1.pdf", "Melting_Curves/meltCurve_Q99986_VRK1.pdf")</f>
        <v>Melting_Curves/meltCurve_Q99986_VRK1.pdf</v>
      </c>
    </row>
    <row r="5238" spans="1:28" x14ac:dyDescent="0.25">
      <c r="A5238" t="s">
        <v>5241</v>
      </c>
      <c r="B5238">
        <v>0.99930955844802105</v>
      </c>
      <c r="C5238">
        <v>0.95529660102338798</v>
      </c>
      <c r="D5238">
        <v>0.89267349575971799</v>
      </c>
      <c r="E5238">
        <v>0.72263533694663096</v>
      </c>
      <c r="F5238">
        <v>0.55145730929626502</v>
      </c>
      <c r="G5238">
        <v>0.41885902226952398</v>
      </c>
      <c r="H5238">
        <v>0.31063322876732702</v>
      </c>
      <c r="I5238">
        <v>0.29212528331000598</v>
      </c>
      <c r="J5238">
        <v>0.27739068950405299</v>
      </c>
      <c r="K5238">
        <v>0.23700846288625901</v>
      </c>
      <c r="L5238">
        <v>716.56060202315302</v>
      </c>
      <c r="M5238">
        <v>13.787381395734901</v>
      </c>
      <c r="N5238">
        <v>54.421448384542401</v>
      </c>
      <c r="O5238">
        <v>50.9154500780894</v>
      </c>
      <c r="P5238">
        <v>-5.2055604406310498E-2</v>
      </c>
      <c r="Q5238">
        <v>0.23116299627504799</v>
      </c>
      <c r="R5238">
        <v>0.99872916525488797</v>
      </c>
      <c r="S5238" t="s">
        <v>11854</v>
      </c>
      <c r="T5238" t="s">
        <v>13232</v>
      </c>
      <c r="U5238" t="s">
        <v>13232</v>
      </c>
      <c r="V5238" t="s">
        <v>13232</v>
      </c>
      <c r="W5238" t="s">
        <v>18403</v>
      </c>
      <c r="X5238">
        <v>89</v>
      </c>
      <c r="Y5238" t="s">
        <v>24803</v>
      </c>
      <c r="Z5238" t="s">
        <v>31369</v>
      </c>
      <c r="AA5238">
        <v>0.55748828021865759</v>
      </c>
      <c r="AB5238" t="str">
        <f>HYPERLINK("Melting_Curves/meltCurve_Q99996_2_AKAP9.pdf", "Melting_Curves/meltCurve_Q99996_2_AKAP9.pdf")</f>
        <v>Melting_Curves/meltCurve_Q99996_2_AKAP9.pdf</v>
      </c>
    </row>
    <row r="5239" spans="1:28" x14ac:dyDescent="0.25">
      <c r="A5239" t="s">
        <v>5242</v>
      </c>
      <c r="B5239">
        <v>0.99930955844802105</v>
      </c>
      <c r="C5239">
        <v>0.87540156678229397</v>
      </c>
      <c r="D5239">
        <v>0.86163235701736995</v>
      </c>
      <c r="E5239">
        <v>0.80951848954396</v>
      </c>
      <c r="F5239">
        <v>0.71999959118441004</v>
      </c>
      <c r="G5239">
        <v>0.23365862424238901</v>
      </c>
      <c r="H5239">
        <v>0.132861461171837</v>
      </c>
      <c r="I5239">
        <v>0.103159511595287</v>
      </c>
      <c r="J5239">
        <v>8.1077482967735801E-2</v>
      </c>
      <c r="K5239">
        <v>6.0473428446550501E-2</v>
      </c>
      <c r="L5239">
        <v>1060.1774694681801</v>
      </c>
      <c r="M5239">
        <v>19.5701853972725</v>
      </c>
      <c r="N5239">
        <v>54.431834197882402</v>
      </c>
      <c r="O5239">
        <v>53.616960134904303</v>
      </c>
      <c r="P5239">
        <v>-8.7200200680729006E-2</v>
      </c>
      <c r="Q5239">
        <v>4.4415012219063001E-2</v>
      </c>
      <c r="R5239">
        <v>0.969584040208467</v>
      </c>
      <c r="S5239" t="s">
        <v>11855</v>
      </c>
      <c r="T5239" t="s">
        <v>13232</v>
      </c>
      <c r="U5239" t="s">
        <v>13232</v>
      </c>
      <c r="V5239" t="s">
        <v>13232</v>
      </c>
      <c r="W5239" t="s">
        <v>18404</v>
      </c>
      <c r="X5239">
        <v>10</v>
      </c>
      <c r="Y5239" t="s">
        <v>24804</v>
      </c>
      <c r="Z5239" t="s">
        <v>31370</v>
      </c>
      <c r="AA5239">
        <v>0.50927104090682795</v>
      </c>
      <c r="AB5239" t="str">
        <f>HYPERLINK("Melting_Curves/meltCurve_Q9BPW8_NIPSNAP1.pdf", "Melting_Curves/meltCurve_Q9BPW8_NIPSNAP1.pdf")</f>
        <v>Melting_Curves/meltCurve_Q9BPW8_NIPSNAP1.pdf</v>
      </c>
    </row>
    <row r="5240" spans="1:28" x14ac:dyDescent="0.25">
      <c r="A5240" t="s">
        <v>5243</v>
      </c>
      <c r="B5240">
        <v>0.99930955844802105</v>
      </c>
      <c r="C5240">
        <v>0.66220957631851596</v>
      </c>
      <c r="D5240">
        <v>0.424202084787767</v>
      </c>
      <c r="E5240">
        <v>0.270826079111255</v>
      </c>
      <c r="F5240">
        <v>0.15929913798423301</v>
      </c>
      <c r="G5240">
        <v>0.106535876289672</v>
      </c>
      <c r="H5240">
        <v>5.8970911076002698E-2</v>
      </c>
      <c r="I5240">
        <v>4.96846775876848E-2</v>
      </c>
      <c r="J5240">
        <v>4.3650136181584601E-2</v>
      </c>
      <c r="K5240">
        <v>4.0108124374218401E-2</v>
      </c>
      <c r="L5240">
        <v>716.34033668782001</v>
      </c>
      <c r="M5240">
        <v>15.8558357225391</v>
      </c>
      <c r="N5240">
        <v>45.503786756936002</v>
      </c>
      <c r="O5240">
        <v>44.478030480139303</v>
      </c>
      <c r="P5240">
        <v>-8.4351269618593294E-2</v>
      </c>
      <c r="Q5240">
        <v>5.3604358319805201E-2</v>
      </c>
      <c r="R5240">
        <v>0.97929825136048998</v>
      </c>
      <c r="S5240" t="s">
        <v>11856</v>
      </c>
      <c r="T5240" t="s">
        <v>13232</v>
      </c>
      <c r="U5240" t="s">
        <v>13232</v>
      </c>
      <c r="V5240" t="s">
        <v>13232</v>
      </c>
      <c r="W5240" t="s">
        <v>18405</v>
      </c>
      <c r="X5240">
        <v>26</v>
      </c>
      <c r="Y5240" t="s">
        <v>24805</v>
      </c>
      <c r="Z5240" t="s">
        <v>31371</v>
      </c>
      <c r="AA5240">
        <v>0.2434672782841</v>
      </c>
      <c r="AB5240" t="str">
        <f>HYPERLINK("Melting_Curves/meltCurve_Q9BPX3_NCAPG.pdf", "Melting_Curves/meltCurve_Q9BPX3_NCAPG.pdf")</f>
        <v>Melting_Curves/meltCurve_Q9BPX3_NCAPG.pdf</v>
      </c>
    </row>
    <row r="5241" spans="1:28" x14ac:dyDescent="0.25">
      <c r="A5241" t="s">
        <v>5244</v>
      </c>
      <c r="B5241">
        <v>0.99930955844802105</v>
      </c>
      <c r="C5241">
        <v>0.88622679025238704</v>
      </c>
      <c r="D5241">
        <v>0.91315327770102706</v>
      </c>
      <c r="E5241">
        <v>0.93798629059924399</v>
      </c>
      <c r="F5241">
        <v>0.76446999963583095</v>
      </c>
      <c r="G5241">
        <v>0.51775190975909102</v>
      </c>
      <c r="H5241">
        <v>0.18148909258781301</v>
      </c>
      <c r="I5241">
        <v>9.7729375128975796E-2</v>
      </c>
      <c r="J5241">
        <v>5.3444685397236798E-2</v>
      </c>
      <c r="K5241">
        <v>4.9042016740777197E-2</v>
      </c>
      <c r="L5241">
        <v>1043.4403544250899</v>
      </c>
      <c r="M5241">
        <v>18.396340144779199</v>
      </c>
      <c r="N5241">
        <v>56.719996724931903</v>
      </c>
      <c r="O5241">
        <v>56.0625114930208</v>
      </c>
      <c r="P5241">
        <v>-8.2038659330621905E-2</v>
      </c>
      <c r="Q5241">
        <v>0</v>
      </c>
      <c r="R5241">
        <v>0.98535581360112201</v>
      </c>
      <c r="S5241" t="s">
        <v>11857</v>
      </c>
      <c r="T5241" t="s">
        <v>13232</v>
      </c>
      <c r="U5241" t="s">
        <v>13232</v>
      </c>
      <c r="V5241" t="s">
        <v>13232</v>
      </c>
      <c r="W5241" t="s">
        <v>18406</v>
      </c>
      <c r="X5241">
        <v>7</v>
      </c>
      <c r="Y5241" t="s">
        <v>24806</v>
      </c>
      <c r="Z5241" t="s">
        <v>31372</v>
      </c>
      <c r="AA5241">
        <v>0.57104774422993954</v>
      </c>
      <c r="AB5241" t="str">
        <f>HYPERLINK("Melting_Curves/meltCurve_Q9BPX5_ARPC5L.pdf", "Melting_Curves/meltCurve_Q9BPX5_ARPC5L.pdf")</f>
        <v>Melting_Curves/meltCurve_Q9BPX5_ARPC5L.pdf</v>
      </c>
    </row>
    <row r="5242" spans="1:28" x14ac:dyDescent="0.25">
      <c r="A5242" t="s">
        <v>5245</v>
      </c>
      <c r="B5242">
        <v>0.99930955844802105</v>
      </c>
      <c r="C5242">
        <v>1.08600584272151</v>
      </c>
      <c r="D5242">
        <v>0.988887965614344</v>
      </c>
      <c r="E5242">
        <v>0.90189691076933698</v>
      </c>
      <c r="F5242">
        <v>0.94650493387398404</v>
      </c>
      <c r="G5242">
        <v>0.83343720874723604</v>
      </c>
      <c r="H5242">
        <v>0.88637280366820503</v>
      </c>
      <c r="I5242">
        <v>1.1197256441383601</v>
      </c>
      <c r="J5242">
        <v>1.11711754626642</v>
      </c>
      <c r="K5242">
        <v>0.78842470044616197</v>
      </c>
      <c r="L5242">
        <v>15000</v>
      </c>
      <c r="M5242">
        <v>212.970181441877</v>
      </c>
      <c r="Q5242">
        <v>0</v>
      </c>
      <c r="R5242">
        <v>0.27538723492806899</v>
      </c>
      <c r="S5242" t="s">
        <v>11858</v>
      </c>
      <c r="T5242" t="s">
        <v>13232</v>
      </c>
      <c r="U5242" t="s">
        <v>13232</v>
      </c>
      <c r="V5242" t="s">
        <v>13232</v>
      </c>
      <c r="W5242" t="s">
        <v>18407</v>
      </c>
      <c r="X5242">
        <v>2</v>
      </c>
      <c r="Y5242" t="s">
        <v>24807</v>
      </c>
      <c r="Z5242" t="s">
        <v>31373</v>
      </c>
      <c r="AA5242">
        <v>0.9974369561980635</v>
      </c>
      <c r="AB5242" t="str">
        <f>HYPERLINK("Melting_Curves/meltCurve_Q9BPX6_2_MICU1.pdf", "Melting_Curves/meltCurve_Q9BPX6_2_MICU1.pdf")</f>
        <v>Melting_Curves/meltCurve_Q9BPX6_2_MICU1.pdf</v>
      </c>
    </row>
    <row r="5243" spans="1:28" x14ac:dyDescent="0.25">
      <c r="A5243" t="s">
        <v>5246</v>
      </c>
      <c r="B5243">
        <v>0.99930955844802105</v>
      </c>
      <c r="C5243">
        <v>1.04583150571616</v>
      </c>
      <c r="D5243">
        <v>0.93649548044763997</v>
      </c>
      <c r="E5243">
        <v>0.51848196520009104</v>
      </c>
      <c r="F5243">
        <v>0.23863289876663199</v>
      </c>
      <c r="G5243">
        <v>0.185453349731906</v>
      </c>
      <c r="H5243">
        <v>0.12085383852961</v>
      </c>
      <c r="I5243">
        <v>9.9009543210085496E-2</v>
      </c>
      <c r="J5243">
        <v>8.8065241529042798E-2</v>
      </c>
      <c r="K5243">
        <v>6.5670305135132195E-2</v>
      </c>
      <c r="L5243">
        <v>1426.73942178066</v>
      </c>
      <c r="M5243">
        <v>28.635871614741699</v>
      </c>
      <c r="N5243">
        <v>50.233285683419602</v>
      </c>
      <c r="O5243">
        <v>49.582422518126698</v>
      </c>
      <c r="P5243">
        <v>-0.129346440554957</v>
      </c>
      <c r="Q5243">
        <v>0.104164221165615</v>
      </c>
      <c r="R5243">
        <v>0.99437913159522595</v>
      </c>
      <c r="S5243" t="s">
        <v>11859</v>
      </c>
      <c r="T5243" t="s">
        <v>13232</v>
      </c>
      <c r="U5243" t="s">
        <v>13232</v>
      </c>
      <c r="V5243" t="s">
        <v>13232</v>
      </c>
      <c r="W5243" t="s">
        <v>18408</v>
      </c>
      <c r="X5243">
        <v>5</v>
      </c>
      <c r="Y5243" t="s">
        <v>24808</v>
      </c>
      <c r="Z5243" t="s">
        <v>31374</v>
      </c>
      <c r="AA5243">
        <v>0.40357761472953352</v>
      </c>
      <c r="AB5243" t="str">
        <f>HYPERLINK("Melting_Curves/meltCurve_Q9BPX7_C7orf25.pdf", "Melting_Curves/meltCurve_Q9BPX7_C7orf25.pdf")</f>
        <v>Melting_Curves/meltCurve_Q9BPX7_C7orf25.pdf</v>
      </c>
    </row>
    <row r="5244" spans="1:28" x14ac:dyDescent="0.25">
      <c r="A5244" t="s">
        <v>5247</v>
      </c>
      <c r="B5244">
        <v>0.99930955844802105</v>
      </c>
      <c r="C5244">
        <v>1.07025316690415</v>
      </c>
      <c r="D5244">
        <v>1.10243560307052</v>
      </c>
      <c r="E5244">
        <v>0.78755968096653906</v>
      </c>
      <c r="F5244">
        <v>0.53352334635765597</v>
      </c>
      <c r="G5244">
        <v>0.43218011882843599</v>
      </c>
      <c r="H5244">
        <v>0.39780162061891999</v>
      </c>
      <c r="I5244">
        <v>0.21017773531751599</v>
      </c>
      <c r="J5244">
        <v>0.467175730509998</v>
      </c>
      <c r="K5244">
        <v>0.35301623398409898</v>
      </c>
      <c r="L5244">
        <v>1706.1684703129199</v>
      </c>
      <c r="M5244">
        <v>33.264129055104497</v>
      </c>
      <c r="N5244">
        <v>53.411153047004397</v>
      </c>
      <c r="O5244">
        <v>51.107241420133498</v>
      </c>
      <c r="P5244">
        <v>-0.10309113134030801</v>
      </c>
      <c r="Q5244">
        <v>0.36644309196724401</v>
      </c>
      <c r="R5244">
        <v>0.94081859112678101</v>
      </c>
      <c r="S5244" t="s">
        <v>11860</v>
      </c>
      <c r="T5244" t="s">
        <v>13232</v>
      </c>
      <c r="U5244" t="s">
        <v>13232</v>
      </c>
      <c r="V5244" t="s">
        <v>13232</v>
      </c>
      <c r="W5244" t="s">
        <v>18409</v>
      </c>
      <c r="X5244">
        <v>3</v>
      </c>
      <c r="Y5244" t="s">
        <v>24809</v>
      </c>
      <c r="Z5244" t="s">
        <v>31375</v>
      </c>
      <c r="AA5244">
        <v>0.60815869259893418</v>
      </c>
      <c r="AB5244" t="str">
        <f>HYPERLINK("Melting_Curves/meltCurve_Q9BPZ3_PAIP2.pdf", "Melting_Curves/meltCurve_Q9BPZ3_PAIP2.pdf")</f>
        <v>Melting_Curves/meltCurve_Q9BPZ3_PAIP2.pdf</v>
      </c>
    </row>
    <row r="5245" spans="1:28" x14ac:dyDescent="0.25">
      <c r="A5245" t="s">
        <v>5248</v>
      </c>
      <c r="B5245">
        <v>0.99930955844802105</v>
      </c>
      <c r="C5245">
        <v>0.86218678314896102</v>
      </c>
      <c r="D5245">
        <v>0.77023476245870803</v>
      </c>
      <c r="E5245">
        <v>0.45211884301939798</v>
      </c>
      <c r="F5245">
        <v>0.18906782833810101</v>
      </c>
      <c r="G5245">
        <v>0.12886993259319901</v>
      </c>
      <c r="H5245">
        <v>7.7418443235675302E-2</v>
      </c>
      <c r="I5245">
        <v>6.6551523883658703E-2</v>
      </c>
      <c r="J5245">
        <v>5.5667858662834802E-2</v>
      </c>
      <c r="K5245">
        <v>3.9980484938373702E-2</v>
      </c>
      <c r="L5245">
        <v>839.00618784945095</v>
      </c>
      <c r="M5245">
        <v>17.194647630002301</v>
      </c>
      <c r="N5245">
        <v>49.048373758574002</v>
      </c>
      <c r="O5245">
        <v>48.148968127146702</v>
      </c>
      <c r="P5245">
        <v>-8.5483862827641699E-2</v>
      </c>
      <c r="Q5245">
        <v>4.2558650964302502E-2</v>
      </c>
      <c r="R5245">
        <v>0.99426291091578101</v>
      </c>
      <c r="S5245" t="s">
        <v>11861</v>
      </c>
      <c r="T5245" t="s">
        <v>13232</v>
      </c>
      <c r="U5245" t="s">
        <v>13232</v>
      </c>
      <c r="V5245" t="s">
        <v>13232</v>
      </c>
      <c r="W5245" t="s">
        <v>18410</v>
      </c>
      <c r="X5245">
        <v>3</v>
      </c>
      <c r="Y5245" t="s">
        <v>24810</v>
      </c>
      <c r="Z5245" t="s">
        <v>31376</v>
      </c>
      <c r="AA5245">
        <v>0.34148582533773669</v>
      </c>
      <c r="AB5245" t="str">
        <f>HYPERLINK("Melting_Curves/meltCurve_Q9BPZ7_3_MAPKAP1.pdf", "Melting_Curves/meltCurve_Q9BPZ7_3_MAPKAP1.pdf")</f>
        <v>Melting_Curves/meltCurve_Q9BPZ7_3_MAPKAP1.pdf</v>
      </c>
    </row>
    <row r="5246" spans="1:28" x14ac:dyDescent="0.25">
      <c r="A5246" t="s">
        <v>5249</v>
      </c>
      <c r="B5246">
        <v>0.99930955844802105</v>
      </c>
      <c r="C5246">
        <v>0.87154809913721698</v>
      </c>
      <c r="D5246">
        <v>0.87926898466873804</v>
      </c>
      <c r="E5246">
        <v>0.82657504657636804</v>
      </c>
      <c r="F5246">
        <v>0.67235894504456295</v>
      </c>
      <c r="G5246">
        <v>0.46506499451009797</v>
      </c>
      <c r="H5246">
        <v>0.44133401877599099</v>
      </c>
      <c r="I5246">
        <v>0.33767200061425301</v>
      </c>
      <c r="J5246">
        <v>0.313354392815264</v>
      </c>
      <c r="K5246">
        <v>0.27866225233993003</v>
      </c>
      <c r="L5246">
        <v>517.10835498485199</v>
      </c>
      <c r="M5246">
        <v>9.3990750779436407</v>
      </c>
      <c r="N5246">
        <v>57.722177195613597</v>
      </c>
      <c r="O5246">
        <v>52.698897658541199</v>
      </c>
      <c r="P5246">
        <v>-3.6667985097789201E-2</v>
      </c>
      <c r="Q5246">
        <v>0.178143487748324</v>
      </c>
      <c r="R5246">
        <v>0.97911619059070398</v>
      </c>
      <c r="S5246" t="s">
        <v>11862</v>
      </c>
      <c r="T5246" t="s">
        <v>13232</v>
      </c>
      <c r="U5246" t="s">
        <v>13232</v>
      </c>
      <c r="V5246" t="s">
        <v>13232</v>
      </c>
      <c r="W5246" t="s">
        <v>18411</v>
      </c>
      <c r="X5246">
        <v>13</v>
      </c>
      <c r="Y5246" t="s">
        <v>24811</v>
      </c>
      <c r="Z5246" t="s">
        <v>31377</v>
      </c>
      <c r="AA5246">
        <v>0.61117985887234783</v>
      </c>
      <c r="AB5246" t="str">
        <f>HYPERLINK("Melting_Curves/meltCurve_Q9BQ04_RBM4B.pdf", "Melting_Curves/meltCurve_Q9BQ04_RBM4B.pdf")</f>
        <v>Melting_Curves/meltCurve_Q9BQ04_RBM4B.pdf</v>
      </c>
    </row>
    <row r="5247" spans="1:28" x14ac:dyDescent="0.25">
      <c r="A5247" t="s">
        <v>5250</v>
      </c>
      <c r="B5247">
        <v>0.99930955844802105</v>
      </c>
      <c r="C5247">
        <v>1.16048782194095</v>
      </c>
      <c r="D5247">
        <v>1.0510236940262501</v>
      </c>
      <c r="E5247">
        <v>0.85344339447741602</v>
      </c>
      <c r="F5247">
        <v>0.80377844368976104</v>
      </c>
      <c r="G5247">
        <v>0.72322196067191102</v>
      </c>
      <c r="H5247">
        <v>0.81716048965768096</v>
      </c>
      <c r="I5247">
        <v>0.90532789714748796</v>
      </c>
      <c r="J5247">
        <v>0.88438157934119599</v>
      </c>
      <c r="K5247">
        <v>0.69515090989184303</v>
      </c>
      <c r="L5247">
        <v>12444.8172966895</v>
      </c>
      <c r="M5247">
        <v>250</v>
      </c>
      <c r="O5247">
        <v>49.776083622669397</v>
      </c>
      <c r="P5247">
        <v>-0.24505133030778301</v>
      </c>
      <c r="Q5247">
        <v>0.80483687199832099</v>
      </c>
      <c r="R5247">
        <v>0.66713221054847205</v>
      </c>
      <c r="S5247" t="s">
        <v>11863</v>
      </c>
      <c r="T5247" t="s">
        <v>13232</v>
      </c>
      <c r="U5247" t="s">
        <v>13232</v>
      </c>
      <c r="V5247" t="s">
        <v>13232</v>
      </c>
      <c r="W5247" t="s">
        <v>18412</v>
      </c>
      <c r="X5247">
        <v>7</v>
      </c>
      <c r="Y5247" t="s">
        <v>24812</v>
      </c>
      <c r="Z5247" t="s">
        <v>31378</v>
      </c>
      <c r="AA5247">
        <v>0.86847234727741174</v>
      </c>
      <c r="AB5247" t="str">
        <f>HYPERLINK("Melting_Curves/meltCurve_Q9BQ39_DDX50.pdf", "Melting_Curves/meltCurve_Q9BQ39_DDX50.pdf")</f>
        <v>Melting_Curves/meltCurve_Q9BQ39_DDX50.pdf</v>
      </c>
    </row>
    <row r="5248" spans="1:28" x14ac:dyDescent="0.25">
      <c r="A5248" t="s">
        <v>5251</v>
      </c>
      <c r="B5248">
        <v>0.99930955844802105</v>
      </c>
      <c r="C5248">
        <v>0.89199308339051198</v>
      </c>
      <c r="D5248">
        <v>0.81115380435269202</v>
      </c>
      <c r="E5248">
        <v>0.762687029735856</v>
      </c>
      <c r="F5248">
        <v>0.60738112283720802</v>
      </c>
      <c r="G5248">
        <v>0.52005837353097994</v>
      </c>
      <c r="H5248">
        <v>0.43205970880529099</v>
      </c>
      <c r="I5248">
        <v>0.49138801155079298</v>
      </c>
      <c r="J5248">
        <v>0.51142751984857204</v>
      </c>
      <c r="K5248">
        <v>0.40544175298146601</v>
      </c>
      <c r="L5248">
        <v>558.25889281317598</v>
      </c>
      <c r="M5248">
        <v>11.174768284422701</v>
      </c>
      <c r="N5248">
        <v>59.602728636511102</v>
      </c>
      <c r="O5248">
        <v>48.437368861352802</v>
      </c>
      <c r="P5248">
        <v>-3.3575718928124797E-2</v>
      </c>
      <c r="Q5248">
        <v>0.41804494066167702</v>
      </c>
      <c r="R5248">
        <v>0.962166642791633</v>
      </c>
      <c r="S5248" t="s">
        <v>11864</v>
      </c>
      <c r="T5248" t="s">
        <v>13232</v>
      </c>
      <c r="U5248" t="s">
        <v>13232</v>
      </c>
      <c r="V5248" t="s">
        <v>13232</v>
      </c>
      <c r="W5248" t="s">
        <v>18413</v>
      </c>
      <c r="X5248">
        <v>2</v>
      </c>
      <c r="Y5248" t="s">
        <v>24813</v>
      </c>
      <c r="Z5248" t="s">
        <v>31379</v>
      </c>
      <c r="AA5248">
        <v>0.63371804647365115</v>
      </c>
      <c r="AB5248" t="str">
        <f>HYPERLINK("Melting_Curves/meltCurve_Q9BQ48_MRPL34.pdf", "Melting_Curves/meltCurve_Q9BQ48_MRPL34.pdf")</f>
        <v>Melting_Curves/meltCurve_Q9BQ48_MRPL34.pdf</v>
      </c>
    </row>
    <row r="5249" spans="1:28" x14ac:dyDescent="0.25">
      <c r="A5249" t="s">
        <v>5252</v>
      </c>
      <c r="B5249">
        <v>0.99930955844802105</v>
      </c>
      <c r="C5249">
        <v>0.85211120096834903</v>
      </c>
      <c r="D5249">
        <v>0.81132220360842799</v>
      </c>
      <c r="E5249">
        <v>0.76711745337801496</v>
      </c>
      <c r="F5249">
        <v>0.68833383465586595</v>
      </c>
      <c r="G5249">
        <v>0.51067010992916995</v>
      </c>
      <c r="H5249">
        <v>0.31334349273512102</v>
      </c>
      <c r="I5249">
        <v>0.25246928507093203</v>
      </c>
      <c r="J5249">
        <v>0.164447893035922</v>
      </c>
      <c r="K5249">
        <v>0.10756429882155701</v>
      </c>
      <c r="L5249">
        <v>504.519712269786</v>
      </c>
      <c r="M5249">
        <v>8.9687542703392804</v>
      </c>
      <c r="N5249">
        <v>56.253042179327998</v>
      </c>
      <c r="O5249">
        <v>53.667491266233</v>
      </c>
      <c r="P5249">
        <v>-4.1810027768977499E-2</v>
      </c>
      <c r="Q5249">
        <v>0</v>
      </c>
      <c r="R5249">
        <v>0.97726972846040105</v>
      </c>
      <c r="S5249" t="s">
        <v>11865</v>
      </c>
      <c r="T5249" t="s">
        <v>13232</v>
      </c>
      <c r="U5249" t="s">
        <v>13232</v>
      </c>
      <c r="V5249" t="s">
        <v>13232</v>
      </c>
      <c r="W5249" t="s">
        <v>18414</v>
      </c>
      <c r="X5249">
        <v>29</v>
      </c>
      <c r="Y5249" t="s">
        <v>24814</v>
      </c>
      <c r="Z5249" t="s">
        <v>31380</v>
      </c>
      <c r="AA5249">
        <v>0.56095302335259778</v>
      </c>
      <c r="AB5249" t="str">
        <f>HYPERLINK("Melting_Curves/meltCurve_Q9BQ52_ELAC2.pdf", "Melting_Curves/meltCurve_Q9BQ52_ELAC2.pdf")</f>
        <v>Melting_Curves/meltCurve_Q9BQ52_ELAC2.pdf</v>
      </c>
    </row>
    <row r="5250" spans="1:28" x14ac:dyDescent="0.25">
      <c r="A5250" t="s">
        <v>5253</v>
      </c>
      <c r="B5250">
        <v>0.99930955844802105</v>
      </c>
      <c r="C5250">
        <v>1.04350626940828</v>
      </c>
      <c r="D5250">
        <v>1.0734623599363</v>
      </c>
      <c r="E5250">
        <v>1.0603141878651501</v>
      </c>
      <c r="F5250">
        <v>0.93916890590920898</v>
      </c>
      <c r="G5250">
        <v>1.00421677665895</v>
      </c>
      <c r="H5250">
        <v>1.0308665311912999</v>
      </c>
      <c r="I5250">
        <v>1.27021891594078</v>
      </c>
      <c r="J5250">
        <v>1.29629785867917</v>
      </c>
      <c r="K5250">
        <v>0.99648658154619696</v>
      </c>
      <c r="L5250">
        <v>15000</v>
      </c>
      <c r="M5250">
        <v>244.277496516094</v>
      </c>
      <c r="O5250">
        <v>61.401458706741003</v>
      </c>
      <c r="P5250">
        <v>0.18665290468061399</v>
      </c>
      <c r="Q5250">
        <v>1.1876678901536699</v>
      </c>
      <c r="R5250">
        <v>0.44356110035030699</v>
      </c>
      <c r="S5250" t="s">
        <v>11866</v>
      </c>
      <c r="T5250" t="s">
        <v>13232</v>
      </c>
      <c r="U5250" t="s">
        <v>13232</v>
      </c>
      <c r="V5250" t="s">
        <v>13232</v>
      </c>
      <c r="W5250" t="s">
        <v>18415</v>
      </c>
      <c r="X5250">
        <v>13</v>
      </c>
      <c r="Y5250" t="s">
        <v>24815</v>
      </c>
      <c r="Z5250" t="s">
        <v>31381</v>
      </c>
      <c r="AA5250">
        <v>1.053742073910706</v>
      </c>
      <c r="AB5250" t="str">
        <f>HYPERLINK("Melting_Curves/meltCurve_Q9BQ61_C19orf43.pdf", "Melting_Curves/meltCurve_Q9BQ61_C19orf43.pdf")</f>
        <v>Melting_Curves/meltCurve_Q9BQ61_C19orf43.pdf</v>
      </c>
    </row>
    <row r="5251" spans="1:28" x14ac:dyDescent="0.25">
      <c r="A5251" t="s">
        <v>5254</v>
      </c>
      <c r="B5251">
        <v>0.99930955844802105</v>
      </c>
      <c r="C5251">
        <v>0.827477259599396</v>
      </c>
      <c r="D5251">
        <v>0.74653580042740197</v>
      </c>
      <c r="E5251">
        <v>0.56492350448855899</v>
      </c>
      <c r="F5251">
        <v>0.30369017403153298</v>
      </c>
      <c r="G5251">
        <v>0.15471171748139101</v>
      </c>
      <c r="H5251">
        <v>7.3360490376370296E-2</v>
      </c>
      <c r="I5251">
        <v>5.32469210638183E-2</v>
      </c>
      <c r="J5251">
        <v>4.3421933660630602E-2</v>
      </c>
      <c r="K5251">
        <v>3.3305964285827501E-2</v>
      </c>
      <c r="L5251">
        <v>641.17488298362503</v>
      </c>
      <c r="M5251">
        <v>12.8143565132326</v>
      </c>
      <c r="N5251">
        <v>50.035667399722499</v>
      </c>
      <c r="O5251">
        <v>48.864108382803501</v>
      </c>
      <c r="P5251">
        <v>-6.55734394932211E-2</v>
      </c>
      <c r="Q5251">
        <v>0</v>
      </c>
      <c r="R5251">
        <v>0.99099614095085797</v>
      </c>
      <c r="S5251" t="s">
        <v>11867</v>
      </c>
      <c r="T5251" t="s">
        <v>13232</v>
      </c>
      <c r="U5251" t="s">
        <v>13232</v>
      </c>
      <c r="V5251" t="s">
        <v>13232</v>
      </c>
      <c r="W5251" t="s">
        <v>18416</v>
      </c>
      <c r="X5251">
        <v>10</v>
      </c>
      <c r="Y5251" t="s">
        <v>24816</v>
      </c>
      <c r="Z5251" t="s">
        <v>31382</v>
      </c>
      <c r="AA5251">
        <v>0.36564066760507169</v>
      </c>
      <c r="AB5251" t="str">
        <f>HYPERLINK("Melting_Curves/meltCurve_Q9BQ67_GRWD1.pdf", "Melting_Curves/meltCurve_Q9BQ67_GRWD1.pdf")</f>
        <v>Melting_Curves/meltCurve_Q9BQ67_GRWD1.pdf</v>
      </c>
    </row>
    <row r="5252" spans="1:28" x14ac:dyDescent="0.25">
      <c r="A5252" t="s">
        <v>5255</v>
      </c>
      <c r="B5252">
        <v>0.99930955844802105</v>
      </c>
      <c r="C5252">
        <v>0.85886606004994104</v>
      </c>
      <c r="D5252">
        <v>0.73762300212210197</v>
      </c>
      <c r="E5252">
        <v>0.34117759021664201</v>
      </c>
      <c r="F5252">
        <v>0.258867839447528</v>
      </c>
      <c r="G5252">
        <v>0.14432696716556501</v>
      </c>
      <c r="H5252">
        <v>0.15194924581200001</v>
      </c>
      <c r="I5252">
        <v>7.6796896306633902E-2</v>
      </c>
      <c r="J5252">
        <v>6.0896934604700498E-2</v>
      </c>
      <c r="K5252">
        <v>4.4258336865796499E-2</v>
      </c>
      <c r="L5252">
        <v>798.80923709369802</v>
      </c>
      <c r="M5252">
        <v>16.622048790937399</v>
      </c>
      <c r="N5252">
        <v>48.505300715914203</v>
      </c>
      <c r="O5252">
        <v>47.377799247057602</v>
      </c>
      <c r="P5252">
        <v>-8.1472768983560803E-2</v>
      </c>
      <c r="Q5252">
        <v>7.1175930124656603E-2</v>
      </c>
      <c r="R5252">
        <v>0.99077630029524699</v>
      </c>
      <c r="S5252" t="s">
        <v>11868</v>
      </c>
      <c r="T5252" t="s">
        <v>13232</v>
      </c>
      <c r="U5252" t="s">
        <v>13232</v>
      </c>
      <c r="V5252" t="s">
        <v>13232</v>
      </c>
      <c r="W5252" t="s">
        <v>18417</v>
      </c>
      <c r="X5252">
        <v>15</v>
      </c>
      <c r="Y5252" t="s">
        <v>24817</v>
      </c>
      <c r="Z5252" t="s">
        <v>31383</v>
      </c>
      <c r="AA5252">
        <v>0.34002506872334998</v>
      </c>
      <c r="AB5252" t="str">
        <f>HYPERLINK("Melting_Curves/meltCurve_Q9BQ69_MACROD1.pdf", "Melting_Curves/meltCurve_Q9BQ69_MACROD1.pdf")</f>
        <v>Melting_Curves/meltCurve_Q9BQ69_MACROD1.pdf</v>
      </c>
    </row>
    <row r="5253" spans="1:28" x14ac:dyDescent="0.25">
      <c r="A5253" t="s">
        <v>5256</v>
      </c>
      <c r="B5253">
        <v>0.99930955844802105</v>
      </c>
      <c r="C5253">
        <v>1.00491912367273</v>
      </c>
      <c r="D5253">
        <v>0.94412259710621005</v>
      </c>
      <c r="E5253">
        <v>0.858626105858462</v>
      </c>
      <c r="F5253">
        <v>0.757786791783851</v>
      </c>
      <c r="G5253">
        <v>0.69260056982950302</v>
      </c>
      <c r="H5253">
        <v>0.72294981201471997</v>
      </c>
      <c r="I5253">
        <v>0.83224807567756798</v>
      </c>
      <c r="J5253">
        <v>0.83097424888447102</v>
      </c>
      <c r="K5253">
        <v>0.64178361263011496</v>
      </c>
      <c r="L5253">
        <v>1373.5018505247201</v>
      </c>
      <c r="M5253">
        <v>27.9881290434035</v>
      </c>
      <c r="O5253">
        <v>48.8259703531727</v>
      </c>
      <c r="P5253">
        <v>-3.6898569147276898E-2</v>
      </c>
      <c r="Q5253">
        <v>0.74252045212599105</v>
      </c>
      <c r="R5253">
        <v>0.78805280275691503</v>
      </c>
      <c r="S5253" t="s">
        <v>11869</v>
      </c>
      <c r="T5253" t="s">
        <v>13232</v>
      </c>
      <c r="U5253" t="s">
        <v>13232</v>
      </c>
      <c r="V5253" t="s">
        <v>13232</v>
      </c>
      <c r="W5253" t="s">
        <v>18418</v>
      </c>
      <c r="X5253">
        <v>9</v>
      </c>
      <c r="Y5253" t="s">
        <v>24818</v>
      </c>
      <c r="Z5253" t="s">
        <v>31384</v>
      </c>
      <c r="AA5253">
        <v>0.82221323914935163</v>
      </c>
      <c r="AB5253" t="str">
        <f>HYPERLINK("Melting_Curves/meltCurve_Q9BQ70_TCF25.pdf", "Melting_Curves/meltCurve_Q9BQ70_TCF25.pdf")</f>
        <v>Melting_Curves/meltCurve_Q9BQ70_TCF25.pdf</v>
      </c>
    </row>
    <row r="5254" spans="1:28" x14ac:dyDescent="0.25">
      <c r="A5254" t="s">
        <v>5257</v>
      </c>
      <c r="B5254">
        <v>0.99930955844802105</v>
      </c>
      <c r="C5254">
        <v>0.75804226107555805</v>
      </c>
      <c r="D5254">
        <v>0.75494564466058001</v>
      </c>
      <c r="E5254">
        <v>0.74877305904088098</v>
      </c>
      <c r="F5254">
        <v>0.7853815203258</v>
      </c>
      <c r="G5254">
        <v>0.33119655561955502</v>
      </c>
      <c r="H5254">
        <v>0.14664589314455401</v>
      </c>
      <c r="I5254">
        <v>0.117117752796519</v>
      </c>
      <c r="J5254">
        <v>9.1991255439985098E-2</v>
      </c>
      <c r="K5254">
        <v>0.109141321439422</v>
      </c>
      <c r="L5254">
        <v>603.77013500006103</v>
      </c>
      <c r="M5254">
        <v>11.082564753489001</v>
      </c>
      <c r="N5254">
        <v>54.479278725092399</v>
      </c>
      <c r="O5254">
        <v>52.795701518921099</v>
      </c>
      <c r="P5254">
        <v>-5.24957385785415E-2</v>
      </c>
      <c r="Q5254">
        <v>0</v>
      </c>
      <c r="R5254">
        <v>0.90169536071120404</v>
      </c>
      <c r="S5254" t="s">
        <v>11870</v>
      </c>
      <c r="T5254" t="s">
        <v>13232</v>
      </c>
      <c r="U5254" t="s">
        <v>13232</v>
      </c>
      <c r="V5254" t="s">
        <v>13232</v>
      </c>
      <c r="W5254" t="s">
        <v>18419</v>
      </c>
      <c r="X5254">
        <v>3</v>
      </c>
      <c r="Y5254" t="s">
        <v>24819</v>
      </c>
      <c r="Z5254" t="s">
        <v>31385</v>
      </c>
      <c r="AA5254">
        <v>0.50907268516335613</v>
      </c>
      <c r="AB5254" t="str">
        <f>HYPERLINK("Melting_Curves/meltCurve_Q9BQ90_KLHDC3.pdf", "Melting_Curves/meltCurve_Q9BQ90_KLHDC3.pdf")</f>
        <v>Melting_Curves/meltCurve_Q9BQ90_KLHDC3.pdf</v>
      </c>
    </row>
    <row r="5255" spans="1:28" x14ac:dyDescent="0.25">
      <c r="A5255" t="s">
        <v>5258</v>
      </c>
      <c r="B5255">
        <v>0.99930955844802105</v>
      </c>
      <c r="C5255">
        <v>0.6919965152766</v>
      </c>
      <c r="D5255">
        <v>0.77912385502382997</v>
      </c>
      <c r="E5255">
        <v>0.94751846268616802</v>
      </c>
      <c r="F5255">
        <v>0.84753364905294903</v>
      </c>
      <c r="G5255">
        <v>0.233727546214099</v>
      </c>
      <c r="H5255">
        <v>0.147971482386175</v>
      </c>
      <c r="I5255">
        <v>0.120084371916111</v>
      </c>
      <c r="J5255">
        <v>0.106936703585586</v>
      </c>
      <c r="K5255">
        <v>8.5564726160047996E-2</v>
      </c>
      <c r="L5255">
        <v>2455.4977069142401</v>
      </c>
      <c r="M5255">
        <v>44.827791833784502</v>
      </c>
      <c r="N5255">
        <v>55.083998118485702</v>
      </c>
      <c r="O5255">
        <v>54.667571151612897</v>
      </c>
      <c r="P5255">
        <v>-0.18229294586512601</v>
      </c>
      <c r="Q5255">
        <v>0.11077501802909</v>
      </c>
      <c r="R5255">
        <v>0.89123197924726305</v>
      </c>
      <c r="S5255" t="s">
        <v>11871</v>
      </c>
      <c r="T5255" t="s">
        <v>13232</v>
      </c>
      <c r="U5255" t="s">
        <v>13232</v>
      </c>
      <c r="V5255" t="s">
        <v>13232</v>
      </c>
      <c r="W5255" t="s">
        <v>18420</v>
      </c>
      <c r="X5255">
        <v>10</v>
      </c>
      <c r="Y5255" t="s">
        <v>24820</v>
      </c>
      <c r="Z5255" t="s">
        <v>31386</v>
      </c>
      <c r="AA5255">
        <v>0.55142793285954828</v>
      </c>
      <c r="AB5255" t="str">
        <f>HYPERLINK("Melting_Curves/meltCurve_Q9BQA1_WDR77.pdf", "Melting_Curves/meltCurve_Q9BQA1_WDR77.pdf")</f>
        <v>Melting_Curves/meltCurve_Q9BQA1_WDR77.pdf</v>
      </c>
    </row>
    <row r="5256" spans="1:28" x14ac:dyDescent="0.25">
      <c r="A5256" t="s">
        <v>5259</v>
      </c>
      <c r="B5256">
        <v>0.99930955844802105</v>
      </c>
      <c r="C5256">
        <v>0.74598661902785501</v>
      </c>
      <c r="D5256">
        <v>0.52209048772321998</v>
      </c>
      <c r="E5256">
        <v>0.74588290951318603</v>
      </c>
      <c r="F5256">
        <v>0.38791139220918802</v>
      </c>
      <c r="G5256">
        <v>0.12847379516476501</v>
      </c>
      <c r="H5256">
        <v>5.7843734022218103E-2</v>
      </c>
      <c r="I5256">
        <v>5.6901940590051797E-2</v>
      </c>
      <c r="J5256">
        <v>3.9269509438401101E-2</v>
      </c>
      <c r="K5256">
        <v>2.8795218155070301E-2</v>
      </c>
      <c r="L5256">
        <v>513.11452905991996</v>
      </c>
      <c r="M5256">
        <v>10.305741933542899</v>
      </c>
      <c r="N5256">
        <v>49.789199655396096</v>
      </c>
      <c r="O5256">
        <v>48.023838097462502</v>
      </c>
      <c r="P5256">
        <v>-5.36723494750884E-2</v>
      </c>
      <c r="Q5256">
        <v>0</v>
      </c>
      <c r="R5256">
        <v>0.89142517886683503</v>
      </c>
      <c r="S5256" t="s">
        <v>11872</v>
      </c>
      <c r="T5256" t="s">
        <v>13232</v>
      </c>
      <c r="U5256" t="s">
        <v>13232</v>
      </c>
      <c r="V5256" t="s">
        <v>13232</v>
      </c>
      <c r="W5256" t="s">
        <v>18421</v>
      </c>
      <c r="X5256">
        <v>1</v>
      </c>
      <c r="Y5256" t="s">
        <v>24821</v>
      </c>
      <c r="Z5256" t="s">
        <v>31387</v>
      </c>
      <c r="AA5256">
        <v>0.37037963689200559</v>
      </c>
      <c r="AB5256" t="str">
        <f>HYPERLINK("Melting_Curves/meltCurve_Q9BQB6_3_VKORC1.pdf", "Melting_Curves/meltCurve_Q9BQB6_3_VKORC1.pdf")</f>
        <v>Melting_Curves/meltCurve_Q9BQB6_3_VKORC1.pdf</v>
      </c>
    </row>
    <row r="5257" spans="1:28" x14ac:dyDescent="0.25">
      <c r="A5257" t="s">
        <v>5260</v>
      </c>
      <c r="B5257">
        <v>0.99930955844802105</v>
      </c>
      <c r="C5257">
        <v>0.90287437108425195</v>
      </c>
      <c r="D5257">
        <v>0.87826660499456899</v>
      </c>
      <c r="E5257">
        <v>0.77023723350055096</v>
      </c>
      <c r="F5257">
        <v>0.51953586992993095</v>
      </c>
      <c r="G5257">
        <v>0.30088699191877699</v>
      </c>
      <c r="H5257">
        <v>0.17923791963368799</v>
      </c>
      <c r="I5257">
        <v>0.14270993179587499</v>
      </c>
      <c r="J5257">
        <v>0.123265116085803</v>
      </c>
      <c r="K5257">
        <v>9.7865975257310195E-2</v>
      </c>
      <c r="L5257">
        <v>758.52102154804402</v>
      </c>
      <c r="M5257">
        <v>14.3249568231523</v>
      </c>
      <c r="N5257">
        <v>53.495315421848403</v>
      </c>
      <c r="O5257">
        <v>51.951180915016401</v>
      </c>
      <c r="P5257">
        <v>-6.4267733723391701E-2</v>
      </c>
      <c r="Q5257">
        <v>6.7814077583731799E-2</v>
      </c>
      <c r="R5257">
        <v>0.99319799845904699</v>
      </c>
      <c r="S5257" t="s">
        <v>11873</v>
      </c>
      <c r="T5257" t="s">
        <v>13232</v>
      </c>
      <c r="U5257" t="s">
        <v>13232</v>
      </c>
      <c r="V5257" t="s">
        <v>13232</v>
      </c>
      <c r="W5257" t="s">
        <v>18422</v>
      </c>
      <c r="X5257">
        <v>11</v>
      </c>
      <c r="Y5257" t="s">
        <v>24822</v>
      </c>
      <c r="Z5257" t="s">
        <v>31388</v>
      </c>
      <c r="AA5257">
        <v>0.49164986484640377</v>
      </c>
      <c r="AB5257" t="str">
        <f>HYPERLINK("Melting_Curves/meltCurve_Q9BQC3_DPH2.pdf", "Melting_Curves/meltCurve_Q9BQC3_DPH2.pdf")</f>
        <v>Melting_Curves/meltCurve_Q9BQC3_DPH2.pdf</v>
      </c>
    </row>
    <row r="5258" spans="1:28" x14ac:dyDescent="0.25">
      <c r="A5258" t="s">
        <v>5261</v>
      </c>
      <c r="B5258">
        <v>0.99930955844802105</v>
      </c>
      <c r="C5258">
        <v>0.51779808462961197</v>
      </c>
      <c r="D5258">
        <v>0.47730309447877001</v>
      </c>
      <c r="E5258">
        <v>0.43135954676384097</v>
      </c>
      <c r="F5258">
        <v>0.31058063718853401</v>
      </c>
      <c r="G5258">
        <v>0.23713497410871401</v>
      </c>
      <c r="H5258">
        <v>0.141996315971673</v>
      </c>
      <c r="I5258">
        <v>9.6275042661796803E-2</v>
      </c>
      <c r="J5258">
        <v>8.3553682227891599E-2</v>
      </c>
      <c r="K5258">
        <v>4.6636228854430299E-2</v>
      </c>
      <c r="L5258">
        <v>391.97784130149603</v>
      </c>
      <c r="M5258">
        <v>8.3961456783234905</v>
      </c>
      <c r="N5258">
        <v>46.903937924799997</v>
      </c>
      <c r="O5258">
        <v>44.2625008901284</v>
      </c>
      <c r="P5258">
        <v>-4.6556879587636303E-2</v>
      </c>
      <c r="Q5258">
        <v>1.9177800142963199E-2</v>
      </c>
      <c r="R5258">
        <v>0.90042092355082604</v>
      </c>
      <c r="S5258" t="s">
        <v>11874</v>
      </c>
      <c r="T5258" t="s">
        <v>13232</v>
      </c>
      <c r="U5258" t="s">
        <v>13232</v>
      </c>
      <c r="V5258" t="s">
        <v>13232</v>
      </c>
      <c r="W5258" t="s">
        <v>18423</v>
      </c>
      <c r="X5258">
        <v>24</v>
      </c>
      <c r="Y5258" t="s">
        <v>24823</v>
      </c>
      <c r="Z5258" t="s">
        <v>31389</v>
      </c>
      <c r="AA5258">
        <v>0.31301362216841411</v>
      </c>
      <c r="AB5258" t="str">
        <f>HYPERLINK("Melting_Curves/meltCurve_Q9BQE3_TUBA1C.pdf", "Melting_Curves/meltCurve_Q9BQE3_TUBA1C.pdf")</f>
        <v>Melting_Curves/meltCurve_Q9BQE3_TUBA1C.pdf</v>
      </c>
    </row>
    <row r="5259" spans="1:28" x14ac:dyDescent="0.25">
      <c r="A5259" t="s">
        <v>5262</v>
      </c>
      <c r="B5259">
        <v>0.99930955844802105</v>
      </c>
      <c r="C5259">
        <v>0.94608057169894599</v>
      </c>
      <c r="D5259">
        <v>0.72455620224827899</v>
      </c>
      <c r="E5259">
        <v>0.57127548824344498</v>
      </c>
      <c r="F5259">
        <v>0.38647813375191498</v>
      </c>
      <c r="G5259">
        <v>0.27676712901205602</v>
      </c>
      <c r="H5259">
        <v>0.220251577908568</v>
      </c>
      <c r="I5259">
        <v>0.23954970797115299</v>
      </c>
      <c r="J5259">
        <v>0.23781423633569099</v>
      </c>
      <c r="K5259">
        <v>0.195038355851054</v>
      </c>
      <c r="L5259">
        <v>737.40859368500105</v>
      </c>
      <c r="M5259">
        <v>15.081545139048</v>
      </c>
      <c r="N5259">
        <v>50.636826016645699</v>
      </c>
      <c r="O5259">
        <v>48.059277810114899</v>
      </c>
      <c r="P5259">
        <v>-6.2580333460670295E-2</v>
      </c>
      <c r="Q5259">
        <v>0.20239781960887501</v>
      </c>
      <c r="R5259">
        <v>0.99159305147472498</v>
      </c>
      <c r="S5259" t="s">
        <v>11875</v>
      </c>
      <c r="T5259" t="s">
        <v>13232</v>
      </c>
      <c r="U5259" t="s">
        <v>13232</v>
      </c>
      <c r="V5259" t="s">
        <v>13232</v>
      </c>
      <c r="W5259" t="s">
        <v>18424</v>
      </c>
      <c r="X5259">
        <v>3</v>
      </c>
      <c r="Y5259" t="s">
        <v>24824</v>
      </c>
      <c r="Z5259" t="s">
        <v>31390</v>
      </c>
      <c r="AA5259">
        <v>0.45844208078724069</v>
      </c>
      <c r="AB5259" t="str">
        <f>HYPERLINK("Melting_Curves/meltCurve_Q9BQE5_APOL2.pdf", "Melting_Curves/meltCurve_Q9BQE5_APOL2.pdf")</f>
        <v>Melting_Curves/meltCurve_Q9BQE5_APOL2.pdf</v>
      </c>
    </row>
    <row r="5260" spans="1:28" x14ac:dyDescent="0.25">
      <c r="A5260" t="s">
        <v>5263</v>
      </c>
      <c r="B5260">
        <v>0.99930955844802105</v>
      </c>
      <c r="C5260">
        <v>0.94836624964939098</v>
      </c>
      <c r="D5260">
        <v>0.86358264758372705</v>
      </c>
      <c r="E5260">
        <v>0.64006963719934595</v>
      </c>
      <c r="F5260">
        <v>0.65561919519676104</v>
      </c>
      <c r="G5260">
        <v>0.44684547231372002</v>
      </c>
      <c r="H5260">
        <v>0.52111192744991197</v>
      </c>
      <c r="I5260">
        <v>0.580151537459207</v>
      </c>
      <c r="J5260">
        <v>0.60855083128875698</v>
      </c>
      <c r="K5260">
        <v>0.56265024662466401</v>
      </c>
      <c r="L5260">
        <v>1082.22247467649</v>
      </c>
      <c r="M5260">
        <v>22.7880262588093</v>
      </c>
      <c r="O5260">
        <v>47.129679513966799</v>
      </c>
      <c r="P5260">
        <v>-5.4285769977328098E-2</v>
      </c>
      <c r="Q5260">
        <v>0.55091855024333902</v>
      </c>
      <c r="R5260">
        <v>0.92672017925706696</v>
      </c>
      <c r="S5260" t="s">
        <v>11876</v>
      </c>
      <c r="T5260" t="s">
        <v>13232</v>
      </c>
      <c r="U5260" t="s">
        <v>13232</v>
      </c>
      <c r="V5260" t="s">
        <v>13232</v>
      </c>
      <c r="W5260" t="s">
        <v>18425</v>
      </c>
      <c r="X5260">
        <v>4</v>
      </c>
      <c r="Y5260" t="s">
        <v>24825</v>
      </c>
      <c r="Z5260" t="s">
        <v>31391</v>
      </c>
      <c r="AA5260">
        <v>0.66791914702863664</v>
      </c>
      <c r="AB5260" t="str">
        <f>HYPERLINK("Melting_Curves/meltCurve_Q9BQE9_4_BCL7B.pdf", "Melting_Curves/meltCurve_Q9BQE9_4_BCL7B.pdf")</f>
        <v>Melting_Curves/meltCurve_Q9BQE9_4_BCL7B.pdf</v>
      </c>
    </row>
    <row r="5261" spans="1:28" x14ac:dyDescent="0.25">
      <c r="A5261" t="s">
        <v>5264</v>
      </c>
      <c r="B5261">
        <v>0.99930955844802105</v>
      </c>
      <c r="C5261">
        <v>0.99079804125139104</v>
      </c>
      <c r="D5261">
        <v>0.90133437383715098</v>
      </c>
      <c r="E5261">
        <v>0.619813934582232</v>
      </c>
      <c r="F5261">
        <v>0.33362699434119403</v>
      </c>
      <c r="G5261">
        <v>0.275508587928045</v>
      </c>
      <c r="H5261">
        <v>0.232070859838751</v>
      </c>
      <c r="I5261">
        <v>0.23951214971007101</v>
      </c>
      <c r="J5261">
        <v>0.23728497192583001</v>
      </c>
      <c r="K5261">
        <v>0.18153964400971601</v>
      </c>
      <c r="L5261">
        <v>1267.6666647611701</v>
      </c>
      <c r="M5261">
        <v>25.4112938592829</v>
      </c>
      <c r="N5261">
        <v>51.058875801905202</v>
      </c>
      <c r="O5261">
        <v>49.580090311590901</v>
      </c>
      <c r="P5261">
        <v>-9.9804017351675905E-2</v>
      </c>
      <c r="Q5261">
        <v>0.22109755448520499</v>
      </c>
      <c r="R5261">
        <v>0.99595134080029102</v>
      </c>
      <c r="S5261" t="s">
        <v>11877</v>
      </c>
      <c r="T5261" t="s">
        <v>13232</v>
      </c>
      <c r="U5261" t="s">
        <v>13232</v>
      </c>
      <c r="V5261" t="s">
        <v>13232</v>
      </c>
      <c r="W5261" t="s">
        <v>18426</v>
      </c>
      <c r="X5261">
        <v>7</v>
      </c>
      <c r="Y5261" t="s">
        <v>24826</v>
      </c>
      <c r="Z5261" t="s">
        <v>31392</v>
      </c>
      <c r="AA5261">
        <v>0.48449925437643032</v>
      </c>
      <c r="AB5261" t="str">
        <f>HYPERLINK("Melting_Curves/meltCurve_Q9BQF6_4_SENP7.pdf", "Melting_Curves/meltCurve_Q9BQF6_4_SENP7.pdf")</f>
        <v>Melting_Curves/meltCurve_Q9BQF6_4_SENP7.pdf</v>
      </c>
    </row>
    <row r="5262" spans="1:28" x14ac:dyDescent="0.25">
      <c r="A5262" t="s">
        <v>5265</v>
      </c>
      <c r="B5262">
        <v>0.99930955844802105</v>
      </c>
      <c r="C5262">
        <v>1.1011933596254</v>
      </c>
      <c r="D5262">
        <v>0.99935165019713901</v>
      </c>
      <c r="E5262">
        <v>0.93784381284851404</v>
      </c>
      <c r="F5262">
        <v>0.84122647900352698</v>
      </c>
      <c r="G5262">
        <v>0.81816089019210902</v>
      </c>
      <c r="H5262">
        <v>0.91220316218444497</v>
      </c>
      <c r="I5262">
        <v>1.02871541960827</v>
      </c>
      <c r="J5262">
        <v>1.1012635221738001</v>
      </c>
      <c r="K5262">
        <v>0.84995645661305497</v>
      </c>
      <c r="L5262">
        <v>12420.1601245273</v>
      </c>
      <c r="M5262">
        <v>250</v>
      </c>
      <c r="O5262">
        <v>49.677446615047501</v>
      </c>
      <c r="P5262">
        <v>-9.4038704671525794E-2</v>
      </c>
      <c r="Q5262">
        <v>0.92525433424371695</v>
      </c>
      <c r="R5262">
        <v>0.211880884336243</v>
      </c>
      <c r="S5262" t="s">
        <v>11878</v>
      </c>
      <c r="T5262" t="s">
        <v>13232</v>
      </c>
      <c r="U5262" t="s">
        <v>13232</v>
      </c>
      <c r="V5262" t="s">
        <v>13232</v>
      </c>
      <c r="W5262" t="s">
        <v>18427</v>
      </c>
      <c r="X5262">
        <v>11</v>
      </c>
      <c r="Y5262" t="s">
        <v>24827</v>
      </c>
      <c r="Z5262" t="s">
        <v>31393</v>
      </c>
      <c r="AA5262">
        <v>0.94938038185756224</v>
      </c>
      <c r="AB5262" t="str">
        <f>HYPERLINK("Melting_Curves/meltCurve_Q9BQG0_MYBBP1A.pdf", "Melting_Curves/meltCurve_Q9BQG0_MYBBP1A.pdf")</f>
        <v>Melting_Curves/meltCurve_Q9BQG0_MYBBP1A.pdf</v>
      </c>
    </row>
    <row r="5263" spans="1:28" x14ac:dyDescent="0.25">
      <c r="A5263" t="s">
        <v>5266</v>
      </c>
      <c r="B5263">
        <v>0.99930955844802105</v>
      </c>
      <c r="C5263">
        <v>0.69748870105858196</v>
      </c>
      <c r="D5263">
        <v>0.80422242804614397</v>
      </c>
      <c r="E5263">
        <v>0.76453753803072</v>
      </c>
      <c r="F5263">
        <v>0.227905096872035</v>
      </c>
      <c r="G5263">
        <v>0.13181877943581999</v>
      </c>
      <c r="H5263">
        <v>5.7244805993206797E-2</v>
      </c>
      <c r="I5263">
        <v>4.0496905326358898E-2</v>
      </c>
      <c r="J5263">
        <v>3.4419287211010098E-2</v>
      </c>
      <c r="K5263">
        <v>2.61939493884655E-2</v>
      </c>
      <c r="L5263">
        <v>743.87633156071001</v>
      </c>
      <c r="M5263">
        <v>14.647843269889799</v>
      </c>
      <c r="N5263">
        <v>50.784015277965203</v>
      </c>
      <c r="O5263">
        <v>49.865661166441498</v>
      </c>
      <c r="P5263">
        <v>-7.3444666462309904E-2</v>
      </c>
      <c r="Q5263">
        <v>0</v>
      </c>
      <c r="R5263">
        <v>0.91328861196052502</v>
      </c>
      <c r="S5263" t="s">
        <v>11879</v>
      </c>
      <c r="T5263" t="s">
        <v>13232</v>
      </c>
      <c r="U5263" t="s">
        <v>13232</v>
      </c>
      <c r="V5263" t="s">
        <v>13232</v>
      </c>
      <c r="W5263" t="s">
        <v>18428</v>
      </c>
      <c r="X5263">
        <v>9</v>
      </c>
      <c r="Y5263" t="s">
        <v>24828</v>
      </c>
      <c r="Z5263" t="s">
        <v>31394</v>
      </c>
      <c r="AA5263">
        <v>0.38367057117777092</v>
      </c>
      <c r="AB5263" t="str">
        <f>HYPERLINK("Melting_Curves/meltCurve_Q9BQG2_NUDT12.pdf", "Melting_Curves/meltCurve_Q9BQG2_NUDT12.pdf")</f>
        <v>Melting_Curves/meltCurve_Q9BQG2_NUDT12.pdf</v>
      </c>
    </row>
    <row r="5264" spans="1:28" x14ac:dyDescent="0.25">
      <c r="A5264" t="s">
        <v>5267</v>
      </c>
      <c r="B5264">
        <v>0.99930955844802105</v>
      </c>
      <c r="C5264">
        <v>1.2896410596066501</v>
      </c>
      <c r="D5264">
        <v>1.2719550998124001</v>
      </c>
      <c r="E5264">
        <v>1.2190140093061499</v>
      </c>
      <c r="F5264">
        <v>1.13195659923914</v>
      </c>
      <c r="G5264">
        <v>0.99575445895127901</v>
      </c>
      <c r="H5264">
        <v>0.78098907075573798</v>
      </c>
      <c r="I5264">
        <v>0.60973346153918695</v>
      </c>
      <c r="J5264">
        <v>0.47398435415270801</v>
      </c>
      <c r="K5264">
        <v>0.34527619837220702</v>
      </c>
      <c r="L5264">
        <v>1691.33682102326</v>
      </c>
      <c r="M5264">
        <v>26.751624867769898</v>
      </c>
      <c r="N5264">
        <v>65.738682692122893</v>
      </c>
      <c r="O5264">
        <v>62.873559414763001</v>
      </c>
      <c r="P5264">
        <v>-7.2298546313324594E-2</v>
      </c>
      <c r="Q5264">
        <v>0.32032211372528102</v>
      </c>
      <c r="R5264">
        <v>0.78306416147597802</v>
      </c>
      <c r="S5264" t="s">
        <v>11880</v>
      </c>
      <c r="T5264" t="s">
        <v>13232</v>
      </c>
      <c r="U5264" t="s">
        <v>13232</v>
      </c>
      <c r="V5264" t="s">
        <v>13232</v>
      </c>
      <c r="W5264" t="s">
        <v>18429</v>
      </c>
      <c r="X5264">
        <v>7</v>
      </c>
      <c r="Y5264" t="s">
        <v>24829</v>
      </c>
      <c r="Z5264" t="s">
        <v>31395</v>
      </c>
      <c r="AA5264">
        <v>0.84798386608440313</v>
      </c>
      <c r="AB5264" t="str">
        <f>HYPERLINK("Melting_Curves/meltCurve_Q9BQI0_3_AIF1L.pdf", "Melting_Curves/meltCurve_Q9BQI0_3_AIF1L.pdf")</f>
        <v>Melting_Curves/meltCurve_Q9BQI0_3_AIF1L.pdf</v>
      </c>
    </row>
    <row r="5265" spans="1:28" x14ac:dyDescent="0.25">
      <c r="A5265" t="s">
        <v>5268</v>
      </c>
      <c r="B5265">
        <v>0.99930955844802105</v>
      </c>
      <c r="C5265">
        <v>1.19961103971462</v>
      </c>
      <c r="D5265">
        <v>1.2067132089483701</v>
      </c>
      <c r="E5265">
        <v>1.02212730592224</v>
      </c>
      <c r="F5265">
        <v>0.54868047104109996</v>
      </c>
      <c r="G5265">
        <v>0.202229937135531</v>
      </c>
      <c r="H5265">
        <v>0.112427662763291</v>
      </c>
      <c r="I5265">
        <v>0.115455537394779</v>
      </c>
      <c r="J5265">
        <v>9.3609173320264694E-2</v>
      </c>
      <c r="K5265">
        <v>6.8052757862818197E-2</v>
      </c>
      <c r="L5265">
        <v>3147.52246479306</v>
      </c>
      <c r="M5265">
        <v>59.383249344961101</v>
      </c>
      <c r="N5265">
        <v>53.237028204504803</v>
      </c>
      <c r="O5265">
        <v>52.943536468813299</v>
      </c>
      <c r="P5265">
        <v>-0.24826092798077001</v>
      </c>
      <c r="Q5265">
        <v>0.114645643099148</v>
      </c>
      <c r="R5265">
        <v>0.95811154650972397</v>
      </c>
      <c r="S5265" t="s">
        <v>11881</v>
      </c>
      <c r="T5265" t="s">
        <v>13232</v>
      </c>
      <c r="U5265" t="s">
        <v>13232</v>
      </c>
      <c r="V5265" t="s">
        <v>13232</v>
      </c>
      <c r="W5265" t="s">
        <v>18430</v>
      </c>
      <c r="X5265">
        <v>7</v>
      </c>
      <c r="Y5265" t="s">
        <v>24830</v>
      </c>
      <c r="Z5265" t="s">
        <v>31396</v>
      </c>
      <c r="AA5265">
        <v>0.49986875182412682</v>
      </c>
      <c r="AB5265" t="str">
        <f>HYPERLINK("Melting_Curves/meltCurve_Q9BQP7_MGME1.pdf", "Melting_Curves/meltCurve_Q9BQP7_MGME1.pdf")</f>
        <v>Melting_Curves/meltCurve_Q9BQP7_MGME1.pdf</v>
      </c>
    </row>
    <row r="5266" spans="1:28" x14ac:dyDescent="0.25">
      <c r="A5266" t="s">
        <v>5269</v>
      </c>
      <c r="B5266">
        <v>0.99930955844802105</v>
      </c>
      <c r="C5266">
        <v>1.01617198599642</v>
      </c>
      <c r="D5266">
        <v>1.01749056040497</v>
      </c>
      <c r="E5266">
        <v>0.84599709854244398</v>
      </c>
      <c r="F5266">
        <v>0.60778120998848095</v>
      </c>
      <c r="G5266">
        <v>0.48519852212813502</v>
      </c>
      <c r="H5266">
        <v>0.35029788552587299</v>
      </c>
      <c r="I5266">
        <v>0.29586265957717101</v>
      </c>
      <c r="J5266">
        <v>0.29228093136219901</v>
      </c>
      <c r="K5266">
        <v>0.225683170569317</v>
      </c>
      <c r="L5266">
        <v>930.99598464804706</v>
      </c>
      <c r="M5266">
        <v>17.367407066737901</v>
      </c>
      <c r="N5266">
        <v>55.874968454553098</v>
      </c>
      <c r="O5266">
        <v>52.910377593301703</v>
      </c>
      <c r="P5266">
        <v>-6.1301528069767103E-2</v>
      </c>
      <c r="Q5266">
        <v>0.25301417641450502</v>
      </c>
      <c r="R5266">
        <v>0.98898012778419497</v>
      </c>
      <c r="S5266" t="s">
        <v>11882</v>
      </c>
      <c r="T5266" t="s">
        <v>13232</v>
      </c>
      <c r="U5266" t="s">
        <v>13232</v>
      </c>
      <c r="V5266" t="s">
        <v>13232</v>
      </c>
      <c r="W5266" t="s">
        <v>18431</v>
      </c>
      <c r="X5266">
        <v>17</v>
      </c>
      <c r="Y5266" t="s">
        <v>24831</v>
      </c>
      <c r="Z5266" t="s">
        <v>31397</v>
      </c>
      <c r="AA5266">
        <v>0.60453952088857621</v>
      </c>
      <c r="AB5266" t="str">
        <f>HYPERLINK("Melting_Curves/meltCurve_Q9BQS8_FYCO1.pdf", "Melting_Curves/meltCurve_Q9BQS8_FYCO1.pdf")</f>
        <v>Melting_Curves/meltCurve_Q9BQS8_FYCO1.pdf</v>
      </c>
    </row>
    <row r="5267" spans="1:28" x14ac:dyDescent="0.25">
      <c r="A5267" t="s">
        <v>5270</v>
      </c>
      <c r="B5267">
        <v>0.99930955844802105</v>
      </c>
      <c r="C5267">
        <v>1.06421902099614</v>
      </c>
      <c r="D5267">
        <v>1.11281267502921</v>
      </c>
      <c r="E5267">
        <v>1.2144449500880099</v>
      </c>
      <c r="F5267">
        <v>1.0983717573481699</v>
      </c>
      <c r="G5267">
        <v>1.20699865498582</v>
      </c>
      <c r="H5267">
        <v>1.0560685751291801</v>
      </c>
      <c r="I5267">
        <v>1.01346606661271</v>
      </c>
      <c r="J5267">
        <v>0.58979942749499903</v>
      </c>
      <c r="K5267">
        <v>0.25874782224933002</v>
      </c>
      <c r="L5267">
        <v>15000</v>
      </c>
      <c r="M5267">
        <v>224.09483400529601</v>
      </c>
      <c r="N5267">
        <v>67.154286030838193</v>
      </c>
      <c r="O5267">
        <v>66.930616442604702</v>
      </c>
      <c r="P5267">
        <v>-0.62049346385674597</v>
      </c>
      <c r="Q5267">
        <v>0.25870651814513601</v>
      </c>
      <c r="R5267">
        <v>0.85552620455652295</v>
      </c>
      <c r="S5267" t="s">
        <v>11883</v>
      </c>
      <c r="T5267" t="s">
        <v>13232</v>
      </c>
      <c r="U5267" t="s">
        <v>13232</v>
      </c>
      <c r="V5267" t="s">
        <v>13232</v>
      </c>
      <c r="W5267" t="s">
        <v>18432</v>
      </c>
      <c r="X5267">
        <v>5</v>
      </c>
      <c r="Y5267" t="s">
        <v>24832</v>
      </c>
      <c r="Z5267" t="s">
        <v>31398</v>
      </c>
      <c r="AA5267">
        <v>0.92439585926478141</v>
      </c>
      <c r="AB5267" t="str">
        <f>HYPERLINK("Melting_Curves/meltCurve_Q9BQY4_RHOXF2.pdf", "Melting_Curves/meltCurve_Q9BQY4_RHOXF2.pdf")</f>
        <v>Melting_Curves/meltCurve_Q9BQY4_RHOXF2.pdf</v>
      </c>
    </row>
    <row r="5268" spans="1:28" x14ac:dyDescent="0.25">
      <c r="A5268" t="s">
        <v>5271</v>
      </c>
      <c r="B5268">
        <v>0.99930955844802105</v>
      </c>
      <c r="C5268">
        <v>1.0061340831574199</v>
      </c>
      <c r="D5268">
        <v>0.51525889985262596</v>
      </c>
      <c r="E5268">
        <v>0.50319869548095397</v>
      </c>
      <c r="F5268">
        <v>0.20855000849079999</v>
      </c>
      <c r="G5268">
        <v>0.13718097474654001</v>
      </c>
      <c r="H5268">
        <v>7.7094538609268098E-2</v>
      </c>
      <c r="I5268">
        <v>6.0967500389283502E-2</v>
      </c>
      <c r="J5268">
        <v>5.2646657147021103E-2</v>
      </c>
      <c r="K5268">
        <v>4.0705836153687898E-2</v>
      </c>
      <c r="L5268">
        <v>721.11373796521502</v>
      </c>
      <c r="M5268">
        <v>14.9470253588854</v>
      </c>
      <c r="N5268">
        <v>48.514358114634199</v>
      </c>
      <c r="O5268">
        <v>47.405755570912604</v>
      </c>
      <c r="P5268">
        <v>-7.5690104249646895E-2</v>
      </c>
      <c r="Q5268">
        <v>3.9867587566983803E-2</v>
      </c>
      <c r="R5268">
        <v>0.95253622672319704</v>
      </c>
      <c r="S5268" t="s">
        <v>11884</v>
      </c>
      <c r="T5268" t="s">
        <v>13232</v>
      </c>
      <c r="U5268" t="s">
        <v>13232</v>
      </c>
      <c r="V5268" t="s">
        <v>13232</v>
      </c>
      <c r="W5268" t="s">
        <v>18433</v>
      </c>
      <c r="X5268">
        <v>11</v>
      </c>
      <c r="Y5268" t="s">
        <v>24833</v>
      </c>
      <c r="Z5268" t="s">
        <v>31399</v>
      </c>
      <c r="AA5268">
        <v>0.32833477167383551</v>
      </c>
      <c r="AB5268" t="str">
        <f>HYPERLINK("Melting_Curves/meltCurve_Q9BR61_ACBD6.pdf", "Melting_Curves/meltCurve_Q9BR61_ACBD6.pdf")</f>
        <v>Melting_Curves/meltCurve_Q9BR61_ACBD6.pdf</v>
      </c>
    </row>
    <row r="5269" spans="1:28" x14ac:dyDescent="0.25">
      <c r="A5269" t="s">
        <v>5272</v>
      </c>
      <c r="B5269">
        <v>0.99930955844802105</v>
      </c>
      <c r="C5269">
        <v>1.0669234394053799</v>
      </c>
      <c r="D5269">
        <v>0.65766132521012399</v>
      </c>
      <c r="E5269">
        <v>0.90327300418576295</v>
      </c>
      <c r="F5269">
        <v>0.46579460630716801</v>
      </c>
      <c r="G5269">
        <v>0.155198554708079</v>
      </c>
      <c r="H5269">
        <v>0.11142390127520201</v>
      </c>
      <c r="I5269">
        <v>0.106942594050181</v>
      </c>
      <c r="J5269">
        <v>0.103441245463326</v>
      </c>
      <c r="K5269">
        <v>8.4092679307586501E-2</v>
      </c>
      <c r="L5269">
        <v>1546.31968066068</v>
      </c>
      <c r="M5269">
        <v>29.445270809341999</v>
      </c>
      <c r="N5269">
        <v>52.877523890418502</v>
      </c>
      <c r="O5269">
        <v>52.2746132386957</v>
      </c>
      <c r="P5269">
        <v>-0.127951429961003</v>
      </c>
      <c r="Q5269">
        <v>9.1390317395658893E-2</v>
      </c>
      <c r="R5269">
        <v>0.92097735014924798</v>
      </c>
      <c r="S5269" t="s">
        <v>11885</v>
      </c>
      <c r="T5269" t="s">
        <v>13232</v>
      </c>
      <c r="U5269" t="s">
        <v>13232</v>
      </c>
      <c r="V5269" t="s">
        <v>13232</v>
      </c>
      <c r="W5269" t="s">
        <v>18434</v>
      </c>
      <c r="X5269">
        <v>15</v>
      </c>
      <c r="Y5269" t="s">
        <v>24834</v>
      </c>
      <c r="Z5269" t="s">
        <v>31400</v>
      </c>
      <c r="AA5269">
        <v>0.47650348707373319</v>
      </c>
      <c r="AB5269" t="str">
        <f>HYPERLINK("Melting_Curves/meltCurve_Q9BR76_CORO1B.pdf", "Melting_Curves/meltCurve_Q9BR76_CORO1B.pdf")</f>
        <v>Melting_Curves/meltCurve_Q9BR76_CORO1B.pdf</v>
      </c>
    </row>
    <row r="5270" spans="1:28" x14ac:dyDescent="0.25">
      <c r="A5270" t="s">
        <v>5273</v>
      </c>
      <c r="B5270">
        <v>0.99930955844802105</v>
      </c>
      <c r="C5270">
        <v>1.0566348730221</v>
      </c>
      <c r="D5270">
        <v>1.12037612057082</v>
      </c>
      <c r="E5270">
        <v>1.05868945328268</v>
      </c>
      <c r="F5270">
        <v>0.91206863968825103</v>
      </c>
      <c r="G5270">
        <v>0.81057031560262205</v>
      </c>
      <c r="H5270">
        <v>0.63231098755870097</v>
      </c>
      <c r="I5270">
        <v>0.41904870361726798</v>
      </c>
      <c r="J5270">
        <v>0.23009300490991899</v>
      </c>
      <c r="K5270">
        <v>0.15460790041278499</v>
      </c>
      <c r="L5270">
        <v>1040.1740551051801</v>
      </c>
      <c r="M5270">
        <v>16.610378103673</v>
      </c>
      <c r="N5270">
        <v>62.621937616965901</v>
      </c>
      <c r="O5270">
        <v>61.735403391610802</v>
      </c>
      <c r="P5270">
        <v>-6.7268948438153203E-2</v>
      </c>
      <c r="Q5270">
        <v>0</v>
      </c>
      <c r="R5270">
        <v>0.97654541974028197</v>
      </c>
      <c r="S5270" t="s">
        <v>11886</v>
      </c>
      <c r="T5270" t="s">
        <v>13232</v>
      </c>
      <c r="U5270" t="s">
        <v>13232</v>
      </c>
      <c r="V5270" t="s">
        <v>13232</v>
      </c>
      <c r="W5270" t="s">
        <v>18435</v>
      </c>
      <c r="X5270">
        <v>9</v>
      </c>
      <c r="Y5270" t="s">
        <v>24835</v>
      </c>
      <c r="Z5270" t="s">
        <v>31401</v>
      </c>
      <c r="AA5270">
        <v>0.75068022397657908</v>
      </c>
      <c r="AB5270" t="str">
        <f>HYPERLINK("Melting_Curves/meltCurve_Q9BRA2_TXNDC17.pdf", "Melting_Curves/meltCurve_Q9BRA2_TXNDC17.pdf")</f>
        <v>Melting_Curves/meltCurve_Q9BRA2_TXNDC17.pdf</v>
      </c>
    </row>
    <row r="5271" spans="1:28" x14ac:dyDescent="0.25">
      <c r="A5271" t="s">
        <v>5274</v>
      </c>
      <c r="B5271">
        <v>0.99930955844802105</v>
      </c>
      <c r="C5271">
        <v>1.04227226755087</v>
      </c>
      <c r="D5271">
        <v>0.99373637794082603</v>
      </c>
      <c r="E5271">
        <v>0.91955585104356197</v>
      </c>
      <c r="F5271">
        <v>0.75768031318904805</v>
      </c>
      <c r="G5271">
        <v>0.67183681045502897</v>
      </c>
      <c r="H5271">
        <v>0.63547788874567401</v>
      </c>
      <c r="I5271">
        <v>0.70148734226937604</v>
      </c>
      <c r="J5271">
        <v>0.69547633138687703</v>
      </c>
      <c r="K5271">
        <v>0.55590206281569099</v>
      </c>
      <c r="L5271">
        <v>1707.5232659365599</v>
      </c>
      <c r="M5271">
        <v>32.962996081130598</v>
      </c>
      <c r="O5271">
        <v>51.611663043012598</v>
      </c>
      <c r="P5271">
        <v>-5.6264946496145302E-2</v>
      </c>
      <c r="Q5271">
        <v>0.64761511859065002</v>
      </c>
      <c r="R5271">
        <v>0.94329483250124402</v>
      </c>
      <c r="S5271" t="s">
        <v>11887</v>
      </c>
      <c r="T5271" t="s">
        <v>13232</v>
      </c>
      <c r="U5271" t="s">
        <v>13232</v>
      </c>
      <c r="V5271" t="s">
        <v>13232</v>
      </c>
      <c r="W5271" t="s">
        <v>18436</v>
      </c>
      <c r="X5271">
        <v>10</v>
      </c>
      <c r="Y5271" t="s">
        <v>24836</v>
      </c>
      <c r="Z5271" t="s">
        <v>31402</v>
      </c>
      <c r="AA5271">
        <v>0.78809419089364807</v>
      </c>
      <c r="AB5271" t="str">
        <f>HYPERLINK("Melting_Curves/meltCurve_Q9BRD0_BUD13.pdf", "Melting_Curves/meltCurve_Q9BRD0_BUD13.pdf")</f>
        <v>Melting_Curves/meltCurve_Q9BRD0_BUD13.pdf</v>
      </c>
    </row>
    <row r="5272" spans="1:28" x14ac:dyDescent="0.25">
      <c r="A5272" t="s">
        <v>5275</v>
      </c>
      <c r="B5272">
        <v>0.99930955844802105</v>
      </c>
      <c r="C5272">
        <v>1.0041594824598901</v>
      </c>
      <c r="D5272">
        <v>1.0053038488991499</v>
      </c>
      <c r="E5272">
        <v>0.94878678013678897</v>
      </c>
      <c r="F5272">
        <v>0.82881159337397203</v>
      </c>
      <c r="G5272">
        <v>0.64973712098727598</v>
      </c>
      <c r="H5272">
        <v>0.59553679832017803</v>
      </c>
      <c r="I5272">
        <v>0.56564754784467697</v>
      </c>
      <c r="J5272">
        <v>0.51555010322748096</v>
      </c>
      <c r="K5272">
        <v>0.38164709706352701</v>
      </c>
      <c r="L5272">
        <v>725.87439036855005</v>
      </c>
      <c r="M5272">
        <v>12.679894533306401</v>
      </c>
      <c r="N5272">
        <v>65.091972494444704</v>
      </c>
      <c r="O5272">
        <v>55.878249182337399</v>
      </c>
      <c r="P5272">
        <v>-3.45237470822689E-2</v>
      </c>
      <c r="Q5272">
        <v>0.39155610631430499</v>
      </c>
      <c r="R5272">
        <v>0.97264523159675498</v>
      </c>
      <c r="S5272" t="s">
        <v>11888</v>
      </c>
      <c r="T5272" t="s">
        <v>13232</v>
      </c>
      <c r="U5272" t="s">
        <v>13232</v>
      </c>
      <c r="V5272" t="s">
        <v>13232</v>
      </c>
      <c r="W5272" t="s">
        <v>18437</v>
      </c>
      <c r="X5272">
        <v>13</v>
      </c>
      <c r="Y5272" t="s">
        <v>24837</v>
      </c>
      <c r="Z5272" t="s">
        <v>31403</v>
      </c>
      <c r="AA5272">
        <v>0.75103399510223479</v>
      </c>
      <c r="AB5272" t="str">
        <f>HYPERLINK("Melting_Curves/meltCurve_Q9BRF8_CPPED1.pdf", "Melting_Curves/meltCurve_Q9BRF8_CPPED1.pdf")</f>
        <v>Melting_Curves/meltCurve_Q9BRF8_CPPED1.pdf</v>
      </c>
    </row>
    <row r="5273" spans="1:28" x14ac:dyDescent="0.25">
      <c r="A5273" t="s">
        <v>5276</v>
      </c>
      <c r="B5273">
        <v>0.99930955844802105</v>
      </c>
      <c r="C5273">
        <v>1.1134470950022599</v>
      </c>
      <c r="D5273">
        <v>1.02427642509205</v>
      </c>
      <c r="E5273">
        <v>0.92936658472637501</v>
      </c>
      <c r="F5273">
        <v>0.59104036014722405</v>
      </c>
      <c r="G5273">
        <v>0.19991639085926699</v>
      </c>
      <c r="H5273">
        <v>0.10574203004114099</v>
      </c>
      <c r="I5273">
        <v>7.7959577615538594E-2</v>
      </c>
      <c r="J5273">
        <v>6.68561946727355E-2</v>
      </c>
      <c r="K5273">
        <v>5.22625622508864E-2</v>
      </c>
      <c r="L5273">
        <v>1700.9631445314801</v>
      </c>
      <c r="M5273">
        <v>31.788291409475299</v>
      </c>
      <c r="N5273">
        <v>53.768250022603198</v>
      </c>
      <c r="O5273">
        <v>53.298682666561298</v>
      </c>
      <c r="P5273">
        <v>-0.138515163696836</v>
      </c>
      <c r="Q5273">
        <v>7.1024306425587103E-2</v>
      </c>
      <c r="R5273">
        <v>0.99197869039573305</v>
      </c>
      <c r="S5273" t="s">
        <v>11889</v>
      </c>
      <c r="T5273" t="s">
        <v>13232</v>
      </c>
      <c r="U5273" t="s">
        <v>13232</v>
      </c>
      <c r="V5273" t="s">
        <v>13232</v>
      </c>
      <c r="W5273" t="s">
        <v>18438</v>
      </c>
      <c r="X5273">
        <v>9</v>
      </c>
      <c r="Y5273" t="s">
        <v>24838</v>
      </c>
      <c r="Z5273" t="s">
        <v>31404</v>
      </c>
      <c r="AA5273">
        <v>0.49476217024152602</v>
      </c>
      <c r="AB5273" t="str">
        <f>HYPERLINK("Melting_Curves/meltCurve_Q9BRG1_VPS25.pdf", "Melting_Curves/meltCurve_Q9BRG1_VPS25.pdf")</f>
        <v>Melting_Curves/meltCurve_Q9BRG1_VPS25.pdf</v>
      </c>
    </row>
    <row r="5274" spans="1:28" x14ac:dyDescent="0.25">
      <c r="A5274" t="s">
        <v>5277</v>
      </c>
      <c r="B5274">
        <v>0.99930955844802105</v>
      </c>
      <c r="C5274">
        <v>0.987543103558429</v>
      </c>
      <c r="D5274">
        <v>0.913923869233914</v>
      </c>
      <c r="E5274">
        <v>0.88185329112566102</v>
      </c>
      <c r="F5274">
        <v>0.68880843173876805</v>
      </c>
      <c r="G5274">
        <v>0.60430107368067398</v>
      </c>
      <c r="H5274">
        <v>0.56573384772006796</v>
      </c>
      <c r="I5274">
        <v>0.633327399826353</v>
      </c>
      <c r="J5274">
        <v>0.58762639992743404</v>
      </c>
      <c r="K5274">
        <v>0.49950611415923801</v>
      </c>
      <c r="L5274">
        <v>991.00868774523497</v>
      </c>
      <c r="M5274">
        <v>19.289197352942999</v>
      </c>
      <c r="O5274">
        <v>50.833726895342899</v>
      </c>
      <c r="P5274">
        <v>-4.1894798883062002E-2</v>
      </c>
      <c r="Q5274">
        <v>0.558387257234637</v>
      </c>
      <c r="R5274">
        <v>0.95760018839926497</v>
      </c>
      <c r="S5274" t="s">
        <v>11890</v>
      </c>
      <c r="T5274" t="s">
        <v>13232</v>
      </c>
      <c r="U5274" t="s">
        <v>13232</v>
      </c>
      <c r="V5274" t="s">
        <v>13232</v>
      </c>
      <c r="W5274" t="s">
        <v>18439</v>
      </c>
      <c r="X5274">
        <v>11</v>
      </c>
      <c r="Y5274" t="s">
        <v>24839</v>
      </c>
      <c r="Z5274" t="s">
        <v>31405</v>
      </c>
      <c r="AA5274">
        <v>0.73239573081073628</v>
      </c>
      <c r="AB5274" t="str">
        <f>HYPERLINK("Melting_Curves/meltCurve_Q9BRK5_SDF4.pdf", "Melting_Curves/meltCurve_Q9BRK5_SDF4.pdf")</f>
        <v>Melting_Curves/meltCurve_Q9BRK5_SDF4.pdf</v>
      </c>
    </row>
    <row r="5275" spans="1:28" x14ac:dyDescent="0.25">
      <c r="A5275" t="s">
        <v>5278</v>
      </c>
      <c r="B5275">
        <v>0.99930955844802105</v>
      </c>
      <c r="C5275">
        <v>0.996169552414507</v>
      </c>
      <c r="D5275">
        <v>0.98316096561446997</v>
      </c>
      <c r="E5275">
        <v>0.73532785263659295</v>
      </c>
      <c r="F5275">
        <v>0.28464949456084299</v>
      </c>
      <c r="G5275">
        <v>0.18934521794475601</v>
      </c>
      <c r="H5275">
        <v>0.11088219209038799</v>
      </c>
      <c r="I5275">
        <v>0.10213041933844499</v>
      </c>
      <c r="J5275">
        <v>9.3785458384982506E-2</v>
      </c>
      <c r="K5275">
        <v>7.0543816675906798E-2</v>
      </c>
      <c r="L5275">
        <v>1838.8932549087899</v>
      </c>
      <c r="M5275">
        <v>35.955394349738</v>
      </c>
      <c r="N5275">
        <v>51.483350281538797</v>
      </c>
      <c r="O5275">
        <v>50.9863109754451</v>
      </c>
      <c r="P5275">
        <v>-0.15768651520318699</v>
      </c>
      <c r="Q5275">
        <v>0.10557761039220501</v>
      </c>
      <c r="R5275">
        <v>0.99637697387739199</v>
      </c>
      <c r="S5275" t="s">
        <v>11891</v>
      </c>
      <c r="T5275" t="s">
        <v>13232</v>
      </c>
      <c r="U5275" t="s">
        <v>13232</v>
      </c>
      <c r="V5275" t="s">
        <v>13232</v>
      </c>
      <c r="W5275" t="s">
        <v>18440</v>
      </c>
      <c r="X5275">
        <v>8</v>
      </c>
      <c r="Y5275" t="s">
        <v>24840</v>
      </c>
      <c r="Z5275" t="s">
        <v>31406</v>
      </c>
      <c r="AA5275">
        <v>0.44173644766799391</v>
      </c>
      <c r="AB5275" t="str">
        <f>HYPERLINK("Melting_Curves/meltCurve_Q9BRP1_PDCD2L.pdf", "Melting_Curves/meltCurve_Q9BRP1_PDCD2L.pdf")</f>
        <v>Melting_Curves/meltCurve_Q9BRP1_PDCD2L.pdf</v>
      </c>
    </row>
    <row r="5276" spans="1:28" x14ac:dyDescent="0.25">
      <c r="A5276" t="s">
        <v>5279</v>
      </c>
      <c r="B5276">
        <v>0.99930955844802105</v>
      </c>
      <c r="C5276">
        <v>0.582854689937232</v>
      </c>
      <c r="D5276">
        <v>0.67128237878539698</v>
      </c>
      <c r="E5276">
        <v>0.85329751735758597</v>
      </c>
      <c r="F5276">
        <v>0.56081344926597299</v>
      </c>
      <c r="G5276">
        <v>0.45861429615402499</v>
      </c>
      <c r="H5276">
        <v>0.25238328012726002</v>
      </c>
      <c r="I5276">
        <v>9.3735367537459396E-2</v>
      </c>
      <c r="J5276">
        <v>5.2426021106784099E-2</v>
      </c>
      <c r="K5276">
        <v>4.47292846763633E-2</v>
      </c>
      <c r="L5276">
        <v>443.06995774933898</v>
      </c>
      <c r="M5276">
        <v>8.3221677835485206</v>
      </c>
      <c r="N5276">
        <v>53.239728491589403</v>
      </c>
      <c r="O5276">
        <v>50.431512308322198</v>
      </c>
      <c r="P5276">
        <v>-4.1295049725510798E-2</v>
      </c>
      <c r="Q5276">
        <v>0</v>
      </c>
      <c r="R5276">
        <v>0.81265184060634399</v>
      </c>
      <c r="S5276" t="s">
        <v>11892</v>
      </c>
      <c r="T5276" t="s">
        <v>13232</v>
      </c>
      <c r="U5276" t="s">
        <v>13232</v>
      </c>
      <c r="V5276" t="s">
        <v>13232</v>
      </c>
      <c r="W5276" t="s">
        <v>18441</v>
      </c>
      <c r="X5276">
        <v>14</v>
      </c>
      <c r="Y5276" t="s">
        <v>24841</v>
      </c>
      <c r="Z5276" t="s">
        <v>31407</v>
      </c>
      <c r="AA5276">
        <v>0.47951439635304027</v>
      </c>
      <c r="AB5276" t="str">
        <f>HYPERLINK("Melting_Curves/meltCurve_Q9BRP4_PAAF1.pdf", "Melting_Curves/meltCurve_Q9BRP4_PAAF1.pdf")</f>
        <v>Melting_Curves/meltCurve_Q9BRP4_PAAF1.pdf</v>
      </c>
    </row>
    <row r="5277" spans="1:28" x14ac:dyDescent="0.25">
      <c r="A5277" t="s">
        <v>5280</v>
      </c>
      <c r="B5277">
        <v>0.99930955844802105</v>
      </c>
      <c r="C5277">
        <v>1.07006985450202</v>
      </c>
      <c r="D5277">
        <v>1.1187250965246001</v>
      </c>
      <c r="E5277">
        <v>1.0805240780988301</v>
      </c>
      <c r="F5277">
        <v>1.0036486141362999</v>
      </c>
      <c r="G5277">
        <v>1.0059777440750599</v>
      </c>
      <c r="H5277">
        <v>1.0272733087335699</v>
      </c>
      <c r="I5277">
        <v>1.15014749922643</v>
      </c>
      <c r="J5277">
        <v>1.13826028990262</v>
      </c>
      <c r="K5277">
        <v>0.93613457051441895</v>
      </c>
      <c r="L5277">
        <v>10294.803390329</v>
      </c>
      <c r="M5277">
        <v>250</v>
      </c>
      <c r="O5277">
        <v>41.176578388529599</v>
      </c>
      <c r="P5277">
        <v>8.9513318333580505E-2</v>
      </c>
      <c r="Q5277">
        <v>1.0589736346037499</v>
      </c>
      <c r="R5277">
        <v>7.2925633270508605E-2</v>
      </c>
      <c r="S5277" t="s">
        <v>11893</v>
      </c>
      <c r="T5277" t="s">
        <v>13232</v>
      </c>
      <c r="U5277" t="s">
        <v>13232</v>
      </c>
      <c r="V5277" t="s">
        <v>13232</v>
      </c>
      <c r="W5277" t="s">
        <v>18442</v>
      </c>
      <c r="X5277">
        <v>10</v>
      </c>
      <c r="Y5277" t="s">
        <v>24842</v>
      </c>
      <c r="Z5277" t="s">
        <v>31408</v>
      </c>
      <c r="AA5277">
        <v>1.0566510981070469</v>
      </c>
      <c r="AB5277" t="str">
        <f>HYPERLINK("Melting_Curves/meltCurve_Q9BRP8_2_WIBG.pdf", "Melting_Curves/meltCurve_Q9BRP8_2_WIBG.pdf")</f>
        <v>Melting_Curves/meltCurve_Q9BRP8_2_WIBG.pdf</v>
      </c>
    </row>
    <row r="5278" spans="1:28" x14ac:dyDescent="0.25">
      <c r="A5278" t="s">
        <v>5281</v>
      </c>
      <c r="B5278">
        <v>0.99930955844802105</v>
      </c>
      <c r="C5278">
        <v>0.90585474067849703</v>
      </c>
      <c r="D5278">
        <v>0.901982696369512</v>
      </c>
      <c r="E5278">
        <v>0.89299604979309999</v>
      </c>
      <c r="F5278">
        <v>0.68596835008549095</v>
      </c>
      <c r="G5278">
        <v>0.49660592711424301</v>
      </c>
      <c r="H5278">
        <v>0.46254685226570602</v>
      </c>
      <c r="I5278">
        <v>0.44184605486825701</v>
      </c>
      <c r="J5278">
        <v>0.48055118002145097</v>
      </c>
      <c r="K5278">
        <v>0.38258906395988102</v>
      </c>
      <c r="L5278">
        <v>964.14954155631403</v>
      </c>
      <c r="M5278">
        <v>18.310471075496402</v>
      </c>
      <c r="N5278">
        <v>58.317905718110602</v>
      </c>
      <c r="O5278">
        <v>52.039639126269797</v>
      </c>
      <c r="P5278">
        <v>-5.1417629329830801E-2</v>
      </c>
      <c r="Q5278">
        <v>0.415496968557447</v>
      </c>
      <c r="R5278">
        <v>0.96221715071152203</v>
      </c>
      <c r="S5278" t="s">
        <v>11894</v>
      </c>
      <c r="T5278" t="s">
        <v>13232</v>
      </c>
      <c r="U5278" t="s">
        <v>13232</v>
      </c>
      <c r="V5278" t="s">
        <v>13232</v>
      </c>
      <c r="W5278" t="s">
        <v>18443</v>
      </c>
      <c r="X5278">
        <v>8</v>
      </c>
      <c r="Y5278" t="s">
        <v>24843</v>
      </c>
      <c r="Z5278" t="s">
        <v>31409</v>
      </c>
      <c r="AA5278">
        <v>0.67143485967563132</v>
      </c>
      <c r="AB5278" t="str">
        <f>HYPERLINK("Melting_Curves/meltCurve_Q9BRR0_ZKSCAN3.pdf", "Melting_Curves/meltCurve_Q9BRR0_ZKSCAN3.pdf")</f>
        <v>Melting_Curves/meltCurve_Q9BRR0_ZKSCAN3.pdf</v>
      </c>
    </row>
    <row r="5279" spans="1:28" x14ac:dyDescent="0.25">
      <c r="A5279" t="s">
        <v>5282</v>
      </c>
      <c r="B5279">
        <v>0.99930955844802105</v>
      </c>
      <c r="C5279">
        <v>0.84426664490822501</v>
      </c>
      <c r="D5279">
        <v>0.81241922334749905</v>
      </c>
      <c r="E5279">
        <v>0.77777443257214995</v>
      </c>
      <c r="F5279">
        <v>0.559838023711965</v>
      </c>
      <c r="G5279">
        <v>0.33430142626329901</v>
      </c>
      <c r="H5279">
        <v>0.163835041030019</v>
      </c>
      <c r="I5279">
        <v>0.113950130112266</v>
      </c>
      <c r="J5279">
        <v>4.23491621841268E-2</v>
      </c>
      <c r="K5279">
        <v>7.4150194945454204E-2</v>
      </c>
      <c r="L5279">
        <v>642.53384328934806</v>
      </c>
      <c r="M5279">
        <v>11.967732607049401</v>
      </c>
      <c r="N5279">
        <v>53.6888529409689</v>
      </c>
      <c r="O5279">
        <v>52.255695776968601</v>
      </c>
      <c r="P5279">
        <v>-5.7269584324392803E-2</v>
      </c>
      <c r="Q5279">
        <v>0</v>
      </c>
      <c r="R5279">
        <v>0.97931995283254203</v>
      </c>
      <c r="S5279" t="s">
        <v>11895</v>
      </c>
      <c r="T5279" t="s">
        <v>13232</v>
      </c>
      <c r="U5279" t="s">
        <v>13232</v>
      </c>
      <c r="V5279" t="s">
        <v>13232</v>
      </c>
      <c r="W5279" t="s">
        <v>18444</v>
      </c>
      <c r="X5279">
        <v>2</v>
      </c>
      <c r="Y5279" t="s">
        <v>24844</v>
      </c>
      <c r="Z5279" t="s">
        <v>31410</v>
      </c>
      <c r="AA5279">
        <v>0.48324563782812441</v>
      </c>
      <c r="AB5279" t="str">
        <f>HYPERLINK("Melting_Curves/meltCurve_Q9BRR6_2_ADPGK.pdf", "Melting_Curves/meltCurve_Q9BRR6_2_ADPGK.pdf")</f>
        <v>Melting_Curves/meltCurve_Q9BRR6_2_ADPGK.pdf</v>
      </c>
    </row>
    <row r="5280" spans="1:28" x14ac:dyDescent="0.25">
      <c r="A5280" t="s">
        <v>5283</v>
      </c>
      <c r="B5280">
        <v>0.99930955844802105</v>
      </c>
      <c r="C5280">
        <v>0.90806990453427405</v>
      </c>
      <c r="D5280">
        <v>0.81590834194740003</v>
      </c>
      <c r="E5280">
        <v>0.75465294261059701</v>
      </c>
      <c r="F5280">
        <v>0.51974994301842203</v>
      </c>
      <c r="G5280">
        <v>0.41017528402740999</v>
      </c>
      <c r="H5280">
        <v>0.38296683279977001</v>
      </c>
      <c r="I5280">
        <v>0.36527823126762499</v>
      </c>
      <c r="J5280">
        <v>0.36143004517537602</v>
      </c>
      <c r="K5280">
        <v>0.30836673019688299</v>
      </c>
      <c r="L5280">
        <v>644.95999530705797</v>
      </c>
      <c r="M5280">
        <v>12.7478889348835</v>
      </c>
      <c r="N5280">
        <v>54.684335203032099</v>
      </c>
      <c r="O5280">
        <v>49.396951996577798</v>
      </c>
      <c r="P5280">
        <v>-4.4697630943893403E-2</v>
      </c>
      <c r="Q5280">
        <v>0.30733445476718102</v>
      </c>
      <c r="R5280">
        <v>0.98133129473140401</v>
      </c>
      <c r="S5280" t="s">
        <v>11896</v>
      </c>
      <c r="T5280" t="s">
        <v>13232</v>
      </c>
      <c r="U5280" t="s">
        <v>13232</v>
      </c>
      <c r="V5280" t="s">
        <v>13232</v>
      </c>
      <c r="W5280" t="s">
        <v>18445</v>
      </c>
      <c r="X5280">
        <v>4</v>
      </c>
      <c r="Y5280" t="s">
        <v>24845</v>
      </c>
      <c r="Z5280" t="s">
        <v>31411</v>
      </c>
      <c r="AA5280">
        <v>0.57304733371018812</v>
      </c>
      <c r="AB5280" t="str">
        <f>HYPERLINK("Melting_Curves/meltCurve_Q9BRS2_RIOK1.pdf", "Melting_Curves/meltCurve_Q9BRS2_RIOK1.pdf")</f>
        <v>Melting_Curves/meltCurve_Q9BRS2_RIOK1.pdf</v>
      </c>
    </row>
    <row r="5281" spans="1:28" x14ac:dyDescent="0.25">
      <c r="A5281" t="s">
        <v>5284</v>
      </c>
      <c r="B5281">
        <v>0.99930955844802105</v>
      </c>
      <c r="C5281">
        <v>1.10848295240023</v>
      </c>
      <c r="D5281">
        <v>1.07445101517077</v>
      </c>
      <c r="E5281">
        <v>1.1027511210388199</v>
      </c>
      <c r="F5281">
        <v>0.91448100574277202</v>
      </c>
      <c r="G5281">
        <v>0.738668899880499</v>
      </c>
      <c r="H5281">
        <v>0.61073369864382299</v>
      </c>
      <c r="I5281">
        <v>0.51031901320331896</v>
      </c>
      <c r="J5281">
        <v>0.372135831924298</v>
      </c>
      <c r="K5281">
        <v>0.23927915521375701</v>
      </c>
      <c r="L5281">
        <v>865.75076352526003</v>
      </c>
      <c r="M5281">
        <v>13.9197264999266</v>
      </c>
      <c r="N5281">
        <v>63.372650406458199</v>
      </c>
      <c r="O5281">
        <v>60.954494033063199</v>
      </c>
      <c r="P5281">
        <v>-5.05960654394517E-2</v>
      </c>
      <c r="Q5281">
        <v>0.11387939923067</v>
      </c>
      <c r="R5281">
        <v>0.95302256356859505</v>
      </c>
      <c r="S5281" t="s">
        <v>11897</v>
      </c>
      <c r="T5281" t="s">
        <v>13232</v>
      </c>
      <c r="U5281" t="s">
        <v>13232</v>
      </c>
      <c r="V5281" t="s">
        <v>13232</v>
      </c>
      <c r="W5281" t="s">
        <v>18446</v>
      </c>
      <c r="X5281">
        <v>4</v>
      </c>
      <c r="Y5281" t="s">
        <v>24846</v>
      </c>
      <c r="Z5281" t="s">
        <v>31412</v>
      </c>
      <c r="AA5281">
        <v>0.76369391488409533</v>
      </c>
      <c r="AB5281" t="str">
        <f>HYPERLINK("Melting_Curves/meltCurve_Q9BRT3_MIEN1.pdf", "Melting_Curves/meltCurve_Q9BRT3_MIEN1.pdf")</f>
        <v>Melting_Curves/meltCurve_Q9BRT3_MIEN1.pdf</v>
      </c>
    </row>
    <row r="5282" spans="1:28" x14ac:dyDescent="0.25">
      <c r="A5282" t="s">
        <v>5285</v>
      </c>
      <c r="B5282">
        <v>0.99930955844802105</v>
      </c>
      <c r="C5282">
        <v>0.99521227904021803</v>
      </c>
      <c r="D5282">
        <v>0.976219468503849</v>
      </c>
      <c r="E5282">
        <v>0.78389401070823295</v>
      </c>
      <c r="F5282">
        <v>0.33526409146636499</v>
      </c>
      <c r="G5282">
        <v>0.207826101673346</v>
      </c>
      <c r="H5282">
        <v>0.120225541740168</v>
      </c>
      <c r="I5282">
        <v>0.101151863793127</v>
      </c>
      <c r="J5282">
        <v>8.9188616935942794E-2</v>
      </c>
      <c r="K5282">
        <v>7.2324921880366003E-2</v>
      </c>
      <c r="L5282">
        <v>1716.4494554360001</v>
      </c>
      <c r="M5282">
        <v>33.289799348703902</v>
      </c>
      <c r="N5282">
        <v>51.932031915611901</v>
      </c>
      <c r="O5282">
        <v>51.375829648548901</v>
      </c>
      <c r="P5282">
        <v>-0.144840338797979</v>
      </c>
      <c r="Q5282">
        <v>0.105880989351626</v>
      </c>
      <c r="R5282">
        <v>0.99543796155170405</v>
      </c>
      <c r="S5282" t="s">
        <v>11898</v>
      </c>
      <c r="T5282" t="s">
        <v>13232</v>
      </c>
      <c r="U5282" t="s">
        <v>13232</v>
      </c>
      <c r="V5282" t="s">
        <v>13232</v>
      </c>
      <c r="W5282" t="s">
        <v>18447</v>
      </c>
      <c r="X5282">
        <v>9</v>
      </c>
      <c r="Y5282" t="s">
        <v>24847</v>
      </c>
      <c r="Z5282" t="s">
        <v>31413</v>
      </c>
      <c r="AA5282">
        <v>0.45504719312805958</v>
      </c>
      <c r="AB5282" t="str">
        <f>HYPERLINK("Melting_Curves/meltCurve_Q9BRT9_GINS4.pdf", "Melting_Curves/meltCurve_Q9BRT9_GINS4.pdf")</f>
        <v>Melting_Curves/meltCurve_Q9BRT9_GINS4.pdf</v>
      </c>
    </row>
    <row r="5283" spans="1:28" x14ac:dyDescent="0.25">
      <c r="A5283" t="s">
        <v>5286</v>
      </c>
      <c r="B5283">
        <v>0.99930955844802105</v>
      </c>
      <c r="C5283">
        <v>0.96816918382724604</v>
      </c>
      <c r="D5283">
        <v>0.95277901018316202</v>
      </c>
      <c r="E5283">
        <v>0.88582027574025102</v>
      </c>
      <c r="F5283">
        <v>0.743015610490395</v>
      </c>
      <c r="G5283">
        <v>0.62889825010024802</v>
      </c>
      <c r="H5283">
        <v>0.54395401103696595</v>
      </c>
      <c r="I5283">
        <v>0.55702663861883195</v>
      </c>
      <c r="J5283">
        <v>0.52579389784383201</v>
      </c>
      <c r="K5283">
        <v>0.45168880280315699</v>
      </c>
      <c r="L5283">
        <v>751.99823423638304</v>
      </c>
      <c r="M5283">
        <v>14.0017856498841</v>
      </c>
      <c r="N5283">
        <v>67.563174270383001</v>
      </c>
      <c r="O5283">
        <v>52.647362867637298</v>
      </c>
      <c r="P5283">
        <v>-3.5131022568907502E-2</v>
      </c>
      <c r="Q5283">
        <v>0.47169258857461799</v>
      </c>
      <c r="R5283">
        <v>0.98826533527324301</v>
      </c>
      <c r="S5283" t="s">
        <v>11899</v>
      </c>
      <c r="T5283" t="s">
        <v>13232</v>
      </c>
      <c r="U5283" t="s">
        <v>13232</v>
      </c>
      <c r="V5283" t="s">
        <v>13232</v>
      </c>
      <c r="W5283" t="s">
        <v>18448</v>
      </c>
      <c r="X5283">
        <v>7</v>
      </c>
      <c r="Y5283" t="s">
        <v>24848</v>
      </c>
      <c r="Z5283" t="s">
        <v>31414</v>
      </c>
      <c r="AA5283">
        <v>0.72506808710218695</v>
      </c>
      <c r="AB5283" t="str">
        <f>HYPERLINK("Melting_Curves/meltCurve_Q9BRV8_SIKE1.pdf", "Melting_Curves/meltCurve_Q9BRV8_SIKE1.pdf")</f>
        <v>Melting_Curves/meltCurve_Q9BRV8_SIKE1.pdf</v>
      </c>
    </row>
    <row r="5284" spans="1:28" x14ac:dyDescent="0.25">
      <c r="A5284" t="s">
        <v>5287</v>
      </c>
      <c r="B5284">
        <v>0.99930955844802105</v>
      </c>
      <c r="C5284">
        <v>0.70143942083278599</v>
      </c>
      <c r="D5284">
        <v>0.29490790363753699</v>
      </c>
      <c r="E5284">
        <v>0.22041271879049401</v>
      </c>
      <c r="F5284">
        <v>0.15112343191594901</v>
      </c>
      <c r="G5284">
        <v>0.102371825282323</v>
      </c>
      <c r="H5284">
        <v>5.9730483496449202E-2</v>
      </c>
      <c r="I5284">
        <v>5.3173983530114897E-2</v>
      </c>
      <c r="J5284">
        <v>4.7995528632245599E-2</v>
      </c>
      <c r="K5284">
        <v>3.9819729249926002E-2</v>
      </c>
      <c r="L5284">
        <v>1107.2102357070901</v>
      </c>
      <c r="M5284">
        <v>25.046312595981998</v>
      </c>
      <c r="N5284">
        <v>44.526294287854903</v>
      </c>
      <c r="O5284">
        <v>43.927599660384203</v>
      </c>
      <c r="P5284">
        <v>-0.130810978331277</v>
      </c>
      <c r="Q5284">
        <v>8.2318314668190298E-2</v>
      </c>
      <c r="R5284">
        <v>0.97797254537730405</v>
      </c>
      <c r="S5284" t="s">
        <v>11900</v>
      </c>
      <c r="T5284" t="s">
        <v>13232</v>
      </c>
      <c r="U5284" t="s">
        <v>13232</v>
      </c>
      <c r="V5284" t="s">
        <v>13232</v>
      </c>
      <c r="W5284" t="s">
        <v>18449</v>
      </c>
      <c r="X5284">
        <v>12</v>
      </c>
      <c r="Y5284" t="s">
        <v>24849</v>
      </c>
      <c r="Z5284" t="s">
        <v>31415</v>
      </c>
      <c r="AA5284">
        <v>0.22109529296584141</v>
      </c>
      <c r="AB5284" t="str">
        <f>HYPERLINK("Melting_Curves/meltCurve_Q9BRX2_PELO.pdf", "Melting_Curves/meltCurve_Q9BRX2_PELO.pdf")</f>
        <v>Melting_Curves/meltCurve_Q9BRX2_PELO.pdf</v>
      </c>
    </row>
    <row r="5285" spans="1:28" x14ac:dyDescent="0.25">
      <c r="A5285" t="s">
        <v>5288</v>
      </c>
      <c r="B5285">
        <v>0.99930955844802105</v>
      </c>
      <c r="C5285">
        <v>1.04085263313571</v>
      </c>
      <c r="D5285">
        <v>0.52011328113050903</v>
      </c>
      <c r="E5285">
        <v>0.74239296198333604</v>
      </c>
      <c r="F5285">
        <v>0.25323804034189101</v>
      </c>
      <c r="G5285">
        <v>0.14562027311655601</v>
      </c>
      <c r="H5285">
        <v>7.5515566329869402E-2</v>
      </c>
      <c r="I5285">
        <v>5.0185429826402402E-2</v>
      </c>
      <c r="J5285">
        <v>4.33324806362217E-2</v>
      </c>
      <c r="K5285">
        <v>4.2923565855109799E-2</v>
      </c>
      <c r="L5285">
        <v>661.22982900712202</v>
      </c>
      <c r="M5285">
        <v>13.1496912305763</v>
      </c>
      <c r="N5285">
        <v>50.284817462671803</v>
      </c>
      <c r="O5285">
        <v>49.164511634747697</v>
      </c>
      <c r="P5285">
        <v>-6.6877035555020406E-2</v>
      </c>
      <c r="Q5285">
        <v>0</v>
      </c>
      <c r="R5285">
        <v>0.90344173507122605</v>
      </c>
      <c r="S5285" t="s">
        <v>11901</v>
      </c>
      <c r="T5285" t="s">
        <v>13232</v>
      </c>
      <c r="U5285" t="s">
        <v>13232</v>
      </c>
      <c r="V5285" t="s">
        <v>13232</v>
      </c>
      <c r="W5285" t="s">
        <v>18450</v>
      </c>
      <c r="X5285">
        <v>10</v>
      </c>
      <c r="Y5285" t="s">
        <v>24850</v>
      </c>
      <c r="Z5285" t="s">
        <v>31416</v>
      </c>
      <c r="AA5285">
        <v>0.37230609969695821</v>
      </c>
      <c r="AB5285" t="str">
        <f>HYPERLINK("Melting_Curves/meltCurve_Q9BRX5_GINS3.pdf", "Melting_Curves/meltCurve_Q9BRX5_GINS3.pdf")</f>
        <v>Melting_Curves/meltCurve_Q9BRX5_GINS3.pdf</v>
      </c>
    </row>
    <row r="5286" spans="1:28" x14ac:dyDescent="0.25">
      <c r="A5286" t="s">
        <v>5289</v>
      </c>
      <c r="B5286">
        <v>0.99930955844802105</v>
      </c>
      <c r="C5286">
        <v>0.99340046187791697</v>
      </c>
      <c r="D5286">
        <v>0.97108550202761701</v>
      </c>
      <c r="E5286">
        <v>0.89631797133170998</v>
      </c>
      <c r="F5286">
        <v>0.80679797751993998</v>
      </c>
      <c r="G5286">
        <v>0.59321007725983199</v>
      </c>
      <c r="H5286">
        <v>0.42204890858327598</v>
      </c>
      <c r="I5286">
        <v>0.225991852728682</v>
      </c>
      <c r="J5286">
        <v>5.9283166333583798E-2</v>
      </c>
      <c r="K5286">
        <v>3.8190454513781003E-2</v>
      </c>
      <c r="L5286">
        <v>875.99395698530304</v>
      </c>
      <c r="M5286">
        <v>14.969579615169801</v>
      </c>
      <c r="N5286">
        <v>58.518273982479698</v>
      </c>
      <c r="O5286">
        <v>57.503765318849197</v>
      </c>
      <c r="P5286">
        <v>-6.5087495289696498E-2</v>
      </c>
      <c r="Q5286">
        <v>0</v>
      </c>
      <c r="R5286">
        <v>0.99027671252716198</v>
      </c>
      <c r="S5286" t="s">
        <v>11902</v>
      </c>
      <c r="T5286" t="s">
        <v>13232</v>
      </c>
      <c r="U5286" t="s">
        <v>13232</v>
      </c>
      <c r="V5286" t="s">
        <v>13232</v>
      </c>
      <c r="W5286" t="s">
        <v>18451</v>
      </c>
      <c r="X5286">
        <v>4</v>
      </c>
      <c r="Y5286" t="s">
        <v>24851</v>
      </c>
      <c r="Z5286" t="s">
        <v>31417</v>
      </c>
      <c r="AA5286">
        <v>0.62925278698490072</v>
      </c>
      <c r="AB5286" t="str">
        <f>HYPERLINK("Melting_Curves/meltCurve_Q9BRX9_WDR83.pdf", "Melting_Curves/meltCurve_Q9BRX9_WDR83.pdf")</f>
        <v>Melting_Curves/meltCurve_Q9BRX9_WDR83.pdf</v>
      </c>
    </row>
    <row r="5287" spans="1:28" x14ac:dyDescent="0.25">
      <c r="A5287" t="s">
        <v>5290</v>
      </c>
      <c r="B5287">
        <v>0.99930955844802105</v>
      </c>
      <c r="C5287">
        <v>0.78752127807931804</v>
      </c>
      <c r="D5287">
        <v>0.64030588960827295</v>
      </c>
      <c r="E5287">
        <v>0.46507913612493401</v>
      </c>
      <c r="F5287">
        <v>0.344726377894846</v>
      </c>
      <c r="G5287">
        <v>0.251048200232666</v>
      </c>
      <c r="H5287">
        <v>0.14968751982949</v>
      </c>
      <c r="I5287">
        <v>0.12592258955671101</v>
      </c>
      <c r="J5287">
        <v>8.8758451831266197E-2</v>
      </c>
      <c r="K5287">
        <v>6.4308049610113105E-2</v>
      </c>
      <c r="L5287">
        <v>504.82482592805599</v>
      </c>
      <c r="M5287">
        <v>10.3202300005736</v>
      </c>
      <c r="N5287">
        <v>49.324104132023201</v>
      </c>
      <c r="O5287">
        <v>47.186235856713303</v>
      </c>
      <c r="P5287">
        <v>-5.2463460827297699E-2</v>
      </c>
      <c r="Q5287">
        <v>4.0918082416787897E-2</v>
      </c>
      <c r="R5287">
        <v>0.98858715480360604</v>
      </c>
      <c r="S5287" t="s">
        <v>11903</v>
      </c>
      <c r="T5287" t="s">
        <v>13232</v>
      </c>
      <c r="U5287" t="s">
        <v>13232</v>
      </c>
      <c r="V5287" t="s">
        <v>13232</v>
      </c>
      <c r="W5287" t="s">
        <v>18452</v>
      </c>
      <c r="X5287">
        <v>19</v>
      </c>
      <c r="Y5287" t="s">
        <v>24852</v>
      </c>
      <c r="Z5287" t="s">
        <v>31418</v>
      </c>
      <c r="AA5287">
        <v>0.37103656157715897</v>
      </c>
      <c r="AB5287" t="str">
        <f>HYPERLINK("Melting_Curves/meltCurve_Q9BRZ2_TRIM56.pdf", "Melting_Curves/meltCurve_Q9BRZ2_TRIM56.pdf")</f>
        <v>Melting_Curves/meltCurve_Q9BRZ2_TRIM56.pdf</v>
      </c>
    </row>
    <row r="5288" spans="1:28" x14ac:dyDescent="0.25">
      <c r="A5288" t="s">
        <v>5291</v>
      </c>
      <c r="B5288">
        <v>0.99930955844802105</v>
      </c>
      <c r="C5288">
        <v>0.82520291439125704</v>
      </c>
      <c r="D5288">
        <v>0.70583798093810701</v>
      </c>
      <c r="E5288">
        <v>0.53012717836914303</v>
      </c>
      <c r="F5288">
        <v>0.43243129450946199</v>
      </c>
      <c r="G5288">
        <v>0.34439354717482601</v>
      </c>
      <c r="H5288">
        <v>0.27078164976744801</v>
      </c>
      <c r="I5288">
        <v>0.14878258516223999</v>
      </c>
      <c r="J5288">
        <v>9.8027915180023004E-2</v>
      </c>
      <c r="K5288">
        <v>8.6014290195827695E-2</v>
      </c>
      <c r="L5288">
        <v>428.14678419604201</v>
      </c>
      <c r="M5288">
        <v>8.3149416201386206</v>
      </c>
      <c r="N5288">
        <v>51.491250587689699</v>
      </c>
      <c r="O5288">
        <v>48.770943335883402</v>
      </c>
      <c r="P5288">
        <v>-4.2664132079687597E-2</v>
      </c>
      <c r="Q5288">
        <v>0</v>
      </c>
      <c r="R5288">
        <v>0.98397898632383696</v>
      </c>
      <c r="S5288" t="s">
        <v>11904</v>
      </c>
      <c r="T5288" t="s">
        <v>13232</v>
      </c>
      <c r="U5288" t="s">
        <v>13232</v>
      </c>
      <c r="V5288" t="s">
        <v>13232</v>
      </c>
      <c r="W5288" t="s">
        <v>18453</v>
      </c>
      <c r="X5288">
        <v>1</v>
      </c>
      <c r="Y5288" t="s">
        <v>24853</v>
      </c>
      <c r="Z5288" t="s">
        <v>31419</v>
      </c>
      <c r="AA5288">
        <v>0.43153142838246861</v>
      </c>
      <c r="AB5288" t="str">
        <f>HYPERLINK("Melting_Curves/meltCurve_Q9BS18_ANAPC13.pdf", "Melting_Curves/meltCurve_Q9BS18_ANAPC13.pdf")</f>
        <v>Melting_Curves/meltCurve_Q9BS18_ANAPC13.pdf</v>
      </c>
    </row>
    <row r="5289" spans="1:28" x14ac:dyDescent="0.25">
      <c r="A5289" t="s">
        <v>5292</v>
      </c>
      <c r="B5289">
        <v>0.99930955844802105</v>
      </c>
      <c r="C5289">
        <v>1.0982573805124201</v>
      </c>
      <c r="D5289">
        <v>1.1023492529871499</v>
      </c>
      <c r="E5289">
        <v>0.99251640499847504</v>
      </c>
      <c r="F5289">
        <v>0.59836884307426297</v>
      </c>
      <c r="G5289">
        <v>0.24397456973412901</v>
      </c>
      <c r="H5289">
        <v>0.139846439903589</v>
      </c>
      <c r="I5289">
        <v>9.6068025748395694E-2</v>
      </c>
      <c r="J5289">
        <v>7.5617508951031101E-2</v>
      </c>
      <c r="K5289">
        <v>5.5923670501545397E-2</v>
      </c>
      <c r="L5289">
        <v>1781.97791341064</v>
      </c>
      <c r="M5289">
        <v>33.2012843384136</v>
      </c>
      <c r="N5289">
        <v>54.001583773455899</v>
      </c>
      <c r="O5289">
        <v>53.478368052326097</v>
      </c>
      <c r="P5289">
        <v>-0.14097328068440901</v>
      </c>
      <c r="Q5289">
        <v>9.1723309328013494E-2</v>
      </c>
      <c r="R5289">
        <v>0.98404181401220003</v>
      </c>
      <c r="S5289" t="s">
        <v>11905</v>
      </c>
      <c r="T5289" t="s">
        <v>13232</v>
      </c>
      <c r="U5289" t="s">
        <v>13232</v>
      </c>
      <c r="V5289" t="s">
        <v>13232</v>
      </c>
      <c r="W5289" t="s">
        <v>18454</v>
      </c>
      <c r="X5289">
        <v>17</v>
      </c>
      <c r="Y5289" t="s">
        <v>24854</v>
      </c>
      <c r="Z5289" t="s">
        <v>31420</v>
      </c>
      <c r="AA5289">
        <v>0.51052728971802375</v>
      </c>
      <c r="AB5289" t="str">
        <f>HYPERLINK("Melting_Curves/meltCurve_Q9BS26_ERP44.pdf", "Melting_Curves/meltCurve_Q9BS26_ERP44.pdf")</f>
        <v>Melting_Curves/meltCurve_Q9BS26_ERP44.pdf</v>
      </c>
    </row>
    <row r="5290" spans="1:28" x14ac:dyDescent="0.25">
      <c r="A5290" t="s">
        <v>5293</v>
      </c>
      <c r="B5290">
        <v>0.99930955844802105</v>
      </c>
      <c r="C5290">
        <v>1.0074632906027201</v>
      </c>
      <c r="D5290">
        <v>0.95205711547481298</v>
      </c>
      <c r="E5290">
        <v>0.87524513319865305</v>
      </c>
      <c r="F5290">
        <v>0.80981532189526395</v>
      </c>
      <c r="G5290">
        <v>0.57116782777121899</v>
      </c>
      <c r="H5290">
        <v>0.52122184358398604</v>
      </c>
      <c r="I5290">
        <v>0.45262333427004398</v>
      </c>
      <c r="J5290">
        <v>0.40384320814482999</v>
      </c>
      <c r="K5290">
        <v>0.19799682222053999</v>
      </c>
      <c r="L5290">
        <v>507.36240289065398</v>
      </c>
      <c r="M5290">
        <v>8.2620320722772895</v>
      </c>
      <c r="N5290">
        <v>61.408910262444302</v>
      </c>
      <c r="O5290">
        <v>58.126596720379403</v>
      </c>
      <c r="P5290">
        <v>-3.5570281927330097E-2</v>
      </c>
      <c r="Q5290">
        <v>0</v>
      </c>
      <c r="R5290">
        <v>0.97309805455591303</v>
      </c>
      <c r="S5290" t="s">
        <v>11906</v>
      </c>
      <c r="T5290" t="s">
        <v>13232</v>
      </c>
      <c r="U5290" t="s">
        <v>13232</v>
      </c>
      <c r="V5290" t="s">
        <v>13232</v>
      </c>
      <c r="W5290" t="s">
        <v>18455</v>
      </c>
      <c r="X5290">
        <v>7</v>
      </c>
      <c r="Y5290" t="s">
        <v>24855</v>
      </c>
      <c r="Z5290" t="s">
        <v>31421</v>
      </c>
      <c r="AA5290">
        <v>0.68587730405587954</v>
      </c>
      <c r="AB5290" t="str">
        <f>HYPERLINK("Melting_Curves/meltCurve_Q9BSB4_ATG101.pdf", "Melting_Curves/meltCurve_Q9BSB4_ATG101.pdf")</f>
        <v>Melting_Curves/meltCurve_Q9BSB4_ATG101.pdf</v>
      </c>
    </row>
    <row r="5291" spans="1:28" x14ac:dyDescent="0.25">
      <c r="A5291" t="s">
        <v>5294</v>
      </c>
      <c r="B5291">
        <v>0.99930955844802105</v>
      </c>
      <c r="C5291">
        <v>1.0904162246544999</v>
      </c>
      <c r="D5291">
        <v>1.06055991407381</v>
      </c>
      <c r="E5291">
        <v>0.99068074149443497</v>
      </c>
      <c r="F5291">
        <v>0.85468910936554199</v>
      </c>
      <c r="G5291">
        <v>0.77756902756478796</v>
      </c>
      <c r="H5291">
        <v>0.76874122034834802</v>
      </c>
      <c r="I5291">
        <v>0.81487742374555805</v>
      </c>
      <c r="J5291">
        <v>0.80353340638487303</v>
      </c>
      <c r="K5291">
        <v>0.65114000198275102</v>
      </c>
      <c r="L5291">
        <v>2951.9963083358102</v>
      </c>
      <c r="M5291">
        <v>56.1278413002048</v>
      </c>
      <c r="O5291">
        <v>52.527515517607803</v>
      </c>
      <c r="P5291">
        <v>-6.3478210139823396E-2</v>
      </c>
      <c r="Q5291">
        <v>0.76237455056105896</v>
      </c>
      <c r="R5291">
        <v>0.84750131317599298</v>
      </c>
      <c r="S5291" t="s">
        <v>11907</v>
      </c>
      <c r="T5291" t="s">
        <v>13232</v>
      </c>
      <c r="U5291" t="s">
        <v>13232</v>
      </c>
      <c r="V5291" t="s">
        <v>13232</v>
      </c>
      <c r="W5291" t="s">
        <v>18456</v>
      </c>
      <c r="X5291">
        <v>11</v>
      </c>
      <c r="Y5291" t="s">
        <v>24856</v>
      </c>
      <c r="Z5291" t="s">
        <v>31422</v>
      </c>
      <c r="AA5291">
        <v>0.86256788836620146</v>
      </c>
      <c r="AB5291" t="str">
        <f>HYPERLINK("Melting_Curves/meltCurve_Q9BSC4_NOL10.pdf", "Melting_Curves/meltCurve_Q9BSC4_NOL10.pdf")</f>
        <v>Melting_Curves/meltCurve_Q9BSC4_NOL10.pdf</v>
      </c>
    </row>
    <row r="5292" spans="1:28" x14ac:dyDescent="0.25">
      <c r="A5292" t="s">
        <v>5295</v>
      </c>
      <c r="B5292">
        <v>0.99930955844802105</v>
      </c>
      <c r="C5292">
        <v>0.61766297451799002</v>
      </c>
      <c r="D5292">
        <v>0.31668454391669798</v>
      </c>
      <c r="E5292">
        <v>0.22057559687012401</v>
      </c>
      <c r="F5292">
        <v>0.145411035320334</v>
      </c>
      <c r="G5292">
        <v>9.8501642449103394E-2</v>
      </c>
      <c r="H5292">
        <v>5.6905686631681003E-2</v>
      </c>
      <c r="I5292">
        <v>4.5603052076780802E-2</v>
      </c>
      <c r="J5292">
        <v>4.1350333806989999E-2</v>
      </c>
      <c r="K5292">
        <v>3.0694689160078899E-2</v>
      </c>
      <c r="L5292">
        <v>923.51059243656903</v>
      </c>
      <c r="M5292">
        <v>20.9572279672519</v>
      </c>
      <c r="N5292">
        <v>44.3898840471903</v>
      </c>
      <c r="O5292">
        <v>43.6711058368412</v>
      </c>
      <c r="P5292">
        <v>-0.111480178312336</v>
      </c>
      <c r="Q5292">
        <v>7.0806312436330204E-2</v>
      </c>
      <c r="R5292">
        <v>0.97255369479643605</v>
      </c>
      <c r="S5292" t="s">
        <v>11908</v>
      </c>
      <c r="T5292" t="s">
        <v>13232</v>
      </c>
      <c r="U5292" t="s">
        <v>13232</v>
      </c>
      <c r="V5292" t="s">
        <v>13232</v>
      </c>
      <c r="W5292" t="s">
        <v>18457</v>
      </c>
      <c r="X5292">
        <v>8</v>
      </c>
      <c r="Y5292" t="s">
        <v>24857</v>
      </c>
      <c r="Z5292" t="s">
        <v>31423</v>
      </c>
      <c r="AA5292">
        <v>0.21279139373051709</v>
      </c>
      <c r="AB5292" t="str">
        <f>HYPERLINK("Melting_Curves/meltCurve_Q9BSD7_NTPCR.pdf", "Melting_Curves/meltCurve_Q9BSD7_NTPCR.pdf")</f>
        <v>Melting_Curves/meltCurve_Q9BSD7_NTPCR.pdf</v>
      </c>
    </row>
    <row r="5293" spans="1:28" x14ac:dyDescent="0.25">
      <c r="A5293" t="s">
        <v>5296</v>
      </c>
      <c r="B5293">
        <v>0.99930955844802105</v>
      </c>
      <c r="C5293">
        <v>1.0085258467676099</v>
      </c>
      <c r="D5293">
        <v>0.86622096070339505</v>
      </c>
      <c r="E5293">
        <v>0.86996643253447803</v>
      </c>
      <c r="F5293">
        <v>0.61178471180647198</v>
      </c>
      <c r="G5293">
        <v>0.50042634538624897</v>
      </c>
      <c r="H5293">
        <v>0.46711856430390603</v>
      </c>
      <c r="I5293">
        <v>0.31611374580649299</v>
      </c>
      <c r="J5293">
        <v>0.354279083837231</v>
      </c>
      <c r="K5293">
        <v>0.17968814042052</v>
      </c>
      <c r="L5293">
        <v>546.64533069903598</v>
      </c>
      <c r="M5293">
        <v>9.7727509344608698</v>
      </c>
      <c r="N5293">
        <v>57.904393485055898</v>
      </c>
      <c r="O5293">
        <v>53.744391560409902</v>
      </c>
      <c r="P5293">
        <v>-3.9054298499439102E-2</v>
      </c>
      <c r="Q5293">
        <v>0.14135314868996901</v>
      </c>
      <c r="R5293">
        <v>0.96312015296079401</v>
      </c>
      <c r="S5293" t="s">
        <v>11909</v>
      </c>
      <c r="T5293" t="s">
        <v>13232</v>
      </c>
      <c r="U5293" t="s">
        <v>13232</v>
      </c>
      <c r="V5293" t="s">
        <v>13232</v>
      </c>
      <c r="W5293" t="s">
        <v>18458</v>
      </c>
      <c r="X5293">
        <v>1</v>
      </c>
      <c r="Y5293" t="s">
        <v>24858</v>
      </c>
      <c r="Z5293" t="s">
        <v>31424</v>
      </c>
      <c r="AA5293">
        <v>0.61584540716229952</v>
      </c>
      <c r="AB5293" t="str">
        <f>HYPERLINK("Melting_Curves/meltCurve_Q9BSE4_HERPUD2.pdf", "Melting_Curves/meltCurve_Q9BSE4_HERPUD2.pdf")</f>
        <v>Melting_Curves/meltCurve_Q9BSE4_HERPUD2.pdf</v>
      </c>
    </row>
    <row r="5294" spans="1:28" x14ac:dyDescent="0.25">
      <c r="A5294" t="s">
        <v>5297</v>
      </c>
      <c r="B5294">
        <v>0.99930955844802105</v>
      </c>
      <c r="C5294">
        <v>0.97134028212954104</v>
      </c>
      <c r="D5294">
        <v>0.97453105918891403</v>
      </c>
      <c r="E5294">
        <v>0.66220619538012604</v>
      </c>
      <c r="F5294">
        <v>0.29019442160596798</v>
      </c>
      <c r="G5294">
        <v>0.21991972983743299</v>
      </c>
      <c r="H5294">
        <v>0.14846941751804499</v>
      </c>
      <c r="I5294">
        <v>0.11129425084419101</v>
      </c>
      <c r="J5294">
        <v>0.115442116803358</v>
      </c>
      <c r="K5294">
        <v>8.8910840864135698E-2</v>
      </c>
      <c r="L5294">
        <v>1508.41132030934</v>
      </c>
      <c r="M5294">
        <v>29.7363265193482</v>
      </c>
      <c r="N5294">
        <v>51.221086213434702</v>
      </c>
      <c r="O5294">
        <v>50.4984456421465</v>
      </c>
      <c r="P5294">
        <v>-0.12883443558326901</v>
      </c>
      <c r="Q5294">
        <v>0.124855267180857</v>
      </c>
      <c r="R5294">
        <v>0.99474289400709204</v>
      </c>
      <c r="S5294" t="s">
        <v>11910</v>
      </c>
      <c r="T5294" t="s">
        <v>13232</v>
      </c>
      <c r="U5294" t="s">
        <v>13232</v>
      </c>
      <c r="V5294" t="s">
        <v>13232</v>
      </c>
      <c r="W5294" t="s">
        <v>18459</v>
      </c>
      <c r="X5294">
        <v>9</v>
      </c>
      <c r="Y5294" t="s">
        <v>24859</v>
      </c>
      <c r="Z5294" t="s">
        <v>31425</v>
      </c>
      <c r="AA5294">
        <v>0.44333065180088899</v>
      </c>
      <c r="AB5294" t="str">
        <f>HYPERLINK("Melting_Curves/meltCurve_Q9BSH4_TACO1.pdf", "Melting_Curves/meltCurve_Q9BSH4_TACO1.pdf")</f>
        <v>Melting_Curves/meltCurve_Q9BSH4_TACO1.pdf</v>
      </c>
    </row>
    <row r="5295" spans="1:28" x14ac:dyDescent="0.25">
      <c r="A5295" t="s">
        <v>5298</v>
      </c>
      <c r="B5295">
        <v>0.99930955844802105</v>
      </c>
      <c r="C5295">
        <v>0.99549351431587196</v>
      </c>
      <c r="D5295">
        <v>0.96226673680678099</v>
      </c>
      <c r="E5295">
        <v>0.83390476346185605</v>
      </c>
      <c r="F5295">
        <v>0.61259456419351899</v>
      </c>
      <c r="G5295">
        <v>0.46233728026054899</v>
      </c>
      <c r="H5295">
        <v>0.254815550573813</v>
      </c>
      <c r="I5295">
        <v>0.13680271909903899</v>
      </c>
      <c r="J5295">
        <v>0.107244852083104</v>
      </c>
      <c r="K5295">
        <v>8.6546657890502907E-2</v>
      </c>
      <c r="L5295">
        <v>745.48714448742305</v>
      </c>
      <c r="M5295">
        <v>13.424981099688701</v>
      </c>
      <c r="N5295">
        <v>55.699797288810203</v>
      </c>
      <c r="O5295">
        <v>54.341154903269299</v>
      </c>
      <c r="P5295">
        <v>-6.0532426912537698E-2</v>
      </c>
      <c r="Q5295">
        <v>2.00688284743528E-2</v>
      </c>
      <c r="R5295">
        <v>0.99598122119592403</v>
      </c>
      <c r="S5295" t="s">
        <v>11911</v>
      </c>
      <c r="T5295" t="s">
        <v>13232</v>
      </c>
      <c r="U5295" t="s">
        <v>13232</v>
      </c>
      <c r="V5295" t="s">
        <v>13232</v>
      </c>
      <c r="W5295" t="s">
        <v>18460</v>
      </c>
      <c r="X5295">
        <v>11</v>
      </c>
      <c r="Y5295" t="s">
        <v>24860</v>
      </c>
      <c r="Z5295" t="s">
        <v>31426</v>
      </c>
      <c r="AA5295">
        <v>0.54728213583790697</v>
      </c>
      <c r="AB5295" t="str">
        <f>HYPERLINK("Melting_Curves/meltCurve_Q9BSH5_HDHD3.pdf", "Melting_Curves/meltCurve_Q9BSH5_HDHD3.pdf")</f>
        <v>Melting_Curves/meltCurve_Q9BSH5_HDHD3.pdf</v>
      </c>
    </row>
    <row r="5296" spans="1:28" x14ac:dyDescent="0.25">
      <c r="A5296" t="s">
        <v>5299</v>
      </c>
      <c r="B5296">
        <v>0.99930955844802105</v>
      </c>
      <c r="C5296">
        <v>0.90929488890980303</v>
      </c>
      <c r="D5296">
        <v>0.84292166756077802</v>
      </c>
      <c r="E5296">
        <v>0.66554873378802903</v>
      </c>
      <c r="F5296">
        <v>0.41832993188731499</v>
      </c>
      <c r="G5296">
        <v>0.27572466348959102</v>
      </c>
      <c r="H5296">
        <v>0.18292026730553701</v>
      </c>
      <c r="I5296">
        <v>0.174975218942655</v>
      </c>
      <c r="J5296">
        <v>0.17437812757426599</v>
      </c>
      <c r="K5296">
        <v>0.13308391969362199</v>
      </c>
      <c r="L5296">
        <v>750.34234971810804</v>
      </c>
      <c r="M5296">
        <v>14.721417302798301</v>
      </c>
      <c r="N5296">
        <v>52.003169397732698</v>
      </c>
      <c r="O5296">
        <v>50.0566454069751</v>
      </c>
      <c r="P5296">
        <v>-6.4204061266037907E-2</v>
      </c>
      <c r="Q5296">
        <v>0.126852944886749</v>
      </c>
      <c r="R5296">
        <v>0.99532574564612097</v>
      </c>
      <c r="S5296" t="s">
        <v>11912</v>
      </c>
      <c r="T5296" t="s">
        <v>13232</v>
      </c>
      <c r="U5296" t="s">
        <v>13232</v>
      </c>
      <c r="V5296" t="s">
        <v>13232</v>
      </c>
      <c r="W5296" t="s">
        <v>18461</v>
      </c>
      <c r="X5296">
        <v>13</v>
      </c>
      <c r="Y5296" t="s">
        <v>24861</v>
      </c>
      <c r="Z5296" t="s">
        <v>31427</v>
      </c>
      <c r="AA5296">
        <v>0.46694460481071082</v>
      </c>
      <c r="AB5296" t="str">
        <f>HYPERLINK("Melting_Curves/meltCurve_Q9BSJ2_TUBGCP2.pdf", "Melting_Curves/meltCurve_Q9BSJ2_TUBGCP2.pdf")</f>
        <v>Melting_Curves/meltCurve_Q9BSJ2_TUBGCP2.pdf</v>
      </c>
    </row>
    <row r="5297" spans="1:28" x14ac:dyDescent="0.25">
      <c r="A5297" t="s">
        <v>5300</v>
      </c>
      <c r="B5297">
        <v>0.99930955844802105</v>
      </c>
      <c r="C5297">
        <v>2.0813972270500001</v>
      </c>
      <c r="D5297">
        <v>0.83141204676369995</v>
      </c>
      <c r="E5297">
        <v>1.0787210985147699</v>
      </c>
      <c r="F5297">
        <v>0.22732304446425</v>
      </c>
      <c r="G5297">
        <v>0.158768607973861</v>
      </c>
      <c r="H5297">
        <v>0.10837619343588401</v>
      </c>
      <c r="I5297">
        <v>0.115203364925827</v>
      </c>
      <c r="J5297">
        <v>0.129364071961525</v>
      </c>
      <c r="K5297">
        <v>9.0815777466259698E-2</v>
      </c>
      <c r="L5297">
        <v>13145.1280407132</v>
      </c>
      <c r="M5297">
        <v>250</v>
      </c>
      <c r="N5297">
        <v>52.638577016320703</v>
      </c>
      <c r="O5297">
        <v>52.577148106249503</v>
      </c>
      <c r="P5297">
        <v>-1.0454811945575799</v>
      </c>
      <c r="Q5297">
        <v>0.120505299793899</v>
      </c>
      <c r="R5297">
        <v>0.69254143125077205</v>
      </c>
      <c r="S5297" t="s">
        <v>11913</v>
      </c>
      <c r="T5297" t="s">
        <v>13232</v>
      </c>
      <c r="U5297" t="s">
        <v>13232</v>
      </c>
      <c r="V5297" t="s">
        <v>13232</v>
      </c>
      <c r="W5297" t="s">
        <v>18462</v>
      </c>
      <c r="X5297">
        <v>3</v>
      </c>
      <c r="Y5297" t="s">
        <v>24862</v>
      </c>
      <c r="Z5297" t="s">
        <v>31428</v>
      </c>
      <c r="AA5297">
        <v>0.48940291689228621</v>
      </c>
      <c r="AB5297" t="str">
        <f>HYPERLINK("Melting_Curves/meltCurve_Q9BSJ5_3_C17orf80.pdf", "Melting_Curves/meltCurve_Q9BSJ5_3_C17orf80.pdf")</f>
        <v>Melting_Curves/meltCurve_Q9BSJ5_3_C17orf80.pdf</v>
      </c>
    </row>
    <row r="5298" spans="1:28" x14ac:dyDescent="0.25">
      <c r="A5298" t="s">
        <v>5301</v>
      </c>
      <c r="B5298">
        <v>0.99930955844802105</v>
      </c>
      <c r="C5298">
        <v>0.85358247803692699</v>
      </c>
      <c r="D5298">
        <v>0.798308869010527</v>
      </c>
      <c r="E5298">
        <v>0.68295856806677901</v>
      </c>
      <c r="F5298">
        <v>0.42589514191494698</v>
      </c>
      <c r="G5298">
        <v>0.21983554948216399</v>
      </c>
      <c r="H5298">
        <v>0.109422729248428</v>
      </c>
      <c r="I5298">
        <v>7.9126328874257301E-2</v>
      </c>
      <c r="J5298">
        <v>6.6649149921829895E-2</v>
      </c>
      <c r="K5298">
        <v>5.4754893800472097E-2</v>
      </c>
      <c r="L5298">
        <v>640.80782827632902</v>
      </c>
      <c r="M5298">
        <v>12.3652407517759</v>
      </c>
      <c r="N5298">
        <v>51.823318476788003</v>
      </c>
      <c r="O5298">
        <v>50.523863466846699</v>
      </c>
      <c r="P5298">
        <v>-6.11982813814873E-2</v>
      </c>
      <c r="Q5298">
        <v>0</v>
      </c>
      <c r="R5298">
        <v>0.98871946512037201</v>
      </c>
      <c r="S5298" t="s">
        <v>11914</v>
      </c>
      <c r="T5298" t="s">
        <v>13232</v>
      </c>
      <c r="U5298" t="s">
        <v>13232</v>
      </c>
      <c r="V5298" t="s">
        <v>13232</v>
      </c>
      <c r="W5298" t="s">
        <v>18463</v>
      </c>
      <c r="X5298">
        <v>22</v>
      </c>
      <c r="Y5298" t="s">
        <v>24863</v>
      </c>
      <c r="Z5298" t="s">
        <v>31429</v>
      </c>
      <c r="AA5298">
        <v>0.42386701284989819</v>
      </c>
      <c r="AB5298" t="str">
        <f>HYPERLINK("Melting_Curves/meltCurve_Q9BSJ8_ESYT1.pdf", "Melting_Curves/meltCurve_Q9BSJ8_ESYT1.pdf")</f>
        <v>Melting_Curves/meltCurve_Q9BSJ8_ESYT1.pdf</v>
      </c>
    </row>
    <row r="5299" spans="1:28" x14ac:dyDescent="0.25">
      <c r="A5299" t="s">
        <v>5302</v>
      </c>
      <c r="B5299">
        <v>0.99930955844802105</v>
      </c>
      <c r="C5299">
        <v>1.0123771511691799</v>
      </c>
      <c r="D5299">
        <v>1.06152472399177</v>
      </c>
      <c r="E5299">
        <v>0.98629409046734895</v>
      </c>
      <c r="F5299">
        <v>0.77801322076851698</v>
      </c>
      <c r="G5299">
        <v>0.53596766932541395</v>
      </c>
      <c r="H5299">
        <v>0.36569593203551698</v>
      </c>
      <c r="I5299">
        <v>0.31350987780138101</v>
      </c>
      <c r="J5299">
        <v>0.32102695016483301</v>
      </c>
      <c r="K5299">
        <v>0.228360931776871</v>
      </c>
      <c r="L5299">
        <v>1237.9215288617399</v>
      </c>
      <c r="M5299">
        <v>22.299931086933601</v>
      </c>
      <c r="N5299">
        <v>57.514267610083898</v>
      </c>
      <c r="O5299">
        <v>55.071698696943997</v>
      </c>
      <c r="P5299">
        <v>-7.39080393669036E-2</v>
      </c>
      <c r="Q5299">
        <v>0.26992477100596801</v>
      </c>
      <c r="R5299">
        <v>0.98874368148412795</v>
      </c>
      <c r="S5299" t="s">
        <v>11915</v>
      </c>
      <c r="T5299" t="s">
        <v>13232</v>
      </c>
      <c r="U5299" t="s">
        <v>13232</v>
      </c>
      <c r="V5299" t="s">
        <v>13232</v>
      </c>
      <c r="W5299" t="s">
        <v>18464</v>
      </c>
      <c r="X5299">
        <v>21</v>
      </c>
      <c r="Y5299" t="s">
        <v>24864</v>
      </c>
      <c r="Z5299" t="s">
        <v>31430</v>
      </c>
      <c r="AA5299">
        <v>0.65555876871030816</v>
      </c>
      <c r="AB5299" t="str">
        <f>HYPERLINK("Melting_Curves/meltCurve_Q9BSL1_UBAC1.pdf", "Melting_Curves/meltCurve_Q9BSL1_UBAC1.pdf")</f>
        <v>Melting_Curves/meltCurve_Q9BSL1_UBAC1.pdf</v>
      </c>
    </row>
    <row r="5300" spans="1:28" x14ac:dyDescent="0.25">
      <c r="A5300" t="s">
        <v>5303</v>
      </c>
      <c r="B5300">
        <v>0.99930955844802105</v>
      </c>
      <c r="C5300">
        <v>0.91426641237946005</v>
      </c>
      <c r="D5300">
        <v>0.79735732313730801</v>
      </c>
      <c r="E5300">
        <v>0.66650454983308105</v>
      </c>
      <c r="F5300">
        <v>0.46632393896443503</v>
      </c>
      <c r="G5300">
        <v>0.34077976181861203</v>
      </c>
      <c r="H5300">
        <v>0.20183544752309199</v>
      </c>
      <c r="I5300">
        <v>0.20110728392478799</v>
      </c>
      <c r="J5300">
        <v>0.157909064859865</v>
      </c>
      <c r="K5300">
        <v>0.13617698672628101</v>
      </c>
      <c r="L5300">
        <v>592.12189594966401</v>
      </c>
      <c r="M5300">
        <v>11.448572258441899</v>
      </c>
      <c r="N5300">
        <v>52.677880309156002</v>
      </c>
      <c r="O5300">
        <v>50.217609716968099</v>
      </c>
      <c r="P5300">
        <v>-5.1654786706559798E-2</v>
      </c>
      <c r="Q5300">
        <v>9.3955188781449303E-2</v>
      </c>
      <c r="R5300">
        <v>0.99575886706324801</v>
      </c>
      <c r="S5300" t="s">
        <v>11916</v>
      </c>
      <c r="T5300" t="s">
        <v>13232</v>
      </c>
      <c r="U5300" t="s">
        <v>13232</v>
      </c>
      <c r="V5300" t="s">
        <v>13232</v>
      </c>
      <c r="W5300" t="s">
        <v>18465</v>
      </c>
      <c r="X5300">
        <v>9</v>
      </c>
      <c r="Y5300" t="s">
        <v>24865</v>
      </c>
      <c r="Z5300" t="s">
        <v>31431</v>
      </c>
      <c r="AA5300">
        <v>0.4779486367905888</v>
      </c>
      <c r="AB5300" t="str">
        <f>HYPERLINK("Melting_Curves/meltCurve_Q9BSQ5_CCM2.pdf", "Melting_Curves/meltCurve_Q9BSQ5_CCM2.pdf")</f>
        <v>Melting_Curves/meltCurve_Q9BSQ5_CCM2.pdf</v>
      </c>
    </row>
    <row r="5301" spans="1:28" x14ac:dyDescent="0.25">
      <c r="A5301" t="s">
        <v>5304</v>
      </c>
      <c r="B5301">
        <v>0.99930955844802105</v>
      </c>
      <c r="C5301">
        <v>0.82254243742877398</v>
      </c>
      <c r="D5301">
        <v>0.76041285642508305</v>
      </c>
      <c r="E5301">
        <v>0.75458907109274098</v>
      </c>
      <c r="F5301">
        <v>0.51913001379149304</v>
      </c>
      <c r="G5301">
        <v>0.37382544466631801</v>
      </c>
      <c r="H5301">
        <v>0.27318471454658799</v>
      </c>
      <c r="I5301">
        <v>0.226784701660321</v>
      </c>
      <c r="J5301">
        <v>0.21566520822281801</v>
      </c>
      <c r="K5301">
        <v>0.18321796788191</v>
      </c>
      <c r="L5301">
        <v>459.00108302158401</v>
      </c>
      <c r="M5301">
        <v>8.6534352287364396</v>
      </c>
      <c r="N5301">
        <v>53.9381470899691</v>
      </c>
      <c r="O5301">
        <v>50.438173421656998</v>
      </c>
      <c r="P5301">
        <v>-4.00550432950064E-2</v>
      </c>
      <c r="Q5301">
        <v>6.6912601723352505E-2</v>
      </c>
      <c r="R5301">
        <v>0.97312624567463202</v>
      </c>
      <c r="S5301" t="s">
        <v>11917</v>
      </c>
      <c r="T5301" t="s">
        <v>13232</v>
      </c>
      <c r="U5301" t="s">
        <v>13232</v>
      </c>
      <c r="V5301" t="s">
        <v>13232</v>
      </c>
      <c r="W5301" t="s">
        <v>18466</v>
      </c>
      <c r="X5301">
        <v>2</v>
      </c>
      <c r="Y5301" t="s">
        <v>24866</v>
      </c>
      <c r="Z5301" t="s">
        <v>31432</v>
      </c>
      <c r="AA5301">
        <v>0.50830427802932876</v>
      </c>
      <c r="AB5301" t="str">
        <f>HYPERLINK("Melting_Curves/meltCurve_Q9BSR8_YIPF4.pdf", "Melting_Curves/meltCurve_Q9BSR8_YIPF4.pdf")</f>
        <v>Melting_Curves/meltCurve_Q9BSR8_YIPF4.pdf</v>
      </c>
    </row>
    <row r="5302" spans="1:28" x14ac:dyDescent="0.25">
      <c r="A5302" t="s">
        <v>5305</v>
      </c>
      <c r="B5302">
        <v>0.99930955844802105</v>
      </c>
      <c r="C5302">
        <v>1.0294790236532301</v>
      </c>
      <c r="D5302">
        <v>0.81624854914061695</v>
      </c>
      <c r="E5302">
        <v>0.38874875031585798</v>
      </c>
      <c r="F5302">
        <v>0.14036038667756501</v>
      </c>
      <c r="G5302">
        <v>0.114543116557401</v>
      </c>
      <c r="H5302">
        <v>6.72589630025031E-2</v>
      </c>
      <c r="I5302">
        <v>6.6707188711480903E-2</v>
      </c>
      <c r="J5302">
        <v>6.5780061226773295E-2</v>
      </c>
      <c r="K5302">
        <v>4.52356923869821E-2</v>
      </c>
      <c r="L5302">
        <v>1297.7162321298699</v>
      </c>
      <c r="M5302">
        <v>26.650278584807999</v>
      </c>
      <c r="N5302">
        <v>48.9471350295413</v>
      </c>
      <c r="O5302">
        <v>48.422602749665003</v>
      </c>
      <c r="P5302">
        <v>-0.12874542587246399</v>
      </c>
      <c r="Q5302">
        <v>6.4306709259772596E-2</v>
      </c>
      <c r="R5302">
        <v>0.99649426659641205</v>
      </c>
      <c r="S5302" t="s">
        <v>11918</v>
      </c>
      <c r="T5302" t="s">
        <v>13232</v>
      </c>
      <c r="U5302" t="s">
        <v>13232</v>
      </c>
      <c r="V5302" t="s">
        <v>13232</v>
      </c>
      <c r="W5302" t="s">
        <v>18467</v>
      </c>
      <c r="X5302">
        <v>2</v>
      </c>
      <c r="Y5302" t="s">
        <v>24867</v>
      </c>
      <c r="Z5302" t="s">
        <v>31433</v>
      </c>
      <c r="AA5302">
        <v>0.34272846257826911</v>
      </c>
      <c r="AB5302" t="str">
        <f>HYPERLINK("Melting_Curves/meltCurve_Q9BST9_3_RTKN.pdf", "Melting_Curves/meltCurve_Q9BST9_3_RTKN.pdf")</f>
        <v>Melting_Curves/meltCurve_Q9BST9_3_RTKN.pdf</v>
      </c>
    </row>
    <row r="5303" spans="1:28" x14ac:dyDescent="0.25">
      <c r="A5303" t="s">
        <v>5306</v>
      </c>
      <c r="B5303">
        <v>0.99930955844802105</v>
      </c>
      <c r="C5303">
        <v>0.94201643314653805</v>
      </c>
      <c r="D5303">
        <v>0.93918043384942196</v>
      </c>
      <c r="E5303">
        <v>0.88678973305819297</v>
      </c>
      <c r="F5303">
        <v>0.68880764247054604</v>
      </c>
      <c r="G5303">
        <v>0.34135861336310402</v>
      </c>
      <c r="H5303">
        <v>0.17927106390361</v>
      </c>
      <c r="I5303">
        <v>0.22385882044262001</v>
      </c>
      <c r="J5303">
        <v>0.23946142506422299</v>
      </c>
      <c r="K5303">
        <v>0.17578343214441999</v>
      </c>
      <c r="L5303">
        <v>1394.1068912974999</v>
      </c>
      <c r="M5303">
        <v>25.922398096462299</v>
      </c>
      <c r="N5303">
        <v>54.803010466488701</v>
      </c>
      <c r="O5303">
        <v>53.463028705221902</v>
      </c>
      <c r="P5303">
        <v>-9.7967200327308407E-2</v>
      </c>
      <c r="Q5303">
        <v>0.191809131924876</v>
      </c>
      <c r="R5303">
        <v>0.99039157011148904</v>
      </c>
      <c r="S5303" t="s">
        <v>11919</v>
      </c>
      <c r="T5303" t="s">
        <v>13232</v>
      </c>
      <c r="U5303" t="s">
        <v>13232</v>
      </c>
      <c r="V5303" t="s">
        <v>13232</v>
      </c>
      <c r="W5303" t="s">
        <v>18468</v>
      </c>
      <c r="X5303">
        <v>5</v>
      </c>
      <c r="Y5303" t="s">
        <v>24868</v>
      </c>
      <c r="Z5303" t="s">
        <v>31434</v>
      </c>
      <c r="AA5303">
        <v>0.57002805781161825</v>
      </c>
      <c r="AB5303" t="str">
        <f>HYPERLINK("Melting_Curves/meltCurve_Q9BSU1_C16orf70.pdf", "Melting_Curves/meltCurve_Q9BSU1_C16orf70.pdf")</f>
        <v>Melting_Curves/meltCurve_Q9BSU1_C16orf70.pdf</v>
      </c>
    </row>
    <row r="5304" spans="1:28" x14ac:dyDescent="0.25">
      <c r="A5304" t="s">
        <v>5307</v>
      </c>
      <c r="B5304">
        <v>0.99930955844802105</v>
      </c>
      <c r="C5304">
        <v>0.87051759368586201</v>
      </c>
      <c r="D5304">
        <v>0.80963737241751399</v>
      </c>
      <c r="E5304">
        <v>0.67461669706766203</v>
      </c>
      <c r="F5304">
        <v>0.199970701303292</v>
      </c>
      <c r="G5304">
        <v>0.138473836590426</v>
      </c>
      <c r="H5304">
        <v>7.0782895079054206E-2</v>
      </c>
      <c r="I5304">
        <v>9.5236174808270693E-2</v>
      </c>
      <c r="J5304">
        <v>5.0698934461863299E-2</v>
      </c>
      <c r="K5304">
        <v>5.9799534882402798E-2</v>
      </c>
      <c r="L5304">
        <v>970.02173637213798</v>
      </c>
      <c r="M5304">
        <v>19.283782379572202</v>
      </c>
      <c r="N5304">
        <v>50.5621660792835</v>
      </c>
      <c r="O5304">
        <v>49.770882669849797</v>
      </c>
      <c r="P5304">
        <v>-9.2299133514730597E-2</v>
      </c>
      <c r="Q5304">
        <v>4.7150286041274102E-2</v>
      </c>
      <c r="R5304">
        <v>0.97060326989997903</v>
      </c>
      <c r="S5304" t="s">
        <v>11920</v>
      </c>
      <c r="T5304" t="s">
        <v>13232</v>
      </c>
      <c r="U5304" t="s">
        <v>13232</v>
      </c>
      <c r="V5304" t="s">
        <v>13232</v>
      </c>
      <c r="W5304" t="s">
        <v>18469</v>
      </c>
      <c r="X5304">
        <v>8</v>
      </c>
      <c r="Y5304" t="s">
        <v>24869</v>
      </c>
      <c r="Z5304" t="s">
        <v>31435</v>
      </c>
      <c r="AA5304">
        <v>0.388584790266716</v>
      </c>
      <c r="AB5304" t="str">
        <f>HYPERLINK("Melting_Curves/meltCurve_Q9BSU3_NAA11.pdf", "Melting_Curves/meltCurve_Q9BSU3_NAA11.pdf")</f>
        <v>Melting_Curves/meltCurve_Q9BSU3_NAA11.pdf</v>
      </c>
    </row>
    <row r="5305" spans="1:28" x14ac:dyDescent="0.25">
      <c r="A5305" t="s">
        <v>5308</v>
      </c>
      <c r="B5305">
        <v>0.99930955844802105</v>
      </c>
      <c r="C5305">
        <v>0.86337066719928501</v>
      </c>
      <c r="D5305">
        <v>0.831765335523456</v>
      </c>
      <c r="E5305">
        <v>0.51733756403227704</v>
      </c>
      <c r="F5305">
        <v>0.28694757328650999</v>
      </c>
      <c r="G5305">
        <v>0.18544298133957501</v>
      </c>
      <c r="H5305">
        <v>0.14470683373725801</v>
      </c>
      <c r="I5305">
        <v>0.142007787982944</v>
      </c>
      <c r="J5305">
        <v>0.13079799574241499</v>
      </c>
      <c r="K5305">
        <v>0.104293587422886</v>
      </c>
      <c r="L5305">
        <v>851.28437844728296</v>
      </c>
      <c r="M5305">
        <v>17.271908170888899</v>
      </c>
      <c r="N5305">
        <v>50.016107073162601</v>
      </c>
      <c r="O5305">
        <v>48.640754611160503</v>
      </c>
      <c r="P5305">
        <v>-7.8900339753015497E-2</v>
      </c>
      <c r="Q5305">
        <v>0.111262235681481</v>
      </c>
      <c r="R5305">
        <v>0.99265832790639297</v>
      </c>
      <c r="S5305" t="s">
        <v>11921</v>
      </c>
      <c r="T5305" t="s">
        <v>13232</v>
      </c>
      <c r="U5305" t="s">
        <v>13232</v>
      </c>
      <c r="V5305" t="s">
        <v>13232</v>
      </c>
      <c r="W5305" t="s">
        <v>18470</v>
      </c>
      <c r="X5305">
        <v>8</v>
      </c>
      <c r="Y5305" t="s">
        <v>24870</v>
      </c>
      <c r="Z5305" t="s">
        <v>31436</v>
      </c>
      <c r="AA5305">
        <v>0.40299616871352029</v>
      </c>
      <c r="AB5305" t="str">
        <f>HYPERLINK("Melting_Curves/meltCurve_Q9BSV6_TSEN34.pdf", "Melting_Curves/meltCurve_Q9BSV6_TSEN34.pdf")</f>
        <v>Melting_Curves/meltCurve_Q9BSV6_TSEN34.pdf</v>
      </c>
    </row>
    <row r="5306" spans="1:28" x14ac:dyDescent="0.25">
      <c r="A5306" t="s">
        <v>5309</v>
      </c>
      <c r="B5306">
        <v>0.99930955844802105</v>
      </c>
      <c r="C5306">
        <v>1.0999968226699699</v>
      </c>
      <c r="D5306">
        <v>1.0264715924735901</v>
      </c>
      <c r="E5306">
        <v>0.98087773992004601</v>
      </c>
      <c r="F5306">
        <v>0.85754160694043002</v>
      </c>
      <c r="G5306">
        <v>0.71197689146578103</v>
      </c>
      <c r="H5306">
        <v>0.67774518264468298</v>
      </c>
      <c r="I5306">
        <v>0.69469540955269704</v>
      </c>
      <c r="J5306">
        <v>0.68175981632819405</v>
      </c>
      <c r="K5306">
        <v>0.54361231474159799</v>
      </c>
      <c r="L5306">
        <v>1377.5740224490701</v>
      </c>
      <c r="M5306">
        <v>25.418620425747299</v>
      </c>
      <c r="O5306">
        <v>53.863346464191601</v>
      </c>
      <c r="P5306">
        <v>-4.2565994432059599E-2</v>
      </c>
      <c r="Q5306">
        <v>0.63920638544181796</v>
      </c>
      <c r="R5306">
        <v>0.92198095867502305</v>
      </c>
      <c r="S5306" t="s">
        <v>11922</v>
      </c>
      <c r="T5306" t="s">
        <v>13232</v>
      </c>
      <c r="U5306" t="s">
        <v>13232</v>
      </c>
      <c r="V5306" t="s">
        <v>13232</v>
      </c>
      <c r="W5306" t="s">
        <v>18471</v>
      </c>
      <c r="X5306">
        <v>13</v>
      </c>
      <c r="Y5306" t="s">
        <v>24871</v>
      </c>
      <c r="Z5306" t="s">
        <v>31437</v>
      </c>
      <c r="AA5306">
        <v>0.81316848491843652</v>
      </c>
      <c r="AB5306" t="str">
        <f>HYPERLINK("Melting_Curves/meltCurve_Q9BSW2_2_EFCAB4B.pdf", "Melting_Curves/meltCurve_Q9BSW2_2_EFCAB4B.pdf")</f>
        <v>Melting_Curves/meltCurve_Q9BSW2_2_EFCAB4B.pdf</v>
      </c>
    </row>
    <row r="5307" spans="1:28" x14ac:dyDescent="0.25">
      <c r="A5307" t="s">
        <v>5310</v>
      </c>
      <c r="B5307">
        <v>0.99930955844802105</v>
      </c>
      <c r="C5307">
        <v>1.02424984013499</v>
      </c>
      <c r="D5307">
        <v>1.05133934013659</v>
      </c>
      <c r="E5307">
        <v>0.98236757893028803</v>
      </c>
      <c r="F5307">
        <v>0.84088705817619702</v>
      </c>
      <c r="G5307">
        <v>0.77469231234244496</v>
      </c>
      <c r="H5307">
        <v>0.75448115674344995</v>
      </c>
      <c r="I5307">
        <v>0.78488643266340297</v>
      </c>
      <c r="J5307">
        <v>0.73339503210364698</v>
      </c>
      <c r="K5307">
        <v>0.615736117804079</v>
      </c>
      <c r="L5307">
        <v>1372.0986293711701</v>
      </c>
      <c r="M5307">
        <v>25.721125561108</v>
      </c>
      <c r="O5307">
        <v>53.025881655246799</v>
      </c>
      <c r="P5307">
        <v>-3.4232799120254898E-2</v>
      </c>
      <c r="Q5307">
        <v>0.71771025154426304</v>
      </c>
      <c r="R5307">
        <v>0.894875461760405</v>
      </c>
      <c r="S5307" t="s">
        <v>11923</v>
      </c>
      <c r="T5307" t="s">
        <v>13232</v>
      </c>
      <c r="U5307" t="s">
        <v>13232</v>
      </c>
      <c r="V5307" t="s">
        <v>13232</v>
      </c>
      <c r="W5307" t="s">
        <v>18472</v>
      </c>
      <c r="X5307">
        <v>6</v>
      </c>
      <c r="Y5307" t="s">
        <v>24872</v>
      </c>
      <c r="Z5307" t="s">
        <v>31438</v>
      </c>
      <c r="AA5307">
        <v>0.84575412934663063</v>
      </c>
      <c r="AB5307" t="str">
        <f>HYPERLINK("Melting_Curves/meltCurve_Q9BSY4_CHCHD5.pdf", "Melting_Curves/meltCurve_Q9BSY4_CHCHD5.pdf")</f>
        <v>Melting_Curves/meltCurve_Q9BSY4_CHCHD5.pdf</v>
      </c>
    </row>
    <row r="5308" spans="1:28" x14ac:dyDescent="0.25">
      <c r="A5308" t="s">
        <v>5311</v>
      </c>
      <c r="B5308">
        <v>0.99930955844802105</v>
      </c>
      <c r="C5308">
        <v>1.0298496225371401</v>
      </c>
      <c r="D5308">
        <v>1.04175939650567</v>
      </c>
      <c r="E5308">
        <v>0.95211967156379396</v>
      </c>
      <c r="F5308">
        <v>0.77952712753124698</v>
      </c>
      <c r="G5308">
        <v>0.68829317340959595</v>
      </c>
      <c r="H5308">
        <v>0.63526037228019205</v>
      </c>
      <c r="I5308">
        <v>0.64941952033226003</v>
      </c>
      <c r="J5308">
        <v>0.58240555302396102</v>
      </c>
      <c r="K5308">
        <v>0.49401254873245498</v>
      </c>
      <c r="L5308">
        <v>996.07830599285001</v>
      </c>
      <c r="M5308">
        <v>18.3806627215688</v>
      </c>
      <c r="O5308">
        <v>53.562411748123097</v>
      </c>
      <c r="P5308">
        <v>-3.7515717888246501E-2</v>
      </c>
      <c r="Q5308">
        <v>0.56272716484672702</v>
      </c>
      <c r="R5308">
        <v>0.95325468741806796</v>
      </c>
      <c r="S5308" t="s">
        <v>11924</v>
      </c>
      <c r="T5308" t="s">
        <v>13232</v>
      </c>
      <c r="U5308" t="s">
        <v>13232</v>
      </c>
      <c r="V5308" t="s">
        <v>13232</v>
      </c>
      <c r="W5308" t="s">
        <v>18473</v>
      </c>
      <c r="X5308">
        <v>9</v>
      </c>
      <c r="Y5308" t="s">
        <v>24873</v>
      </c>
      <c r="Z5308" t="s">
        <v>31439</v>
      </c>
      <c r="AA5308">
        <v>0.77632775401137899</v>
      </c>
      <c r="AB5308" t="str">
        <f>HYPERLINK("Melting_Curves/meltCurve_Q9BT09_CNPY3.pdf", "Melting_Curves/meltCurve_Q9BT09_CNPY3.pdf")</f>
        <v>Melting_Curves/meltCurve_Q9BT09_CNPY3.pdf</v>
      </c>
    </row>
    <row r="5309" spans="1:28" x14ac:dyDescent="0.25">
      <c r="A5309" t="s">
        <v>5312</v>
      </c>
      <c r="B5309">
        <v>0.99930955844802105</v>
      </c>
      <c r="C5309">
        <v>0.82340371182615701</v>
      </c>
      <c r="D5309">
        <v>0.80088635043072098</v>
      </c>
      <c r="E5309">
        <v>0.63459835357269601</v>
      </c>
      <c r="F5309">
        <v>0.49036245600935602</v>
      </c>
      <c r="G5309">
        <v>0.36693944444104198</v>
      </c>
      <c r="H5309">
        <v>0.2229645965582</v>
      </c>
      <c r="I5309">
        <v>0.12696386204537899</v>
      </c>
      <c r="J5309">
        <v>0.105767578933956</v>
      </c>
      <c r="K5309">
        <v>9.1524248929871405E-2</v>
      </c>
      <c r="L5309">
        <v>491.155642552453</v>
      </c>
      <c r="M5309">
        <v>9.3110450573642005</v>
      </c>
      <c r="N5309">
        <v>52.7497850662416</v>
      </c>
      <c r="O5309">
        <v>50.487998056396201</v>
      </c>
      <c r="P5309">
        <v>-4.6134677278063203E-2</v>
      </c>
      <c r="Q5309">
        <v>0</v>
      </c>
      <c r="R5309">
        <v>0.98990206226772803</v>
      </c>
      <c r="S5309" t="s">
        <v>11925</v>
      </c>
      <c r="T5309" t="s">
        <v>13232</v>
      </c>
      <c r="U5309" t="s">
        <v>13232</v>
      </c>
      <c r="V5309" t="s">
        <v>13232</v>
      </c>
      <c r="W5309" t="s">
        <v>18474</v>
      </c>
      <c r="X5309">
        <v>4</v>
      </c>
      <c r="Y5309" t="s">
        <v>24874</v>
      </c>
      <c r="Z5309" t="s">
        <v>31440</v>
      </c>
      <c r="AA5309">
        <v>0.46252179237816798</v>
      </c>
      <c r="AB5309" t="str">
        <f>HYPERLINK("Melting_Curves/meltCurve_Q9BT25_2_HAUS8.pdf", "Melting_Curves/meltCurve_Q9BT25_2_HAUS8.pdf")</f>
        <v>Melting_Curves/meltCurve_Q9BT25_2_HAUS8.pdf</v>
      </c>
    </row>
    <row r="5310" spans="1:28" x14ac:dyDescent="0.25">
      <c r="A5310" t="s">
        <v>5313</v>
      </c>
      <c r="B5310">
        <v>0.99930955844802105</v>
      </c>
      <c r="C5310">
        <v>0.85109462791949497</v>
      </c>
      <c r="D5310">
        <v>0.730789210881156</v>
      </c>
      <c r="E5310">
        <v>0.44225590735098003</v>
      </c>
      <c r="F5310">
        <v>0.21828238436171901</v>
      </c>
      <c r="G5310">
        <v>0.15826704791481599</v>
      </c>
      <c r="H5310">
        <v>0.110248934228435</v>
      </c>
      <c r="I5310">
        <v>0.117968675762606</v>
      </c>
      <c r="J5310">
        <v>9.2933748492935703E-2</v>
      </c>
      <c r="K5310">
        <v>0.10420165937673601</v>
      </c>
      <c r="L5310">
        <v>798.05299712443298</v>
      </c>
      <c r="M5310">
        <v>16.5496208948983</v>
      </c>
      <c r="N5310">
        <v>48.802899479375697</v>
      </c>
      <c r="O5310">
        <v>47.534274501860097</v>
      </c>
      <c r="P5310">
        <v>-7.9262530926377597E-2</v>
      </c>
      <c r="Q5310">
        <v>8.9422891898216006E-2</v>
      </c>
      <c r="R5310">
        <v>0.99490376336472797</v>
      </c>
      <c r="S5310" t="s">
        <v>11926</v>
      </c>
      <c r="T5310" t="s">
        <v>13232</v>
      </c>
      <c r="U5310" t="s">
        <v>13232</v>
      </c>
      <c r="V5310" t="s">
        <v>13232</v>
      </c>
      <c r="W5310" t="s">
        <v>18475</v>
      </c>
      <c r="X5310">
        <v>1</v>
      </c>
      <c r="Y5310" t="s">
        <v>24875</v>
      </c>
      <c r="Z5310" t="s">
        <v>31441</v>
      </c>
      <c r="AA5310">
        <v>0.35804334084979339</v>
      </c>
      <c r="AB5310" t="str">
        <f>HYPERLINK("Melting_Curves/meltCurve_Q9BT30_ALKBH7.pdf", "Melting_Curves/meltCurve_Q9BT30_ALKBH7.pdf")</f>
        <v>Melting_Curves/meltCurve_Q9BT30_ALKBH7.pdf</v>
      </c>
    </row>
    <row r="5311" spans="1:28" x14ac:dyDescent="0.25">
      <c r="A5311" t="s">
        <v>5314</v>
      </c>
      <c r="B5311">
        <v>0.99930955844802105</v>
      </c>
      <c r="C5311">
        <v>1.0634726663827101</v>
      </c>
      <c r="D5311">
        <v>1.1094808260476701</v>
      </c>
      <c r="E5311">
        <v>1.1555425568819</v>
      </c>
      <c r="F5311">
        <v>1.0705677991643801</v>
      </c>
      <c r="G5311">
        <v>1.11989860120869</v>
      </c>
      <c r="H5311">
        <v>1.1554449239285201</v>
      </c>
      <c r="I5311">
        <v>1.00374384330797</v>
      </c>
      <c r="J5311">
        <v>1.33859208763325</v>
      </c>
      <c r="K5311">
        <v>0.68214593942948198</v>
      </c>
      <c r="L5311">
        <v>15000</v>
      </c>
      <c r="M5311">
        <v>213.52183456685501</v>
      </c>
      <c r="Q5311">
        <v>0</v>
      </c>
      <c r="R5311">
        <v>0.20848829765101101</v>
      </c>
      <c r="S5311" t="s">
        <v>11927</v>
      </c>
      <c r="T5311" t="s">
        <v>13232</v>
      </c>
      <c r="U5311" t="s">
        <v>13232</v>
      </c>
      <c r="V5311" t="s">
        <v>13232</v>
      </c>
      <c r="W5311" t="s">
        <v>18476</v>
      </c>
      <c r="X5311">
        <v>3</v>
      </c>
      <c r="Y5311" t="s">
        <v>24876</v>
      </c>
      <c r="Z5311" t="s">
        <v>31442</v>
      </c>
      <c r="AA5311">
        <v>0.99587778762915946</v>
      </c>
      <c r="AB5311" t="str">
        <f>HYPERLINK("Melting_Curves/meltCurve_Q9BT73_PSMG3.pdf", "Melting_Curves/meltCurve_Q9BT73_PSMG3.pdf")</f>
        <v>Melting_Curves/meltCurve_Q9BT73_PSMG3.pdf</v>
      </c>
    </row>
    <row r="5312" spans="1:28" x14ac:dyDescent="0.25">
      <c r="A5312" t="s">
        <v>5315</v>
      </c>
      <c r="B5312">
        <v>0.99930955844802105</v>
      </c>
      <c r="C5312">
        <v>0.81322529256974296</v>
      </c>
      <c r="D5312">
        <v>0.88273395271461796</v>
      </c>
      <c r="E5312">
        <v>0.99507000437052695</v>
      </c>
      <c r="F5312">
        <v>1.0997097374043301</v>
      </c>
      <c r="G5312">
        <v>0.49028612833277002</v>
      </c>
      <c r="H5312">
        <v>0.14164951966240899</v>
      </c>
      <c r="I5312">
        <v>0.106673550508474</v>
      </c>
      <c r="J5312">
        <v>8.3592516976974299E-2</v>
      </c>
      <c r="K5312">
        <v>6.3123774173650504E-2</v>
      </c>
      <c r="L5312">
        <v>8717.5995259724205</v>
      </c>
      <c r="M5312">
        <v>153.20406381848301</v>
      </c>
      <c r="N5312">
        <v>56.983719318428101</v>
      </c>
      <c r="O5312">
        <v>56.892187336897997</v>
      </c>
      <c r="P5312">
        <v>-0.60674009403757401</v>
      </c>
      <c r="Q5312">
        <v>9.8750518859736E-2</v>
      </c>
      <c r="R5312">
        <v>0.963537571216462</v>
      </c>
      <c r="S5312" t="s">
        <v>11928</v>
      </c>
      <c r="T5312" t="s">
        <v>13232</v>
      </c>
      <c r="U5312" t="s">
        <v>13232</v>
      </c>
      <c r="V5312" t="s">
        <v>13232</v>
      </c>
      <c r="W5312" t="s">
        <v>18477</v>
      </c>
      <c r="X5312">
        <v>29</v>
      </c>
      <c r="Y5312" t="s">
        <v>24877</v>
      </c>
      <c r="Z5312" t="s">
        <v>31443</v>
      </c>
      <c r="AA5312">
        <v>0.60675066675922518</v>
      </c>
      <c r="AB5312" t="str">
        <f>HYPERLINK("Melting_Curves/meltCurve_Q9BT78_COPS4.pdf", "Melting_Curves/meltCurve_Q9BT78_COPS4.pdf")</f>
        <v>Melting_Curves/meltCurve_Q9BT78_COPS4.pdf</v>
      </c>
    </row>
    <row r="5313" spans="1:28" x14ac:dyDescent="0.25">
      <c r="A5313" t="s">
        <v>5316</v>
      </c>
      <c r="B5313">
        <v>0.99930955844802105</v>
      </c>
      <c r="C5313">
        <v>1.0056490292073199</v>
      </c>
      <c r="D5313">
        <v>1.00258987111176</v>
      </c>
      <c r="E5313">
        <v>0.92741774945706201</v>
      </c>
      <c r="F5313">
        <v>0.81712445815570101</v>
      </c>
      <c r="G5313">
        <v>0.69594045542809602</v>
      </c>
      <c r="H5313">
        <v>0.70321085398921401</v>
      </c>
      <c r="I5313">
        <v>0.66627918613450499</v>
      </c>
      <c r="J5313">
        <v>0.65334310197253798</v>
      </c>
      <c r="K5313">
        <v>0.55345806313965296</v>
      </c>
      <c r="L5313">
        <v>883.18586172953405</v>
      </c>
      <c r="M5313">
        <v>16.387935361431001</v>
      </c>
      <c r="O5313">
        <v>53.109140161962699</v>
      </c>
      <c r="P5313">
        <v>-2.9975609238062001E-2</v>
      </c>
      <c r="Q5313">
        <v>0.61145436327831204</v>
      </c>
      <c r="R5313">
        <v>0.963102582158328</v>
      </c>
      <c r="S5313" t="s">
        <v>11929</v>
      </c>
      <c r="T5313" t="s">
        <v>13232</v>
      </c>
      <c r="U5313" t="s">
        <v>13232</v>
      </c>
      <c r="V5313" t="s">
        <v>13232</v>
      </c>
      <c r="W5313" t="s">
        <v>18478</v>
      </c>
      <c r="X5313">
        <v>6</v>
      </c>
      <c r="Y5313" t="s">
        <v>24878</v>
      </c>
      <c r="Z5313" t="s">
        <v>31444</v>
      </c>
      <c r="AA5313">
        <v>0.79851808533691027</v>
      </c>
      <c r="AB5313" t="str">
        <f>HYPERLINK("Melting_Curves/meltCurve_Q9BT92_TCHP.pdf", "Melting_Curves/meltCurve_Q9BT92_TCHP.pdf")</f>
        <v>Melting_Curves/meltCurve_Q9BT92_TCHP.pdf</v>
      </c>
    </row>
    <row r="5314" spans="1:28" x14ac:dyDescent="0.25">
      <c r="A5314" t="s">
        <v>5317</v>
      </c>
      <c r="B5314">
        <v>0.99930955844802105</v>
      </c>
      <c r="C5314">
        <v>1.0939007176603399</v>
      </c>
      <c r="D5314">
        <v>1.0434239628795801</v>
      </c>
      <c r="E5314">
        <v>0.97300646330988805</v>
      </c>
      <c r="F5314">
        <v>0.82324816724678496</v>
      </c>
      <c r="G5314">
        <v>0.67812276155594398</v>
      </c>
      <c r="H5314">
        <v>0.63466068967501499</v>
      </c>
      <c r="I5314">
        <v>0.65336031956558505</v>
      </c>
      <c r="J5314">
        <v>0.63027522542861103</v>
      </c>
      <c r="K5314">
        <v>0.51880850949342106</v>
      </c>
      <c r="L5314">
        <v>1449.78671219332</v>
      </c>
      <c r="M5314">
        <v>26.951799381457</v>
      </c>
      <c r="O5314">
        <v>53.498313163876396</v>
      </c>
      <c r="P5314">
        <v>-5.0034581202461598E-2</v>
      </c>
      <c r="Q5314">
        <v>0.60273687814298005</v>
      </c>
      <c r="R5314">
        <v>0.94326581747478599</v>
      </c>
      <c r="S5314" t="s">
        <v>11930</v>
      </c>
      <c r="T5314" t="s">
        <v>13232</v>
      </c>
      <c r="U5314" t="s">
        <v>13232</v>
      </c>
      <c r="V5314" t="s">
        <v>13232</v>
      </c>
      <c r="W5314" t="s">
        <v>18479</v>
      </c>
      <c r="X5314">
        <v>12</v>
      </c>
      <c r="Y5314" t="s">
        <v>24879</v>
      </c>
      <c r="Z5314" t="s">
        <v>31445</v>
      </c>
      <c r="AA5314">
        <v>0.78856429286300367</v>
      </c>
      <c r="AB5314" t="str">
        <f>HYPERLINK("Melting_Curves/meltCurve_Q9BTA9_2_WAC.pdf", "Melting_Curves/meltCurve_Q9BTA9_2_WAC.pdf")</f>
        <v>Melting_Curves/meltCurve_Q9BTA9_2_WAC.pdf</v>
      </c>
    </row>
    <row r="5315" spans="1:28" x14ac:dyDescent="0.25">
      <c r="A5315" t="s">
        <v>5318</v>
      </c>
      <c r="B5315">
        <v>0.99930955844802105</v>
      </c>
      <c r="C5315">
        <v>1.09645840830443</v>
      </c>
      <c r="D5315">
        <v>1.0286303823443499</v>
      </c>
      <c r="E5315">
        <v>0.960051228393626</v>
      </c>
      <c r="F5315">
        <v>0.84326422650335597</v>
      </c>
      <c r="G5315">
        <v>0.74913205595876697</v>
      </c>
      <c r="H5315">
        <v>0.69834184104247099</v>
      </c>
      <c r="I5315">
        <v>0.69827872580000505</v>
      </c>
      <c r="J5315">
        <v>0.64566699490359203</v>
      </c>
      <c r="K5315">
        <v>0.52678695428422795</v>
      </c>
      <c r="L5315">
        <v>745.46230664114603</v>
      </c>
      <c r="M5315">
        <v>13.070886373005401</v>
      </c>
      <c r="O5315">
        <v>55.746863239377397</v>
      </c>
      <c r="P5315">
        <v>-2.5973798459834298E-2</v>
      </c>
      <c r="Q5315">
        <v>0.55696734140833504</v>
      </c>
      <c r="R5315">
        <v>0.92554482468279498</v>
      </c>
      <c r="S5315" t="s">
        <v>11931</v>
      </c>
      <c r="T5315" t="s">
        <v>13232</v>
      </c>
      <c r="U5315" t="s">
        <v>13232</v>
      </c>
      <c r="V5315" t="s">
        <v>13232</v>
      </c>
      <c r="W5315" t="s">
        <v>18480</v>
      </c>
      <c r="X5315">
        <v>63</v>
      </c>
      <c r="Y5315" t="s">
        <v>24880</v>
      </c>
      <c r="Z5315" t="s">
        <v>31446</v>
      </c>
      <c r="AA5315">
        <v>0.81585120190551252</v>
      </c>
      <c r="AB5315" t="str">
        <f>HYPERLINK("Melting_Curves/meltCurve_Q9BTC0_DIDO1.pdf", "Melting_Curves/meltCurve_Q9BTC0_DIDO1.pdf")</f>
        <v>Melting_Curves/meltCurve_Q9BTC0_DIDO1.pdf</v>
      </c>
    </row>
    <row r="5316" spans="1:28" x14ac:dyDescent="0.25">
      <c r="A5316" t="s">
        <v>5319</v>
      </c>
      <c r="B5316">
        <v>0.99930955844802105</v>
      </c>
      <c r="C5316">
        <v>0.83885906325599002</v>
      </c>
      <c r="D5316">
        <v>0.85974750116148002</v>
      </c>
      <c r="E5316">
        <v>0.73173025439192996</v>
      </c>
      <c r="F5316">
        <v>0.58289105120708495</v>
      </c>
      <c r="G5316">
        <v>0.47555009747659599</v>
      </c>
      <c r="H5316">
        <v>0.42978977808179197</v>
      </c>
      <c r="I5316">
        <v>0.44379884552017301</v>
      </c>
      <c r="J5316">
        <v>0.38734417170178698</v>
      </c>
      <c r="K5316">
        <v>0.321035336083065</v>
      </c>
      <c r="L5316">
        <v>487.70224568306901</v>
      </c>
      <c r="M5316">
        <v>9.4648499925332796</v>
      </c>
      <c r="N5316">
        <v>57.130331420587197</v>
      </c>
      <c r="O5316">
        <v>49.384731015384503</v>
      </c>
      <c r="P5316">
        <v>-3.3446399924631401E-2</v>
      </c>
      <c r="Q5316">
        <v>0.30236564290137602</v>
      </c>
      <c r="R5316">
        <v>0.97295936938086502</v>
      </c>
      <c r="S5316" t="s">
        <v>11932</v>
      </c>
      <c r="T5316" t="s">
        <v>13232</v>
      </c>
      <c r="U5316" t="s">
        <v>13232</v>
      </c>
      <c r="V5316" t="s">
        <v>13232</v>
      </c>
      <c r="W5316" t="s">
        <v>18481</v>
      </c>
      <c r="X5316">
        <v>9</v>
      </c>
      <c r="Y5316" t="s">
        <v>24881</v>
      </c>
      <c r="Z5316" t="s">
        <v>31447</v>
      </c>
      <c r="AA5316">
        <v>0.59989848193556405</v>
      </c>
      <c r="AB5316" t="str">
        <f>HYPERLINK("Melting_Curves/meltCurve_Q9BTD8_4_RBM42.pdf", "Melting_Curves/meltCurve_Q9BTD8_4_RBM42.pdf")</f>
        <v>Melting_Curves/meltCurve_Q9BTD8_4_RBM42.pdf</v>
      </c>
    </row>
    <row r="5317" spans="1:28" x14ac:dyDescent="0.25">
      <c r="A5317" t="s">
        <v>5320</v>
      </c>
      <c r="B5317">
        <v>0.99930955844802105</v>
      </c>
      <c r="C5317">
        <v>1.1200313358826</v>
      </c>
      <c r="D5317">
        <v>0.71406321777038895</v>
      </c>
      <c r="E5317">
        <v>1.2495645618882101</v>
      </c>
      <c r="F5317">
        <v>1.1563449009247799</v>
      </c>
      <c r="G5317">
        <v>0.91473834879733096</v>
      </c>
      <c r="H5317">
        <v>0.74058745544974303</v>
      </c>
      <c r="I5317">
        <v>0.51977814341677897</v>
      </c>
      <c r="J5317">
        <v>0.26149986035420297</v>
      </c>
      <c r="K5317">
        <v>0.16658061898368801</v>
      </c>
      <c r="L5317">
        <v>1592.3572999227099</v>
      </c>
      <c r="M5317">
        <v>25.076231457022502</v>
      </c>
      <c r="N5317">
        <v>63.951646639703299</v>
      </c>
      <c r="O5317">
        <v>63.100966298082</v>
      </c>
      <c r="P5317">
        <v>-9.1299401496699698E-2</v>
      </c>
      <c r="Q5317">
        <v>8.1041665928855797E-2</v>
      </c>
      <c r="R5317">
        <v>0.85126901801337396</v>
      </c>
      <c r="S5317" t="s">
        <v>11933</v>
      </c>
      <c r="T5317" t="s">
        <v>13232</v>
      </c>
      <c r="U5317" t="s">
        <v>13232</v>
      </c>
      <c r="V5317" t="s">
        <v>13232</v>
      </c>
      <c r="W5317" t="s">
        <v>18482</v>
      </c>
      <c r="X5317">
        <v>3</v>
      </c>
      <c r="Y5317" t="s">
        <v>24882</v>
      </c>
      <c r="Z5317" t="s">
        <v>31448</v>
      </c>
      <c r="AA5317">
        <v>0.80164035020151025</v>
      </c>
      <c r="AB5317" t="str">
        <f>HYPERLINK("Melting_Curves/meltCurve_Q9BTE1_2_DCTN5.pdf", "Melting_Curves/meltCurve_Q9BTE1_2_DCTN5.pdf")</f>
        <v>Melting_Curves/meltCurve_Q9BTE1_2_DCTN5.pdf</v>
      </c>
    </row>
    <row r="5318" spans="1:28" x14ac:dyDescent="0.25">
      <c r="A5318" t="s">
        <v>5321</v>
      </c>
      <c r="B5318">
        <v>0.99930955844802105</v>
      </c>
      <c r="C5318">
        <v>0.88696375270068994</v>
      </c>
      <c r="D5318">
        <v>0.85158192728719795</v>
      </c>
      <c r="E5318">
        <v>0.62298246979333805</v>
      </c>
      <c r="F5318">
        <v>0.22168960569829901</v>
      </c>
      <c r="G5318">
        <v>0.15873272751366699</v>
      </c>
      <c r="H5318">
        <v>9.5130634361810698E-2</v>
      </c>
      <c r="I5318">
        <v>7.9125858580232494E-2</v>
      </c>
      <c r="J5318">
        <v>6.8821548459049905E-2</v>
      </c>
      <c r="K5318">
        <v>5.2779496537847102E-2</v>
      </c>
      <c r="L5318">
        <v>1007.2090872338</v>
      </c>
      <c r="M5318">
        <v>20.058433644645099</v>
      </c>
      <c r="N5318">
        <v>50.530569336940999</v>
      </c>
      <c r="O5318">
        <v>49.722646628217099</v>
      </c>
      <c r="P5318">
        <v>-9.4895430122183599E-2</v>
      </c>
      <c r="Q5318">
        <v>5.9089017182344002E-2</v>
      </c>
      <c r="R5318">
        <v>0.98547138725763495</v>
      </c>
      <c r="S5318" t="s">
        <v>11934</v>
      </c>
      <c r="T5318" t="s">
        <v>13232</v>
      </c>
      <c r="U5318" t="s">
        <v>13232</v>
      </c>
      <c r="V5318" t="s">
        <v>13232</v>
      </c>
      <c r="W5318" t="s">
        <v>18483</v>
      </c>
      <c r="X5318">
        <v>22</v>
      </c>
      <c r="Y5318" t="s">
        <v>24883</v>
      </c>
      <c r="Z5318" t="s">
        <v>31449</v>
      </c>
      <c r="AA5318">
        <v>0.39244505839384508</v>
      </c>
      <c r="AB5318" t="str">
        <f>HYPERLINK("Melting_Curves/meltCurve_Q9BTE3_2_MCMBP.pdf", "Melting_Curves/meltCurve_Q9BTE3_2_MCMBP.pdf")</f>
        <v>Melting_Curves/meltCurve_Q9BTE3_2_MCMBP.pdf</v>
      </c>
    </row>
    <row r="5319" spans="1:28" x14ac:dyDescent="0.25">
      <c r="A5319" t="s">
        <v>5322</v>
      </c>
      <c r="B5319">
        <v>0.99930955844802105</v>
      </c>
      <c r="C5319">
        <v>0.90461314103193502</v>
      </c>
      <c r="D5319">
        <v>0.55338534777667203</v>
      </c>
      <c r="E5319">
        <v>0.353594517341147</v>
      </c>
      <c r="F5319">
        <v>0.22460098232151299</v>
      </c>
      <c r="G5319">
        <v>0.148658986366934</v>
      </c>
      <c r="H5319">
        <v>8.1341940746220601E-2</v>
      </c>
      <c r="I5319">
        <v>6.9171837521763202E-2</v>
      </c>
      <c r="J5319">
        <v>5.8908777534949802E-2</v>
      </c>
      <c r="K5319">
        <v>4.4340773390581602E-2</v>
      </c>
      <c r="L5319">
        <v>762.065834785579</v>
      </c>
      <c r="M5319">
        <v>16.133598918713599</v>
      </c>
      <c r="N5319">
        <v>47.6262568460171</v>
      </c>
      <c r="O5319">
        <v>46.526873771432399</v>
      </c>
      <c r="P5319">
        <v>-8.1311826290568406E-2</v>
      </c>
      <c r="Q5319">
        <v>6.2106386703233103E-2</v>
      </c>
      <c r="R5319">
        <v>0.98764996261573801</v>
      </c>
      <c r="S5319" t="s">
        <v>11935</v>
      </c>
      <c r="T5319" t="s">
        <v>13232</v>
      </c>
      <c r="U5319" t="s">
        <v>13232</v>
      </c>
      <c r="V5319" t="s">
        <v>13232</v>
      </c>
      <c r="W5319" t="s">
        <v>18484</v>
      </c>
      <c r="X5319">
        <v>22</v>
      </c>
      <c r="Y5319" t="s">
        <v>24884</v>
      </c>
      <c r="Z5319" t="s">
        <v>31450</v>
      </c>
      <c r="AA5319">
        <v>0.30989310812975018</v>
      </c>
      <c r="AB5319" t="str">
        <f>HYPERLINK("Melting_Curves/meltCurve_Q9BTE6_3_AARSD1.pdf", "Melting_Curves/meltCurve_Q9BTE6_3_AARSD1.pdf")</f>
        <v>Melting_Curves/meltCurve_Q9BTE6_3_AARSD1.pdf</v>
      </c>
    </row>
    <row r="5320" spans="1:28" x14ac:dyDescent="0.25">
      <c r="A5320" t="s">
        <v>5323</v>
      </c>
      <c r="B5320">
        <v>0.99930955844802105</v>
      </c>
      <c r="C5320">
        <v>0.918148273252685</v>
      </c>
      <c r="D5320">
        <v>0.42181858105477299</v>
      </c>
      <c r="E5320">
        <v>0.35281448741998001</v>
      </c>
      <c r="F5320">
        <v>0.197388588973576</v>
      </c>
      <c r="G5320">
        <v>0.117064903928803</v>
      </c>
      <c r="H5320">
        <v>6.1469620659159299E-2</v>
      </c>
      <c r="I5320">
        <v>5.0712376024951301E-2</v>
      </c>
      <c r="J5320">
        <v>4.0913424734328803E-2</v>
      </c>
      <c r="K5320">
        <v>3.0835660581025201E-2</v>
      </c>
      <c r="L5320">
        <v>788.01075210520798</v>
      </c>
      <c r="M5320">
        <v>16.946076045011999</v>
      </c>
      <c r="N5320">
        <v>46.821905136576198</v>
      </c>
      <c r="O5320">
        <v>45.868018736289201</v>
      </c>
      <c r="P5320">
        <v>-8.7305896256735196E-2</v>
      </c>
      <c r="Q5320">
        <v>5.4814419548736698E-2</v>
      </c>
      <c r="R5320">
        <v>0.96221065626184799</v>
      </c>
      <c r="S5320" t="s">
        <v>11936</v>
      </c>
      <c r="T5320" t="s">
        <v>13232</v>
      </c>
      <c r="U5320" t="s">
        <v>13232</v>
      </c>
      <c r="V5320" t="s">
        <v>13232</v>
      </c>
      <c r="W5320" t="s">
        <v>18485</v>
      </c>
      <c r="X5320">
        <v>9</v>
      </c>
      <c r="Y5320" t="s">
        <v>24885</v>
      </c>
      <c r="Z5320" t="s">
        <v>31451</v>
      </c>
      <c r="AA5320">
        <v>0.28010475435949661</v>
      </c>
      <c r="AB5320" t="str">
        <f>HYPERLINK("Melting_Curves/meltCurve_Q9BTE7_DCUN1D5.pdf", "Melting_Curves/meltCurve_Q9BTE7_DCUN1D5.pdf")</f>
        <v>Melting_Curves/meltCurve_Q9BTE7_DCUN1D5.pdf</v>
      </c>
    </row>
    <row r="5321" spans="1:28" x14ac:dyDescent="0.25">
      <c r="A5321" t="s">
        <v>5324</v>
      </c>
      <c r="B5321">
        <v>0.99930955844802105</v>
      </c>
      <c r="C5321">
        <v>0.92408064568482196</v>
      </c>
      <c r="D5321">
        <v>0.92007970866440203</v>
      </c>
      <c r="E5321">
        <v>0.77112263794622704</v>
      </c>
      <c r="F5321">
        <v>0.70004788946760199</v>
      </c>
      <c r="G5321">
        <v>0.44793405639426898</v>
      </c>
      <c r="H5321">
        <v>0.248639587882892</v>
      </c>
      <c r="I5321">
        <v>0.18405326136151301</v>
      </c>
      <c r="J5321">
        <v>0.16726362625792199</v>
      </c>
      <c r="K5321">
        <v>9.9399310929875098E-2</v>
      </c>
      <c r="L5321">
        <v>643.142329055098</v>
      </c>
      <c r="M5321">
        <v>11.5226115475041</v>
      </c>
      <c r="N5321">
        <v>55.941224697331101</v>
      </c>
      <c r="O5321">
        <v>54.2139531933162</v>
      </c>
      <c r="P5321">
        <v>-5.24713771615965E-2</v>
      </c>
      <c r="Q5321">
        <v>1.2766174066680199E-2</v>
      </c>
      <c r="R5321">
        <v>0.99370905310337299</v>
      </c>
      <c r="S5321" t="s">
        <v>11937</v>
      </c>
      <c r="T5321" t="s">
        <v>13232</v>
      </c>
      <c r="U5321" t="s">
        <v>13232</v>
      </c>
      <c r="V5321" t="s">
        <v>13232</v>
      </c>
      <c r="W5321" t="s">
        <v>18486</v>
      </c>
      <c r="X5321">
        <v>9</v>
      </c>
      <c r="Y5321" t="s">
        <v>24886</v>
      </c>
      <c r="Z5321" t="s">
        <v>31452</v>
      </c>
      <c r="AA5321">
        <v>0.55428881821458631</v>
      </c>
      <c r="AB5321" t="str">
        <f>HYPERLINK("Melting_Curves/meltCurve_Q9BTF0_THUMPD2.pdf", "Melting_Curves/meltCurve_Q9BTF0_THUMPD2.pdf")</f>
        <v>Melting_Curves/meltCurve_Q9BTF0_THUMPD2.pdf</v>
      </c>
    </row>
    <row r="5322" spans="1:28" x14ac:dyDescent="0.25">
      <c r="A5322" t="s">
        <v>5325</v>
      </c>
      <c r="B5322">
        <v>0.99930955844802105</v>
      </c>
      <c r="C5322">
        <v>1.06660566889013</v>
      </c>
      <c r="D5322">
        <v>0.95449998128303404</v>
      </c>
      <c r="E5322">
        <v>0.847723327414726</v>
      </c>
      <c r="F5322">
        <v>0.78801040104240905</v>
      </c>
      <c r="G5322">
        <v>0.74707760902454501</v>
      </c>
      <c r="H5322">
        <v>0.77029836705654098</v>
      </c>
      <c r="I5322">
        <v>0.87830047669586397</v>
      </c>
      <c r="J5322">
        <v>0.88736824249291402</v>
      </c>
      <c r="K5322">
        <v>0.72956891968231496</v>
      </c>
      <c r="L5322">
        <v>1836.4110258104599</v>
      </c>
      <c r="M5322">
        <v>38.260318654129499</v>
      </c>
      <c r="O5322">
        <v>47.867238347825101</v>
      </c>
      <c r="P5322">
        <v>-3.9845855028223999E-2</v>
      </c>
      <c r="Q5322">
        <v>0.80059692841122099</v>
      </c>
      <c r="R5322">
        <v>0.75772364097279199</v>
      </c>
      <c r="S5322" t="s">
        <v>11938</v>
      </c>
      <c r="T5322" t="s">
        <v>13232</v>
      </c>
      <c r="U5322" t="s">
        <v>13232</v>
      </c>
      <c r="V5322" t="s">
        <v>13232</v>
      </c>
      <c r="W5322" t="s">
        <v>18487</v>
      </c>
      <c r="X5322">
        <v>6</v>
      </c>
      <c r="Y5322" t="s">
        <v>24887</v>
      </c>
      <c r="Z5322" t="s">
        <v>31453</v>
      </c>
      <c r="AA5322">
        <v>0.85448287739924389</v>
      </c>
      <c r="AB5322" t="str">
        <f>HYPERLINK("Melting_Curves/meltCurve_Q9BTK6_PAGR1.pdf", "Melting_Curves/meltCurve_Q9BTK6_PAGR1.pdf")</f>
        <v>Melting_Curves/meltCurve_Q9BTK6_PAGR1.pdf</v>
      </c>
    </row>
    <row r="5323" spans="1:28" x14ac:dyDescent="0.25">
      <c r="A5323" t="s">
        <v>5326</v>
      </c>
      <c r="B5323">
        <v>0.99930955844802105</v>
      </c>
      <c r="C5323">
        <v>1.0527739927642901</v>
      </c>
      <c r="D5323">
        <v>1.0222250879146</v>
      </c>
      <c r="E5323">
        <v>0.99500253059324295</v>
      </c>
      <c r="F5323">
        <v>0.89529793247920098</v>
      </c>
      <c r="G5323">
        <v>0.66527484420493999</v>
      </c>
      <c r="H5323">
        <v>0.60010149040831495</v>
      </c>
      <c r="I5323">
        <v>0.63237402760397898</v>
      </c>
      <c r="J5323">
        <v>0.58637343992140001</v>
      </c>
      <c r="K5323">
        <v>0.48719130440390301</v>
      </c>
      <c r="L5323">
        <v>1683.1594200740501</v>
      </c>
      <c r="M5323">
        <v>30.619577974201299</v>
      </c>
      <c r="O5323">
        <v>54.737169555608297</v>
      </c>
      <c r="P5323">
        <v>-6.0508309979819201E-2</v>
      </c>
      <c r="Q5323">
        <v>0.56733123588477496</v>
      </c>
      <c r="R5323">
        <v>0.96698277256869902</v>
      </c>
      <c r="S5323" t="s">
        <v>11939</v>
      </c>
      <c r="T5323" t="s">
        <v>13232</v>
      </c>
      <c r="U5323" t="s">
        <v>13232</v>
      </c>
      <c r="V5323" t="s">
        <v>13232</v>
      </c>
      <c r="W5323" t="s">
        <v>18488</v>
      </c>
      <c r="X5323">
        <v>5</v>
      </c>
      <c r="Y5323" t="s">
        <v>24888</v>
      </c>
      <c r="Z5323" t="s">
        <v>31454</v>
      </c>
      <c r="AA5323">
        <v>0.78599384621995583</v>
      </c>
      <c r="AB5323" t="str">
        <f>HYPERLINK("Melting_Curves/meltCurve_Q9BTL3_FAM103A1.pdf", "Melting_Curves/meltCurve_Q9BTL3_FAM103A1.pdf")</f>
        <v>Melting_Curves/meltCurve_Q9BTL3_FAM103A1.pdf</v>
      </c>
    </row>
    <row r="5324" spans="1:28" x14ac:dyDescent="0.25">
      <c r="A5324" t="s">
        <v>5327</v>
      </c>
      <c r="B5324">
        <v>0.99930955844802105</v>
      </c>
      <c r="C5324">
        <v>0.94644688552790002</v>
      </c>
      <c r="D5324">
        <v>0.89444275541245399</v>
      </c>
      <c r="E5324">
        <v>0.86933071049786403</v>
      </c>
      <c r="F5324">
        <v>0.58941925961442898</v>
      </c>
      <c r="G5324">
        <v>0.32517969154084497</v>
      </c>
      <c r="H5324">
        <v>0.16333196432160399</v>
      </c>
      <c r="I5324">
        <v>0.126022648145271</v>
      </c>
      <c r="J5324">
        <v>0.101056431434772</v>
      </c>
      <c r="K5324">
        <v>6.5794767408726598E-2</v>
      </c>
      <c r="L5324">
        <v>950.85799502037901</v>
      </c>
      <c r="M5324">
        <v>17.602988610140301</v>
      </c>
      <c r="N5324">
        <v>54.411702657732299</v>
      </c>
      <c r="O5324">
        <v>53.3341946817729</v>
      </c>
      <c r="P5324">
        <v>-7.7569595921242906E-2</v>
      </c>
      <c r="Q5324">
        <v>5.9957560672196097E-2</v>
      </c>
      <c r="R5324">
        <v>0.99306300268358505</v>
      </c>
      <c r="S5324" t="s">
        <v>11940</v>
      </c>
      <c r="T5324" t="s">
        <v>13232</v>
      </c>
      <c r="U5324" t="s">
        <v>13232</v>
      </c>
      <c r="V5324" t="s">
        <v>13232</v>
      </c>
      <c r="W5324" t="s">
        <v>18489</v>
      </c>
      <c r="X5324">
        <v>2</v>
      </c>
      <c r="Y5324" t="s">
        <v>24889</v>
      </c>
      <c r="Z5324" t="s">
        <v>31455</v>
      </c>
      <c r="AA5324">
        <v>0.51470590168898134</v>
      </c>
      <c r="AB5324" t="str">
        <f>HYPERLINK("Melting_Curves/meltCurve_Q9BTM9_URM1.pdf", "Melting_Curves/meltCurve_Q9BTM9_URM1.pdf")</f>
        <v>Melting_Curves/meltCurve_Q9BTM9_URM1.pdf</v>
      </c>
    </row>
    <row r="5325" spans="1:28" x14ac:dyDescent="0.25">
      <c r="A5325" t="s">
        <v>5328</v>
      </c>
      <c r="B5325">
        <v>0.99930955844802105</v>
      </c>
      <c r="C5325">
        <v>1.27754915382704</v>
      </c>
      <c r="D5325">
        <v>1.3585173902010801</v>
      </c>
      <c r="E5325">
        <v>1.0477890041404201</v>
      </c>
      <c r="F5325">
        <v>0.73177128667069002</v>
      </c>
      <c r="G5325">
        <v>0.61349026956978303</v>
      </c>
      <c r="H5325">
        <v>0.599478764260998</v>
      </c>
      <c r="I5325">
        <v>0.55198208401760795</v>
      </c>
      <c r="J5325">
        <v>0.60981564969730295</v>
      </c>
      <c r="K5325">
        <v>0.51102386622742502</v>
      </c>
      <c r="L5325">
        <v>13220.801640011799</v>
      </c>
      <c r="M5325">
        <v>250</v>
      </c>
      <c r="O5325">
        <v>52.879822474342099</v>
      </c>
      <c r="P5325">
        <v>-0.49976752253488499</v>
      </c>
      <c r="Q5325">
        <v>0.57715811528388605</v>
      </c>
      <c r="R5325">
        <v>0.75838137573535103</v>
      </c>
      <c r="S5325" t="s">
        <v>11941</v>
      </c>
      <c r="T5325" t="s">
        <v>13232</v>
      </c>
      <c r="U5325" t="s">
        <v>13232</v>
      </c>
      <c r="V5325" t="s">
        <v>13232</v>
      </c>
      <c r="W5325" t="s">
        <v>18490</v>
      </c>
      <c r="X5325">
        <v>8</v>
      </c>
      <c r="Y5325" t="s">
        <v>24890</v>
      </c>
      <c r="Z5325" t="s">
        <v>31456</v>
      </c>
      <c r="AA5325">
        <v>0.75878267033740121</v>
      </c>
      <c r="AB5325" t="str">
        <f>HYPERLINK("Melting_Curves/meltCurve_Q9BTT0_ANP32E.pdf", "Melting_Curves/meltCurve_Q9BTT0_ANP32E.pdf")</f>
        <v>Melting_Curves/meltCurve_Q9BTT0_ANP32E.pdf</v>
      </c>
    </row>
    <row r="5326" spans="1:28" x14ac:dyDescent="0.25">
      <c r="A5326" t="s">
        <v>5329</v>
      </c>
      <c r="B5326">
        <v>0.99930955844802105</v>
      </c>
      <c r="C5326">
        <v>0.90410420082280296</v>
      </c>
      <c r="D5326">
        <v>0.97132043898411202</v>
      </c>
      <c r="E5326">
        <v>1.3202689223686399</v>
      </c>
      <c r="F5326">
        <v>0.95817114787995195</v>
      </c>
      <c r="G5326">
        <v>0.48369067607535299</v>
      </c>
      <c r="H5326">
        <v>0.358134842565969</v>
      </c>
      <c r="I5326">
        <v>0.28818175363523502</v>
      </c>
      <c r="J5326">
        <v>0.26544957708843497</v>
      </c>
      <c r="K5326">
        <v>0.237518524085052</v>
      </c>
      <c r="L5326">
        <v>2938.2443812388801</v>
      </c>
      <c r="M5326">
        <v>52.457823408028901</v>
      </c>
      <c r="N5326">
        <v>56.919620738025401</v>
      </c>
      <c r="O5326">
        <v>55.930337772598897</v>
      </c>
      <c r="P5326">
        <v>-0.16801113211830301</v>
      </c>
      <c r="Q5326">
        <v>0.28346912105070698</v>
      </c>
      <c r="R5326">
        <v>0.91338731329177303</v>
      </c>
      <c r="S5326" t="s">
        <v>11942</v>
      </c>
      <c r="T5326" t="s">
        <v>13232</v>
      </c>
      <c r="U5326" t="s">
        <v>13232</v>
      </c>
      <c r="V5326" t="s">
        <v>13232</v>
      </c>
      <c r="W5326" t="s">
        <v>18491</v>
      </c>
      <c r="X5326">
        <v>4</v>
      </c>
      <c r="Y5326" t="s">
        <v>24891</v>
      </c>
      <c r="Z5326" t="s">
        <v>31457</v>
      </c>
      <c r="AA5326">
        <v>0.66750128361623906</v>
      </c>
      <c r="AB5326" t="str">
        <f>HYPERLINK("Melting_Curves/meltCurve_Q9BTT4_MED10.pdf", "Melting_Curves/meltCurve_Q9BTT4_MED10.pdf")</f>
        <v>Melting_Curves/meltCurve_Q9BTT4_MED10.pdf</v>
      </c>
    </row>
    <row r="5327" spans="1:28" x14ac:dyDescent="0.25">
      <c r="A5327" t="s">
        <v>5330</v>
      </c>
      <c r="B5327">
        <v>0.99930955844802105</v>
      </c>
      <c r="C5327">
        <v>0.95388479851007502</v>
      </c>
      <c r="D5327">
        <v>1.0404889580315499</v>
      </c>
      <c r="E5327">
        <v>0.87416965471242203</v>
      </c>
      <c r="F5327">
        <v>0.75220891225640996</v>
      </c>
      <c r="G5327">
        <v>0.68993410593031601</v>
      </c>
      <c r="H5327">
        <v>0.41894909802011898</v>
      </c>
      <c r="I5327">
        <v>0.299920032643821</v>
      </c>
      <c r="J5327">
        <v>0.21576869748663399</v>
      </c>
      <c r="K5327">
        <v>0.17267404896909899</v>
      </c>
      <c r="L5327">
        <v>676.627777309257</v>
      </c>
      <c r="M5327">
        <v>11.3617052435026</v>
      </c>
      <c r="N5327">
        <v>59.594388080517803</v>
      </c>
      <c r="O5327">
        <v>57.797982839716099</v>
      </c>
      <c r="P5327">
        <v>-4.8967186735210499E-2</v>
      </c>
      <c r="Q5327">
        <v>3.8953000894942401E-3</v>
      </c>
      <c r="R5327">
        <v>0.98553473321312801</v>
      </c>
      <c r="S5327" t="s">
        <v>11943</v>
      </c>
      <c r="T5327" t="s">
        <v>13232</v>
      </c>
      <c r="U5327" t="s">
        <v>13232</v>
      </c>
      <c r="V5327" t="s">
        <v>13232</v>
      </c>
      <c r="W5327" t="s">
        <v>18492</v>
      </c>
      <c r="X5327">
        <v>5</v>
      </c>
      <c r="Y5327" t="s">
        <v>24892</v>
      </c>
      <c r="Z5327" t="s">
        <v>31458</v>
      </c>
      <c r="AA5327">
        <v>0.65665491788293562</v>
      </c>
      <c r="AB5327" t="str">
        <f>HYPERLINK("Melting_Curves/meltCurve_Q9BTV6_WDR85.pdf", "Melting_Curves/meltCurve_Q9BTV6_WDR85.pdf")</f>
        <v>Melting_Curves/meltCurve_Q9BTV6_WDR85.pdf</v>
      </c>
    </row>
    <row r="5328" spans="1:28" x14ac:dyDescent="0.25">
      <c r="A5328" t="s">
        <v>5331</v>
      </c>
      <c r="B5328">
        <v>0.99930955844802105</v>
      </c>
      <c r="C5328">
        <v>0.99879593189921001</v>
      </c>
      <c r="D5328">
        <v>0.75313347662515395</v>
      </c>
      <c r="E5328">
        <v>0.31293792357489703</v>
      </c>
      <c r="F5328">
        <v>0.17315144944645799</v>
      </c>
      <c r="G5328">
        <v>0.12573523154331401</v>
      </c>
      <c r="H5328">
        <v>8.76938172129028E-2</v>
      </c>
      <c r="I5328">
        <v>7.7724946685023194E-2</v>
      </c>
      <c r="J5328">
        <v>7.5209120996095502E-2</v>
      </c>
      <c r="K5328">
        <v>5.6406473609047603E-2</v>
      </c>
      <c r="L5328">
        <v>1219.5695295427199</v>
      </c>
      <c r="M5328">
        <v>25.44143827964</v>
      </c>
      <c r="N5328">
        <v>48.275761199407398</v>
      </c>
      <c r="O5328">
        <v>47.643118717188997</v>
      </c>
      <c r="P5328">
        <v>-0.12256894106840401</v>
      </c>
      <c r="Q5328">
        <v>8.1892537181508504E-2</v>
      </c>
      <c r="R5328">
        <v>0.99719194058968696</v>
      </c>
      <c r="S5328" t="s">
        <v>11944</v>
      </c>
      <c r="T5328" t="s">
        <v>13232</v>
      </c>
      <c r="U5328" t="s">
        <v>13232</v>
      </c>
      <c r="V5328" t="s">
        <v>13232</v>
      </c>
      <c r="W5328" t="s">
        <v>18493</v>
      </c>
      <c r="X5328">
        <v>34</v>
      </c>
      <c r="Y5328" t="s">
        <v>24893</v>
      </c>
      <c r="Z5328" t="s">
        <v>31459</v>
      </c>
      <c r="AA5328">
        <v>0.33259266539261539</v>
      </c>
      <c r="AB5328" t="str">
        <f>HYPERLINK("Melting_Curves/meltCurve_Q9BTW9_TBCD.pdf", "Melting_Curves/meltCurve_Q9BTW9_TBCD.pdf")</f>
        <v>Melting_Curves/meltCurve_Q9BTW9_TBCD.pdf</v>
      </c>
    </row>
    <row r="5329" spans="1:28" x14ac:dyDescent="0.25">
      <c r="A5329" t="s">
        <v>5332</v>
      </c>
      <c r="B5329">
        <v>0.99930955844802105</v>
      </c>
      <c r="C5329">
        <v>0.92328897512424102</v>
      </c>
      <c r="D5329">
        <v>0.92659815653922495</v>
      </c>
      <c r="E5329">
        <v>0.82356560342153595</v>
      </c>
      <c r="F5329">
        <v>0.73444733787634797</v>
      </c>
      <c r="G5329">
        <v>0.42915000408557202</v>
      </c>
      <c r="H5329">
        <v>0.16928086183770399</v>
      </c>
      <c r="I5329">
        <v>0.120470165738409</v>
      </c>
      <c r="J5329">
        <v>0.143006891540152</v>
      </c>
      <c r="K5329">
        <v>8.1693169262042495E-2</v>
      </c>
      <c r="L5329">
        <v>894.48159544713496</v>
      </c>
      <c r="M5329">
        <v>16.1526247582241</v>
      </c>
      <c r="N5329">
        <v>55.704349665411499</v>
      </c>
      <c r="O5329">
        <v>54.548940749524398</v>
      </c>
      <c r="P5329">
        <v>-7.0680041905740898E-2</v>
      </c>
      <c r="Q5329">
        <v>4.5299378418018801E-2</v>
      </c>
      <c r="R5329">
        <v>0.98887098593885903</v>
      </c>
      <c r="S5329" t="s">
        <v>11945</v>
      </c>
      <c r="T5329" t="s">
        <v>13232</v>
      </c>
      <c r="U5329" t="s">
        <v>13232</v>
      </c>
      <c r="V5329" t="s">
        <v>13232</v>
      </c>
      <c r="W5329" t="s">
        <v>18494</v>
      </c>
      <c r="X5329">
        <v>3</v>
      </c>
      <c r="Y5329" t="s">
        <v>24894</v>
      </c>
      <c r="Z5329" t="s">
        <v>31460</v>
      </c>
      <c r="AA5329">
        <v>0.55119559792716666</v>
      </c>
      <c r="AB5329" t="str">
        <f>HYPERLINK("Melting_Curves/meltCurve_Q9BTX7_TTPAL.pdf", "Melting_Curves/meltCurve_Q9BTX7_TTPAL.pdf")</f>
        <v>Melting_Curves/meltCurve_Q9BTX7_TTPAL.pdf</v>
      </c>
    </row>
    <row r="5330" spans="1:28" x14ac:dyDescent="0.25">
      <c r="A5330" t="s">
        <v>5333</v>
      </c>
      <c r="B5330">
        <v>0.99930955844802105</v>
      </c>
      <c r="C5330">
        <v>1.0081060798746</v>
      </c>
      <c r="D5330">
        <v>0.95291513021789997</v>
      </c>
      <c r="E5330">
        <v>0.92693308378526695</v>
      </c>
      <c r="F5330">
        <v>0.88306799209823905</v>
      </c>
      <c r="G5330">
        <v>0.60717057694167398</v>
      </c>
      <c r="H5330">
        <v>0.28411504076029498</v>
      </c>
      <c r="I5330">
        <v>0.13799990245948199</v>
      </c>
      <c r="J5330">
        <v>0.104841625573994</v>
      </c>
      <c r="K5330">
        <v>8.2295820992610999E-2</v>
      </c>
      <c r="L5330">
        <v>1209.49194105434</v>
      </c>
      <c r="M5330">
        <v>20.916521993770601</v>
      </c>
      <c r="N5330">
        <v>58.099982341754902</v>
      </c>
      <c r="O5330">
        <v>57.303951127877603</v>
      </c>
      <c r="P5330">
        <v>-8.6950368389032306E-2</v>
      </c>
      <c r="Q5330">
        <v>4.7171644780084898E-2</v>
      </c>
      <c r="R5330">
        <v>0.99716065384348296</v>
      </c>
      <c r="S5330" t="s">
        <v>11946</v>
      </c>
      <c r="T5330" t="s">
        <v>13232</v>
      </c>
      <c r="U5330" t="s">
        <v>13232</v>
      </c>
      <c r="V5330" t="s">
        <v>13232</v>
      </c>
      <c r="W5330" t="s">
        <v>18495</v>
      </c>
      <c r="X5330">
        <v>15</v>
      </c>
      <c r="Y5330" t="s">
        <v>24895</v>
      </c>
      <c r="Z5330" t="s">
        <v>31461</v>
      </c>
      <c r="AA5330">
        <v>0.6237670406285889</v>
      </c>
      <c r="AB5330" t="str">
        <f>HYPERLINK("Melting_Curves/meltCurve_Q9BTY2_FUCA2.pdf", "Melting_Curves/meltCurve_Q9BTY2_FUCA2.pdf")</f>
        <v>Melting_Curves/meltCurve_Q9BTY2_FUCA2.pdf</v>
      </c>
    </row>
    <row r="5331" spans="1:28" x14ac:dyDescent="0.25">
      <c r="A5331" t="s">
        <v>5334</v>
      </c>
      <c r="B5331">
        <v>0.99930955844802105</v>
      </c>
      <c r="C5331">
        <v>0.86965619657825899</v>
      </c>
      <c r="D5331">
        <v>0.53580245699554996</v>
      </c>
      <c r="E5331">
        <v>0.251265701342407</v>
      </c>
      <c r="F5331">
        <v>0.155702738009622</v>
      </c>
      <c r="G5331">
        <v>0.104045764503518</v>
      </c>
      <c r="H5331">
        <v>7.3943461802071106E-2</v>
      </c>
      <c r="I5331">
        <v>6.69360204400586E-2</v>
      </c>
      <c r="J5331">
        <v>6.4064789083151705E-2</v>
      </c>
      <c r="K5331">
        <v>4.7410760281477497E-2</v>
      </c>
      <c r="L5331">
        <v>952.16563303594205</v>
      </c>
      <c r="M5331">
        <v>20.5579058176729</v>
      </c>
      <c r="N5331">
        <v>46.654739765896601</v>
      </c>
      <c r="O5331">
        <v>45.884699658579898</v>
      </c>
      <c r="P5331">
        <v>-0.10425207850759501</v>
      </c>
      <c r="Q5331">
        <v>6.9275640126261598E-2</v>
      </c>
      <c r="R5331">
        <v>0.99641872714580704</v>
      </c>
      <c r="S5331" t="s">
        <v>11947</v>
      </c>
      <c r="T5331" t="s">
        <v>13232</v>
      </c>
      <c r="U5331" t="s">
        <v>13232</v>
      </c>
      <c r="V5331" t="s">
        <v>13232</v>
      </c>
      <c r="W5331" t="s">
        <v>18496</v>
      </c>
      <c r="X5331">
        <v>15</v>
      </c>
      <c r="Y5331" t="s">
        <v>24896</v>
      </c>
      <c r="Z5331" t="s">
        <v>31462</v>
      </c>
      <c r="AA5331">
        <v>0.27847380382084458</v>
      </c>
      <c r="AB5331" t="str">
        <f>HYPERLINK("Melting_Curves/meltCurve_Q9BTY7_FAM203A.pdf", "Melting_Curves/meltCurve_Q9BTY7_FAM203A.pdf")</f>
        <v>Melting_Curves/meltCurve_Q9BTY7_FAM203A.pdf</v>
      </c>
    </row>
    <row r="5332" spans="1:28" x14ac:dyDescent="0.25">
      <c r="A5332" t="s">
        <v>5335</v>
      </c>
      <c r="B5332">
        <v>0.99930955844802105</v>
      </c>
      <c r="C5332">
        <v>1.09311320883355</v>
      </c>
      <c r="D5332">
        <v>1.06591364100172</v>
      </c>
      <c r="E5332">
        <v>0.84070695107359605</v>
      </c>
      <c r="F5332">
        <v>0.55985812450700501</v>
      </c>
      <c r="G5332">
        <v>0.288684524705001</v>
      </c>
      <c r="H5332">
        <v>0.17768761720854001</v>
      </c>
      <c r="I5332">
        <v>0.16218476214235999</v>
      </c>
      <c r="J5332">
        <v>0.155980227508452</v>
      </c>
      <c r="K5332">
        <v>0.113465234056637</v>
      </c>
      <c r="L5332">
        <v>1358.3008471339399</v>
      </c>
      <c r="M5332">
        <v>25.620405910916698</v>
      </c>
      <c r="N5332">
        <v>53.729292842204899</v>
      </c>
      <c r="O5332">
        <v>52.696539802990799</v>
      </c>
      <c r="P5332">
        <v>-0.10403348938233301</v>
      </c>
      <c r="Q5332">
        <v>0.14409818135921099</v>
      </c>
      <c r="R5332">
        <v>0.98848515407455895</v>
      </c>
      <c r="S5332" t="s">
        <v>11948</v>
      </c>
      <c r="T5332" t="s">
        <v>13232</v>
      </c>
      <c r="U5332" t="s">
        <v>13232</v>
      </c>
      <c r="V5332" t="s">
        <v>13232</v>
      </c>
      <c r="W5332" t="s">
        <v>18497</v>
      </c>
      <c r="X5332">
        <v>9</v>
      </c>
      <c r="Y5332" t="s">
        <v>24897</v>
      </c>
      <c r="Z5332" t="s">
        <v>31463</v>
      </c>
      <c r="AA5332">
        <v>0.522981632782753</v>
      </c>
      <c r="AB5332" t="str">
        <f>HYPERLINK("Melting_Curves/meltCurve_Q9BU02_THTPA.pdf", "Melting_Curves/meltCurve_Q9BU02_THTPA.pdf")</f>
        <v>Melting_Curves/meltCurve_Q9BU02_THTPA.pdf</v>
      </c>
    </row>
    <row r="5333" spans="1:28" x14ac:dyDescent="0.25">
      <c r="A5333" t="s">
        <v>5336</v>
      </c>
      <c r="B5333">
        <v>0.99930955844802105</v>
      </c>
      <c r="C5333">
        <v>1.07697696338604</v>
      </c>
      <c r="D5333">
        <v>0.98738530589731199</v>
      </c>
      <c r="E5333">
        <v>0.83309070433311205</v>
      </c>
      <c r="F5333">
        <v>0.35333065337859898</v>
      </c>
      <c r="G5333">
        <v>0.16955532040343599</v>
      </c>
      <c r="H5333">
        <v>0.151451619250421</v>
      </c>
      <c r="I5333">
        <v>0.12636689787203101</v>
      </c>
      <c r="J5333">
        <v>9.9171162991663897E-2</v>
      </c>
      <c r="K5333">
        <v>7.7422477206820495E-2</v>
      </c>
      <c r="L5333">
        <v>2098.2851553773899</v>
      </c>
      <c r="M5333">
        <v>40.557215194088798</v>
      </c>
      <c r="N5333">
        <v>52.085878864876598</v>
      </c>
      <c r="O5333">
        <v>51.611117285391003</v>
      </c>
      <c r="P5333">
        <v>-0.17305483913444999</v>
      </c>
      <c r="Q5333">
        <v>0.119117424344233</v>
      </c>
      <c r="R5333">
        <v>0.993891524853727</v>
      </c>
      <c r="S5333" t="s">
        <v>11949</v>
      </c>
      <c r="T5333" t="s">
        <v>13232</v>
      </c>
      <c r="U5333" t="s">
        <v>13232</v>
      </c>
      <c r="V5333" t="s">
        <v>13232</v>
      </c>
      <c r="W5333" t="s">
        <v>18498</v>
      </c>
      <c r="X5333">
        <v>2</v>
      </c>
      <c r="Y5333" t="s">
        <v>24898</v>
      </c>
      <c r="Z5333" t="s">
        <v>31464</v>
      </c>
      <c r="AA5333">
        <v>0.46679368129342241</v>
      </c>
      <c r="AB5333" t="str">
        <f>HYPERLINK("Melting_Curves/meltCurve_Q9BU61_2_NDUFAF3.pdf", "Melting_Curves/meltCurve_Q9BU61_2_NDUFAF3.pdf")</f>
        <v>Melting_Curves/meltCurve_Q9BU61_2_NDUFAF3.pdf</v>
      </c>
    </row>
    <row r="5334" spans="1:28" x14ac:dyDescent="0.25">
      <c r="A5334" t="s">
        <v>5337</v>
      </c>
      <c r="B5334">
        <v>0.99930955844802105</v>
      </c>
      <c r="C5334">
        <v>1.17061992037174</v>
      </c>
      <c r="D5334">
        <v>1.46769945180238</v>
      </c>
      <c r="E5334">
        <v>1.0891164781781899</v>
      </c>
      <c r="F5334">
        <v>1.01464640646312</v>
      </c>
      <c r="G5334">
        <v>1.0773142813893699</v>
      </c>
      <c r="H5334">
        <v>0.98011690829329201</v>
      </c>
      <c r="I5334">
        <v>1.09227619857726</v>
      </c>
      <c r="J5334">
        <v>1.3968098354032601</v>
      </c>
      <c r="K5334">
        <v>0.95024872367760804</v>
      </c>
      <c r="L5334">
        <v>10275.050731413799</v>
      </c>
      <c r="M5334">
        <v>250</v>
      </c>
      <c r="O5334">
        <v>41.097571089796503</v>
      </c>
      <c r="P5334">
        <v>0.209334183194819</v>
      </c>
      <c r="Q5334">
        <v>1.1376500291270899</v>
      </c>
      <c r="R5334">
        <v>6.2059552863484697E-2</v>
      </c>
      <c r="S5334" t="s">
        <v>11950</v>
      </c>
      <c r="T5334" t="s">
        <v>13232</v>
      </c>
      <c r="U5334" t="s">
        <v>13232</v>
      </c>
      <c r="V5334" t="s">
        <v>13232</v>
      </c>
      <c r="W5334" t="s">
        <v>18499</v>
      </c>
      <c r="X5334">
        <v>2</v>
      </c>
      <c r="Y5334" t="s">
        <v>24899</v>
      </c>
      <c r="Z5334" t="s">
        <v>31465</v>
      </c>
      <c r="AA5334">
        <v>1.1325912702923591</v>
      </c>
      <c r="AB5334" t="str">
        <f>HYPERLINK("Melting_Curves/meltCurve_Q9BU64_CENPO.pdf", "Melting_Curves/meltCurve_Q9BU64_CENPO.pdf")</f>
        <v>Melting_Curves/meltCurve_Q9BU64_CENPO.pdf</v>
      </c>
    </row>
    <row r="5335" spans="1:28" x14ac:dyDescent="0.25">
      <c r="A5335" t="s">
        <v>5338</v>
      </c>
      <c r="B5335">
        <v>0.99930955844802105</v>
      </c>
      <c r="C5335">
        <v>1.0093796815449401</v>
      </c>
      <c r="D5335">
        <v>0.99646552194264704</v>
      </c>
      <c r="E5335">
        <v>0.928952752580403</v>
      </c>
      <c r="F5335">
        <v>0.787024229754267</v>
      </c>
      <c r="G5335">
        <v>0.7046715429282</v>
      </c>
      <c r="H5335">
        <v>0.66277839598046895</v>
      </c>
      <c r="I5335">
        <v>0.73716155518807802</v>
      </c>
      <c r="J5335">
        <v>0.71027857589686905</v>
      </c>
      <c r="K5335">
        <v>0.56325994714229399</v>
      </c>
      <c r="L5335">
        <v>1454.5849459225201</v>
      </c>
      <c r="M5335">
        <v>27.9009403779134</v>
      </c>
      <c r="O5335">
        <v>51.8682946211756</v>
      </c>
      <c r="P5335">
        <v>-4.4742907414218699E-2</v>
      </c>
      <c r="Q5335">
        <v>0.66729177132430195</v>
      </c>
      <c r="R5335">
        <v>0.92419415776107205</v>
      </c>
      <c r="S5335" t="s">
        <v>11951</v>
      </c>
      <c r="T5335" t="s">
        <v>13232</v>
      </c>
      <c r="U5335" t="s">
        <v>13232</v>
      </c>
      <c r="V5335" t="s">
        <v>13232</v>
      </c>
      <c r="W5335" t="s">
        <v>18500</v>
      </c>
      <c r="X5335">
        <v>16</v>
      </c>
      <c r="Y5335" t="s">
        <v>24900</v>
      </c>
      <c r="Z5335" t="s">
        <v>31466</v>
      </c>
      <c r="AA5335">
        <v>0.8043176402125638</v>
      </c>
      <c r="AB5335" t="str">
        <f>HYPERLINK("Melting_Curves/meltCurve_Q9BU76_MMTAG2.pdf", "Melting_Curves/meltCurve_Q9BU76_MMTAG2.pdf")</f>
        <v>Melting_Curves/meltCurve_Q9BU76_MMTAG2.pdf</v>
      </c>
    </row>
    <row r="5336" spans="1:28" x14ac:dyDescent="0.25">
      <c r="A5336" t="s">
        <v>5339</v>
      </c>
      <c r="B5336">
        <v>0.99930955844802105</v>
      </c>
      <c r="C5336">
        <v>1.061731182743</v>
      </c>
      <c r="D5336">
        <v>0.98023789463904998</v>
      </c>
      <c r="E5336">
        <v>0.77336715037700299</v>
      </c>
      <c r="F5336">
        <v>0.52684039273401495</v>
      </c>
      <c r="G5336">
        <v>0.36809770808265802</v>
      </c>
      <c r="H5336">
        <v>0.26558161687339099</v>
      </c>
      <c r="I5336">
        <v>0.25182623244917302</v>
      </c>
      <c r="J5336">
        <v>0.22947553165558601</v>
      </c>
      <c r="K5336">
        <v>0.19439372588273801</v>
      </c>
      <c r="L5336">
        <v>1092.53058390248</v>
      </c>
      <c r="M5336">
        <v>20.936980551917301</v>
      </c>
      <c r="N5336">
        <v>53.698461992129197</v>
      </c>
      <c r="O5336">
        <v>51.712818444832799</v>
      </c>
      <c r="P5336">
        <v>-7.8627908265977306E-2</v>
      </c>
      <c r="Q5336">
        <v>0.22320025012884601</v>
      </c>
      <c r="R5336">
        <v>0.99265698156998095</v>
      </c>
      <c r="S5336" t="s">
        <v>11952</v>
      </c>
      <c r="T5336" t="s">
        <v>13232</v>
      </c>
      <c r="U5336" t="s">
        <v>13232</v>
      </c>
      <c r="V5336" t="s">
        <v>13232</v>
      </c>
      <c r="W5336" t="s">
        <v>18501</v>
      </c>
      <c r="X5336">
        <v>12</v>
      </c>
      <c r="Y5336" t="s">
        <v>24901</v>
      </c>
      <c r="Z5336" t="s">
        <v>31467</v>
      </c>
      <c r="AA5336">
        <v>0.54852302600063219</v>
      </c>
      <c r="AB5336" t="str">
        <f>HYPERLINK("Melting_Curves/meltCurve_Q9BU89_DOHH.pdf", "Melting_Curves/meltCurve_Q9BU89_DOHH.pdf")</f>
        <v>Melting_Curves/meltCurve_Q9BU89_DOHH.pdf</v>
      </c>
    </row>
    <row r="5337" spans="1:28" x14ac:dyDescent="0.25">
      <c r="A5337" t="s">
        <v>5340</v>
      </c>
      <c r="B5337">
        <v>0.99930955844802105</v>
      </c>
      <c r="C5337">
        <v>0.96622437602502198</v>
      </c>
      <c r="D5337">
        <v>0.95480374688496505</v>
      </c>
      <c r="E5337">
        <v>0.83509542126790703</v>
      </c>
      <c r="F5337">
        <v>0.70696185751276497</v>
      </c>
      <c r="G5337">
        <v>0.57796892340772099</v>
      </c>
      <c r="H5337">
        <v>0.525255086709698</v>
      </c>
      <c r="I5337">
        <v>0.55977362646735696</v>
      </c>
      <c r="J5337">
        <v>0.51451601443404205</v>
      </c>
      <c r="K5337">
        <v>0.411847260145915</v>
      </c>
      <c r="L5337">
        <v>761.64359670600402</v>
      </c>
      <c r="M5337">
        <v>14.485022453654301</v>
      </c>
      <c r="N5337">
        <v>64.213496040935297</v>
      </c>
      <c r="O5337">
        <v>51.609756406257198</v>
      </c>
      <c r="P5337">
        <v>-3.7631602154600298E-2</v>
      </c>
      <c r="Q5337">
        <v>0.46374045854992102</v>
      </c>
      <c r="R5337">
        <v>0.97778204574429295</v>
      </c>
      <c r="S5337" t="s">
        <v>11953</v>
      </c>
      <c r="T5337" t="s">
        <v>13232</v>
      </c>
      <c r="U5337" t="s">
        <v>13232</v>
      </c>
      <c r="V5337" t="s">
        <v>13232</v>
      </c>
      <c r="W5337" t="s">
        <v>18502</v>
      </c>
      <c r="X5337">
        <v>14</v>
      </c>
      <c r="Y5337" t="s">
        <v>24902</v>
      </c>
      <c r="Z5337" t="s">
        <v>31468</v>
      </c>
      <c r="AA5337">
        <v>0.70097554070804025</v>
      </c>
      <c r="AB5337" t="str">
        <f>HYPERLINK("Melting_Curves/meltCurve_Q9BUA3_C11orf84.pdf", "Melting_Curves/meltCurve_Q9BUA3_C11orf84.pdf")</f>
        <v>Melting_Curves/meltCurve_Q9BUA3_C11orf84.pdf</v>
      </c>
    </row>
    <row r="5338" spans="1:28" x14ac:dyDescent="0.25">
      <c r="A5338" t="s">
        <v>5341</v>
      </c>
      <c r="B5338">
        <v>0.99930955844802105</v>
      </c>
      <c r="C5338">
        <v>1.2269158215962701</v>
      </c>
      <c r="D5338">
        <v>1.04989844819754</v>
      </c>
      <c r="E5338">
        <v>0.45935763551722802</v>
      </c>
      <c r="F5338">
        <v>0.244452343514583</v>
      </c>
      <c r="G5338">
        <v>0.21428924299610599</v>
      </c>
      <c r="H5338">
        <v>0.17159906731462199</v>
      </c>
      <c r="I5338">
        <v>0.20355235284884601</v>
      </c>
      <c r="J5338">
        <v>0.19332765629030599</v>
      </c>
      <c r="K5338">
        <v>0.146346402480382</v>
      </c>
      <c r="L5338">
        <v>3442.4071336551301</v>
      </c>
      <c r="M5338">
        <v>69.5416807085183</v>
      </c>
      <c r="N5338">
        <v>49.8529929159386</v>
      </c>
      <c r="O5338">
        <v>49.4604790203188</v>
      </c>
      <c r="P5338">
        <v>-0.28336098828453199</v>
      </c>
      <c r="Q5338">
        <v>0.193855397686271</v>
      </c>
      <c r="R5338">
        <v>0.96378864205478798</v>
      </c>
      <c r="S5338" t="s">
        <v>11954</v>
      </c>
      <c r="T5338" t="s">
        <v>13232</v>
      </c>
      <c r="U5338" t="s">
        <v>13232</v>
      </c>
      <c r="V5338" t="s">
        <v>13232</v>
      </c>
      <c r="W5338" t="s">
        <v>18503</v>
      </c>
      <c r="X5338">
        <v>3</v>
      </c>
      <c r="Y5338" t="s">
        <v>24903</v>
      </c>
      <c r="Z5338" t="s">
        <v>31469</v>
      </c>
      <c r="AA5338">
        <v>0.45007831575185281</v>
      </c>
      <c r="AB5338" t="str">
        <f>HYPERLINK("Melting_Curves/meltCurve_Q9BUB4_ADAT1.pdf", "Melting_Curves/meltCurve_Q9BUB4_ADAT1.pdf")</f>
        <v>Melting_Curves/meltCurve_Q9BUB4_ADAT1.pdf</v>
      </c>
    </row>
    <row r="5339" spans="1:28" x14ac:dyDescent="0.25">
      <c r="A5339" t="s">
        <v>5342</v>
      </c>
      <c r="B5339">
        <v>0.99930955844802105</v>
      </c>
      <c r="C5339">
        <v>1.0775864683837599</v>
      </c>
      <c r="D5339">
        <v>1.0490313652421801</v>
      </c>
      <c r="E5339">
        <v>0.83921289203195404</v>
      </c>
      <c r="F5339">
        <v>0.32700930659104199</v>
      </c>
      <c r="G5339">
        <v>0.15118527766463799</v>
      </c>
      <c r="H5339">
        <v>8.9883726683919099E-2</v>
      </c>
      <c r="I5339">
        <v>7.4910733071374094E-2</v>
      </c>
      <c r="J5339">
        <v>6.0084091683249498E-2</v>
      </c>
      <c r="K5339">
        <v>4.7927355656899699E-2</v>
      </c>
      <c r="L5339">
        <v>2180.6540992570799</v>
      </c>
      <c r="M5339">
        <v>42.089670880413301</v>
      </c>
      <c r="N5339">
        <v>52.022456286722097</v>
      </c>
      <c r="O5339">
        <v>51.6931775808523</v>
      </c>
      <c r="P5339">
        <v>-0.18746252979127301</v>
      </c>
      <c r="Q5339">
        <v>7.9059814118369598E-2</v>
      </c>
      <c r="R5339">
        <v>0.99300157608333595</v>
      </c>
      <c r="S5339" t="s">
        <v>11955</v>
      </c>
      <c r="T5339" t="s">
        <v>13232</v>
      </c>
      <c r="U5339" t="s">
        <v>13232</v>
      </c>
      <c r="V5339" t="s">
        <v>13232</v>
      </c>
      <c r="W5339" t="s">
        <v>18504</v>
      </c>
      <c r="X5339">
        <v>7</v>
      </c>
      <c r="Y5339" t="s">
        <v>24904</v>
      </c>
      <c r="Z5339" t="s">
        <v>31470</v>
      </c>
      <c r="AA5339">
        <v>0.44457050886796579</v>
      </c>
      <c r="AB5339" t="str">
        <f>HYPERLINK("Melting_Curves/meltCurve_Q9BUB5_2_MKNK1.pdf", "Melting_Curves/meltCurve_Q9BUB5_2_MKNK1.pdf")</f>
        <v>Melting_Curves/meltCurve_Q9BUB5_2_MKNK1.pdf</v>
      </c>
    </row>
    <row r="5340" spans="1:28" x14ac:dyDescent="0.25">
      <c r="A5340" t="s">
        <v>5343</v>
      </c>
      <c r="B5340">
        <v>0.99930955844802105</v>
      </c>
      <c r="C5340">
        <v>1.0901797505170201</v>
      </c>
      <c r="D5340">
        <v>1.05598607565798</v>
      </c>
      <c r="E5340">
        <v>0.90705199811186399</v>
      </c>
      <c r="F5340">
        <v>0.63936236312147199</v>
      </c>
      <c r="G5340">
        <v>0.34065788343933001</v>
      </c>
      <c r="H5340">
        <v>0.118559428421318</v>
      </c>
      <c r="I5340">
        <v>8.6450914054915395E-2</v>
      </c>
      <c r="J5340">
        <v>7.5098847075773606E-2</v>
      </c>
      <c r="K5340">
        <v>5.3263866939057797E-2</v>
      </c>
      <c r="L5340">
        <v>1236.50510157437</v>
      </c>
      <c r="M5340">
        <v>22.687699987532099</v>
      </c>
      <c r="N5340">
        <v>54.781453832542397</v>
      </c>
      <c r="O5340">
        <v>54.082996566216501</v>
      </c>
      <c r="P5340">
        <v>-9.9128625147229005E-2</v>
      </c>
      <c r="Q5340">
        <v>5.4806411427113101E-2</v>
      </c>
      <c r="R5340">
        <v>0.99105736890755003</v>
      </c>
      <c r="S5340" t="s">
        <v>11956</v>
      </c>
      <c r="T5340" t="s">
        <v>13232</v>
      </c>
      <c r="U5340" t="s">
        <v>13232</v>
      </c>
      <c r="V5340" t="s">
        <v>13232</v>
      </c>
      <c r="W5340" t="s">
        <v>18505</v>
      </c>
      <c r="X5340">
        <v>6</v>
      </c>
      <c r="Y5340" t="s">
        <v>24905</v>
      </c>
      <c r="Z5340" t="s">
        <v>31471</v>
      </c>
      <c r="AA5340">
        <v>0.52205243067405316</v>
      </c>
      <c r="AB5340" t="str">
        <f>HYPERLINK("Melting_Curves/meltCurve_Q9BUE0_MED18.pdf", "Melting_Curves/meltCurve_Q9BUE0_MED18.pdf")</f>
        <v>Melting_Curves/meltCurve_Q9BUE0_MED18.pdf</v>
      </c>
    </row>
    <row r="5341" spans="1:28" x14ac:dyDescent="0.25">
      <c r="A5341" t="s">
        <v>5344</v>
      </c>
      <c r="B5341">
        <v>0.99930955844802105</v>
      </c>
      <c r="C5341">
        <v>0.33939247799279099</v>
      </c>
      <c r="D5341">
        <v>0.29301264351109002</v>
      </c>
      <c r="E5341">
        <v>0.33554686784571303</v>
      </c>
      <c r="F5341">
        <v>0.25094614331312498</v>
      </c>
      <c r="G5341">
        <v>0.15454682911550899</v>
      </c>
      <c r="H5341">
        <v>7.2872867591727994E-2</v>
      </c>
      <c r="I5341">
        <v>6.0698151443449297E-2</v>
      </c>
      <c r="J5341">
        <v>4.5425480518825299E-2</v>
      </c>
      <c r="K5341">
        <v>4.05119117344944E-2</v>
      </c>
      <c r="L5341">
        <v>3079.35998201539</v>
      </c>
      <c r="M5341">
        <v>73.0384445115143</v>
      </c>
      <c r="N5341">
        <v>42.377996488419399</v>
      </c>
      <c r="O5341">
        <v>42.129236606161598</v>
      </c>
      <c r="P5341">
        <v>-0.36575289973453301</v>
      </c>
      <c r="Q5341">
        <v>0.156121814378167</v>
      </c>
      <c r="R5341">
        <v>0.86306378638301695</v>
      </c>
      <c r="S5341" t="s">
        <v>11957</v>
      </c>
      <c r="T5341" t="s">
        <v>13232</v>
      </c>
      <c r="U5341" t="s">
        <v>13232</v>
      </c>
      <c r="V5341" t="s">
        <v>13232</v>
      </c>
      <c r="W5341" t="s">
        <v>18506</v>
      </c>
      <c r="X5341">
        <v>18</v>
      </c>
      <c r="Y5341" t="s">
        <v>24906</v>
      </c>
      <c r="Z5341" t="s">
        <v>31472</v>
      </c>
      <c r="AA5341">
        <v>0.21791005172241359</v>
      </c>
      <c r="AB5341" t="str">
        <f>HYPERLINK("Melting_Curves/meltCurve_Q9BUF5_TUBB6.pdf", "Melting_Curves/meltCurve_Q9BUF5_TUBB6.pdf")</f>
        <v>Melting_Curves/meltCurve_Q9BUF5_TUBB6.pdf</v>
      </c>
    </row>
    <row r="5342" spans="1:28" x14ac:dyDescent="0.25">
      <c r="A5342" t="s">
        <v>5345</v>
      </c>
      <c r="B5342">
        <v>0.99930955844802105</v>
      </c>
      <c r="C5342">
        <v>1.10091968011507</v>
      </c>
      <c r="D5342">
        <v>1.01308741803554</v>
      </c>
      <c r="E5342">
        <v>0.97267762194668395</v>
      </c>
      <c r="F5342">
        <v>0.90018293753633105</v>
      </c>
      <c r="G5342">
        <v>0.77556188907918799</v>
      </c>
      <c r="H5342">
        <v>0.67609666927333101</v>
      </c>
      <c r="I5342">
        <v>0.57173492525910596</v>
      </c>
      <c r="J5342">
        <v>0.36382924823227197</v>
      </c>
      <c r="K5342">
        <v>0.15374657713894599</v>
      </c>
      <c r="L5342">
        <v>857.68595911637897</v>
      </c>
      <c r="M5342">
        <v>13.413111387016</v>
      </c>
      <c r="N5342">
        <v>63.943831077686703</v>
      </c>
      <c r="O5342">
        <v>62.572706402394502</v>
      </c>
      <c r="P5342">
        <v>-5.3598486799169502E-2</v>
      </c>
      <c r="Q5342">
        <v>0</v>
      </c>
      <c r="R5342">
        <v>0.96601162638611204</v>
      </c>
      <c r="S5342" t="s">
        <v>11958</v>
      </c>
      <c r="T5342" t="s">
        <v>13232</v>
      </c>
      <c r="U5342" t="s">
        <v>13232</v>
      </c>
      <c r="V5342" t="s">
        <v>13232</v>
      </c>
      <c r="W5342" t="s">
        <v>18507</v>
      </c>
      <c r="X5342">
        <v>11</v>
      </c>
      <c r="Y5342" t="s">
        <v>24907</v>
      </c>
      <c r="Z5342" t="s">
        <v>31473</v>
      </c>
      <c r="AA5342">
        <v>0.77616768168510852</v>
      </c>
      <c r="AB5342" t="str">
        <f>HYPERLINK("Melting_Curves/meltCurve_Q9BUH6_C9orf142.pdf", "Melting_Curves/meltCurve_Q9BUH6_C9orf142.pdf")</f>
        <v>Melting_Curves/meltCurve_Q9BUH6_C9orf142.pdf</v>
      </c>
    </row>
    <row r="5343" spans="1:28" x14ac:dyDescent="0.25">
      <c r="A5343" t="s">
        <v>5346</v>
      </c>
      <c r="B5343">
        <v>0.99930955844802105</v>
      </c>
      <c r="C5343">
        <v>0.904267909715464</v>
      </c>
      <c r="D5343">
        <v>0.91376738608796004</v>
      </c>
      <c r="E5343">
        <v>0.71796397177573601</v>
      </c>
      <c r="F5343">
        <v>0.50899284073515505</v>
      </c>
      <c r="G5343">
        <v>0.28425897288356899</v>
      </c>
      <c r="H5343">
        <v>0.17287008441077001</v>
      </c>
      <c r="I5343">
        <v>0.15101258939672499</v>
      </c>
      <c r="J5343">
        <v>0.143588446745088</v>
      </c>
      <c r="K5343">
        <v>0.11093661091901</v>
      </c>
      <c r="L5343">
        <v>811.00039564696999</v>
      </c>
      <c r="M5343">
        <v>15.4939868888279</v>
      </c>
      <c r="N5343">
        <v>53.080265134327703</v>
      </c>
      <c r="O5343">
        <v>51.4942322873245</v>
      </c>
      <c r="P5343">
        <v>-6.7944828590595599E-2</v>
      </c>
      <c r="Q5343">
        <v>9.6822391620810203E-2</v>
      </c>
      <c r="R5343">
        <v>0.99542344523010495</v>
      </c>
      <c r="S5343" t="s">
        <v>11959</v>
      </c>
      <c r="T5343" t="s">
        <v>13232</v>
      </c>
      <c r="U5343" t="s">
        <v>13232</v>
      </c>
      <c r="V5343" t="s">
        <v>13232</v>
      </c>
      <c r="W5343" t="s">
        <v>18508</v>
      </c>
      <c r="X5343">
        <v>15</v>
      </c>
      <c r="Y5343" t="s">
        <v>24908</v>
      </c>
      <c r="Z5343" t="s">
        <v>31474</v>
      </c>
      <c r="AA5343">
        <v>0.48741565243476531</v>
      </c>
      <c r="AB5343" t="str">
        <f>HYPERLINK("Melting_Curves/meltCurve_Q9BUI4_POLR3C.pdf", "Melting_Curves/meltCurve_Q9BUI4_POLR3C.pdf")</f>
        <v>Melting_Curves/meltCurve_Q9BUI4_POLR3C.pdf</v>
      </c>
    </row>
    <row r="5344" spans="1:28" x14ac:dyDescent="0.25">
      <c r="A5344" t="s">
        <v>5347</v>
      </c>
      <c r="B5344">
        <v>0.99930955844802105</v>
      </c>
      <c r="C5344">
        <v>0.85235801491554197</v>
      </c>
      <c r="D5344">
        <v>0.79248569503946098</v>
      </c>
      <c r="E5344">
        <v>0.68791892757013295</v>
      </c>
      <c r="F5344">
        <v>0.54375717009347901</v>
      </c>
      <c r="G5344">
        <v>0.47686404539417698</v>
      </c>
      <c r="H5344">
        <v>0.40292090089239702</v>
      </c>
      <c r="I5344">
        <v>0.44784604802746802</v>
      </c>
      <c r="J5344">
        <v>0.42195901418722598</v>
      </c>
      <c r="K5344">
        <v>0.33226147922405802</v>
      </c>
      <c r="L5344">
        <v>521.68317887317005</v>
      </c>
      <c r="M5344">
        <v>10.5468584268593</v>
      </c>
      <c r="N5344">
        <v>55.847952264959702</v>
      </c>
      <c r="O5344">
        <v>47.784439018439798</v>
      </c>
      <c r="P5344">
        <v>-3.5866312460364702E-2</v>
      </c>
      <c r="Q5344">
        <v>0.35026259426113299</v>
      </c>
      <c r="R5344">
        <v>0.97527292513763197</v>
      </c>
      <c r="S5344" t="s">
        <v>11960</v>
      </c>
      <c r="T5344" t="s">
        <v>13232</v>
      </c>
      <c r="U5344" t="s">
        <v>13232</v>
      </c>
      <c r="V5344" t="s">
        <v>13232</v>
      </c>
      <c r="W5344" t="s">
        <v>18509</v>
      </c>
      <c r="X5344">
        <v>31</v>
      </c>
      <c r="Y5344" t="s">
        <v>24909</v>
      </c>
      <c r="Z5344" t="s">
        <v>31475</v>
      </c>
      <c r="AA5344">
        <v>0.58359502752923531</v>
      </c>
      <c r="AB5344" t="str">
        <f>HYPERLINK("Melting_Curves/meltCurve_Q9BUJ2_2_HNRNPUL1.pdf", "Melting_Curves/meltCurve_Q9BUJ2_2_HNRNPUL1.pdf")</f>
        <v>Melting_Curves/meltCurve_Q9BUJ2_2_HNRNPUL1.pdf</v>
      </c>
    </row>
    <row r="5345" spans="1:28" x14ac:dyDescent="0.25">
      <c r="A5345" t="s">
        <v>5348</v>
      </c>
      <c r="B5345">
        <v>0.99930955844802105</v>
      </c>
      <c r="C5345">
        <v>0.96217188164183398</v>
      </c>
      <c r="D5345">
        <v>0.92333707281690502</v>
      </c>
      <c r="E5345">
        <v>0.75868799953535604</v>
      </c>
      <c r="F5345">
        <v>0.30858531497142699</v>
      </c>
      <c r="G5345">
        <v>0.12882821225705399</v>
      </c>
      <c r="H5345">
        <v>7.0336477032526906E-2</v>
      </c>
      <c r="I5345">
        <v>5.8762569672149399E-2</v>
      </c>
      <c r="J5345">
        <v>5.3387412483621E-2</v>
      </c>
      <c r="K5345">
        <v>4.24012320632354E-2</v>
      </c>
      <c r="L5345">
        <v>1611.58061485602</v>
      </c>
      <c r="M5345">
        <v>31.295905130504799</v>
      </c>
      <c r="N5345">
        <v>51.6966185009165</v>
      </c>
      <c r="O5345">
        <v>51.286037481343598</v>
      </c>
      <c r="P5345">
        <v>-0.14378873702488401</v>
      </c>
      <c r="Q5345">
        <v>5.7472107091380301E-2</v>
      </c>
      <c r="R5345">
        <v>0.99600054851917097</v>
      </c>
      <c r="S5345" t="s">
        <v>11961</v>
      </c>
      <c r="T5345" t="s">
        <v>13232</v>
      </c>
      <c r="U5345" t="s">
        <v>13232</v>
      </c>
      <c r="V5345" t="s">
        <v>13232</v>
      </c>
      <c r="W5345" t="s">
        <v>18510</v>
      </c>
      <c r="X5345">
        <v>14</v>
      </c>
      <c r="Y5345" t="s">
        <v>24910</v>
      </c>
      <c r="Z5345" t="s">
        <v>31476</v>
      </c>
      <c r="AA5345">
        <v>0.42410574147298469</v>
      </c>
      <c r="AB5345" t="str">
        <f>HYPERLINK("Melting_Curves/meltCurve_Q9BUK6_2_MSTO1.pdf", "Melting_Curves/meltCurve_Q9BUK6_2_MSTO1.pdf")</f>
        <v>Melting_Curves/meltCurve_Q9BUK6_2_MSTO1.pdf</v>
      </c>
    </row>
    <row r="5346" spans="1:28" x14ac:dyDescent="0.25">
      <c r="A5346" t="s">
        <v>5349</v>
      </c>
      <c r="B5346">
        <v>0.99930955844802105</v>
      </c>
      <c r="C5346">
        <v>0.94464704743015204</v>
      </c>
      <c r="D5346">
        <v>1.02630422084967</v>
      </c>
      <c r="E5346">
        <v>1.10657242164689</v>
      </c>
      <c r="F5346">
        <v>1.1431397692405001</v>
      </c>
      <c r="G5346">
        <v>0.83888552164494701</v>
      </c>
      <c r="H5346">
        <v>0.42963827730696402</v>
      </c>
      <c r="I5346">
        <v>0.29349744606676398</v>
      </c>
      <c r="J5346">
        <v>0.22641991428015401</v>
      </c>
      <c r="K5346">
        <v>0.190059320061088</v>
      </c>
      <c r="L5346">
        <v>2164.3461319923099</v>
      </c>
      <c r="M5346">
        <v>36.429496505349597</v>
      </c>
      <c r="N5346">
        <v>60.323506417752</v>
      </c>
      <c r="O5346">
        <v>59.233714871460101</v>
      </c>
      <c r="P5346">
        <v>-0.121208186265313</v>
      </c>
      <c r="Q5346">
        <v>0.21167263423389701</v>
      </c>
      <c r="R5346">
        <v>0.97013788324448502</v>
      </c>
      <c r="S5346" t="s">
        <v>11962</v>
      </c>
      <c r="T5346" t="s">
        <v>13232</v>
      </c>
      <c r="U5346" t="s">
        <v>13232</v>
      </c>
      <c r="V5346" t="s">
        <v>13232</v>
      </c>
      <c r="W5346" t="s">
        <v>18511</v>
      </c>
      <c r="X5346">
        <v>9</v>
      </c>
      <c r="Y5346" t="s">
        <v>24911</v>
      </c>
      <c r="Z5346" t="s">
        <v>31477</v>
      </c>
      <c r="AA5346">
        <v>0.72542476018140789</v>
      </c>
      <c r="AB5346" t="str">
        <f>HYPERLINK("Melting_Curves/meltCurve_Q9BUL9_RPP25.pdf", "Melting_Curves/meltCurve_Q9BUL9_RPP25.pdf")</f>
        <v>Melting_Curves/meltCurve_Q9BUL9_RPP25.pdf</v>
      </c>
    </row>
    <row r="5347" spans="1:28" x14ac:dyDescent="0.25">
      <c r="A5347" t="s">
        <v>5350</v>
      </c>
      <c r="B5347">
        <v>0.99930955844802105</v>
      </c>
      <c r="C5347">
        <v>0.95374738453166397</v>
      </c>
      <c r="D5347">
        <v>0.96643866054632399</v>
      </c>
      <c r="E5347">
        <v>0.92303932311120496</v>
      </c>
      <c r="F5347">
        <v>0.82097794767259402</v>
      </c>
      <c r="G5347">
        <v>0.71109962942290295</v>
      </c>
      <c r="H5347">
        <v>0.58684949563671795</v>
      </c>
      <c r="I5347">
        <v>0.52250618756147704</v>
      </c>
      <c r="J5347">
        <v>0.60753392224607805</v>
      </c>
      <c r="K5347">
        <v>0.483814468468722</v>
      </c>
      <c r="L5347">
        <v>781.45414222435397</v>
      </c>
      <c r="M5347">
        <v>14.089846299515401</v>
      </c>
      <c r="O5347">
        <v>54.380859306073098</v>
      </c>
      <c r="P5347">
        <v>-3.2930441151790502E-2</v>
      </c>
      <c r="Q5347">
        <v>0.49167520012493099</v>
      </c>
      <c r="R5347">
        <v>0.97151075665376496</v>
      </c>
      <c r="S5347" t="s">
        <v>11963</v>
      </c>
      <c r="T5347" t="s">
        <v>13232</v>
      </c>
      <c r="U5347" t="s">
        <v>13232</v>
      </c>
      <c r="V5347" t="s">
        <v>13232</v>
      </c>
      <c r="W5347" t="s">
        <v>18512</v>
      </c>
      <c r="X5347">
        <v>2</v>
      </c>
      <c r="Y5347" t="s">
        <v>24912</v>
      </c>
      <c r="Z5347" t="s">
        <v>31478</v>
      </c>
      <c r="AA5347">
        <v>0.76368784879411633</v>
      </c>
      <c r="AB5347" t="str">
        <f>HYPERLINK("Melting_Curves/meltCurve_Q9BUN5_CCDC28B.pdf", "Melting_Curves/meltCurve_Q9BUN5_CCDC28B.pdf")</f>
        <v>Melting_Curves/meltCurve_Q9BUN5_CCDC28B.pdf</v>
      </c>
    </row>
    <row r="5348" spans="1:28" x14ac:dyDescent="0.25">
      <c r="A5348" t="s">
        <v>5351</v>
      </c>
      <c r="B5348">
        <v>0.99930955844802105</v>
      </c>
      <c r="C5348">
        <v>1.0903957534747899</v>
      </c>
      <c r="D5348">
        <v>1.0527213032432099</v>
      </c>
      <c r="E5348">
        <v>0.81906298776401798</v>
      </c>
      <c r="F5348">
        <v>0.41566145399675197</v>
      </c>
      <c r="G5348">
        <v>0.243573205985672</v>
      </c>
      <c r="H5348">
        <v>0.15481241907261101</v>
      </c>
      <c r="I5348">
        <v>0.14671339110267301</v>
      </c>
      <c r="J5348">
        <v>0.13773515434717701</v>
      </c>
      <c r="K5348">
        <v>0.110899418291311</v>
      </c>
      <c r="L5348">
        <v>1737.09017621972</v>
      </c>
      <c r="M5348">
        <v>33.452153896836698</v>
      </c>
      <c r="N5348">
        <v>52.470260175538101</v>
      </c>
      <c r="O5348">
        <v>51.743093083181201</v>
      </c>
      <c r="P5348">
        <v>-0.13799172632802501</v>
      </c>
      <c r="Q5348">
        <v>0.146232809758398</v>
      </c>
      <c r="R5348">
        <v>0.989242443564607</v>
      </c>
      <c r="S5348" t="s">
        <v>11964</v>
      </c>
      <c r="T5348" t="s">
        <v>13232</v>
      </c>
      <c r="U5348" t="s">
        <v>13232</v>
      </c>
      <c r="V5348" t="s">
        <v>13232</v>
      </c>
      <c r="W5348" t="s">
        <v>18513</v>
      </c>
      <c r="X5348">
        <v>10</v>
      </c>
      <c r="Y5348" t="s">
        <v>24913</v>
      </c>
      <c r="Z5348" t="s">
        <v>31479</v>
      </c>
      <c r="AA5348">
        <v>0.49006475269018879</v>
      </c>
      <c r="AB5348" t="str">
        <f>HYPERLINK("Melting_Curves/meltCurve_Q9BUP0_EFHD1.pdf", "Melting_Curves/meltCurve_Q9BUP0_EFHD1.pdf")</f>
        <v>Melting_Curves/meltCurve_Q9BUP0_EFHD1.pdf</v>
      </c>
    </row>
    <row r="5349" spans="1:28" x14ac:dyDescent="0.25">
      <c r="A5349" t="s">
        <v>5352</v>
      </c>
      <c r="B5349">
        <v>0.99930955844802105</v>
      </c>
      <c r="C5349">
        <v>0.80984346071228097</v>
      </c>
      <c r="D5349">
        <v>0.89173186244083402</v>
      </c>
      <c r="E5349">
        <v>1.0131720147062699</v>
      </c>
      <c r="F5349">
        <v>0.39758105247233799</v>
      </c>
      <c r="G5349">
        <v>0.26511415659203802</v>
      </c>
      <c r="H5349">
        <v>0.19110366114721</v>
      </c>
      <c r="I5349">
        <v>0.17234986966882901</v>
      </c>
      <c r="J5349">
        <v>0.17275144786841801</v>
      </c>
      <c r="K5349">
        <v>0.13461575149057101</v>
      </c>
      <c r="L5349">
        <v>13194.2455737983</v>
      </c>
      <c r="M5349">
        <v>250</v>
      </c>
      <c r="N5349">
        <v>52.876171129303401</v>
      </c>
      <c r="O5349">
        <v>52.773604920716302</v>
      </c>
      <c r="P5349">
        <v>-0.96261785902971997</v>
      </c>
      <c r="Q5349">
        <v>0.18718696767562201</v>
      </c>
      <c r="R5349">
        <v>0.95488628213287297</v>
      </c>
      <c r="S5349" t="s">
        <v>11965</v>
      </c>
      <c r="T5349" t="s">
        <v>13232</v>
      </c>
      <c r="U5349" t="s">
        <v>13232</v>
      </c>
      <c r="V5349" t="s">
        <v>13232</v>
      </c>
      <c r="W5349" t="s">
        <v>18514</v>
      </c>
      <c r="X5349">
        <v>29</v>
      </c>
      <c r="Y5349" t="s">
        <v>24914</v>
      </c>
      <c r="Z5349" t="s">
        <v>31480</v>
      </c>
      <c r="AA5349">
        <v>0.53343884345738724</v>
      </c>
      <c r="AB5349" t="str">
        <f>HYPERLINK("Melting_Curves/meltCurve_Q9BUQ8_DDX23.pdf", "Melting_Curves/meltCurve_Q9BUQ8_DDX23.pdf")</f>
        <v>Melting_Curves/meltCurve_Q9BUQ8_DDX23.pdf</v>
      </c>
    </row>
    <row r="5350" spans="1:28" x14ac:dyDescent="0.25">
      <c r="A5350" t="s">
        <v>5353</v>
      </c>
      <c r="B5350">
        <v>0.99930955844802105</v>
      </c>
      <c r="C5350">
        <v>0.94041823282439196</v>
      </c>
      <c r="D5350">
        <v>0.96275545695542497</v>
      </c>
      <c r="E5350">
        <v>0.88046522502950297</v>
      </c>
      <c r="F5350">
        <v>0.69619924406155098</v>
      </c>
      <c r="G5350">
        <v>0.49452010020853099</v>
      </c>
      <c r="H5350">
        <v>0.36063612100162601</v>
      </c>
      <c r="I5350">
        <v>0.33134221354111598</v>
      </c>
      <c r="J5350">
        <v>0.33538537591595902</v>
      </c>
      <c r="K5350">
        <v>0.25659732183904599</v>
      </c>
      <c r="L5350">
        <v>914.138085560332</v>
      </c>
      <c r="M5350">
        <v>16.8558148009886</v>
      </c>
      <c r="N5350">
        <v>56.889820055989901</v>
      </c>
      <c r="O5350">
        <v>53.486724304848501</v>
      </c>
      <c r="P5350">
        <v>-5.7323608206993198E-2</v>
      </c>
      <c r="Q5350">
        <v>0.27245140289047098</v>
      </c>
      <c r="R5350">
        <v>0.99320195258028898</v>
      </c>
      <c r="S5350" t="s">
        <v>11966</v>
      </c>
      <c r="T5350" t="s">
        <v>13232</v>
      </c>
      <c r="U5350" t="s">
        <v>13232</v>
      </c>
      <c r="V5350" t="s">
        <v>13232</v>
      </c>
      <c r="W5350" t="s">
        <v>18515</v>
      </c>
      <c r="X5350">
        <v>8</v>
      </c>
      <c r="Y5350" t="s">
        <v>24915</v>
      </c>
      <c r="Z5350" t="s">
        <v>31481</v>
      </c>
      <c r="AA5350">
        <v>0.63030498635535925</v>
      </c>
      <c r="AB5350" t="str">
        <f>HYPERLINK("Melting_Curves/meltCurve_Q9BUR4_WRAP53.pdf", "Melting_Curves/meltCurve_Q9BUR4_WRAP53.pdf")</f>
        <v>Melting_Curves/meltCurve_Q9BUR4_WRAP53.pdf</v>
      </c>
    </row>
    <row r="5351" spans="1:28" x14ac:dyDescent="0.25">
      <c r="A5351" t="s">
        <v>5354</v>
      </c>
      <c r="B5351">
        <v>0.99930955844802105</v>
      </c>
      <c r="C5351">
        <v>1.05034982457312</v>
      </c>
      <c r="D5351">
        <v>1.05143668691251</v>
      </c>
      <c r="E5351">
        <v>0.91064829244405798</v>
      </c>
      <c r="F5351">
        <v>0.24308830267185</v>
      </c>
      <c r="G5351">
        <v>0.14597317901603199</v>
      </c>
      <c r="H5351">
        <v>9.1719837669921506E-2</v>
      </c>
      <c r="I5351">
        <v>9.1695543302999005E-2</v>
      </c>
      <c r="J5351">
        <v>7.6403336508484895E-2</v>
      </c>
      <c r="K5351">
        <v>5.2657272688380899E-2</v>
      </c>
      <c r="L5351">
        <v>3349.9119441089902</v>
      </c>
      <c r="M5351">
        <v>64.796395647598899</v>
      </c>
      <c r="N5351">
        <v>51.859740660032102</v>
      </c>
      <c r="O5351">
        <v>51.649870917922499</v>
      </c>
      <c r="P5351">
        <v>-0.28510857294011599</v>
      </c>
      <c r="Q5351">
        <v>9.09483999817364E-2</v>
      </c>
      <c r="R5351">
        <v>0.99495729564635005</v>
      </c>
      <c r="S5351" t="s">
        <v>11967</v>
      </c>
      <c r="T5351" t="s">
        <v>13232</v>
      </c>
      <c r="U5351" t="s">
        <v>13232</v>
      </c>
      <c r="V5351" t="s">
        <v>13232</v>
      </c>
      <c r="W5351" t="s">
        <v>18516</v>
      </c>
      <c r="X5351">
        <v>7</v>
      </c>
      <c r="Y5351" t="s">
        <v>24916</v>
      </c>
      <c r="Z5351" t="s">
        <v>31482</v>
      </c>
      <c r="AA5351">
        <v>0.44668124789530411</v>
      </c>
      <c r="AB5351" t="str">
        <f>HYPERLINK("Melting_Curves/meltCurve_Q9BUT1_BDH2.pdf", "Melting_Curves/meltCurve_Q9BUT1_BDH2.pdf")</f>
        <v>Melting_Curves/meltCurve_Q9BUT1_BDH2.pdf</v>
      </c>
    </row>
    <row r="5352" spans="1:28" x14ac:dyDescent="0.25">
      <c r="A5352" t="s">
        <v>5355</v>
      </c>
      <c r="B5352">
        <v>0.99930955844802105</v>
      </c>
      <c r="C5352">
        <v>1.2422135298144501</v>
      </c>
      <c r="D5352">
        <v>1.1576915895192299</v>
      </c>
      <c r="E5352">
        <v>1.1828291966754001</v>
      </c>
      <c r="F5352">
        <v>1.2916793525311301</v>
      </c>
      <c r="G5352">
        <v>1.3086336017676601</v>
      </c>
      <c r="H5352">
        <v>1.2889755121909601</v>
      </c>
      <c r="I5352">
        <v>1.4719207141363599</v>
      </c>
      <c r="J5352">
        <v>1.51572932733792</v>
      </c>
      <c r="K5352">
        <v>1.1379412510420499</v>
      </c>
      <c r="L5352">
        <v>413.25001617009701</v>
      </c>
      <c r="M5352">
        <v>8.9334974625249099</v>
      </c>
      <c r="O5352">
        <v>44.116737853180801</v>
      </c>
      <c r="P5352">
        <v>1.8870165458579401E-2</v>
      </c>
      <c r="Q5352">
        <v>1.37247178600249</v>
      </c>
      <c r="R5352">
        <v>0.451732803300671</v>
      </c>
      <c r="S5352" t="s">
        <v>11968</v>
      </c>
      <c r="T5352" t="s">
        <v>13232</v>
      </c>
      <c r="U5352" t="s">
        <v>13232</v>
      </c>
      <c r="V5352" t="s">
        <v>13232</v>
      </c>
      <c r="W5352" t="s">
        <v>18517</v>
      </c>
      <c r="X5352">
        <v>6</v>
      </c>
      <c r="Y5352" t="s">
        <v>24917</v>
      </c>
      <c r="Z5352" t="s">
        <v>31483</v>
      </c>
      <c r="AA5352">
        <v>1.2676150613355499</v>
      </c>
      <c r="AB5352" t="str">
        <f>HYPERLINK("Melting_Curves/meltCurve_Q9BUT9_FAM195A.pdf", "Melting_Curves/meltCurve_Q9BUT9_FAM195A.pdf")</f>
        <v>Melting_Curves/meltCurve_Q9BUT9_FAM195A.pdf</v>
      </c>
    </row>
    <row r="5353" spans="1:28" x14ac:dyDescent="0.25">
      <c r="A5353" t="s">
        <v>5356</v>
      </c>
      <c r="B5353">
        <v>0.99930955844802105</v>
      </c>
      <c r="C5353">
        <v>0.95967495647393797</v>
      </c>
      <c r="D5353">
        <v>0.91310305626690602</v>
      </c>
      <c r="E5353">
        <v>0.83491207841225501</v>
      </c>
      <c r="F5353">
        <v>0.940979197667415</v>
      </c>
      <c r="G5353">
        <v>0.60504789363977096</v>
      </c>
      <c r="H5353">
        <v>0.43445439494099197</v>
      </c>
      <c r="I5353">
        <v>0.40630942025972999</v>
      </c>
      <c r="J5353">
        <v>0.33507802269880999</v>
      </c>
      <c r="K5353">
        <v>0.24843530553975501</v>
      </c>
      <c r="L5353">
        <v>713.53967401331897</v>
      </c>
      <c r="M5353">
        <v>12.2243443025273</v>
      </c>
      <c r="N5353">
        <v>60.396530347023202</v>
      </c>
      <c r="O5353">
        <v>56.874269183900502</v>
      </c>
      <c r="P5353">
        <v>-4.4705621191511599E-2</v>
      </c>
      <c r="Q5353">
        <v>0.168207739462537</v>
      </c>
      <c r="R5353">
        <v>0.96065437236673401</v>
      </c>
      <c r="S5353" t="s">
        <v>11969</v>
      </c>
      <c r="T5353" t="s">
        <v>13232</v>
      </c>
      <c r="U5353" t="s">
        <v>13232</v>
      </c>
      <c r="V5353" t="s">
        <v>13232</v>
      </c>
      <c r="W5353" t="s">
        <v>18518</v>
      </c>
      <c r="X5353">
        <v>2</v>
      </c>
      <c r="Y5353" t="s">
        <v>24918</v>
      </c>
      <c r="Z5353" t="s">
        <v>31484</v>
      </c>
      <c r="AA5353">
        <v>0.68690123607845832</v>
      </c>
      <c r="AB5353" t="str">
        <f>HYPERLINK("Melting_Curves/meltCurve_Q9BUW7_C9orf16.pdf", "Melting_Curves/meltCurve_Q9BUW7_C9orf16.pdf")</f>
        <v>Melting_Curves/meltCurve_Q9BUW7_C9orf16.pdf</v>
      </c>
    </row>
    <row r="5354" spans="1:28" x14ac:dyDescent="0.25">
      <c r="A5354" t="s">
        <v>5357</v>
      </c>
      <c r="B5354">
        <v>0.99930955844802105</v>
      </c>
      <c r="C5354">
        <v>0.74503026837208397</v>
      </c>
      <c r="D5354">
        <v>0.78755672660506404</v>
      </c>
      <c r="E5354">
        <v>0.84990461875791201</v>
      </c>
      <c r="F5354">
        <v>0.87812695946406305</v>
      </c>
      <c r="G5354">
        <v>0.402313027278836</v>
      </c>
      <c r="H5354">
        <v>0.18793868218396301</v>
      </c>
      <c r="I5354">
        <v>0.32832564547893001</v>
      </c>
      <c r="J5354">
        <v>0.30246070743771603</v>
      </c>
      <c r="K5354">
        <v>0.238481743947734</v>
      </c>
      <c r="L5354">
        <v>2087.7638108894998</v>
      </c>
      <c r="M5354">
        <v>38.045692259349401</v>
      </c>
      <c r="N5354">
        <v>55.954923655623801</v>
      </c>
      <c r="O5354">
        <v>54.724220353167603</v>
      </c>
      <c r="P5354">
        <v>-0.12860914961838801</v>
      </c>
      <c r="Q5354">
        <v>0.26004577890293001</v>
      </c>
      <c r="R5354">
        <v>0.83213477711084705</v>
      </c>
      <c r="S5354" t="s">
        <v>11970</v>
      </c>
      <c r="T5354" t="s">
        <v>13232</v>
      </c>
      <c r="U5354" t="s">
        <v>13232</v>
      </c>
      <c r="V5354" t="s">
        <v>13232</v>
      </c>
      <c r="W5354" t="s">
        <v>18519</v>
      </c>
      <c r="X5354">
        <v>8</v>
      </c>
      <c r="Y5354" t="s">
        <v>24919</v>
      </c>
      <c r="Z5354" t="s">
        <v>31485</v>
      </c>
      <c r="AA5354">
        <v>0.63003351251184747</v>
      </c>
      <c r="AB5354" t="str">
        <f>HYPERLINK("Melting_Curves/meltCurve_Q9BV19_C1orf50.pdf", "Melting_Curves/meltCurve_Q9BV19_C1orf50.pdf")</f>
        <v>Melting_Curves/meltCurve_Q9BV19_C1orf50.pdf</v>
      </c>
    </row>
    <row r="5355" spans="1:28" x14ac:dyDescent="0.25">
      <c r="A5355" t="s">
        <v>5358</v>
      </c>
      <c r="B5355">
        <v>0.99930955844802105</v>
      </c>
      <c r="C5355">
        <v>1.0625538431285799</v>
      </c>
      <c r="D5355">
        <v>1.0150642614474199</v>
      </c>
      <c r="E5355">
        <v>0.91684175196491402</v>
      </c>
      <c r="F5355">
        <v>0.77841642675023803</v>
      </c>
      <c r="G5355">
        <v>0.388313358646309</v>
      </c>
      <c r="H5355">
        <v>0.162146277750634</v>
      </c>
      <c r="I5355">
        <v>0.14024306721569799</v>
      </c>
      <c r="J5355">
        <v>0.116810958858662</v>
      </c>
      <c r="K5355">
        <v>9.1034919507526402E-2</v>
      </c>
      <c r="L5355">
        <v>1374.2220424858201</v>
      </c>
      <c r="M5355">
        <v>24.855877798738501</v>
      </c>
      <c r="N5355">
        <v>55.769336695793399</v>
      </c>
      <c r="O5355">
        <v>54.933462038201199</v>
      </c>
      <c r="P5355">
        <v>-0.10219132411271301</v>
      </c>
      <c r="Q5355">
        <v>9.6608596934542906E-2</v>
      </c>
      <c r="R5355">
        <v>0.99650843132162803</v>
      </c>
      <c r="S5355" t="s">
        <v>11971</v>
      </c>
      <c r="T5355" t="s">
        <v>13232</v>
      </c>
      <c r="U5355" t="s">
        <v>13232</v>
      </c>
      <c r="V5355" t="s">
        <v>13232</v>
      </c>
      <c r="W5355" t="s">
        <v>18520</v>
      </c>
      <c r="X5355">
        <v>20</v>
      </c>
      <c r="Y5355" t="s">
        <v>24920</v>
      </c>
      <c r="Z5355" t="s">
        <v>31486</v>
      </c>
      <c r="AA5355">
        <v>0.56539542514264984</v>
      </c>
      <c r="AB5355" t="str">
        <f>HYPERLINK("Melting_Curves/meltCurve_Q9BV20_MRI1.pdf", "Melting_Curves/meltCurve_Q9BV20_MRI1.pdf")</f>
        <v>Melting_Curves/meltCurve_Q9BV20_MRI1.pdf</v>
      </c>
    </row>
    <row r="5356" spans="1:28" x14ac:dyDescent="0.25">
      <c r="A5356" t="s">
        <v>5359</v>
      </c>
      <c r="B5356">
        <v>0.99930955844802105</v>
      </c>
      <c r="C5356">
        <v>1.2179001008541701</v>
      </c>
      <c r="D5356">
        <v>1.21713454037973</v>
      </c>
      <c r="E5356">
        <v>1.21315056105775</v>
      </c>
      <c r="F5356">
        <v>0.88777701961476496</v>
      </c>
      <c r="G5356">
        <v>0.40555821073317699</v>
      </c>
      <c r="H5356">
        <v>0.17029638589852</v>
      </c>
      <c r="I5356">
        <v>0.12514668182658201</v>
      </c>
      <c r="J5356">
        <v>0.124689048368799</v>
      </c>
      <c r="K5356">
        <v>9.5350355853892593E-2</v>
      </c>
      <c r="L5356">
        <v>2282.5877751358198</v>
      </c>
      <c r="M5356">
        <v>40.7820084445015</v>
      </c>
      <c r="N5356">
        <v>56.348057049415203</v>
      </c>
      <c r="O5356">
        <v>55.836396840332903</v>
      </c>
      <c r="P5356">
        <v>-0.16076589677339601</v>
      </c>
      <c r="Q5356">
        <v>0.11955592437333</v>
      </c>
      <c r="R5356">
        <v>0.93662131363992396</v>
      </c>
      <c r="S5356" t="s">
        <v>11972</v>
      </c>
      <c r="T5356" t="s">
        <v>13232</v>
      </c>
      <c r="U5356" t="s">
        <v>13232</v>
      </c>
      <c r="V5356" t="s">
        <v>13232</v>
      </c>
      <c r="W5356" t="s">
        <v>18521</v>
      </c>
      <c r="X5356">
        <v>7</v>
      </c>
      <c r="Y5356" t="s">
        <v>24921</v>
      </c>
      <c r="Z5356" t="s">
        <v>31487</v>
      </c>
      <c r="AA5356">
        <v>0.5915169404503513</v>
      </c>
      <c r="AB5356" t="str">
        <f>HYPERLINK("Melting_Curves/meltCurve_Q9BV38_WDR18.pdf", "Melting_Curves/meltCurve_Q9BV38_WDR18.pdf")</f>
        <v>Melting_Curves/meltCurve_Q9BV38_WDR18.pdf</v>
      </c>
    </row>
    <row r="5357" spans="1:28" x14ac:dyDescent="0.25">
      <c r="A5357" t="s">
        <v>5360</v>
      </c>
      <c r="B5357">
        <v>0.99930955844802105</v>
      </c>
      <c r="C5357">
        <v>0.85028640219383</v>
      </c>
      <c r="D5357">
        <v>0.80247874915253603</v>
      </c>
      <c r="E5357">
        <v>0.85138654377178702</v>
      </c>
      <c r="F5357">
        <v>0.67605278813490599</v>
      </c>
      <c r="G5357">
        <v>0.56728617768759404</v>
      </c>
      <c r="H5357">
        <v>0.51758830903615805</v>
      </c>
      <c r="I5357">
        <v>0.51702293402465105</v>
      </c>
      <c r="J5357">
        <v>0.53425924665790603</v>
      </c>
      <c r="K5357">
        <v>0.42149363244945298</v>
      </c>
      <c r="L5357">
        <v>383.67683046341301</v>
      </c>
      <c r="M5357">
        <v>7.1726341307931003</v>
      </c>
      <c r="N5357">
        <v>64.586621745862104</v>
      </c>
      <c r="O5357">
        <v>49.802248628582497</v>
      </c>
      <c r="P5357">
        <v>-2.3293072757148502E-2</v>
      </c>
      <c r="Q5357">
        <v>0.35416508092858501</v>
      </c>
      <c r="R5357">
        <v>0.92801763888401301</v>
      </c>
      <c r="S5357" t="s">
        <v>11973</v>
      </c>
      <c r="T5357" t="s">
        <v>13232</v>
      </c>
      <c r="U5357" t="s">
        <v>13232</v>
      </c>
      <c r="V5357" t="s">
        <v>13232</v>
      </c>
      <c r="W5357" t="s">
        <v>18522</v>
      </c>
      <c r="X5357">
        <v>2</v>
      </c>
      <c r="Y5357" t="s">
        <v>24922</v>
      </c>
      <c r="Z5357" t="s">
        <v>31488</v>
      </c>
      <c r="AA5357">
        <v>0.6702047603446043</v>
      </c>
      <c r="AB5357" t="str">
        <f>HYPERLINK("Melting_Curves/meltCurve_Q9BV40_VAMP8.pdf", "Melting_Curves/meltCurve_Q9BV40_VAMP8.pdf")</f>
        <v>Melting_Curves/meltCurve_Q9BV40_VAMP8.pdf</v>
      </c>
    </row>
    <row r="5358" spans="1:28" x14ac:dyDescent="0.25">
      <c r="A5358" t="s">
        <v>5361</v>
      </c>
      <c r="B5358">
        <v>0.99930955844802105</v>
      </c>
      <c r="C5358">
        <v>0.97870053897480103</v>
      </c>
      <c r="D5358">
        <v>0.96845430622779205</v>
      </c>
      <c r="E5358">
        <v>0.93601610960290205</v>
      </c>
      <c r="F5358">
        <v>0.81537768305770097</v>
      </c>
      <c r="G5358">
        <v>0.46015492864902902</v>
      </c>
      <c r="H5358">
        <v>0.129459170787287</v>
      </c>
      <c r="I5358">
        <v>8.1009178594129594E-2</v>
      </c>
      <c r="J5358">
        <v>6.1351300832660098E-2</v>
      </c>
      <c r="K5358">
        <v>4.6856806534753E-2</v>
      </c>
      <c r="L5358">
        <v>1350.3125329946599</v>
      </c>
      <c r="M5358">
        <v>24.003697069329899</v>
      </c>
      <c r="N5358">
        <v>56.404330326656101</v>
      </c>
      <c r="O5358">
        <v>55.868280901419098</v>
      </c>
      <c r="P5358">
        <v>-0.10409303516124099</v>
      </c>
      <c r="Q5358">
        <v>3.0914776316904102E-2</v>
      </c>
      <c r="R5358">
        <v>0.99818782133403605</v>
      </c>
      <c r="S5358" t="s">
        <v>11974</v>
      </c>
      <c r="T5358" t="s">
        <v>13232</v>
      </c>
      <c r="U5358" t="s">
        <v>13232</v>
      </c>
      <c r="V5358" t="s">
        <v>13232</v>
      </c>
      <c r="W5358" t="s">
        <v>18523</v>
      </c>
      <c r="X5358">
        <v>19</v>
      </c>
      <c r="Y5358" t="s">
        <v>24923</v>
      </c>
      <c r="Z5358" t="s">
        <v>31489</v>
      </c>
      <c r="AA5358">
        <v>0.56544062362722203</v>
      </c>
      <c r="AB5358" t="str">
        <f>HYPERLINK("Melting_Curves/meltCurve_Q9BV44_THUMPD3.pdf", "Melting_Curves/meltCurve_Q9BV44_THUMPD3.pdf")</f>
        <v>Melting_Curves/meltCurve_Q9BV44_THUMPD3.pdf</v>
      </c>
    </row>
    <row r="5359" spans="1:28" x14ac:dyDescent="0.25">
      <c r="A5359" t="s">
        <v>5362</v>
      </c>
      <c r="B5359">
        <v>0.99930955844802105</v>
      </c>
      <c r="C5359">
        <v>1.0215239111535099</v>
      </c>
      <c r="D5359">
        <v>0.99765972919776502</v>
      </c>
      <c r="E5359">
        <v>0.79217441312841796</v>
      </c>
      <c r="F5359">
        <v>0.47431876376198301</v>
      </c>
      <c r="G5359">
        <v>0.251067860752411</v>
      </c>
      <c r="H5359">
        <v>0.14079526089309699</v>
      </c>
      <c r="I5359">
        <v>0.117608075572344</v>
      </c>
      <c r="J5359">
        <v>0.102478213973796</v>
      </c>
      <c r="K5359">
        <v>7.6830067697177706E-2</v>
      </c>
      <c r="L5359">
        <v>1222.71272589675</v>
      </c>
      <c r="M5359">
        <v>23.293614448007101</v>
      </c>
      <c r="N5359">
        <v>52.993076572224801</v>
      </c>
      <c r="O5359">
        <v>52.109048049637103</v>
      </c>
      <c r="P5359">
        <v>-0.100696785666922</v>
      </c>
      <c r="Q5359">
        <v>9.8959887485060793E-2</v>
      </c>
      <c r="R5359">
        <v>0.99749634593781999</v>
      </c>
      <c r="S5359" t="s">
        <v>11975</v>
      </c>
      <c r="T5359" t="s">
        <v>13232</v>
      </c>
      <c r="U5359" t="s">
        <v>13232</v>
      </c>
      <c r="V5359" t="s">
        <v>13232</v>
      </c>
      <c r="W5359" t="s">
        <v>18524</v>
      </c>
      <c r="X5359">
        <v>11</v>
      </c>
      <c r="Y5359" t="s">
        <v>24924</v>
      </c>
      <c r="Z5359" t="s">
        <v>31490</v>
      </c>
      <c r="AA5359">
        <v>0.48357230649956201</v>
      </c>
      <c r="AB5359" t="str">
        <f>HYPERLINK("Melting_Curves/meltCurve_Q9BV57_ADI1.pdf", "Melting_Curves/meltCurve_Q9BV57_ADI1.pdf")</f>
        <v>Melting_Curves/meltCurve_Q9BV57_ADI1.pdf</v>
      </c>
    </row>
    <row r="5360" spans="1:28" x14ac:dyDescent="0.25">
      <c r="A5360" t="s">
        <v>5363</v>
      </c>
      <c r="B5360">
        <v>0.99930955844802105</v>
      </c>
      <c r="C5360">
        <v>0.90759051516634304</v>
      </c>
      <c r="D5360">
        <v>0.85189209795669696</v>
      </c>
      <c r="E5360">
        <v>0.76947359233886403</v>
      </c>
      <c r="F5360">
        <v>0.59549412348878905</v>
      </c>
      <c r="G5360">
        <v>0.50053873196440901</v>
      </c>
      <c r="H5360">
        <v>0.43479713769034101</v>
      </c>
      <c r="I5360">
        <v>0.45257747405536702</v>
      </c>
      <c r="J5360">
        <v>0.44221341294184702</v>
      </c>
      <c r="K5360">
        <v>0.365563686791126</v>
      </c>
      <c r="L5360">
        <v>598.30423003759995</v>
      </c>
      <c r="M5360">
        <v>11.7254351468384</v>
      </c>
      <c r="N5360">
        <v>57.757038677257903</v>
      </c>
      <c r="O5360">
        <v>49.609831503974803</v>
      </c>
      <c r="P5360">
        <v>-3.70879710218689E-2</v>
      </c>
      <c r="Q5360">
        <v>0.37249484302708802</v>
      </c>
      <c r="R5360">
        <v>0.98387259399580096</v>
      </c>
      <c r="S5360" t="s">
        <v>11976</v>
      </c>
      <c r="T5360" t="s">
        <v>13232</v>
      </c>
      <c r="U5360" t="s">
        <v>13232</v>
      </c>
      <c r="V5360" t="s">
        <v>13232</v>
      </c>
      <c r="W5360" t="s">
        <v>18525</v>
      </c>
      <c r="X5360">
        <v>7</v>
      </c>
      <c r="Y5360" t="s">
        <v>24925</v>
      </c>
      <c r="Z5360" t="s">
        <v>31491</v>
      </c>
      <c r="AA5360">
        <v>0.6242412601632007</v>
      </c>
      <c r="AB5360" t="str">
        <f>HYPERLINK("Melting_Curves/meltCurve_Q9BV68_2_RNF126.pdf", "Melting_Curves/meltCurve_Q9BV68_2_RNF126.pdf")</f>
        <v>Melting_Curves/meltCurve_Q9BV68_2_RNF126.pdf</v>
      </c>
    </row>
    <row r="5361" spans="1:28" x14ac:dyDescent="0.25">
      <c r="A5361" t="s">
        <v>5364</v>
      </c>
      <c r="B5361">
        <v>0.99930955844802105</v>
      </c>
      <c r="C5361">
        <v>0.95559483298844405</v>
      </c>
      <c r="D5361">
        <v>0.83905476920106603</v>
      </c>
      <c r="E5361">
        <v>0.71938297649069205</v>
      </c>
      <c r="F5361">
        <v>0.60638625229500998</v>
      </c>
      <c r="G5361">
        <v>0.43573293815110797</v>
      </c>
      <c r="H5361">
        <v>0.32891510728170698</v>
      </c>
      <c r="I5361">
        <v>0.30236574493783303</v>
      </c>
      <c r="J5361">
        <v>0.29656478001604902</v>
      </c>
      <c r="K5361">
        <v>0.22699192295828499</v>
      </c>
      <c r="L5361">
        <v>580.95932801834203</v>
      </c>
      <c r="M5361">
        <v>11.0056632003232</v>
      </c>
      <c r="N5361">
        <v>55.291351945425298</v>
      </c>
      <c r="O5361">
        <v>51.134317116835597</v>
      </c>
      <c r="P5361">
        <v>-4.3262085509073303E-2</v>
      </c>
      <c r="Q5361">
        <v>0.19625649645751</v>
      </c>
      <c r="R5361">
        <v>0.99557107762365304</v>
      </c>
      <c r="S5361" t="s">
        <v>11977</v>
      </c>
      <c r="T5361" t="s">
        <v>13232</v>
      </c>
      <c r="U5361" t="s">
        <v>13232</v>
      </c>
      <c r="V5361" t="s">
        <v>13232</v>
      </c>
      <c r="W5361" t="s">
        <v>18526</v>
      </c>
      <c r="X5361">
        <v>15</v>
      </c>
      <c r="Y5361" t="s">
        <v>24926</v>
      </c>
      <c r="Z5361" t="s">
        <v>31492</v>
      </c>
      <c r="AA5361">
        <v>0.56443484035848601</v>
      </c>
      <c r="AB5361" t="str">
        <f>HYPERLINK("Melting_Curves/meltCurve_Q9BV73_CEP250.pdf", "Melting_Curves/meltCurve_Q9BV73_CEP250.pdf")</f>
        <v>Melting_Curves/meltCurve_Q9BV73_CEP250.pdf</v>
      </c>
    </row>
    <row r="5362" spans="1:28" x14ac:dyDescent="0.25">
      <c r="A5362" t="s">
        <v>5365</v>
      </c>
      <c r="B5362">
        <v>0.99930955844802105</v>
      </c>
      <c r="C5362">
        <v>1.26843599688377</v>
      </c>
      <c r="D5362">
        <v>1.1351880059769299</v>
      </c>
      <c r="E5362">
        <v>0.73178549136278204</v>
      </c>
      <c r="F5362">
        <v>0.231600364462132</v>
      </c>
      <c r="G5362">
        <v>0.14635242317393801</v>
      </c>
      <c r="H5362">
        <v>7.7785137669260707E-2</v>
      </c>
      <c r="I5362">
        <v>6.5530685687043594E-2</v>
      </c>
      <c r="J5362">
        <v>4.75092281910778E-2</v>
      </c>
      <c r="K5362">
        <v>4.0108001595041999E-2</v>
      </c>
      <c r="L5362">
        <v>2261.0613564764399</v>
      </c>
      <c r="M5362">
        <v>44.265837415464198</v>
      </c>
      <c r="N5362">
        <v>51.263146955265</v>
      </c>
      <c r="O5362">
        <v>50.975231977723801</v>
      </c>
      <c r="P5362">
        <v>-0.201150084700774</v>
      </c>
      <c r="Q5362">
        <v>7.3447278004515698E-2</v>
      </c>
      <c r="R5362">
        <v>0.95666374103414398</v>
      </c>
      <c r="S5362" t="s">
        <v>11978</v>
      </c>
      <c r="T5362" t="s">
        <v>13232</v>
      </c>
      <c r="U5362" t="s">
        <v>13232</v>
      </c>
      <c r="V5362" t="s">
        <v>13232</v>
      </c>
      <c r="W5362" t="s">
        <v>18527</v>
      </c>
      <c r="X5362">
        <v>6</v>
      </c>
      <c r="Y5362" t="s">
        <v>24927</v>
      </c>
      <c r="Z5362" t="s">
        <v>31493</v>
      </c>
      <c r="AA5362">
        <v>0.41829517076326328</v>
      </c>
      <c r="AB5362" t="str">
        <f>HYPERLINK("Melting_Curves/meltCurve_Q9BV79_MECR.pdf", "Melting_Curves/meltCurve_Q9BV79_MECR.pdf")</f>
        <v>Melting_Curves/meltCurve_Q9BV79_MECR.pdf</v>
      </c>
    </row>
    <row r="5363" spans="1:28" x14ac:dyDescent="0.25">
      <c r="A5363" t="s">
        <v>5366</v>
      </c>
      <c r="B5363">
        <v>0.99930955844802105</v>
      </c>
      <c r="C5363">
        <v>0.84129746714079701</v>
      </c>
      <c r="D5363">
        <v>0.65757432300740104</v>
      </c>
      <c r="E5363">
        <v>0.26611357427230198</v>
      </c>
      <c r="F5363">
        <v>0.14040289953237001</v>
      </c>
      <c r="G5363">
        <v>0.102292395978145</v>
      </c>
      <c r="H5363">
        <v>6.4830209635051997E-2</v>
      </c>
      <c r="I5363">
        <v>4.5896834870327002E-2</v>
      </c>
      <c r="J5363">
        <v>3.7562919207736599E-2</v>
      </c>
      <c r="K5363">
        <v>2.8702521086238001E-2</v>
      </c>
      <c r="L5363">
        <v>901.145634994126</v>
      </c>
      <c r="M5363">
        <v>19.1104597666451</v>
      </c>
      <c r="N5363">
        <v>47.370660064046596</v>
      </c>
      <c r="O5363">
        <v>46.647344431957798</v>
      </c>
      <c r="P5363">
        <v>-9.8148702331992396E-2</v>
      </c>
      <c r="Q5363">
        <v>4.1739861925088002E-2</v>
      </c>
      <c r="R5363">
        <v>0.99675884097357803</v>
      </c>
      <c r="S5363" t="s">
        <v>11979</v>
      </c>
      <c r="T5363" t="s">
        <v>13232</v>
      </c>
      <c r="U5363" t="s">
        <v>13232</v>
      </c>
      <c r="V5363" t="s">
        <v>13232</v>
      </c>
      <c r="W5363" t="s">
        <v>18528</v>
      </c>
      <c r="X5363">
        <v>11</v>
      </c>
      <c r="Y5363" t="s">
        <v>24928</v>
      </c>
      <c r="Z5363" t="s">
        <v>31494</v>
      </c>
      <c r="AA5363">
        <v>0.28567885397365977</v>
      </c>
      <c r="AB5363" t="str">
        <f>HYPERLINK("Melting_Curves/meltCurve_Q9BV86_NTMT1.pdf", "Melting_Curves/meltCurve_Q9BV86_NTMT1.pdf")</f>
        <v>Melting_Curves/meltCurve_Q9BV86_NTMT1.pdf</v>
      </c>
    </row>
    <row r="5364" spans="1:28" x14ac:dyDescent="0.25">
      <c r="A5364" t="s">
        <v>5367</v>
      </c>
      <c r="B5364">
        <v>0.99930955844802105</v>
      </c>
      <c r="C5364">
        <v>0.92724256509808001</v>
      </c>
      <c r="D5364">
        <v>0.96260322807161502</v>
      </c>
      <c r="E5364">
        <v>0.83725507233634799</v>
      </c>
      <c r="F5364">
        <v>0.55574217331103704</v>
      </c>
      <c r="G5364">
        <v>0.31914528739335402</v>
      </c>
      <c r="H5364">
        <v>0.19292772266608699</v>
      </c>
      <c r="I5364">
        <v>0.13879463113537499</v>
      </c>
      <c r="J5364">
        <v>0.120759048592519</v>
      </c>
      <c r="K5364">
        <v>8.9190915107784499E-2</v>
      </c>
      <c r="L5364">
        <v>990.94649757600905</v>
      </c>
      <c r="M5364">
        <v>18.530178901640099</v>
      </c>
      <c r="N5364">
        <v>54.094043603072997</v>
      </c>
      <c r="O5364">
        <v>52.866293456627801</v>
      </c>
      <c r="P5364">
        <v>-7.9288408191814597E-2</v>
      </c>
      <c r="Q5364">
        <v>9.5205754977763707E-2</v>
      </c>
      <c r="R5364">
        <v>0.99507309175125602</v>
      </c>
      <c r="S5364" t="s">
        <v>11980</v>
      </c>
      <c r="T5364" t="s">
        <v>13232</v>
      </c>
      <c r="U5364" t="s">
        <v>13232</v>
      </c>
      <c r="V5364" t="s">
        <v>13232</v>
      </c>
      <c r="W5364" t="s">
        <v>18529</v>
      </c>
      <c r="X5364">
        <v>17</v>
      </c>
      <c r="Y5364" t="s">
        <v>24929</v>
      </c>
      <c r="Z5364" t="s">
        <v>31495</v>
      </c>
      <c r="AA5364">
        <v>0.51569992766901118</v>
      </c>
      <c r="AB5364" t="str">
        <f>HYPERLINK("Melting_Curves/meltCurve_Q9BVA0_KATNB1.pdf", "Melting_Curves/meltCurve_Q9BVA0_KATNB1.pdf")</f>
        <v>Melting_Curves/meltCurve_Q9BVA0_KATNB1.pdf</v>
      </c>
    </row>
    <row r="5365" spans="1:28" x14ac:dyDescent="0.25">
      <c r="A5365" t="s">
        <v>5368</v>
      </c>
      <c r="B5365">
        <v>0.99930955844802105</v>
      </c>
      <c r="C5365">
        <v>0.929277331709909</v>
      </c>
      <c r="D5365">
        <v>0.78783234805503899</v>
      </c>
      <c r="E5365">
        <v>0.485283214063229</v>
      </c>
      <c r="F5365">
        <v>0.30527212154436401</v>
      </c>
      <c r="G5365">
        <v>0.237878540876201</v>
      </c>
      <c r="H5365">
        <v>0.15590534763838099</v>
      </c>
      <c r="I5365">
        <v>0.12620767103571001</v>
      </c>
      <c r="J5365">
        <v>0.10961241722219001</v>
      </c>
      <c r="K5365">
        <v>7.9621532151178398E-2</v>
      </c>
      <c r="L5365">
        <v>784.05936435397803</v>
      </c>
      <c r="M5365">
        <v>15.914324821314199</v>
      </c>
      <c r="N5365">
        <v>49.983809226841203</v>
      </c>
      <c r="O5365">
        <v>48.509286858840198</v>
      </c>
      <c r="P5365">
        <v>-7.3660278391181194E-2</v>
      </c>
      <c r="Q5365">
        <v>0.101960913368823</v>
      </c>
      <c r="R5365">
        <v>0.99649856898581102</v>
      </c>
      <c r="S5365" t="s">
        <v>11981</v>
      </c>
      <c r="T5365" t="s">
        <v>13232</v>
      </c>
      <c r="U5365" t="s">
        <v>13232</v>
      </c>
      <c r="V5365" t="s">
        <v>13232</v>
      </c>
      <c r="W5365" t="s">
        <v>18530</v>
      </c>
      <c r="X5365">
        <v>4</v>
      </c>
      <c r="Y5365" t="s">
        <v>24930</v>
      </c>
      <c r="Z5365" t="s">
        <v>31496</v>
      </c>
      <c r="AA5365">
        <v>0.39902584527172602</v>
      </c>
      <c r="AB5365" t="str">
        <f>HYPERLINK("Melting_Curves/meltCurve_Q9BVC3_DSCC1.pdf", "Melting_Curves/meltCurve_Q9BVC3_DSCC1.pdf")</f>
        <v>Melting_Curves/meltCurve_Q9BVC3_DSCC1.pdf</v>
      </c>
    </row>
    <row r="5366" spans="1:28" x14ac:dyDescent="0.25">
      <c r="A5366" t="s">
        <v>5369</v>
      </c>
      <c r="B5366">
        <v>0.99930955844802105</v>
      </c>
      <c r="C5366">
        <v>0.90889370784935697</v>
      </c>
      <c r="D5366">
        <v>0.73759766206175503</v>
      </c>
      <c r="E5366">
        <v>0.79879146202362805</v>
      </c>
      <c r="F5366">
        <v>0.488862324429438</v>
      </c>
      <c r="G5366">
        <v>0.19499760746808301</v>
      </c>
      <c r="H5366">
        <v>0.13755114184855</v>
      </c>
      <c r="I5366">
        <v>8.9913675290215198E-2</v>
      </c>
      <c r="J5366">
        <v>8.8356890740598604E-2</v>
      </c>
      <c r="K5366">
        <v>6.6401815559947397E-2</v>
      </c>
      <c r="L5366">
        <v>686.90322829476997</v>
      </c>
      <c r="M5366">
        <v>13.0599002398293</v>
      </c>
      <c r="N5366">
        <v>52.663186519206398</v>
      </c>
      <c r="O5366">
        <v>51.409014972611601</v>
      </c>
      <c r="P5366">
        <v>-6.2998964909688801E-2</v>
      </c>
      <c r="Q5366">
        <v>8.2152108431244996E-3</v>
      </c>
      <c r="R5366">
        <v>0.96589000621048804</v>
      </c>
      <c r="S5366" t="s">
        <v>11982</v>
      </c>
      <c r="T5366" t="s">
        <v>13232</v>
      </c>
      <c r="U5366" t="s">
        <v>13232</v>
      </c>
      <c r="V5366" t="s">
        <v>13232</v>
      </c>
      <c r="W5366" t="s">
        <v>18531</v>
      </c>
      <c r="X5366">
        <v>1</v>
      </c>
      <c r="Y5366" t="s">
        <v>24931</v>
      </c>
      <c r="Z5366" t="s">
        <v>31497</v>
      </c>
      <c r="AA5366">
        <v>0.45086299454658268</v>
      </c>
      <c r="AB5366" t="str">
        <f>HYPERLINK("Melting_Curves/meltCurve_Q9BVC6_TMEM109.pdf", "Melting_Curves/meltCurve_Q9BVC6_TMEM109.pdf")</f>
        <v>Melting_Curves/meltCurve_Q9BVC6_TMEM109.pdf</v>
      </c>
    </row>
    <row r="5367" spans="1:28" x14ac:dyDescent="0.25">
      <c r="A5367" t="s">
        <v>5370</v>
      </c>
      <c r="B5367">
        <v>0.99930955844802105</v>
      </c>
      <c r="C5367">
        <v>1.06780756886127</v>
      </c>
      <c r="D5367">
        <v>1.0480873562344799</v>
      </c>
      <c r="E5367">
        <v>1.00863412633345</v>
      </c>
      <c r="F5367">
        <v>0.80078464365588298</v>
      </c>
      <c r="G5367">
        <v>0.40929188693805801</v>
      </c>
      <c r="H5367">
        <v>0.17565704586893699</v>
      </c>
      <c r="I5367">
        <v>0.12502834859738901</v>
      </c>
      <c r="J5367">
        <v>0.10497538942968</v>
      </c>
      <c r="K5367">
        <v>7.7273410910788695E-2</v>
      </c>
      <c r="L5367">
        <v>1537.59010171502</v>
      </c>
      <c r="M5367">
        <v>27.607301837627301</v>
      </c>
      <c r="N5367">
        <v>56.110454908956598</v>
      </c>
      <c r="O5367">
        <v>55.405286503931798</v>
      </c>
      <c r="P5367">
        <v>-0.113057351849273</v>
      </c>
      <c r="Q5367">
        <v>9.2425936056777305E-2</v>
      </c>
      <c r="R5367">
        <v>0.99413265173194798</v>
      </c>
      <c r="S5367" t="s">
        <v>11983</v>
      </c>
      <c r="T5367" t="s">
        <v>13232</v>
      </c>
      <c r="U5367" t="s">
        <v>13232</v>
      </c>
      <c r="V5367" t="s">
        <v>13232</v>
      </c>
      <c r="W5367" t="s">
        <v>18532</v>
      </c>
      <c r="X5367">
        <v>23</v>
      </c>
      <c r="Y5367" t="s">
        <v>24932</v>
      </c>
      <c r="Z5367" t="s">
        <v>31498</v>
      </c>
      <c r="AA5367">
        <v>0.57427349613582257</v>
      </c>
      <c r="AB5367" t="str">
        <f>HYPERLINK("Melting_Curves/meltCurve_Q9BVG4_PBDC1.pdf", "Melting_Curves/meltCurve_Q9BVG4_PBDC1.pdf")</f>
        <v>Melting_Curves/meltCurve_Q9BVG4_PBDC1.pdf</v>
      </c>
    </row>
    <row r="5368" spans="1:28" x14ac:dyDescent="0.25">
      <c r="A5368" t="s">
        <v>5371</v>
      </c>
      <c r="B5368">
        <v>0.99930955844802105</v>
      </c>
      <c r="C5368">
        <v>1.1781950015637099</v>
      </c>
      <c r="D5368">
        <v>1.21918200788497</v>
      </c>
      <c r="E5368">
        <v>1.0835844931591301</v>
      </c>
      <c r="F5368">
        <v>1.0143973420479699</v>
      </c>
      <c r="G5368">
        <v>0.90996374584635997</v>
      </c>
      <c r="H5368">
        <v>0.95527243707540399</v>
      </c>
      <c r="I5368">
        <v>1.10074898729592</v>
      </c>
      <c r="J5368">
        <v>1.01081566029454</v>
      </c>
      <c r="K5368">
        <v>0.80162407283873205</v>
      </c>
      <c r="L5368">
        <v>15000</v>
      </c>
      <c r="M5368">
        <v>212.889231159345</v>
      </c>
      <c r="Q5368">
        <v>0</v>
      </c>
      <c r="R5368">
        <v>0.22903316709611199</v>
      </c>
      <c r="S5368" t="s">
        <v>11984</v>
      </c>
      <c r="T5368" t="s">
        <v>13232</v>
      </c>
      <c r="U5368" t="s">
        <v>13232</v>
      </c>
      <c r="V5368" t="s">
        <v>13232</v>
      </c>
      <c r="W5368" t="s">
        <v>18533</v>
      </c>
      <c r="X5368">
        <v>3</v>
      </c>
      <c r="Y5368" t="s">
        <v>24933</v>
      </c>
      <c r="Z5368" t="s">
        <v>31499</v>
      </c>
      <c r="AA5368">
        <v>0.99761572213116678</v>
      </c>
      <c r="AB5368" t="str">
        <f>HYPERLINK("Melting_Curves/meltCurve_Q9BVI0_PHF20.pdf", "Melting_Curves/meltCurve_Q9BVI0_PHF20.pdf")</f>
        <v>Melting_Curves/meltCurve_Q9BVI0_PHF20.pdf</v>
      </c>
    </row>
    <row r="5369" spans="1:28" x14ac:dyDescent="0.25">
      <c r="A5369" t="s">
        <v>5372</v>
      </c>
      <c r="B5369">
        <v>0.99930955844802105</v>
      </c>
      <c r="C5369">
        <v>0.65011353230953195</v>
      </c>
      <c r="D5369">
        <v>0.26349344906136801</v>
      </c>
      <c r="E5369">
        <v>0.19105269333827399</v>
      </c>
      <c r="F5369">
        <v>0.16117896404123799</v>
      </c>
      <c r="G5369">
        <v>0.12244421811899001</v>
      </c>
      <c r="H5369">
        <v>5.6312493345142399E-2</v>
      </c>
      <c r="I5369">
        <v>4.6717169589385203E-2</v>
      </c>
      <c r="J5369">
        <v>3.6692478237307202E-2</v>
      </c>
      <c r="K5369">
        <v>2.4266770235567E-2</v>
      </c>
      <c r="L5369">
        <v>1191.86248648375</v>
      </c>
      <c r="M5369">
        <v>27.206666469070001</v>
      </c>
      <c r="N5369">
        <v>44.100856103364698</v>
      </c>
      <c r="O5369">
        <v>43.573101889832103</v>
      </c>
      <c r="P5369">
        <v>-0.14318796685476901</v>
      </c>
      <c r="Q5369">
        <v>8.2712235148816801E-2</v>
      </c>
      <c r="R5369">
        <v>0.97329291641583604</v>
      </c>
      <c r="S5369" t="s">
        <v>11985</v>
      </c>
      <c r="T5369" t="s">
        <v>13232</v>
      </c>
      <c r="U5369" t="s">
        <v>13232</v>
      </c>
      <c r="V5369" t="s">
        <v>13232</v>
      </c>
      <c r="W5369" t="s">
        <v>18534</v>
      </c>
      <c r="X5369">
        <v>6</v>
      </c>
      <c r="Y5369" t="s">
        <v>24934</v>
      </c>
      <c r="Z5369" t="s">
        <v>31500</v>
      </c>
      <c r="AA5369">
        <v>0.20798758966944539</v>
      </c>
      <c r="AB5369" t="str">
        <f>HYPERLINK("Melting_Curves/meltCurve_Q9BVI4_NOC4L.pdf", "Melting_Curves/meltCurve_Q9BVI4_NOC4L.pdf")</f>
        <v>Melting_Curves/meltCurve_Q9BVI4_NOC4L.pdf</v>
      </c>
    </row>
    <row r="5370" spans="1:28" x14ac:dyDescent="0.25">
      <c r="A5370" t="s">
        <v>5373</v>
      </c>
      <c r="B5370">
        <v>0.99930955844802105</v>
      </c>
      <c r="C5370">
        <v>1.1313332538532701</v>
      </c>
      <c r="D5370">
        <v>1.11766168531961</v>
      </c>
      <c r="E5370">
        <v>1.1002562241153799</v>
      </c>
      <c r="F5370">
        <v>0.99760994305916795</v>
      </c>
      <c r="G5370">
        <v>0.90002180603160298</v>
      </c>
      <c r="H5370">
        <v>0.96239884559839795</v>
      </c>
      <c r="I5370">
        <v>1.0564603955407601</v>
      </c>
      <c r="J5370">
        <v>1.0692433429230599</v>
      </c>
      <c r="K5370">
        <v>0.84606119892109699</v>
      </c>
      <c r="L5370">
        <v>15000</v>
      </c>
      <c r="M5370">
        <v>212.58162714678701</v>
      </c>
      <c r="Q5370">
        <v>0</v>
      </c>
      <c r="R5370">
        <v>0.25242012776047401</v>
      </c>
      <c r="S5370" t="s">
        <v>11986</v>
      </c>
      <c r="T5370" t="s">
        <v>13232</v>
      </c>
      <c r="U5370" t="s">
        <v>13232</v>
      </c>
      <c r="V5370" t="s">
        <v>13232</v>
      </c>
      <c r="W5370" t="s">
        <v>18535</v>
      </c>
      <c r="X5370">
        <v>32</v>
      </c>
      <c r="Y5370" t="s">
        <v>24935</v>
      </c>
      <c r="Z5370" t="s">
        <v>31501</v>
      </c>
      <c r="AA5370">
        <v>0.99819732155659624</v>
      </c>
      <c r="AB5370" t="str">
        <f>HYPERLINK("Melting_Curves/meltCurve_Q9BVJ6_UTP14A.pdf", "Melting_Curves/meltCurve_Q9BVJ6_UTP14A.pdf")</f>
        <v>Melting_Curves/meltCurve_Q9BVJ6_UTP14A.pdf</v>
      </c>
    </row>
    <row r="5371" spans="1:28" x14ac:dyDescent="0.25">
      <c r="A5371" t="s">
        <v>5374</v>
      </c>
      <c r="B5371">
        <v>0.99930955844802105</v>
      </c>
      <c r="C5371">
        <v>1.0473157313239301</v>
      </c>
      <c r="D5371">
        <v>1.0857341024281</v>
      </c>
      <c r="E5371">
        <v>1.02215364327503</v>
      </c>
      <c r="F5371">
        <v>0.83633816060694999</v>
      </c>
      <c r="G5371">
        <v>0.48316581782802098</v>
      </c>
      <c r="H5371">
        <v>0.189360612612302</v>
      </c>
      <c r="I5371">
        <v>0.15645375082783899</v>
      </c>
      <c r="J5371">
        <v>0.12914311519654301</v>
      </c>
      <c r="K5371">
        <v>9.99276477264191E-2</v>
      </c>
      <c r="L5371">
        <v>1569.4595561321401</v>
      </c>
      <c r="M5371">
        <v>27.911904031316901</v>
      </c>
      <c r="N5371">
        <v>56.742871645586902</v>
      </c>
      <c r="O5371">
        <v>55.942789272288699</v>
      </c>
      <c r="P5371">
        <v>-0.110805644307512</v>
      </c>
      <c r="Q5371">
        <v>0.11167321361902301</v>
      </c>
      <c r="R5371">
        <v>0.99179000815326801</v>
      </c>
      <c r="S5371" t="s">
        <v>11987</v>
      </c>
      <c r="T5371" t="s">
        <v>13232</v>
      </c>
      <c r="U5371" t="s">
        <v>13232</v>
      </c>
      <c r="V5371" t="s">
        <v>13232</v>
      </c>
      <c r="W5371" t="s">
        <v>18536</v>
      </c>
      <c r="X5371">
        <v>13</v>
      </c>
      <c r="Y5371" t="s">
        <v>24936</v>
      </c>
      <c r="Z5371" t="s">
        <v>31502</v>
      </c>
      <c r="AA5371">
        <v>0.59897092759858039</v>
      </c>
      <c r="AB5371" t="str">
        <f>HYPERLINK("Melting_Curves/meltCurve_Q9BVJ7_DUSP23.pdf", "Melting_Curves/meltCurve_Q9BVJ7_DUSP23.pdf")</f>
        <v>Melting_Curves/meltCurve_Q9BVJ7_DUSP23.pdf</v>
      </c>
    </row>
    <row r="5372" spans="1:28" x14ac:dyDescent="0.25">
      <c r="A5372" t="s">
        <v>5375</v>
      </c>
      <c r="B5372">
        <v>0.99930955844802105</v>
      </c>
      <c r="C5372">
        <v>0.76267796301458901</v>
      </c>
      <c r="D5372">
        <v>0.55653530689300001</v>
      </c>
      <c r="E5372">
        <v>0.70842159285156203</v>
      </c>
      <c r="F5372">
        <v>0.34189729025906301</v>
      </c>
      <c r="G5372">
        <v>0.11517959942454099</v>
      </c>
      <c r="H5372">
        <v>6.1836120650819899E-2</v>
      </c>
      <c r="I5372">
        <v>4.34785068660411E-2</v>
      </c>
      <c r="J5372">
        <v>3.7735834066376102E-2</v>
      </c>
      <c r="K5372">
        <v>3.2669641686590901E-2</v>
      </c>
      <c r="L5372">
        <v>540.00236245221402</v>
      </c>
      <c r="M5372">
        <v>10.883719012092699</v>
      </c>
      <c r="N5372">
        <v>49.615593370430098</v>
      </c>
      <c r="O5372">
        <v>48.0287661890669</v>
      </c>
      <c r="P5372">
        <v>-5.6671998401360002E-2</v>
      </c>
      <c r="Q5372">
        <v>0</v>
      </c>
      <c r="R5372">
        <v>0.91901439827698805</v>
      </c>
      <c r="S5372" t="s">
        <v>11988</v>
      </c>
      <c r="T5372" t="s">
        <v>13232</v>
      </c>
      <c r="U5372" t="s">
        <v>13232</v>
      </c>
      <c r="V5372" t="s">
        <v>13232</v>
      </c>
      <c r="W5372" t="s">
        <v>18537</v>
      </c>
      <c r="X5372">
        <v>3</v>
      </c>
      <c r="Y5372" t="s">
        <v>24937</v>
      </c>
      <c r="Z5372" t="s">
        <v>31503</v>
      </c>
      <c r="AA5372">
        <v>0.36173573030631068</v>
      </c>
      <c r="AB5372" t="str">
        <f>HYPERLINK("Melting_Curves/meltCurve_Q9BVK6_TMED9.pdf", "Melting_Curves/meltCurve_Q9BVK6_TMED9.pdf")</f>
        <v>Melting_Curves/meltCurve_Q9BVK6_TMED9.pdf</v>
      </c>
    </row>
    <row r="5373" spans="1:28" x14ac:dyDescent="0.25">
      <c r="A5373" t="s">
        <v>5376</v>
      </c>
      <c r="B5373">
        <v>0.99930955844802105</v>
      </c>
      <c r="C5373">
        <v>0.91423296315898595</v>
      </c>
      <c r="D5373">
        <v>0.36598164355151003</v>
      </c>
      <c r="E5373">
        <v>0.23166359839710801</v>
      </c>
      <c r="F5373">
        <v>0.16357092711385199</v>
      </c>
      <c r="G5373">
        <v>0.14088950758566501</v>
      </c>
      <c r="H5373">
        <v>0.127074155738851</v>
      </c>
      <c r="I5373">
        <v>0.13636844522925801</v>
      </c>
      <c r="J5373">
        <v>0.17100734497178599</v>
      </c>
      <c r="K5373">
        <v>0.107386191694189</v>
      </c>
      <c r="L5373">
        <v>1978.11025541665</v>
      </c>
      <c r="M5373">
        <v>44.0332370023999</v>
      </c>
      <c r="N5373">
        <v>45.294674228941297</v>
      </c>
      <c r="O5373">
        <v>44.830758428568501</v>
      </c>
      <c r="P5373">
        <v>-0.20833265065873899</v>
      </c>
      <c r="Q5373">
        <v>0.15157748037977001</v>
      </c>
      <c r="R5373">
        <v>0.99161306940321303</v>
      </c>
      <c r="S5373" t="s">
        <v>11989</v>
      </c>
      <c r="T5373" t="s">
        <v>13232</v>
      </c>
      <c r="U5373" t="s">
        <v>13232</v>
      </c>
      <c r="V5373" t="s">
        <v>13232</v>
      </c>
      <c r="W5373" t="s">
        <v>18538</v>
      </c>
      <c r="X5373">
        <v>5</v>
      </c>
      <c r="Y5373" t="s">
        <v>24938</v>
      </c>
      <c r="Z5373" t="s">
        <v>31504</v>
      </c>
      <c r="AA5373">
        <v>0.29307541136014192</v>
      </c>
      <c r="AB5373" t="str">
        <f>HYPERLINK("Melting_Curves/meltCurve_Q9BVL4_SELO.pdf", "Melting_Curves/meltCurve_Q9BVL4_SELO.pdf")</f>
        <v>Melting_Curves/meltCurve_Q9BVL4_SELO.pdf</v>
      </c>
    </row>
    <row r="5374" spans="1:28" x14ac:dyDescent="0.25">
      <c r="A5374" t="s">
        <v>5377</v>
      </c>
      <c r="B5374">
        <v>0.99930955844802105</v>
      </c>
      <c r="C5374">
        <v>0.74465855215739396</v>
      </c>
      <c r="D5374">
        <v>0.80534886353187496</v>
      </c>
      <c r="E5374">
        <v>0.42274404779337199</v>
      </c>
      <c r="F5374">
        <v>0.18696232592890299</v>
      </c>
      <c r="G5374">
        <v>0.15416458946181599</v>
      </c>
      <c r="H5374">
        <v>9.9423586027716004E-2</v>
      </c>
      <c r="I5374">
        <v>9.2323617042747094E-2</v>
      </c>
      <c r="J5374">
        <v>6.8705440856875202E-2</v>
      </c>
      <c r="K5374">
        <v>5.8793038172413201E-2</v>
      </c>
      <c r="L5374">
        <v>742.95296305053205</v>
      </c>
      <c r="M5374">
        <v>15.345837948899399</v>
      </c>
      <c r="N5374">
        <v>48.780419960787398</v>
      </c>
      <c r="O5374">
        <v>47.614166777873699</v>
      </c>
      <c r="P5374">
        <v>-7.6194316149447397E-2</v>
      </c>
      <c r="Q5374">
        <v>5.4442037628541301E-2</v>
      </c>
      <c r="R5374">
        <v>0.96929452232282798</v>
      </c>
      <c r="S5374" t="s">
        <v>11990</v>
      </c>
      <c r="T5374" t="s">
        <v>13232</v>
      </c>
      <c r="U5374" t="s">
        <v>13232</v>
      </c>
      <c r="V5374" t="s">
        <v>13232</v>
      </c>
      <c r="W5374" t="s">
        <v>18539</v>
      </c>
      <c r="X5374">
        <v>4</v>
      </c>
      <c r="Y5374" t="s">
        <v>24939</v>
      </c>
      <c r="Z5374" t="s">
        <v>31505</v>
      </c>
      <c r="AA5374">
        <v>0.34248694745379671</v>
      </c>
      <c r="AB5374" t="str">
        <f>HYPERLINK("Melting_Curves/meltCurve_Q9BVM2_DPCD.pdf", "Melting_Curves/meltCurve_Q9BVM2_DPCD.pdf")</f>
        <v>Melting_Curves/meltCurve_Q9BVM2_DPCD.pdf</v>
      </c>
    </row>
    <row r="5375" spans="1:28" x14ac:dyDescent="0.25">
      <c r="A5375" t="s">
        <v>5378</v>
      </c>
      <c r="B5375">
        <v>0.99930955844802105</v>
      </c>
      <c r="C5375">
        <v>0.94404118951717397</v>
      </c>
      <c r="D5375">
        <v>0.95676249884748998</v>
      </c>
      <c r="E5375">
        <v>0.85804096063677204</v>
      </c>
      <c r="F5375">
        <v>0.55592440294426404</v>
      </c>
      <c r="G5375">
        <v>0.221180873568947</v>
      </c>
      <c r="H5375">
        <v>0.121159401214433</v>
      </c>
      <c r="I5375">
        <v>9.9796918471744794E-2</v>
      </c>
      <c r="J5375">
        <v>9.3977015606288905E-2</v>
      </c>
      <c r="K5375">
        <v>6.7268376966589202E-2</v>
      </c>
      <c r="L5375">
        <v>1334.11414188654</v>
      </c>
      <c r="M5375">
        <v>25.0865997492891</v>
      </c>
      <c r="N5375">
        <v>53.555769602180199</v>
      </c>
      <c r="O5375">
        <v>52.845878435657497</v>
      </c>
      <c r="P5375">
        <v>-0.10911056651260601</v>
      </c>
      <c r="Q5375">
        <v>8.0629927039198898E-2</v>
      </c>
      <c r="R5375">
        <v>0.99730364052725096</v>
      </c>
      <c r="S5375" t="s">
        <v>11991</v>
      </c>
      <c r="T5375" t="s">
        <v>13232</v>
      </c>
      <c r="U5375" t="s">
        <v>13232</v>
      </c>
      <c r="V5375" t="s">
        <v>13232</v>
      </c>
      <c r="W5375" t="s">
        <v>18540</v>
      </c>
      <c r="X5375">
        <v>5</v>
      </c>
      <c r="Y5375" t="s">
        <v>24940</v>
      </c>
      <c r="Z5375" t="s">
        <v>31506</v>
      </c>
      <c r="AA5375">
        <v>0.49297104938339942</v>
      </c>
      <c r="AB5375" t="str">
        <f>HYPERLINK("Melting_Curves/meltCurve_Q9BVM4_GGACT.pdf", "Melting_Curves/meltCurve_Q9BVM4_GGACT.pdf")</f>
        <v>Melting_Curves/meltCurve_Q9BVM4_GGACT.pdf</v>
      </c>
    </row>
    <row r="5376" spans="1:28" x14ac:dyDescent="0.25">
      <c r="A5376" t="s">
        <v>5379</v>
      </c>
      <c r="B5376">
        <v>0.99930955844802105</v>
      </c>
      <c r="C5376">
        <v>0.86863321786456704</v>
      </c>
      <c r="D5376">
        <v>0.86901900723187997</v>
      </c>
      <c r="E5376">
        <v>0.84117390537755699</v>
      </c>
      <c r="F5376">
        <v>0.79141833475193302</v>
      </c>
      <c r="G5376">
        <v>0.62382800456312804</v>
      </c>
      <c r="H5376">
        <v>0.48913441585321099</v>
      </c>
      <c r="I5376">
        <v>0.49822972908865998</v>
      </c>
      <c r="J5376">
        <v>0.48326795505793502</v>
      </c>
      <c r="K5376">
        <v>0.40869107736858501</v>
      </c>
      <c r="L5376">
        <v>399.74516124429601</v>
      </c>
      <c r="M5376">
        <v>6.8881225613507899</v>
      </c>
      <c r="N5376">
        <v>63.742773908846502</v>
      </c>
      <c r="O5376">
        <v>53.733882062028499</v>
      </c>
      <c r="P5376">
        <v>-2.4718837072447101E-2</v>
      </c>
      <c r="Q5376">
        <v>0.23019250688412099</v>
      </c>
      <c r="R5376">
        <v>0.960597471223683</v>
      </c>
      <c r="S5376" t="s">
        <v>11992</v>
      </c>
      <c r="T5376" t="s">
        <v>13232</v>
      </c>
      <c r="U5376" t="s">
        <v>13232</v>
      </c>
      <c r="V5376" t="s">
        <v>13232</v>
      </c>
      <c r="W5376" t="s">
        <v>18541</v>
      </c>
      <c r="X5376">
        <v>6</v>
      </c>
      <c r="Y5376" t="s">
        <v>24941</v>
      </c>
      <c r="Z5376" t="s">
        <v>31507</v>
      </c>
      <c r="AA5376">
        <v>0.69093090157344794</v>
      </c>
      <c r="AB5376" t="str">
        <f>HYPERLINK("Melting_Curves/meltCurve_Q9BVP2_2_GNL3.pdf", "Melting_Curves/meltCurve_Q9BVP2_2_GNL3.pdf")</f>
        <v>Melting_Curves/meltCurve_Q9BVP2_2_GNL3.pdf</v>
      </c>
    </row>
    <row r="5377" spans="1:28" x14ac:dyDescent="0.25">
      <c r="A5377" t="s">
        <v>5380</v>
      </c>
      <c r="B5377">
        <v>0.99930955844802105</v>
      </c>
      <c r="C5377">
        <v>0.499297743694742</v>
      </c>
      <c r="D5377">
        <v>0.59961159464700298</v>
      </c>
      <c r="E5377">
        <v>0.65823527085960198</v>
      </c>
      <c r="F5377">
        <v>0.283818251027464</v>
      </c>
      <c r="G5377">
        <v>0.14013209834780399</v>
      </c>
      <c r="H5377">
        <v>6.7202646855542295E-2</v>
      </c>
      <c r="I5377">
        <v>6.08484867647099E-2</v>
      </c>
      <c r="J5377">
        <v>4.02790800070435E-2</v>
      </c>
      <c r="K5377">
        <v>3.5154237464735498E-2</v>
      </c>
      <c r="L5377">
        <v>438.57205534825101</v>
      </c>
      <c r="M5377">
        <v>9.1066733887689093</v>
      </c>
      <c r="N5377">
        <v>48.1594146066343</v>
      </c>
      <c r="O5377">
        <v>46.007550851377303</v>
      </c>
      <c r="P5377">
        <v>-4.9519036202228001E-2</v>
      </c>
      <c r="Q5377">
        <v>0</v>
      </c>
      <c r="R5377">
        <v>0.85046979185501104</v>
      </c>
      <c r="S5377" t="s">
        <v>11993</v>
      </c>
      <c r="T5377" t="s">
        <v>13232</v>
      </c>
      <c r="U5377" t="s">
        <v>13232</v>
      </c>
      <c r="V5377" t="s">
        <v>13232</v>
      </c>
      <c r="W5377" t="s">
        <v>18542</v>
      </c>
      <c r="X5377">
        <v>8</v>
      </c>
      <c r="Y5377" t="s">
        <v>24942</v>
      </c>
      <c r="Z5377" t="s">
        <v>31508</v>
      </c>
      <c r="AA5377">
        <v>0.33207157206503563</v>
      </c>
      <c r="AB5377" t="str">
        <f>HYPERLINK("Melting_Curves/meltCurve_Q9BVQ7_SPATA5L1.pdf", "Melting_Curves/meltCurve_Q9BVQ7_SPATA5L1.pdf")</f>
        <v>Melting_Curves/meltCurve_Q9BVQ7_SPATA5L1.pdf</v>
      </c>
    </row>
    <row r="5378" spans="1:28" x14ac:dyDescent="0.25">
      <c r="A5378" t="s">
        <v>5381</v>
      </c>
      <c r="B5378">
        <v>0.99930955844802105</v>
      </c>
      <c r="C5378">
        <v>0.71297415650107199</v>
      </c>
      <c r="D5378">
        <v>0.37220784333492202</v>
      </c>
      <c r="E5378">
        <v>0.33432380468589501</v>
      </c>
      <c r="F5378">
        <v>0.23264450449124899</v>
      </c>
      <c r="G5378">
        <v>0.135637807534775</v>
      </c>
      <c r="H5378">
        <v>6.1278976180278298E-2</v>
      </c>
      <c r="I5378">
        <v>8.1187407994226496E-2</v>
      </c>
      <c r="J5378">
        <v>4.3065721835911799E-2</v>
      </c>
      <c r="K5378">
        <v>4.83748216490274E-2</v>
      </c>
      <c r="L5378">
        <v>665.74609079600896</v>
      </c>
      <c r="M5378">
        <v>14.6694193973503</v>
      </c>
      <c r="N5378">
        <v>45.84165720304</v>
      </c>
      <c r="O5378">
        <v>44.564910124323298</v>
      </c>
      <c r="P5378">
        <v>-7.6687043011628098E-2</v>
      </c>
      <c r="Q5378">
        <v>6.8218210477886898E-2</v>
      </c>
      <c r="R5378">
        <v>0.95810261841476396</v>
      </c>
      <c r="S5378" t="s">
        <v>11994</v>
      </c>
      <c r="T5378" t="s">
        <v>13232</v>
      </c>
      <c r="U5378" t="s">
        <v>13232</v>
      </c>
      <c r="V5378" t="s">
        <v>13232</v>
      </c>
      <c r="W5378" t="s">
        <v>18543</v>
      </c>
      <c r="X5378">
        <v>2</v>
      </c>
      <c r="Y5378" t="s">
        <v>24943</v>
      </c>
      <c r="Z5378" t="s">
        <v>31509</v>
      </c>
      <c r="AA5378">
        <v>0.26556816161302099</v>
      </c>
      <c r="AB5378" t="str">
        <f>HYPERLINK("Melting_Curves/meltCurve_Q9BVR6_TUBGCP4.pdf", "Melting_Curves/meltCurve_Q9BVR6_TUBGCP4.pdf")</f>
        <v>Melting_Curves/meltCurve_Q9BVR6_TUBGCP4.pdf</v>
      </c>
    </row>
    <row r="5379" spans="1:28" x14ac:dyDescent="0.25">
      <c r="A5379" t="s">
        <v>5382</v>
      </c>
      <c r="B5379">
        <v>0.99930955844802105</v>
      </c>
      <c r="C5379">
        <v>0.77844346510092899</v>
      </c>
      <c r="D5379">
        <v>0.56330898397719698</v>
      </c>
      <c r="E5379">
        <v>0.39992636546076599</v>
      </c>
      <c r="F5379">
        <v>0.264928304506378</v>
      </c>
      <c r="G5379">
        <v>0.201604413969587</v>
      </c>
      <c r="H5379">
        <v>0.15521400375355501</v>
      </c>
      <c r="I5379">
        <v>0.15305289698055599</v>
      </c>
      <c r="J5379">
        <v>0.14128384335770799</v>
      </c>
      <c r="K5379">
        <v>0.108908302237424</v>
      </c>
      <c r="L5379">
        <v>658.23923265445001</v>
      </c>
      <c r="M5379">
        <v>14.1311663614135</v>
      </c>
      <c r="N5379">
        <v>47.577179936327902</v>
      </c>
      <c r="O5379">
        <v>45.677611746677002</v>
      </c>
      <c r="P5379">
        <v>-6.7443111717781806E-2</v>
      </c>
      <c r="Q5379">
        <v>0.128098230012611</v>
      </c>
      <c r="R5379">
        <v>0.98841677021637597</v>
      </c>
      <c r="S5379" t="s">
        <v>11995</v>
      </c>
      <c r="T5379" t="s">
        <v>13232</v>
      </c>
      <c r="U5379" t="s">
        <v>13232</v>
      </c>
      <c r="V5379" t="s">
        <v>13232</v>
      </c>
      <c r="W5379" t="s">
        <v>18544</v>
      </c>
      <c r="X5379">
        <v>4</v>
      </c>
      <c r="Y5379" t="s">
        <v>24944</v>
      </c>
      <c r="Z5379" t="s">
        <v>31510</v>
      </c>
      <c r="AA5379">
        <v>0.34688867117172711</v>
      </c>
      <c r="AB5379" t="str">
        <f>HYPERLINK("Melting_Curves/meltCurve_Q9BVS4_RIOK2.pdf", "Melting_Curves/meltCurve_Q9BVS4_RIOK2.pdf")</f>
        <v>Melting_Curves/meltCurve_Q9BVS4_RIOK2.pdf</v>
      </c>
    </row>
    <row r="5380" spans="1:28" x14ac:dyDescent="0.25">
      <c r="A5380" t="s">
        <v>5383</v>
      </c>
      <c r="B5380">
        <v>0.99930955844802105</v>
      </c>
      <c r="C5380">
        <v>1.0706306277842399</v>
      </c>
      <c r="D5380">
        <v>1.1117046618114601</v>
      </c>
      <c r="E5380">
        <v>1.04542622682287</v>
      </c>
      <c r="F5380">
        <v>0.96901880337017099</v>
      </c>
      <c r="G5380">
        <v>0.79601049530333401</v>
      </c>
      <c r="H5380">
        <v>0.89512450188072501</v>
      </c>
      <c r="I5380">
        <v>0.98916917965654705</v>
      </c>
      <c r="J5380">
        <v>0.82585255603594199</v>
      </c>
      <c r="K5380">
        <v>0.76318313635698798</v>
      </c>
      <c r="L5380">
        <v>13319.5816922666</v>
      </c>
      <c r="M5380">
        <v>250</v>
      </c>
      <c r="O5380">
        <v>53.274917318225199</v>
      </c>
      <c r="P5380">
        <v>-0.17143624279533001</v>
      </c>
      <c r="Q5380">
        <v>0.85386797363081401</v>
      </c>
      <c r="R5380">
        <v>0.60400841763875801</v>
      </c>
      <c r="S5380" t="s">
        <v>11996</v>
      </c>
      <c r="T5380" t="s">
        <v>13232</v>
      </c>
      <c r="U5380" t="s">
        <v>13232</v>
      </c>
      <c r="V5380" t="s">
        <v>13232</v>
      </c>
      <c r="W5380" t="s">
        <v>18545</v>
      </c>
      <c r="X5380">
        <v>7</v>
      </c>
      <c r="Y5380" t="s">
        <v>24945</v>
      </c>
      <c r="Z5380" t="s">
        <v>31511</v>
      </c>
      <c r="AA5380">
        <v>0.91856126394542903</v>
      </c>
      <c r="AB5380" t="str">
        <f>HYPERLINK("Melting_Curves/meltCurve_Q9BW04_SARG.pdf", "Melting_Curves/meltCurve_Q9BW04_SARG.pdf")</f>
        <v>Melting_Curves/meltCurve_Q9BW04_SARG.pdf</v>
      </c>
    </row>
    <row r="5381" spans="1:28" x14ac:dyDescent="0.25">
      <c r="A5381" t="s">
        <v>5384</v>
      </c>
      <c r="B5381">
        <v>0.99930955844802105</v>
      </c>
      <c r="C5381">
        <v>0.77349115075835195</v>
      </c>
      <c r="D5381">
        <v>0.52413885368381197</v>
      </c>
      <c r="E5381">
        <v>0.41826558335632202</v>
      </c>
      <c r="F5381">
        <v>0.317982002868059</v>
      </c>
      <c r="G5381">
        <v>0.247448802460005</v>
      </c>
      <c r="H5381">
        <v>0.19795685694974499</v>
      </c>
      <c r="I5381">
        <v>0.19466509789613901</v>
      </c>
      <c r="J5381">
        <v>0.19334648939444701</v>
      </c>
      <c r="K5381">
        <v>0.146349473972197</v>
      </c>
      <c r="L5381">
        <v>654.08200901015198</v>
      </c>
      <c r="M5381">
        <v>14.2134616026496</v>
      </c>
      <c r="N5381">
        <v>47.512007436645099</v>
      </c>
      <c r="O5381">
        <v>45.136294622988402</v>
      </c>
      <c r="P5381">
        <v>-6.4549962571994204E-2</v>
      </c>
      <c r="Q5381">
        <v>0.18016222263112999</v>
      </c>
      <c r="R5381">
        <v>0.97791184034185596</v>
      </c>
      <c r="S5381" t="s">
        <v>11997</v>
      </c>
      <c r="T5381" t="s">
        <v>13232</v>
      </c>
      <c r="U5381" t="s">
        <v>13232</v>
      </c>
      <c r="V5381" t="s">
        <v>13232</v>
      </c>
      <c r="W5381" t="s">
        <v>18546</v>
      </c>
      <c r="X5381">
        <v>24</v>
      </c>
      <c r="Y5381" t="s">
        <v>24946</v>
      </c>
      <c r="Z5381" t="s">
        <v>31512</v>
      </c>
      <c r="AA5381">
        <v>0.3713719278856959</v>
      </c>
      <c r="AB5381" t="str">
        <f>HYPERLINK("Melting_Curves/meltCurve_Q9BW19_KIFC1.pdf", "Melting_Curves/meltCurve_Q9BW19_KIFC1.pdf")</f>
        <v>Melting_Curves/meltCurve_Q9BW19_KIFC1.pdf</v>
      </c>
    </row>
    <row r="5382" spans="1:28" x14ac:dyDescent="0.25">
      <c r="A5382" t="s">
        <v>5385</v>
      </c>
      <c r="B5382">
        <v>0.99930955844802105</v>
      </c>
      <c r="C5382">
        <v>0.906810593939821</v>
      </c>
      <c r="D5382">
        <v>0.886079411582962</v>
      </c>
      <c r="E5382">
        <v>0.83476798322582402</v>
      </c>
      <c r="F5382">
        <v>0.61556103521943495</v>
      </c>
      <c r="G5382">
        <v>0.27360700527042497</v>
      </c>
      <c r="H5382">
        <v>0.118996246076704</v>
      </c>
      <c r="I5382">
        <v>7.1132528084127497E-2</v>
      </c>
      <c r="J5382">
        <v>6.3165366336410997E-2</v>
      </c>
      <c r="K5382">
        <v>4.8970774216830402E-2</v>
      </c>
      <c r="L5382">
        <v>969.61470309420702</v>
      </c>
      <c r="M5382">
        <v>17.958062066034302</v>
      </c>
      <c r="N5382">
        <v>54.127877325499</v>
      </c>
      <c r="O5382">
        <v>53.337103529752397</v>
      </c>
      <c r="P5382">
        <v>-8.2338568433453205E-2</v>
      </c>
      <c r="Q5382">
        <v>2.1836083540224201E-2</v>
      </c>
      <c r="R5382">
        <v>0.99019460868822495</v>
      </c>
      <c r="S5382" t="s">
        <v>11998</v>
      </c>
      <c r="T5382" t="s">
        <v>13232</v>
      </c>
      <c r="U5382" t="s">
        <v>13232</v>
      </c>
      <c r="V5382" t="s">
        <v>13232</v>
      </c>
      <c r="W5382" t="s">
        <v>18547</v>
      </c>
      <c r="X5382">
        <v>15</v>
      </c>
      <c r="Y5382" t="s">
        <v>24947</v>
      </c>
      <c r="Z5382" t="s">
        <v>31513</v>
      </c>
      <c r="AA5382">
        <v>0.49380122356532541</v>
      </c>
      <c r="AB5382" t="str">
        <f>HYPERLINK("Melting_Curves/meltCurve_Q9BW27_NUP85.pdf", "Melting_Curves/meltCurve_Q9BW27_NUP85.pdf")</f>
        <v>Melting_Curves/meltCurve_Q9BW27_NUP85.pdf</v>
      </c>
    </row>
    <row r="5383" spans="1:28" x14ac:dyDescent="0.25">
      <c r="A5383" t="s">
        <v>5386</v>
      </c>
      <c r="B5383">
        <v>0.99930955844802105</v>
      </c>
      <c r="C5383">
        <v>0.87833695498933195</v>
      </c>
      <c r="D5383">
        <v>0.88535571284285397</v>
      </c>
      <c r="E5383">
        <v>0.90301719695954796</v>
      </c>
      <c r="F5383">
        <v>0.746074261289697</v>
      </c>
      <c r="G5383">
        <v>0.53351232838861895</v>
      </c>
      <c r="H5383">
        <v>0.37752603832800702</v>
      </c>
      <c r="I5383">
        <v>0.29474029560821402</v>
      </c>
      <c r="J5383">
        <v>0.24944776814970299</v>
      </c>
      <c r="K5383">
        <v>0.209332193509253</v>
      </c>
      <c r="L5383">
        <v>629.20735496801797</v>
      </c>
      <c r="M5383">
        <v>11.0304733346443</v>
      </c>
      <c r="N5383">
        <v>58.154445099042299</v>
      </c>
      <c r="O5383">
        <v>55.264020465262803</v>
      </c>
      <c r="P5383">
        <v>-4.5170502746863399E-2</v>
      </c>
      <c r="Q5383">
        <v>9.5063170470318606E-2</v>
      </c>
      <c r="R5383">
        <v>0.97944666025043303</v>
      </c>
      <c r="S5383" t="s">
        <v>11999</v>
      </c>
      <c r="T5383" t="s">
        <v>13232</v>
      </c>
      <c r="U5383" t="s">
        <v>13232</v>
      </c>
      <c r="V5383" t="s">
        <v>13232</v>
      </c>
      <c r="W5383" t="s">
        <v>18548</v>
      </c>
      <c r="X5383">
        <v>10</v>
      </c>
      <c r="Y5383" t="s">
        <v>24948</v>
      </c>
      <c r="Z5383" t="s">
        <v>31514</v>
      </c>
      <c r="AA5383">
        <v>0.62398008903490121</v>
      </c>
      <c r="AB5383" t="str">
        <f>HYPERLINK("Melting_Curves/meltCurve_Q9BW61_DDA1.pdf", "Melting_Curves/meltCurve_Q9BW61_DDA1.pdf")</f>
        <v>Melting_Curves/meltCurve_Q9BW61_DDA1.pdf</v>
      </c>
    </row>
    <row r="5384" spans="1:28" x14ac:dyDescent="0.25">
      <c r="A5384" t="s">
        <v>5387</v>
      </c>
      <c r="B5384">
        <v>0.99930955844802105</v>
      </c>
      <c r="C5384">
        <v>0.99652267902708702</v>
      </c>
      <c r="D5384">
        <v>0.98908431877220404</v>
      </c>
      <c r="E5384">
        <v>0.91028130650186001</v>
      </c>
      <c r="F5384">
        <v>0.62079005209134897</v>
      </c>
      <c r="G5384">
        <v>0.37063652965135002</v>
      </c>
      <c r="H5384">
        <v>0.247977037218376</v>
      </c>
      <c r="I5384">
        <v>0.23713214616950501</v>
      </c>
      <c r="J5384">
        <v>0.23507694539238599</v>
      </c>
      <c r="K5384">
        <v>0.19356328222441299</v>
      </c>
      <c r="L5384">
        <v>1360.06520953618</v>
      </c>
      <c r="M5384">
        <v>25.467195670253499</v>
      </c>
      <c r="N5384">
        <v>54.638409214920102</v>
      </c>
      <c r="O5384">
        <v>53.078574583141702</v>
      </c>
      <c r="P5384">
        <v>-9.3721806189833598E-2</v>
      </c>
      <c r="Q5384">
        <v>0.21867208744295999</v>
      </c>
      <c r="R5384">
        <v>0.99756131318374097</v>
      </c>
      <c r="S5384" t="s">
        <v>12000</v>
      </c>
      <c r="T5384" t="s">
        <v>13232</v>
      </c>
      <c r="U5384" t="s">
        <v>13232</v>
      </c>
      <c r="V5384" t="s">
        <v>13232</v>
      </c>
      <c r="W5384" t="s">
        <v>18549</v>
      </c>
      <c r="X5384">
        <v>9</v>
      </c>
      <c r="Y5384" t="s">
        <v>24949</v>
      </c>
      <c r="Z5384" t="s">
        <v>31515</v>
      </c>
      <c r="AA5384">
        <v>0.57475264166626128</v>
      </c>
      <c r="AB5384" t="str">
        <f>HYPERLINK("Melting_Curves/meltCurve_Q9BW62_KATNAL1.pdf", "Melting_Curves/meltCurve_Q9BW62_KATNAL1.pdf")</f>
        <v>Melting_Curves/meltCurve_Q9BW62_KATNAL1.pdf</v>
      </c>
    </row>
    <row r="5385" spans="1:28" x14ac:dyDescent="0.25">
      <c r="A5385" t="s">
        <v>5388</v>
      </c>
      <c r="B5385">
        <v>0.99930955844802105</v>
      </c>
      <c r="C5385">
        <v>0.72969356548063402</v>
      </c>
      <c r="D5385">
        <v>0.70519413488308702</v>
      </c>
      <c r="E5385">
        <v>0.72721856772197602</v>
      </c>
      <c r="F5385">
        <v>0.45159744657984302</v>
      </c>
      <c r="G5385">
        <v>0.341979603698715</v>
      </c>
      <c r="H5385">
        <v>0.25363232332037799</v>
      </c>
      <c r="I5385">
        <v>0.241074538470018</v>
      </c>
      <c r="J5385">
        <v>0.23155105164317999</v>
      </c>
      <c r="K5385">
        <v>0.17279879885789901</v>
      </c>
      <c r="L5385">
        <v>398.27833635568999</v>
      </c>
      <c r="M5385">
        <v>7.6972411990449796</v>
      </c>
      <c r="N5385">
        <v>52.666037956642299</v>
      </c>
      <c r="O5385">
        <v>48.597954321510201</v>
      </c>
      <c r="P5385">
        <v>-3.7146404214567497E-2</v>
      </c>
      <c r="Q5385">
        <v>6.3100656385638998E-2</v>
      </c>
      <c r="R5385">
        <v>0.940515581601577</v>
      </c>
      <c r="S5385" t="s">
        <v>12001</v>
      </c>
      <c r="T5385" t="s">
        <v>13232</v>
      </c>
      <c r="U5385" t="s">
        <v>13232</v>
      </c>
      <c r="V5385" t="s">
        <v>13232</v>
      </c>
      <c r="W5385" t="s">
        <v>18550</v>
      </c>
      <c r="X5385">
        <v>1</v>
      </c>
      <c r="Y5385" t="s">
        <v>24950</v>
      </c>
      <c r="Z5385" t="s">
        <v>31516</v>
      </c>
      <c r="AA5385">
        <v>0.47706690168439131</v>
      </c>
      <c r="AB5385" t="str">
        <f>HYPERLINK("Melting_Curves/meltCurve_Q9BW66_CINP.pdf", "Melting_Curves/meltCurve_Q9BW66_CINP.pdf")</f>
        <v>Melting_Curves/meltCurve_Q9BW66_CINP.pdf</v>
      </c>
    </row>
    <row r="5386" spans="1:28" x14ac:dyDescent="0.25">
      <c r="A5386" t="s">
        <v>5389</v>
      </c>
      <c r="B5386">
        <v>0.99930955844802105</v>
      </c>
      <c r="C5386">
        <v>1.1259049705015201</v>
      </c>
      <c r="D5386">
        <v>1.1268351451526799</v>
      </c>
      <c r="E5386">
        <v>1.08041031085288</v>
      </c>
      <c r="F5386">
        <v>1.0091050073777701</v>
      </c>
      <c r="G5386">
        <v>0.94768780450578505</v>
      </c>
      <c r="H5386">
        <v>0.96290061563750595</v>
      </c>
      <c r="I5386">
        <v>1.0435601387364699</v>
      </c>
      <c r="J5386">
        <v>1.05596998110038</v>
      </c>
      <c r="K5386">
        <v>0.83685814840484696</v>
      </c>
      <c r="L5386">
        <v>15000</v>
      </c>
      <c r="M5386">
        <v>212.650639923943</v>
      </c>
      <c r="Q5386">
        <v>0</v>
      </c>
      <c r="R5386">
        <v>0.32618971309735301</v>
      </c>
      <c r="S5386" t="s">
        <v>12002</v>
      </c>
      <c r="T5386" t="s">
        <v>13232</v>
      </c>
      <c r="U5386" t="s">
        <v>13232</v>
      </c>
      <c r="V5386" t="s">
        <v>13232</v>
      </c>
      <c r="W5386" t="s">
        <v>18551</v>
      </c>
      <c r="X5386">
        <v>18</v>
      </c>
      <c r="Y5386" t="s">
        <v>24951</v>
      </c>
      <c r="Z5386" t="s">
        <v>31517</v>
      </c>
      <c r="AA5386">
        <v>0.99807940756906133</v>
      </c>
      <c r="AB5386" t="str">
        <f>HYPERLINK("Melting_Curves/meltCurve_Q9BW71_HIRIP3.pdf", "Melting_Curves/meltCurve_Q9BW71_HIRIP3.pdf")</f>
        <v>Melting_Curves/meltCurve_Q9BW71_HIRIP3.pdf</v>
      </c>
    </row>
    <row r="5387" spans="1:28" x14ac:dyDescent="0.25">
      <c r="A5387" t="s">
        <v>5390</v>
      </c>
      <c r="B5387">
        <v>0.99930955844802105</v>
      </c>
      <c r="C5387">
        <v>0.98946085146707596</v>
      </c>
      <c r="D5387">
        <v>0.907467285404845</v>
      </c>
      <c r="E5387">
        <v>0.66601353203477798</v>
      </c>
      <c r="F5387">
        <v>0.36127541491968002</v>
      </c>
      <c r="G5387">
        <v>0.22741518283809301</v>
      </c>
      <c r="H5387">
        <v>0.130911142243681</v>
      </c>
      <c r="I5387">
        <v>9.9166051793359994E-2</v>
      </c>
      <c r="J5387">
        <v>8.4677415923409605E-2</v>
      </c>
      <c r="K5387">
        <v>7.1577339696228495E-2</v>
      </c>
      <c r="L5387">
        <v>998.41535731451495</v>
      </c>
      <c r="M5387">
        <v>19.489488775235401</v>
      </c>
      <c r="N5387">
        <v>51.702989830237399</v>
      </c>
      <c r="O5387">
        <v>50.698208659701201</v>
      </c>
      <c r="P5387">
        <v>-8.8237443446858702E-2</v>
      </c>
      <c r="Q5387">
        <v>8.1901191657038006E-2</v>
      </c>
      <c r="R5387">
        <v>0.99776137144779797</v>
      </c>
      <c r="S5387" t="s">
        <v>12003</v>
      </c>
      <c r="T5387" t="s">
        <v>13232</v>
      </c>
      <c r="U5387" t="s">
        <v>13232</v>
      </c>
      <c r="V5387" t="s">
        <v>13232</v>
      </c>
      <c r="W5387" t="s">
        <v>18552</v>
      </c>
      <c r="X5387">
        <v>7</v>
      </c>
      <c r="Y5387" t="s">
        <v>24952</v>
      </c>
      <c r="Z5387" t="s">
        <v>31518</v>
      </c>
      <c r="AA5387">
        <v>0.43888719710342777</v>
      </c>
      <c r="AB5387" t="str">
        <f>HYPERLINK("Melting_Curves/meltCurve_Q9BW83_IFT27.pdf", "Melting_Curves/meltCurve_Q9BW83_IFT27.pdf")</f>
        <v>Melting_Curves/meltCurve_Q9BW83_IFT27.pdf</v>
      </c>
    </row>
    <row r="5388" spans="1:28" x14ac:dyDescent="0.25">
      <c r="A5388" t="s">
        <v>5391</v>
      </c>
      <c r="B5388">
        <v>0.99930955844802105</v>
      </c>
      <c r="C5388">
        <v>1.07621503534779</v>
      </c>
      <c r="D5388">
        <v>1.0562211140583999</v>
      </c>
      <c r="E5388">
        <v>0.97178828027612196</v>
      </c>
      <c r="F5388">
        <v>0.72159403699213598</v>
      </c>
      <c r="G5388">
        <v>0.48526665987525403</v>
      </c>
      <c r="H5388">
        <v>0.30092330912898702</v>
      </c>
      <c r="I5388">
        <v>0.22676672088251801</v>
      </c>
      <c r="J5388">
        <v>0.20088919828933999</v>
      </c>
      <c r="K5388">
        <v>0.14842946618009201</v>
      </c>
      <c r="L5388">
        <v>1130.5910212526601</v>
      </c>
      <c r="M5388">
        <v>20.356166950865202</v>
      </c>
      <c r="N5388">
        <v>56.666669030400001</v>
      </c>
      <c r="O5388">
        <v>55.012797595090497</v>
      </c>
      <c r="P5388">
        <v>-7.7118973132602797E-2</v>
      </c>
      <c r="Q5388">
        <v>0.16636533150278601</v>
      </c>
      <c r="R5388">
        <v>0.98712369907786501</v>
      </c>
      <c r="S5388" t="s">
        <v>12004</v>
      </c>
      <c r="T5388" t="s">
        <v>13232</v>
      </c>
      <c r="U5388" t="s">
        <v>13232</v>
      </c>
      <c r="V5388" t="s">
        <v>13232</v>
      </c>
      <c r="W5388" t="s">
        <v>18553</v>
      </c>
      <c r="X5388">
        <v>17</v>
      </c>
      <c r="Y5388" t="s">
        <v>20755</v>
      </c>
      <c r="Z5388" t="s">
        <v>31519</v>
      </c>
      <c r="AA5388">
        <v>0.60885022861122451</v>
      </c>
      <c r="AB5388" t="str">
        <f>HYPERLINK("Melting_Curves/meltCurve_Q9BW85_CCDC94.pdf", "Melting_Curves/meltCurve_Q9BW85_CCDC94.pdf")</f>
        <v>Melting_Curves/meltCurve_Q9BW85_CCDC94.pdf</v>
      </c>
    </row>
    <row r="5389" spans="1:28" x14ac:dyDescent="0.25">
      <c r="A5389" t="s">
        <v>5392</v>
      </c>
      <c r="B5389">
        <v>0.99930955844802105</v>
      </c>
      <c r="C5389">
        <v>1.0330711067029601</v>
      </c>
      <c r="D5389">
        <v>1.06421798196381</v>
      </c>
      <c r="E5389">
        <v>0.95668649582415499</v>
      </c>
      <c r="F5389">
        <v>0.672555729338012</v>
      </c>
      <c r="G5389">
        <v>0.30030843414044101</v>
      </c>
      <c r="H5389">
        <v>0.14467830395950901</v>
      </c>
      <c r="I5389">
        <v>0.110379371889526</v>
      </c>
      <c r="J5389">
        <v>9.7965542963980898E-2</v>
      </c>
      <c r="K5389">
        <v>8.2799585208840495E-2</v>
      </c>
      <c r="L5389">
        <v>1519.17959827145</v>
      </c>
      <c r="M5389">
        <v>27.974637479344199</v>
      </c>
      <c r="N5389">
        <v>54.720531611284898</v>
      </c>
      <c r="O5389">
        <v>54.030375355849401</v>
      </c>
      <c r="P5389">
        <v>-0.117070251058511</v>
      </c>
      <c r="Q5389">
        <v>9.5567183589800903E-2</v>
      </c>
      <c r="R5389">
        <v>0.995271491951637</v>
      </c>
      <c r="S5389" t="s">
        <v>12005</v>
      </c>
      <c r="T5389" t="s">
        <v>13232</v>
      </c>
      <c r="U5389" t="s">
        <v>13232</v>
      </c>
      <c r="V5389" t="s">
        <v>13232</v>
      </c>
      <c r="W5389" t="s">
        <v>18554</v>
      </c>
      <c r="X5389">
        <v>11</v>
      </c>
      <c r="Y5389" t="s">
        <v>24953</v>
      </c>
      <c r="Z5389" t="s">
        <v>31520</v>
      </c>
      <c r="AA5389">
        <v>0.53365653306767691</v>
      </c>
      <c r="AB5389" t="str">
        <f>HYPERLINK("Melting_Curves/meltCurve_Q9BW91_2_NUDT9.pdf", "Melting_Curves/meltCurve_Q9BW91_2_NUDT9.pdf")</f>
        <v>Melting_Curves/meltCurve_Q9BW91_2_NUDT9.pdf</v>
      </c>
    </row>
    <row r="5390" spans="1:28" x14ac:dyDescent="0.25">
      <c r="A5390" t="s">
        <v>5393</v>
      </c>
      <c r="B5390">
        <v>0.99930955844802105</v>
      </c>
      <c r="C5390">
        <v>0.75577545744968799</v>
      </c>
      <c r="D5390">
        <v>0.58981190142037099</v>
      </c>
      <c r="E5390">
        <v>0.39883947826015398</v>
      </c>
      <c r="F5390">
        <v>0.224072558440885</v>
      </c>
      <c r="G5390">
        <v>0.149197271302906</v>
      </c>
      <c r="H5390">
        <v>9.4615600166049404E-2</v>
      </c>
      <c r="I5390">
        <v>7.9108239222719104E-2</v>
      </c>
      <c r="J5390">
        <v>6.2006405339119303E-2</v>
      </c>
      <c r="K5390">
        <v>5.1297851764764403E-2</v>
      </c>
      <c r="L5390">
        <v>609.32462270350402</v>
      </c>
      <c r="M5390">
        <v>12.8699138251664</v>
      </c>
      <c r="N5390">
        <v>47.686808978138998</v>
      </c>
      <c r="O5390">
        <v>46.245516823113299</v>
      </c>
      <c r="P5390">
        <v>-6.6519422210908799E-2</v>
      </c>
      <c r="Q5390">
        <v>4.40775146590048E-2</v>
      </c>
      <c r="R5390">
        <v>0.98955137847732999</v>
      </c>
      <c r="S5390" t="s">
        <v>12006</v>
      </c>
      <c r="T5390" t="s">
        <v>13232</v>
      </c>
      <c r="U5390" t="s">
        <v>13232</v>
      </c>
      <c r="V5390" t="s">
        <v>13232</v>
      </c>
      <c r="W5390" t="s">
        <v>18555</v>
      </c>
      <c r="X5390">
        <v>15</v>
      </c>
      <c r="Y5390" t="s">
        <v>24954</v>
      </c>
      <c r="Z5390" t="s">
        <v>31521</v>
      </c>
      <c r="AA5390">
        <v>0.31249270892593017</v>
      </c>
      <c r="AB5390" t="str">
        <f>HYPERLINK("Melting_Curves/meltCurve_Q9BW92_TARS2.pdf", "Melting_Curves/meltCurve_Q9BW92_TARS2.pdf")</f>
        <v>Melting_Curves/meltCurve_Q9BW92_TARS2.pdf</v>
      </c>
    </row>
    <row r="5391" spans="1:28" x14ac:dyDescent="0.25">
      <c r="A5391" t="s">
        <v>5394</v>
      </c>
      <c r="B5391">
        <v>0.99930955844802105</v>
      </c>
      <c r="C5391">
        <v>0.96715993728239003</v>
      </c>
      <c r="D5391">
        <v>0.92951748160164804</v>
      </c>
      <c r="E5391">
        <v>0.87016850900787102</v>
      </c>
      <c r="F5391">
        <v>0.78229437283177905</v>
      </c>
      <c r="G5391">
        <v>0.63865704143852797</v>
      </c>
      <c r="H5391">
        <v>0.34682768779779999</v>
      </c>
      <c r="I5391">
        <v>0.157242285649284</v>
      </c>
      <c r="J5391">
        <v>0.11197983963361401</v>
      </c>
      <c r="K5391">
        <v>8.3473935436102195E-2</v>
      </c>
      <c r="L5391">
        <v>843.10975468564698</v>
      </c>
      <c r="M5391">
        <v>14.4980848109943</v>
      </c>
      <c r="N5391">
        <v>58.153181469805801</v>
      </c>
      <c r="O5391">
        <v>57.080391638507699</v>
      </c>
      <c r="P5391">
        <v>-6.3505863852120606E-2</v>
      </c>
      <c r="Q5391">
        <v>0</v>
      </c>
      <c r="R5391">
        <v>0.989752943638048</v>
      </c>
      <c r="S5391" t="s">
        <v>12007</v>
      </c>
      <c r="T5391" t="s">
        <v>13232</v>
      </c>
      <c r="U5391" t="s">
        <v>13232</v>
      </c>
      <c r="V5391" t="s">
        <v>13232</v>
      </c>
      <c r="W5391" t="s">
        <v>18556</v>
      </c>
      <c r="X5391">
        <v>19</v>
      </c>
      <c r="Y5391" t="s">
        <v>24955</v>
      </c>
      <c r="Z5391" t="s">
        <v>31522</v>
      </c>
      <c r="AA5391">
        <v>0.61814170116946798</v>
      </c>
      <c r="AB5391" t="str">
        <f>HYPERLINK("Melting_Curves/meltCurve_Q9BWD1_ACAT2.pdf", "Melting_Curves/meltCurve_Q9BWD1_ACAT2.pdf")</f>
        <v>Melting_Curves/meltCurve_Q9BWD1_ACAT2.pdf</v>
      </c>
    </row>
    <row r="5392" spans="1:28" x14ac:dyDescent="0.25">
      <c r="A5392" t="s">
        <v>5395</v>
      </c>
      <c r="B5392">
        <v>0.99930955844802105</v>
      </c>
      <c r="C5392">
        <v>1.0189559735506</v>
      </c>
      <c r="D5392">
        <v>0.97531026391256304</v>
      </c>
      <c r="E5392">
        <v>1.00465915028</v>
      </c>
      <c r="F5392">
        <v>0.937942283973494</v>
      </c>
      <c r="G5392">
        <v>0.67158237632835605</v>
      </c>
      <c r="H5392">
        <v>0.451000628071621</v>
      </c>
      <c r="I5392">
        <v>0.39294937936429802</v>
      </c>
      <c r="J5392">
        <v>0.33866039340036802</v>
      </c>
      <c r="K5392">
        <v>0.21013450914423501</v>
      </c>
      <c r="L5392">
        <v>1143.4240059610299</v>
      </c>
      <c r="M5392">
        <v>19.617784591004401</v>
      </c>
      <c r="N5392">
        <v>60.309246950218402</v>
      </c>
      <c r="O5392">
        <v>57.689580972593802</v>
      </c>
      <c r="P5392">
        <v>-6.45137495704078E-2</v>
      </c>
      <c r="Q5392">
        <v>0.241170126251252</v>
      </c>
      <c r="R5392">
        <v>0.98844598899969704</v>
      </c>
      <c r="S5392" t="s">
        <v>12008</v>
      </c>
      <c r="T5392" t="s">
        <v>13232</v>
      </c>
      <c r="U5392" t="s">
        <v>13232</v>
      </c>
      <c r="V5392" t="s">
        <v>13232</v>
      </c>
      <c r="W5392" t="s">
        <v>18557</v>
      </c>
      <c r="X5392">
        <v>25</v>
      </c>
      <c r="Y5392" t="s">
        <v>24956</v>
      </c>
      <c r="Z5392" t="s">
        <v>31523</v>
      </c>
      <c r="AA5392">
        <v>0.71217237445982584</v>
      </c>
      <c r="AB5392" t="str">
        <f>HYPERLINK("Melting_Curves/meltCurve_Q9BWE0_REPIN1.pdf", "Melting_Curves/meltCurve_Q9BWE0_REPIN1.pdf")</f>
        <v>Melting_Curves/meltCurve_Q9BWE0_REPIN1.pdf</v>
      </c>
    </row>
    <row r="5393" spans="1:28" x14ac:dyDescent="0.25">
      <c r="A5393" t="s">
        <v>5396</v>
      </c>
      <c r="B5393">
        <v>0.99930955844802105</v>
      </c>
      <c r="C5393">
        <v>1.07170052219608</v>
      </c>
      <c r="D5393">
        <v>1.03444489641464</v>
      </c>
      <c r="E5393">
        <v>0.99619974671555001</v>
      </c>
      <c r="F5393">
        <v>0.81715862943354001</v>
      </c>
      <c r="G5393">
        <v>0.60564444335545597</v>
      </c>
      <c r="H5393">
        <v>0.47193151907353698</v>
      </c>
      <c r="I5393">
        <v>0.43044696668749399</v>
      </c>
      <c r="J5393">
        <v>0.40096239518847099</v>
      </c>
      <c r="K5393">
        <v>0.33155253094804799</v>
      </c>
      <c r="L5393">
        <v>1184.3441501247501</v>
      </c>
      <c r="M5393">
        <v>21.226586292397201</v>
      </c>
      <c r="N5393">
        <v>59.517960424502199</v>
      </c>
      <c r="O5393">
        <v>55.307169348187102</v>
      </c>
      <c r="P5393">
        <v>-6.0693799993503598E-2</v>
      </c>
      <c r="Q5393">
        <v>0.36745037408558301</v>
      </c>
      <c r="R5393">
        <v>0.98375725994065699</v>
      </c>
      <c r="S5393" t="s">
        <v>12009</v>
      </c>
      <c r="T5393" t="s">
        <v>13232</v>
      </c>
      <c r="U5393" t="s">
        <v>13232</v>
      </c>
      <c r="V5393" t="s">
        <v>13232</v>
      </c>
      <c r="W5393" t="s">
        <v>18558</v>
      </c>
      <c r="X5393">
        <v>15</v>
      </c>
      <c r="Y5393" t="s">
        <v>24957</v>
      </c>
      <c r="Z5393" t="s">
        <v>31524</v>
      </c>
      <c r="AA5393">
        <v>0.7080363816477977</v>
      </c>
      <c r="AB5393" t="str">
        <f>HYPERLINK("Melting_Curves/meltCurve_Q9BWF3_RBM4.pdf", "Melting_Curves/meltCurve_Q9BWF3_RBM4.pdf")</f>
        <v>Melting_Curves/meltCurve_Q9BWF3_RBM4.pdf</v>
      </c>
    </row>
    <row r="5394" spans="1:28" x14ac:dyDescent="0.25">
      <c r="A5394" t="s">
        <v>5397</v>
      </c>
      <c r="B5394">
        <v>0.99930955844802105</v>
      </c>
      <c r="C5394">
        <v>1.65686502394586</v>
      </c>
      <c r="D5394">
        <v>1.36191477065157</v>
      </c>
      <c r="E5394">
        <v>1.68004423544924</v>
      </c>
      <c r="F5394">
        <v>1.8583406832607601</v>
      </c>
      <c r="G5394">
        <v>1.7439718137995299</v>
      </c>
      <c r="H5394">
        <v>2.7993704906349701</v>
      </c>
      <c r="I5394">
        <v>3.80998111512447</v>
      </c>
      <c r="J5394">
        <v>4.6917989631655699</v>
      </c>
      <c r="K5394">
        <v>3.3997973820681699</v>
      </c>
      <c r="L5394">
        <v>10255.356613570801</v>
      </c>
      <c r="M5394">
        <v>250</v>
      </c>
      <c r="O5394">
        <v>41.018798604573099</v>
      </c>
      <c r="P5394">
        <v>0.76184576345625998</v>
      </c>
      <c r="Q5394">
        <v>1.5</v>
      </c>
      <c r="R5394">
        <v>-0.59333430504126905</v>
      </c>
      <c r="S5394" t="s">
        <v>12010</v>
      </c>
      <c r="T5394" t="s">
        <v>13232</v>
      </c>
      <c r="U5394" t="s">
        <v>13232</v>
      </c>
      <c r="V5394" t="s">
        <v>13232</v>
      </c>
      <c r="W5394" t="s">
        <v>18559</v>
      </c>
      <c r="X5394">
        <v>1</v>
      </c>
      <c r="Y5394" t="s">
        <v>24958</v>
      </c>
      <c r="Z5394" t="s">
        <v>31525</v>
      </c>
      <c r="AA5394">
        <v>1.482935876774488</v>
      </c>
      <c r="AB5394" t="str">
        <f>HYPERLINK("Melting_Curves/meltCurve_Q9BWH2_FUNDC2.pdf", "Melting_Curves/meltCurve_Q9BWH2_FUNDC2.pdf")</f>
        <v>Melting_Curves/meltCurve_Q9BWH2_FUNDC2.pdf</v>
      </c>
    </row>
    <row r="5395" spans="1:28" x14ac:dyDescent="0.25">
      <c r="A5395" t="s">
        <v>5398</v>
      </c>
      <c r="B5395">
        <v>0.99930955844802105</v>
      </c>
      <c r="C5395">
        <v>0.91991879746837801</v>
      </c>
      <c r="D5395">
        <v>0.95260632832292702</v>
      </c>
      <c r="E5395">
        <v>0.88420001044184604</v>
      </c>
      <c r="F5395">
        <v>0.56345194650280495</v>
      </c>
      <c r="G5395">
        <v>0.25519066595002199</v>
      </c>
      <c r="H5395">
        <v>0.18665532511137101</v>
      </c>
      <c r="I5395">
        <v>0.15890247323916001</v>
      </c>
      <c r="J5395">
        <v>0.15052443016855899</v>
      </c>
      <c r="K5395">
        <v>0.109684542401969</v>
      </c>
      <c r="L5395">
        <v>1428.4783743467001</v>
      </c>
      <c r="M5395">
        <v>26.927326518337502</v>
      </c>
      <c r="N5395">
        <v>53.709599972168803</v>
      </c>
      <c r="O5395">
        <v>52.759403648615901</v>
      </c>
      <c r="P5395">
        <v>-0.10961838361560899</v>
      </c>
      <c r="Q5395">
        <v>0.14089612302134499</v>
      </c>
      <c r="R5395">
        <v>0.99273490022794497</v>
      </c>
      <c r="S5395" t="s">
        <v>12011</v>
      </c>
      <c r="T5395" t="s">
        <v>13232</v>
      </c>
      <c r="U5395" t="s">
        <v>13232</v>
      </c>
      <c r="V5395" t="s">
        <v>13232</v>
      </c>
      <c r="W5395" t="s">
        <v>18560</v>
      </c>
      <c r="X5395">
        <v>33</v>
      </c>
      <c r="Y5395" t="s">
        <v>24959</v>
      </c>
      <c r="Z5395" t="s">
        <v>31526</v>
      </c>
      <c r="AA5395">
        <v>0.52146257321608769</v>
      </c>
      <c r="AB5395" t="str">
        <f>HYPERLINK("Melting_Curves/meltCurve_Q9BWH6_RPAP1.pdf", "Melting_Curves/meltCurve_Q9BWH6_RPAP1.pdf")</f>
        <v>Melting_Curves/meltCurve_Q9BWH6_RPAP1.pdf</v>
      </c>
    </row>
    <row r="5396" spans="1:28" x14ac:dyDescent="0.25">
      <c r="A5396" t="s">
        <v>5399</v>
      </c>
      <c r="B5396">
        <v>0.99930955844802105</v>
      </c>
      <c r="C5396">
        <v>0.59917415738922297</v>
      </c>
      <c r="D5396">
        <v>0.61229489732910602</v>
      </c>
      <c r="E5396">
        <v>0.76687370426967705</v>
      </c>
      <c r="F5396">
        <v>0.52142215458622598</v>
      </c>
      <c r="G5396">
        <v>0.23734447439086001</v>
      </c>
      <c r="H5396">
        <v>0.110163687476174</v>
      </c>
      <c r="I5396">
        <v>8.8339615386057405E-2</v>
      </c>
      <c r="J5396">
        <v>8.4122062546969495E-2</v>
      </c>
      <c r="K5396">
        <v>6.9621867125594997E-2</v>
      </c>
      <c r="L5396">
        <v>431.32747656324199</v>
      </c>
      <c r="M5396">
        <v>8.4744646441871705</v>
      </c>
      <c r="N5396">
        <v>50.8973138650572</v>
      </c>
      <c r="O5396">
        <v>48.300353034463001</v>
      </c>
      <c r="P5396">
        <v>-4.3903341561265699E-2</v>
      </c>
      <c r="Q5396">
        <v>0</v>
      </c>
      <c r="R5396">
        <v>0.85189342784814104</v>
      </c>
      <c r="S5396" t="s">
        <v>12012</v>
      </c>
      <c r="T5396" t="s">
        <v>13232</v>
      </c>
      <c r="U5396" t="s">
        <v>13232</v>
      </c>
      <c r="V5396" t="s">
        <v>13232</v>
      </c>
      <c r="W5396" t="s">
        <v>18561</v>
      </c>
      <c r="X5396">
        <v>3</v>
      </c>
      <c r="Y5396" t="s">
        <v>24960</v>
      </c>
      <c r="Z5396" t="s">
        <v>31527</v>
      </c>
      <c r="AA5396">
        <v>0.41410581025879389</v>
      </c>
      <c r="AB5396" t="str">
        <f>HYPERLINK("Melting_Curves/meltCurve_Q9BWJ5_SF3B5.pdf", "Melting_Curves/meltCurve_Q9BWJ5_SF3B5.pdf")</f>
        <v>Melting_Curves/meltCurve_Q9BWJ5_SF3B5.pdf</v>
      </c>
    </row>
    <row r="5397" spans="1:28" x14ac:dyDescent="0.25">
      <c r="A5397" t="s">
        <v>5400</v>
      </c>
      <c r="B5397">
        <v>0.99930955844802105</v>
      </c>
      <c r="C5397">
        <v>1.03623240663688</v>
      </c>
      <c r="D5397">
        <v>1.0186919277320201</v>
      </c>
      <c r="E5397">
        <v>0.93444040817288998</v>
      </c>
      <c r="F5397">
        <v>0.83710167191566698</v>
      </c>
      <c r="G5397">
        <v>1.0059979515398501</v>
      </c>
      <c r="H5397">
        <v>0.72773655697935102</v>
      </c>
      <c r="I5397">
        <v>1.8710261744699099</v>
      </c>
      <c r="J5397">
        <v>1.2720630243336599</v>
      </c>
      <c r="K5397">
        <v>0.684902175275793</v>
      </c>
      <c r="L5397">
        <v>1943.2847596332899</v>
      </c>
      <c r="M5397">
        <v>31.9786370878141</v>
      </c>
      <c r="O5397">
        <v>60.532049600150998</v>
      </c>
      <c r="P5397">
        <v>2.4327633593237599E-2</v>
      </c>
      <c r="Q5397">
        <v>1.1841972664007701</v>
      </c>
      <c r="R5397">
        <v>8.0940547565225604E-2</v>
      </c>
      <c r="S5397" t="s">
        <v>12013</v>
      </c>
      <c r="T5397" t="s">
        <v>13232</v>
      </c>
      <c r="U5397" t="s">
        <v>13232</v>
      </c>
      <c r="V5397" t="s">
        <v>13232</v>
      </c>
      <c r="W5397" t="s">
        <v>18562</v>
      </c>
      <c r="X5397">
        <v>5</v>
      </c>
      <c r="Y5397" t="s">
        <v>24961</v>
      </c>
      <c r="Z5397" t="s">
        <v>31528</v>
      </c>
      <c r="AA5397">
        <v>1.055710190083919</v>
      </c>
      <c r="AB5397" t="str">
        <f>HYPERLINK("Melting_Curves/meltCurve_Q9BWN1_PRR14.pdf", "Melting_Curves/meltCurve_Q9BWN1_PRR14.pdf")</f>
        <v>Melting_Curves/meltCurve_Q9BWN1_PRR14.pdf</v>
      </c>
    </row>
    <row r="5398" spans="1:28" x14ac:dyDescent="0.25">
      <c r="A5398" t="s">
        <v>5401</v>
      </c>
      <c r="B5398">
        <v>0.99930955844802105</v>
      </c>
      <c r="C5398">
        <v>1.23889039401005</v>
      </c>
      <c r="D5398">
        <v>1.19895597272235</v>
      </c>
      <c r="E5398">
        <v>0.94769053116336999</v>
      </c>
      <c r="F5398">
        <v>0.263409397682354</v>
      </c>
      <c r="G5398">
        <v>0.18224304029055799</v>
      </c>
      <c r="H5398">
        <v>0.123833875822048</v>
      </c>
      <c r="I5398">
        <v>0.119627150510639</v>
      </c>
      <c r="J5398">
        <v>0.118642621119768</v>
      </c>
      <c r="K5398">
        <v>9.3540549544310597E-2</v>
      </c>
      <c r="L5398">
        <v>3907.5811406560401</v>
      </c>
      <c r="M5398">
        <v>75.409597752590102</v>
      </c>
      <c r="N5398">
        <v>52.020738196667601</v>
      </c>
      <c r="O5398">
        <v>51.7816956280044</v>
      </c>
      <c r="P5398">
        <v>-0.31774236505356301</v>
      </c>
      <c r="Q5398">
        <v>0.127260636097691</v>
      </c>
      <c r="R5398">
        <v>0.95475739343476296</v>
      </c>
      <c r="S5398" t="s">
        <v>12014</v>
      </c>
      <c r="T5398" t="s">
        <v>13232</v>
      </c>
      <c r="U5398" t="s">
        <v>13232</v>
      </c>
      <c r="V5398" t="s">
        <v>13232</v>
      </c>
      <c r="W5398" t="s">
        <v>18563</v>
      </c>
      <c r="X5398">
        <v>9</v>
      </c>
      <c r="Y5398" t="s">
        <v>24962</v>
      </c>
      <c r="Z5398" t="s">
        <v>31529</v>
      </c>
      <c r="AA5398">
        <v>0.47193854866941071</v>
      </c>
      <c r="AB5398" t="str">
        <f>HYPERLINK("Melting_Curves/meltCurve_Q9BWS9_3_CHID1.pdf", "Melting_Curves/meltCurve_Q9BWS9_3_CHID1.pdf")</f>
        <v>Melting_Curves/meltCurve_Q9BWS9_3_CHID1.pdf</v>
      </c>
    </row>
    <row r="5399" spans="1:28" x14ac:dyDescent="0.25">
      <c r="A5399" t="s">
        <v>5402</v>
      </c>
      <c r="B5399">
        <v>0.99930955844802105</v>
      </c>
      <c r="C5399">
        <v>0.97515620302181605</v>
      </c>
      <c r="D5399">
        <v>0.94118497242573296</v>
      </c>
      <c r="E5399">
        <v>0.88351299974690101</v>
      </c>
      <c r="F5399">
        <v>0.69898608366705195</v>
      </c>
      <c r="G5399">
        <v>0.59358704119227401</v>
      </c>
      <c r="H5399">
        <v>0.60596301040462397</v>
      </c>
      <c r="I5399">
        <v>0.67338484100500995</v>
      </c>
      <c r="J5399">
        <v>0.655911080577116</v>
      </c>
      <c r="K5399">
        <v>0.51818989895359102</v>
      </c>
      <c r="L5399">
        <v>1644.4292426898901</v>
      </c>
      <c r="M5399">
        <v>32.1643085691652</v>
      </c>
      <c r="O5399">
        <v>50.929491173653297</v>
      </c>
      <c r="P5399">
        <v>-6.21624439336909E-2</v>
      </c>
      <c r="Q5399">
        <v>0.60628584194379997</v>
      </c>
      <c r="R5399">
        <v>0.93505703722473799</v>
      </c>
      <c r="S5399" t="s">
        <v>12015</v>
      </c>
      <c r="T5399" t="s">
        <v>13232</v>
      </c>
      <c r="U5399" t="s">
        <v>13232</v>
      </c>
      <c r="V5399" t="s">
        <v>13232</v>
      </c>
      <c r="W5399" t="s">
        <v>18564</v>
      </c>
      <c r="X5399">
        <v>8</v>
      </c>
      <c r="Y5399" t="s">
        <v>24963</v>
      </c>
      <c r="Z5399" t="s">
        <v>31530</v>
      </c>
      <c r="AA5399">
        <v>0.75445732408421529</v>
      </c>
      <c r="AB5399" t="str">
        <f>HYPERLINK("Melting_Curves/meltCurve_Q9BWT3_PAPOLG.pdf", "Melting_Curves/meltCurve_Q9BWT3_PAPOLG.pdf")</f>
        <v>Melting_Curves/meltCurve_Q9BWT3_PAPOLG.pdf</v>
      </c>
    </row>
    <row r="5400" spans="1:28" x14ac:dyDescent="0.25">
      <c r="A5400" t="s">
        <v>5403</v>
      </c>
      <c r="B5400">
        <v>0.99930955844802105</v>
      </c>
      <c r="C5400">
        <v>1.3013032288103901</v>
      </c>
      <c r="D5400">
        <v>1.4258069266748501</v>
      </c>
      <c r="E5400">
        <v>1.21071107330739</v>
      </c>
      <c r="F5400">
        <v>0.67882397679606399</v>
      </c>
      <c r="G5400">
        <v>0.206355515714233</v>
      </c>
      <c r="H5400">
        <v>8.2351629726655606E-2</v>
      </c>
      <c r="I5400">
        <v>2.3334850577392499E-2</v>
      </c>
      <c r="J5400">
        <v>1.23036242325532E-2</v>
      </c>
      <c r="K5400">
        <v>1.2374787943808E-2</v>
      </c>
      <c r="L5400">
        <v>2254.0045621847598</v>
      </c>
      <c r="M5400">
        <v>41.523828293272899</v>
      </c>
      <c r="N5400">
        <v>54.386460753561401</v>
      </c>
      <c r="O5400">
        <v>54.156761323732702</v>
      </c>
      <c r="P5400">
        <v>-0.18435012383434499</v>
      </c>
      <c r="Q5400">
        <v>3.82595680606512E-2</v>
      </c>
      <c r="R5400">
        <v>0.89285232732150099</v>
      </c>
      <c r="S5400" t="s">
        <v>12016</v>
      </c>
      <c r="T5400" t="s">
        <v>13232</v>
      </c>
      <c r="U5400" t="s">
        <v>13232</v>
      </c>
      <c r="V5400" t="s">
        <v>13232</v>
      </c>
      <c r="W5400" t="s">
        <v>17623</v>
      </c>
      <c r="X5400">
        <v>2</v>
      </c>
      <c r="Y5400" t="s">
        <v>24041</v>
      </c>
      <c r="Z5400" t="s">
        <v>31531</v>
      </c>
      <c r="AA5400">
        <v>0.49945916285873948</v>
      </c>
      <c r="AB5400" t="str">
        <f>HYPERLINK("Melting_Curves/meltCurve_Q9BWT7_CARD10.pdf", "Melting_Curves/meltCurve_Q9BWT7_CARD10.pdf")</f>
        <v>Melting_Curves/meltCurve_Q9BWT7_CARD10.pdf</v>
      </c>
    </row>
    <row r="5401" spans="1:28" x14ac:dyDescent="0.25">
      <c r="A5401" t="s">
        <v>5404</v>
      </c>
      <c r="B5401">
        <v>0.99930955844802105</v>
      </c>
      <c r="C5401">
        <v>1.06427973888558</v>
      </c>
      <c r="D5401">
        <v>1.01257178439438</v>
      </c>
      <c r="E5401">
        <v>0.98642245291085595</v>
      </c>
      <c r="F5401">
        <v>0.73404632046140705</v>
      </c>
      <c r="G5401">
        <v>0.48972503463408201</v>
      </c>
      <c r="H5401">
        <v>0.42902472085126198</v>
      </c>
      <c r="I5401">
        <v>0.44602114768957601</v>
      </c>
      <c r="J5401">
        <v>0.44632381766364598</v>
      </c>
      <c r="K5401">
        <v>0.34781830534269997</v>
      </c>
      <c r="L5401">
        <v>1987.1848745920699</v>
      </c>
      <c r="M5401">
        <v>37.217549875976502</v>
      </c>
      <c r="N5401">
        <v>56.139784570829299</v>
      </c>
      <c r="O5401">
        <v>53.240307190642902</v>
      </c>
      <c r="P5401">
        <v>-0.101532944767263</v>
      </c>
      <c r="Q5401">
        <v>0.41902352466081499</v>
      </c>
      <c r="R5401">
        <v>0.98403423230619402</v>
      </c>
      <c r="S5401" t="s">
        <v>12017</v>
      </c>
      <c r="T5401" t="s">
        <v>13232</v>
      </c>
      <c r="U5401" t="s">
        <v>13232</v>
      </c>
      <c r="V5401" t="s">
        <v>13232</v>
      </c>
      <c r="W5401" t="s">
        <v>18565</v>
      </c>
      <c r="X5401">
        <v>27</v>
      </c>
      <c r="Y5401" t="s">
        <v>24964</v>
      </c>
      <c r="Z5401" t="s">
        <v>31532</v>
      </c>
      <c r="AA5401">
        <v>0.68087897010550735</v>
      </c>
      <c r="AB5401" t="str">
        <f>HYPERLINK("Melting_Curves/meltCurve_Q9BWU0_SLC4A1AP.pdf", "Melting_Curves/meltCurve_Q9BWU0_SLC4A1AP.pdf")</f>
        <v>Melting_Curves/meltCurve_Q9BWU0_SLC4A1AP.pdf</v>
      </c>
    </row>
    <row r="5402" spans="1:28" x14ac:dyDescent="0.25">
      <c r="A5402" t="s">
        <v>5405</v>
      </c>
      <c r="B5402">
        <v>0.99930955844802105</v>
      </c>
      <c r="C5402">
        <v>1.07320794222</v>
      </c>
      <c r="D5402">
        <v>1.0312347216614299</v>
      </c>
      <c r="E5402">
        <v>1.04918573177045</v>
      </c>
      <c r="F5402">
        <v>0.93667029592680295</v>
      </c>
      <c r="G5402">
        <v>0.58782468569702895</v>
      </c>
      <c r="H5402">
        <v>0.47853874053822498</v>
      </c>
      <c r="I5402">
        <v>0.55483635774752105</v>
      </c>
      <c r="J5402">
        <v>0.48810546506283398</v>
      </c>
      <c r="K5402">
        <v>0.43535822273519398</v>
      </c>
      <c r="L5402">
        <v>2659.1260134703898</v>
      </c>
      <c r="M5402">
        <v>48.098468420305103</v>
      </c>
      <c r="N5402">
        <v>59.931603113846002</v>
      </c>
      <c r="O5402">
        <v>55.1897289377454</v>
      </c>
      <c r="P5402">
        <v>-0.111555058527419</v>
      </c>
      <c r="Q5402">
        <v>0.48799304152401801</v>
      </c>
      <c r="R5402">
        <v>0.97553218599559399</v>
      </c>
      <c r="S5402" t="s">
        <v>12018</v>
      </c>
      <c r="T5402" t="s">
        <v>13232</v>
      </c>
      <c r="U5402" t="s">
        <v>13232</v>
      </c>
      <c r="V5402" t="s">
        <v>13232</v>
      </c>
      <c r="W5402" t="s">
        <v>18566</v>
      </c>
      <c r="X5402">
        <v>5</v>
      </c>
      <c r="Y5402" t="s">
        <v>24965</v>
      </c>
      <c r="Z5402" t="s">
        <v>31533</v>
      </c>
      <c r="AA5402">
        <v>0.75020990728373249</v>
      </c>
      <c r="AB5402" t="str">
        <f>HYPERLINK("Melting_Curves/meltCurve_Q9BWW4_2_SSBP3.pdf", "Melting_Curves/meltCurve_Q9BWW4_2_SSBP3.pdf")</f>
        <v>Melting_Curves/meltCurve_Q9BWW4_2_SSBP3.pdf</v>
      </c>
    </row>
    <row r="5403" spans="1:28" x14ac:dyDescent="0.25">
      <c r="A5403" t="s">
        <v>5406</v>
      </c>
      <c r="B5403">
        <v>0.99930955844802105</v>
      </c>
      <c r="C5403">
        <v>1.2326714751116901</v>
      </c>
      <c r="D5403">
        <v>1.23959398857943</v>
      </c>
      <c r="E5403">
        <v>1.28448220560426</v>
      </c>
      <c r="F5403">
        <v>1.2253578268721801</v>
      </c>
      <c r="G5403">
        <v>1.06119390096883</v>
      </c>
      <c r="H5403">
        <v>1.08620456391444</v>
      </c>
      <c r="I5403">
        <v>1.2486546702930299</v>
      </c>
      <c r="J5403">
        <v>1.2376995753181299</v>
      </c>
      <c r="K5403">
        <v>0.99815846891624405</v>
      </c>
      <c r="L5403">
        <v>10267.5324303868</v>
      </c>
      <c r="M5403">
        <v>250</v>
      </c>
      <c r="O5403">
        <v>41.067505166051603</v>
      </c>
      <c r="P5403">
        <v>0.272927772612092</v>
      </c>
      <c r="Q5403">
        <v>1.17933538721489</v>
      </c>
      <c r="R5403">
        <v>0.259295983075359</v>
      </c>
      <c r="S5403" t="s">
        <v>12019</v>
      </c>
      <c r="T5403" t="s">
        <v>13232</v>
      </c>
      <c r="U5403" t="s">
        <v>13232</v>
      </c>
      <c r="V5403" t="s">
        <v>13232</v>
      </c>
      <c r="W5403" t="s">
        <v>18567</v>
      </c>
      <c r="X5403">
        <v>4</v>
      </c>
      <c r="Y5403" t="s">
        <v>24966</v>
      </c>
      <c r="Z5403" t="s">
        <v>31534</v>
      </c>
      <c r="AA5403">
        <v>1.172924239782801</v>
      </c>
      <c r="AB5403" t="str">
        <f>HYPERLINK("Melting_Curves/meltCurve_Q9BWW5_SSDP4.pdf", "Melting_Curves/meltCurve_Q9BWW5_SSDP4.pdf")</f>
        <v>Melting_Curves/meltCurve_Q9BWW5_SSDP4.pdf</v>
      </c>
    </row>
    <row r="5404" spans="1:28" x14ac:dyDescent="0.25">
      <c r="A5404" t="s">
        <v>5407</v>
      </c>
      <c r="B5404">
        <v>0.99930955844802105</v>
      </c>
      <c r="C5404">
        <v>1.2268893576784901</v>
      </c>
      <c r="D5404">
        <v>1.21460501569593</v>
      </c>
      <c r="E5404">
        <v>1.1716363334031099</v>
      </c>
      <c r="F5404">
        <v>0.88343187378715704</v>
      </c>
      <c r="G5404">
        <v>0.84571922805421496</v>
      </c>
      <c r="H5404">
        <v>0.87438006790177702</v>
      </c>
      <c r="I5404">
        <v>0.95948723187717999</v>
      </c>
      <c r="J5404">
        <v>1.1353792378637699</v>
      </c>
      <c r="K5404">
        <v>0.82264735882743101</v>
      </c>
      <c r="L5404">
        <v>4363.2696518786997</v>
      </c>
      <c r="M5404">
        <v>84.016899203384796</v>
      </c>
      <c r="O5404">
        <v>51.903837504733403</v>
      </c>
      <c r="P5404">
        <v>-3.2188817081228401E-2</v>
      </c>
      <c r="Q5404">
        <v>0.92045776678753499</v>
      </c>
      <c r="R5404">
        <v>0.149446610934138</v>
      </c>
      <c r="S5404" t="s">
        <v>12020</v>
      </c>
      <c r="T5404" t="s">
        <v>13232</v>
      </c>
      <c r="U5404" t="s">
        <v>13232</v>
      </c>
      <c r="V5404" t="s">
        <v>13232</v>
      </c>
      <c r="W5404" t="s">
        <v>18568</v>
      </c>
      <c r="X5404">
        <v>2</v>
      </c>
      <c r="Y5404" t="s">
        <v>24967</v>
      </c>
      <c r="Z5404" t="s">
        <v>31535</v>
      </c>
      <c r="AA5404">
        <v>0.95216194908225871</v>
      </c>
      <c r="AB5404" t="str">
        <f>HYPERLINK("Melting_Curves/meltCurve_Q9BWW8_APOL6.pdf", "Melting_Curves/meltCurve_Q9BWW8_APOL6.pdf")</f>
        <v>Melting_Curves/meltCurve_Q9BWW8_APOL6.pdf</v>
      </c>
    </row>
    <row r="5405" spans="1:28" x14ac:dyDescent="0.25">
      <c r="A5405" t="s">
        <v>5408</v>
      </c>
      <c r="B5405">
        <v>0.99930955844802105</v>
      </c>
      <c r="C5405">
        <v>0.64807767861396504</v>
      </c>
      <c r="D5405">
        <v>0.47940391193423199</v>
      </c>
      <c r="E5405">
        <v>0.36785349285984198</v>
      </c>
      <c r="F5405">
        <v>0.244254914866051</v>
      </c>
      <c r="G5405">
        <v>0.16821233395481</v>
      </c>
      <c r="H5405">
        <v>0.13523640078312499</v>
      </c>
      <c r="I5405">
        <v>0.103192204604212</v>
      </c>
      <c r="J5405">
        <v>9.4771990490299302E-2</v>
      </c>
      <c r="K5405">
        <v>8.6285714956599494E-2</v>
      </c>
      <c r="L5405">
        <v>590.55668802033597</v>
      </c>
      <c r="M5405">
        <v>12.939501109327001</v>
      </c>
      <c r="N5405">
        <v>46.390183487347002</v>
      </c>
      <c r="O5405">
        <v>44.591003473515102</v>
      </c>
      <c r="P5405">
        <v>-6.5707467482697804E-2</v>
      </c>
      <c r="Q5405">
        <v>9.4421270886765593E-2</v>
      </c>
      <c r="R5405">
        <v>0.96610416804547805</v>
      </c>
      <c r="S5405" t="s">
        <v>12021</v>
      </c>
      <c r="T5405" t="s">
        <v>13232</v>
      </c>
      <c r="U5405" t="s">
        <v>13232</v>
      </c>
      <c r="V5405" t="s">
        <v>13232</v>
      </c>
      <c r="W5405" t="s">
        <v>18569</v>
      </c>
      <c r="X5405">
        <v>3</v>
      </c>
      <c r="Y5405" t="s">
        <v>24968</v>
      </c>
      <c r="Z5405" t="s">
        <v>31536</v>
      </c>
      <c r="AA5405">
        <v>0.30151564633476952</v>
      </c>
      <c r="AB5405" t="str">
        <f>HYPERLINK("Melting_Curves/meltCurve_Q9BX10_2_GTPBP2.pdf", "Melting_Curves/meltCurve_Q9BX10_2_GTPBP2.pdf")</f>
        <v>Melting_Curves/meltCurve_Q9BX10_2_GTPBP2.pdf</v>
      </c>
    </row>
    <row r="5406" spans="1:28" x14ac:dyDescent="0.25">
      <c r="A5406" t="s">
        <v>5409</v>
      </c>
      <c r="B5406">
        <v>0.99930955844802105</v>
      </c>
      <c r="C5406">
        <v>0.96580795358334304</v>
      </c>
      <c r="D5406">
        <v>0.95326447755243504</v>
      </c>
      <c r="E5406">
        <v>0.84963129421016503</v>
      </c>
      <c r="F5406">
        <v>0.60740173470734404</v>
      </c>
      <c r="G5406">
        <v>0.44073978709657702</v>
      </c>
      <c r="H5406">
        <v>0.37888165885335001</v>
      </c>
      <c r="I5406">
        <v>0.408706758756407</v>
      </c>
      <c r="J5406">
        <v>0.41031576076100301</v>
      </c>
      <c r="K5406">
        <v>0.317851403554746</v>
      </c>
      <c r="L5406">
        <v>1275.5104007377599</v>
      </c>
      <c r="M5406">
        <v>24.500666343235402</v>
      </c>
      <c r="N5406">
        <v>55.1211932687578</v>
      </c>
      <c r="O5406">
        <v>51.717132338238898</v>
      </c>
      <c r="P5406">
        <v>-7.4409502235444597E-2</v>
      </c>
      <c r="Q5406">
        <v>0.37174116620807701</v>
      </c>
      <c r="R5406">
        <v>0.98957484784170802</v>
      </c>
      <c r="S5406" t="s">
        <v>12022</v>
      </c>
      <c r="T5406" t="s">
        <v>13232</v>
      </c>
      <c r="U5406" t="s">
        <v>13232</v>
      </c>
      <c r="V5406" t="s">
        <v>13232</v>
      </c>
      <c r="W5406" t="s">
        <v>18570</v>
      </c>
      <c r="X5406">
        <v>10</v>
      </c>
      <c r="Y5406" t="s">
        <v>23310</v>
      </c>
      <c r="Z5406" t="s">
        <v>31537</v>
      </c>
      <c r="AA5406">
        <v>0.63027119321094138</v>
      </c>
      <c r="AB5406" t="str">
        <f>HYPERLINK("Melting_Curves/meltCurve_Q9BX40_LSM14B.pdf", "Melting_Curves/meltCurve_Q9BX40_LSM14B.pdf")</f>
        <v>Melting_Curves/meltCurve_Q9BX40_LSM14B.pdf</v>
      </c>
    </row>
    <row r="5407" spans="1:28" x14ac:dyDescent="0.25">
      <c r="A5407" t="s">
        <v>5410</v>
      </c>
      <c r="B5407">
        <v>0.99930955844802105</v>
      </c>
      <c r="C5407">
        <v>1.16741150382412</v>
      </c>
      <c r="D5407">
        <v>1.25065577606317</v>
      </c>
      <c r="E5407">
        <v>1.1959040510509999</v>
      </c>
      <c r="F5407">
        <v>1.0475415167720501</v>
      </c>
      <c r="G5407">
        <v>1.1128651212899601</v>
      </c>
      <c r="H5407">
        <v>1.06437104972535</v>
      </c>
      <c r="I5407">
        <v>1.13495920482956</v>
      </c>
      <c r="J5407">
        <v>0.90573619329905897</v>
      </c>
      <c r="K5407">
        <v>0.80461177163612896</v>
      </c>
      <c r="L5407">
        <v>15000</v>
      </c>
      <c r="M5407">
        <v>223.809883574341</v>
      </c>
      <c r="O5407">
        <v>67.015812254857806</v>
      </c>
      <c r="P5407">
        <v>-0.16314707379479501</v>
      </c>
      <c r="Q5407">
        <v>0.80459425037874599</v>
      </c>
      <c r="R5407">
        <v>2.1682061432333199E-3</v>
      </c>
      <c r="S5407" t="s">
        <v>12023</v>
      </c>
      <c r="T5407" t="s">
        <v>13232</v>
      </c>
      <c r="U5407" t="s">
        <v>13232</v>
      </c>
      <c r="V5407" t="s">
        <v>13232</v>
      </c>
      <c r="W5407" t="s">
        <v>18571</v>
      </c>
      <c r="X5407">
        <v>4</v>
      </c>
      <c r="Y5407" t="s">
        <v>24969</v>
      </c>
      <c r="Z5407" t="s">
        <v>31538</v>
      </c>
      <c r="AA5407">
        <v>0.98062583127771397</v>
      </c>
      <c r="AB5407" t="str">
        <f>HYPERLINK("Melting_Curves/meltCurve_Q9BX63_BRIP1.pdf", "Melting_Curves/meltCurve_Q9BX63_BRIP1.pdf")</f>
        <v>Melting_Curves/meltCurve_Q9BX63_BRIP1.pdf</v>
      </c>
    </row>
    <row r="5408" spans="1:28" x14ac:dyDescent="0.25">
      <c r="A5408" t="s">
        <v>5411</v>
      </c>
      <c r="B5408">
        <v>0.99930955844802105</v>
      </c>
      <c r="C5408">
        <v>1.0667656248766699</v>
      </c>
      <c r="D5408">
        <v>0.82912094969277494</v>
      </c>
      <c r="E5408">
        <v>0.86832242223983702</v>
      </c>
      <c r="F5408">
        <v>0.80271592707526995</v>
      </c>
      <c r="G5408">
        <v>0.79992893190068903</v>
      </c>
      <c r="H5408">
        <v>0.91704596453626896</v>
      </c>
      <c r="I5408">
        <v>1.1310843785025699</v>
      </c>
      <c r="J5408">
        <v>1.3287934652507301</v>
      </c>
      <c r="K5408">
        <v>0.89206312237992802</v>
      </c>
      <c r="L5408">
        <v>11088.245550904599</v>
      </c>
      <c r="M5408">
        <v>250</v>
      </c>
      <c r="O5408">
        <v>44.350164509060697</v>
      </c>
      <c r="P5408">
        <v>-7.5896760309750996E-2</v>
      </c>
      <c r="Q5408">
        <v>0.94614348401273196</v>
      </c>
      <c r="R5408">
        <v>3.8000295280181999E-2</v>
      </c>
      <c r="S5408" t="s">
        <v>12024</v>
      </c>
      <c r="T5408" t="s">
        <v>13232</v>
      </c>
      <c r="U5408" t="s">
        <v>13232</v>
      </c>
      <c r="V5408" t="s">
        <v>13232</v>
      </c>
      <c r="W5408" t="s">
        <v>18572</v>
      </c>
      <c r="X5408">
        <v>25</v>
      </c>
      <c r="Y5408" t="s">
        <v>24970</v>
      </c>
      <c r="Z5408" t="s">
        <v>31539</v>
      </c>
      <c r="AA5408">
        <v>0.9539622246603402</v>
      </c>
      <c r="AB5408" t="str">
        <f>HYPERLINK("Melting_Curves/meltCurve_Q9BX66_6_SORBS1.pdf", "Melting_Curves/meltCurve_Q9BX66_6_SORBS1.pdf")</f>
        <v>Melting_Curves/meltCurve_Q9BX66_6_SORBS1.pdf</v>
      </c>
    </row>
    <row r="5409" spans="1:28" x14ac:dyDescent="0.25">
      <c r="A5409" t="s">
        <v>5412</v>
      </c>
      <c r="B5409">
        <v>0.99930955844802105</v>
      </c>
      <c r="C5409">
        <v>1.0785402587969799</v>
      </c>
      <c r="D5409">
        <v>1.0327723251229699</v>
      </c>
      <c r="E5409">
        <v>0.97606414763016203</v>
      </c>
      <c r="F5409">
        <v>0.84796366146606605</v>
      </c>
      <c r="G5409">
        <v>0.68865214359126603</v>
      </c>
      <c r="H5409">
        <v>0.58087751051788095</v>
      </c>
      <c r="I5409">
        <v>0.58398246667947995</v>
      </c>
      <c r="J5409">
        <v>0.55370948724853197</v>
      </c>
      <c r="K5409">
        <v>0.43847940048198297</v>
      </c>
      <c r="L5409">
        <v>1048.05671152427</v>
      </c>
      <c r="M5409">
        <v>18.756811931127899</v>
      </c>
      <c r="O5409">
        <v>55.2525562393146</v>
      </c>
      <c r="P5409">
        <v>-4.2804816937807098E-2</v>
      </c>
      <c r="Q5409">
        <v>0.495654944903965</v>
      </c>
      <c r="R5409">
        <v>0.964967661775471</v>
      </c>
      <c r="S5409" t="s">
        <v>12025</v>
      </c>
      <c r="T5409" t="s">
        <v>13232</v>
      </c>
      <c r="U5409" t="s">
        <v>13232</v>
      </c>
      <c r="V5409" t="s">
        <v>13232</v>
      </c>
      <c r="W5409" t="s">
        <v>18573</v>
      </c>
      <c r="X5409">
        <v>26</v>
      </c>
      <c r="Y5409" t="s">
        <v>24970</v>
      </c>
      <c r="Z5409" t="s">
        <v>31540</v>
      </c>
      <c r="AA5409">
        <v>0.76966477873202022</v>
      </c>
      <c r="AB5409" t="str">
        <f>HYPERLINK("Melting_Curves/meltCurve_Q9BX66_9_SORBS1.pdf", "Melting_Curves/meltCurve_Q9BX66_9_SORBS1.pdf")</f>
        <v>Melting_Curves/meltCurve_Q9BX66_9_SORBS1.pdf</v>
      </c>
    </row>
    <row r="5410" spans="1:28" x14ac:dyDescent="0.25">
      <c r="A5410" t="s">
        <v>5413</v>
      </c>
      <c r="B5410">
        <v>0.99930955844802105</v>
      </c>
      <c r="C5410">
        <v>1.1957927317216199</v>
      </c>
      <c r="D5410">
        <v>1.1576230054386101</v>
      </c>
      <c r="E5410">
        <v>1.0878428188934599</v>
      </c>
      <c r="F5410">
        <v>0.94170424773879202</v>
      </c>
      <c r="G5410">
        <v>0.73180736273490998</v>
      </c>
      <c r="H5410">
        <v>0.54140984827212002</v>
      </c>
      <c r="I5410">
        <v>0.40990225682409698</v>
      </c>
      <c r="J5410">
        <v>0.36406047865727198</v>
      </c>
      <c r="K5410">
        <v>0.25229028437371298</v>
      </c>
      <c r="L5410">
        <v>1199.25429986924</v>
      </c>
      <c r="M5410">
        <v>20.228199326346701</v>
      </c>
      <c r="N5410">
        <v>61.5535416352661</v>
      </c>
      <c r="O5410">
        <v>58.715963697252803</v>
      </c>
      <c r="P5410">
        <v>-6.3507576943666599E-2</v>
      </c>
      <c r="Q5410">
        <v>0.26265452559795299</v>
      </c>
      <c r="R5410">
        <v>0.929232125938799</v>
      </c>
      <c r="S5410" t="s">
        <v>12026</v>
      </c>
      <c r="T5410" t="s">
        <v>13232</v>
      </c>
      <c r="U5410" t="s">
        <v>13232</v>
      </c>
      <c r="V5410" t="s">
        <v>13232</v>
      </c>
      <c r="W5410" t="s">
        <v>18574</v>
      </c>
      <c r="X5410">
        <v>5</v>
      </c>
      <c r="Y5410" t="s">
        <v>24971</v>
      </c>
      <c r="Z5410" t="s">
        <v>31541</v>
      </c>
      <c r="AA5410">
        <v>0.74373349444812831</v>
      </c>
      <c r="AB5410" t="str">
        <f>HYPERLINK("Melting_Curves/meltCurve_Q9BX68_HINT2.pdf", "Melting_Curves/meltCurve_Q9BX68_HINT2.pdf")</f>
        <v>Melting_Curves/meltCurve_Q9BX68_HINT2.pdf</v>
      </c>
    </row>
    <row r="5411" spans="1:28" x14ac:dyDescent="0.25">
      <c r="A5411" t="s">
        <v>5414</v>
      </c>
      <c r="B5411">
        <v>0.99930955844802105</v>
      </c>
      <c r="C5411">
        <v>1.0269547204096201</v>
      </c>
      <c r="D5411">
        <v>0.93580402965148402</v>
      </c>
      <c r="E5411">
        <v>0.81977845577173603</v>
      </c>
      <c r="F5411">
        <v>0.58766117037632704</v>
      </c>
      <c r="G5411">
        <v>0.34579467393437002</v>
      </c>
      <c r="H5411">
        <v>0.25376065428977301</v>
      </c>
      <c r="I5411">
        <v>0.343555557631603</v>
      </c>
      <c r="J5411">
        <v>0.213686516516398</v>
      </c>
      <c r="K5411">
        <v>0.14199834454283899</v>
      </c>
      <c r="L5411">
        <v>1017.75410174295</v>
      </c>
      <c r="M5411">
        <v>19.253587821899298</v>
      </c>
      <c r="N5411">
        <v>54.3801980454095</v>
      </c>
      <c r="O5411">
        <v>52.300156548170499</v>
      </c>
      <c r="P5411">
        <v>-7.2888219932144602E-2</v>
      </c>
      <c r="Q5411">
        <v>0.20806010729386001</v>
      </c>
      <c r="R5411">
        <v>0.98201931177979596</v>
      </c>
      <c r="S5411" t="s">
        <v>12027</v>
      </c>
      <c r="T5411" t="s">
        <v>13232</v>
      </c>
      <c r="U5411" t="s">
        <v>13232</v>
      </c>
      <c r="V5411" t="s">
        <v>13232</v>
      </c>
      <c r="W5411" t="s">
        <v>18575</v>
      </c>
      <c r="X5411">
        <v>1</v>
      </c>
      <c r="Y5411" t="s">
        <v>24972</v>
      </c>
      <c r="Z5411" t="s">
        <v>31542</v>
      </c>
      <c r="AA5411">
        <v>0.5591849884293224</v>
      </c>
      <c r="AB5411" t="str">
        <f>HYPERLINK("Melting_Curves/meltCurve_Q9BX69_CARD6.pdf", "Melting_Curves/meltCurve_Q9BX69_CARD6.pdf")</f>
        <v>Melting_Curves/meltCurve_Q9BX69_CARD6.pdf</v>
      </c>
    </row>
    <row r="5412" spans="1:28" x14ac:dyDescent="0.25">
      <c r="A5412" t="s">
        <v>5415</v>
      </c>
      <c r="B5412">
        <v>0.99930955844802105</v>
      </c>
      <c r="C5412">
        <v>0.83173314947176302</v>
      </c>
      <c r="D5412">
        <v>0.56377728962847196</v>
      </c>
      <c r="E5412">
        <v>0.333838435387179</v>
      </c>
      <c r="F5412">
        <v>0.247750479898069</v>
      </c>
      <c r="G5412">
        <v>0.189136008135803</v>
      </c>
      <c r="H5412">
        <v>9.2342385515937306E-2</v>
      </c>
      <c r="I5412">
        <v>7.1730470027035004E-2</v>
      </c>
      <c r="J5412">
        <v>6.0530252346016299E-2</v>
      </c>
      <c r="K5412">
        <v>4.3786244094515397E-2</v>
      </c>
      <c r="L5412">
        <v>679.53601265499503</v>
      </c>
      <c r="M5412">
        <v>14.4283753813832</v>
      </c>
      <c r="N5412">
        <v>47.536803369945602</v>
      </c>
      <c r="O5412">
        <v>46.220207189598497</v>
      </c>
      <c r="P5412">
        <v>-7.3175979738389699E-2</v>
      </c>
      <c r="Q5412">
        <v>6.2455487315754003E-2</v>
      </c>
      <c r="R5412">
        <v>0.98856211001080097</v>
      </c>
      <c r="S5412" t="s">
        <v>12028</v>
      </c>
      <c r="T5412" t="s">
        <v>13232</v>
      </c>
      <c r="U5412" t="s">
        <v>13232</v>
      </c>
      <c r="V5412" t="s">
        <v>13232</v>
      </c>
      <c r="W5412" t="s">
        <v>18576</v>
      </c>
      <c r="X5412">
        <v>7</v>
      </c>
      <c r="Y5412" t="s">
        <v>24973</v>
      </c>
      <c r="Z5412" t="s">
        <v>31543</v>
      </c>
      <c r="AA5412">
        <v>0.31165710564345461</v>
      </c>
      <c r="AB5412" t="str">
        <f>HYPERLINK("Melting_Curves/meltCurve_Q9BXB4_OSBPL11.pdf", "Melting_Curves/meltCurve_Q9BXB4_OSBPL11.pdf")</f>
        <v>Melting_Curves/meltCurve_Q9BXB4_OSBPL11.pdf</v>
      </c>
    </row>
    <row r="5413" spans="1:28" x14ac:dyDescent="0.25">
      <c r="A5413" t="s">
        <v>5416</v>
      </c>
      <c r="B5413">
        <v>0.99930955844802105</v>
      </c>
      <c r="C5413">
        <v>0.80900295060615202</v>
      </c>
      <c r="D5413">
        <v>0.62347215214964202</v>
      </c>
      <c r="E5413">
        <v>0.46345891669786798</v>
      </c>
      <c r="F5413">
        <v>0.33203720693461097</v>
      </c>
      <c r="G5413">
        <v>0.239189791345017</v>
      </c>
      <c r="H5413">
        <v>0.132439566417377</v>
      </c>
      <c r="I5413">
        <v>0.11458340334299701</v>
      </c>
      <c r="J5413">
        <v>9.5542496877503394E-2</v>
      </c>
      <c r="K5413">
        <v>7.6896163598371994E-2</v>
      </c>
      <c r="L5413">
        <v>538.61983682822904</v>
      </c>
      <c r="M5413">
        <v>11.0875091360593</v>
      </c>
      <c r="N5413">
        <v>49.099300501275103</v>
      </c>
      <c r="O5413">
        <v>47.0790113021651</v>
      </c>
      <c r="P5413">
        <v>-5.5631904287777402E-2</v>
      </c>
      <c r="Q5413">
        <v>5.5427856033862001E-2</v>
      </c>
      <c r="R5413">
        <v>0.98959083330575903</v>
      </c>
      <c r="S5413" t="s">
        <v>12029</v>
      </c>
      <c r="T5413" t="s">
        <v>13232</v>
      </c>
      <c r="U5413" t="s">
        <v>13232</v>
      </c>
      <c r="V5413" t="s">
        <v>13232</v>
      </c>
      <c r="W5413" t="s">
        <v>18577</v>
      </c>
      <c r="X5413">
        <v>4</v>
      </c>
      <c r="Y5413" t="s">
        <v>24974</v>
      </c>
      <c r="Z5413" t="s">
        <v>31544</v>
      </c>
      <c r="AA5413">
        <v>0.3661915748617261</v>
      </c>
      <c r="AB5413" t="str">
        <f>HYPERLINK("Melting_Curves/meltCurve_Q9BXD5_NPL.pdf", "Melting_Curves/meltCurve_Q9BXD5_NPL.pdf")</f>
        <v>Melting_Curves/meltCurve_Q9BXD5_NPL.pdf</v>
      </c>
    </row>
    <row r="5414" spans="1:28" x14ac:dyDescent="0.25">
      <c r="A5414" t="s">
        <v>5417</v>
      </c>
      <c r="B5414">
        <v>0.99930955844802105</v>
      </c>
      <c r="C5414">
        <v>1.0283268403408901</v>
      </c>
      <c r="D5414">
        <v>1.0231927704927899</v>
      </c>
      <c r="E5414">
        <v>0.95384185192383197</v>
      </c>
      <c r="F5414">
        <v>0.81761799117252298</v>
      </c>
      <c r="G5414">
        <v>0.65404330619900697</v>
      </c>
      <c r="H5414">
        <v>0.66977678715894695</v>
      </c>
      <c r="I5414">
        <v>0.88033159122445903</v>
      </c>
      <c r="J5414">
        <v>0.87668065150116403</v>
      </c>
      <c r="K5414">
        <v>0.66606892205725998</v>
      </c>
      <c r="L5414">
        <v>2642.1628756161099</v>
      </c>
      <c r="M5414">
        <v>51.099747075427203</v>
      </c>
      <c r="O5414">
        <v>51.6269834025357</v>
      </c>
      <c r="P5414">
        <v>-6.17113852082092E-2</v>
      </c>
      <c r="Q5414">
        <v>0.75060776039185795</v>
      </c>
      <c r="R5414">
        <v>0.71389019022369304</v>
      </c>
      <c r="S5414" t="s">
        <v>12030</v>
      </c>
      <c r="T5414" t="s">
        <v>13232</v>
      </c>
      <c r="U5414" t="s">
        <v>13232</v>
      </c>
      <c r="V5414" t="s">
        <v>13232</v>
      </c>
      <c r="W5414" t="s">
        <v>18578</v>
      </c>
      <c r="X5414">
        <v>4</v>
      </c>
      <c r="Y5414" t="s">
        <v>24975</v>
      </c>
      <c r="Z5414" t="s">
        <v>31545</v>
      </c>
      <c r="AA5414">
        <v>0.84846493971541548</v>
      </c>
      <c r="AB5414" t="str">
        <f>HYPERLINK("Melting_Curves/meltCurve_Q9BXF6_RAB11FIP5.pdf", "Melting_Curves/meltCurve_Q9BXF6_RAB11FIP5.pdf")</f>
        <v>Melting_Curves/meltCurve_Q9BXF6_RAB11FIP5.pdf</v>
      </c>
    </row>
    <row r="5415" spans="1:28" x14ac:dyDescent="0.25">
      <c r="A5415" t="s">
        <v>5418</v>
      </c>
      <c r="B5415">
        <v>0.99930955844802105</v>
      </c>
      <c r="C5415">
        <v>1.3220768316409199</v>
      </c>
      <c r="D5415">
        <v>1.2475334017826301</v>
      </c>
      <c r="E5415">
        <v>1.36093576935658</v>
      </c>
      <c r="F5415">
        <v>1.29789697147962</v>
      </c>
      <c r="G5415">
        <v>1.1277972793836699</v>
      </c>
      <c r="H5415">
        <v>1.1716523593400601</v>
      </c>
      <c r="I5415">
        <v>1.2040269503157399</v>
      </c>
      <c r="J5415">
        <v>1.1199616086499999</v>
      </c>
      <c r="K5415">
        <v>0.89190068863778904</v>
      </c>
      <c r="L5415">
        <v>10251.672774685199</v>
      </c>
      <c r="M5415">
        <v>250</v>
      </c>
      <c r="O5415">
        <v>41.004067243178604</v>
      </c>
      <c r="P5415">
        <v>0.29532656272114899</v>
      </c>
      <c r="Q5415">
        <v>1.1937534421365199</v>
      </c>
      <c r="R5415">
        <v>0.175673583599883</v>
      </c>
      <c r="S5415" t="s">
        <v>12031</v>
      </c>
      <c r="T5415" t="s">
        <v>13232</v>
      </c>
      <c r="U5415" t="s">
        <v>13232</v>
      </c>
      <c r="V5415" t="s">
        <v>13232</v>
      </c>
      <c r="W5415" t="s">
        <v>18261</v>
      </c>
      <c r="X5415">
        <v>3</v>
      </c>
      <c r="Y5415" t="s">
        <v>24664</v>
      </c>
      <c r="Z5415" t="s">
        <v>31546</v>
      </c>
      <c r="AA5415">
        <v>1.187235986215647</v>
      </c>
      <c r="AB5415" t="str">
        <f>HYPERLINK("Melting_Curves/meltCurve_Q9BXH1_BBC3.pdf", "Melting_Curves/meltCurve_Q9BXH1_BBC3.pdf")</f>
        <v>Melting_Curves/meltCurve_Q9BXH1_BBC3.pdf</v>
      </c>
    </row>
    <row r="5416" spans="1:28" x14ac:dyDescent="0.25">
      <c r="A5416" t="s">
        <v>5419</v>
      </c>
      <c r="B5416">
        <v>0.99930955844802105</v>
      </c>
      <c r="C5416">
        <v>1.0402081626482</v>
      </c>
      <c r="D5416">
        <v>0.791548757448296</v>
      </c>
      <c r="E5416">
        <v>0.58712084787517804</v>
      </c>
      <c r="F5416">
        <v>0.377295238898395</v>
      </c>
      <c r="G5416">
        <v>0.25174350230721299</v>
      </c>
      <c r="H5416">
        <v>0.22071159023692699</v>
      </c>
      <c r="I5416">
        <v>0.23588331861876699</v>
      </c>
      <c r="J5416">
        <v>0.24530764050846299</v>
      </c>
      <c r="K5416">
        <v>0.205464377653792</v>
      </c>
      <c r="L5416">
        <v>967.71320821478503</v>
      </c>
      <c r="M5416">
        <v>19.599390862049599</v>
      </c>
      <c r="N5416">
        <v>50.842215112618803</v>
      </c>
      <c r="O5416">
        <v>48.869268435520503</v>
      </c>
      <c r="P5416">
        <v>-7.86069375887474E-2</v>
      </c>
      <c r="Q5416">
        <v>0.21603112835966701</v>
      </c>
      <c r="R5416">
        <v>0.98834928292259505</v>
      </c>
      <c r="S5416" t="s">
        <v>12032</v>
      </c>
      <c r="T5416" t="s">
        <v>13232</v>
      </c>
      <c r="U5416" t="s">
        <v>13232</v>
      </c>
      <c r="V5416" t="s">
        <v>13232</v>
      </c>
      <c r="W5416" t="s">
        <v>18579</v>
      </c>
      <c r="X5416">
        <v>5</v>
      </c>
      <c r="Y5416" t="s">
        <v>24976</v>
      </c>
      <c r="Z5416" t="s">
        <v>31547</v>
      </c>
      <c r="AA5416">
        <v>0.47241308246333419</v>
      </c>
      <c r="AB5416" t="str">
        <f>HYPERLINK("Melting_Curves/meltCurve_Q9BXI6_TBC1D10A.pdf", "Melting_Curves/meltCurve_Q9BXI6_TBC1D10A.pdf")</f>
        <v>Melting_Curves/meltCurve_Q9BXI6_TBC1D10A.pdf</v>
      </c>
    </row>
    <row r="5417" spans="1:28" x14ac:dyDescent="0.25">
      <c r="A5417" t="s">
        <v>5420</v>
      </c>
      <c r="B5417">
        <v>0.99930955844802105</v>
      </c>
      <c r="C5417">
        <v>0.94593612387190895</v>
      </c>
      <c r="D5417">
        <v>0.92118615319197805</v>
      </c>
      <c r="E5417">
        <v>0.86892483553543298</v>
      </c>
      <c r="F5417">
        <v>0.39692470528846602</v>
      </c>
      <c r="G5417">
        <v>0.153136930596485</v>
      </c>
      <c r="H5417">
        <v>9.3490072718373299E-2</v>
      </c>
      <c r="I5417">
        <v>7.51238408397195E-2</v>
      </c>
      <c r="J5417">
        <v>6.5928796834428705E-2</v>
      </c>
      <c r="K5417">
        <v>5.2104121219993298E-2</v>
      </c>
      <c r="L5417">
        <v>1897.2511730285801</v>
      </c>
      <c r="M5417">
        <v>36.341570693335697</v>
      </c>
      <c r="N5417">
        <v>52.445311251683201</v>
      </c>
      <c r="O5417">
        <v>52.048766762375202</v>
      </c>
      <c r="P5417">
        <v>-0.16122396447180501</v>
      </c>
      <c r="Q5417">
        <v>7.6376444340774605E-2</v>
      </c>
      <c r="R5417">
        <v>0.99311296644592295</v>
      </c>
      <c r="S5417" t="s">
        <v>12033</v>
      </c>
      <c r="T5417" t="s">
        <v>13232</v>
      </c>
      <c r="U5417" t="s">
        <v>13232</v>
      </c>
      <c r="V5417" t="s">
        <v>13232</v>
      </c>
      <c r="W5417" t="s">
        <v>18580</v>
      </c>
      <c r="X5417">
        <v>56</v>
      </c>
      <c r="Y5417" t="s">
        <v>24977</v>
      </c>
      <c r="Z5417" t="s">
        <v>31548</v>
      </c>
      <c r="AA5417">
        <v>0.45620940180664782</v>
      </c>
      <c r="AB5417" t="str">
        <f>HYPERLINK("Melting_Curves/meltCurve_Q9BXJ9_NAA15.pdf", "Melting_Curves/meltCurve_Q9BXJ9_NAA15.pdf")</f>
        <v>Melting_Curves/meltCurve_Q9BXJ9_NAA15.pdf</v>
      </c>
    </row>
    <row r="5418" spans="1:28" x14ac:dyDescent="0.25">
      <c r="A5418" t="s">
        <v>5421</v>
      </c>
      <c r="B5418">
        <v>0.99930955844802105</v>
      </c>
      <c r="C5418">
        <v>1.12987364992387</v>
      </c>
      <c r="D5418">
        <v>1.01924491252422</v>
      </c>
      <c r="E5418">
        <v>0.95928224145175001</v>
      </c>
      <c r="F5418">
        <v>0.90909085532433298</v>
      </c>
      <c r="G5418">
        <v>0.55871398810302597</v>
      </c>
      <c r="H5418">
        <v>0.46600792107437899</v>
      </c>
      <c r="I5418">
        <v>0.38069400703758599</v>
      </c>
      <c r="J5418">
        <v>0.40744599430954598</v>
      </c>
      <c r="K5418">
        <v>0.337909987968051</v>
      </c>
      <c r="L5418">
        <v>1682.74405213407</v>
      </c>
      <c r="M5418">
        <v>30.243413617251299</v>
      </c>
      <c r="N5418">
        <v>58.3921029635544</v>
      </c>
      <c r="O5418">
        <v>55.398455434467998</v>
      </c>
      <c r="P5418">
        <v>-8.4646986203939595E-2</v>
      </c>
      <c r="Q5418">
        <v>0.37979456462259398</v>
      </c>
      <c r="R5418">
        <v>0.97333253275459497</v>
      </c>
      <c r="S5418" t="s">
        <v>12034</v>
      </c>
      <c r="T5418" t="s">
        <v>13232</v>
      </c>
      <c r="U5418" t="s">
        <v>13232</v>
      </c>
      <c r="V5418" t="s">
        <v>13232</v>
      </c>
      <c r="W5418" t="s">
        <v>18581</v>
      </c>
      <c r="X5418">
        <v>5</v>
      </c>
      <c r="Y5418" t="s">
        <v>24978</v>
      </c>
      <c r="Z5418" t="s">
        <v>31549</v>
      </c>
      <c r="AA5418">
        <v>0.70719773535710229</v>
      </c>
      <c r="AB5418" t="str">
        <f>HYPERLINK("Melting_Curves/meltCurve_Q9BXK1_KLF16.pdf", "Melting_Curves/meltCurve_Q9BXK1_KLF16.pdf")</f>
        <v>Melting_Curves/meltCurve_Q9BXK1_KLF16.pdf</v>
      </c>
    </row>
    <row r="5419" spans="1:28" x14ac:dyDescent="0.25">
      <c r="A5419" t="s">
        <v>5422</v>
      </c>
      <c r="B5419">
        <v>0.99930955844802105</v>
      </c>
      <c r="C5419">
        <v>1.01480074236613</v>
      </c>
      <c r="D5419">
        <v>0.99374389493891002</v>
      </c>
      <c r="E5419">
        <v>0.94000884752914604</v>
      </c>
      <c r="F5419">
        <v>0.77407300776304599</v>
      </c>
      <c r="G5419">
        <v>0.50976397448049604</v>
      </c>
      <c r="H5419">
        <v>0.20011271512102899</v>
      </c>
      <c r="I5419">
        <v>0.112937772944707</v>
      </c>
      <c r="J5419">
        <v>8.8041704058868506E-2</v>
      </c>
      <c r="K5419">
        <v>6.8801700544549899E-2</v>
      </c>
      <c r="L5419">
        <v>1124.8835797402101</v>
      </c>
      <c r="M5419">
        <v>19.896651225766298</v>
      </c>
      <c r="N5419">
        <v>56.768206568903899</v>
      </c>
      <c r="O5419">
        <v>55.974512362860899</v>
      </c>
      <c r="P5419">
        <v>-8.5399381493648396E-2</v>
      </c>
      <c r="Q5419">
        <v>3.90282534423598E-2</v>
      </c>
      <c r="R5419">
        <v>0.99841523599098103</v>
      </c>
      <c r="S5419" t="s">
        <v>12035</v>
      </c>
      <c r="T5419" t="s">
        <v>13232</v>
      </c>
      <c r="U5419" t="s">
        <v>13232</v>
      </c>
      <c r="V5419" t="s">
        <v>13232</v>
      </c>
      <c r="W5419" t="s">
        <v>18582</v>
      </c>
      <c r="X5419">
        <v>11</v>
      </c>
      <c r="Y5419" t="s">
        <v>24979</v>
      </c>
      <c r="Z5419" t="s">
        <v>31550</v>
      </c>
      <c r="AA5419">
        <v>0.58088287455903387</v>
      </c>
      <c r="AB5419" t="str">
        <f>HYPERLINK("Melting_Curves/meltCurve_Q9BXK5_BCL2L13.pdf", "Melting_Curves/meltCurve_Q9BXK5_BCL2L13.pdf")</f>
        <v>Melting_Curves/meltCurve_Q9BXK5_BCL2L13.pdf</v>
      </c>
    </row>
    <row r="5420" spans="1:28" x14ac:dyDescent="0.25">
      <c r="A5420" t="s">
        <v>5423</v>
      </c>
      <c r="B5420">
        <v>0.99930955844802105</v>
      </c>
      <c r="C5420">
        <v>1.13045121405142</v>
      </c>
      <c r="D5420">
        <v>1.1150234224704301</v>
      </c>
      <c r="E5420">
        <v>1.07234630014381</v>
      </c>
      <c r="F5420">
        <v>0.986950489951538</v>
      </c>
      <c r="G5420">
        <v>0.693799546156743</v>
      </c>
      <c r="H5420">
        <v>0.86778080978321304</v>
      </c>
      <c r="I5420">
        <v>1.15171247758503</v>
      </c>
      <c r="J5420">
        <v>1.2468494303357101</v>
      </c>
      <c r="K5420">
        <v>1.0040336129637499</v>
      </c>
      <c r="L5420">
        <v>15000</v>
      </c>
      <c r="M5420">
        <v>239.143640003347</v>
      </c>
      <c r="O5420">
        <v>62.719423639295698</v>
      </c>
      <c r="P5420">
        <v>0.128183610492596</v>
      </c>
      <c r="Q5420">
        <v>1.13447318947881</v>
      </c>
      <c r="R5420">
        <v>0.20901691174547299</v>
      </c>
      <c r="S5420" t="s">
        <v>12036</v>
      </c>
      <c r="T5420" t="s">
        <v>13232</v>
      </c>
      <c r="U5420" t="s">
        <v>13232</v>
      </c>
      <c r="V5420" t="s">
        <v>13232</v>
      </c>
      <c r="W5420" t="s">
        <v>18583</v>
      </c>
      <c r="X5420">
        <v>21</v>
      </c>
      <c r="Y5420" t="s">
        <v>24980</v>
      </c>
      <c r="Z5420" t="s">
        <v>31551</v>
      </c>
      <c r="AA5420">
        <v>1.0325989094711181</v>
      </c>
      <c r="AB5420" t="str">
        <f>HYPERLINK("Melting_Curves/meltCurve_Q9BXL5_HEMGN.pdf", "Melting_Curves/meltCurve_Q9BXL5_HEMGN.pdf")</f>
        <v>Melting_Curves/meltCurve_Q9BXL5_HEMGN.pdf</v>
      </c>
    </row>
    <row r="5421" spans="1:28" x14ac:dyDescent="0.25">
      <c r="A5421" t="s">
        <v>5424</v>
      </c>
      <c r="B5421">
        <v>0.99930955844802105</v>
      </c>
      <c r="C5421">
        <v>0.99614681242954395</v>
      </c>
      <c r="D5421">
        <v>0.96085566327331395</v>
      </c>
      <c r="E5421">
        <v>0.57836421030200402</v>
      </c>
      <c r="F5421">
        <v>0.29124198864777001</v>
      </c>
      <c r="G5421">
        <v>0.18255940800224499</v>
      </c>
      <c r="H5421">
        <v>0.108273980225881</v>
      </c>
      <c r="I5421">
        <v>8.6370303677595794E-2</v>
      </c>
      <c r="J5421">
        <v>7.5721368191233096E-2</v>
      </c>
      <c r="K5421">
        <v>5.9736184222212101E-2</v>
      </c>
      <c r="L5421">
        <v>1267.2596706627101</v>
      </c>
      <c r="M5421">
        <v>25.1186762220084</v>
      </c>
      <c r="N5421">
        <v>50.837011883121903</v>
      </c>
      <c r="O5421">
        <v>50.134392131876503</v>
      </c>
      <c r="P5421">
        <v>-0.114380528390515</v>
      </c>
      <c r="Q5421">
        <v>8.68432070821539E-2</v>
      </c>
      <c r="R5421">
        <v>0.99677514645197496</v>
      </c>
      <c r="S5421" t="s">
        <v>12037</v>
      </c>
      <c r="T5421" t="s">
        <v>13232</v>
      </c>
      <c r="U5421" t="s">
        <v>13232</v>
      </c>
      <c r="V5421" t="s">
        <v>13232</v>
      </c>
      <c r="W5421" t="s">
        <v>18584</v>
      </c>
      <c r="X5421">
        <v>30</v>
      </c>
      <c r="Y5421" t="s">
        <v>24981</v>
      </c>
      <c r="Z5421" t="s">
        <v>31552</v>
      </c>
      <c r="AA5421">
        <v>0.41307664908943681</v>
      </c>
      <c r="AB5421" t="str">
        <f>HYPERLINK("Melting_Curves/meltCurve_Q9BXL7_CARD11.pdf", "Melting_Curves/meltCurve_Q9BXL7_CARD11.pdf")</f>
        <v>Melting_Curves/meltCurve_Q9BXL7_CARD11.pdf</v>
      </c>
    </row>
    <row r="5422" spans="1:28" x14ac:dyDescent="0.25">
      <c r="A5422" t="s">
        <v>5425</v>
      </c>
      <c r="B5422">
        <v>0.99930955844802105</v>
      </c>
      <c r="C5422">
        <v>1.0975249463548</v>
      </c>
      <c r="D5422">
        <v>0.66794864313679603</v>
      </c>
      <c r="E5422">
        <v>0.30802876634402299</v>
      </c>
      <c r="F5422">
        <v>0.17428658496661001</v>
      </c>
      <c r="G5422">
        <v>0.12309825546535499</v>
      </c>
      <c r="H5422">
        <v>7.3460086561586604E-2</v>
      </c>
      <c r="I5422">
        <v>6.8447399401733403E-2</v>
      </c>
      <c r="J5422">
        <v>6.8540299000874896E-2</v>
      </c>
      <c r="K5422">
        <v>5.2479543531979901E-2</v>
      </c>
      <c r="L5422">
        <v>1218.3801401180799</v>
      </c>
      <c r="M5422">
        <v>25.586088546361498</v>
      </c>
      <c r="N5422">
        <v>47.9445315951194</v>
      </c>
      <c r="O5422">
        <v>47.330803067457097</v>
      </c>
      <c r="P5422">
        <v>-0.124366126699801</v>
      </c>
      <c r="Q5422">
        <v>7.9768882418311302E-2</v>
      </c>
      <c r="R5422">
        <v>0.97975719255783</v>
      </c>
      <c r="S5422" t="s">
        <v>12038</v>
      </c>
      <c r="T5422" t="s">
        <v>13232</v>
      </c>
      <c r="U5422" t="s">
        <v>13232</v>
      </c>
      <c r="V5422" t="s">
        <v>13232</v>
      </c>
      <c r="W5422" t="s">
        <v>18585</v>
      </c>
      <c r="X5422">
        <v>36</v>
      </c>
      <c r="Y5422" t="s">
        <v>24982</v>
      </c>
      <c r="Z5422" t="s">
        <v>31553</v>
      </c>
      <c r="AA5422">
        <v>0.32122494024800891</v>
      </c>
      <c r="AB5422" t="str">
        <f>HYPERLINK("Melting_Curves/meltCurve_Q9BXP5_4_SRRT.pdf", "Melting_Curves/meltCurve_Q9BXP5_4_SRRT.pdf")</f>
        <v>Melting_Curves/meltCurve_Q9BXP5_4_SRRT.pdf</v>
      </c>
    </row>
    <row r="5423" spans="1:28" x14ac:dyDescent="0.25">
      <c r="A5423" t="s">
        <v>5426</v>
      </c>
      <c r="B5423">
        <v>0.99930955844802105</v>
      </c>
      <c r="C5423">
        <v>1.05079091887992</v>
      </c>
      <c r="D5423">
        <v>1.0460272489896201</v>
      </c>
      <c r="E5423">
        <v>0.98431865600174495</v>
      </c>
      <c r="F5423">
        <v>0.81870146297741897</v>
      </c>
      <c r="G5423">
        <v>0.44049265188507097</v>
      </c>
      <c r="H5423">
        <v>0.14407112638711</v>
      </c>
      <c r="I5423">
        <v>9.2582978023056803E-2</v>
      </c>
      <c r="J5423">
        <v>8.3934851260968196E-2</v>
      </c>
      <c r="K5423">
        <v>6.7111782272937404E-2</v>
      </c>
      <c r="L5423">
        <v>1515.6050307656501</v>
      </c>
      <c r="M5423">
        <v>27.0399225921234</v>
      </c>
      <c r="N5423">
        <v>56.332949187770303</v>
      </c>
      <c r="O5423">
        <v>55.746768447319099</v>
      </c>
      <c r="P5423">
        <v>-0.113579550272637</v>
      </c>
      <c r="Q5423">
        <v>6.3365578718680607E-2</v>
      </c>
      <c r="R5423">
        <v>0.99661445948771299</v>
      </c>
      <c r="S5423" t="s">
        <v>12039</v>
      </c>
      <c r="T5423" t="s">
        <v>13232</v>
      </c>
      <c r="U5423" t="s">
        <v>13232</v>
      </c>
      <c r="V5423" t="s">
        <v>13232</v>
      </c>
      <c r="W5423" t="s">
        <v>18586</v>
      </c>
      <c r="X5423">
        <v>12</v>
      </c>
      <c r="Y5423" t="s">
        <v>24983</v>
      </c>
      <c r="Z5423" t="s">
        <v>31554</v>
      </c>
      <c r="AA5423">
        <v>0.57200535164124766</v>
      </c>
      <c r="AB5423" t="str">
        <f>HYPERLINK("Melting_Curves/meltCurve_Q9BXR0_QTRT1.pdf", "Melting_Curves/meltCurve_Q9BXR0_QTRT1.pdf")</f>
        <v>Melting_Curves/meltCurve_Q9BXR0_QTRT1.pdf</v>
      </c>
    </row>
    <row r="5424" spans="1:28" x14ac:dyDescent="0.25">
      <c r="A5424" t="s">
        <v>5427</v>
      </c>
      <c r="B5424">
        <v>0.99930955844802105</v>
      </c>
      <c r="C5424">
        <v>0.900247051635925</v>
      </c>
      <c r="D5424">
        <v>0.91021975326722804</v>
      </c>
      <c r="E5424">
        <v>0.801871409317646</v>
      </c>
      <c r="F5424">
        <v>0.61243000174555495</v>
      </c>
      <c r="G5424">
        <v>0.48268253784989101</v>
      </c>
      <c r="H5424">
        <v>0.21533327587185699</v>
      </c>
      <c r="I5424">
        <v>9.0684975430044903E-2</v>
      </c>
      <c r="J5424">
        <v>5.6800635365718902E-2</v>
      </c>
      <c r="K5424">
        <v>4.5315523672514103E-2</v>
      </c>
      <c r="L5424">
        <v>730.690673733837</v>
      </c>
      <c r="M5424">
        <v>13.222337657361001</v>
      </c>
      <c r="N5424">
        <v>55.2618318955817</v>
      </c>
      <c r="O5424">
        <v>54.043670759709201</v>
      </c>
      <c r="P5424">
        <v>-6.1175174217982201E-2</v>
      </c>
      <c r="Q5424">
        <v>0</v>
      </c>
      <c r="R5424">
        <v>0.986502421762391</v>
      </c>
      <c r="S5424" t="s">
        <v>12040</v>
      </c>
      <c r="T5424" t="s">
        <v>13232</v>
      </c>
      <c r="U5424" t="s">
        <v>13232</v>
      </c>
      <c r="V5424" t="s">
        <v>13232</v>
      </c>
      <c r="W5424" t="s">
        <v>18587</v>
      </c>
      <c r="X5424">
        <v>19</v>
      </c>
      <c r="Y5424" t="s">
        <v>24984</v>
      </c>
      <c r="Z5424" t="s">
        <v>31555</v>
      </c>
      <c r="AA5424">
        <v>0.52991800112247878</v>
      </c>
      <c r="AB5424" t="str">
        <f>HYPERLINK("Melting_Curves/meltCurve_Q9BXS5_AP1M1.pdf", "Melting_Curves/meltCurve_Q9BXS5_AP1M1.pdf")</f>
        <v>Melting_Curves/meltCurve_Q9BXS5_AP1M1.pdf</v>
      </c>
    </row>
    <row r="5425" spans="1:28" x14ac:dyDescent="0.25">
      <c r="A5425" t="s">
        <v>5428</v>
      </c>
      <c r="B5425">
        <v>0.99930955844802105</v>
      </c>
      <c r="C5425">
        <v>1.1153181095504501</v>
      </c>
      <c r="D5425">
        <v>1.0756785891107801</v>
      </c>
      <c r="E5425">
        <v>1.0889061101884401</v>
      </c>
      <c r="F5425">
        <v>1.02019147257619</v>
      </c>
      <c r="G5425">
        <v>0.94637496959588896</v>
      </c>
      <c r="H5425">
        <v>0.90287903890343402</v>
      </c>
      <c r="I5425">
        <v>0.97264305421639596</v>
      </c>
      <c r="J5425">
        <v>0.97319402765766405</v>
      </c>
      <c r="K5425">
        <v>0.77052115670883803</v>
      </c>
      <c r="L5425">
        <v>3287.5436580477999</v>
      </c>
      <c r="M5425">
        <v>45.748534945916298</v>
      </c>
      <c r="Q5425">
        <v>0</v>
      </c>
      <c r="R5425">
        <v>0.56260128662182796</v>
      </c>
      <c r="S5425" t="s">
        <v>12041</v>
      </c>
      <c r="T5425" t="s">
        <v>13232</v>
      </c>
      <c r="U5425" t="s">
        <v>13232</v>
      </c>
      <c r="V5425" t="s">
        <v>13232</v>
      </c>
      <c r="W5425" t="s">
        <v>18588</v>
      </c>
      <c r="X5425">
        <v>14</v>
      </c>
      <c r="Y5425" t="s">
        <v>24985</v>
      </c>
      <c r="Z5425" t="s">
        <v>31556</v>
      </c>
      <c r="AA5425">
        <v>0.98765667061947726</v>
      </c>
      <c r="AB5425" t="str">
        <f>HYPERLINK("Melting_Curves/meltCurve_Q9BXS6_2_NUSAP1.pdf", "Melting_Curves/meltCurve_Q9BXS6_2_NUSAP1.pdf")</f>
        <v>Melting_Curves/meltCurve_Q9BXS6_2_NUSAP1.pdf</v>
      </c>
    </row>
    <row r="5426" spans="1:28" x14ac:dyDescent="0.25">
      <c r="A5426" t="s">
        <v>5429</v>
      </c>
      <c r="B5426">
        <v>0.99930955844802105</v>
      </c>
      <c r="C5426">
        <v>0.94552167578362201</v>
      </c>
      <c r="D5426">
        <v>0.92282546509468899</v>
      </c>
      <c r="E5426">
        <v>0.81122913469896896</v>
      </c>
      <c r="F5426">
        <v>0.63337453812026301</v>
      </c>
      <c r="G5426">
        <v>0.47656363895128701</v>
      </c>
      <c r="H5426">
        <v>0.41997934957091199</v>
      </c>
      <c r="I5426">
        <v>0.431833048865918</v>
      </c>
      <c r="J5426">
        <v>0.41248576826455602</v>
      </c>
      <c r="K5426">
        <v>0.321057592533876</v>
      </c>
      <c r="L5426">
        <v>799.53102996399298</v>
      </c>
      <c r="M5426">
        <v>15.308216498159499</v>
      </c>
      <c r="N5426">
        <v>56.922466535733598</v>
      </c>
      <c r="O5426">
        <v>51.361940409969101</v>
      </c>
      <c r="P5426">
        <v>-4.7804183858840901E-2</v>
      </c>
      <c r="Q5426">
        <v>0.358491799675066</v>
      </c>
      <c r="R5426">
        <v>0.98781097133738305</v>
      </c>
      <c r="S5426" t="s">
        <v>12042</v>
      </c>
      <c r="T5426" t="s">
        <v>13232</v>
      </c>
      <c r="U5426" t="s">
        <v>13232</v>
      </c>
      <c r="V5426" t="s">
        <v>13232</v>
      </c>
      <c r="W5426" t="s">
        <v>18589</v>
      </c>
      <c r="X5426">
        <v>3</v>
      </c>
      <c r="Y5426" t="s">
        <v>20517</v>
      </c>
      <c r="Z5426" t="s">
        <v>31557</v>
      </c>
      <c r="AA5426">
        <v>0.63378516683763142</v>
      </c>
      <c r="AB5426" t="str">
        <f>HYPERLINK("Melting_Curves/meltCurve_Q9BXV9_C14orf142.pdf", "Melting_Curves/meltCurve_Q9BXV9_C14orf142.pdf")</f>
        <v>Melting_Curves/meltCurve_Q9BXV9_C14orf142.pdf</v>
      </c>
    </row>
    <row r="5427" spans="1:28" x14ac:dyDescent="0.25">
      <c r="A5427" t="s">
        <v>5430</v>
      </c>
      <c r="B5427">
        <v>0.99930955844802105</v>
      </c>
      <c r="C5427">
        <v>0.83180506581221703</v>
      </c>
      <c r="D5427">
        <v>0.44227874310281101</v>
      </c>
      <c r="E5427">
        <v>0.28204779259506302</v>
      </c>
      <c r="F5427">
        <v>0.19017832628950701</v>
      </c>
      <c r="G5427">
        <v>0.13610916274995899</v>
      </c>
      <c r="H5427">
        <v>9.4616617976943498E-2</v>
      </c>
      <c r="I5427">
        <v>6.9611623015789603E-2</v>
      </c>
      <c r="J5427">
        <v>6.6787878901275896E-2</v>
      </c>
      <c r="K5427">
        <v>5.1224774133861999E-2</v>
      </c>
      <c r="L5427">
        <v>869.34177546011904</v>
      </c>
      <c r="M5427">
        <v>19.012060888589101</v>
      </c>
      <c r="N5427">
        <v>46.184699404969699</v>
      </c>
      <c r="O5427">
        <v>45.228929032112703</v>
      </c>
      <c r="P5427">
        <v>-9.6047335900998301E-2</v>
      </c>
      <c r="Q5427">
        <v>8.60653334396312E-2</v>
      </c>
      <c r="R5427">
        <v>0.98387062524670599</v>
      </c>
      <c r="S5427" t="s">
        <v>12043</v>
      </c>
      <c r="T5427" t="s">
        <v>13232</v>
      </c>
      <c r="U5427" t="s">
        <v>13232</v>
      </c>
      <c r="V5427" t="s">
        <v>13232</v>
      </c>
      <c r="W5427" t="s">
        <v>18590</v>
      </c>
      <c r="X5427">
        <v>10</v>
      </c>
      <c r="Y5427" t="s">
        <v>24986</v>
      </c>
      <c r="Z5427" t="s">
        <v>31558</v>
      </c>
      <c r="AA5427">
        <v>0.27670324496831872</v>
      </c>
      <c r="AB5427" t="str">
        <f>HYPERLINK("Melting_Curves/meltCurve_Q9BXW7_2_CECR5.pdf", "Melting_Curves/meltCurve_Q9BXW7_2_CECR5.pdf")</f>
        <v>Melting_Curves/meltCurve_Q9BXW7_2_CECR5.pdf</v>
      </c>
    </row>
    <row r="5428" spans="1:28" x14ac:dyDescent="0.25">
      <c r="A5428" t="s">
        <v>5431</v>
      </c>
      <c r="B5428">
        <v>0.99930955844802105</v>
      </c>
      <c r="C5428">
        <v>0.76410959934827805</v>
      </c>
      <c r="D5428">
        <v>0.55754096337040404</v>
      </c>
      <c r="E5428">
        <v>0.41271486239732402</v>
      </c>
      <c r="F5428">
        <v>0.31013780224959703</v>
      </c>
      <c r="G5428">
        <v>0.224479837049084</v>
      </c>
      <c r="H5428">
        <v>0.154780772138431</v>
      </c>
      <c r="I5428">
        <v>0.14684575017217399</v>
      </c>
      <c r="J5428">
        <v>0.15063056549486101</v>
      </c>
      <c r="K5428">
        <v>0.110196012024371</v>
      </c>
      <c r="L5428">
        <v>594.79903169218699</v>
      </c>
      <c r="M5428">
        <v>12.713664006829401</v>
      </c>
      <c r="N5428">
        <v>47.853024788824101</v>
      </c>
      <c r="O5428">
        <v>45.672060292079699</v>
      </c>
      <c r="P5428">
        <v>-6.10022260439987E-2</v>
      </c>
      <c r="Q5428">
        <v>0.12360083749905</v>
      </c>
      <c r="R5428">
        <v>0.98321666857340295</v>
      </c>
      <c r="S5428" t="s">
        <v>12044</v>
      </c>
      <c r="T5428" t="s">
        <v>13232</v>
      </c>
      <c r="U5428" t="s">
        <v>13232</v>
      </c>
      <c r="V5428" t="s">
        <v>13232</v>
      </c>
      <c r="W5428" t="s">
        <v>18591</v>
      </c>
      <c r="X5428">
        <v>9</v>
      </c>
      <c r="Y5428" t="s">
        <v>24987</v>
      </c>
      <c r="Z5428" t="s">
        <v>31559</v>
      </c>
      <c r="AA5428">
        <v>0.35535589547056112</v>
      </c>
      <c r="AB5428" t="str">
        <f>HYPERLINK("Melting_Curves/meltCurve_Q9BXW9_2_FANCD2.pdf", "Melting_Curves/meltCurve_Q9BXW9_2_FANCD2.pdf")</f>
        <v>Melting_Curves/meltCurve_Q9BXW9_2_FANCD2.pdf</v>
      </c>
    </row>
    <row r="5429" spans="1:28" x14ac:dyDescent="0.25">
      <c r="A5429" t="s">
        <v>5432</v>
      </c>
      <c r="B5429">
        <v>0.99930955844802105</v>
      </c>
      <c r="C5429">
        <v>0.895443974926182</v>
      </c>
      <c r="D5429">
        <v>0.864757310019037</v>
      </c>
      <c r="E5429">
        <v>0.75736971465359004</v>
      </c>
      <c r="F5429">
        <v>0.50712676478219398</v>
      </c>
      <c r="G5429">
        <v>0.334254823038728</v>
      </c>
      <c r="H5429">
        <v>0.247503478982672</v>
      </c>
      <c r="I5429">
        <v>0.247239105989248</v>
      </c>
      <c r="J5429">
        <v>0.213842093107074</v>
      </c>
      <c r="K5429">
        <v>0.18726729984606799</v>
      </c>
      <c r="L5429">
        <v>730.71993747193096</v>
      </c>
      <c r="M5429">
        <v>14.0616302171152</v>
      </c>
      <c r="N5429">
        <v>53.549254687781499</v>
      </c>
      <c r="O5429">
        <v>50.948397738885802</v>
      </c>
      <c r="P5429">
        <v>-5.7268611334807797E-2</v>
      </c>
      <c r="Q5429">
        <v>0.17012054545255001</v>
      </c>
      <c r="R5429">
        <v>0.98924291171963197</v>
      </c>
      <c r="S5429" t="s">
        <v>12045</v>
      </c>
      <c r="T5429" t="s">
        <v>13232</v>
      </c>
      <c r="U5429" t="s">
        <v>13232</v>
      </c>
      <c r="V5429" t="s">
        <v>13232</v>
      </c>
      <c r="W5429" t="s">
        <v>18592</v>
      </c>
      <c r="X5429">
        <v>5</v>
      </c>
      <c r="Y5429" t="s">
        <v>24988</v>
      </c>
      <c r="Z5429" t="s">
        <v>31560</v>
      </c>
      <c r="AA5429">
        <v>0.52158211276627908</v>
      </c>
      <c r="AB5429" t="str">
        <f>HYPERLINK("Melting_Curves/meltCurve_Q9BXY0_MAK16.pdf", "Melting_Curves/meltCurve_Q9BXY0_MAK16.pdf")</f>
        <v>Melting_Curves/meltCurve_Q9BXY0_MAK16.pdf</v>
      </c>
    </row>
    <row r="5430" spans="1:28" x14ac:dyDescent="0.25">
      <c r="A5430" t="s">
        <v>5433</v>
      </c>
      <c r="B5430">
        <v>0.99930955844802105</v>
      </c>
      <c r="C5430">
        <v>1.04381066096131</v>
      </c>
      <c r="D5430">
        <v>0.96177037792989595</v>
      </c>
      <c r="E5430">
        <v>0.84449063431389004</v>
      </c>
      <c r="F5430">
        <v>0.75382875245108905</v>
      </c>
      <c r="G5430">
        <v>0.60017626469734497</v>
      </c>
      <c r="H5430">
        <v>0.56902731195324296</v>
      </c>
      <c r="I5430">
        <v>0.61190207401124697</v>
      </c>
      <c r="J5430">
        <v>0.63163125689227795</v>
      </c>
      <c r="K5430">
        <v>0.495115883337369</v>
      </c>
      <c r="L5430">
        <v>1069.5469501820901</v>
      </c>
      <c r="M5430">
        <v>20.662882896330899</v>
      </c>
      <c r="O5430">
        <v>51.284248018804298</v>
      </c>
      <c r="P5430">
        <v>-4.3698739004437201E-2</v>
      </c>
      <c r="Q5430">
        <v>0.566180022413029</v>
      </c>
      <c r="R5430">
        <v>0.95919103007961304</v>
      </c>
      <c r="S5430" t="s">
        <v>12046</v>
      </c>
      <c r="T5430" t="s">
        <v>13232</v>
      </c>
      <c r="U5430" t="s">
        <v>13232</v>
      </c>
      <c r="V5430" t="s">
        <v>13232</v>
      </c>
      <c r="W5430" t="s">
        <v>18593</v>
      </c>
      <c r="X5430">
        <v>6</v>
      </c>
      <c r="Y5430" t="s">
        <v>24989</v>
      </c>
      <c r="Z5430" t="s">
        <v>31561</v>
      </c>
      <c r="AA5430">
        <v>0.74192502498613355</v>
      </c>
      <c r="AB5430" t="str">
        <f>HYPERLINK("Melting_Curves/meltCurve_Q9BY12_2_SCAPER.pdf", "Melting_Curves/meltCurve_Q9BY12_2_SCAPER.pdf")</f>
        <v>Melting_Curves/meltCurve_Q9BY12_2_SCAPER.pdf</v>
      </c>
    </row>
    <row r="5431" spans="1:28" x14ac:dyDescent="0.25">
      <c r="A5431" t="s">
        <v>5434</v>
      </c>
      <c r="B5431">
        <v>0.99930955844802105</v>
      </c>
      <c r="C5431">
        <v>1.07364311566159</v>
      </c>
      <c r="D5431">
        <v>1.0278267262627101</v>
      </c>
      <c r="E5431">
        <v>1.01221841879866</v>
      </c>
      <c r="F5431">
        <v>0.91552605550908195</v>
      </c>
      <c r="G5431">
        <v>0.74361970009347</v>
      </c>
      <c r="H5431">
        <v>0.66398631641623596</v>
      </c>
      <c r="I5431">
        <v>0.48557269063521902</v>
      </c>
      <c r="J5431">
        <v>0.26649544930937502</v>
      </c>
      <c r="K5431">
        <v>8.8720556223721506E-2</v>
      </c>
      <c r="L5431">
        <v>977.94490970061099</v>
      </c>
      <c r="M5431">
        <v>15.568187779669101</v>
      </c>
      <c r="N5431">
        <v>62.8168753484278</v>
      </c>
      <c r="O5431">
        <v>61.807800584454</v>
      </c>
      <c r="P5431">
        <v>-6.2975656523789295E-2</v>
      </c>
      <c r="Q5431">
        <v>0</v>
      </c>
      <c r="R5431">
        <v>0.97405288148661895</v>
      </c>
      <c r="S5431" t="s">
        <v>12047</v>
      </c>
      <c r="T5431" t="s">
        <v>13232</v>
      </c>
      <c r="U5431" t="s">
        <v>13232</v>
      </c>
      <c r="V5431" t="s">
        <v>13232</v>
      </c>
      <c r="W5431" t="s">
        <v>18594</v>
      </c>
      <c r="X5431">
        <v>9</v>
      </c>
      <c r="Y5431" t="s">
        <v>24990</v>
      </c>
      <c r="Z5431" t="s">
        <v>31562</v>
      </c>
      <c r="AA5431">
        <v>0.75398513525698452</v>
      </c>
      <c r="AB5431" t="str">
        <f>HYPERLINK("Melting_Curves/meltCurve_Q9BY32_ITPA.pdf", "Melting_Curves/meltCurve_Q9BY32_ITPA.pdf")</f>
        <v>Melting_Curves/meltCurve_Q9BY32_ITPA.pdf</v>
      </c>
    </row>
    <row r="5432" spans="1:28" x14ac:dyDescent="0.25">
      <c r="A5432" t="s">
        <v>5435</v>
      </c>
      <c r="B5432">
        <v>0.99930955844802105</v>
      </c>
      <c r="C5432">
        <v>1.13726276801556</v>
      </c>
      <c r="D5432">
        <v>1.03806867232179</v>
      </c>
      <c r="E5432">
        <v>0.72421146750421295</v>
      </c>
      <c r="F5432">
        <v>0.40285013429932998</v>
      </c>
      <c r="G5432">
        <v>0.340475418451676</v>
      </c>
      <c r="H5432">
        <v>0.34611713470185401</v>
      </c>
      <c r="I5432">
        <v>0.37509872219921803</v>
      </c>
      <c r="J5432">
        <v>0.39133430033046501</v>
      </c>
      <c r="K5432">
        <v>0.31177427681963998</v>
      </c>
      <c r="L5432">
        <v>2694.95565366044</v>
      </c>
      <c r="M5432">
        <v>53.584584002919698</v>
      </c>
      <c r="N5432">
        <v>51.4777243592075</v>
      </c>
      <c r="O5432">
        <v>50.223585645834603</v>
      </c>
      <c r="P5432">
        <v>-0.17224175497553801</v>
      </c>
      <c r="Q5432">
        <v>0.35424761673750199</v>
      </c>
      <c r="R5432">
        <v>0.97541355209150904</v>
      </c>
      <c r="S5432" t="s">
        <v>12048</v>
      </c>
      <c r="T5432" t="s">
        <v>13232</v>
      </c>
      <c r="U5432" t="s">
        <v>13232</v>
      </c>
      <c r="V5432" t="s">
        <v>13232</v>
      </c>
      <c r="W5432" t="s">
        <v>18595</v>
      </c>
      <c r="X5432">
        <v>7</v>
      </c>
      <c r="Y5432" t="s">
        <v>24991</v>
      </c>
      <c r="Z5432" t="s">
        <v>31563</v>
      </c>
      <c r="AA5432">
        <v>0.57706219005560977</v>
      </c>
      <c r="AB5432" t="str">
        <f>HYPERLINK("Melting_Curves/meltCurve_Q9BY42_RTFDC1.pdf", "Melting_Curves/meltCurve_Q9BY42_RTFDC1.pdf")</f>
        <v>Melting_Curves/meltCurve_Q9BY42_RTFDC1.pdf</v>
      </c>
    </row>
    <row r="5433" spans="1:28" x14ac:dyDescent="0.25">
      <c r="A5433" t="s">
        <v>5436</v>
      </c>
      <c r="B5433">
        <v>0.99930955844802105</v>
      </c>
      <c r="C5433">
        <v>1.12300246349077</v>
      </c>
      <c r="D5433">
        <v>1.10786711705148</v>
      </c>
      <c r="E5433">
        <v>1.0424870036132301</v>
      </c>
      <c r="F5433">
        <v>0.96628261199631305</v>
      </c>
      <c r="G5433">
        <v>0.86948188622581402</v>
      </c>
      <c r="H5433">
        <v>0.93995741581538494</v>
      </c>
      <c r="I5433">
        <v>0.97279407632552695</v>
      </c>
      <c r="J5433">
        <v>1.0184093610593199</v>
      </c>
      <c r="K5433">
        <v>0.838679889127109</v>
      </c>
      <c r="L5433">
        <v>13256.9174048721</v>
      </c>
      <c r="M5433">
        <v>250</v>
      </c>
      <c r="O5433">
        <v>53.024275008463199</v>
      </c>
      <c r="P5433">
        <v>-8.50264742571335E-2</v>
      </c>
      <c r="Q5433">
        <v>0.92786452399832797</v>
      </c>
      <c r="R5433">
        <v>0.337936833712914</v>
      </c>
      <c r="S5433" t="s">
        <v>12049</v>
      </c>
      <c r="T5433" t="s">
        <v>13232</v>
      </c>
      <c r="U5433" t="s">
        <v>13232</v>
      </c>
      <c r="V5433" t="s">
        <v>13232</v>
      </c>
      <c r="W5433" t="s">
        <v>18596</v>
      </c>
      <c r="X5433">
        <v>15</v>
      </c>
      <c r="Y5433" t="s">
        <v>24992</v>
      </c>
      <c r="Z5433" t="s">
        <v>31564</v>
      </c>
      <c r="AA5433">
        <v>0.9591964754294845</v>
      </c>
      <c r="AB5433" t="str">
        <f>HYPERLINK("Melting_Curves/meltCurve_Q9BY43_CHMP4A.pdf", "Melting_Curves/meltCurve_Q9BY43_CHMP4A.pdf")</f>
        <v>Melting_Curves/meltCurve_Q9BY43_CHMP4A.pdf</v>
      </c>
    </row>
    <row r="5434" spans="1:28" x14ac:dyDescent="0.25">
      <c r="A5434" t="s">
        <v>5437</v>
      </c>
      <c r="B5434">
        <v>0.99930955844802105</v>
      </c>
      <c r="C5434">
        <v>0.91960633385703605</v>
      </c>
      <c r="D5434">
        <v>0.88938850760018295</v>
      </c>
      <c r="E5434">
        <v>0.85098785711366898</v>
      </c>
      <c r="F5434">
        <v>0.49354673305847102</v>
      </c>
      <c r="G5434">
        <v>0.17996402380885401</v>
      </c>
      <c r="H5434">
        <v>0.10870429207943599</v>
      </c>
      <c r="I5434">
        <v>9.5279829122784904E-2</v>
      </c>
      <c r="J5434">
        <v>8.3720210982375101E-2</v>
      </c>
      <c r="K5434">
        <v>6.7040942319000402E-2</v>
      </c>
      <c r="L5434">
        <v>1376.53222164873</v>
      </c>
      <c r="M5434">
        <v>26.125186209970199</v>
      </c>
      <c r="N5434">
        <v>53.027104289607003</v>
      </c>
      <c r="O5434">
        <v>52.384042178379097</v>
      </c>
      <c r="P5434">
        <v>-0.115138427878257</v>
      </c>
      <c r="Q5434">
        <v>7.6546575874140696E-2</v>
      </c>
      <c r="R5434">
        <v>0.989267916581134</v>
      </c>
      <c r="S5434" t="s">
        <v>12050</v>
      </c>
      <c r="T5434" t="s">
        <v>13232</v>
      </c>
      <c r="U5434" t="s">
        <v>13232</v>
      </c>
      <c r="V5434" t="s">
        <v>13232</v>
      </c>
      <c r="W5434" t="s">
        <v>18597</v>
      </c>
      <c r="X5434">
        <v>24</v>
      </c>
      <c r="Y5434" t="s">
        <v>24993</v>
      </c>
      <c r="Z5434" t="s">
        <v>31565</v>
      </c>
      <c r="AA5434">
        <v>0.47496321869722358</v>
      </c>
      <c r="AB5434" t="str">
        <f>HYPERLINK("Melting_Curves/meltCurve_Q9BY44_EIF2A.pdf", "Melting_Curves/meltCurve_Q9BY44_EIF2A.pdf")</f>
        <v>Melting_Curves/meltCurve_Q9BY44_EIF2A.pdf</v>
      </c>
    </row>
    <row r="5435" spans="1:28" x14ac:dyDescent="0.25">
      <c r="A5435" t="s">
        <v>5438</v>
      </c>
      <c r="B5435">
        <v>0.99930955844802105</v>
      </c>
      <c r="C5435">
        <v>1.11427448619859</v>
      </c>
      <c r="D5435">
        <v>1.08042741829166</v>
      </c>
      <c r="E5435">
        <v>1.02098150960483</v>
      </c>
      <c r="F5435">
        <v>0.97985538411439299</v>
      </c>
      <c r="G5435">
        <v>0.83305481691352901</v>
      </c>
      <c r="H5435">
        <v>0.87044587347408198</v>
      </c>
      <c r="I5435">
        <v>0.86298365425790002</v>
      </c>
      <c r="J5435">
        <v>0.85746815799712195</v>
      </c>
      <c r="K5435">
        <v>0.61241074547667396</v>
      </c>
      <c r="L5435">
        <v>641.619048843158</v>
      </c>
      <c r="M5435">
        <v>8.4144356839773007</v>
      </c>
      <c r="Q5435">
        <v>0</v>
      </c>
      <c r="R5435">
        <v>0.74853693867870297</v>
      </c>
      <c r="S5435" t="s">
        <v>12051</v>
      </c>
      <c r="T5435" t="s">
        <v>13232</v>
      </c>
      <c r="U5435" t="s">
        <v>13232</v>
      </c>
      <c r="V5435" t="s">
        <v>13232</v>
      </c>
      <c r="W5435" t="s">
        <v>18598</v>
      </c>
      <c r="X5435">
        <v>15</v>
      </c>
      <c r="Y5435" t="s">
        <v>24994</v>
      </c>
      <c r="Z5435" t="s">
        <v>31566</v>
      </c>
      <c r="AA5435">
        <v>0.91957223421883327</v>
      </c>
      <c r="AB5435" t="str">
        <f>HYPERLINK("Melting_Curves/meltCurve_Q9BY77_POLDIP3.pdf", "Melting_Curves/meltCurve_Q9BY77_POLDIP3.pdf")</f>
        <v>Melting_Curves/meltCurve_Q9BY77_POLDIP3.pdf</v>
      </c>
    </row>
    <row r="5436" spans="1:28" x14ac:dyDescent="0.25">
      <c r="A5436" t="s">
        <v>5439</v>
      </c>
      <c r="B5436">
        <v>0.99930955844802105</v>
      </c>
      <c r="C5436">
        <v>0.99276598734878796</v>
      </c>
      <c r="D5436">
        <v>0.987290614688768</v>
      </c>
      <c r="E5436">
        <v>0.90634602365276196</v>
      </c>
      <c r="F5436">
        <v>0.77263481712023196</v>
      </c>
      <c r="G5436">
        <v>0.57500572325870103</v>
      </c>
      <c r="H5436">
        <v>0.32546688356722397</v>
      </c>
      <c r="I5436">
        <v>0.13250258630949499</v>
      </c>
      <c r="J5436">
        <v>6.5363529453589905E-2</v>
      </c>
      <c r="K5436">
        <v>5.2785334635292398E-2</v>
      </c>
      <c r="L5436">
        <v>928.52932093451102</v>
      </c>
      <c r="M5436">
        <v>16.104160819635698</v>
      </c>
      <c r="N5436">
        <v>57.657728109310703</v>
      </c>
      <c r="O5436">
        <v>56.790645745754802</v>
      </c>
      <c r="P5436">
        <v>-7.0898085028094499E-2</v>
      </c>
      <c r="Q5436">
        <v>0</v>
      </c>
      <c r="R5436">
        <v>0.99630306465144902</v>
      </c>
      <c r="S5436" t="s">
        <v>12052</v>
      </c>
      <c r="T5436" t="s">
        <v>13232</v>
      </c>
      <c r="U5436" t="s">
        <v>13232</v>
      </c>
      <c r="V5436" t="s">
        <v>13232</v>
      </c>
      <c r="W5436" t="s">
        <v>18599</v>
      </c>
      <c r="X5436">
        <v>16</v>
      </c>
      <c r="Y5436" t="s">
        <v>24995</v>
      </c>
      <c r="Z5436" t="s">
        <v>31567</v>
      </c>
      <c r="AA5436">
        <v>0.60246685443513492</v>
      </c>
      <c r="AB5436" t="str">
        <f>HYPERLINK("Melting_Curves/meltCurve_Q9BYB4_GNB1L.pdf", "Melting_Curves/meltCurve_Q9BYB4_GNB1L.pdf")</f>
        <v>Melting_Curves/meltCurve_Q9BYB4_GNB1L.pdf</v>
      </c>
    </row>
    <row r="5437" spans="1:28" x14ac:dyDescent="0.25">
      <c r="A5437" t="s">
        <v>5440</v>
      </c>
      <c r="B5437">
        <v>0.99930955844802105</v>
      </c>
      <c r="C5437">
        <v>0.63720181952468802</v>
      </c>
      <c r="D5437">
        <v>0.33345383403115297</v>
      </c>
      <c r="E5437">
        <v>0.31881206597210499</v>
      </c>
      <c r="F5437">
        <v>0.16973536612833301</v>
      </c>
      <c r="G5437">
        <v>0.11076487967179099</v>
      </c>
      <c r="H5437">
        <v>6.2018793314087502E-2</v>
      </c>
      <c r="I5437">
        <v>4.7813244412031997E-2</v>
      </c>
      <c r="J5437">
        <v>5.0864994584368398E-2</v>
      </c>
      <c r="K5437">
        <v>2.66776224742469E-2</v>
      </c>
      <c r="L5437">
        <v>717.30529589473701</v>
      </c>
      <c r="M5437">
        <v>16.060430509886601</v>
      </c>
      <c r="N5437">
        <v>45.044511668851001</v>
      </c>
      <c r="O5437">
        <v>43.987656961009002</v>
      </c>
      <c r="P5437">
        <v>-8.5478749824196898E-2</v>
      </c>
      <c r="Q5437">
        <v>6.3606713135172299E-2</v>
      </c>
      <c r="R5437">
        <v>0.95316148655524902</v>
      </c>
      <c r="S5437" t="s">
        <v>12053</v>
      </c>
      <c r="T5437" t="s">
        <v>13232</v>
      </c>
      <c r="U5437" t="s">
        <v>13232</v>
      </c>
      <c r="V5437" t="s">
        <v>13232</v>
      </c>
      <c r="W5437" t="s">
        <v>18600</v>
      </c>
      <c r="X5437">
        <v>3</v>
      </c>
      <c r="Y5437" t="s">
        <v>24996</v>
      </c>
      <c r="Z5437" t="s">
        <v>31568</v>
      </c>
      <c r="AA5437">
        <v>0.23618174893258989</v>
      </c>
      <c r="AB5437" t="str">
        <f>HYPERLINK("Melting_Curves/meltCurve_Q9BYD6_MRPL1.pdf", "Melting_Curves/meltCurve_Q9BYD6_MRPL1.pdf")</f>
        <v>Melting_Curves/meltCurve_Q9BYD6_MRPL1.pdf</v>
      </c>
    </row>
    <row r="5438" spans="1:28" x14ac:dyDescent="0.25">
      <c r="A5438" t="s">
        <v>5441</v>
      </c>
      <c r="B5438">
        <v>0.99930955844802105</v>
      </c>
      <c r="C5438">
        <v>1.13286075929019</v>
      </c>
      <c r="D5438">
        <v>1.23335219836636</v>
      </c>
      <c r="E5438">
        <v>1.1759667138635399</v>
      </c>
      <c r="F5438">
        <v>0.98901808495368504</v>
      </c>
      <c r="G5438">
        <v>0.97366852305103202</v>
      </c>
      <c r="H5438">
        <v>1.0370440621373</v>
      </c>
      <c r="I5438">
        <v>0.89970090125342606</v>
      </c>
      <c r="J5438">
        <v>0.99995124326889095</v>
      </c>
      <c r="K5438">
        <v>0.71154417389765101</v>
      </c>
      <c r="L5438">
        <v>13633.212621483101</v>
      </c>
      <c r="M5438">
        <v>193.85728475505201</v>
      </c>
      <c r="Q5438">
        <v>0</v>
      </c>
      <c r="R5438">
        <v>0.41225165981844603</v>
      </c>
      <c r="S5438" t="s">
        <v>12054</v>
      </c>
      <c r="T5438" t="s">
        <v>13232</v>
      </c>
      <c r="U5438" t="s">
        <v>13232</v>
      </c>
      <c r="V5438" t="s">
        <v>13232</v>
      </c>
      <c r="X5438">
        <v>13</v>
      </c>
      <c r="Z5438" t="s">
        <v>31569</v>
      </c>
      <c r="AA5438">
        <v>0.9959676544389392</v>
      </c>
      <c r="AB5438" t="str">
        <f>HYPERLINK("Melting_Curves/meltCurve_Q9BYE2_3_.pdf", "Melting_Curves/meltCurve_Q9BYE2_3_.pdf")</f>
        <v>Melting_Curves/meltCurve_Q9BYE2_3_.pdf</v>
      </c>
    </row>
    <row r="5439" spans="1:28" x14ac:dyDescent="0.25">
      <c r="A5439" t="s">
        <v>5442</v>
      </c>
      <c r="B5439">
        <v>0.99930955844802105</v>
      </c>
      <c r="C5439">
        <v>1.0927949091017599</v>
      </c>
      <c r="D5439">
        <v>0.999039544235786</v>
      </c>
      <c r="E5439">
        <v>0.82510331096685896</v>
      </c>
      <c r="F5439">
        <v>0.58069815688988002</v>
      </c>
      <c r="G5439">
        <v>0.36319200336012603</v>
      </c>
      <c r="H5439">
        <v>0.249107587949251</v>
      </c>
      <c r="I5439">
        <v>0.21366483911116499</v>
      </c>
      <c r="J5439">
        <v>0.19447415099733301</v>
      </c>
      <c r="K5439">
        <v>0.14433477444186099</v>
      </c>
      <c r="L5439">
        <v>1083.4684816858201</v>
      </c>
      <c r="M5439">
        <v>20.3592973160691</v>
      </c>
      <c r="N5439">
        <v>54.374641592805602</v>
      </c>
      <c r="O5439">
        <v>52.711927514277001</v>
      </c>
      <c r="P5439">
        <v>-7.9584619191216802E-2</v>
      </c>
      <c r="Q5439">
        <v>0.17581989001590301</v>
      </c>
      <c r="R5439">
        <v>0.98958622230201199</v>
      </c>
      <c r="S5439" t="s">
        <v>12055</v>
      </c>
      <c r="T5439" t="s">
        <v>13232</v>
      </c>
      <c r="U5439" t="s">
        <v>13232</v>
      </c>
      <c r="V5439" t="s">
        <v>13232</v>
      </c>
      <c r="W5439" t="s">
        <v>18601</v>
      </c>
      <c r="X5439">
        <v>6</v>
      </c>
      <c r="Y5439" t="s">
        <v>24997</v>
      </c>
      <c r="Z5439" t="s">
        <v>31570</v>
      </c>
      <c r="AA5439">
        <v>0.54991319768206215</v>
      </c>
      <c r="AB5439" t="str">
        <f>HYPERLINK("Melting_Curves/meltCurve_Q9BYE7_PCGF6.pdf", "Melting_Curves/meltCurve_Q9BYE7_PCGF6.pdf")</f>
        <v>Melting_Curves/meltCurve_Q9BYE7_PCGF6.pdf</v>
      </c>
    </row>
    <row r="5440" spans="1:28" x14ac:dyDescent="0.25">
      <c r="A5440" t="s">
        <v>5443</v>
      </c>
      <c r="B5440">
        <v>0.99930955844802105</v>
      </c>
      <c r="C5440">
        <v>1.1147469070245499</v>
      </c>
      <c r="D5440">
        <v>0.97816388913132102</v>
      </c>
      <c r="E5440">
        <v>0.80883165382292499</v>
      </c>
      <c r="F5440">
        <v>0.62432586719992</v>
      </c>
      <c r="G5440">
        <v>0.50298944592014105</v>
      </c>
      <c r="H5440">
        <v>0.450005042848657</v>
      </c>
      <c r="I5440">
        <v>0.442614843647121</v>
      </c>
      <c r="J5440">
        <v>0.420599197877701</v>
      </c>
      <c r="K5440">
        <v>0.34247266933132697</v>
      </c>
      <c r="L5440">
        <v>1113.44665802592</v>
      </c>
      <c r="M5440">
        <v>21.4469031210593</v>
      </c>
      <c r="N5440">
        <v>56.293235926623602</v>
      </c>
      <c r="O5440">
        <v>51.471389591248801</v>
      </c>
      <c r="P5440">
        <v>-6.1915364216218398E-2</v>
      </c>
      <c r="Q5440">
        <v>0.40564077847373398</v>
      </c>
      <c r="R5440">
        <v>0.97060131954372697</v>
      </c>
      <c r="S5440" t="s">
        <v>12056</v>
      </c>
      <c r="T5440" t="s">
        <v>13232</v>
      </c>
      <c r="U5440" t="s">
        <v>13232</v>
      </c>
      <c r="V5440" t="s">
        <v>13232</v>
      </c>
      <c r="W5440" t="s">
        <v>18602</v>
      </c>
      <c r="X5440">
        <v>10</v>
      </c>
      <c r="Y5440" t="s">
        <v>24998</v>
      </c>
      <c r="Z5440" t="s">
        <v>31571</v>
      </c>
      <c r="AA5440">
        <v>0.64897276957874428</v>
      </c>
      <c r="AB5440" t="str">
        <f>HYPERLINK("Melting_Curves/meltCurve_Q9BYG3_MKI67IP.pdf", "Melting_Curves/meltCurve_Q9BYG3_MKI67IP.pdf")</f>
        <v>Melting_Curves/meltCurve_Q9BYG3_MKI67IP.pdf</v>
      </c>
    </row>
    <row r="5441" spans="1:28" x14ac:dyDescent="0.25">
      <c r="A5441" t="s">
        <v>5444</v>
      </c>
      <c r="B5441">
        <v>0.99930955844802105</v>
      </c>
      <c r="C5441">
        <v>0.98854008461355802</v>
      </c>
      <c r="D5441">
        <v>0.91810412964905896</v>
      </c>
      <c r="E5441">
        <v>0.65921815238377302</v>
      </c>
      <c r="F5441">
        <v>0.38276680429138199</v>
      </c>
      <c r="G5441">
        <v>0.22441212709015801</v>
      </c>
      <c r="H5441">
        <v>0.16553547935023299</v>
      </c>
      <c r="I5441">
        <v>0.15983641163022699</v>
      </c>
      <c r="J5441">
        <v>0.149057565250893</v>
      </c>
      <c r="K5441">
        <v>0.11972416282869</v>
      </c>
      <c r="L5441">
        <v>1104.33606652975</v>
      </c>
      <c r="M5441">
        <v>21.7002963426796</v>
      </c>
      <c r="N5441">
        <v>51.66677145912</v>
      </c>
      <c r="O5441">
        <v>50.464121317775003</v>
      </c>
      <c r="P5441">
        <v>-9.2549037912221105E-2</v>
      </c>
      <c r="Q5441">
        <v>0.13912792041236999</v>
      </c>
      <c r="R5441">
        <v>0.99927203341569704</v>
      </c>
      <c r="S5441" t="s">
        <v>12057</v>
      </c>
      <c r="T5441" t="s">
        <v>13232</v>
      </c>
      <c r="U5441" t="s">
        <v>13232</v>
      </c>
      <c r="V5441" t="s">
        <v>13232</v>
      </c>
      <c r="W5441" t="s">
        <v>18603</v>
      </c>
      <c r="X5441">
        <v>6</v>
      </c>
      <c r="Y5441" t="s">
        <v>24999</v>
      </c>
      <c r="Z5441" t="s">
        <v>31572</v>
      </c>
      <c r="AA5441">
        <v>0.46187044842185038</v>
      </c>
      <c r="AB5441" t="str">
        <f>HYPERLINK("Melting_Curves/meltCurve_Q9BYG5_PARD6B.pdf", "Melting_Curves/meltCurve_Q9BYG5_PARD6B.pdf")</f>
        <v>Melting_Curves/meltCurve_Q9BYG5_PARD6B.pdf</v>
      </c>
    </row>
    <row r="5442" spans="1:28" x14ac:dyDescent="0.25">
      <c r="A5442" t="s">
        <v>5445</v>
      </c>
      <c r="B5442">
        <v>0.99930955844802105</v>
      </c>
      <c r="C5442">
        <v>1.20512933890636</v>
      </c>
      <c r="D5442">
        <v>0.906500028499725</v>
      </c>
      <c r="E5442">
        <v>0.84657359382625796</v>
      </c>
      <c r="F5442">
        <v>0.880390400944142</v>
      </c>
      <c r="G5442">
        <v>0.75585930979766902</v>
      </c>
      <c r="H5442">
        <v>0.96386381254657605</v>
      </c>
      <c r="I5442">
        <v>1.129062504258</v>
      </c>
      <c r="J5442">
        <v>1.25666633958607</v>
      </c>
      <c r="K5442">
        <v>0.90534163259290601</v>
      </c>
      <c r="L5442">
        <v>11132.747388608699</v>
      </c>
      <c r="M5442">
        <v>250</v>
      </c>
      <c r="O5442">
        <v>44.528139940591601</v>
      </c>
      <c r="P5442">
        <v>-6.2412347370060801E-2</v>
      </c>
      <c r="Q5442">
        <v>0.95553430832269703</v>
      </c>
      <c r="R5442">
        <v>5.6649579869664297E-2</v>
      </c>
      <c r="S5442" t="s">
        <v>12058</v>
      </c>
      <c r="T5442" t="s">
        <v>13232</v>
      </c>
      <c r="U5442" t="s">
        <v>13232</v>
      </c>
      <c r="V5442" t="s">
        <v>13232</v>
      </c>
      <c r="W5442" t="s">
        <v>18604</v>
      </c>
      <c r="X5442">
        <v>2</v>
      </c>
      <c r="Y5442" t="s">
        <v>25000</v>
      </c>
      <c r="Z5442" t="s">
        <v>31573</v>
      </c>
      <c r="AA5442">
        <v>0.96225356952030672</v>
      </c>
      <c r="AB5442" t="str">
        <f>HYPERLINK("Melting_Curves/meltCurve_Q9BYI3_FAM126A.pdf", "Melting_Curves/meltCurve_Q9BYI3_FAM126A.pdf")</f>
        <v>Melting_Curves/meltCurve_Q9BYI3_FAM126A.pdf</v>
      </c>
    </row>
    <row r="5443" spans="1:28" x14ac:dyDescent="0.25">
      <c r="A5443" t="s">
        <v>5446</v>
      </c>
      <c r="B5443">
        <v>0.99930955844802105</v>
      </c>
      <c r="C5443">
        <v>0.93430656000111101</v>
      </c>
      <c r="D5443">
        <v>0.80613367453295504</v>
      </c>
      <c r="E5443">
        <v>0.56444372438167001</v>
      </c>
      <c r="F5443">
        <v>0.357022951471621</v>
      </c>
      <c r="G5443">
        <v>0.26215771056323001</v>
      </c>
      <c r="H5443">
        <v>0.176276189994027</v>
      </c>
      <c r="I5443">
        <v>0.15537482652566301</v>
      </c>
      <c r="J5443">
        <v>0.141728503506003</v>
      </c>
      <c r="K5443">
        <v>0.110706677938664</v>
      </c>
      <c r="L5443">
        <v>750.66516079101098</v>
      </c>
      <c r="M5443">
        <v>15.025790353906499</v>
      </c>
      <c r="N5443">
        <v>50.8777076142037</v>
      </c>
      <c r="O5443">
        <v>49.0986291829499</v>
      </c>
      <c r="P5443">
        <v>-6.7419907730695006E-2</v>
      </c>
      <c r="Q5443">
        <v>0.118877002509457</v>
      </c>
      <c r="R5443">
        <v>0.99811620146246804</v>
      </c>
      <c r="S5443" t="s">
        <v>12059</v>
      </c>
      <c r="T5443" t="s">
        <v>13232</v>
      </c>
      <c r="U5443" t="s">
        <v>13232</v>
      </c>
      <c r="V5443" t="s">
        <v>13232</v>
      </c>
      <c r="W5443" t="s">
        <v>18605</v>
      </c>
      <c r="X5443">
        <v>17</v>
      </c>
      <c r="Y5443" t="s">
        <v>25001</v>
      </c>
      <c r="Z5443" t="s">
        <v>31574</v>
      </c>
      <c r="AA5443">
        <v>0.43233987256954182</v>
      </c>
      <c r="AB5443" t="str">
        <f>HYPERLINK("Melting_Curves/meltCurve_Q9BYM8_RBCK1.pdf", "Melting_Curves/meltCurve_Q9BYM8_RBCK1.pdf")</f>
        <v>Melting_Curves/meltCurve_Q9BYM8_RBCK1.pdf</v>
      </c>
    </row>
    <row r="5444" spans="1:28" x14ac:dyDescent="0.25">
      <c r="A5444" t="s">
        <v>5447</v>
      </c>
      <c r="B5444">
        <v>0.99930955844802105</v>
      </c>
      <c r="C5444">
        <v>0.84913742337109299</v>
      </c>
      <c r="D5444">
        <v>0.86537663494485995</v>
      </c>
      <c r="E5444">
        <v>0.69440041594601998</v>
      </c>
      <c r="F5444">
        <v>0.42699507062782499</v>
      </c>
      <c r="G5444">
        <v>0.22472332565275199</v>
      </c>
      <c r="H5444">
        <v>0.15467305533266401</v>
      </c>
      <c r="I5444">
        <v>0.14260617317377899</v>
      </c>
      <c r="J5444">
        <v>0.125010553838453</v>
      </c>
      <c r="K5444">
        <v>9.1757216006189302E-2</v>
      </c>
      <c r="L5444">
        <v>746.81967058264604</v>
      </c>
      <c r="M5444">
        <v>14.4984077875077</v>
      </c>
      <c r="N5444">
        <v>52.100323110856699</v>
      </c>
      <c r="O5444">
        <v>50.560255068241901</v>
      </c>
      <c r="P5444">
        <v>-6.6270229248983001E-2</v>
      </c>
      <c r="Q5444">
        <v>7.5690776690244002E-2</v>
      </c>
      <c r="R5444">
        <v>0.98601416719803403</v>
      </c>
      <c r="S5444" t="s">
        <v>12060</v>
      </c>
      <c r="T5444" t="s">
        <v>13232</v>
      </c>
      <c r="U5444" t="s">
        <v>13232</v>
      </c>
      <c r="V5444" t="s">
        <v>13232</v>
      </c>
      <c r="W5444" t="s">
        <v>18606</v>
      </c>
      <c r="X5444">
        <v>3</v>
      </c>
      <c r="Y5444" t="s">
        <v>25002</v>
      </c>
      <c r="Z5444" t="s">
        <v>31575</v>
      </c>
      <c r="AA5444">
        <v>0.45249567500605298</v>
      </c>
      <c r="AB5444" t="str">
        <f>HYPERLINK("Melting_Curves/meltCurve_Q9BYN0_SRXN1.pdf", "Melting_Curves/meltCurve_Q9BYN0_SRXN1.pdf")</f>
        <v>Melting_Curves/meltCurve_Q9BYN0_SRXN1.pdf</v>
      </c>
    </row>
    <row r="5445" spans="1:28" x14ac:dyDescent="0.25">
      <c r="A5445" t="s">
        <v>5448</v>
      </c>
      <c r="B5445">
        <v>0.99930955844802105</v>
      </c>
      <c r="C5445">
        <v>0.64690492840775704</v>
      </c>
      <c r="D5445">
        <v>0.553972130818423</v>
      </c>
      <c r="E5445">
        <v>0.47302464444949599</v>
      </c>
      <c r="F5445">
        <v>0.31015925615184398</v>
      </c>
      <c r="G5445">
        <v>0.23803269176139699</v>
      </c>
      <c r="H5445">
        <v>0.15605558441516501</v>
      </c>
      <c r="I5445">
        <v>0.142559108598834</v>
      </c>
      <c r="J5445">
        <v>0.121267368529087</v>
      </c>
      <c r="K5445">
        <v>9.9246315128479395E-2</v>
      </c>
      <c r="L5445">
        <v>461.93064711020702</v>
      </c>
      <c r="M5445">
        <v>9.7826811925122996</v>
      </c>
      <c r="N5445">
        <v>48.019737385619401</v>
      </c>
      <c r="O5445">
        <v>45.372915645931698</v>
      </c>
      <c r="P5445">
        <v>-4.9872290080591498E-2</v>
      </c>
      <c r="Q5445">
        <v>7.5240992152709393E-2</v>
      </c>
      <c r="R5445">
        <v>0.95556960283216297</v>
      </c>
      <c r="S5445" t="s">
        <v>12061</v>
      </c>
      <c r="T5445" t="s">
        <v>13232</v>
      </c>
      <c r="U5445" t="s">
        <v>13232</v>
      </c>
      <c r="V5445" t="s">
        <v>13232</v>
      </c>
      <c r="W5445" t="s">
        <v>18607</v>
      </c>
      <c r="X5445">
        <v>2</v>
      </c>
      <c r="Y5445" t="s">
        <v>25003</v>
      </c>
      <c r="Z5445" t="s">
        <v>31576</v>
      </c>
      <c r="AA5445">
        <v>0.35179346173419829</v>
      </c>
      <c r="AB5445" t="str">
        <f>HYPERLINK("Melting_Curves/meltCurve_Q9BYN8_MRPS26.pdf", "Melting_Curves/meltCurve_Q9BYN8_MRPS26.pdf")</f>
        <v>Melting_Curves/meltCurve_Q9BYN8_MRPS26.pdf</v>
      </c>
    </row>
    <row r="5446" spans="1:28" x14ac:dyDescent="0.25">
      <c r="A5446" t="s">
        <v>5449</v>
      </c>
      <c r="B5446">
        <v>0.99930955844802105</v>
      </c>
      <c r="C5446">
        <v>1.13088267204254</v>
      </c>
      <c r="D5446">
        <v>1.05517008423137</v>
      </c>
      <c r="E5446">
        <v>0.76112808295783496</v>
      </c>
      <c r="F5446">
        <v>0.41141876851003101</v>
      </c>
      <c r="G5446">
        <v>0.29781422260704798</v>
      </c>
      <c r="H5446">
        <v>0.17455872329407901</v>
      </c>
      <c r="I5446">
        <v>0.12265680043311</v>
      </c>
      <c r="J5446">
        <v>0.10300922013243401</v>
      </c>
      <c r="K5446">
        <v>7.6467285756112502E-2</v>
      </c>
      <c r="L5446">
        <v>1302.4772522973201</v>
      </c>
      <c r="M5446">
        <v>25.049587800709201</v>
      </c>
      <c r="N5446">
        <v>52.591501094217001</v>
      </c>
      <c r="O5446">
        <v>51.667976527886601</v>
      </c>
      <c r="P5446">
        <v>-0.10623857106522901</v>
      </c>
      <c r="Q5446">
        <v>0.123489166104397</v>
      </c>
      <c r="R5446">
        <v>0.97604659190317999</v>
      </c>
      <c r="S5446" t="s">
        <v>12062</v>
      </c>
      <c r="T5446" t="s">
        <v>13232</v>
      </c>
      <c r="U5446" t="s">
        <v>13232</v>
      </c>
      <c r="V5446" t="s">
        <v>13232</v>
      </c>
      <c r="W5446" t="s">
        <v>18608</v>
      </c>
      <c r="X5446">
        <v>31</v>
      </c>
      <c r="Y5446" t="s">
        <v>25004</v>
      </c>
      <c r="Z5446" t="s">
        <v>31577</v>
      </c>
      <c r="AA5446">
        <v>0.48194622573731899</v>
      </c>
      <c r="AB5446" t="str">
        <f>HYPERLINK("Melting_Curves/meltCurve_Q9BYT8_NLN.pdf", "Melting_Curves/meltCurve_Q9BYT8_NLN.pdf")</f>
        <v>Melting_Curves/meltCurve_Q9BYT8_NLN.pdf</v>
      </c>
    </row>
    <row r="5447" spans="1:28" x14ac:dyDescent="0.25">
      <c r="A5447" t="s">
        <v>5450</v>
      </c>
      <c r="B5447">
        <v>0.99930955844802105</v>
      </c>
      <c r="C5447">
        <v>1.00053319977383</v>
      </c>
      <c r="D5447">
        <v>0.99927043059674903</v>
      </c>
      <c r="E5447">
        <v>0.73624855834307401</v>
      </c>
      <c r="F5447">
        <v>0.328989795038373</v>
      </c>
      <c r="G5447">
        <v>0.166567943115907</v>
      </c>
      <c r="H5447">
        <v>0.139714019809379</v>
      </c>
      <c r="I5447">
        <v>8.4298792644441706E-2</v>
      </c>
      <c r="J5447">
        <v>7.08042688025734E-2</v>
      </c>
      <c r="K5447">
        <v>5.8321817546125899E-2</v>
      </c>
      <c r="L5447">
        <v>1612.67884289566</v>
      </c>
      <c r="M5447">
        <v>31.3824057585555</v>
      </c>
      <c r="N5447">
        <v>51.723074344425001</v>
      </c>
      <c r="O5447">
        <v>51.180681851401303</v>
      </c>
      <c r="P5447">
        <v>-0.139192227504773</v>
      </c>
      <c r="Q5447">
        <v>9.1986206522268604E-2</v>
      </c>
      <c r="R5447">
        <v>0.99665803063635205</v>
      </c>
      <c r="S5447" t="s">
        <v>12063</v>
      </c>
      <c r="T5447" t="s">
        <v>13232</v>
      </c>
      <c r="U5447" t="s">
        <v>13232</v>
      </c>
      <c r="V5447" t="s">
        <v>13232</v>
      </c>
      <c r="W5447" t="s">
        <v>18609</v>
      </c>
      <c r="X5447">
        <v>4</v>
      </c>
      <c r="Y5447" t="s">
        <v>25005</v>
      </c>
      <c r="Z5447" t="s">
        <v>31578</v>
      </c>
      <c r="AA5447">
        <v>0.44191872297613072</v>
      </c>
      <c r="AB5447" t="str">
        <f>HYPERLINK("Melting_Curves/meltCurve_Q9BYV8_CEP41.pdf", "Melting_Curves/meltCurve_Q9BYV8_CEP41.pdf")</f>
        <v>Melting_Curves/meltCurve_Q9BYV8_CEP41.pdf</v>
      </c>
    </row>
    <row r="5448" spans="1:28" x14ac:dyDescent="0.25">
      <c r="A5448" t="s">
        <v>5451</v>
      </c>
      <c r="B5448">
        <v>0.99930955844802105</v>
      </c>
      <c r="C5448">
        <v>1.01438190582624</v>
      </c>
      <c r="D5448">
        <v>1.0080118246918299</v>
      </c>
      <c r="E5448">
        <v>0.96680879847439805</v>
      </c>
      <c r="F5448">
        <v>0.86358427875632005</v>
      </c>
      <c r="G5448">
        <v>0.748206567513236</v>
      </c>
      <c r="H5448">
        <v>0.77132921510371999</v>
      </c>
      <c r="I5448">
        <v>0.81749147507981901</v>
      </c>
      <c r="J5448">
        <v>0.72956769120167697</v>
      </c>
      <c r="K5448">
        <v>0.57691985197056195</v>
      </c>
      <c r="L5448">
        <v>385.32738227025101</v>
      </c>
      <c r="M5448">
        <v>5.3488799340844304</v>
      </c>
      <c r="O5448">
        <v>63.823539901442601</v>
      </c>
      <c r="P5448">
        <v>-1.6649364263351299E-2</v>
      </c>
      <c r="Q5448">
        <v>0.209189614683508</v>
      </c>
      <c r="R5448">
        <v>0.85604033008701097</v>
      </c>
      <c r="S5448" t="s">
        <v>12064</v>
      </c>
      <c r="T5448" t="s">
        <v>13232</v>
      </c>
      <c r="U5448" t="s">
        <v>13232</v>
      </c>
      <c r="V5448" t="s">
        <v>13232</v>
      </c>
      <c r="W5448" t="s">
        <v>18610</v>
      </c>
      <c r="X5448">
        <v>7</v>
      </c>
      <c r="Y5448" t="s">
        <v>25006</v>
      </c>
      <c r="Z5448" t="s">
        <v>31579</v>
      </c>
      <c r="AA5448">
        <v>0.85110365488088568</v>
      </c>
      <c r="AB5448" t="str">
        <f>HYPERLINK("Melting_Curves/meltCurve_Q9BYV9_BACH2.pdf", "Melting_Curves/meltCurve_Q9BYV9_BACH2.pdf")</f>
        <v>Melting_Curves/meltCurve_Q9BYV9_BACH2.pdf</v>
      </c>
    </row>
    <row r="5449" spans="1:28" x14ac:dyDescent="0.25">
      <c r="A5449" t="s">
        <v>5452</v>
      </c>
      <c r="B5449">
        <v>0.99930955844802105</v>
      </c>
      <c r="C5449">
        <v>1.0779391129804901</v>
      </c>
      <c r="D5449">
        <v>1.02296966851252</v>
      </c>
      <c r="E5449">
        <v>0.96509935218641496</v>
      </c>
      <c r="F5449">
        <v>0.89748089217716298</v>
      </c>
      <c r="G5449">
        <v>0.827679097758102</v>
      </c>
      <c r="H5449">
        <v>0.84471695191370499</v>
      </c>
      <c r="I5449">
        <v>0.91918859284647403</v>
      </c>
      <c r="J5449">
        <v>0.91449747219412103</v>
      </c>
      <c r="K5449">
        <v>0.73201619110793903</v>
      </c>
      <c r="L5449">
        <v>2112.7470065180801</v>
      </c>
      <c r="M5449">
        <v>40.787418022479699</v>
      </c>
      <c r="O5449">
        <v>51.674940410534298</v>
      </c>
      <c r="P5449">
        <v>-3.0061865293094198E-2</v>
      </c>
      <c r="Q5449">
        <v>0.84765477410655099</v>
      </c>
      <c r="R5449">
        <v>0.67802275626336095</v>
      </c>
      <c r="S5449" t="s">
        <v>12065</v>
      </c>
      <c r="T5449" t="s">
        <v>13232</v>
      </c>
      <c r="U5449" t="s">
        <v>13232</v>
      </c>
      <c r="V5449" t="s">
        <v>13232</v>
      </c>
      <c r="W5449" t="s">
        <v>18611</v>
      </c>
      <c r="X5449">
        <v>48</v>
      </c>
      <c r="Y5449" t="s">
        <v>25007</v>
      </c>
      <c r="Z5449" t="s">
        <v>31580</v>
      </c>
      <c r="AA5449">
        <v>0.90809638885015098</v>
      </c>
      <c r="AB5449" t="str">
        <f>HYPERLINK("Melting_Curves/meltCurve_Q9BYW2_SETD2.pdf", "Melting_Curves/meltCurve_Q9BYW2_SETD2.pdf")</f>
        <v>Melting_Curves/meltCurve_Q9BYW2_SETD2.pdf</v>
      </c>
    </row>
    <row r="5450" spans="1:28" x14ac:dyDescent="0.25">
      <c r="A5450" t="s">
        <v>5453</v>
      </c>
      <c r="B5450">
        <v>0.99930955844802105</v>
      </c>
      <c r="C5450">
        <v>0.649042946252535</v>
      </c>
      <c r="D5450">
        <v>0.746628558141328</v>
      </c>
      <c r="E5450">
        <v>0.63997242667422505</v>
      </c>
      <c r="F5450">
        <v>0.22120043771602599</v>
      </c>
      <c r="G5450">
        <v>0.138364316673174</v>
      </c>
      <c r="H5450">
        <v>5.9289434024087102E-2</v>
      </c>
      <c r="I5450">
        <v>4.7740952149115001E-2</v>
      </c>
      <c r="J5450">
        <v>2.3653186872459701E-2</v>
      </c>
      <c r="K5450">
        <v>1.8342372511419298E-2</v>
      </c>
      <c r="L5450">
        <v>585.36338443659395</v>
      </c>
      <c r="M5450">
        <v>11.8426836516122</v>
      </c>
      <c r="N5450">
        <v>49.428271632914601</v>
      </c>
      <c r="O5450">
        <v>48.0820900391873</v>
      </c>
      <c r="P5450">
        <v>-6.1590962310802799E-2</v>
      </c>
      <c r="Q5450">
        <v>0</v>
      </c>
      <c r="R5450">
        <v>0.92539268483816395</v>
      </c>
      <c r="S5450" t="s">
        <v>12066</v>
      </c>
      <c r="T5450" t="s">
        <v>13232</v>
      </c>
      <c r="U5450" t="s">
        <v>13232</v>
      </c>
      <c r="V5450" t="s">
        <v>13232</v>
      </c>
      <c r="W5450" t="s">
        <v>18612</v>
      </c>
      <c r="X5450">
        <v>6</v>
      </c>
      <c r="Y5450" t="s">
        <v>25008</v>
      </c>
      <c r="Z5450" t="s">
        <v>31581</v>
      </c>
      <c r="AA5450">
        <v>0.35085536152614921</v>
      </c>
      <c r="AB5450" t="str">
        <f>HYPERLINK("Melting_Curves/meltCurve_Q9BZ29_3_DOCK9.pdf", "Melting_Curves/meltCurve_Q9BZ29_3_DOCK9.pdf")</f>
        <v>Melting_Curves/meltCurve_Q9BZ29_3_DOCK9.pdf</v>
      </c>
    </row>
    <row r="5451" spans="1:28" x14ac:dyDescent="0.25">
      <c r="A5451" t="s">
        <v>5454</v>
      </c>
      <c r="B5451">
        <v>0.99930955844802105</v>
      </c>
      <c r="C5451">
        <v>0.96587377657505902</v>
      </c>
      <c r="D5451">
        <v>0.90861889586047795</v>
      </c>
      <c r="E5451">
        <v>0.80068873746531599</v>
      </c>
      <c r="F5451">
        <v>0.54940549283269602</v>
      </c>
      <c r="G5451">
        <v>0.46032736138513702</v>
      </c>
      <c r="H5451">
        <v>0.41024922338567199</v>
      </c>
      <c r="I5451">
        <v>0.42200427392408901</v>
      </c>
      <c r="J5451">
        <v>0.40577382093054898</v>
      </c>
      <c r="K5451">
        <v>0.33050864398415603</v>
      </c>
      <c r="L5451">
        <v>970.68943775533796</v>
      </c>
      <c r="M5451">
        <v>18.969878912882098</v>
      </c>
      <c r="N5451">
        <v>55.251092789297402</v>
      </c>
      <c r="O5451">
        <v>50.611572990823298</v>
      </c>
      <c r="P5451">
        <v>-5.8393760445503602E-2</v>
      </c>
      <c r="Q5451">
        <v>0.37684757231913102</v>
      </c>
      <c r="R5451">
        <v>0.98614434692724695</v>
      </c>
      <c r="S5451" t="s">
        <v>12067</v>
      </c>
      <c r="T5451" t="s">
        <v>13232</v>
      </c>
      <c r="U5451" t="s">
        <v>13232</v>
      </c>
      <c r="V5451" t="s">
        <v>13232</v>
      </c>
      <c r="W5451" t="s">
        <v>18613</v>
      </c>
      <c r="X5451">
        <v>9</v>
      </c>
      <c r="Y5451" t="s">
        <v>25009</v>
      </c>
      <c r="Z5451" t="s">
        <v>31582</v>
      </c>
      <c r="AA5451">
        <v>0.61839995292621475</v>
      </c>
      <c r="AB5451" t="str">
        <f>HYPERLINK("Melting_Curves/meltCurve_Q9BZ95_4_WHSC1L1.pdf", "Melting_Curves/meltCurve_Q9BZ95_4_WHSC1L1.pdf")</f>
        <v>Melting_Curves/meltCurve_Q9BZ95_4_WHSC1L1.pdf</v>
      </c>
    </row>
    <row r="5452" spans="1:28" x14ac:dyDescent="0.25">
      <c r="A5452" t="s">
        <v>5455</v>
      </c>
      <c r="B5452">
        <v>0.99930955844802105</v>
      </c>
      <c r="C5452">
        <v>0.82995553065181904</v>
      </c>
      <c r="D5452">
        <v>0.39835702306763299</v>
      </c>
      <c r="E5452">
        <v>0.238659617092843</v>
      </c>
      <c r="F5452">
        <v>0.18961916041127899</v>
      </c>
      <c r="G5452">
        <v>0.163423203871082</v>
      </c>
      <c r="H5452">
        <v>0.13695386122438</v>
      </c>
      <c r="I5452">
        <v>0.12382095302108199</v>
      </c>
      <c r="J5452">
        <v>0.11106026279324099</v>
      </c>
      <c r="K5452">
        <v>7.7052790234551902E-2</v>
      </c>
      <c r="L5452">
        <v>1253.64744186846</v>
      </c>
      <c r="M5452">
        <v>27.925054396807301</v>
      </c>
      <c r="N5452">
        <v>45.413925387459201</v>
      </c>
      <c r="O5452">
        <v>44.664956618130198</v>
      </c>
      <c r="P5452">
        <v>-0.13489421606625099</v>
      </c>
      <c r="Q5452">
        <v>0.13697684924773301</v>
      </c>
      <c r="R5452">
        <v>0.98784855635869795</v>
      </c>
      <c r="S5452" t="s">
        <v>12068</v>
      </c>
      <c r="T5452" t="s">
        <v>13232</v>
      </c>
      <c r="U5452" t="s">
        <v>13232</v>
      </c>
      <c r="V5452" t="s">
        <v>13232</v>
      </c>
      <c r="W5452" t="s">
        <v>18614</v>
      </c>
      <c r="X5452">
        <v>7</v>
      </c>
      <c r="Y5452" t="s">
        <v>25010</v>
      </c>
      <c r="Z5452" t="s">
        <v>31583</v>
      </c>
      <c r="AA5452">
        <v>0.28440413749206889</v>
      </c>
      <c r="AB5452" t="str">
        <f>HYPERLINK("Melting_Curves/meltCurve_Q9BZD4_NUF2.pdf", "Melting_Curves/meltCurve_Q9BZD4_NUF2.pdf")</f>
        <v>Melting_Curves/meltCurve_Q9BZD4_NUF2.pdf</v>
      </c>
    </row>
    <row r="5453" spans="1:28" x14ac:dyDescent="0.25">
      <c r="A5453" t="s">
        <v>5456</v>
      </c>
      <c r="B5453">
        <v>0.99930955844802105</v>
      </c>
      <c r="C5453">
        <v>0.99027616758539805</v>
      </c>
      <c r="D5453">
        <v>0.96415296607914303</v>
      </c>
      <c r="E5453">
        <v>0.89831829860773504</v>
      </c>
      <c r="F5453">
        <v>0.46894189110889301</v>
      </c>
      <c r="G5453">
        <v>0.39476561820155898</v>
      </c>
      <c r="H5453">
        <v>0.33932522835461698</v>
      </c>
      <c r="I5453">
        <v>0.36091634039012599</v>
      </c>
      <c r="J5453">
        <v>0.33579279632911002</v>
      </c>
      <c r="K5453">
        <v>0.27123666458235401</v>
      </c>
      <c r="L5453">
        <v>2651.4190745246801</v>
      </c>
      <c r="M5453">
        <v>51.375664923294003</v>
      </c>
      <c r="N5453">
        <v>52.768987736822197</v>
      </c>
      <c r="O5453">
        <v>51.530448692402999</v>
      </c>
      <c r="P5453">
        <v>-0.16488725655515399</v>
      </c>
      <c r="Q5453">
        <v>0.33846439891552899</v>
      </c>
      <c r="R5453">
        <v>0.98995179737588701</v>
      </c>
      <c r="S5453" t="s">
        <v>12069</v>
      </c>
      <c r="T5453" t="s">
        <v>13232</v>
      </c>
      <c r="U5453" t="s">
        <v>13232</v>
      </c>
      <c r="V5453" t="s">
        <v>13232</v>
      </c>
      <c r="W5453" t="s">
        <v>18615</v>
      </c>
      <c r="X5453">
        <v>15</v>
      </c>
      <c r="Y5453" t="s">
        <v>25011</v>
      </c>
      <c r="Z5453" t="s">
        <v>31584</v>
      </c>
      <c r="AA5453">
        <v>0.59587069037961793</v>
      </c>
      <c r="AB5453" t="str">
        <f>HYPERLINK("Melting_Curves/meltCurve_Q9BZE2_PUS3.pdf", "Melting_Curves/meltCurve_Q9BZE2_PUS3.pdf")</f>
        <v>Melting_Curves/meltCurve_Q9BZE2_PUS3.pdf</v>
      </c>
    </row>
    <row r="5454" spans="1:28" x14ac:dyDescent="0.25">
      <c r="A5454" t="s">
        <v>5457</v>
      </c>
      <c r="B5454">
        <v>0.99930955844802105</v>
      </c>
      <c r="C5454">
        <v>0.98402995941499205</v>
      </c>
      <c r="D5454">
        <v>1.0491334872803699</v>
      </c>
      <c r="E5454">
        <v>1.0378681457686401</v>
      </c>
      <c r="F5454">
        <v>0.70334549604599805</v>
      </c>
      <c r="G5454">
        <v>0.34135546530109501</v>
      </c>
      <c r="H5454">
        <v>0.179769367890871</v>
      </c>
      <c r="I5454">
        <v>0.18111686260590101</v>
      </c>
      <c r="J5454">
        <v>0.16205796200160399</v>
      </c>
      <c r="K5454">
        <v>0.139170396035286</v>
      </c>
      <c r="L5454">
        <v>1765.9686774029001</v>
      </c>
      <c r="M5454">
        <v>32.493667207762101</v>
      </c>
      <c r="N5454">
        <v>55.007955680266299</v>
      </c>
      <c r="O5454">
        <v>54.143483790601898</v>
      </c>
      <c r="P5454">
        <v>-0.12581988789895199</v>
      </c>
      <c r="Q5454">
        <v>0.161400328834855</v>
      </c>
      <c r="R5454">
        <v>0.99127693170148501</v>
      </c>
      <c r="S5454" t="s">
        <v>12070</v>
      </c>
      <c r="T5454" t="s">
        <v>13232</v>
      </c>
      <c r="U5454" t="s">
        <v>13232</v>
      </c>
      <c r="V5454" t="s">
        <v>13232</v>
      </c>
      <c r="W5454" t="s">
        <v>18616</v>
      </c>
      <c r="X5454">
        <v>23</v>
      </c>
      <c r="Y5454" t="s">
        <v>25012</v>
      </c>
      <c r="Z5454" t="s">
        <v>31585</v>
      </c>
      <c r="AA5454">
        <v>0.56721570199266602</v>
      </c>
      <c r="AB5454" t="str">
        <f>HYPERLINK("Melting_Curves/meltCurve_Q9BZE9_ASPSCR1.pdf", "Melting_Curves/meltCurve_Q9BZE9_ASPSCR1.pdf")</f>
        <v>Melting_Curves/meltCurve_Q9BZE9_ASPSCR1.pdf</v>
      </c>
    </row>
    <row r="5455" spans="1:28" x14ac:dyDescent="0.25">
      <c r="A5455" t="s">
        <v>5458</v>
      </c>
      <c r="B5455">
        <v>0.99930955844802105</v>
      </c>
      <c r="C5455">
        <v>0.97172988877863997</v>
      </c>
      <c r="D5455">
        <v>0.79183430003733901</v>
      </c>
      <c r="E5455">
        <v>0.64846946939525596</v>
      </c>
      <c r="F5455">
        <v>0.54443778081368799</v>
      </c>
      <c r="G5455">
        <v>0.52535485658263303</v>
      </c>
      <c r="H5455">
        <v>0.54780644264421596</v>
      </c>
      <c r="I5455">
        <v>0.61661499934209096</v>
      </c>
      <c r="J5455">
        <v>0.61858407548584904</v>
      </c>
      <c r="K5455">
        <v>0.46909248082257898</v>
      </c>
      <c r="L5455">
        <v>1200.02155164797</v>
      </c>
      <c r="M5455">
        <v>25.7964170885123</v>
      </c>
      <c r="O5455">
        <v>46.242072503371702</v>
      </c>
      <c r="P5455">
        <v>-6.2272583181961903E-2</v>
      </c>
      <c r="Q5455">
        <v>0.553491630553402</v>
      </c>
      <c r="R5455">
        <v>0.94004552356800697</v>
      </c>
      <c r="S5455" t="s">
        <v>12071</v>
      </c>
      <c r="T5455" t="s">
        <v>13232</v>
      </c>
      <c r="U5455" t="s">
        <v>13232</v>
      </c>
      <c r="V5455" t="s">
        <v>13232</v>
      </c>
      <c r="W5455" t="s">
        <v>18617</v>
      </c>
      <c r="X5455">
        <v>14</v>
      </c>
      <c r="Y5455" t="s">
        <v>25013</v>
      </c>
      <c r="Z5455" t="s">
        <v>31586</v>
      </c>
      <c r="AA5455">
        <v>0.65427851798405956</v>
      </c>
      <c r="AB5455" t="str">
        <f>HYPERLINK("Melting_Curves/meltCurve_Q9BZF1_3_OSBPL8.pdf", "Melting_Curves/meltCurve_Q9BZF1_3_OSBPL8.pdf")</f>
        <v>Melting_Curves/meltCurve_Q9BZF1_3_OSBPL8.pdf</v>
      </c>
    </row>
    <row r="5456" spans="1:28" x14ac:dyDescent="0.25">
      <c r="A5456" t="s">
        <v>5459</v>
      </c>
      <c r="B5456">
        <v>0.99930955844802105</v>
      </c>
      <c r="C5456">
        <v>1.1018361264001</v>
      </c>
      <c r="D5456">
        <v>0.73003929307946103</v>
      </c>
      <c r="E5456">
        <v>0.52157510174669997</v>
      </c>
      <c r="F5456">
        <v>0.48837412148395098</v>
      </c>
      <c r="G5456">
        <v>0.32861674961610399</v>
      </c>
      <c r="H5456">
        <v>0.34340988583621801</v>
      </c>
      <c r="I5456">
        <v>0.38866895724378098</v>
      </c>
      <c r="J5456">
        <v>0.30829631605028501</v>
      </c>
      <c r="K5456">
        <v>0.24930110027257599</v>
      </c>
      <c r="L5456">
        <v>990.19337464266596</v>
      </c>
      <c r="M5456">
        <v>20.592888546020099</v>
      </c>
      <c r="N5456">
        <v>50.663659649786801</v>
      </c>
      <c r="O5456">
        <v>47.6376660206803</v>
      </c>
      <c r="P5456">
        <v>-7.2975803416420307E-2</v>
      </c>
      <c r="Q5456">
        <v>0.32475760548134402</v>
      </c>
      <c r="R5456">
        <v>0.94268849416553901</v>
      </c>
      <c r="S5456" t="s">
        <v>12072</v>
      </c>
      <c r="T5456" t="s">
        <v>13232</v>
      </c>
      <c r="U5456" t="s">
        <v>13232</v>
      </c>
      <c r="V5456" t="s">
        <v>13232</v>
      </c>
      <c r="W5456" t="s">
        <v>18618</v>
      </c>
      <c r="X5456">
        <v>1</v>
      </c>
      <c r="Y5456" t="s">
        <v>25014</v>
      </c>
      <c r="Z5456" t="s">
        <v>31587</v>
      </c>
      <c r="AA5456">
        <v>0.51572405833775425</v>
      </c>
      <c r="AB5456" t="str">
        <f>HYPERLINK("Melting_Curves/meltCurve_Q9BZF2_OSBPL7.pdf", "Melting_Curves/meltCurve_Q9BZF2_OSBPL7.pdf")</f>
        <v>Melting_Curves/meltCurve_Q9BZF2_OSBPL7.pdf</v>
      </c>
    </row>
    <row r="5457" spans="1:28" x14ac:dyDescent="0.25">
      <c r="A5457" t="s">
        <v>5460</v>
      </c>
      <c r="B5457">
        <v>0.99930955844802105</v>
      </c>
      <c r="C5457">
        <v>0.88318712778203001</v>
      </c>
      <c r="D5457">
        <v>1.0025518451156299</v>
      </c>
      <c r="E5457">
        <v>1.1093148534285</v>
      </c>
      <c r="F5457">
        <v>0.88756145774110995</v>
      </c>
      <c r="G5457">
        <v>0.52224375616739505</v>
      </c>
      <c r="H5457">
        <v>0.20336410002966199</v>
      </c>
      <c r="I5457">
        <v>0.135490825499547</v>
      </c>
      <c r="J5457">
        <v>0.124024842010399</v>
      </c>
      <c r="K5457">
        <v>9.8590894055156794E-2</v>
      </c>
      <c r="L5457">
        <v>1810.6344954427</v>
      </c>
      <c r="M5457">
        <v>31.916210083081399</v>
      </c>
      <c r="N5457">
        <v>57.178418991242097</v>
      </c>
      <c r="O5457">
        <v>56.509552423975997</v>
      </c>
      <c r="P5457">
        <v>-0.12559272066198801</v>
      </c>
      <c r="Q5457">
        <v>0.11052695729203101</v>
      </c>
      <c r="R5457">
        <v>0.98163640860330303</v>
      </c>
      <c r="S5457" t="s">
        <v>12073</v>
      </c>
      <c r="T5457" t="s">
        <v>13232</v>
      </c>
      <c r="U5457" t="s">
        <v>13232</v>
      </c>
      <c r="V5457" t="s">
        <v>13232</v>
      </c>
      <c r="W5457" t="s">
        <v>18619</v>
      </c>
      <c r="X5457">
        <v>17</v>
      </c>
      <c r="Y5457" t="s">
        <v>25015</v>
      </c>
      <c r="Z5457" t="s">
        <v>31588</v>
      </c>
      <c r="AA5457">
        <v>0.6118851923251416</v>
      </c>
      <c r="AB5457" t="str">
        <f>HYPERLINK("Melting_Curves/meltCurve_Q9BZH6_WDR11.pdf", "Melting_Curves/meltCurve_Q9BZH6_WDR11.pdf")</f>
        <v>Melting_Curves/meltCurve_Q9BZH6_WDR11.pdf</v>
      </c>
    </row>
    <row r="5458" spans="1:28" x14ac:dyDescent="0.25">
      <c r="A5458" t="s">
        <v>5461</v>
      </c>
      <c r="B5458">
        <v>0.99930955844802105</v>
      </c>
      <c r="C5458">
        <v>1.0226492428645599</v>
      </c>
      <c r="D5458">
        <v>1.01586794012462</v>
      </c>
      <c r="E5458">
        <v>0.98238390811670695</v>
      </c>
      <c r="F5458">
        <v>0.79046353804567004</v>
      </c>
      <c r="G5458">
        <v>0.659361409043419</v>
      </c>
      <c r="H5458">
        <v>0.71715230940312402</v>
      </c>
      <c r="I5458">
        <v>0.88937579692992697</v>
      </c>
      <c r="J5458">
        <v>0.99905614524165798</v>
      </c>
      <c r="K5458">
        <v>0.75695568534961799</v>
      </c>
      <c r="L5458">
        <v>12616.2942249118</v>
      </c>
      <c r="M5458">
        <v>250</v>
      </c>
      <c r="O5458">
        <v>50.461948280619701</v>
      </c>
      <c r="P5458">
        <v>-0.24515920236873201</v>
      </c>
      <c r="Q5458">
        <v>0.80206062759097796</v>
      </c>
      <c r="R5458">
        <v>0.56295152809646998</v>
      </c>
      <c r="S5458" t="s">
        <v>12074</v>
      </c>
      <c r="T5458" t="s">
        <v>13232</v>
      </c>
      <c r="U5458" t="s">
        <v>13232</v>
      </c>
      <c r="V5458" t="s">
        <v>13232</v>
      </c>
      <c r="W5458" t="s">
        <v>18620</v>
      </c>
      <c r="X5458">
        <v>23</v>
      </c>
      <c r="Y5458" t="s">
        <v>25016</v>
      </c>
      <c r="Z5458" t="s">
        <v>31589</v>
      </c>
      <c r="AA5458">
        <v>0.87112717646578708</v>
      </c>
      <c r="AB5458" t="str">
        <f>HYPERLINK("Melting_Curves/meltCurve_Q9BZI7_2_UPF3B.pdf", "Melting_Curves/meltCurve_Q9BZI7_2_UPF3B.pdf")</f>
        <v>Melting_Curves/meltCurve_Q9BZI7_2_UPF3B.pdf</v>
      </c>
    </row>
    <row r="5459" spans="1:28" x14ac:dyDescent="0.25">
      <c r="A5459" t="s">
        <v>5462</v>
      </c>
      <c r="B5459">
        <v>0.99930955844802105</v>
      </c>
      <c r="C5459">
        <v>1.44220797118475</v>
      </c>
      <c r="D5459">
        <v>1.1862011990096999</v>
      </c>
      <c r="E5459">
        <v>1.07833674581582</v>
      </c>
      <c r="F5459">
        <v>0.97928331410854297</v>
      </c>
      <c r="G5459">
        <v>0.73839105964792096</v>
      </c>
      <c r="H5459">
        <v>0.42130717241110499</v>
      </c>
      <c r="I5459">
        <v>0.28162317231977102</v>
      </c>
      <c r="J5459">
        <v>0.224448947502701</v>
      </c>
      <c r="K5459">
        <v>0.12476999346553901</v>
      </c>
      <c r="L5459">
        <v>1458.0537855596899</v>
      </c>
      <c r="M5459">
        <v>24.633885265937199</v>
      </c>
      <c r="N5459">
        <v>60.038724801263903</v>
      </c>
      <c r="O5459">
        <v>58.803015383272403</v>
      </c>
      <c r="P5459">
        <v>-8.9317078932705504E-2</v>
      </c>
      <c r="Q5459">
        <v>0.14718448051035399</v>
      </c>
      <c r="R5459">
        <v>0.87151776056859198</v>
      </c>
      <c r="S5459" t="s">
        <v>12075</v>
      </c>
      <c r="T5459" t="s">
        <v>13232</v>
      </c>
      <c r="U5459" t="s">
        <v>13232</v>
      </c>
      <c r="V5459" t="s">
        <v>13232</v>
      </c>
      <c r="W5459" t="s">
        <v>18621</v>
      </c>
      <c r="X5459">
        <v>5</v>
      </c>
      <c r="Y5459" t="s">
        <v>25017</v>
      </c>
      <c r="Z5459" t="s">
        <v>31590</v>
      </c>
      <c r="AA5459">
        <v>0.69966978218277454</v>
      </c>
      <c r="AB5459" t="str">
        <f>HYPERLINK("Melting_Curves/meltCurve_Q9BZJ0_2_CRNKL1.pdf", "Melting_Curves/meltCurve_Q9BZJ0_2_CRNKL1.pdf")</f>
        <v>Melting_Curves/meltCurve_Q9BZJ0_2_CRNKL1.pdf</v>
      </c>
    </row>
    <row r="5460" spans="1:28" x14ac:dyDescent="0.25">
      <c r="A5460" t="s">
        <v>5463</v>
      </c>
      <c r="B5460">
        <v>0.99930955844802105</v>
      </c>
      <c r="C5460">
        <v>0.97780352613384502</v>
      </c>
      <c r="D5460">
        <v>1.0000444361462799</v>
      </c>
      <c r="E5460">
        <v>1.0365608956357999</v>
      </c>
      <c r="F5460">
        <v>0.97419903729053203</v>
      </c>
      <c r="G5460">
        <v>0.57014931085474496</v>
      </c>
      <c r="H5460">
        <v>0.24173805569038601</v>
      </c>
      <c r="I5460">
        <v>0.14527615483685899</v>
      </c>
      <c r="J5460">
        <v>9.2669657406110301E-2</v>
      </c>
      <c r="K5460">
        <v>6.8918196542292295E-2</v>
      </c>
      <c r="L5460">
        <v>1781.49686926206</v>
      </c>
      <c r="M5460">
        <v>31.026642749263502</v>
      </c>
      <c r="N5460">
        <v>57.786991384825399</v>
      </c>
      <c r="O5460">
        <v>57.181348058688201</v>
      </c>
      <c r="P5460">
        <v>-0.123470442309526</v>
      </c>
      <c r="Q5460">
        <v>8.9793086357205704E-2</v>
      </c>
      <c r="R5460">
        <v>0.99617860654752899</v>
      </c>
      <c r="S5460" t="s">
        <v>12076</v>
      </c>
      <c r="T5460" t="s">
        <v>13232</v>
      </c>
      <c r="U5460" t="s">
        <v>13232</v>
      </c>
      <c r="V5460" t="s">
        <v>13232</v>
      </c>
      <c r="W5460" t="s">
        <v>18622</v>
      </c>
      <c r="X5460">
        <v>20</v>
      </c>
      <c r="Y5460" t="s">
        <v>25018</v>
      </c>
      <c r="Z5460" t="s">
        <v>31591</v>
      </c>
      <c r="AA5460">
        <v>0.62396656030119813</v>
      </c>
      <c r="AB5460" t="str">
        <f>HYPERLINK("Melting_Curves/meltCurve_Q9BZK7_TBL1XR1.pdf", "Melting_Curves/meltCurve_Q9BZK7_TBL1XR1.pdf")</f>
        <v>Melting_Curves/meltCurve_Q9BZK7_TBL1XR1.pdf</v>
      </c>
    </row>
    <row r="5461" spans="1:28" x14ac:dyDescent="0.25">
      <c r="A5461" t="s">
        <v>5464</v>
      </c>
      <c r="B5461">
        <v>0.99930955844802105</v>
      </c>
      <c r="C5461">
        <v>1.4585115633376</v>
      </c>
      <c r="D5461">
        <v>1.3788488458242201</v>
      </c>
      <c r="E5461">
        <v>1.07223979633514</v>
      </c>
      <c r="F5461">
        <v>0.60025563842632501</v>
      </c>
      <c r="G5461">
        <v>0.31987065981968399</v>
      </c>
      <c r="H5461">
        <v>0.19997053028365</v>
      </c>
      <c r="I5461">
        <v>0.17944553210556299</v>
      </c>
      <c r="J5461">
        <v>0.167267947340308</v>
      </c>
      <c r="K5461">
        <v>0.13079804345818</v>
      </c>
      <c r="L5461">
        <v>13250.137835033</v>
      </c>
      <c r="M5461">
        <v>250</v>
      </c>
      <c r="N5461">
        <v>53.108694222972197</v>
      </c>
      <c r="O5461">
        <v>52.997159610739097</v>
      </c>
      <c r="P5461">
        <v>-0.94407119300527098</v>
      </c>
      <c r="Q5461">
        <v>0.199470533055115</v>
      </c>
      <c r="R5461">
        <v>0.84954590168363697</v>
      </c>
      <c r="S5461" t="s">
        <v>12077</v>
      </c>
      <c r="T5461" t="s">
        <v>13232</v>
      </c>
      <c r="U5461" t="s">
        <v>13232</v>
      </c>
      <c r="V5461" t="s">
        <v>13232</v>
      </c>
      <c r="W5461" t="s">
        <v>18623</v>
      </c>
      <c r="X5461">
        <v>4</v>
      </c>
      <c r="Y5461" t="s">
        <v>25019</v>
      </c>
      <c r="Z5461" t="s">
        <v>31592</v>
      </c>
      <c r="AA5461">
        <v>0.54645580889459255</v>
      </c>
      <c r="AB5461" t="str">
        <f>HYPERLINK("Melting_Curves/meltCurve_Q9BZL1_UBL5.pdf", "Melting_Curves/meltCurve_Q9BZL1_UBL5.pdf")</f>
        <v>Melting_Curves/meltCurve_Q9BZL1_UBL5.pdf</v>
      </c>
    </row>
    <row r="5462" spans="1:28" x14ac:dyDescent="0.25">
      <c r="A5462" t="s">
        <v>5465</v>
      </c>
      <c r="B5462">
        <v>0.99930955844802105</v>
      </c>
      <c r="C5462">
        <v>1.10889511497492</v>
      </c>
      <c r="D5462">
        <v>1.07177159327232</v>
      </c>
      <c r="E5462">
        <v>1.07346449326049</v>
      </c>
      <c r="F5462">
        <v>1.0034500212280799</v>
      </c>
      <c r="G5462">
        <v>0.94824840775786701</v>
      </c>
      <c r="H5462">
        <v>1.13436681111891</v>
      </c>
      <c r="I5462">
        <v>1.3178807017574099</v>
      </c>
      <c r="J5462">
        <v>1.44271505017095</v>
      </c>
      <c r="K5462">
        <v>1.0950502996029601</v>
      </c>
      <c r="L5462">
        <v>15000</v>
      </c>
      <c r="M5462">
        <v>245.78595219351101</v>
      </c>
      <c r="O5462">
        <v>61.024671889478697</v>
      </c>
      <c r="P5462">
        <v>0.28718753617008203</v>
      </c>
      <c r="Q5462">
        <v>1.2852160552604599</v>
      </c>
      <c r="R5462">
        <v>0.57782695079819801</v>
      </c>
      <c r="S5462" t="s">
        <v>12078</v>
      </c>
      <c r="T5462" t="s">
        <v>13232</v>
      </c>
      <c r="U5462" t="s">
        <v>13232</v>
      </c>
      <c r="V5462" t="s">
        <v>13232</v>
      </c>
      <c r="W5462" t="s">
        <v>18624</v>
      </c>
      <c r="X5462">
        <v>27</v>
      </c>
      <c r="Y5462" t="s">
        <v>20701</v>
      </c>
      <c r="Z5462" t="s">
        <v>31593</v>
      </c>
      <c r="AA5462">
        <v>1.085260244655804</v>
      </c>
      <c r="AB5462" t="str">
        <f>HYPERLINK("Melting_Curves/meltCurve_Q9BZL4_PPP1R12C.pdf", "Melting_Curves/meltCurve_Q9BZL4_PPP1R12C.pdf")</f>
        <v>Melting_Curves/meltCurve_Q9BZL4_PPP1R12C.pdf</v>
      </c>
    </row>
    <row r="5463" spans="1:28" x14ac:dyDescent="0.25">
      <c r="A5463" t="s">
        <v>5466</v>
      </c>
      <c r="B5463">
        <v>0.99930955844802105</v>
      </c>
      <c r="C5463">
        <v>0.74283172231219896</v>
      </c>
      <c r="D5463">
        <v>0.45386627775671001</v>
      </c>
      <c r="E5463">
        <v>0.280410552024349</v>
      </c>
      <c r="F5463">
        <v>0.15571201823734801</v>
      </c>
      <c r="G5463">
        <v>0.10412329980624201</v>
      </c>
      <c r="H5463">
        <v>6.8272633620170206E-2</v>
      </c>
      <c r="I5463">
        <v>5.7496351933689703E-2</v>
      </c>
      <c r="J5463">
        <v>3.8410416810517503E-2</v>
      </c>
      <c r="K5463">
        <v>3.2462126229669298E-2</v>
      </c>
      <c r="L5463">
        <v>751.02982692762498</v>
      </c>
      <c r="M5463">
        <v>16.429601606500601</v>
      </c>
      <c r="N5463">
        <v>46.017349838489501</v>
      </c>
      <c r="O5463">
        <v>45.050898892875402</v>
      </c>
      <c r="P5463">
        <v>-8.6470026431981206E-2</v>
      </c>
      <c r="Q5463">
        <v>5.1644682349814099E-2</v>
      </c>
      <c r="R5463">
        <v>0.98781417485722001</v>
      </c>
      <c r="S5463" t="s">
        <v>12079</v>
      </c>
      <c r="T5463" t="s">
        <v>13232</v>
      </c>
      <c r="U5463" t="s">
        <v>13232</v>
      </c>
      <c r="V5463" t="s">
        <v>13232</v>
      </c>
      <c r="W5463" t="s">
        <v>18625</v>
      </c>
      <c r="X5463">
        <v>6</v>
      </c>
      <c r="Y5463" t="s">
        <v>25020</v>
      </c>
      <c r="Z5463" t="s">
        <v>31594</v>
      </c>
      <c r="AA5463">
        <v>0.25555898771918367</v>
      </c>
      <c r="AB5463" t="str">
        <f>HYPERLINK("Melting_Curves/meltCurve_Q9BZL6_PRKD2.pdf", "Melting_Curves/meltCurve_Q9BZL6_PRKD2.pdf")</f>
        <v>Melting_Curves/meltCurve_Q9BZL6_PRKD2.pdf</v>
      </c>
    </row>
    <row r="5464" spans="1:28" x14ac:dyDescent="0.25">
      <c r="A5464" t="s">
        <v>5467</v>
      </c>
      <c r="B5464">
        <v>0.99930955844802105</v>
      </c>
      <c r="C5464">
        <v>1.0301001919927699</v>
      </c>
      <c r="D5464">
        <v>1.0539382791843901</v>
      </c>
      <c r="E5464">
        <v>1.0301530817747</v>
      </c>
      <c r="F5464">
        <v>0.787936211170988</v>
      </c>
      <c r="G5464">
        <v>0.65908496911556502</v>
      </c>
      <c r="H5464">
        <v>0.54505658412941804</v>
      </c>
      <c r="I5464">
        <v>0.45316617574957402</v>
      </c>
      <c r="J5464">
        <v>0.38248843332050397</v>
      </c>
      <c r="K5464">
        <v>0.30008682545927301</v>
      </c>
      <c r="L5464">
        <v>855.08723697140204</v>
      </c>
      <c r="M5464">
        <v>14.7455207759965</v>
      </c>
      <c r="N5464">
        <v>61.484056751202999</v>
      </c>
      <c r="O5464">
        <v>56.954407198270701</v>
      </c>
      <c r="P5464">
        <v>-4.6365976812460401E-2</v>
      </c>
      <c r="Q5464">
        <v>0.28372516041465301</v>
      </c>
      <c r="R5464">
        <v>0.97069192062658305</v>
      </c>
      <c r="S5464" t="s">
        <v>12080</v>
      </c>
      <c r="T5464" t="s">
        <v>13232</v>
      </c>
      <c r="U5464" t="s">
        <v>13232</v>
      </c>
      <c r="V5464" t="s">
        <v>13232</v>
      </c>
      <c r="W5464" t="s">
        <v>18626</v>
      </c>
      <c r="X5464">
        <v>2</v>
      </c>
      <c r="Y5464" t="s">
        <v>25021</v>
      </c>
      <c r="Z5464" t="s">
        <v>31595</v>
      </c>
      <c r="AA5464">
        <v>0.72290787619781516</v>
      </c>
      <c r="AB5464" t="str">
        <f>HYPERLINK("Melting_Curves/meltCurve_Q9BZM1_PLA2G12A.pdf", "Melting_Curves/meltCurve_Q9BZM1_PLA2G12A.pdf")</f>
        <v>Melting_Curves/meltCurve_Q9BZM1_PLA2G12A.pdf</v>
      </c>
    </row>
    <row r="5465" spans="1:28" x14ac:dyDescent="0.25">
      <c r="A5465" t="s">
        <v>5468</v>
      </c>
      <c r="B5465">
        <v>0.99930955844802105</v>
      </c>
      <c r="C5465">
        <v>1.0798622363657799</v>
      </c>
      <c r="D5465">
        <v>0.87006706883523099</v>
      </c>
      <c r="E5465">
        <v>0.40494860190419502</v>
      </c>
      <c r="F5465">
        <v>0.222194901490855</v>
      </c>
      <c r="G5465">
        <v>0.155814096467629</v>
      </c>
      <c r="H5465">
        <v>0.12345019779291901</v>
      </c>
      <c r="I5465">
        <v>0.12068628152696299</v>
      </c>
      <c r="J5465">
        <v>0.122626632199501</v>
      </c>
      <c r="K5465">
        <v>9.2762200661183999E-2</v>
      </c>
      <c r="L5465">
        <v>1458.6261235649199</v>
      </c>
      <c r="M5465">
        <v>29.86405754139</v>
      </c>
      <c r="N5465">
        <v>49.306954376254701</v>
      </c>
      <c r="O5465">
        <v>48.624786245953302</v>
      </c>
      <c r="P5465">
        <v>-0.13470875698856799</v>
      </c>
      <c r="Q5465">
        <v>0.12267277169164501</v>
      </c>
      <c r="R5465">
        <v>0.99254350222450904</v>
      </c>
      <c r="S5465" t="s">
        <v>12081</v>
      </c>
      <c r="T5465" t="s">
        <v>13232</v>
      </c>
      <c r="U5465" t="s">
        <v>13232</v>
      </c>
      <c r="V5465" t="s">
        <v>13232</v>
      </c>
      <c r="W5465" t="s">
        <v>18627</v>
      </c>
      <c r="X5465">
        <v>18</v>
      </c>
      <c r="Y5465" t="s">
        <v>25022</v>
      </c>
      <c r="Z5465" t="s">
        <v>31596</v>
      </c>
      <c r="AA5465">
        <v>0.38663778543090949</v>
      </c>
      <c r="AB5465" t="str">
        <f>HYPERLINK("Melting_Curves/meltCurve_Q9BZQ8_FAM129A.pdf", "Melting_Curves/meltCurve_Q9BZQ8_FAM129A.pdf")</f>
        <v>Melting_Curves/meltCurve_Q9BZQ8_FAM129A.pdf</v>
      </c>
    </row>
    <row r="5466" spans="1:28" x14ac:dyDescent="0.25">
      <c r="A5466" t="s">
        <v>5469</v>
      </c>
      <c r="B5466">
        <v>0.99930955844802105</v>
      </c>
      <c r="C5466">
        <v>0.73221906589813002</v>
      </c>
      <c r="D5466">
        <v>0.54822331303189398</v>
      </c>
      <c r="E5466">
        <v>0.43904096663851699</v>
      </c>
      <c r="F5466">
        <v>0.345257591885338</v>
      </c>
      <c r="G5466">
        <v>0.27602862844285497</v>
      </c>
      <c r="H5466">
        <v>0.223479447508204</v>
      </c>
      <c r="I5466">
        <v>0.21513185696703399</v>
      </c>
      <c r="J5466">
        <v>0.20288276017237999</v>
      </c>
      <c r="K5466">
        <v>0.164624167605361</v>
      </c>
      <c r="L5466">
        <v>587.75748025130804</v>
      </c>
      <c r="M5466">
        <v>12.752279270048</v>
      </c>
      <c r="N5466">
        <v>47.893872930858898</v>
      </c>
      <c r="O5466">
        <v>45.0011015064036</v>
      </c>
      <c r="P5466">
        <v>-5.7347349972139201E-2</v>
      </c>
      <c r="Q5466">
        <v>0.190669691868144</v>
      </c>
      <c r="R5466">
        <v>0.97314325405772195</v>
      </c>
      <c r="S5466" t="s">
        <v>12082</v>
      </c>
      <c r="T5466" t="s">
        <v>13232</v>
      </c>
      <c r="U5466" t="s">
        <v>13232</v>
      </c>
      <c r="V5466" t="s">
        <v>13232</v>
      </c>
      <c r="W5466" t="s">
        <v>18628</v>
      </c>
      <c r="X5466">
        <v>13</v>
      </c>
      <c r="Y5466" t="s">
        <v>25023</v>
      </c>
      <c r="Z5466" t="s">
        <v>31597</v>
      </c>
      <c r="AA5466">
        <v>0.38753767592876481</v>
      </c>
      <c r="AB5466" t="str">
        <f>HYPERLINK("Melting_Curves/meltCurve_Q9BZV1_UBXN6.pdf", "Melting_Curves/meltCurve_Q9BZV1_UBXN6.pdf")</f>
        <v>Melting_Curves/meltCurve_Q9BZV1_UBXN6.pdf</v>
      </c>
    </row>
    <row r="5467" spans="1:28" x14ac:dyDescent="0.25">
      <c r="A5467" t="s">
        <v>5470</v>
      </c>
      <c r="B5467">
        <v>0.99930955844802105</v>
      </c>
      <c r="C5467">
        <v>0.74200628682843395</v>
      </c>
      <c r="D5467">
        <v>0.54661560318101199</v>
      </c>
      <c r="E5467">
        <v>0.38036124979355801</v>
      </c>
      <c r="F5467">
        <v>0.245452521306461</v>
      </c>
      <c r="G5467">
        <v>0.17795695648010301</v>
      </c>
      <c r="H5467">
        <v>0.107912978800213</v>
      </c>
      <c r="I5467">
        <v>8.4003190174003595E-2</v>
      </c>
      <c r="J5467">
        <v>6.8322461162805298E-2</v>
      </c>
      <c r="K5467">
        <v>5.0420487976424601E-2</v>
      </c>
      <c r="L5467">
        <v>585.27164274966697</v>
      </c>
      <c r="M5467">
        <v>12.460415550910099</v>
      </c>
      <c r="N5467">
        <v>47.411425843592298</v>
      </c>
      <c r="O5467">
        <v>45.809917149587498</v>
      </c>
      <c r="P5467">
        <v>-6.42935701158176E-2</v>
      </c>
      <c r="Q5467">
        <v>5.4712611125418698E-2</v>
      </c>
      <c r="R5467">
        <v>0.98507943461888603</v>
      </c>
      <c r="S5467" t="s">
        <v>12083</v>
      </c>
      <c r="T5467" t="s">
        <v>13232</v>
      </c>
      <c r="U5467" t="s">
        <v>13232</v>
      </c>
      <c r="V5467" t="s">
        <v>13232</v>
      </c>
      <c r="W5467" t="s">
        <v>18629</v>
      </c>
      <c r="X5467">
        <v>7</v>
      </c>
      <c r="Y5467" t="s">
        <v>25024</v>
      </c>
      <c r="Z5467" t="s">
        <v>31598</v>
      </c>
      <c r="AA5467">
        <v>0.31144155652704819</v>
      </c>
      <c r="AB5467" t="str">
        <f>HYPERLINK("Melting_Curves/meltCurve_Q9BZX2_UCK2.pdf", "Melting_Curves/meltCurve_Q9BZX2_UCK2.pdf")</f>
        <v>Melting_Curves/meltCurve_Q9BZX2_UCK2.pdf</v>
      </c>
    </row>
    <row r="5468" spans="1:28" x14ac:dyDescent="0.25">
      <c r="A5468" t="s">
        <v>5471</v>
      </c>
      <c r="B5468">
        <v>0.99930955844802105</v>
      </c>
      <c r="C5468">
        <v>1.0649014001339301</v>
      </c>
      <c r="D5468">
        <v>1.0878490790386599</v>
      </c>
      <c r="E5468">
        <v>1.0360258109162901</v>
      </c>
      <c r="F5468">
        <v>0.83011970981486904</v>
      </c>
      <c r="G5468">
        <v>0.22852724920582601</v>
      </c>
      <c r="H5468">
        <v>0.10861377191480499</v>
      </c>
      <c r="I5468">
        <v>8.9928830149035799E-2</v>
      </c>
      <c r="J5468">
        <v>8.0481863813158999E-2</v>
      </c>
      <c r="K5468">
        <v>5.9697669690016303E-2</v>
      </c>
      <c r="L5468">
        <v>2425.2348201662599</v>
      </c>
      <c r="M5468">
        <v>44.221116441624801</v>
      </c>
      <c r="N5468">
        <v>55.065576966097403</v>
      </c>
      <c r="O5468">
        <v>54.731567770227898</v>
      </c>
      <c r="P5468">
        <v>-0.18548569143218299</v>
      </c>
      <c r="Q5468">
        <v>8.1714022754790699E-2</v>
      </c>
      <c r="R5468">
        <v>0.99256206120811596</v>
      </c>
      <c r="S5468" t="s">
        <v>12084</v>
      </c>
      <c r="T5468" t="s">
        <v>13232</v>
      </c>
      <c r="U5468" t="s">
        <v>13232</v>
      </c>
      <c r="V5468" t="s">
        <v>13232</v>
      </c>
      <c r="W5468" t="s">
        <v>18630</v>
      </c>
      <c r="X5468">
        <v>30</v>
      </c>
      <c r="Y5468" t="s">
        <v>25025</v>
      </c>
      <c r="Z5468" t="s">
        <v>31599</v>
      </c>
      <c r="AA5468">
        <v>0.53890242766955432</v>
      </c>
      <c r="AB5468" t="str">
        <f>HYPERLINK("Melting_Curves/meltCurve_Q9BZZ5_2_API5.pdf", "Melting_Curves/meltCurve_Q9BZZ5_2_API5.pdf")</f>
        <v>Melting_Curves/meltCurve_Q9BZZ5_2_API5.pdf</v>
      </c>
    </row>
    <row r="5469" spans="1:28" x14ac:dyDescent="0.25">
      <c r="A5469" t="s">
        <v>5472</v>
      </c>
      <c r="B5469">
        <v>0.99930955844802105</v>
      </c>
      <c r="C5469">
        <v>1.1796863876711401</v>
      </c>
      <c r="D5469">
        <v>1.05522181149197</v>
      </c>
      <c r="E5469">
        <v>0.91693105391232199</v>
      </c>
      <c r="F5469">
        <v>0.64284841450497998</v>
      </c>
      <c r="G5469">
        <v>0.54069929877941603</v>
      </c>
      <c r="H5469">
        <v>0.49031046825386698</v>
      </c>
      <c r="I5469">
        <v>0.56435242463850299</v>
      </c>
      <c r="J5469">
        <v>0.55479786914392304</v>
      </c>
      <c r="K5469">
        <v>0.45959190271675499</v>
      </c>
      <c r="L5469">
        <v>2357.6370663841499</v>
      </c>
      <c r="M5469">
        <v>45.552158489290001</v>
      </c>
      <c r="O5469">
        <v>51.657415419212597</v>
      </c>
      <c r="P5469">
        <v>-0.10574996021812701</v>
      </c>
      <c r="Q5469">
        <v>0.52030700091437498</v>
      </c>
      <c r="R5469">
        <v>0.93279493196451901</v>
      </c>
      <c r="S5469" t="s">
        <v>12085</v>
      </c>
      <c r="T5469" t="s">
        <v>13232</v>
      </c>
      <c r="U5469" t="s">
        <v>13232</v>
      </c>
      <c r="V5469" t="s">
        <v>13232</v>
      </c>
      <c r="W5469" t="s">
        <v>18631</v>
      </c>
      <c r="X5469">
        <v>4</v>
      </c>
      <c r="Y5469" t="s">
        <v>25026</v>
      </c>
      <c r="Z5469" t="s">
        <v>31600</v>
      </c>
      <c r="AA5469">
        <v>0.70961733359470058</v>
      </c>
      <c r="AB5469" t="str">
        <f>HYPERLINK("Melting_Curves/meltCurve_Q9C004_2_SPRY4.pdf", "Melting_Curves/meltCurve_Q9C004_2_SPRY4.pdf")</f>
        <v>Melting_Curves/meltCurve_Q9C004_2_SPRY4.pdf</v>
      </c>
    </row>
    <row r="5470" spans="1:28" x14ac:dyDescent="0.25">
      <c r="A5470" t="s">
        <v>5473</v>
      </c>
      <c r="B5470">
        <v>0.99930955844802105</v>
      </c>
      <c r="C5470">
        <v>0.92906751663565501</v>
      </c>
      <c r="D5470">
        <v>0.90577404179932297</v>
      </c>
      <c r="E5470">
        <v>0.73653324285156196</v>
      </c>
      <c r="F5470">
        <v>0.64268070970052005</v>
      </c>
      <c r="G5470">
        <v>0.59054202243731202</v>
      </c>
      <c r="H5470">
        <v>0.48856345631676401</v>
      </c>
      <c r="I5470">
        <v>0.53530120714484097</v>
      </c>
      <c r="J5470">
        <v>0.50443076096927097</v>
      </c>
      <c r="K5470">
        <v>0.37210754957754899</v>
      </c>
      <c r="L5470">
        <v>554.98219154630499</v>
      </c>
      <c r="M5470">
        <v>10.757064440613</v>
      </c>
      <c r="N5470">
        <v>61.795079187856203</v>
      </c>
      <c r="O5470">
        <v>49.9052900084424</v>
      </c>
      <c r="P5470">
        <v>-3.1516977914474401E-2</v>
      </c>
      <c r="Q5470">
        <v>0.41534761586352797</v>
      </c>
      <c r="R5470">
        <v>0.96546417895380598</v>
      </c>
      <c r="S5470" t="s">
        <v>12086</v>
      </c>
      <c r="T5470" t="s">
        <v>13232</v>
      </c>
      <c r="U5470" t="s">
        <v>13232</v>
      </c>
      <c r="V5470" t="s">
        <v>13232</v>
      </c>
      <c r="W5470" t="s">
        <v>18632</v>
      </c>
      <c r="X5470">
        <v>5</v>
      </c>
      <c r="Y5470" t="s">
        <v>25027</v>
      </c>
      <c r="Z5470" t="s">
        <v>31601</v>
      </c>
      <c r="AA5470">
        <v>0.66241599693504205</v>
      </c>
      <c r="AB5470" t="str">
        <f>HYPERLINK("Melting_Curves/meltCurve_Q9C005_DPY30.pdf", "Melting_Curves/meltCurve_Q9C005_DPY30.pdf")</f>
        <v>Melting_Curves/meltCurve_Q9C005_DPY30.pdf</v>
      </c>
    </row>
    <row r="5471" spans="1:28" x14ac:dyDescent="0.25">
      <c r="A5471" t="s">
        <v>5474</v>
      </c>
      <c r="B5471">
        <v>0.99930955844802105</v>
      </c>
      <c r="C5471">
        <v>1.34612067348076</v>
      </c>
      <c r="D5471">
        <v>1.20512010794146</v>
      </c>
      <c r="E5471">
        <v>1.4034022138408699</v>
      </c>
      <c r="F5471">
        <v>1.44539138212826</v>
      </c>
      <c r="G5471">
        <v>1.45807571951393</v>
      </c>
      <c r="H5471">
        <v>1.32685504307651</v>
      </c>
      <c r="I5471">
        <v>1.4759919414348299</v>
      </c>
      <c r="J5471">
        <v>1.5002910361987101</v>
      </c>
      <c r="K5471">
        <v>1.2419924023714199</v>
      </c>
      <c r="L5471">
        <v>4319.6132612041501</v>
      </c>
      <c r="M5471">
        <v>102.937013303512</v>
      </c>
      <c r="O5471">
        <v>41.947826262537497</v>
      </c>
      <c r="P5471">
        <v>0.23447252314456599</v>
      </c>
      <c r="Q5471">
        <v>1.38219921713969</v>
      </c>
      <c r="R5471">
        <v>0.59962718453947805</v>
      </c>
      <c r="S5471" t="s">
        <v>12087</v>
      </c>
      <c r="T5471" t="s">
        <v>13232</v>
      </c>
      <c r="U5471" t="s">
        <v>13232</v>
      </c>
      <c r="V5471" t="s">
        <v>13232</v>
      </c>
      <c r="W5471" t="s">
        <v>18633</v>
      </c>
      <c r="X5471">
        <v>3</v>
      </c>
      <c r="Y5471" t="s">
        <v>25028</v>
      </c>
      <c r="Z5471" t="s">
        <v>31602</v>
      </c>
      <c r="AA5471">
        <v>1.356986598123002</v>
      </c>
      <c r="AB5471" t="str">
        <f>HYPERLINK("Melting_Curves/meltCurve_Q9C010_PKIB.pdf", "Melting_Curves/meltCurve_Q9C010_PKIB.pdf")</f>
        <v>Melting_Curves/meltCurve_Q9C010_PKIB.pdf</v>
      </c>
    </row>
    <row r="5472" spans="1:28" x14ac:dyDescent="0.25">
      <c r="A5472" t="s">
        <v>5475</v>
      </c>
      <c r="B5472">
        <v>0.99930955844802105</v>
      </c>
      <c r="C5472">
        <v>1.06916123924957</v>
      </c>
      <c r="D5472">
        <v>1.0531249106673799</v>
      </c>
      <c r="E5472">
        <v>0.98939620583353105</v>
      </c>
      <c r="F5472">
        <v>0.85659957142093701</v>
      </c>
      <c r="G5472">
        <v>0.70732077706554897</v>
      </c>
      <c r="H5472">
        <v>0.615947569931657</v>
      </c>
      <c r="I5472">
        <v>0.60044598667090399</v>
      </c>
      <c r="J5472">
        <v>0.50437496691019201</v>
      </c>
      <c r="K5472">
        <v>0.40183580588745699</v>
      </c>
      <c r="L5472">
        <v>788.91011748565995</v>
      </c>
      <c r="M5472">
        <v>13.4587303312272</v>
      </c>
      <c r="N5472">
        <v>66.055359979758904</v>
      </c>
      <c r="O5472">
        <v>57.3682754685492</v>
      </c>
      <c r="P5472">
        <v>-3.5773116614176703E-2</v>
      </c>
      <c r="Q5472">
        <v>0.39015792370388402</v>
      </c>
      <c r="R5472">
        <v>0.96055747381207801</v>
      </c>
      <c r="S5472" t="s">
        <v>12088</v>
      </c>
      <c r="T5472" t="s">
        <v>13232</v>
      </c>
      <c r="U5472" t="s">
        <v>13232</v>
      </c>
      <c r="V5472" t="s">
        <v>13232</v>
      </c>
      <c r="W5472" t="s">
        <v>18634</v>
      </c>
      <c r="X5472">
        <v>11</v>
      </c>
      <c r="Y5472" t="s">
        <v>25029</v>
      </c>
      <c r="Z5472" t="s">
        <v>31603</v>
      </c>
      <c r="AA5472">
        <v>0.77540553643019017</v>
      </c>
      <c r="AB5472" t="str">
        <f>HYPERLINK("Melting_Curves/meltCurve_Q9C073_FAM117A.pdf", "Melting_Curves/meltCurve_Q9C073_FAM117A.pdf")</f>
        <v>Melting_Curves/meltCurve_Q9C073_FAM117A.pdf</v>
      </c>
    </row>
    <row r="5473" spans="1:28" x14ac:dyDescent="0.25">
      <c r="A5473" t="s">
        <v>5476</v>
      </c>
      <c r="B5473">
        <v>0.99930955844802105</v>
      </c>
      <c r="C5473">
        <v>1.1123134287138099</v>
      </c>
      <c r="D5473">
        <v>1.0640409510540001</v>
      </c>
      <c r="E5473">
        <v>1.0662763913861899</v>
      </c>
      <c r="F5473">
        <v>0.922731254043611</v>
      </c>
      <c r="G5473">
        <v>0.61328041869018701</v>
      </c>
      <c r="H5473">
        <v>0.36215547948975202</v>
      </c>
      <c r="I5473">
        <v>0.36712098674021798</v>
      </c>
      <c r="J5473">
        <v>0.36959215127832501</v>
      </c>
      <c r="K5473">
        <v>0.27979201732980002</v>
      </c>
      <c r="L5473">
        <v>2007.26083958667</v>
      </c>
      <c r="M5473">
        <v>35.554332638870399</v>
      </c>
      <c r="N5473">
        <v>58.230885134143399</v>
      </c>
      <c r="O5473">
        <v>56.278448868986601</v>
      </c>
      <c r="P5473">
        <v>-0.105690885969165</v>
      </c>
      <c r="Q5473">
        <v>0.33081583013779498</v>
      </c>
      <c r="R5473">
        <v>0.97504648590051402</v>
      </c>
      <c r="S5473" t="s">
        <v>12089</v>
      </c>
      <c r="T5473" t="s">
        <v>13232</v>
      </c>
      <c r="U5473" t="s">
        <v>13232</v>
      </c>
      <c r="V5473" t="s">
        <v>13232</v>
      </c>
      <c r="W5473" t="s">
        <v>18635</v>
      </c>
      <c r="X5473">
        <v>6</v>
      </c>
      <c r="Y5473" t="s">
        <v>25030</v>
      </c>
      <c r="Z5473" t="s">
        <v>31604</v>
      </c>
      <c r="AA5473">
        <v>0.7011428327429996</v>
      </c>
      <c r="AB5473" t="str">
        <f>HYPERLINK("Melting_Curves/meltCurve_Q9C099_2_LRRCC1.pdf", "Melting_Curves/meltCurve_Q9C099_2_LRRCC1.pdf")</f>
        <v>Melting_Curves/meltCurve_Q9C099_2_LRRCC1.pdf</v>
      </c>
    </row>
    <row r="5474" spans="1:28" x14ac:dyDescent="0.25">
      <c r="A5474" t="s">
        <v>5477</v>
      </c>
      <c r="B5474">
        <v>0.99930955844802105</v>
      </c>
      <c r="C5474">
        <v>1.0454806402691801</v>
      </c>
      <c r="D5474">
        <v>1.0158775845600401</v>
      </c>
      <c r="E5474">
        <v>0.92214371336655998</v>
      </c>
      <c r="F5474">
        <v>0.71433154945400601</v>
      </c>
      <c r="G5474">
        <v>0.55860848881888603</v>
      </c>
      <c r="H5474">
        <v>0.46995357624077599</v>
      </c>
      <c r="I5474">
        <v>0.49289177554946401</v>
      </c>
      <c r="J5474">
        <v>0.48749452474417199</v>
      </c>
      <c r="K5474">
        <v>0.39860699721628001</v>
      </c>
      <c r="L5474">
        <v>1359.97350368309</v>
      </c>
      <c r="M5474">
        <v>25.6083297380526</v>
      </c>
      <c r="N5474">
        <v>58.754934673368702</v>
      </c>
      <c r="O5474">
        <v>52.786013376156802</v>
      </c>
      <c r="P5474">
        <v>-6.5814323055051902E-2</v>
      </c>
      <c r="Q5474">
        <v>0.45735886531033199</v>
      </c>
      <c r="R5474">
        <v>0.98497529211999102</v>
      </c>
      <c r="S5474" t="s">
        <v>12090</v>
      </c>
      <c r="T5474" t="s">
        <v>13232</v>
      </c>
      <c r="U5474" t="s">
        <v>13232</v>
      </c>
      <c r="V5474" t="s">
        <v>13232</v>
      </c>
      <c r="W5474" t="s">
        <v>18636</v>
      </c>
      <c r="X5474">
        <v>19</v>
      </c>
      <c r="Y5474" t="s">
        <v>25031</v>
      </c>
      <c r="Z5474" t="s">
        <v>31605</v>
      </c>
      <c r="AA5474">
        <v>0.69921209275885965</v>
      </c>
      <c r="AB5474" t="str">
        <f>HYPERLINK("Melting_Curves/meltCurve_Q9C0B0_UNK.pdf", "Melting_Curves/meltCurve_Q9C0B0_UNK.pdf")</f>
        <v>Melting_Curves/meltCurve_Q9C0B0_UNK.pdf</v>
      </c>
    </row>
    <row r="5475" spans="1:28" x14ac:dyDescent="0.25">
      <c r="A5475" t="s">
        <v>5478</v>
      </c>
      <c r="B5475">
        <v>0.99930955844802105</v>
      </c>
      <c r="C5475">
        <v>1.0699889144263499</v>
      </c>
      <c r="D5475">
        <v>1.00041136343644</v>
      </c>
      <c r="E5475">
        <v>0.69781033924729896</v>
      </c>
      <c r="F5475">
        <v>0.35683433307884499</v>
      </c>
      <c r="G5475">
        <v>0.25252772649509803</v>
      </c>
      <c r="H5475">
        <v>0.165446390505671</v>
      </c>
      <c r="I5475">
        <v>0.14385972379254999</v>
      </c>
      <c r="J5475">
        <v>0.130520961406321</v>
      </c>
      <c r="K5475">
        <v>9.2408537662686294E-2</v>
      </c>
      <c r="L5475">
        <v>1416.6578766712501</v>
      </c>
      <c r="M5475">
        <v>27.6947160805951</v>
      </c>
      <c r="N5475">
        <v>51.770842077438203</v>
      </c>
      <c r="O5475">
        <v>50.888169124920303</v>
      </c>
      <c r="P5475">
        <v>-0.116902010427056</v>
      </c>
      <c r="Q5475">
        <v>0.14079264097951399</v>
      </c>
      <c r="R5475">
        <v>0.99041375569948797</v>
      </c>
      <c r="S5475" t="s">
        <v>12091</v>
      </c>
      <c r="T5475" t="s">
        <v>13232</v>
      </c>
      <c r="U5475" t="s">
        <v>13232</v>
      </c>
      <c r="V5475" t="s">
        <v>13232</v>
      </c>
      <c r="W5475" t="s">
        <v>18637</v>
      </c>
      <c r="X5475">
        <v>24</v>
      </c>
      <c r="Y5475" t="s">
        <v>25032</v>
      </c>
      <c r="Z5475" t="s">
        <v>31606</v>
      </c>
      <c r="AA5475">
        <v>0.46655879677433898</v>
      </c>
      <c r="AB5475" t="str">
        <f>HYPERLINK("Melting_Curves/meltCurve_Q9C0B1_FTO.pdf", "Melting_Curves/meltCurve_Q9C0B1_FTO.pdf")</f>
        <v>Melting_Curves/meltCurve_Q9C0B1_FTO.pdf</v>
      </c>
    </row>
    <row r="5476" spans="1:28" x14ac:dyDescent="0.25">
      <c r="A5476" t="s">
        <v>5479</v>
      </c>
      <c r="B5476">
        <v>0.99930955844802105</v>
      </c>
      <c r="C5476">
        <v>1.08850025418969</v>
      </c>
      <c r="D5476">
        <v>1.09635691966863</v>
      </c>
      <c r="E5476">
        <v>1.0591929295929099</v>
      </c>
      <c r="F5476">
        <v>1.01966502982402</v>
      </c>
      <c r="G5476">
        <v>0.90498248345969701</v>
      </c>
      <c r="H5476">
        <v>0.97116350466539503</v>
      </c>
      <c r="I5476">
        <v>1.09179486763197</v>
      </c>
      <c r="J5476">
        <v>1.0920796156352299</v>
      </c>
      <c r="K5476">
        <v>0.87984774349153305</v>
      </c>
      <c r="L5476">
        <v>15000</v>
      </c>
      <c r="M5476">
        <v>212.29464855001399</v>
      </c>
      <c r="Q5476">
        <v>0</v>
      </c>
      <c r="R5476">
        <v>0.17761758609733699</v>
      </c>
      <c r="S5476" t="s">
        <v>12092</v>
      </c>
      <c r="T5476" t="s">
        <v>13232</v>
      </c>
      <c r="U5476" t="s">
        <v>13232</v>
      </c>
      <c r="V5476" t="s">
        <v>13232</v>
      </c>
      <c r="W5476" t="s">
        <v>18638</v>
      </c>
      <c r="X5476">
        <v>7</v>
      </c>
      <c r="Y5476" t="s">
        <v>25033</v>
      </c>
      <c r="Z5476" t="s">
        <v>31607</v>
      </c>
      <c r="AA5476">
        <v>0.99861949559946273</v>
      </c>
      <c r="AB5476" t="str">
        <f>HYPERLINK("Melting_Curves/meltCurve_Q9C0B5_2_ZDHHC5.pdf", "Melting_Curves/meltCurve_Q9C0B5_2_ZDHHC5.pdf")</f>
        <v>Melting_Curves/meltCurve_Q9C0B5_2_ZDHHC5.pdf</v>
      </c>
    </row>
    <row r="5477" spans="1:28" x14ac:dyDescent="0.25">
      <c r="A5477" t="s">
        <v>5480</v>
      </c>
      <c r="B5477">
        <v>0.99930955844802105</v>
      </c>
      <c r="C5477">
        <v>1.02331042826512</v>
      </c>
      <c r="D5477">
        <v>0.93188910464590102</v>
      </c>
      <c r="E5477">
        <v>0.60115079049348796</v>
      </c>
      <c r="F5477">
        <v>0.32497047110133198</v>
      </c>
      <c r="G5477">
        <v>0.22722135888658199</v>
      </c>
      <c r="H5477">
        <v>0.12834930938549599</v>
      </c>
      <c r="I5477">
        <v>9.9480905195466707E-2</v>
      </c>
      <c r="J5477">
        <v>8.1796549312339706E-2</v>
      </c>
      <c r="K5477">
        <v>6.4697257747306905E-2</v>
      </c>
      <c r="L5477">
        <v>1093.49827179416</v>
      </c>
      <c r="M5477">
        <v>21.572365392200901</v>
      </c>
      <c r="N5477">
        <v>51.174214315279599</v>
      </c>
      <c r="O5477">
        <v>50.260205515194002</v>
      </c>
      <c r="P5477">
        <v>-9.7395564208729093E-2</v>
      </c>
      <c r="Q5477">
        <v>9.2356583803669706E-2</v>
      </c>
      <c r="R5477">
        <v>0.99481655800173097</v>
      </c>
      <c r="S5477" t="s">
        <v>12093</v>
      </c>
      <c r="T5477" t="s">
        <v>13232</v>
      </c>
      <c r="U5477" t="s">
        <v>13232</v>
      </c>
      <c r="V5477" t="s">
        <v>13232</v>
      </c>
      <c r="W5477" t="s">
        <v>18639</v>
      </c>
      <c r="X5477">
        <v>19</v>
      </c>
      <c r="Y5477" t="s">
        <v>25034</v>
      </c>
      <c r="Z5477" t="s">
        <v>31608</v>
      </c>
      <c r="AA5477">
        <v>0.42668145617660208</v>
      </c>
      <c r="AB5477" t="str">
        <f>HYPERLINK("Melting_Curves/meltCurve_Q9C0B7_TANGO6.pdf", "Melting_Curves/meltCurve_Q9C0B7_TANGO6.pdf")</f>
        <v>Melting_Curves/meltCurve_Q9C0B7_TANGO6.pdf</v>
      </c>
    </row>
    <row r="5478" spans="1:28" x14ac:dyDescent="0.25">
      <c r="A5478" t="s">
        <v>5481</v>
      </c>
      <c r="B5478">
        <v>0.99930955844802105</v>
      </c>
      <c r="C5478">
        <v>0.95613103745078398</v>
      </c>
      <c r="D5478">
        <v>0.96971552744106404</v>
      </c>
      <c r="E5478">
        <v>1.0827377506232401</v>
      </c>
      <c r="F5478">
        <v>1.13062995238952</v>
      </c>
      <c r="G5478">
        <v>0.99553758828782202</v>
      </c>
      <c r="H5478">
        <v>1.00505858723797</v>
      </c>
      <c r="I5478">
        <v>1.0695106453216401</v>
      </c>
      <c r="J5478">
        <v>1.0525213589917699</v>
      </c>
      <c r="K5478">
        <v>0.87621861728404005</v>
      </c>
      <c r="L5478">
        <v>15000</v>
      </c>
      <c r="M5478">
        <v>212.32857268322701</v>
      </c>
      <c r="Q5478">
        <v>0</v>
      </c>
      <c r="R5478">
        <v>0.28090966486949598</v>
      </c>
      <c r="S5478" t="s">
        <v>12094</v>
      </c>
      <c r="T5478" t="s">
        <v>13232</v>
      </c>
      <c r="U5478" t="s">
        <v>13232</v>
      </c>
      <c r="V5478" t="s">
        <v>13232</v>
      </c>
      <c r="W5478" t="s">
        <v>18640</v>
      </c>
      <c r="X5478">
        <v>62</v>
      </c>
      <c r="Y5478" t="s">
        <v>25035</v>
      </c>
      <c r="Z5478" t="s">
        <v>31609</v>
      </c>
      <c r="AA5478">
        <v>0.99857488878168865</v>
      </c>
      <c r="AB5478" t="str">
        <f>HYPERLINK("Melting_Curves/meltCurve_Q9C0C2_TNKS1BP1.pdf", "Melting_Curves/meltCurve_Q9C0C2_TNKS1BP1.pdf")</f>
        <v>Melting_Curves/meltCurve_Q9C0C2_TNKS1BP1.pdf</v>
      </c>
    </row>
    <row r="5479" spans="1:28" x14ac:dyDescent="0.25">
      <c r="A5479" t="s">
        <v>5482</v>
      </c>
      <c r="B5479">
        <v>0.99930955844802105</v>
      </c>
      <c r="C5479">
        <v>0.88289025006449795</v>
      </c>
      <c r="D5479">
        <v>0.731979687610265</v>
      </c>
      <c r="E5479">
        <v>0.52752103919536497</v>
      </c>
      <c r="F5479">
        <v>0.27009644913321301</v>
      </c>
      <c r="G5479">
        <v>0.137693742283307</v>
      </c>
      <c r="H5479">
        <v>7.0781594128574196E-2</v>
      </c>
      <c r="I5479">
        <v>5.2833319764698697E-2</v>
      </c>
      <c r="J5479">
        <v>5.2625278275208402E-2</v>
      </c>
      <c r="K5479">
        <v>3.4723282029537499E-2</v>
      </c>
      <c r="L5479">
        <v>706.34317150611298</v>
      </c>
      <c r="M5479">
        <v>14.244081996336799</v>
      </c>
      <c r="N5479">
        <v>49.695389215058803</v>
      </c>
      <c r="O5479">
        <v>48.641863801684103</v>
      </c>
      <c r="P5479">
        <v>-7.2113781707691699E-2</v>
      </c>
      <c r="Q5479">
        <v>1.50814896378722E-2</v>
      </c>
      <c r="R5479">
        <v>0.995767764488527</v>
      </c>
      <c r="S5479" t="s">
        <v>12095</v>
      </c>
      <c r="T5479" t="s">
        <v>13232</v>
      </c>
      <c r="U5479" t="s">
        <v>13232</v>
      </c>
      <c r="V5479" t="s">
        <v>13232</v>
      </c>
      <c r="W5479" t="s">
        <v>18641</v>
      </c>
      <c r="X5479">
        <v>2</v>
      </c>
      <c r="Y5479" t="s">
        <v>25036</v>
      </c>
      <c r="Z5479" t="s">
        <v>31610</v>
      </c>
      <c r="AA5479">
        <v>0.35600351614756442</v>
      </c>
      <c r="AB5479" t="str">
        <f>HYPERLINK("Melting_Curves/meltCurve_Q9C0C4_SEMA4C.pdf", "Melting_Curves/meltCurve_Q9C0C4_SEMA4C.pdf")</f>
        <v>Melting_Curves/meltCurve_Q9C0C4_SEMA4C.pdf</v>
      </c>
    </row>
    <row r="5480" spans="1:28" x14ac:dyDescent="0.25">
      <c r="A5480" t="s">
        <v>5483</v>
      </c>
      <c r="B5480">
        <v>0.99930955844802105</v>
      </c>
      <c r="C5480">
        <v>0.93499055873849501</v>
      </c>
      <c r="D5480">
        <v>0.97047033233818003</v>
      </c>
      <c r="E5480">
        <v>0.85422343862041705</v>
      </c>
      <c r="F5480">
        <v>0.74518454673530599</v>
      </c>
      <c r="G5480">
        <v>0.557025485896256</v>
      </c>
      <c r="H5480">
        <v>0.494347397392359</v>
      </c>
      <c r="I5480">
        <v>0.50474841129207004</v>
      </c>
      <c r="J5480">
        <v>0.52944254850524797</v>
      </c>
      <c r="K5480">
        <v>0.396887704981634</v>
      </c>
      <c r="L5480">
        <v>880.15097293118697</v>
      </c>
      <c r="M5480">
        <v>16.580276334430899</v>
      </c>
      <c r="N5480">
        <v>61.599177436288201</v>
      </c>
      <c r="O5480">
        <v>52.330040003090502</v>
      </c>
      <c r="P5480">
        <v>-4.3611006672076701E-2</v>
      </c>
      <c r="Q5480">
        <v>0.44946391095907101</v>
      </c>
      <c r="R5480">
        <v>0.97284224736538105</v>
      </c>
      <c r="S5480" t="s">
        <v>12096</v>
      </c>
      <c r="T5480" t="s">
        <v>13232</v>
      </c>
      <c r="U5480" t="s">
        <v>13232</v>
      </c>
      <c r="V5480" t="s">
        <v>13232</v>
      </c>
      <c r="W5480" t="s">
        <v>18642</v>
      </c>
      <c r="X5480">
        <v>3</v>
      </c>
      <c r="Y5480" t="s">
        <v>25037</v>
      </c>
      <c r="Z5480" t="s">
        <v>31611</v>
      </c>
      <c r="AA5480">
        <v>0.69979377005062771</v>
      </c>
      <c r="AB5480" t="str">
        <f>HYPERLINK("Melting_Curves/meltCurve_Q9C0C7_4_AMBRA1.pdf", "Melting_Curves/meltCurve_Q9C0C7_4_AMBRA1.pdf")</f>
        <v>Melting_Curves/meltCurve_Q9C0C7_4_AMBRA1.pdf</v>
      </c>
    </row>
    <row r="5481" spans="1:28" x14ac:dyDescent="0.25">
      <c r="A5481" t="s">
        <v>5484</v>
      </c>
      <c r="B5481">
        <v>0.99930955844802105</v>
      </c>
      <c r="C5481">
        <v>0.99123319921250297</v>
      </c>
      <c r="D5481">
        <v>0.95064383003397201</v>
      </c>
      <c r="E5481">
        <v>0.73875340037730397</v>
      </c>
      <c r="F5481">
        <v>0.39867079943631201</v>
      </c>
      <c r="G5481">
        <v>0.262910830750124</v>
      </c>
      <c r="H5481">
        <v>0.18715124271471401</v>
      </c>
      <c r="I5481">
        <v>0.17446873340397401</v>
      </c>
      <c r="J5481">
        <v>0.16447250231441801</v>
      </c>
      <c r="K5481">
        <v>0.13855920924918</v>
      </c>
      <c r="L5481">
        <v>1294.64297921054</v>
      </c>
      <c r="M5481">
        <v>25.204655579127198</v>
      </c>
      <c r="N5481">
        <v>52.191321101005499</v>
      </c>
      <c r="O5481">
        <v>51.0451522338128</v>
      </c>
      <c r="P5481">
        <v>-0.103139588728503</v>
      </c>
      <c r="Q5481">
        <v>0.16448629886228899</v>
      </c>
      <c r="R5481">
        <v>0.99744770322986598</v>
      </c>
      <c r="S5481" t="s">
        <v>12097</v>
      </c>
      <c r="T5481" t="s">
        <v>13232</v>
      </c>
      <c r="U5481" t="s">
        <v>13232</v>
      </c>
      <c r="V5481" t="s">
        <v>13232</v>
      </c>
      <c r="W5481" t="s">
        <v>18643</v>
      </c>
      <c r="X5481">
        <v>40</v>
      </c>
      <c r="Y5481" t="s">
        <v>20730</v>
      </c>
      <c r="Z5481" t="s">
        <v>31612</v>
      </c>
      <c r="AA5481">
        <v>0.4884713217974363</v>
      </c>
      <c r="AB5481" t="str">
        <f>HYPERLINK("Melting_Curves/meltCurve_Q9C0C9_UBE2O.pdf", "Melting_Curves/meltCurve_Q9C0C9_UBE2O.pdf")</f>
        <v>Melting_Curves/meltCurve_Q9C0C9_UBE2O.pdf</v>
      </c>
    </row>
    <row r="5482" spans="1:28" x14ac:dyDescent="0.25">
      <c r="A5482" t="s">
        <v>5485</v>
      </c>
      <c r="B5482">
        <v>0.99930955844802105</v>
      </c>
      <c r="C5482">
        <v>1.5308367815944199</v>
      </c>
      <c r="D5482">
        <v>1.45362046469545</v>
      </c>
      <c r="E5482">
        <v>1.43358389304495</v>
      </c>
      <c r="F5482">
        <v>1.2592851961943199</v>
      </c>
      <c r="G5482">
        <v>1.1643021965093501</v>
      </c>
      <c r="H5482">
        <v>1.51847018397845</v>
      </c>
      <c r="I5482">
        <v>1.65049569938528</v>
      </c>
      <c r="J5482">
        <v>2.01197428798806</v>
      </c>
      <c r="K5482">
        <v>1.44687059228559</v>
      </c>
      <c r="L5482">
        <v>10281.0056539836</v>
      </c>
      <c r="M5482">
        <v>250</v>
      </c>
      <c r="O5482">
        <v>41.121390964495603</v>
      </c>
      <c r="P5482">
        <v>0.75478645029099301</v>
      </c>
      <c r="Q5482">
        <v>1.4966058987319399</v>
      </c>
      <c r="R5482">
        <v>0.32324461242660102</v>
      </c>
      <c r="S5482" t="s">
        <v>12098</v>
      </c>
      <c r="T5482" t="s">
        <v>13232</v>
      </c>
      <c r="U5482" t="s">
        <v>13232</v>
      </c>
      <c r="V5482" t="s">
        <v>13232</v>
      </c>
      <c r="W5482" t="s">
        <v>18644</v>
      </c>
      <c r="X5482">
        <v>4</v>
      </c>
      <c r="Y5482" t="s">
        <v>25038</v>
      </c>
      <c r="Z5482" t="s">
        <v>31613</v>
      </c>
      <c r="AA5482">
        <v>1.477961243429502</v>
      </c>
      <c r="AB5482" t="str">
        <f>HYPERLINK("Melting_Curves/meltCurve_Q9C0D2_KIAA1731.pdf", "Melting_Curves/meltCurve_Q9C0D2_KIAA1731.pdf")</f>
        <v>Melting_Curves/meltCurve_Q9C0D2_KIAA1731.pdf</v>
      </c>
    </row>
    <row r="5483" spans="1:28" x14ac:dyDescent="0.25">
      <c r="A5483" t="s">
        <v>5486</v>
      </c>
      <c r="B5483">
        <v>0.99930955844802105</v>
      </c>
      <c r="C5483">
        <v>0.90216850833162798</v>
      </c>
      <c r="D5483">
        <v>0.90310977225473299</v>
      </c>
      <c r="E5483">
        <v>0.83165977496086896</v>
      </c>
      <c r="F5483">
        <v>0.59337859141108695</v>
      </c>
      <c r="G5483">
        <v>0.22450522692867</v>
      </c>
      <c r="H5483">
        <v>0.12816389823193899</v>
      </c>
      <c r="I5483">
        <v>0.11460158943863701</v>
      </c>
      <c r="J5483">
        <v>0.105192445492976</v>
      </c>
      <c r="K5483">
        <v>7.6435836532333407E-2</v>
      </c>
      <c r="L5483">
        <v>1158.3448273046899</v>
      </c>
      <c r="M5483">
        <v>21.731680399398201</v>
      </c>
      <c r="N5483">
        <v>53.721941050772301</v>
      </c>
      <c r="O5483">
        <v>52.856941346586297</v>
      </c>
      <c r="P5483">
        <v>-9.4761180168240394E-2</v>
      </c>
      <c r="Q5483">
        <v>7.8089009048532596E-2</v>
      </c>
      <c r="R5483">
        <v>0.98861427865388696</v>
      </c>
      <c r="S5483" t="s">
        <v>12099</v>
      </c>
      <c r="T5483" t="s">
        <v>13232</v>
      </c>
      <c r="U5483" t="s">
        <v>13232</v>
      </c>
      <c r="V5483" t="s">
        <v>13232</v>
      </c>
      <c r="W5483" t="s">
        <v>18645</v>
      </c>
      <c r="X5483">
        <v>16</v>
      </c>
      <c r="Y5483" t="s">
        <v>25039</v>
      </c>
      <c r="Z5483" t="s">
        <v>31614</v>
      </c>
      <c r="AA5483">
        <v>0.49783051334843209</v>
      </c>
      <c r="AB5483" t="str">
        <f>HYPERLINK("Melting_Curves/meltCurve_Q9C0D3_ZYG11B.pdf", "Melting_Curves/meltCurve_Q9C0D3_ZYG11B.pdf")</f>
        <v>Melting_Curves/meltCurve_Q9C0D3_ZYG11B.pdf</v>
      </c>
    </row>
    <row r="5484" spans="1:28" x14ac:dyDescent="0.25">
      <c r="A5484" t="s">
        <v>5487</v>
      </c>
      <c r="B5484">
        <v>0.99930955844802105</v>
      </c>
      <c r="C5484">
        <v>0.95180357328125398</v>
      </c>
      <c r="D5484">
        <v>0.86213413484941004</v>
      </c>
      <c r="E5484">
        <v>0.61391612249008998</v>
      </c>
      <c r="F5484">
        <v>0.46659821398671802</v>
      </c>
      <c r="G5484">
        <v>0.36785253491324799</v>
      </c>
      <c r="H5484">
        <v>0.32814863908902803</v>
      </c>
      <c r="I5484">
        <v>0.33295458538330802</v>
      </c>
      <c r="J5484">
        <v>0.33177578086687298</v>
      </c>
      <c r="K5484">
        <v>0.260994893970941</v>
      </c>
      <c r="L5484">
        <v>870.86484459759504</v>
      </c>
      <c r="M5484">
        <v>17.5931329956273</v>
      </c>
      <c r="N5484">
        <v>52.242056808623701</v>
      </c>
      <c r="O5484">
        <v>48.873988111630801</v>
      </c>
      <c r="P5484">
        <v>-6.2871753773039205E-2</v>
      </c>
      <c r="Q5484">
        <v>0.30140270981936701</v>
      </c>
      <c r="R5484">
        <v>0.99576417758202396</v>
      </c>
      <c r="S5484" t="s">
        <v>12100</v>
      </c>
      <c r="T5484" t="s">
        <v>13232</v>
      </c>
      <c r="U5484" t="s">
        <v>13232</v>
      </c>
      <c r="V5484" t="s">
        <v>13232</v>
      </c>
      <c r="W5484" t="s">
        <v>18646</v>
      </c>
      <c r="X5484">
        <v>19</v>
      </c>
      <c r="Y5484" t="s">
        <v>25040</v>
      </c>
      <c r="Z5484" t="s">
        <v>31615</v>
      </c>
      <c r="AA5484">
        <v>0.53517358757481959</v>
      </c>
      <c r="AB5484" t="str">
        <f>HYPERLINK("Melting_Curves/meltCurve_Q9C0D5_TANC1.pdf", "Melting_Curves/meltCurve_Q9C0D5_TANC1.pdf")</f>
        <v>Melting_Curves/meltCurve_Q9C0D5_TANC1.pdf</v>
      </c>
    </row>
    <row r="5485" spans="1:28" x14ac:dyDescent="0.25">
      <c r="A5485" t="s">
        <v>5488</v>
      </c>
      <c r="B5485">
        <v>0.99930955844802105</v>
      </c>
      <c r="C5485">
        <v>1.0074541959736201</v>
      </c>
      <c r="D5485">
        <v>0.98531305519194601</v>
      </c>
      <c r="E5485">
        <v>0.78973010060082105</v>
      </c>
      <c r="F5485">
        <v>0.49276306138270498</v>
      </c>
      <c r="G5485">
        <v>0.30661827327475399</v>
      </c>
      <c r="H5485">
        <v>0.21906268363522699</v>
      </c>
      <c r="I5485">
        <v>0.18821801846817299</v>
      </c>
      <c r="J5485">
        <v>0.15598975806197099</v>
      </c>
      <c r="K5485">
        <v>0.12961573060968201</v>
      </c>
      <c r="L5485">
        <v>1139.4231771165701</v>
      </c>
      <c r="M5485">
        <v>21.764645265219901</v>
      </c>
      <c r="N5485">
        <v>53.291420737880202</v>
      </c>
      <c r="O5485">
        <v>51.916099638896803</v>
      </c>
      <c r="P5485">
        <v>-8.8111316082223903E-2</v>
      </c>
      <c r="Q5485">
        <v>0.15931786626903999</v>
      </c>
      <c r="R5485">
        <v>0.99649687244825103</v>
      </c>
      <c r="S5485" t="s">
        <v>12101</v>
      </c>
      <c r="T5485" t="s">
        <v>13232</v>
      </c>
      <c r="U5485" t="s">
        <v>13232</v>
      </c>
      <c r="V5485" t="s">
        <v>13232</v>
      </c>
      <c r="W5485" t="s">
        <v>18647</v>
      </c>
      <c r="X5485">
        <v>11</v>
      </c>
      <c r="Y5485" t="s">
        <v>25041</v>
      </c>
      <c r="Z5485" t="s">
        <v>31616</v>
      </c>
      <c r="AA5485">
        <v>0.51543361916534158</v>
      </c>
      <c r="AB5485" t="str">
        <f>HYPERLINK("Melting_Curves/meltCurve_Q9C0F1_CEP44.pdf", "Melting_Curves/meltCurve_Q9C0F1_CEP44.pdf")</f>
        <v>Melting_Curves/meltCurve_Q9C0F1_CEP44.pdf</v>
      </c>
    </row>
    <row r="5486" spans="1:28" x14ac:dyDescent="0.25">
      <c r="A5486" t="s">
        <v>5489</v>
      </c>
      <c r="B5486">
        <v>0.99930955844802105</v>
      </c>
      <c r="C5486">
        <v>1.5256158057507501</v>
      </c>
      <c r="D5486">
        <v>1.32610062597098</v>
      </c>
      <c r="E5486">
        <v>1.4214259346817999</v>
      </c>
      <c r="F5486">
        <v>1.2418282565187899</v>
      </c>
      <c r="G5486">
        <v>1.47529997298335</v>
      </c>
      <c r="H5486">
        <v>1.9290306810928299</v>
      </c>
      <c r="I5486">
        <v>2.2501400229325501</v>
      </c>
      <c r="J5486">
        <v>2.3485003935090201</v>
      </c>
      <c r="K5486">
        <v>1.6656860538973299</v>
      </c>
      <c r="L5486">
        <v>10285.657244989299</v>
      </c>
      <c r="M5486">
        <v>250</v>
      </c>
      <c r="O5486">
        <v>41.139996103667301</v>
      </c>
      <c r="P5486">
        <v>0.75960143365075306</v>
      </c>
      <c r="Q5486">
        <v>1.5</v>
      </c>
      <c r="R5486">
        <v>6.4796419723204199E-2</v>
      </c>
      <c r="S5486" t="s">
        <v>12102</v>
      </c>
      <c r="T5486" t="s">
        <v>13232</v>
      </c>
      <c r="U5486" t="s">
        <v>13232</v>
      </c>
      <c r="V5486" t="s">
        <v>13232</v>
      </c>
      <c r="W5486" t="s">
        <v>18648</v>
      </c>
      <c r="X5486">
        <v>8</v>
      </c>
      <c r="Y5486" t="s">
        <v>25042</v>
      </c>
      <c r="Z5486" t="s">
        <v>31617</v>
      </c>
      <c r="AA5486">
        <v>1.480918045563512</v>
      </c>
      <c r="AB5486" t="str">
        <f>HYPERLINK("Melting_Curves/meltCurve_Q9C0G0_ZNF407.pdf", "Melting_Curves/meltCurve_Q9C0G0_ZNF407.pdf")</f>
        <v>Melting_Curves/meltCurve_Q9C0G0_ZNF407.pdf</v>
      </c>
    </row>
    <row r="5487" spans="1:28" x14ac:dyDescent="0.25">
      <c r="A5487" t="s">
        <v>5490</v>
      </c>
      <c r="B5487">
        <v>0.99930955844802105</v>
      </c>
      <c r="C5487">
        <v>0.99194882393679795</v>
      </c>
      <c r="D5487">
        <v>0.95777735065868896</v>
      </c>
      <c r="E5487">
        <v>0.90606960635412603</v>
      </c>
      <c r="F5487">
        <v>0.88321199766853598</v>
      </c>
      <c r="G5487">
        <v>0.66913211926452498</v>
      </c>
      <c r="H5487">
        <v>0.34795671721828803</v>
      </c>
      <c r="I5487">
        <v>0.254136682081118</v>
      </c>
      <c r="J5487">
        <v>0.245578146042471</v>
      </c>
      <c r="K5487">
        <v>0.180247738121109</v>
      </c>
      <c r="L5487">
        <v>1131.1205243848301</v>
      </c>
      <c r="M5487">
        <v>19.5758863201096</v>
      </c>
      <c r="N5487">
        <v>58.941128455182003</v>
      </c>
      <c r="O5487">
        <v>57.188484258075299</v>
      </c>
      <c r="P5487">
        <v>-7.1899901094347796E-2</v>
      </c>
      <c r="Q5487">
        <v>0.15984378028013899</v>
      </c>
      <c r="R5487">
        <v>0.99261763639745404</v>
      </c>
      <c r="S5487" t="s">
        <v>12103</v>
      </c>
      <c r="T5487" t="s">
        <v>13232</v>
      </c>
      <c r="U5487" t="s">
        <v>13232</v>
      </c>
      <c r="V5487" t="s">
        <v>13232</v>
      </c>
      <c r="W5487" t="s">
        <v>18649</v>
      </c>
      <c r="X5487">
        <v>13</v>
      </c>
      <c r="Y5487" t="s">
        <v>25043</v>
      </c>
      <c r="Z5487" t="s">
        <v>31618</v>
      </c>
      <c r="AA5487">
        <v>0.66773035169358375</v>
      </c>
      <c r="AB5487" t="str">
        <f>HYPERLINK("Melting_Curves/meltCurve_Q9C0I1_MTMR12.pdf", "Melting_Curves/meltCurve_Q9C0I1_MTMR12.pdf")</f>
        <v>Melting_Curves/meltCurve_Q9C0I1_MTMR12.pdf</v>
      </c>
    </row>
    <row r="5488" spans="1:28" x14ac:dyDescent="0.25">
      <c r="A5488" t="s">
        <v>5491</v>
      </c>
      <c r="B5488">
        <v>0.99930955844802105</v>
      </c>
      <c r="C5488">
        <v>0.88052429124989096</v>
      </c>
      <c r="D5488">
        <v>0.841642601354744</v>
      </c>
      <c r="E5488">
        <v>0.69920135855807897</v>
      </c>
      <c r="F5488">
        <v>0.54883366459331895</v>
      </c>
      <c r="G5488">
        <v>0.50071822277182998</v>
      </c>
      <c r="H5488">
        <v>0.48385429886404002</v>
      </c>
      <c r="I5488">
        <v>0.53460660835149998</v>
      </c>
      <c r="J5488">
        <v>0.52285241923926895</v>
      </c>
      <c r="K5488">
        <v>0.42583310887521603</v>
      </c>
      <c r="L5488">
        <v>710.55956101151401</v>
      </c>
      <c r="M5488">
        <v>14.743151563607601</v>
      </c>
      <c r="N5488">
        <v>60.0271752873537</v>
      </c>
      <c r="O5488">
        <v>47.335258315784898</v>
      </c>
      <c r="P5488">
        <v>-4.1066934810550002E-2</v>
      </c>
      <c r="Q5488">
        <v>0.47264907410608697</v>
      </c>
      <c r="R5488">
        <v>0.96480433542425803</v>
      </c>
      <c r="S5488" t="s">
        <v>12104</v>
      </c>
      <c r="T5488" t="s">
        <v>13232</v>
      </c>
      <c r="U5488" t="s">
        <v>13232</v>
      </c>
      <c r="V5488" t="s">
        <v>13232</v>
      </c>
      <c r="W5488" t="s">
        <v>18650</v>
      </c>
      <c r="X5488">
        <v>46</v>
      </c>
      <c r="Y5488" t="s">
        <v>25044</v>
      </c>
      <c r="Z5488" t="s">
        <v>31619</v>
      </c>
      <c r="AA5488">
        <v>0.63063033477328101</v>
      </c>
      <c r="AB5488" t="str">
        <f>HYPERLINK("Melting_Curves/meltCurve_Q9C0J8_WDR33.pdf", "Melting_Curves/meltCurve_Q9C0J8_WDR33.pdf")</f>
        <v>Melting_Curves/meltCurve_Q9C0J8_WDR33.pdf</v>
      </c>
    </row>
    <row r="5489" spans="1:28" x14ac:dyDescent="0.25">
      <c r="A5489" t="s">
        <v>5492</v>
      </c>
      <c r="B5489">
        <v>0.99930955844802105</v>
      </c>
      <c r="C5489">
        <v>0.88862551354796204</v>
      </c>
      <c r="D5489">
        <v>0.85365410231310102</v>
      </c>
      <c r="E5489">
        <v>0.76879536346512001</v>
      </c>
      <c r="F5489">
        <v>0.67080019896529697</v>
      </c>
      <c r="G5489">
        <v>0.51549028229995697</v>
      </c>
      <c r="H5489">
        <v>0.360981362762753</v>
      </c>
      <c r="I5489">
        <v>0.23580358365418899</v>
      </c>
      <c r="J5489">
        <v>0.122145132696036</v>
      </c>
      <c r="K5489">
        <v>7.8480441798102193E-2</v>
      </c>
      <c r="L5489">
        <v>552.628311243501</v>
      </c>
      <c r="M5489">
        <v>9.7962868987819594</v>
      </c>
      <c r="N5489">
        <v>56.412034117076601</v>
      </c>
      <c r="O5489">
        <v>54.212010768644198</v>
      </c>
      <c r="P5489">
        <v>-4.5199583919358403E-2</v>
      </c>
      <c r="Q5489">
        <v>0</v>
      </c>
      <c r="R5489">
        <v>0.98405525205720001</v>
      </c>
      <c r="S5489" t="s">
        <v>12105</v>
      </c>
      <c r="T5489" t="s">
        <v>13232</v>
      </c>
      <c r="U5489" t="s">
        <v>13232</v>
      </c>
      <c r="V5489" t="s">
        <v>13232</v>
      </c>
      <c r="W5489" t="s">
        <v>18651</v>
      </c>
      <c r="X5489">
        <v>15</v>
      </c>
      <c r="Y5489" t="s">
        <v>25045</v>
      </c>
      <c r="Z5489" t="s">
        <v>31620</v>
      </c>
      <c r="AA5489">
        <v>0.56594691453084001</v>
      </c>
      <c r="AB5489" t="str">
        <f>HYPERLINK("Melting_Curves/meltCurve_Q9GZL7_WDR12.pdf", "Melting_Curves/meltCurve_Q9GZL7_WDR12.pdf")</f>
        <v>Melting_Curves/meltCurve_Q9GZL7_WDR12.pdf</v>
      </c>
    </row>
    <row r="5490" spans="1:28" x14ac:dyDescent="0.25">
      <c r="A5490" t="s">
        <v>5493</v>
      </c>
      <c r="B5490">
        <v>0.99930955844802105</v>
      </c>
      <c r="C5490">
        <v>1.0277655105023999</v>
      </c>
      <c r="D5490">
        <v>0.97616379409996301</v>
      </c>
      <c r="E5490">
        <v>0.76395537639224698</v>
      </c>
      <c r="F5490">
        <v>0.56172375017038001</v>
      </c>
      <c r="G5490">
        <v>0.33076112603538999</v>
      </c>
      <c r="H5490">
        <v>0.17647258691737699</v>
      </c>
      <c r="I5490">
        <v>0.17768459582479401</v>
      </c>
      <c r="J5490">
        <v>0.147530030073972</v>
      </c>
      <c r="K5490">
        <v>0.101753345204004</v>
      </c>
      <c r="L5490">
        <v>958.33858666317599</v>
      </c>
      <c r="M5490">
        <v>18.048362919367602</v>
      </c>
      <c r="N5490">
        <v>53.885648070492998</v>
      </c>
      <c r="O5490">
        <v>52.459377164029398</v>
      </c>
      <c r="P5490">
        <v>-7.6046648976900999E-2</v>
      </c>
      <c r="Q5490">
        <v>0.115894314594644</v>
      </c>
      <c r="R5490">
        <v>0.99663289155349399</v>
      </c>
      <c r="S5490" t="s">
        <v>12106</v>
      </c>
      <c r="T5490" t="s">
        <v>13232</v>
      </c>
      <c r="U5490" t="s">
        <v>13232</v>
      </c>
      <c r="V5490" t="s">
        <v>13232</v>
      </c>
      <c r="W5490" t="s">
        <v>18652</v>
      </c>
      <c r="X5490">
        <v>3</v>
      </c>
      <c r="Y5490" t="s">
        <v>25046</v>
      </c>
      <c r="Z5490" t="s">
        <v>31621</v>
      </c>
      <c r="AA5490">
        <v>0.51629271447584957</v>
      </c>
      <c r="AB5490" t="str">
        <f>HYPERLINK("Melting_Curves/meltCurve_Q9GZN2_TGIF2.pdf", "Melting_Curves/meltCurve_Q9GZN2_TGIF2.pdf")</f>
        <v>Melting_Curves/meltCurve_Q9GZN2_TGIF2.pdf</v>
      </c>
    </row>
    <row r="5491" spans="1:28" x14ac:dyDescent="0.25">
      <c r="A5491" t="s">
        <v>5494</v>
      </c>
      <c r="B5491">
        <v>0.99930955844802105</v>
      </c>
      <c r="C5491">
        <v>1.08674428943048</v>
      </c>
      <c r="D5491">
        <v>1.07801118942107</v>
      </c>
      <c r="E5491">
        <v>1.0631438453900299</v>
      </c>
      <c r="F5491">
        <v>0.87051854430103703</v>
      </c>
      <c r="G5491">
        <v>0.66872066590520796</v>
      </c>
      <c r="H5491">
        <v>0.41139182083089798</v>
      </c>
      <c r="I5491">
        <v>0.21466284096570601</v>
      </c>
      <c r="J5491">
        <v>0.130554674393907</v>
      </c>
      <c r="K5491">
        <v>0.10055273367659</v>
      </c>
      <c r="L5491">
        <v>1154.9868309774799</v>
      </c>
      <c r="M5491">
        <v>19.5616198584387</v>
      </c>
      <c r="N5491">
        <v>59.391846927645702</v>
      </c>
      <c r="O5491">
        <v>58.436862994413197</v>
      </c>
      <c r="P5491">
        <v>-7.9154448862903098E-2</v>
      </c>
      <c r="Q5491">
        <v>5.4194206573822699E-2</v>
      </c>
      <c r="R5491">
        <v>0.98363525877917202</v>
      </c>
      <c r="S5491" t="s">
        <v>12107</v>
      </c>
      <c r="T5491" t="s">
        <v>13232</v>
      </c>
      <c r="U5491" t="s">
        <v>13232</v>
      </c>
      <c r="V5491" t="s">
        <v>13232</v>
      </c>
      <c r="W5491" t="s">
        <v>18653</v>
      </c>
      <c r="X5491">
        <v>8</v>
      </c>
      <c r="Y5491" t="s">
        <v>25047</v>
      </c>
      <c r="Z5491" t="s">
        <v>31622</v>
      </c>
      <c r="AA5491">
        <v>0.66416284682711657</v>
      </c>
      <c r="AB5491" t="str">
        <f>HYPERLINK("Melting_Curves/meltCurve_Q9GZN8_C20orf27.pdf", "Melting_Curves/meltCurve_Q9GZN8_C20orf27.pdf")</f>
        <v>Melting_Curves/meltCurve_Q9GZN8_C20orf27.pdf</v>
      </c>
    </row>
    <row r="5492" spans="1:28" x14ac:dyDescent="0.25">
      <c r="A5492" t="s">
        <v>5495</v>
      </c>
      <c r="B5492">
        <v>0.99930955844802105</v>
      </c>
      <c r="C5492">
        <v>0.99277066890755905</v>
      </c>
      <c r="D5492">
        <v>1.0151412248485701</v>
      </c>
      <c r="E5492">
        <v>0.96880987784275496</v>
      </c>
      <c r="F5492">
        <v>0.85356333409111895</v>
      </c>
      <c r="G5492">
        <v>0.76078035046591397</v>
      </c>
      <c r="H5492">
        <v>0.67606916383393201</v>
      </c>
      <c r="I5492">
        <v>0.58658298779289197</v>
      </c>
      <c r="J5492">
        <v>0.41489672654237802</v>
      </c>
      <c r="K5492">
        <v>0.172113659026775</v>
      </c>
      <c r="L5492">
        <v>739.56342017367899</v>
      </c>
      <c r="M5492">
        <v>11.517460787633199</v>
      </c>
      <c r="N5492">
        <v>64.212380854841399</v>
      </c>
      <c r="O5492">
        <v>62.368117782623699</v>
      </c>
      <c r="P5492">
        <v>-4.6180315870954003E-2</v>
      </c>
      <c r="Q5492">
        <v>0</v>
      </c>
      <c r="R5492">
        <v>0.96331636627140405</v>
      </c>
      <c r="S5492" t="s">
        <v>12108</v>
      </c>
      <c r="T5492" t="s">
        <v>13232</v>
      </c>
      <c r="U5492" t="s">
        <v>13232</v>
      </c>
      <c r="V5492" t="s">
        <v>13232</v>
      </c>
      <c r="W5492" t="s">
        <v>18654</v>
      </c>
      <c r="X5492">
        <v>18</v>
      </c>
      <c r="Y5492" t="s">
        <v>25048</v>
      </c>
      <c r="Z5492" t="s">
        <v>31623</v>
      </c>
      <c r="AA5492">
        <v>0.77293012608801726</v>
      </c>
      <c r="AB5492" t="str">
        <f>HYPERLINK("Melting_Curves/meltCurve_Q9GZP4_PITHD1.pdf", "Melting_Curves/meltCurve_Q9GZP4_PITHD1.pdf")</f>
        <v>Melting_Curves/meltCurve_Q9GZP4_PITHD1.pdf</v>
      </c>
    </row>
    <row r="5493" spans="1:28" x14ac:dyDescent="0.25">
      <c r="A5493" t="s">
        <v>5496</v>
      </c>
      <c r="B5493">
        <v>0.99930955844802105</v>
      </c>
      <c r="C5493">
        <v>0.74708363303631797</v>
      </c>
      <c r="D5493">
        <v>0.78529051034855202</v>
      </c>
      <c r="E5493">
        <v>0.80238138391347902</v>
      </c>
      <c r="F5493">
        <v>0.62943906669545102</v>
      </c>
      <c r="G5493">
        <v>0.21988222184339401</v>
      </c>
      <c r="H5493">
        <v>9.8047831271672103E-2</v>
      </c>
      <c r="I5493">
        <v>7.5062880154958198E-2</v>
      </c>
      <c r="J5493">
        <v>6.4047690917983402E-2</v>
      </c>
      <c r="K5493">
        <v>5.2652185270417998E-2</v>
      </c>
      <c r="L5493">
        <v>732.66255519034996</v>
      </c>
      <c r="M5493">
        <v>13.7101064063423</v>
      </c>
      <c r="N5493">
        <v>53.439599084992402</v>
      </c>
      <c r="O5493">
        <v>52.341139468540497</v>
      </c>
      <c r="P5493">
        <v>-6.5493774951948996E-2</v>
      </c>
      <c r="Q5493">
        <v>0</v>
      </c>
      <c r="R5493">
        <v>0.93073364043571505</v>
      </c>
      <c r="S5493" t="s">
        <v>12109</v>
      </c>
      <c r="T5493" t="s">
        <v>13232</v>
      </c>
      <c r="U5493" t="s">
        <v>13232</v>
      </c>
      <c r="V5493" t="s">
        <v>13232</v>
      </c>
      <c r="W5493" t="s">
        <v>18655</v>
      </c>
      <c r="X5493">
        <v>8</v>
      </c>
      <c r="Y5493" t="s">
        <v>25049</v>
      </c>
      <c r="Z5493" t="s">
        <v>31624</v>
      </c>
      <c r="AA5493">
        <v>0.47163981199101901</v>
      </c>
      <c r="AB5493" t="str">
        <f>HYPERLINK("Melting_Curves/meltCurve_Q9GZQ3_COMMD5.pdf", "Melting_Curves/meltCurve_Q9GZQ3_COMMD5.pdf")</f>
        <v>Melting_Curves/meltCurve_Q9GZQ3_COMMD5.pdf</v>
      </c>
    </row>
    <row r="5494" spans="1:28" x14ac:dyDescent="0.25">
      <c r="A5494" t="s">
        <v>5497</v>
      </c>
      <c r="B5494">
        <v>0.99930955844802105</v>
      </c>
      <c r="C5494">
        <v>1.23087977547758</v>
      </c>
      <c r="D5494">
        <v>0.191588341714932</v>
      </c>
      <c r="E5494">
        <v>0.50913678082654801</v>
      </c>
      <c r="F5494">
        <v>0.28192837279767802</v>
      </c>
      <c r="G5494">
        <v>0.21560571807142101</v>
      </c>
      <c r="H5494">
        <v>0.17152082167485699</v>
      </c>
      <c r="I5494">
        <v>0.16392896612671501</v>
      </c>
      <c r="J5494">
        <v>0.15938688617173499</v>
      </c>
      <c r="K5494">
        <v>0.132054603208727</v>
      </c>
      <c r="L5494">
        <v>11141.387645123699</v>
      </c>
      <c r="M5494">
        <v>250</v>
      </c>
      <c r="N5494">
        <v>44.674413933558398</v>
      </c>
      <c r="O5494">
        <v>44.562698778990097</v>
      </c>
      <c r="P5494">
        <v>-1.0825929511980199</v>
      </c>
      <c r="Q5494">
        <v>0.22810778525264699</v>
      </c>
      <c r="R5494">
        <v>0.88635317803503499</v>
      </c>
      <c r="S5494" t="s">
        <v>12110</v>
      </c>
      <c r="T5494" t="s">
        <v>13232</v>
      </c>
      <c r="U5494" t="s">
        <v>13232</v>
      </c>
      <c r="V5494" t="s">
        <v>13232</v>
      </c>
      <c r="W5494" t="s">
        <v>18656</v>
      </c>
      <c r="X5494">
        <v>12</v>
      </c>
      <c r="Y5494" t="s">
        <v>25050</v>
      </c>
      <c r="Z5494" t="s">
        <v>31625</v>
      </c>
      <c r="AA5494">
        <v>0.34563858800627661</v>
      </c>
      <c r="AB5494" t="str">
        <f>HYPERLINK("Melting_Curves/meltCurve_Q9GZR1_2_SENP6.pdf", "Melting_Curves/meltCurve_Q9GZR1_2_SENP6.pdf")</f>
        <v>Melting_Curves/meltCurve_Q9GZR1_2_SENP6.pdf</v>
      </c>
    </row>
    <row r="5495" spans="1:28" x14ac:dyDescent="0.25">
      <c r="A5495" t="s">
        <v>5498</v>
      </c>
      <c r="B5495">
        <v>0.99930955844802105</v>
      </c>
      <c r="C5495">
        <v>0.69992615216662302</v>
      </c>
      <c r="D5495">
        <v>0.59718127764642304</v>
      </c>
      <c r="E5495">
        <v>0.55376810070425597</v>
      </c>
      <c r="F5495">
        <v>0.440671458357626</v>
      </c>
      <c r="G5495">
        <v>0.36113675221916902</v>
      </c>
      <c r="H5495">
        <v>0.32773667927450001</v>
      </c>
      <c r="I5495">
        <v>0.35440941640637302</v>
      </c>
      <c r="J5495">
        <v>0.33921302871916897</v>
      </c>
      <c r="K5495">
        <v>0.281181083531515</v>
      </c>
      <c r="L5495">
        <v>533.149085328718</v>
      </c>
      <c r="M5495">
        <v>11.6746138656568</v>
      </c>
      <c r="N5495">
        <v>49.771468543158697</v>
      </c>
      <c r="O5495">
        <v>44.389198818937203</v>
      </c>
      <c r="P5495">
        <v>-4.5442166739439599E-2</v>
      </c>
      <c r="Q5495">
        <v>0.30906438990886897</v>
      </c>
      <c r="R5495">
        <v>0.94042345664403504</v>
      </c>
      <c r="S5495" t="s">
        <v>12111</v>
      </c>
      <c r="T5495" t="s">
        <v>13232</v>
      </c>
      <c r="U5495" t="s">
        <v>13232</v>
      </c>
      <c r="V5495" t="s">
        <v>13232</v>
      </c>
      <c r="W5495" t="s">
        <v>18657</v>
      </c>
      <c r="X5495">
        <v>15</v>
      </c>
      <c r="Y5495" t="s">
        <v>25051</v>
      </c>
      <c r="Z5495" t="s">
        <v>31626</v>
      </c>
      <c r="AA5495">
        <v>0.47365669679620459</v>
      </c>
      <c r="AB5495" t="str">
        <f>HYPERLINK("Melting_Curves/meltCurve_Q9GZR2_REXO4.pdf", "Melting_Curves/meltCurve_Q9GZR2_REXO4.pdf")</f>
        <v>Melting_Curves/meltCurve_Q9GZR2_REXO4.pdf</v>
      </c>
    </row>
    <row r="5496" spans="1:28" x14ac:dyDescent="0.25">
      <c r="A5496" t="s">
        <v>5499</v>
      </c>
      <c r="B5496">
        <v>0.99930955844802105</v>
      </c>
      <c r="C5496">
        <v>0.90138202244149701</v>
      </c>
      <c r="D5496">
        <v>0.69219965549857498</v>
      </c>
      <c r="E5496">
        <v>0.50982871288696796</v>
      </c>
      <c r="F5496">
        <v>0.37019958271916997</v>
      </c>
      <c r="G5496">
        <v>0.21526239396760299</v>
      </c>
      <c r="H5496">
        <v>9.9842581998952101E-2</v>
      </c>
      <c r="I5496">
        <v>6.9514167974122104E-2</v>
      </c>
      <c r="J5496">
        <v>6.2519837992486796E-2</v>
      </c>
      <c r="K5496">
        <v>5.2656516346334697E-2</v>
      </c>
      <c r="L5496">
        <v>589.97282357389702</v>
      </c>
      <c r="M5496">
        <v>11.7870149055793</v>
      </c>
      <c r="N5496">
        <v>50.153511637969103</v>
      </c>
      <c r="O5496">
        <v>48.677274733760697</v>
      </c>
      <c r="P5496">
        <v>-5.9843840291328901E-2</v>
      </c>
      <c r="Q5496">
        <v>1.16982933471913E-2</v>
      </c>
      <c r="R5496">
        <v>0.99453133833970497</v>
      </c>
      <c r="S5496" t="s">
        <v>12112</v>
      </c>
      <c r="T5496" t="s">
        <v>13232</v>
      </c>
      <c r="U5496" t="s">
        <v>13232</v>
      </c>
      <c r="V5496" t="s">
        <v>13232</v>
      </c>
      <c r="W5496" t="s">
        <v>18658</v>
      </c>
      <c r="X5496">
        <v>14</v>
      </c>
      <c r="Y5496" t="s">
        <v>25052</v>
      </c>
      <c r="Z5496" t="s">
        <v>31627</v>
      </c>
      <c r="AA5496">
        <v>0.37793308814216497</v>
      </c>
      <c r="AB5496" t="str">
        <f>HYPERLINK("Melting_Curves/meltCurve_Q9GZS1_2_POLR1E.pdf", "Melting_Curves/meltCurve_Q9GZS1_2_POLR1E.pdf")</f>
        <v>Melting_Curves/meltCurve_Q9GZS1_2_POLR1E.pdf</v>
      </c>
    </row>
    <row r="5497" spans="1:28" x14ac:dyDescent="0.25">
      <c r="A5497" t="s">
        <v>5500</v>
      </c>
      <c r="B5497">
        <v>0.99930955844802105</v>
      </c>
      <c r="C5497">
        <v>0.81411931515879299</v>
      </c>
      <c r="D5497">
        <v>0.77931053911918302</v>
      </c>
      <c r="E5497">
        <v>0.75956736874270503</v>
      </c>
      <c r="F5497">
        <v>0.586747657259171</v>
      </c>
      <c r="G5497">
        <v>0.25285729796374901</v>
      </c>
      <c r="H5497">
        <v>9.2265384837927206E-2</v>
      </c>
      <c r="I5497">
        <v>6.90455423415407E-2</v>
      </c>
      <c r="J5497">
        <v>5.8883987886861798E-2</v>
      </c>
      <c r="K5497">
        <v>4.3698285921369803E-2</v>
      </c>
      <c r="L5497">
        <v>692.274813990045</v>
      </c>
      <c r="M5497">
        <v>13.0405473117769</v>
      </c>
      <c r="N5497">
        <v>53.086336848051403</v>
      </c>
      <c r="O5497">
        <v>51.884494247266403</v>
      </c>
      <c r="P5497">
        <v>-6.2845478221137493E-2</v>
      </c>
      <c r="Q5497">
        <v>0</v>
      </c>
      <c r="R5497">
        <v>0.96227678023924001</v>
      </c>
      <c r="S5497" t="s">
        <v>12113</v>
      </c>
      <c r="T5497" t="s">
        <v>13232</v>
      </c>
      <c r="U5497" t="s">
        <v>13232</v>
      </c>
      <c r="V5497" t="s">
        <v>13232</v>
      </c>
      <c r="W5497" t="s">
        <v>18659</v>
      </c>
      <c r="X5497">
        <v>13</v>
      </c>
      <c r="Y5497" t="s">
        <v>25053</v>
      </c>
      <c r="Z5497" t="s">
        <v>31628</v>
      </c>
      <c r="AA5497">
        <v>0.46190337370287438</v>
      </c>
      <c r="AB5497" t="str">
        <f>HYPERLINK("Melting_Curves/meltCurve_Q9GZS3_WDR61.pdf", "Melting_Curves/meltCurve_Q9GZS3_WDR61.pdf")</f>
        <v>Melting_Curves/meltCurve_Q9GZS3_WDR61.pdf</v>
      </c>
    </row>
    <row r="5498" spans="1:28" x14ac:dyDescent="0.25">
      <c r="A5498" t="s">
        <v>5501</v>
      </c>
      <c r="B5498">
        <v>0.99930955844802105</v>
      </c>
      <c r="C5498">
        <v>0.78305983380056599</v>
      </c>
      <c r="D5498">
        <v>0.40907324494784503</v>
      </c>
      <c r="E5498">
        <v>0.33687897136995798</v>
      </c>
      <c r="F5498">
        <v>0.31027164197405499</v>
      </c>
      <c r="G5498">
        <v>0.21988770103823599</v>
      </c>
      <c r="H5498">
        <v>0.16012172730287999</v>
      </c>
      <c r="I5498">
        <v>0.148600538603369</v>
      </c>
      <c r="J5498">
        <v>0.15868836022875099</v>
      </c>
      <c r="K5498">
        <v>0.15036922780440101</v>
      </c>
      <c r="L5498">
        <v>921.26598394204598</v>
      </c>
      <c r="M5498">
        <v>20.568111226764699</v>
      </c>
      <c r="N5498">
        <v>45.827228066842501</v>
      </c>
      <c r="O5498">
        <v>44.374033410112098</v>
      </c>
      <c r="P5498">
        <v>-9.4333181401915905E-2</v>
      </c>
      <c r="Q5498">
        <v>0.18595894563096199</v>
      </c>
      <c r="R5498">
        <v>0.96423476080424197</v>
      </c>
      <c r="S5498" t="s">
        <v>12114</v>
      </c>
      <c r="T5498" t="s">
        <v>13232</v>
      </c>
      <c r="U5498" t="s">
        <v>13232</v>
      </c>
      <c r="V5498" t="s">
        <v>13232</v>
      </c>
      <c r="W5498" t="s">
        <v>18660</v>
      </c>
      <c r="X5498">
        <v>7</v>
      </c>
      <c r="Y5498" t="s">
        <v>25054</v>
      </c>
      <c r="Z5498" t="s">
        <v>31629</v>
      </c>
      <c r="AA5498">
        <v>0.32919003247863582</v>
      </c>
      <c r="AB5498" t="str">
        <f>HYPERLINK("Melting_Curves/meltCurve_Q9GZT3_2_SLIRP.pdf", "Melting_Curves/meltCurve_Q9GZT3_2_SLIRP.pdf")</f>
        <v>Melting_Curves/meltCurve_Q9GZT3_2_SLIRP.pdf</v>
      </c>
    </row>
    <row r="5499" spans="1:28" x14ac:dyDescent="0.25">
      <c r="A5499" t="s">
        <v>5502</v>
      </c>
      <c r="B5499">
        <v>0.99930955844802105</v>
      </c>
      <c r="C5499">
        <v>0.89639050210166304</v>
      </c>
      <c r="D5499">
        <v>0.72986748843983795</v>
      </c>
      <c r="E5499">
        <v>0.37246782551977098</v>
      </c>
      <c r="F5499">
        <v>0.15003561298413301</v>
      </c>
      <c r="G5499">
        <v>0.104857991422451</v>
      </c>
      <c r="H5499">
        <v>6.3651679261628305E-2</v>
      </c>
      <c r="I5499">
        <v>5.5595404861636097E-2</v>
      </c>
      <c r="J5499">
        <v>4.9962916219405899E-2</v>
      </c>
      <c r="K5499">
        <v>3.8737494590370299E-2</v>
      </c>
      <c r="L5499">
        <v>936.60911870040798</v>
      </c>
      <c r="M5499">
        <v>19.4556277751749</v>
      </c>
      <c r="N5499">
        <v>48.371704831673199</v>
      </c>
      <c r="O5499">
        <v>47.640838611062897</v>
      </c>
      <c r="P5499">
        <v>-9.7571486692718298E-2</v>
      </c>
      <c r="Q5499">
        <v>4.4344646199857903E-2</v>
      </c>
      <c r="R5499">
        <v>0.99815122002065504</v>
      </c>
      <c r="S5499" t="s">
        <v>12115</v>
      </c>
      <c r="T5499" t="s">
        <v>13232</v>
      </c>
      <c r="U5499" t="s">
        <v>13232</v>
      </c>
      <c r="V5499" t="s">
        <v>13232</v>
      </c>
      <c r="W5499" t="s">
        <v>18661</v>
      </c>
      <c r="X5499">
        <v>6</v>
      </c>
      <c r="Y5499" t="s">
        <v>25055</v>
      </c>
      <c r="Z5499" t="s">
        <v>31630</v>
      </c>
      <c r="AA5499">
        <v>0.31802426579274079</v>
      </c>
      <c r="AB5499" t="str">
        <f>HYPERLINK("Melting_Curves/meltCurve_Q9GZT4_SRR.pdf", "Melting_Curves/meltCurve_Q9GZT4_SRR.pdf")</f>
        <v>Melting_Curves/meltCurve_Q9GZT4_SRR.pdf</v>
      </c>
    </row>
    <row r="5500" spans="1:28" x14ac:dyDescent="0.25">
      <c r="A5500" t="s">
        <v>5503</v>
      </c>
      <c r="B5500">
        <v>0.99930955844802105</v>
      </c>
      <c r="C5500">
        <v>1.0396480904329699</v>
      </c>
      <c r="D5500">
        <v>1.0221716374320799</v>
      </c>
      <c r="E5500">
        <v>1.15721424512306</v>
      </c>
      <c r="F5500">
        <v>1.29487540389398</v>
      </c>
      <c r="G5500">
        <v>1.037481806945</v>
      </c>
      <c r="H5500">
        <v>0.39652445191352997</v>
      </c>
      <c r="I5500">
        <v>0.21065994407198499</v>
      </c>
      <c r="J5500">
        <v>0.143758510825166</v>
      </c>
      <c r="K5500">
        <v>0.115038004483001</v>
      </c>
      <c r="L5500">
        <v>5306.9966536579996</v>
      </c>
      <c r="M5500">
        <v>87.8946306677271</v>
      </c>
      <c r="N5500">
        <v>60.632644881241198</v>
      </c>
      <c r="O5500">
        <v>60.347841389441498</v>
      </c>
      <c r="P5500">
        <v>-0.30811697259264498</v>
      </c>
      <c r="Q5500">
        <v>0.15379620416795101</v>
      </c>
      <c r="R5500">
        <v>0.93864481961392399</v>
      </c>
      <c r="S5500" t="s">
        <v>12116</v>
      </c>
      <c r="T5500" t="s">
        <v>13232</v>
      </c>
      <c r="U5500" t="s">
        <v>13232</v>
      </c>
      <c r="V5500" t="s">
        <v>13232</v>
      </c>
      <c r="W5500" t="s">
        <v>18662</v>
      </c>
      <c r="X5500">
        <v>15</v>
      </c>
      <c r="Y5500" t="s">
        <v>25056</v>
      </c>
      <c r="Z5500" t="s">
        <v>31631</v>
      </c>
      <c r="AA5500">
        <v>0.72935101956668413</v>
      </c>
      <c r="AB5500" t="str">
        <f>HYPERLINK("Melting_Curves/meltCurve_Q9GZT8_2_NIF3L1.pdf", "Melting_Curves/meltCurve_Q9GZT8_2_NIF3L1.pdf")</f>
        <v>Melting_Curves/meltCurve_Q9GZT8_2_NIF3L1.pdf</v>
      </c>
    </row>
    <row r="5501" spans="1:28" x14ac:dyDescent="0.25">
      <c r="A5501" t="s">
        <v>5504</v>
      </c>
      <c r="B5501">
        <v>0.99930955844802105</v>
      </c>
      <c r="C5501">
        <v>0.96179886450102103</v>
      </c>
      <c r="D5501">
        <v>0.69452920394720197</v>
      </c>
      <c r="E5501">
        <v>0.55400531724901403</v>
      </c>
      <c r="F5501">
        <v>0.44541663201509002</v>
      </c>
      <c r="G5501">
        <v>0.39278123471603199</v>
      </c>
      <c r="H5501">
        <v>0.357409032600913</v>
      </c>
      <c r="I5501">
        <v>0.37571123076726898</v>
      </c>
      <c r="J5501">
        <v>0.36614938395721502</v>
      </c>
      <c r="K5501">
        <v>0.29792623266228102</v>
      </c>
      <c r="L5501">
        <v>825.46225903778497</v>
      </c>
      <c r="M5501">
        <v>17.447632212213001</v>
      </c>
      <c r="N5501">
        <v>50.788078144836298</v>
      </c>
      <c r="O5501">
        <v>46.702465277691303</v>
      </c>
      <c r="P5501">
        <v>-6.0844468212899301E-2</v>
      </c>
      <c r="Q5501">
        <v>0.348581253795473</v>
      </c>
      <c r="R5501">
        <v>0.980966772512055</v>
      </c>
      <c r="S5501" t="s">
        <v>12117</v>
      </c>
      <c r="T5501" t="s">
        <v>13232</v>
      </c>
      <c r="U5501" t="s">
        <v>13232</v>
      </c>
      <c r="V5501" t="s">
        <v>13232</v>
      </c>
      <c r="W5501" t="s">
        <v>18663</v>
      </c>
      <c r="X5501">
        <v>13</v>
      </c>
      <c r="Y5501" t="s">
        <v>25057</v>
      </c>
      <c r="Z5501" t="s">
        <v>31632</v>
      </c>
      <c r="AA5501">
        <v>0.51999599700734833</v>
      </c>
      <c r="AB5501" t="str">
        <f>HYPERLINK("Melting_Curves/meltCurve_Q9GZT9_EGLN1.pdf", "Melting_Curves/meltCurve_Q9GZT9_EGLN1.pdf")</f>
        <v>Melting_Curves/meltCurve_Q9GZT9_EGLN1.pdf</v>
      </c>
    </row>
    <row r="5502" spans="1:28" x14ac:dyDescent="0.25">
      <c r="A5502" t="s">
        <v>5505</v>
      </c>
      <c r="B5502">
        <v>0.99930955844802105</v>
      </c>
      <c r="C5502">
        <v>0.99921178343915396</v>
      </c>
      <c r="D5502">
        <v>1.0632608587242001</v>
      </c>
      <c r="E5502">
        <v>1.0334890543694899</v>
      </c>
      <c r="F5502">
        <v>0.97488505829037697</v>
      </c>
      <c r="G5502">
        <v>0.93264548294550598</v>
      </c>
      <c r="H5502">
        <v>0.95956693572918905</v>
      </c>
      <c r="I5502">
        <v>1.0586328821173201</v>
      </c>
      <c r="J5502">
        <v>1.0681115359573901</v>
      </c>
      <c r="K5502">
        <v>0.85388465020080595</v>
      </c>
      <c r="L5502">
        <v>15000</v>
      </c>
      <c r="M5502">
        <v>212.520263568308</v>
      </c>
      <c r="Q5502">
        <v>0</v>
      </c>
      <c r="R5502">
        <v>0.51240386815496297</v>
      </c>
      <c r="S5502" t="s">
        <v>12118</v>
      </c>
      <c r="T5502" t="s">
        <v>13232</v>
      </c>
      <c r="U5502" t="s">
        <v>13232</v>
      </c>
      <c r="V5502" t="s">
        <v>13232</v>
      </c>
      <c r="W5502" t="s">
        <v>18664</v>
      </c>
      <c r="X5502">
        <v>17</v>
      </c>
      <c r="Y5502" t="s">
        <v>25058</v>
      </c>
      <c r="Z5502" t="s">
        <v>31633</v>
      </c>
      <c r="AA5502">
        <v>0.99829654479668684</v>
      </c>
      <c r="AB5502" t="str">
        <f>HYPERLINK("Melting_Curves/meltCurve_Q9GZU8_FAM192A.pdf", "Melting_Curves/meltCurve_Q9GZU8_FAM192A.pdf")</f>
        <v>Melting_Curves/meltCurve_Q9GZU8_FAM192A.pdf</v>
      </c>
    </row>
    <row r="5503" spans="1:28" x14ac:dyDescent="0.25">
      <c r="A5503" t="s">
        <v>5506</v>
      </c>
      <c r="B5503">
        <v>0.99930955844802105</v>
      </c>
      <c r="C5503">
        <v>0.95158784989948697</v>
      </c>
      <c r="D5503">
        <v>0.77645017369709901</v>
      </c>
      <c r="E5503">
        <v>0.48212302482078001</v>
      </c>
      <c r="F5503">
        <v>0.38148136957026801</v>
      </c>
      <c r="G5503">
        <v>0.29350817521487699</v>
      </c>
      <c r="H5503">
        <v>0.28439756850421999</v>
      </c>
      <c r="I5503">
        <v>0.32345200299816401</v>
      </c>
      <c r="J5503">
        <v>0.29510593473077101</v>
      </c>
      <c r="K5503">
        <v>0.22309574574801999</v>
      </c>
      <c r="L5503">
        <v>987.61612987252602</v>
      </c>
      <c r="M5503">
        <v>20.6297957463023</v>
      </c>
      <c r="N5503">
        <v>49.830266249377303</v>
      </c>
      <c r="O5503">
        <v>47.430261383484599</v>
      </c>
      <c r="P5503">
        <v>-7.8552768284491398E-2</v>
      </c>
      <c r="Q5503">
        <v>0.277613586288943</v>
      </c>
      <c r="R5503">
        <v>0.99252180859381001</v>
      </c>
      <c r="S5503" t="s">
        <v>12119</v>
      </c>
      <c r="T5503" t="s">
        <v>13232</v>
      </c>
      <c r="U5503" t="s">
        <v>13232</v>
      </c>
      <c r="V5503" t="s">
        <v>13232</v>
      </c>
      <c r="W5503" t="s">
        <v>18665</v>
      </c>
      <c r="X5503">
        <v>4</v>
      </c>
      <c r="Y5503" t="s">
        <v>25059</v>
      </c>
      <c r="Z5503" t="s">
        <v>31634</v>
      </c>
      <c r="AA5503">
        <v>0.47683383718662892</v>
      </c>
      <c r="AB5503" t="str">
        <f>HYPERLINK("Melting_Curves/meltCurve_Q9GZY8_MFF.pdf", "Melting_Curves/meltCurve_Q9GZY8_MFF.pdf")</f>
        <v>Melting_Curves/meltCurve_Q9GZY8_MFF.pdf</v>
      </c>
    </row>
    <row r="5504" spans="1:28" x14ac:dyDescent="0.25">
      <c r="A5504" t="s">
        <v>5507</v>
      </c>
      <c r="B5504">
        <v>0.99930955844802105</v>
      </c>
      <c r="C5504">
        <v>0.82461823938734702</v>
      </c>
      <c r="D5504">
        <v>0.82483227384630298</v>
      </c>
      <c r="E5504">
        <v>0.83121451769925703</v>
      </c>
      <c r="F5504">
        <v>0.64165276970086904</v>
      </c>
      <c r="G5504">
        <v>0.55670512046410803</v>
      </c>
      <c r="H5504">
        <v>0.48468826799027798</v>
      </c>
      <c r="I5504">
        <v>0.49130718898836001</v>
      </c>
      <c r="J5504">
        <v>0.413027541379827</v>
      </c>
      <c r="K5504">
        <v>0.35498212102760501</v>
      </c>
      <c r="L5504">
        <v>344.14915523222601</v>
      </c>
      <c r="M5504">
        <v>6.0484409944851398</v>
      </c>
      <c r="N5504">
        <v>61.067706077245099</v>
      </c>
      <c r="O5504">
        <v>51.616641910438503</v>
      </c>
      <c r="P5504">
        <v>-2.4416706030722799E-2</v>
      </c>
      <c r="Q5504">
        <v>0.16913797256656199</v>
      </c>
      <c r="R5504">
        <v>0.95204162550509397</v>
      </c>
      <c r="S5504" t="s">
        <v>12120</v>
      </c>
      <c r="T5504" t="s">
        <v>13232</v>
      </c>
      <c r="U5504" t="s">
        <v>13232</v>
      </c>
      <c r="V5504" t="s">
        <v>13232</v>
      </c>
      <c r="W5504" t="s">
        <v>18666</v>
      </c>
      <c r="X5504">
        <v>4</v>
      </c>
      <c r="Y5504" t="s">
        <v>25059</v>
      </c>
      <c r="Z5504" t="s">
        <v>31635</v>
      </c>
      <c r="AA5504">
        <v>0.64120247257547092</v>
      </c>
      <c r="AB5504" t="str">
        <f>HYPERLINK("Melting_Curves/meltCurve_Q9GZY8_2_MFF.pdf", "Melting_Curves/meltCurve_Q9GZY8_2_MFF.pdf")</f>
        <v>Melting_Curves/meltCurve_Q9GZY8_2_MFF.pdf</v>
      </c>
    </row>
    <row r="5505" spans="1:28" x14ac:dyDescent="0.25">
      <c r="A5505" t="s">
        <v>5508</v>
      </c>
      <c r="B5505">
        <v>0.99930955844802105</v>
      </c>
      <c r="C5505">
        <v>0.92259653692981902</v>
      </c>
      <c r="D5505">
        <v>0.83336047098141297</v>
      </c>
      <c r="E5505">
        <v>0.61096456584470904</v>
      </c>
      <c r="F5505">
        <v>0.384693195660889</v>
      </c>
      <c r="G5505">
        <v>0.25132582045290902</v>
      </c>
      <c r="H5505">
        <v>0.13467028424883801</v>
      </c>
      <c r="I5505">
        <v>0.113188869822379</v>
      </c>
      <c r="J5505">
        <v>8.4343853818934902E-2</v>
      </c>
      <c r="K5505">
        <v>6.8763408275655094E-2</v>
      </c>
      <c r="L5505">
        <v>710.433488288033</v>
      </c>
      <c r="M5505">
        <v>13.9092290388735</v>
      </c>
      <c r="N5505">
        <v>51.484209570555201</v>
      </c>
      <c r="O5505">
        <v>50.055388868620199</v>
      </c>
      <c r="P5505">
        <v>-6.5854582118269195E-2</v>
      </c>
      <c r="Q5505">
        <v>5.2160452526728802E-2</v>
      </c>
      <c r="R5505">
        <v>0.998502400882468</v>
      </c>
      <c r="S5505" t="s">
        <v>12121</v>
      </c>
      <c r="T5505" t="s">
        <v>13232</v>
      </c>
      <c r="U5505" t="s">
        <v>13232</v>
      </c>
      <c r="V5505" t="s">
        <v>13232</v>
      </c>
      <c r="W5505" t="s">
        <v>18667</v>
      </c>
      <c r="X5505">
        <v>8</v>
      </c>
      <c r="Y5505" t="s">
        <v>25060</v>
      </c>
      <c r="Z5505" t="s">
        <v>31636</v>
      </c>
      <c r="AA5505">
        <v>0.42678349471495902</v>
      </c>
      <c r="AB5505" t="str">
        <f>HYPERLINK("Melting_Curves/meltCurve_Q9GZZ9_UBA5.pdf", "Melting_Curves/meltCurve_Q9GZZ9_UBA5.pdf")</f>
        <v>Melting_Curves/meltCurve_Q9GZZ9_UBA5.pdf</v>
      </c>
    </row>
    <row r="5506" spans="1:28" x14ac:dyDescent="0.25">
      <c r="A5506" t="s">
        <v>5509</v>
      </c>
      <c r="B5506">
        <v>0.99930955844802105</v>
      </c>
      <c r="C5506">
        <v>1.07361397128539</v>
      </c>
      <c r="D5506">
        <v>0.991773663930412</v>
      </c>
      <c r="E5506">
        <v>0.98439382189858504</v>
      </c>
      <c r="F5506">
        <v>0.86967074431510805</v>
      </c>
      <c r="G5506">
        <v>0.54098294415459702</v>
      </c>
      <c r="H5506">
        <v>0.213547707014618</v>
      </c>
      <c r="I5506">
        <v>0.13173816910289299</v>
      </c>
      <c r="J5506">
        <v>0.120390176270295</v>
      </c>
      <c r="K5506">
        <v>8.9360790559387407E-2</v>
      </c>
      <c r="L5506">
        <v>1477.6457347467001</v>
      </c>
      <c r="M5506">
        <v>25.976627943614599</v>
      </c>
      <c r="N5506">
        <v>57.311150226680603</v>
      </c>
      <c r="O5506">
        <v>56.549760759746697</v>
      </c>
      <c r="P5506">
        <v>-0.10472663276685699</v>
      </c>
      <c r="Q5506">
        <v>8.8072918597764893E-2</v>
      </c>
      <c r="R5506">
        <v>0.99620603727749801</v>
      </c>
      <c r="S5506" t="s">
        <v>12122</v>
      </c>
      <c r="T5506" t="s">
        <v>13232</v>
      </c>
      <c r="U5506" t="s">
        <v>13232</v>
      </c>
      <c r="V5506" t="s">
        <v>13232</v>
      </c>
      <c r="W5506" t="s">
        <v>18668</v>
      </c>
      <c r="X5506">
        <v>8</v>
      </c>
      <c r="Y5506" t="s">
        <v>25061</v>
      </c>
      <c r="Z5506" t="s">
        <v>31637</v>
      </c>
      <c r="AA5506">
        <v>0.6090484370460385</v>
      </c>
      <c r="AB5506" t="str">
        <f>HYPERLINK("Melting_Curves/meltCurve_Q9H008_LHPP.pdf", "Melting_Curves/meltCurve_Q9H008_LHPP.pdf")</f>
        <v>Melting_Curves/meltCurve_Q9H008_LHPP.pdf</v>
      </c>
    </row>
    <row r="5507" spans="1:28" x14ac:dyDescent="0.25">
      <c r="A5507" t="s">
        <v>5510</v>
      </c>
      <c r="B5507">
        <v>0.99930955844802105</v>
      </c>
      <c r="C5507">
        <v>0.87114387233291402</v>
      </c>
      <c r="D5507">
        <v>0.88512423208396196</v>
      </c>
      <c r="E5507">
        <v>0.76930463056836795</v>
      </c>
      <c r="F5507">
        <v>0.68348327968470401</v>
      </c>
      <c r="G5507">
        <v>0.45229928266102198</v>
      </c>
      <c r="H5507">
        <v>0.247513120979614</v>
      </c>
      <c r="I5507">
        <v>9.9921771100819706E-2</v>
      </c>
      <c r="J5507">
        <v>6.2638023362943496E-2</v>
      </c>
      <c r="K5507">
        <v>4.6898031273657902E-2</v>
      </c>
      <c r="L5507">
        <v>703.21190100551701</v>
      </c>
      <c r="M5507">
        <v>12.6925302016099</v>
      </c>
      <c r="N5507">
        <v>55.403588176041602</v>
      </c>
      <c r="O5507">
        <v>54.082317517401002</v>
      </c>
      <c r="P5507">
        <v>-5.8683651385866897E-2</v>
      </c>
      <c r="Q5507">
        <v>0</v>
      </c>
      <c r="R5507">
        <v>0.98245913678571095</v>
      </c>
      <c r="S5507" t="s">
        <v>12123</v>
      </c>
      <c r="T5507" t="s">
        <v>13232</v>
      </c>
      <c r="U5507" t="s">
        <v>13232</v>
      </c>
      <c r="V5507" t="s">
        <v>13232</v>
      </c>
      <c r="W5507" t="s">
        <v>18669</v>
      </c>
      <c r="X5507">
        <v>16</v>
      </c>
      <c r="Y5507" t="s">
        <v>25062</v>
      </c>
      <c r="Z5507" t="s">
        <v>31638</v>
      </c>
      <c r="AA5507">
        <v>0.5349463875310253</v>
      </c>
      <c r="AB5507" t="str">
        <f>HYPERLINK("Melting_Curves/meltCurve_Q9H074_PAIP1.pdf", "Melting_Curves/meltCurve_Q9H074_PAIP1.pdf")</f>
        <v>Melting_Curves/meltCurve_Q9H074_PAIP1.pdf</v>
      </c>
    </row>
    <row r="5508" spans="1:28" x14ac:dyDescent="0.25">
      <c r="A5508" t="s">
        <v>5511</v>
      </c>
      <c r="B5508">
        <v>0.99930955844802105</v>
      </c>
      <c r="C5508">
        <v>0.77571544592882202</v>
      </c>
      <c r="D5508">
        <v>0.80642189848492796</v>
      </c>
      <c r="E5508">
        <v>0.700110476388356</v>
      </c>
      <c r="F5508">
        <v>0.54344428278749202</v>
      </c>
      <c r="G5508">
        <v>0.28580077572065898</v>
      </c>
      <c r="H5508">
        <v>0.1309596747199</v>
      </c>
      <c r="I5508">
        <v>0.101522572863876</v>
      </c>
      <c r="J5508">
        <v>7.8449486766525703E-2</v>
      </c>
      <c r="K5508">
        <v>6.6296756827125103E-2</v>
      </c>
      <c r="L5508">
        <v>576.05113250722695</v>
      </c>
      <c r="M5508">
        <v>10.9338632129676</v>
      </c>
      <c r="N5508">
        <v>52.685046614007597</v>
      </c>
      <c r="O5508">
        <v>51.0146537599135</v>
      </c>
      <c r="P5508">
        <v>-5.3600475495111002E-2</v>
      </c>
      <c r="Q5508">
        <v>0</v>
      </c>
      <c r="R5508">
        <v>0.97015265632372705</v>
      </c>
      <c r="S5508" t="s">
        <v>12124</v>
      </c>
      <c r="T5508" t="s">
        <v>13232</v>
      </c>
      <c r="U5508" t="s">
        <v>13232</v>
      </c>
      <c r="V5508" t="s">
        <v>13232</v>
      </c>
      <c r="W5508" t="s">
        <v>18670</v>
      </c>
      <c r="X5508">
        <v>2</v>
      </c>
      <c r="Y5508" t="s">
        <v>25063</v>
      </c>
      <c r="Z5508" t="s">
        <v>31639</v>
      </c>
      <c r="AA5508">
        <v>0.45519045675699382</v>
      </c>
      <c r="AB5508" t="str">
        <f>HYPERLINK("Melting_Curves/meltCurve_Q9H079_KATNBL1.pdf", "Melting_Curves/meltCurve_Q9H079_KATNBL1.pdf")</f>
        <v>Melting_Curves/meltCurve_Q9H079_KATNBL1.pdf</v>
      </c>
    </row>
    <row r="5509" spans="1:28" x14ac:dyDescent="0.25">
      <c r="A5509" t="s">
        <v>5512</v>
      </c>
      <c r="B5509">
        <v>0.99930955844802105</v>
      </c>
      <c r="C5509">
        <v>1.2831059407433401</v>
      </c>
      <c r="D5509">
        <v>1.2017373531027</v>
      </c>
      <c r="E5509">
        <v>0.79944667671750202</v>
      </c>
      <c r="F5509">
        <v>0.36041512890803901</v>
      </c>
      <c r="G5509">
        <v>0.26597252488759898</v>
      </c>
      <c r="H5509">
        <v>0.15281505940453199</v>
      </c>
      <c r="I5509">
        <v>0.12526516359669199</v>
      </c>
      <c r="J5509">
        <v>0.108682789263751</v>
      </c>
      <c r="K5509">
        <v>8.6193607368594202E-2</v>
      </c>
      <c r="L5509">
        <v>1990.72590534969</v>
      </c>
      <c r="M5509">
        <v>38.548315388219301</v>
      </c>
      <c r="N5509">
        <v>52.0868246641786</v>
      </c>
      <c r="O5509">
        <v>51.503957061133399</v>
      </c>
      <c r="P5509">
        <v>-0.160889487968227</v>
      </c>
      <c r="Q5509">
        <v>0.14015160681380601</v>
      </c>
      <c r="R5509">
        <v>0.93328872463491397</v>
      </c>
      <c r="S5509" t="s">
        <v>12125</v>
      </c>
      <c r="T5509" t="s">
        <v>13232</v>
      </c>
      <c r="U5509" t="s">
        <v>13232</v>
      </c>
      <c r="V5509" t="s">
        <v>13232</v>
      </c>
      <c r="W5509" t="s">
        <v>18671</v>
      </c>
      <c r="X5509">
        <v>9</v>
      </c>
      <c r="Y5509" t="s">
        <v>25064</v>
      </c>
      <c r="Z5509" t="s">
        <v>31640</v>
      </c>
      <c r="AA5509">
        <v>0.47714568997510381</v>
      </c>
      <c r="AB5509" t="str">
        <f>HYPERLINK("Melting_Curves/meltCurve_Q9H081_MIS12.pdf", "Melting_Curves/meltCurve_Q9H081_MIS12.pdf")</f>
        <v>Melting_Curves/meltCurve_Q9H081_MIS12.pdf</v>
      </c>
    </row>
    <row r="5510" spans="1:28" x14ac:dyDescent="0.25">
      <c r="A5510" t="s">
        <v>5513</v>
      </c>
      <c r="B5510">
        <v>0.99930955844802105</v>
      </c>
      <c r="C5510">
        <v>1.01172393418326</v>
      </c>
      <c r="D5510">
        <v>0.98775186183638197</v>
      </c>
      <c r="E5510">
        <v>0.777441938183425</v>
      </c>
      <c r="F5510">
        <v>0.53259679143854</v>
      </c>
      <c r="G5510">
        <v>0.318557408398567</v>
      </c>
      <c r="H5510">
        <v>0.198626122708908</v>
      </c>
      <c r="I5510">
        <v>0.120957176133483</v>
      </c>
      <c r="J5510">
        <v>0.104096128677166</v>
      </c>
      <c r="K5510">
        <v>8.3688702259244005E-2</v>
      </c>
      <c r="L5510">
        <v>946.72720078376699</v>
      </c>
      <c r="M5510">
        <v>17.7867799620597</v>
      </c>
      <c r="N5510">
        <v>53.794757104487402</v>
      </c>
      <c r="O5510">
        <v>52.567331896082997</v>
      </c>
      <c r="P5510">
        <v>-7.7349009958450607E-2</v>
      </c>
      <c r="Q5510">
        <v>8.5653305502716104E-2</v>
      </c>
      <c r="R5510">
        <v>0.99694974713904505</v>
      </c>
      <c r="S5510" t="s">
        <v>12126</v>
      </c>
      <c r="T5510" t="s">
        <v>13232</v>
      </c>
      <c r="U5510" t="s">
        <v>13232</v>
      </c>
      <c r="V5510" t="s">
        <v>13232</v>
      </c>
      <c r="W5510" t="s">
        <v>18672</v>
      </c>
      <c r="X5510">
        <v>2</v>
      </c>
      <c r="Y5510" t="s">
        <v>25065</v>
      </c>
      <c r="Z5510" t="s">
        <v>31641</v>
      </c>
      <c r="AA5510">
        <v>0.50395753737154736</v>
      </c>
      <c r="AB5510" t="str">
        <f>HYPERLINK("Melting_Curves/meltCurve_Q9H082_RAB33B.pdf", "Melting_Curves/meltCurve_Q9H082_RAB33B.pdf")</f>
        <v>Melting_Curves/meltCurve_Q9H082_RAB33B.pdf</v>
      </c>
    </row>
    <row r="5511" spans="1:28" x14ac:dyDescent="0.25">
      <c r="A5511" t="s">
        <v>5514</v>
      </c>
      <c r="B5511">
        <v>0.99930955844802105</v>
      </c>
      <c r="C5511">
        <v>0.94821437824954302</v>
      </c>
      <c r="D5511">
        <v>0.82432344088628495</v>
      </c>
      <c r="E5511">
        <v>0.92946112412515303</v>
      </c>
      <c r="F5511">
        <v>0.83059278535527503</v>
      </c>
      <c r="G5511">
        <v>0.698041285455408</v>
      </c>
      <c r="H5511">
        <v>0.80487860922441701</v>
      </c>
      <c r="I5511">
        <v>1.07181892268878</v>
      </c>
      <c r="J5511">
        <v>1.9375501887247</v>
      </c>
      <c r="K5511">
        <v>0.92150075563994704</v>
      </c>
      <c r="L5511">
        <v>15000</v>
      </c>
      <c r="M5511">
        <v>232.77779524107501</v>
      </c>
      <c r="O5511">
        <v>64.434380059311195</v>
      </c>
      <c r="P5511">
        <v>0.38788697330972399</v>
      </c>
      <c r="Q5511">
        <v>1.4294783602035399</v>
      </c>
      <c r="R5511">
        <v>0.34413681642330701</v>
      </c>
      <c r="S5511" t="s">
        <v>12127</v>
      </c>
      <c r="T5511" t="s">
        <v>13232</v>
      </c>
      <c r="U5511" t="s">
        <v>13232</v>
      </c>
      <c r="V5511" t="s">
        <v>13232</v>
      </c>
      <c r="W5511" t="s">
        <v>18673</v>
      </c>
      <c r="X5511">
        <v>2</v>
      </c>
      <c r="Y5511" t="s">
        <v>25066</v>
      </c>
      <c r="Z5511" t="s">
        <v>31642</v>
      </c>
      <c r="AA5511">
        <v>1.079553001205132</v>
      </c>
      <c r="AB5511" t="str">
        <f>HYPERLINK("Melting_Curves/meltCurve_Q9H094_2_NBPF3.pdf", "Melting_Curves/meltCurve_Q9H094_2_NBPF3.pdf")</f>
        <v>Melting_Curves/meltCurve_Q9H094_2_NBPF3.pdf</v>
      </c>
    </row>
    <row r="5512" spans="1:28" x14ac:dyDescent="0.25">
      <c r="A5512" t="s">
        <v>5515</v>
      </c>
      <c r="B5512">
        <v>0.99930955844802105</v>
      </c>
      <c r="C5512">
        <v>1.16374724858117</v>
      </c>
      <c r="D5512">
        <v>1.1830685003180099</v>
      </c>
      <c r="E5512">
        <v>1.2333938544522101</v>
      </c>
      <c r="F5512">
        <v>1.1343361942468499</v>
      </c>
      <c r="G5512">
        <v>0.97875173507302904</v>
      </c>
      <c r="H5512">
        <v>1.0579723653789901</v>
      </c>
      <c r="I5512">
        <v>1.13323264952869</v>
      </c>
      <c r="J5512">
        <v>1.1165741591562801</v>
      </c>
      <c r="K5512">
        <v>0.925564160926026</v>
      </c>
      <c r="L5512">
        <v>10262.649118109999</v>
      </c>
      <c r="M5512">
        <v>250</v>
      </c>
      <c r="O5512">
        <v>41.047958734828498</v>
      </c>
      <c r="P5512">
        <v>0.15676790018094799</v>
      </c>
      <c r="Q5512">
        <v>1.1029600637700101</v>
      </c>
      <c r="R5512">
        <v>0.11011332871855201</v>
      </c>
      <c r="S5512" t="s">
        <v>12128</v>
      </c>
      <c r="T5512" t="s">
        <v>13232</v>
      </c>
      <c r="U5512" t="s">
        <v>13232</v>
      </c>
      <c r="V5512" t="s">
        <v>13232</v>
      </c>
      <c r="W5512" t="s">
        <v>18674</v>
      </c>
      <c r="X5512">
        <v>8</v>
      </c>
      <c r="Y5512" t="s">
        <v>25067</v>
      </c>
      <c r="Z5512" t="s">
        <v>31643</v>
      </c>
      <c r="AA5512">
        <v>1.0993462503138649</v>
      </c>
      <c r="AB5512" t="str">
        <f>HYPERLINK("Melting_Curves/meltCurve_Q9H098_FAM107B.pdf", "Melting_Curves/meltCurve_Q9H098_FAM107B.pdf")</f>
        <v>Melting_Curves/meltCurve_Q9H098_FAM107B.pdf</v>
      </c>
    </row>
    <row r="5513" spans="1:28" x14ac:dyDescent="0.25">
      <c r="A5513" t="s">
        <v>5516</v>
      </c>
      <c r="B5513">
        <v>0.99930955844802105</v>
      </c>
      <c r="C5513">
        <v>0.60636575802219295</v>
      </c>
      <c r="D5513">
        <v>0.354482450983367</v>
      </c>
      <c r="E5513">
        <v>0.32059665273639698</v>
      </c>
      <c r="F5513">
        <v>0.249967284256679</v>
      </c>
      <c r="G5513">
        <v>0.19437645929122899</v>
      </c>
      <c r="H5513">
        <v>0.16797098669587601</v>
      </c>
      <c r="I5513">
        <v>0.15581665979596199</v>
      </c>
      <c r="J5513">
        <v>0.15139004515436999</v>
      </c>
      <c r="K5513">
        <v>0.122981640285485</v>
      </c>
      <c r="L5513">
        <v>1023.92796445386</v>
      </c>
      <c r="M5513">
        <v>23.534275102127999</v>
      </c>
      <c r="N5513">
        <v>44.371969115667902</v>
      </c>
      <c r="O5513">
        <v>43.197462562780203</v>
      </c>
      <c r="P5513">
        <v>-0.11116832669031</v>
      </c>
      <c r="Q5513">
        <v>0.18381043972020999</v>
      </c>
      <c r="R5513">
        <v>0.955842569673931</v>
      </c>
      <c r="S5513" t="s">
        <v>12129</v>
      </c>
      <c r="T5513" t="s">
        <v>13232</v>
      </c>
      <c r="U5513" t="s">
        <v>13232</v>
      </c>
      <c r="V5513" t="s">
        <v>13232</v>
      </c>
      <c r="W5513" t="s">
        <v>18675</v>
      </c>
      <c r="X5513">
        <v>27</v>
      </c>
      <c r="Y5513" t="s">
        <v>25068</v>
      </c>
      <c r="Z5513" t="s">
        <v>31644</v>
      </c>
      <c r="AA5513">
        <v>0.2911597811400311</v>
      </c>
      <c r="AB5513" t="str">
        <f>HYPERLINK("Melting_Curves/meltCurve_Q9H0A0_NAT10.pdf", "Melting_Curves/meltCurve_Q9H0A0_NAT10.pdf")</f>
        <v>Melting_Curves/meltCurve_Q9H0A0_NAT10.pdf</v>
      </c>
    </row>
    <row r="5514" spans="1:28" x14ac:dyDescent="0.25">
      <c r="A5514" t="s">
        <v>5517</v>
      </c>
      <c r="B5514">
        <v>0.99930955844802105</v>
      </c>
      <c r="C5514">
        <v>0.73156044950214705</v>
      </c>
      <c r="D5514">
        <v>0.75550102219319104</v>
      </c>
      <c r="E5514">
        <v>0.61614497564537696</v>
      </c>
      <c r="F5514">
        <v>0.40607343530112699</v>
      </c>
      <c r="G5514">
        <v>0.23367477777404799</v>
      </c>
      <c r="H5514">
        <v>9.1590502282362998E-2</v>
      </c>
      <c r="I5514">
        <v>6.6199164489570902E-2</v>
      </c>
      <c r="J5514">
        <v>5.8763784345024897E-2</v>
      </c>
      <c r="K5514">
        <v>4.0760738375876703E-2</v>
      </c>
      <c r="L5514">
        <v>543.19901902714196</v>
      </c>
      <c r="M5514">
        <v>10.702101729603299</v>
      </c>
      <c r="N5514">
        <v>50.756293724403001</v>
      </c>
      <c r="O5514">
        <v>49.080409822193701</v>
      </c>
      <c r="P5514">
        <v>-5.4533544154084401E-2</v>
      </c>
      <c r="Q5514">
        <v>0</v>
      </c>
      <c r="R5514">
        <v>0.97000964698022896</v>
      </c>
      <c r="S5514" t="s">
        <v>12130</v>
      </c>
      <c r="T5514" t="s">
        <v>13232</v>
      </c>
      <c r="U5514" t="s">
        <v>13232</v>
      </c>
      <c r="V5514" t="s">
        <v>13232</v>
      </c>
      <c r="W5514" t="s">
        <v>18676</v>
      </c>
      <c r="X5514">
        <v>6</v>
      </c>
      <c r="Y5514" t="s">
        <v>25069</v>
      </c>
      <c r="Z5514" t="s">
        <v>31645</v>
      </c>
      <c r="AA5514">
        <v>0.39741030831597118</v>
      </c>
      <c r="AB5514" t="str">
        <f>HYPERLINK("Melting_Curves/meltCurve_Q9H0A8_COMMD4.pdf", "Melting_Curves/meltCurve_Q9H0A8_COMMD4.pdf")</f>
        <v>Melting_Curves/meltCurve_Q9H0A8_COMMD4.pdf</v>
      </c>
    </row>
    <row r="5515" spans="1:28" x14ac:dyDescent="0.25">
      <c r="A5515" t="s">
        <v>5518</v>
      </c>
      <c r="B5515">
        <v>0.99930955844802105</v>
      </c>
      <c r="C5515">
        <v>0.74938510155426397</v>
      </c>
      <c r="D5515">
        <v>0.73881910202545598</v>
      </c>
      <c r="E5515">
        <v>0.41877003608816399</v>
      </c>
      <c r="F5515">
        <v>0.20205294994255199</v>
      </c>
      <c r="G5515">
        <v>0.16631555397084299</v>
      </c>
      <c r="H5515">
        <v>0.12848756270008299</v>
      </c>
      <c r="I5515">
        <v>0.13485268222886099</v>
      </c>
      <c r="J5515">
        <v>0.130641289500908</v>
      </c>
      <c r="K5515">
        <v>0.103977704194528</v>
      </c>
      <c r="L5515">
        <v>720.70240437637301</v>
      </c>
      <c r="M5515">
        <v>15.1217545828317</v>
      </c>
      <c r="N5515">
        <v>48.376895602495701</v>
      </c>
      <c r="O5515">
        <v>46.849791840392399</v>
      </c>
      <c r="P5515">
        <v>-7.2599790716796106E-2</v>
      </c>
      <c r="Q5515">
        <v>0.100381606725866</v>
      </c>
      <c r="R5515">
        <v>0.97633288709422805</v>
      </c>
      <c r="S5515" t="s">
        <v>12131</v>
      </c>
      <c r="T5515" t="s">
        <v>13232</v>
      </c>
      <c r="U5515" t="s">
        <v>13232</v>
      </c>
      <c r="V5515" t="s">
        <v>13232</v>
      </c>
      <c r="W5515" t="s">
        <v>18677</v>
      </c>
      <c r="X5515">
        <v>26</v>
      </c>
      <c r="Y5515" t="s">
        <v>25070</v>
      </c>
      <c r="Z5515" t="s">
        <v>31646</v>
      </c>
      <c r="AA5515">
        <v>0.3532457694767443</v>
      </c>
      <c r="AB5515" t="str">
        <f>HYPERLINK("Melting_Curves/meltCurve_Q9H0B6_KLC2.pdf", "Melting_Curves/meltCurve_Q9H0B6_KLC2.pdf")</f>
        <v>Melting_Curves/meltCurve_Q9H0B6_KLC2.pdf</v>
      </c>
    </row>
    <row r="5516" spans="1:28" x14ac:dyDescent="0.25">
      <c r="A5516" t="s">
        <v>5519</v>
      </c>
      <c r="B5516">
        <v>0.99930955844802105</v>
      </c>
      <c r="C5516">
        <v>1.12111770972806</v>
      </c>
      <c r="D5516">
        <v>0.95937466933980498</v>
      </c>
      <c r="E5516">
        <v>0.48420810593965702</v>
      </c>
      <c r="F5516">
        <v>0.25724324123729603</v>
      </c>
      <c r="G5516">
        <v>0.203301988144552</v>
      </c>
      <c r="H5516">
        <v>0.13287244095301901</v>
      </c>
      <c r="I5516">
        <v>0.110978623881481</v>
      </c>
      <c r="J5516">
        <v>8.9336519399883504E-2</v>
      </c>
      <c r="K5516">
        <v>6.3528460914874504E-2</v>
      </c>
      <c r="L5516">
        <v>1538.8448374995701</v>
      </c>
      <c r="M5516">
        <v>30.9818028956639</v>
      </c>
      <c r="N5516">
        <v>50.105212605173797</v>
      </c>
      <c r="O5516">
        <v>49.4637557177576</v>
      </c>
      <c r="P5516">
        <v>-0.13809113640773199</v>
      </c>
      <c r="Q5516">
        <v>0.118131756664635</v>
      </c>
      <c r="R5516">
        <v>0.982777219299383</v>
      </c>
      <c r="S5516" t="s">
        <v>12132</v>
      </c>
      <c r="T5516" t="s">
        <v>13232</v>
      </c>
      <c r="U5516" t="s">
        <v>13232</v>
      </c>
      <c r="V5516" t="s">
        <v>13232</v>
      </c>
      <c r="W5516" t="s">
        <v>18678</v>
      </c>
      <c r="X5516">
        <v>20</v>
      </c>
      <c r="Y5516" t="s">
        <v>25071</v>
      </c>
      <c r="Z5516" t="s">
        <v>31647</v>
      </c>
      <c r="AA5516">
        <v>0.40744926531492298</v>
      </c>
      <c r="AB5516" t="str">
        <f>HYPERLINK("Melting_Curves/meltCurve_Q9H0C8_ILKAP.pdf", "Melting_Curves/meltCurve_Q9H0C8_ILKAP.pdf")</f>
        <v>Melting_Curves/meltCurve_Q9H0C8_ILKAP.pdf</v>
      </c>
    </row>
    <row r="5517" spans="1:28" x14ac:dyDescent="0.25">
      <c r="A5517" t="s">
        <v>5520</v>
      </c>
      <c r="B5517">
        <v>0.99930955844802105</v>
      </c>
      <c r="C5517">
        <v>1.0190499698395601</v>
      </c>
      <c r="D5517">
        <v>0.99785191164658105</v>
      </c>
      <c r="E5517">
        <v>0.97634699431976102</v>
      </c>
      <c r="F5517">
        <v>0.98132735211662603</v>
      </c>
      <c r="G5517">
        <v>0.78702398966748299</v>
      </c>
      <c r="H5517">
        <v>0.44768154068204402</v>
      </c>
      <c r="I5517">
        <v>0.19997762813269199</v>
      </c>
      <c r="J5517">
        <v>0.102816935060507</v>
      </c>
      <c r="K5517">
        <v>7.9400324340830802E-2</v>
      </c>
      <c r="L5517">
        <v>1485.81953110217</v>
      </c>
      <c r="M5517">
        <v>24.732689607159401</v>
      </c>
      <c r="N5517">
        <v>60.282794272611397</v>
      </c>
      <c r="O5517">
        <v>59.6865211607238</v>
      </c>
      <c r="P5517">
        <v>-9.9365227934300096E-2</v>
      </c>
      <c r="Q5517">
        <v>4.08351625122279E-2</v>
      </c>
      <c r="R5517">
        <v>0.99887098108908501</v>
      </c>
      <c r="S5517" t="s">
        <v>12133</v>
      </c>
      <c r="T5517" t="s">
        <v>13232</v>
      </c>
      <c r="U5517" t="s">
        <v>13232</v>
      </c>
      <c r="V5517" t="s">
        <v>13232</v>
      </c>
      <c r="W5517" t="s">
        <v>18679</v>
      </c>
      <c r="X5517">
        <v>50</v>
      </c>
      <c r="Y5517" t="s">
        <v>25072</v>
      </c>
      <c r="Z5517" t="s">
        <v>31648</v>
      </c>
      <c r="AA5517">
        <v>0.68979258020644429</v>
      </c>
      <c r="AB5517" t="str">
        <f>HYPERLINK("Melting_Curves/meltCurve_Q9H0D6_XRN2.pdf", "Melting_Curves/meltCurve_Q9H0D6_XRN2.pdf")</f>
        <v>Melting_Curves/meltCurve_Q9H0D6_XRN2.pdf</v>
      </c>
    </row>
    <row r="5518" spans="1:28" x14ac:dyDescent="0.25">
      <c r="A5518" t="s">
        <v>5521</v>
      </c>
      <c r="B5518">
        <v>0.99930955844802105</v>
      </c>
      <c r="C5518">
        <v>1.0625101524902101</v>
      </c>
      <c r="D5518">
        <v>1.0307056351753601</v>
      </c>
      <c r="E5518">
        <v>0.88703709936779696</v>
      </c>
      <c r="F5518">
        <v>0.50980186249507198</v>
      </c>
      <c r="G5518">
        <v>0.32398754052770401</v>
      </c>
      <c r="H5518">
        <v>0.28578713529125599</v>
      </c>
      <c r="I5518">
        <v>0.29092105804440199</v>
      </c>
      <c r="J5518">
        <v>0.29325650428007199</v>
      </c>
      <c r="K5518">
        <v>0.21429899572189501</v>
      </c>
      <c r="L5518">
        <v>2074.84721071895</v>
      </c>
      <c r="M5518">
        <v>39.845458927143603</v>
      </c>
      <c r="N5518">
        <v>53.141668716002897</v>
      </c>
      <c r="O5518">
        <v>51.9416957250358</v>
      </c>
      <c r="P5518">
        <v>-0.13890033882781599</v>
      </c>
      <c r="Q5518">
        <v>0.27573105083761001</v>
      </c>
      <c r="R5518">
        <v>0.99121917119690095</v>
      </c>
      <c r="S5518" t="s">
        <v>12134</v>
      </c>
      <c r="T5518" t="s">
        <v>13232</v>
      </c>
      <c r="U5518" t="s">
        <v>13232</v>
      </c>
      <c r="V5518" t="s">
        <v>13232</v>
      </c>
      <c r="W5518" t="s">
        <v>18680</v>
      </c>
      <c r="X5518">
        <v>10</v>
      </c>
      <c r="Y5518" t="s">
        <v>25073</v>
      </c>
      <c r="Z5518" t="s">
        <v>31649</v>
      </c>
      <c r="AA5518">
        <v>0.56981161265956848</v>
      </c>
      <c r="AB5518" t="str">
        <f>HYPERLINK("Melting_Curves/meltCurve_Q9H0E2_TOLLIP.pdf", "Melting_Curves/meltCurve_Q9H0E2_TOLLIP.pdf")</f>
        <v>Melting_Curves/meltCurve_Q9H0E2_TOLLIP.pdf</v>
      </c>
    </row>
    <row r="5519" spans="1:28" x14ac:dyDescent="0.25">
      <c r="A5519" t="s">
        <v>5522</v>
      </c>
      <c r="B5519">
        <v>0.99930955844802105</v>
      </c>
      <c r="C5519">
        <v>1.05007320113638</v>
      </c>
      <c r="D5519">
        <v>1.0296965023362099</v>
      </c>
      <c r="E5519">
        <v>0.92315478239706295</v>
      </c>
      <c r="F5519">
        <v>0.71110517573280296</v>
      </c>
      <c r="G5519">
        <v>0.54012401825080503</v>
      </c>
      <c r="H5519">
        <v>0.47223813251943197</v>
      </c>
      <c r="I5519">
        <v>0.46798810346608399</v>
      </c>
      <c r="J5519">
        <v>0.38119099109877702</v>
      </c>
      <c r="K5519">
        <v>0.38342081398554001</v>
      </c>
      <c r="L5519">
        <v>1215.4726206948501</v>
      </c>
      <c r="M5519">
        <v>22.687620040408898</v>
      </c>
      <c r="N5519">
        <v>57.978640004628701</v>
      </c>
      <c r="O5519">
        <v>53.1632427517021</v>
      </c>
      <c r="P5519">
        <v>-6.2864535928200099E-2</v>
      </c>
      <c r="Q5519">
        <v>0.41077698307902</v>
      </c>
      <c r="R5519">
        <v>0.98470780181125395</v>
      </c>
      <c r="S5519" t="s">
        <v>12135</v>
      </c>
      <c r="T5519" t="s">
        <v>13232</v>
      </c>
      <c r="U5519" t="s">
        <v>13232</v>
      </c>
      <c r="V5519" t="s">
        <v>13232</v>
      </c>
      <c r="W5519" t="s">
        <v>18681</v>
      </c>
      <c r="X5519">
        <v>25</v>
      </c>
      <c r="Y5519" t="s">
        <v>25074</v>
      </c>
      <c r="Z5519" t="s">
        <v>31650</v>
      </c>
      <c r="AA5519">
        <v>0.68387566245293707</v>
      </c>
      <c r="AB5519" t="str">
        <f>HYPERLINK("Melting_Curves/meltCurve_Q9H0E9_2_BRD8.pdf", "Melting_Curves/meltCurve_Q9H0E9_2_BRD8.pdf")</f>
        <v>Melting_Curves/meltCurve_Q9H0E9_2_BRD8.pdf</v>
      </c>
    </row>
    <row r="5520" spans="1:28" x14ac:dyDescent="0.25">
      <c r="A5520" t="s">
        <v>5523</v>
      </c>
      <c r="B5520">
        <v>0.99930955844802105</v>
      </c>
      <c r="C5520">
        <v>0.93966054377614505</v>
      </c>
      <c r="D5520">
        <v>0.77367370773662703</v>
      </c>
      <c r="E5520">
        <v>0.64176109465122</v>
      </c>
      <c r="F5520">
        <v>0.476146551892982</v>
      </c>
      <c r="G5520">
        <v>0.36344654972638202</v>
      </c>
      <c r="H5520">
        <v>0.336206767245676</v>
      </c>
      <c r="I5520">
        <v>0.35501534817612801</v>
      </c>
      <c r="J5520">
        <v>0.38535980009429199</v>
      </c>
      <c r="K5520">
        <v>0.28655729493631898</v>
      </c>
      <c r="L5520">
        <v>740.15795093061604</v>
      </c>
      <c r="M5520">
        <v>15.1297457035453</v>
      </c>
      <c r="N5520">
        <v>52.453124738866599</v>
      </c>
      <c r="O5520">
        <v>48.0899543237784</v>
      </c>
      <c r="P5520">
        <v>-5.3528517400772399E-2</v>
      </c>
      <c r="Q5520">
        <v>0.319504088112533</v>
      </c>
      <c r="R5520">
        <v>0.98523774208668902</v>
      </c>
      <c r="S5520" t="s">
        <v>12136</v>
      </c>
      <c r="T5520" t="s">
        <v>13232</v>
      </c>
      <c r="U5520" t="s">
        <v>13232</v>
      </c>
      <c r="V5520" t="s">
        <v>13232</v>
      </c>
      <c r="W5520" t="s">
        <v>18682</v>
      </c>
      <c r="X5520">
        <v>5</v>
      </c>
      <c r="Y5520" t="s">
        <v>25075</v>
      </c>
      <c r="Z5520" t="s">
        <v>31651</v>
      </c>
      <c r="AA5520">
        <v>0.53842711080203387</v>
      </c>
      <c r="AB5520" t="str">
        <f>HYPERLINK("Melting_Curves/meltCurve_Q9H0F6_SHARPIN.pdf", "Melting_Curves/meltCurve_Q9H0F6_SHARPIN.pdf")</f>
        <v>Melting_Curves/meltCurve_Q9H0F6_SHARPIN.pdf</v>
      </c>
    </row>
    <row r="5521" spans="1:28" x14ac:dyDescent="0.25">
      <c r="A5521" t="s">
        <v>5524</v>
      </c>
      <c r="B5521">
        <v>0.99930955844802105</v>
      </c>
      <c r="C5521">
        <v>1.01329119042769</v>
      </c>
      <c r="D5521">
        <v>0.71862910113821998</v>
      </c>
      <c r="E5521">
        <v>0.40388204666517202</v>
      </c>
      <c r="F5521">
        <v>0.28769403363729501</v>
      </c>
      <c r="G5521">
        <v>0.14957112161910399</v>
      </c>
      <c r="H5521">
        <v>9.6834786324929298E-2</v>
      </c>
      <c r="I5521">
        <v>5.8457673686717997E-2</v>
      </c>
      <c r="J5521">
        <v>4.9261774783783803E-2</v>
      </c>
      <c r="K5521">
        <v>4.1120915630045503E-2</v>
      </c>
      <c r="L5521">
        <v>851.25441075481604</v>
      </c>
      <c r="M5521">
        <v>17.4248512873659</v>
      </c>
      <c r="N5521">
        <v>49.182302778978801</v>
      </c>
      <c r="O5521">
        <v>48.2230804981209</v>
      </c>
      <c r="P5521">
        <v>-8.5364036621698405E-2</v>
      </c>
      <c r="Q5521">
        <v>5.5076884177160702E-2</v>
      </c>
      <c r="R5521">
        <v>0.98961223070625304</v>
      </c>
      <c r="S5521" t="s">
        <v>12137</v>
      </c>
      <c r="T5521" t="s">
        <v>13232</v>
      </c>
      <c r="U5521" t="s">
        <v>13232</v>
      </c>
      <c r="V5521" t="s">
        <v>13232</v>
      </c>
      <c r="W5521" t="s">
        <v>18683</v>
      </c>
      <c r="X5521">
        <v>3</v>
      </c>
      <c r="Y5521" t="s">
        <v>25076</v>
      </c>
      <c r="Z5521" t="s">
        <v>31652</v>
      </c>
      <c r="AA5521">
        <v>0.35143579998211311</v>
      </c>
      <c r="AB5521" t="str">
        <f>HYPERLINK("Melting_Curves/meltCurve_Q9H0F7_ARL6.pdf", "Melting_Curves/meltCurve_Q9H0F7_ARL6.pdf")</f>
        <v>Melting_Curves/meltCurve_Q9H0F7_ARL6.pdf</v>
      </c>
    </row>
    <row r="5522" spans="1:28" x14ac:dyDescent="0.25">
      <c r="A5522" t="s">
        <v>5525</v>
      </c>
      <c r="B5522">
        <v>0.99930955844802105</v>
      </c>
      <c r="C5522">
        <v>1.1185003488128999</v>
      </c>
      <c r="D5522">
        <v>1.06433645112798</v>
      </c>
      <c r="E5522">
        <v>1.0836623015420701</v>
      </c>
      <c r="F5522">
        <v>1.0399460340831601</v>
      </c>
      <c r="G5522">
        <v>0.97446019299851705</v>
      </c>
      <c r="H5522">
        <v>1.11224348472449</v>
      </c>
      <c r="I5522">
        <v>1.29009573455185</v>
      </c>
      <c r="J5522">
        <v>1.3866607893352301</v>
      </c>
      <c r="K5522">
        <v>1.05822068829918</v>
      </c>
      <c r="L5522">
        <v>301.40278729977501</v>
      </c>
      <c r="M5522">
        <v>4.0840529908632401</v>
      </c>
      <c r="O5522">
        <v>60.982307456718303</v>
      </c>
      <c r="P5522">
        <v>8.4720257208241393E-3</v>
      </c>
      <c r="Q5522">
        <v>1.5</v>
      </c>
      <c r="R5522">
        <v>0.27434963218853198</v>
      </c>
      <c r="S5522" t="s">
        <v>12138</v>
      </c>
      <c r="T5522" t="s">
        <v>13232</v>
      </c>
      <c r="U5522" t="s">
        <v>13232</v>
      </c>
      <c r="V5522" t="s">
        <v>13232</v>
      </c>
      <c r="W5522" t="s">
        <v>18684</v>
      </c>
      <c r="X5522">
        <v>19</v>
      </c>
      <c r="Y5522" t="s">
        <v>25077</v>
      </c>
      <c r="Z5522" t="s">
        <v>31653</v>
      </c>
      <c r="AA5522">
        <v>1.1059926464543559</v>
      </c>
      <c r="AB5522" t="str">
        <f>HYPERLINK("Melting_Curves/meltCurve_Q9H0G5_NSRP1.pdf", "Melting_Curves/meltCurve_Q9H0G5_NSRP1.pdf")</f>
        <v>Melting_Curves/meltCurve_Q9H0G5_NSRP1.pdf</v>
      </c>
    </row>
    <row r="5523" spans="1:28" x14ac:dyDescent="0.25">
      <c r="A5523" t="s">
        <v>5526</v>
      </c>
      <c r="B5523">
        <v>0.99930955844802105</v>
      </c>
      <c r="C5523">
        <v>1.07308229159499</v>
      </c>
      <c r="D5523">
        <v>1.06006213109722</v>
      </c>
      <c r="E5523">
        <v>0.87909450988108095</v>
      </c>
      <c r="F5523">
        <v>0.50362808663868996</v>
      </c>
      <c r="G5523">
        <v>0.31810043114229802</v>
      </c>
      <c r="H5523">
        <v>0.215253336718008</v>
      </c>
      <c r="I5523">
        <v>0.176884937363045</v>
      </c>
      <c r="J5523">
        <v>0.14999491328796999</v>
      </c>
      <c r="K5523">
        <v>0.10994197235000901</v>
      </c>
      <c r="L5523">
        <v>1447.5607166999901</v>
      </c>
      <c r="M5523">
        <v>27.443068683983199</v>
      </c>
      <c r="N5523">
        <v>53.519524897179998</v>
      </c>
      <c r="O5523">
        <v>52.4700727058176</v>
      </c>
      <c r="P5523">
        <v>-0.109390574264439</v>
      </c>
      <c r="Q5523">
        <v>0.16340581359402201</v>
      </c>
      <c r="R5523">
        <v>0.98508710441590097</v>
      </c>
      <c r="S5523" t="s">
        <v>12139</v>
      </c>
      <c r="T5523" t="s">
        <v>13232</v>
      </c>
      <c r="U5523" t="s">
        <v>13232</v>
      </c>
      <c r="V5523" t="s">
        <v>13232</v>
      </c>
      <c r="W5523" t="s">
        <v>18685</v>
      </c>
      <c r="X5523">
        <v>12</v>
      </c>
      <c r="Y5523" t="s">
        <v>25078</v>
      </c>
      <c r="Z5523" t="s">
        <v>31654</v>
      </c>
      <c r="AA5523">
        <v>0.52532816857272202</v>
      </c>
      <c r="AB5523" t="str">
        <f>HYPERLINK("Melting_Curves/meltCurve_Q9H0H5_RACGAP1.pdf", "Melting_Curves/meltCurve_Q9H0H5_RACGAP1.pdf")</f>
        <v>Melting_Curves/meltCurve_Q9H0H5_RACGAP1.pdf</v>
      </c>
    </row>
    <row r="5524" spans="1:28" x14ac:dyDescent="0.25">
      <c r="A5524" t="s">
        <v>5527</v>
      </c>
      <c r="B5524">
        <v>0.99930955844802105</v>
      </c>
      <c r="C5524">
        <v>0.87962109239564401</v>
      </c>
      <c r="D5524">
        <v>0.98966701077202901</v>
      </c>
      <c r="E5524">
        <v>0.85430173770056705</v>
      </c>
      <c r="F5524">
        <v>0.80354429074515299</v>
      </c>
      <c r="G5524">
        <v>0.63841335133607402</v>
      </c>
      <c r="H5524">
        <v>0.50602483871028003</v>
      </c>
      <c r="I5524">
        <v>0.40406316152194699</v>
      </c>
      <c r="J5524">
        <v>0.47286327903302</v>
      </c>
      <c r="K5524">
        <v>0.31211664837373798</v>
      </c>
      <c r="L5524">
        <v>567.73678949346595</v>
      </c>
      <c r="M5524">
        <v>9.8078356942245293</v>
      </c>
      <c r="N5524">
        <v>61.740834877059001</v>
      </c>
      <c r="O5524">
        <v>55.633528069710401</v>
      </c>
      <c r="P5524">
        <v>-3.4000025588440598E-2</v>
      </c>
      <c r="Q5524">
        <v>0.228963018983599</v>
      </c>
      <c r="R5524">
        <v>0.96058802011553601</v>
      </c>
      <c r="S5524" t="s">
        <v>12140</v>
      </c>
      <c r="T5524" t="s">
        <v>13232</v>
      </c>
      <c r="U5524" t="s">
        <v>13232</v>
      </c>
      <c r="V5524" t="s">
        <v>13232</v>
      </c>
      <c r="W5524" t="s">
        <v>18686</v>
      </c>
      <c r="X5524">
        <v>1</v>
      </c>
      <c r="Y5524" t="s">
        <v>25079</v>
      </c>
      <c r="Z5524" t="s">
        <v>31655</v>
      </c>
      <c r="AA5524">
        <v>0.6965340397219536</v>
      </c>
      <c r="AB5524" t="str">
        <f>HYPERLINK("Melting_Curves/meltCurve_Q9H0I2_2_ENKD1.pdf", "Melting_Curves/meltCurve_Q9H0I2_2_ENKD1.pdf")</f>
        <v>Melting_Curves/meltCurve_Q9H0I2_2_ENKD1.pdf</v>
      </c>
    </row>
    <row r="5525" spans="1:28" x14ac:dyDescent="0.25">
      <c r="A5525" t="s">
        <v>5528</v>
      </c>
      <c r="B5525">
        <v>0.99930955844802105</v>
      </c>
      <c r="C5525">
        <v>0.88287093661235405</v>
      </c>
      <c r="D5525">
        <v>0.76427781381966697</v>
      </c>
      <c r="E5525">
        <v>0.36820015910407</v>
      </c>
      <c r="F5525">
        <v>0.19206215040358399</v>
      </c>
      <c r="G5525">
        <v>0.130580526025525</v>
      </c>
      <c r="H5525">
        <v>7.1186123761261197E-2</v>
      </c>
      <c r="I5525">
        <v>7.2435590799188404E-2</v>
      </c>
      <c r="J5525">
        <v>6.2900324220529699E-2</v>
      </c>
      <c r="K5525">
        <v>4.82493211243556E-2</v>
      </c>
      <c r="L5525">
        <v>926.36072147403297</v>
      </c>
      <c r="M5525">
        <v>19.188392170179199</v>
      </c>
      <c r="N5525">
        <v>48.592733115965601</v>
      </c>
      <c r="O5525">
        <v>47.761969877419901</v>
      </c>
      <c r="P5525">
        <v>-9.4557148506315594E-2</v>
      </c>
      <c r="Q5525">
        <v>5.8584491315365798E-2</v>
      </c>
      <c r="R5525">
        <v>0.99719382480344598</v>
      </c>
      <c r="S5525" t="s">
        <v>12141</v>
      </c>
      <c r="T5525" t="s">
        <v>13232</v>
      </c>
      <c r="U5525" t="s">
        <v>13232</v>
      </c>
      <c r="V5525" t="s">
        <v>13232</v>
      </c>
      <c r="W5525" t="s">
        <v>18687</v>
      </c>
      <c r="X5525">
        <v>3</v>
      </c>
      <c r="Y5525" t="s">
        <v>25080</v>
      </c>
      <c r="Z5525" t="s">
        <v>31656</v>
      </c>
      <c r="AA5525">
        <v>0.33283924803404441</v>
      </c>
      <c r="AB5525" t="str">
        <f>HYPERLINK("Melting_Curves/meltCurve_Q9H0J9_PARP12.pdf", "Melting_Curves/meltCurve_Q9H0J9_PARP12.pdf")</f>
        <v>Melting_Curves/meltCurve_Q9H0J9_PARP12.pdf</v>
      </c>
    </row>
    <row r="5526" spans="1:28" x14ac:dyDescent="0.25">
      <c r="A5526" t="s">
        <v>5529</v>
      </c>
      <c r="B5526">
        <v>0.99930955844802105</v>
      </c>
      <c r="C5526">
        <v>0.89375556099822395</v>
      </c>
      <c r="D5526">
        <v>0.845435016534828</v>
      </c>
      <c r="E5526">
        <v>0.780443594658766</v>
      </c>
      <c r="F5526">
        <v>0.58065431528907996</v>
      </c>
      <c r="G5526">
        <v>0.46375555753865499</v>
      </c>
      <c r="H5526">
        <v>0.34746721616569798</v>
      </c>
      <c r="I5526">
        <v>0.35763114321892497</v>
      </c>
      <c r="J5526">
        <v>0.34717822973557699</v>
      </c>
      <c r="K5526">
        <v>0.28409846627804197</v>
      </c>
      <c r="L5526">
        <v>575.65252990090505</v>
      </c>
      <c r="M5526">
        <v>10.9989339493678</v>
      </c>
      <c r="N5526">
        <v>55.945530050472698</v>
      </c>
      <c r="O5526">
        <v>50.696320109498402</v>
      </c>
      <c r="P5526">
        <v>-4.04743169881807E-2</v>
      </c>
      <c r="Q5526">
        <v>0.25403432451197999</v>
      </c>
      <c r="R5526">
        <v>0.984864869116022</v>
      </c>
      <c r="S5526" t="s">
        <v>12142</v>
      </c>
      <c r="T5526" t="s">
        <v>13232</v>
      </c>
      <c r="U5526" t="s">
        <v>13232</v>
      </c>
      <c r="V5526" t="s">
        <v>13232</v>
      </c>
      <c r="W5526" t="s">
        <v>18688</v>
      </c>
      <c r="X5526">
        <v>1</v>
      </c>
      <c r="Y5526" t="s">
        <v>25081</v>
      </c>
      <c r="Z5526" t="s">
        <v>31657</v>
      </c>
      <c r="AA5526">
        <v>0.58552488608056763</v>
      </c>
      <c r="AB5526" t="str">
        <f>HYPERLINK("Melting_Curves/meltCurve_Q9H0K1_SIK2.pdf", "Melting_Curves/meltCurve_Q9H0K1_SIK2.pdf")</f>
        <v>Melting_Curves/meltCurve_Q9H0K1_SIK2.pdf</v>
      </c>
    </row>
    <row r="5527" spans="1:28" x14ac:dyDescent="0.25">
      <c r="A5527" t="s">
        <v>5530</v>
      </c>
      <c r="B5527">
        <v>0.99930955844802105</v>
      </c>
      <c r="C5527">
        <v>0.95545265193076201</v>
      </c>
      <c r="D5527">
        <v>0.91796733539178099</v>
      </c>
      <c r="E5527">
        <v>0.81305520824024902</v>
      </c>
      <c r="F5527">
        <v>0.53341700661971003</v>
      </c>
      <c r="G5527">
        <v>0.25638547329570599</v>
      </c>
      <c r="H5527">
        <v>0.126245268161959</v>
      </c>
      <c r="I5527">
        <v>9.8624260244150497E-2</v>
      </c>
      <c r="J5527">
        <v>7.7902287976263307E-2</v>
      </c>
      <c r="K5527">
        <v>5.9295495960392602E-2</v>
      </c>
      <c r="L5527">
        <v>1017.22714078477</v>
      </c>
      <c r="M5527">
        <v>19.127304303112901</v>
      </c>
      <c r="N5527">
        <v>53.508684537023903</v>
      </c>
      <c r="O5527">
        <v>52.610839447765997</v>
      </c>
      <c r="P5527">
        <v>-8.5884266941521903E-2</v>
      </c>
      <c r="Q5527">
        <v>5.5116226604944099E-2</v>
      </c>
      <c r="R5527">
        <v>0.99750984173377599</v>
      </c>
      <c r="S5527" t="s">
        <v>12143</v>
      </c>
      <c r="T5527" t="s">
        <v>13232</v>
      </c>
      <c r="U5527" t="s">
        <v>13232</v>
      </c>
      <c r="V5527" t="s">
        <v>13232</v>
      </c>
      <c r="W5527" t="s">
        <v>18689</v>
      </c>
      <c r="X5527">
        <v>17</v>
      </c>
      <c r="Y5527" t="s">
        <v>25082</v>
      </c>
      <c r="Z5527" t="s">
        <v>31658</v>
      </c>
      <c r="AA5527">
        <v>0.48427292197796401</v>
      </c>
      <c r="AB5527" t="str">
        <f>HYPERLINK("Melting_Curves/meltCurve_Q9H0K6_PUS7L.pdf", "Melting_Curves/meltCurve_Q9H0K6_PUS7L.pdf")</f>
        <v>Melting_Curves/meltCurve_Q9H0K6_PUS7L.pdf</v>
      </c>
    </row>
    <row r="5528" spans="1:28" x14ac:dyDescent="0.25">
      <c r="A5528" t="s">
        <v>5531</v>
      </c>
      <c r="B5528">
        <v>0.99930955844802105</v>
      </c>
      <c r="C5528">
        <v>1.11005035991005</v>
      </c>
      <c r="D5528">
        <v>1.1213067385683999</v>
      </c>
      <c r="E5528">
        <v>1.0883538025157</v>
      </c>
      <c r="F5528">
        <v>1.02760202082087</v>
      </c>
      <c r="G5528">
        <v>0.96763824858237102</v>
      </c>
      <c r="H5528">
        <v>1.0362191999514401</v>
      </c>
      <c r="I5528">
        <v>1.15442126575714</v>
      </c>
      <c r="J5528">
        <v>1.1879148140412099</v>
      </c>
      <c r="K5528">
        <v>0.96612585699008702</v>
      </c>
      <c r="L5528">
        <v>10270.9340480064</v>
      </c>
      <c r="M5528">
        <v>250</v>
      </c>
      <c r="O5528">
        <v>41.081103804593603</v>
      </c>
      <c r="P5528">
        <v>0.111505762967981</v>
      </c>
      <c r="Q5528">
        <v>1.07329248298325</v>
      </c>
      <c r="R5528">
        <v>9.01439020823874E-2</v>
      </c>
      <c r="S5528" t="s">
        <v>12144</v>
      </c>
      <c r="T5528" t="s">
        <v>13232</v>
      </c>
      <c r="U5528" t="s">
        <v>13232</v>
      </c>
      <c r="V5528" t="s">
        <v>13232</v>
      </c>
      <c r="W5528" t="s">
        <v>18690</v>
      </c>
      <c r="X5528">
        <v>19</v>
      </c>
      <c r="Y5528" t="s">
        <v>25083</v>
      </c>
      <c r="Z5528" t="s">
        <v>31659</v>
      </c>
      <c r="AA5528">
        <v>1.0706391095539241</v>
      </c>
      <c r="AB5528" t="str">
        <f>HYPERLINK("Melting_Curves/meltCurve_Q9H0L4_CSTF2T.pdf", "Melting_Curves/meltCurve_Q9H0L4_CSTF2T.pdf")</f>
        <v>Melting_Curves/meltCurve_Q9H0L4_CSTF2T.pdf</v>
      </c>
    </row>
    <row r="5529" spans="1:28" x14ac:dyDescent="0.25">
      <c r="A5529" t="s">
        <v>5532</v>
      </c>
      <c r="B5529">
        <v>0.99930955844802105</v>
      </c>
      <c r="C5529">
        <v>1.0425002268841099</v>
      </c>
      <c r="D5529">
        <v>1.1333615328389</v>
      </c>
      <c r="E5529">
        <v>1.03263774361559</v>
      </c>
      <c r="F5529">
        <v>0.87030844422216203</v>
      </c>
      <c r="G5529">
        <v>0.76550858245146303</v>
      </c>
      <c r="H5529">
        <v>0.68608735449135105</v>
      </c>
      <c r="I5529">
        <v>0.69527721446926705</v>
      </c>
      <c r="J5529">
        <v>0.65442557681661495</v>
      </c>
      <c r="K5529">
        <v>0.55780964242470998</v>
      </c>
      <c r="L5529">
        <v>1212.27437694331</v>
      </c>
      <c r="M5529">
        <v>21.6855295033102</v>
      </c>
      <c r="O5529">
        <v>55.433594560997001</v>
      </c>
      <c r="P5529">
        <v>-3.6908137809897601E-2</v>
      </c>
      <c r="Q5529">
        <v>0.62262351991966003</v>
      </c>
      <c r="R5529">
        <v>0.90461183369282605</v>
      </c>
      <c r="S5529" t="s">
        <v>12145</v>
      </c>
      <c r="T5529" t="s">
        <v>13232</v>
      </c>
      <c r="U5529" t="s">
        <v>13232</v>
      </c>
      <c r="V5529" t="s">
        <v>13232</v>
      </c>
      <c r="W5529" t="s">
        <v>18691</v>
      </c>
      <c r="X5529">
        <v>1</v>
      </c>
      <c r="Y5529" t="s">
        <v>25084</v>
      </c>
      <c r="Z5529" t="s">
        <v>31660</v>
      </c>
      <c r="AA5529">
        <v>0.8270094801852319</v>
      </c>
      <c r="AB5529" t="str">
        <f>HYPERLINK("Melting_Curves/meltCurve_Q9H0P0_NT5C3A.pdf", "Melting_Curves/meltCurve_Q9H0P0_NT5C3A.pdf")</f>
        <v>Melting_Curves/meltCurve_Q9H0P0_NT5C3A.pdf</v>
      </c>
    </row>
    <row r="5530" spans="1:28" x14ac:dyDescent="0.25">
      <c r="A5530" t="s">
        <v>5533</v>
      </c>
      <c r="B5530">
        <v>0.99930955844802105</v>
      </c>
      <c r="C5530">
        <v>1.1005032898599501</v>
      </c>
      <c r="D5530">
        <v>1.0280478231910399</v>
      </c>
      <c r="E5530">
        <v>0.66690760528795201</v>
      </c>
      <c r="F5530">
        <v>0.27189912812664002</v>
      </c>
      <c r="G5530">
        <v>0.18157708786055399</v>
      </c>
      <c r="H5530">
        <v>0.101110101504226</v>
      </c>
      <c r="I5530">
        <v>8.8032661073822502E-2</v>
      </c>
      <c r="J5530">
        <v>6.7165996411043802E-2</v>
      </c>
      <c r="K5530">
        <v>5.2861731360118902E-2</v>
      </c>
      <c r="L5530">
        <v>1717.2054040647699</v>
      </c>
      <c r="M5530">
        <v>33.748905625772601</v>
      </c>
      <c r="N5530">
        <v>51.185655541029398</v>
      </c>
      <c r="O5530">
        <v>50.704163498738801</v>
      </c>
      <c r="P5530">
        <v>-0.151297215711269</v>
      </c>
      <c r="Q5530">
        <v>9.0771511402564495E-2</v>
      </c>
      <c r="R5530">
        <v>0.98871142550250302</v>
      </c>
      <c r="S5530" t="s">
        <v>12146</v>
      </c>
      <c r="T5530" t="s">
        <v>13232</v>
      </c>
      <c r="U5530" t="s">
        <v>13232</v>
      </c>
      <c r="V5530" t="s">
        <v>13232</v>
      </c>
      <c r="W5530" t="s">
        <v>18692</v>
      </c>
      <c r="X5530">
        <v>10</v>
      </c>
      <c r="Y5530" t="s">
        <v>25084</v>
      </c>
      <c r="Z5530" t="s">
        <v>31661</v>
      </c>
      <c r="AA5530">
        <v>0.42507645900215218</v>
      </c>
      <c r="AB5530" t="str">
        <f>HYPERLINK("Melting_Curves/meltCurve_Q9H0P0_3_NT5C3A.pdf", "Melting_Curves/meltCurve_Q9H0P0_3_NT5C3A.pdf")</f>
        <v>Melting_Curves/meltCurve_Q9H0P0_3_NT5C3A.pdf</v>
      </c>
    </row>
    <row r="5531" spans="1:28" x14ac:dyDescent="0.25">
      <c r="A5531" t="s">
        <v>5534</v>
      </c>
      <c r="B5531">
        <v>0.99930955844802105</v>
      </c>
      <c r="C5531">
        <v>0.94630956172073499</v>
      </c>
      <c r="D5531">
        <v>0.92856025217789295</v>
      </c>
      <c r="E5531">
        <v>0.839016493909578</v>
      </c>
      <c r="F5531">
        <v>0.70015156463709805</v>
      </c>
      <c r="G5531">
        <v>0.54434804741895404</v>
      </c>
      <c r="H5531">
        <v>0.44582056242170898</v>
      </c>
      <c r="I5531">
        <v>0.39305354564543399</v>
      </c>
      <c r="J5531">
        <v>0.31863876482729298</v>
      </c>
      <c r="K5531">
        <v>0.172921348940662</v>
      </c>
      <c r="L5531">
        <v>479.29414790457901</v>
      </c>
      <c r="M5531">
        <v>8.0889706665142498</v>
      </c>
      <c r="N5531">
        <v>59.252798362207997</v>
      </c>
      <c r="O5531">
        <v>55.961052469177503</v>
      </c>
      <c r="P5531">
        <v>-3.6175809899891102E-2</v>
      </c>
      <c r="Q5531">
        <v>0</v>
      </c>
      <c r="R5531">
        <v>0.98916505276951205</v>
      </c>
      <c r="S5531" t="s">
        <v>12147</v>
      </c>
      <c r="T5531" t="s">
        <v>13232</v>
      </c>
      <c r="U5531" t="s">
        <v>13232</v>
      </c>
      <c r="V5531" t="s">
        <v>13232</v>
      </c>
      <c r="W5531" t="s">
        <v>18693</v>
      </c>
      <c r="X5531">
        <v>13</v>
      </c>
      <c r="Y5531" t="s">
        <v>25085</v>
      </c>
      <c r="Z5531" t="s">
        <v>31662</v>
      </c>
      <c r="AA5531">
        <v>0.63449535627527986</v>
      </c>
      <c r="AB5531" t="str">
        <f>HYPERLINK("Melting_Curves/meltCurve_Q9H0R4_HDHD2.pdf", "Melting_Curves/meltCurve_Q9H0R4_HDHD2.pdf")</f>
        <v>Melting_Curves/meltCurve_Q9H0R4_HDHD2.pdf</v>
      </c>
    </row>
    <row r="5532" spans="1:28" x14ac:dyDescent="0.25">
      <c r="A5532" t="s">
        <v>5535</v>
      </c>
      <c r="B5532">
        <v>0.99930955844802105</v>
      </c>
      <c r="C5532">
        <v>0.53270086825184704</v>
      </c>
      <c r="D5532">
        <v>0.45177521155453898</v>
      </c>
      <c r="E5532">
        <v>0.439731984000374</v>
      </c>
      <c r="F5532">
        <v>0.34980796026783501</v>
      </c>
      <c r="G5532">
        <v>0.263376825912292</v>
      </c>
      <c r="H5532">
        <v>0.13428119478043599</v>
      </c>
      <c r="I5532">
        <v>7.4241499389594595E-2</v>
      </c>
      <c r="J5532">
        <v>5.8608876281931697E-2</v>
      </c>
      <c r="K5532">
        <v>3.8166822889309102E-2</v>
      </c>
      <c r="L5532">
        <v>376.57106167338901</v>
      </c>
      <c r="M5532">
        <v>7.9922504291451597</v>
      </c>
      <c r="N5532">
        <v>47.117025475545198</v>
      </c>
      <c r="O5532">
        <v>44.441603659970802</v>
      </c>
      <c r="P5532">
        <v>-4.5010302889135399E-2</v>
      </c>
      <c r="Q5532">
        <v>0</v>
      </c>
      <c r="R5532">
        <v>0.89324391270084502</v>
      </c>
      <c r="S5532" t="s">
        <v>12148</v>
      </c>
      <c r="T5532" t="s">
        <v>13232</v>
      </c>
      <c r="U5532" t="s">
        <v>13232</v>
      </c>
      <c r="V5532" t="s">
        <v>13232</v>
      </c>
      <c r="W5532" t="s">
        <v>18694</v>
      </c>
      <c r="X5532">
        <v>2</v>
      </c>
      <c r="Y5532" t="s">
        <v>25086</v>
      </c>
      <c r="Z5532" t="s">
        <v>31663</v>
      </c>
      <c r="AA5532">
        <v>0.3161349998081121</v>
      </c>
      <c r="AB5532" t="str">
        <f>HYPERLINK("Melting_Curves/meltCurve_Q9H0R6_QRSL1.pdf", "Melting_Curves/meltCurve_Q9H0R6_QRSL1.pdf")</f>
        <v>Melting_Curves/meltCurve_Q9H0R6_QRSL1.pdf</v>
      </c>
    </row>
    <row r="5533" spans="1:28" x14ac:dyDescent="0.25">
      <c r="A5533" t="s">
        <v>5536</v>
      </c>
      <c r="B5533">
        <v>0.99930955844802105</v>
      </c>
      <c r="C5533">
        <v>0.99406020330133504</v>
      </c>
      <c r="D5533">
        <v>0.85932602382590795</v>
      </c>
      <c r="E5533">
        <v>0.55861037962319005</v>
      </c>
      <c r="F5533">
        <v>0.28386199976591597</v>
      </c>
      <c r="G5533">
        <v>0.175150251292473</v>
      </c>
      <c r="H5533">
        <v>9.2067010289953996E-2</v>
      </c>
      <c r="I5533">
        <v>8.4154188421857304E-2</v>
      </c>
      <c r="J5533">
        <v>6.9547808833567898E-2</v>
      </c>
      <c r="K5533">
        <v>4.5560797783135397E-2</v>
      </c>
      <c r="L5533">
        <v>995.39421808634199</v>
      </c>
      <c r="M5533">
        <v>19.831418350119399</v>
      </c>
      <c r="N5533">
        <v>50.542860773497402</v>
      </c>
      <c r="O5533">
        <v>49.690784116459398</v>
      </c>
      <c r="P5533">
        <v>-9.3374739409273502E-2</v>
      </c>
      <c r="Q5533">
        <v>6.41703129983517E-2</v>
      </c>
      <c r="R5533">
        <v>0.99803847672709101</v>
      </c>
      <c r="S5533" t="s">
        <v>12149</v>
      </c>
      <c r="T5533" t="s">
        <v>13232</v>
      </c>
      <c r="U5533" t="s">
        <v>13232</v>
      </c>
      <c r="V5533" t="s">
        <v>13232</v>
      </c>
      <c r="W5533" t="s">
        <v>18695</v>
      </c>
      <c r="X5533">
        <v>9</v>
      </c>
      <c r="Y5533" t="s">
        <v>25087</v>
      </c>
      <c r="Z5533" t="s">
        <v>31664</v>
      </c>
      <c r="AA5533">
        <v>0.3953613764049202</v>
      </c>
      <c r="AB5533" t="str">
        <f>HYPERLINK("Melting_Curves/meltCurve_Q9H0S4_2_DDX47.pdf", "Melting_Curves/meltCurve_Q9H0S4_2_DDX47.pdf")</f>
        <v>Melting_Curves/meltCurve_Q9H0S4_2_DDX47.pdf</v>
      </c>
    </row>
    <row r="5534" spans="1:28" x14ac:dyDescent="0.25">
      <c r="A5534" t="s">
        <v>5537</v>
      </c>
      <c r="B5534">
        <v>0.99930955844802105</v>
      </c>
      <c r="C5534">
        <v>1.0620656374581601</v>
      </c>
      <c r="D5534">
        <v>1.06467971731393</v>
      </c>
      <c r="E5534">
        <v>0.99351387483193598</v>
      </c>
      <c r="F5534">
        <v>0.80076749671653302</v>
      </c>
      <c r="G5534">
        <v>0.33486980228447</v>
      </c>
      <c r="H5534">
        <v>0.11892171340563699</v>
      </c>
      <c r="I5534">
        <v>0.106649692398119</v>
      </c>
      <c r="J5534">
        <v>9.7120529450078E-2</v>
      </c>
      <c r="K5534">
        <v>7.2075231969084497E-2</v>
      </c>
      <c r="L5534">
        <v>1786.81416405818</v>
      </c>
      <c r="M5534">
        <v>32.361846638031501</v>
      </c>
      <c r="N5534">
        <v>55.536051480162797</v>
      </c>
      <c r="O5534">
        <v>55.004054086545501</v>
      </c>
      <c r="P5534">
        <v>-0.13449122800408</v>
      </c>
      <c r="Q5534">
        <v>8.5648330807689604E-2</v>
      </c>
      <c r="R5534">
        <v>0.99491544026196599</v>
      </c>
      <c r="S5534" t="s">
        <v>12150</v>
      </c>
      <c r="T5534" t="s">
        <v>13232</v>
      </c>
      <c r="U5534" t="s">
        <v>13232</v>
      </c>
      <c r="V5534" t="s">
        <v>13232</v>
      </c>
      <c r="W5534" t="s">
        <v>18696</v>
      </c>
      <c r="X5534">
        <v>14</v>
      </c>
      <c r="Y5534" t="s">
        <v>25088</v>
      </c>
      <c r="Z5534" t="s">
        <v>31665</v>
      </c>
      <c r="AA5534">
        <v>0.55459501301246117</v>
      </c>
      <c r="AB5534" t="str">
        <f>HYPERLINK("Melting_Curves/meltCurve_Q9H0U4_RAB1B.pdf", "Melting_Curves/meltCurve_Q9H0U4_RAB1B.pdf")</f>
        <v>Melting_Curves/meltCurve_Q9H0U4_RAB1B.pdf</v>
      </c>
    </row>
    <row r="5535" spans="1:28" x14ac:dyDescent="0.25">
      <c r="A5535" t="s">
        <v>5538</v>
      </c>
      <c r="B5535">
        <v>0.99930955844802105</v>
      </c>
      <c r="C5535">
        <v>0.83849915191525004</v>
      </c>
      <c r="D5535">
        <v>0.68110660385634603</v>
      </c>
      <c r="E5535">
        <v>0.62020695241421697</v>
      </c>
      <c r="F5535">
        <v>0.48724945143425702</v>
      </c>
      <c r="G5535">
        <v>0.342987062609035</v>
      </c>
      <c r="H5535">
        <v>0.29186080341690701</v>
      </c>
      <c r="I5535">
        <v>0.280932913335808</v>
      </c>
      <c r="J5535">
        <v>0.259787897827223</v>
      </c>
      <c r="K5535">
        <v>0.198118649159578</v>
      </c>
      <c r="L5535">
        <v>475.21702919355602</v>
      </c>
      <c r="M5535">
        <v>9.5338872302864903</v>
      </c>
      <c r="N5535">
        <v>52.189655958674201</v>
      </c>
      <c r="O5535">
        <v>47.799935070438003</v>
      </c>
      <c r="P5535">
        <v>-4.1201568485676701E-2</v>
      </c>
      <c r="Q5535">
        <v>0.174194665771051</v>
      </c>
      <c r="R5535">
        <v>0.98093532168475905</v>
      </c>
      <c r="S5535" t="s">
        <v>12151</v>
      </c>
      <c r="T5535" t="s">
        <v>13232</v>
      </c>
      <c r="U5535" t="s">
        <v>13232</v>
      </c>
      <c r="V5535" t="s">
        <v>13232</v>
      </c>
      <c r="W5535" t="s">
        <v>18697</v>
      </c>
      <c r="X5535">
        <v>5</v>
      </c>
      <c r="Y5535" t="s">
        <v>25089</v>
      </c>
      <c r="Z5535" t="s">
        <v>31666</v>
      </c>
      <c r="AA5535">
        <v>0.48552511155177208</v>
      </c>
      <c r="AB5535" t="str">
        <f>HYPERLINK("Melting_Curves/meltCurve_Q9H0U9_TSPYL1.pdf", "Melting_Curves/meltCurve_Q9H0U9_TSPYL1.pdf")</f>
        <v>Melting_Curves/meltCurve_Q9H0U9_TSPYL1.pdf</v>
      </c>
    </row>
    <row r="5536" spans="1:28" x14ac:dyDescent="0.25">
      <c r="A5536" t="s">
        <v>5539</v>
      </c>
      <c r="B5536">
        <v>0.99930955844802105</v>
      </c>
      <c r="C5536">
        <v>1.31307549385308</v>
      </c>
      <c r="D5536">
        <v>1.2693248498082501</v>
      </c>
      <c r="E5536">
        <v>1.33665574644212</v>
      </c>
      <c r="F5536">
        <v>1.14859111054909</v>
      </c>
      <c r="G5536">
        <v>1.20402589896568</v>
      </c>
      <c r="H5536">
        <v>1.2370510850260299</v>
      </c>
      <c r="I5536">
        <v>1.46219740338952</v>
      </c>
      <c r="J5536">
        <v>1.3473621764995201</v>
      </c>
      <c r="K5536">
        <v>1.06261536180421</v>
      </c>
      <c r="L5536">
        <v>10270.730298136599</v>
      </c>
      <c r="M5536">
        <v>250</v>
      </c>
      <c r="O5536">
        <v>41.0802907870425</v>
      </c>
      <c r="P5536">
        <v>0.40248135344150698</v>
      </c>
      <c r="Q5536">
        <v>1.26454482509553</v>
      </c>
      <c r="R5536">
        <v>0.360845567804012</v>
      </c>
      <c r="S5536" t="s">
        <v>12152</v>
      </c>
      <c r="T5536" t="s">
        <v>13232</v>
      </c>
      <c r="U5536" t="s">
        <v>13232</v>
      </c>
      <c r="V5536" t="s">
        <v>13232</v>
      </c>
      <c r="W5536" t="s">
        <v>18698</v>
      </c>
      <c r="X5536">
        <v>7</v>
      </c>
      <c r="Y5536" t="s">
        <v>25090</v>
      </c>
      <c r="Z5536" t="s">
        <v>31667</v>
      </c>
      <c r="AA5536">
        <v>1.2549748119030679</v>
      </c>
      <c r="AB5536" t="str">
        <f>HYPERLINK("Melting_Curves/meltCurve_Q9H0W5_CCDC8.pdf", "Melting_Curves/meltCurve_Q9H0W5_CCDC8.pdf")</f>
        <v>Melting_Curves/meltCurve_Q9H0W5_CCDC8.pdf</v>
      </c>
    </row>
    <row r="5537" spans="1:28" x14ac:dyDescent="0.25">
      <c r="A5537" t="s">
        <v>5540</v>
      </c>
      <c r="B5537">
        <v>0.99930955844802105</v>
      </c>
      <c r="C5537">
        <v>0.83011637655620896</v>
      </c>
      <c r="D5537">
        <v>0.74618414686460999</v>
      </c>
      <c r="E5537">
        <v>0.69179627962919199</v>
      </c>
      <c r="F5537">
        <v>0.60985227117316398</v>
      </c>
      <c r="G5537">
        <v>0.53007323908833603</v>
      </c>
      <c r="H5537">
        <v>0.48948637023255198</v>
      </c>
      <c r="I5537">
        <v>0.55251612072551803</v>
      </c>
      <c r="J5537">
        <v>0.50568110184414194</v>
      </c>
      <c r="K5537">
        <v>0.40751364482935098</v>
      </c>
      <c r="L5537">
        <v>469.93927531135103</v>
      </c>
      <c r="M5537">
        <v>9.8124017625520299</v>
      </c>
      <c r="N5537">
        <v>62.222783734065402</v>
      </c>
      <c r="O5537">
        <v>46.030371873267804</v>
      </c>
      <c r="P5537">
        <v>-2.9442858624482999E-2</v>
      </c>
      <c r="Q5537">
        <v>0.447818199900199</v>
      </c>
      <c r="R5537">
        <v>0.94270898355909005</v>
      </c>
      <c r="S5537" t="s">
        <v>12153</v>
      </c>
      <c r="T5537" t="s">
        <v>13232</v>
      </c>
      <c r="U5537" t="s">
        <v>13232</v>
      </c>
      <c r="V5537" t="s">
        <v>13232</v>
      </c>
      <c r="W5537" t="s">
        <v>18699</v>
      </c>
      <c r="X5537">
        <v>9</v>
      </c>
      <c r="Y5537" t="s">
        <v>20738</v>
      </c>
      <c r="Z5537" t="s">
        <v>31668</v>
      </c>
      <c r="AA5537">
        <v>0.62346361119934324</v>
      </c>
      <c r="AB5537" t="str">
        <f>HYPERLINK("Melting_Curves/meltCurve_Q9H0W8_2_SMG9.pdf", "Melting_Curves/meltCurve_Q9H0W8_2_SMG9.pdf")</f>
        <v>Melting_Curves/meltCurve_Q9H0W8_2_SMG9.pdf</v>
      </c>
    </row>
    <row r="5538" spans="1:28" x14ac:dyDescent="0.25">
      <c r="A5538" t="s">
        <v>5541</v>
      </c>
      <c r="B5538">
        <v>0.99930955844802105</v>
      </c>
      <c r="C5538">
        <v>1.1033762910560001</v>
      </c>
      <c r="D5538">
        <v>1.1122206493415201</v>
      </c>
      <c r="E5538">
        <v>1.0907401825837</v>
      </c>
      <c r="F5538">
        <v>0.95517568799040697</v>
      </c>
      <c r="G5538">
        <v>0.65939609737008897</v>
      </c>
      <c r="H5538">
        <v>0.37148408626007001</v>
      </c>
      <c r="I5538">
        <v>0.16505183873565099</v>
      </c>
      <c r="J5538">
        <v>0.120129568114221</v>
      </c>
      <c r="K5538">
        <v>8.6137149001939001E-2</v>
      </c>
      <c r="L5538">
        <v>1444.597935131</v>
      </c>
      <c r="M5538">
        <v>24.621472063992702</v>
      </c>
      <c r="N5538">
        <v>59.063303806886303</v>
      </c>
      <c r="O5538">
        <v>58.289344213604899</v>
      </c>
      <c r="P5538">
        <v>-9.7659839220085295E-2</v>
      </c>
      <c r="Q5538">
        <v>7.5206057016504499E-2</v>
      </c>
      <c r="R5538">
        <v>0.97834419649656801</v>
      </c>
      <c r="S5538" t="s">
        <v>12154</v>
      </c>
      <c r="T5538" t="s">
        <v>13232</v>
      </c>
      <c r="U5538" t="s">
        <v>13232</v>
      </c>
      <c r="V5538" t="s">
        <v>13232</v>
      </c>
      <c r="W5538" t="s">
        <v>18700</v>
      </c>
      <c r="X5538">
        <v>16</v>
      </c>
      <c r="Y5538" t="s">
        <v>25091</v>
      </c>
      <c r="Z5538" t="s">
        <v>31669</v>
      </c>
      <c r="AA5538">
        <v>0.65870910436933594</v>
      </c>
      <c r="AB5538" t="str">
        <f>HYPERLINK("Melting_Curves/meltCurve_Q9H0W9_C11orf54.pdf", "Melting_Curves/meltCurve_Q9H0W9_C11orf54.pdf")</f>
        <v>Melting_Curves/meltCurve_Q9H0W9_C11orf54.pdf</v>
      </c>
    </row>
    <row r="5539" spans="1:28" x14ac:dyDescent="0.25">
      <c r="A5539" t="s">
        <v>5542</v>
      </c>
      <c r="B5539">
        <v>0.99930955844802105</v>
      </c>
      <c r="C5539">
        <v>1.0322299809280899</v>
      </c>
      <c r="D5539">
        <v>1.0071468998989499</v>
      </c>
      <c r="E5539">
        <v>0.77989209218306599</v>
      </c>
      <c r="F5539">
        <v>0.49031746452525998</v>
      </c>
      <c r="G5539">
        <v>0.39705372771326303</v>
      </c>
      <c r="H5539">
        <v>0.32502777004236399</v>
      </c>
      <c r="I5539">
        <v>0.34647168528476202</v>
      </c>
      <c r="J5539">
        <v>0.32225541920684703</v>
      </c>
      <c r="K5539">
        <v>0.24735726405299799</v>
      </c>
      <c r="L5539">
        <v>1503.2112724091201</v>
      </c>
      <c r="M5539">
        <v>29.315594357467599</v>
      </c>
      <c r="N5539">
        <v>53.090112131222</v>
      </c>
      <c r="O5539">
        <v>51.040020647129801</v>
      </c>
      <c r="P5539">
        <v>-9.8175217021858496E-2</v>
      </c>
      <c r="Q5539">
        <v>0.31629163003384803</v>
      </c>
      <c r="R5539">
        <v>0.98920274368162198</v>
      </c>
      <c r="S5539" t="s">
        <v>12155</v>
      </c>
      <c r="T5539" t="s">
        <v>13232</v>
      </c>
      <c r="U5539" t="s">
        <v>13232</v>
      </c>
      <c r="V5539" t="s">
        <v>13232</v>
      </c>
      <c r="W5539" t="s">
        <v>18701</v>
      </c>
      <c r="X5539">
        <v>3</v>
      </c>
      <c r="Y5539" t="s">
        <v>25092</v>
      </c>
      <c r="Z5539" t="s">
        <v>31670</v>
      </c>
      <c r="AA5539">
        <v>0.57781595413396691</v>
      </c>
      <c r="AB5539" t="str">
        <f>HYPERLINK("Melting_Curves/meltCurve_Q9H0X4_ITFG3.pdf", "Melting_Curves/meltCurve_Q9H0X4_ITFG3.pdf")</f>
        <v>Melting_Curves/meltCurve_Q9H0X4_ITFG3.pdf</v>
      </c>
    </row>
    <row r="5540" spans="1:28" x14ac:dyDescent="0.25">
      <c r="A5540" t="s">
        <v>5543</v>
      </c>
      <c r="B5540">
        <v>0.99930955844802105</v>
      </c>
      <c r="C5540">
        <v>1.09903596202507</v>
      </c>
      <c r="D5540">
        <v>1.05131694783295</v>
      </c>
      <c r="E5540">
        <v>0.76525019742160205</v>
      </c>
      <c r="F5540">
        <v>0.53476392017831598</v>
      </c>
      <c r="G5540">
        <v>0.46669901157521299</v>
      </c>
      <c r="H5540">
        <v>0.38525041473606397</v>
      </c>
      <c r="I5540">
        <v>0.42035061834973902</v>
      </c>
      <c r="J5540">
        <v>0.42067887586617098</v>
      </c>
      <c r="K5540">
        <v>0.32841437408242302</v>
      </c>
      <c r="L5540">
        <v>1653.04892991318</v>
      </c>
      <c r="M5540">
        <v>32.476106633205397</v>
      </c>
      <c r="N5540">
        <v>53.5457135324191</v>
      </c>
      <c r="O5540">
        <v>50.708637897423202</v>
      </c>
      <c r="P5540">
        <v>-9.6148554830076893E-2</v>
      </c>
      <c r="Q5540">
        <v>0.399492221017472</v>
      </c>
      <c r="R5540">
        <v>0.97089417910445697</v>
      </c>
      <c r="S5540" t="s">
        <v>12156</v>
      </c>
      <c r="T5540" t="s">
        <v>13232</v>
      </c>
      <c r="U5540" t="s">
        <v>13232</v>
      </c>
      <c r="V5540" t="s">
        <v>13232</v>
      </c>
      <c r="W5540" t="s">
        <v>18702</v>
      </c>
      <c r="X5540">
        <v>5</v>
      </c>
      <c r="Y5540" t="s">
        <v>25093</v>
      </c>
      <c r="Z5540" t="s">
        <v>31671</v>
      </c>
      <c r="AA5540">
        <v>0.62090049569068262</v>
      </c>
      <c r="AB5540" t="str">
        <f>HYPERLINK("Melting_Curves/meltCurve_Q9H173_SIL1.pdf", "Melting_Curves/meltCurve_Q9H173_SIL1.pdf")</f>
        <v>Melting_Curves/meltCurve_Q9H173_SIL1.pdf</v>
      </c>
    </row>
    <row r="5541" spans="1:28" x14ac:dyDescent="0.25">
      <c r="A5541" t="s">
        <v>5544</v>
      </c>
      <c r="B5541">
        <v>0.99930955844802105</v>
      </c>
      <c r="C5541">
        <v>1.21309082841053</v>
      </c>
      <c r="D5541">
        <v>1.11405970611968</v>
      </c>
      <c r="E5541">
        <v>1.1733878078403801</v>
      </c>
      <c r="F5541">
        <v>1.0022879035294301</v>
      </c>
      <c r="G5541">
        <v>0.96498683926321005</v>
      </c>
      <c r="H5541">
        <v>1.0577965580561599</v>
      </c>
      <c r="I5541">
        <v>1.1666888569399001</v>
      </c>
      <c r="J5541">
        <v>1.17733421380452</v>
      </c>
      <c r="K5541">
        <v>0.89557400931201403</v>
      </c>
      <c r="L5541">
        <v>10247.8271218844</v>
      </c>
      <c r="M5541">
        <v>250</v>
      </c>
      <c r="O5541">
        <v>40.988685307222603</v>
      </c>
      <c r="P5541">
        <v>0.129643557369092</v>
      </c>
      <c r="Q5541">
        <v>1.08502270351966</v>
      </c>
      <c r="R5541">
        <v>6.3117644699399303E-2</v>
      </c>
      <c r="S5541" t="s">
        <v>12157</v>
      </c>
      <c r="T5541" t="s">
        <v>13232</v>
      </c>
      <c r="U5541" t="s">
        <v>13232</v>
      </c>
      <c r="V5541" t="s">
        <v>13232</v>
      </c>
      <c r="W5541" t="s">
        <v>18703</v>
      </c>
      <c r="X5541">
        <v>2</v>
      </c>
      <c r="Y5541" t="s">
        <v>25094</v>
      </c>
      <c r="Z5541" t="s">
        <v>31672</v>
      </c>
      <c r="AA5541">
        <v>1.0822062354592441</v>
      </c>
      <c r="AB5541" t="str">
        <f>HYPERLINK("Melting_Curves/meltCurve_Q9H175_CSRNP2.pdf", "Melting_Curves/meltCurve_Q9H175_CSRNP2.pdf")</f>
        <v>Melting_Curves/meltCurve_Q9H175_CSRNP2.pdf</v>
      </c>
    </row>
    <row r="5542" spans="1:28" x14ac:dyDescent="0.25">
      <c r="A5542" t="s">
        <v>5545</v>
      </c>
      <c r="B5542">
        <v>0.99930955844802105</v>
      </c>
      <c r="C5542">
        <v>0.58385396026185699</v>
      </c>
      <c r="D5542">
        <v>0.63035656099088599</v>
      </c>
      <c r="E5542">
        <v>0.84603733129469405</v>
      </c>
      <c r="F5542">
        <v>0.56501959036557703</v>
      </c>
      <c r="G5542">
        <v>0.23535833442383899</v>
      </c>
      <c r="H5542">
        <v>0.186714901913587</v>
      </c>
      <c r="I5542">
        <v>0.15141880882338499</v>
      </c>
      <c r="J5542">
        <v>0.13436405145300601</v>
      </c>
      <c r="K5542">
        <v>0.105042390218445</v>
      </c>
      <c r="L5542">
        <v>401.26661467860902</v>
      </c>
      <c r="M5542">
        <v>7.7136116755682398</v>
      </c>
      <c r="N5542">
        <v>52.020586228051599</v>
      </c>
      <c r="O5542">
        <v>48.870767474516398</v>
      </c>
      <c r="P5542">
        <v>-3.9510352463521303E-2</v>
      </c>
      <c r="Q5542">
        <v>0</v>
      </c>
      <c r="R5542">
        <v>0.80860389412638201</v>
      </c>
      <c r="S5542" t="s">
        <v>12158</v>
      </c>
      <c r="T5542" t="s">
        <v>13232</v>
      </c>
      <c r="U5542" t="s">
        <v>13232</v>
      </c>
      <c r="V5542" t="s">
        <v>13232</v>
      </c>
      <c r="W5542" t="s">
        <v>18704</v>
      </c>
      <c r="X5542">
        <v>20</v>
      </c>
      <c r="Y5542" t="s">
        <v>25095</v>
      </c>
      <c r="Z5542" t="s">
        <v>31673</v>
      </c>
      <c r="AA5542">
        <v>0.44912391249105649</v>
      </c>
      <c r="AB5542" t="str">
        <f>HYPERLINK("Melting_Curves/meltCurve_Q9H1A4_ANAPC1.pdf", "Melting_Curves/meltCurve_Q9H1A4_ANAPC1.pdf")</f>
        <v>Melting_Curves/meltCurve_Q9H1A4_ANAPC1.pdf</v>
      </c>
    </row>
    <row r="5543" spans="1:28" x14ac:dyDescent="0.25">
      <c r="A5543" t="s">
        <v>5546</v>
      </c>
      <c r="B5543">
        <v>0.99930955844802105</v>
      </c>
      <c r="C5543">
        <v>1.1019225790158</v>
      </c>
      <c r="D5543">
        <v>1.08915731051787</v>
      </c>
      <c r="E5543">
        <v>0.84371041272749903</v>
      </c>
      <c r="F5543">
        <v>0.46494192922114103</v>
      </c>
      <c r="G5543">
        <v>0.31690196510642199</v>
      </c>
      <c r="H5543">
        <v>0.23847197899493799</v>
      </c>
      <c r="I5543">
        <v>0.234406286169734</v>
      </c>
      <c r="J5543">
        <v>0.23433356456100901</v>
      </c>
      <c r="K5543">
        <v>0.185010315049839</v>
      </c>
      <c r="L5543">
        <v>1882.9150954940801</v>
      </c>
      <c r="M5543">
        <v>36.286383057979201</v>
      </c>
      <c r="N5543">
        <v>52.8046151013776</v>
      </c>
      <c r="O5543">
        <v>51.733537404988297</v>
      </c>
      <c r="P5543">
        <v>-0.13445483445176001</v>
      </c>
      <c r="Q5543">
        <v>0.23323236080173501</v>
      </c>
      <c r="R5543">
        <v>0.98153208930556402</v>
      </c>
      <c r="S5543" t="s">
        <v>12159</v>
      </c>
      <c r="T5543" t="s">
        <v>13232</v>
      </c>
      <c r="U5543" t="s">
        <v>13232</v>
      </c>
      <c r="V5543" t="s">
        <v>13232</v>
      </c>
      <c r="W5543" t="s">
        <v>18705</v>
      </c>
      <c r="X5543">
        <v>26</v>
      </c>
      <c r="Y5543" t="s">
        <v>25096</v>
      </c>
      <c r="Z5543" t="s">
        <v>31674</v>
      </c>
      <c r="AA5543">
        <v>0.54048206033388835</v>
      </c>
      <c r="AB5543" t="str">
        <f>HYPERLINK("Melting_Curves/meltCurve_Q9H1B7_IRF2BPL.pdf", "Melting_Curves/meltCurve_Q9H1B7_IRF2BPL.pdf")</f>
        <v>Melting_Curves/meltCurve_Q9H1B7_IRF2BPL.pdf</v>
      </c>
    </row>
    <row r="5544" spans="1:28" x14ac:dyDescent="0.25">
      <c r="A5544" t="s">
        <v>5547</v>
      </c>
      <c r="B5544">
        <v>0.99930955844802105</v>
      </c>
      <c r="C5544">
        <v>0.94561948105669602</v>
      </c>
      <c r="D5544">
        <v>1.0127729722227401</v>
      </c>
      <c r="E5544">
        <v>0.92859643336117803</v>
      </c>
      <c r="F5544">
        <v>0.56422712492308302</v>
      </c>
      <c r="G5544">
        <v>0.28770080046902502</v>
      </c>
      <c r="H5544">
        <v>0.120576976058618</v>
      </c>
      <c r="I5544">
        <v>6.8951251102523398E-2</v>
      </c>
      <c r="J5544">
        <v>5.0295833399663703E-2</v>
      </c>
      <c r="K5544">
        <v>3.2952190809586897E-2</v>
      </c>
      <c r="L5544">
        <v>1268.0761778788201</v>
      </c>
      <c r="M5544">
        <v>23.514968679293801</v>
      </c>
      <c r="N5544">
        <v>54.152864459631601</v>
      </c>
      <c r="O5544">
        <v>53.540889569969302</v>
      </c>
      <c r="P5544">
        <v>-0.104658050398935</v>
      </c>
      <c r="Q5544">
        <v>4.6838925674321102E-2</v>
      </c>
      <c r="R5544">
        <v>0.99309899114525302</v>
      </c>
      <c r="S5544" t="s">
        <v>12160</v>
      </c>
      <c r="T5544" t="s">
        <v>13232</v>
      </c>
      <c r="U5544" t="s">
        <v>13232</v>
      </c>
      <c r="V5544" t="s">
        <v>13232</v>
      </c>
      <c r="W5544" t="s">
        <v>18706</v>
      </c>
      <c r="X5544">
        <v>8</v>
      </c>
      <c r="Y5544" t="s">
        <v>25097</v>
      </c>
      <c r="Z5544" t="s">
        <v>31675</v>
      </c>
      <c r="AA5544">
        <v>0.49915427521054212</v>
      </c>
      <c r="AB5544" t="str">
        <f>HYPERLINK("Melting_Curves/meltCurve_Q9H1D9_POLR3F.pdf", "Melting_Curves/meltCurve_Q9H1D9_POLR3F.pdf")</f>
        <v>Melting_Curves/meltCurve_Q9H1D9_POLR3F.pdf</v>
      </c>
    </row>
    <row r="5545" spans="1:28" x14ac:dyDescent="0.25">
      <c r="A5545" t="s">
        <v>5548</v>
      </c>
      <c r="B5545">
        <v>0.99930955844802105</v>
      </c>
      <c r="C5545">
        <v>1.0260440380874001</v>
      </c>
      <c r="D5545">
        <v>1.0691066340206099</v>
      </c>
      <c r="E5545">
        <v>1.3213369122002001</v>
      </c>
      <c r="F5545">
        <v>1.2010393392944501</v>
      </c>
      <c r="G5545">
        <v>1.54377197061355</v>
      </c>
      <c r="H5545">
        <v>1.6225198139296999</v>
      </c>
      <c r="I5545">
        <v>1.8549066761137101</v>
      </c>
      <c r="J5545">
        <v>1.70579730186288</v>
      </c>
      <c r="K5545">
        <v>1.1940664778722001</v>
      </c>
      <c r="L5545">
        <v>1072.4583183063801</v>
      </c>
      <c r="M5545">
        <v>21.383025586237899</v>
      </c>
      <c r="O5545">
        <v>49.722182817572197</v>
      </c>
      <c r="P5545">
        <v>5.3757595034432899E-2</v>
      </c>
      <c r="Q5545">
        <v>1.5</v>
      </c>
      <c r="R5545">
        <v>0.61274186223069804</v>
      </c>
      <c r="S5545" t="s">
        <v>12161</v>
      </c>
      <c r="T5545" t="s">
        <v>13232</v>
      </c>
      <c r="U5545" t="s">
        <v>13232</v>
      </c>
      <c r="V5545" t="s">
        <v>13232</v>
      </c>
      <c r="W5545" t="s">
        <v>18707</v>
      </c>
      <c r="X5545">
        <v>22</v>
      </c>
      <c r="Y5545" t="s">
        <v>25098</v>
      </c>
      <c r="Z5545" t="s">
        <v>31676</v>
      </c>
      <c r="AA5545">
        <v>1.3246501889329729</v>
      </c>
      <c r="AB5545" t="str">
        <f>HYPERLINK("Melting_Curves/meltCurve_Q9H1E3_NUCKS1.pdf", "Melting_Curves/meltCurve_Q9H1E3_NUCKS1.pdf")</f>
        <v>Melting_Curves/meltCurve_Q9H1E3_NUCKS1.pdf</v>
      </c>
    </row>
    <row r="5546" spans="1:28" x14ac:dyDescent="0.25">
      <c r="A5546" t="s">
        <v>5549</v>
      </c>
      <c r="B5546">
        <v>0.99930955844802105</v>
      </c>
      <c r="C5546">
        <v>1.1105310729819799</v>
      </c>
      <c r="D5546">
        <v>0.73890413232957997</v>
      </c>
      <c r="E5546">
        <v>0.41251035714588302</v>
      </c>
      <c r="F5546">
        <v>0.28012022380520701</v>
      </c>
      <c r="G5546">
        <v>0.20010589457028999</v>
      </c>
      <c r="H5546">
        <v>0.163463002481643</v>
      </c>
      <c r="I5546">
        <v>0.15350761771566401</v>
      </c>
      <c r="J5546">
        <v>0.141900999284614</v>
      </c>
      <c r="K5546">
        <v>0.114428720730785</v>
      </c>
      <c r="L5546">
        <v>1133.44488479291</v>
      </c>
      <c r="M5546">
        <v>23.472391214740899</v>
      </c>
      <c r="N5546">
        <v>49.047682199375899</v>
      </c>
      <c r="O5546">
        <v>47.942035536753998</v>
      </c>
      <c r="P5546">
        <v>-0.103756642380385</v>
      </c>
      <c r="Q5546">
        <v>0.15232866459740699</v>
      </c>
      <c r="R5546">
        <v>0.97639994225395998</v>
      </c>
      <c r="S5546" t="s">
        <v>12162</v>
      </c>
      <c r="T5546" t="s">
        <v>13232</v>
      </c>
      <c r="U5546" t="s">
        <v>13232</v>
      </c>
      <c r="V5546" t="s">
        <v>13232</v>
      </c>
      <c r="W5546" t="s">
        <v>18708</v>
      </c>
      <c r="X5546">
        <v>7</v>
      </c>
      <c r="Y5546" t="s">
        <v>25099</v>
      </c>
      <c r="Z5546" t="s">
        <v>31677</v>
      </c>
      <c r="AA5546">
        <v>0.39507871340826228</v>
      </c>
      <c r="AB5546" t="str">
        <f>HYPERLINK("Melting_Curves/meltCurve_Q9H1I8_ASCC2.pdf", "Melting_Curves/meltCurve_Q9H1I8_ASCC2.pdf")</f>
        <v>Melting_Curves/meltCurve_Q9H1I8_ASCC2.pdf</v>
      </c>
    </row>
    <row r="5547" spans="1:28" x14ac:dyDescent="0.25">
      <c r="A5547" t="s">
        <v>5550</v>
      </c>
      <c r="B5547">
        <v>0.99930955844802105</v>
      </c>
      <c r="C5547">
        <v>1.25438757310062</v>
      </c>
      <c r="D5547">
        <v>1.2189074015700201</v>
      </c>
      <c r="E5547">
        <v>1.2877329955871999</v>
      </c>
      <c r="F5547">
        <v>1.21455030723632</v>
      </c>
      <c r="G5547">
        <v>1.29571184739699</v>
      </c>
      <c r="H5547">
        <v>1.3362556420910101</v>
      </c>
      <c r="I5547">
        <v>1.6545987229172801</v>
      </c>
      <c r="J5547">
        <v>1.5322354121755399</v>
      </c>
      <c r="K5547">
        <v>1.1476344911048</v>
      </c>
      <c r="L5547">
        <v>378.64537492268602</v>
      </c>
      <c r="M5547">
        <v>8.1640390498313096</v>
      </c>
      <c r="O5547">
        <v>43.846078025804303</v>
      </c>
      <c r="P5547">
        <v>2.00008090283962E-2</v>
      </c>
      <c r="Q5547">
        <v>1.4292182904881301</v>
      </c>
      <c r="R5547">
        <v>0.38708469730323303</v>
      </c>
      <c r="S5547" t="s">
        <v>12163</v>
      </c>
      <c r="T5547" t="s">
        <v>13232</v>
      </c>
      <c r="U5547" t="s">
        <v>13232</v>
      </c>
      <c r="V5547" t="s">
        <v>13232</v>
      </c>
      <c r="W5547" t="s">
        <v>18709</v>
      </c>
      <c r="X5547">
        <v>6</v>
      </c>
      <c r="Y5547" t="s">
        <v>25100</v>
      </c>
      <c r="Z5547" t="s">
        <v>31678</v>
      </c>
      <c r="AA5547">
        <v>1.3027557773530021</v>
      </c>
      <c r="AB5547" t="str">
        <f>HYPERLINK("Melting_Curves/meltCurve_Q9H1J1_2_UPF3A.pdf", "Melting_Curves/meltCurve_Q9H1J1_2_UPF3A.pdf")</f>
        <v>Melting_Curves/meltCurve_Q9H1J1_2_UPF3A.pdf</v>
      </c>
    </row>
    <row r="5548" spans="1:28" x14ac:dyDescent="0.25">
      <c r="A5548" t="s">
        <v>5551</v>
      </c>
      <c r="B5548">
        <v>0.99930955844802105</v>
      </c>
      <c r="C5548">
        <v>0.90370747351847303</v>
      </c>
      <c r="D5548">
        <v>0.93804440991992</v>
      </c>
      <c r="E5548">
        <v>0.87494016466381297</v>
      </c>
      <c r="F5548">
        <v>0.80411534468883905</v>
      </c>
      <c r="G5548">
        <v>0.653987885014084</v>
      </c>
      <c r="H5548">
        <v>0.61274680070939402</v>
      </c>
      <c r="I5548">
        <v>0.63985893972640095</v>
      </c>
      <c r="J5548">
        <v>0.60707229856839295</v>
      </c>
      <c r="K5548">
        <v>0.41890422842264702</v>
      </c>
      <c r="L5548">
        <v>335.76513695089199</v>
      </c>
      <c r="M5548">
        <v>5.0993618663270599</v>
      </c>
      <c r="N5548">
        <v>69.028533497942206</v>
      </c>
      <c r="O5548">
        <v>57.728376260252702</v>
      </c>
      <c r="P5548">
        <v>-1.9882353913695701E-2</v>
      </c>
      <c r="Q5548">
        <v>0.104798316908416</v>
      </c>
      <c r="R5548">
        <v>0.92824234517017201</v>
      </c>
      <c r="S5548" t="s">
        <v>12164</v>
      </c>
      <c r="T5548" t="s">
        <v>13232</v>
      </c>
      <c r="U5548" t="s">
        <v>13232</v>
      </c>
      <c r="V5548" t="s">
        <v>13232</v>
      </c>
      <c r="W5548" t="s">
        <v>18710</v>
      </c>
      <c r="X5548">
        <v>10</v>
      </c>
      <c r="Y5548" t="s">
        <v>25101</v>
      </c>
      <c r="Z5548" t="s">
        <v>31679</v>
      </c>
      <c r="AA5548">
        <v>0.74890309391067023</v>
      </c>
      <c r="AB5548" t="str">
        <f>HYPERLINK("Melting_Curves/meltCurve_Q9H1K1_ISCU.pdf", "Melting_Curves/meltCurve_Q9H1K1_ISCU.pdf")</f>
        <v>Melting_Curves/meltCurve_Q9H1K1_ISCU.pdf</v>
      </c>
    </row>
    <row r="5549" spans="1:28" x14ac:dyDescent="0.25">
      <c r="A5549" t="s">
        <v>5552</v>
      </c>
      <c r="B5549">
        <v>0.99930955844802105</v>
      </c>
      <c r="C5549">
        <v>0.95594125748063097</v>
      </c>
      <c r="D5549">
        <v>0.58124397053468502</v>
      </c>
      <c r="E5549">
        <v>0.29472223180023499</v>
      </c>
      <c r="F5549">
        <v>0.172184518312676</v>
      </c>
      <c r="G5549">
        <v>0.109880509276611</v>
      </c>
      <c r="H5549">
        <v>6.13206921947307E-2</v>
      </c>
      <c r="I5549">
        <v>4.6439340567362798E-2</v>
      </c>
      <c r="J5549">
        <v>3.60523073849046E-2</v>
      </c>
      <c r="K5549">
        <v>3.2322861474279201E-2</v>
      </c>
      <c r="L5549">
        <v>944.21973302543597</v>
      </c>
      <c r="M5549">
        <v>20.032347429235401</v>
      </c>
      <c r="N5549">
        <v>47.394694033496201</v>
      </c>
      <c r="O5549">
        <v>46.672584493986598</v>
      </c>
      <c r="P5549">
        <v>-0.10172389650505299</v>
      </c>
      <c r="Q5549">
        <v>5.2020514427436902E-2</v>
      </c>
      <c r="R5549">
        <v>0.99085703759868404</v>
      </c>
      <c r="S5549" t="s">
        <v>12165</v>
      </c>
      <c r="T5549" t="s">
        <v>13232</v>
      </c>
      <c r="U5549" t="s">
        <v>13232</v>
      </c>
      <c r="V5549" t="s">
        <v>13232</v>
      </c>
      <c r="W5549" t="s">
        <v>18711</v>
      </c>
      <c r="X5549">
        <v>5</v>
      </c>
      <c r="Y5549" t="s">
        <v>25102</v>
      </c>
      <c r="Z5549" t="s">
        <v>31680</v>
      </c>
      <c r="AA5549">
        <v>0.29123062785309278</v>
      </c>
      <c r="AB5549" t="str">
        <f>HYPERLINK("Melting_Curves/meltCurve_Q9H1P3_2_OSBPL2.pdf", "Melting_Curves/meltCurve_Q9H1P3_2_OSBPL2.pdf")</f>
        <v>Melting_Curves/meltCurve_Q9H1P3_2_OSBPL2.pdf</v>
      </c>
    </row>
    <row r="5550" spans="1:28" x14ac:dyDescent="0.25">
      <c r="A5550" t="s">
        <v>5553</v>
      </c>
      <c r="B5550">
        <v>0.99930955844802105</v>
      </c>
      <c r="C5550">
        <v>0.80827634648612401</v>
      </c>
      <c r="D5550">
        <v>0.69644868236885304</v>
      </c>
      <c r="E5550">
        <v>0.64719683702742403</v>
      </c>
      <c r="F5550">
        <v>0.55251496738703998</v>
      </c>
      <c r="G5550">
        <v>0.14208446030361899</v>
      </c>
      <c r="H5550">
        <v>7.1626308272289593E-2</v>
      </c>
      <c r="I5550">
        <v>5.4884204478296297E-2</v>
      </c>
      <c r="J5550">
        <v>4.5854970710916099E-2</v>
      </c>
      <c r="K5550">
        <v>3.6260004815127603E-2</v>
      </c>
      <c r="L5550">
        <v>598.44704671590102</v>
      </c>
      <c r="M5550">
        <v>11.661398293685499</v>
      </c>
      <c r="N5550">
        <v>51.318635377416598</v>
      </c>
      <c r="O5550">
        <v>49.879193460117797</v>
      </c>
      <c r="P5550">
        <v>-5.8463951686689698E-2</v>
      </c>
      <c r="Q5550">
        <v>0</v>
      </c>
      <c r="R5550">
        <v>0.95093952772676904</v>
      </c>
      <c r="S5550" t="s">
        <v>12166</v>
      </c>
      <c r="T5550" t="s">
        <v>13232</v>
      </c>
      <c r="U5550" t="s">
        <v>13232</v>
      </c>
      <c r="V5550" t="s">
        <v>13232</v>
      </c>
      <c r="W5550" t="s">
        <v>18712</v>
      </c>
      <c r="X5550">
        <v>9</v>
      </c>
      <c r="Y5550" t="s">
        <v>25103</v>
      </c>
      <c r="Z5550" t="s">
        <v>31681</v>
      </c>
      <c r="AA5550">
        <v>0.41054769725337259</v>
      </c>
      <c r="AB5550" t="str">
        <f>HYPERLINK("Melting_Curves/meltCurve_Q9H1Y0_ATG5.pdf", "Melting_Curves/meltCurve_Q9H1Y0_ATG5.pdf")</f>
        <v>Melting_Curves/meltCurve_Q9H1Y0_ATG5.pdf</v>
      </c>
    </row>
    <row r="5551" spans="1:28" x14ac:dyDescent="0.25">
      <c r="A5551" t="s">
        <v>5554</v>
      </c>
      <c r="B5551">
        <v>0.99930955844802105</v>
      </c>
      <c r="C5551">
        <v>0.92419766183259999</v>
      </c>
      <c r="D5551">
        <v>0.86145609616408503</v>
      </c>
      <c r="E5551">
        <v>0.76919882301337605</v>
      </c>
      <c r="F5551">
        <v>0.63035707077902003</v>
      </c>
      <c r="G5551">
        <v>0.54560543245757098</v>
      </c>
      <c r="H5551">
        <v>0.36017013859163</v>
      </c>
      <c r="I5551">
        <v>0.23569272318916701</v>
      </c>
      <c r="J5551">
        <v>9.5678971268750995E-2</v>
      </c>
      <c r="K5551">
        <v>6.1702307440252097E-2</v>
      </c>
      <c r="L5551">
        <v>568.48104465592405</v>
      </c>
      <c r="M5551">
        <v>10.089711262521799</v>
      </c>
      <c r="N5551">
        <v>56.342661086248903</v>
      </c>
      <c r="O5551">
        <v>54.263691739807399</v>
      </c>
      <c r="P5551">
        <v>-4.65064834255184E-2</v>
      </c>
      <c r="Q5551">
        <v>0</v>
      </c>
      <c r="R5551">
        <v>0.98084317770707896</v>
      </c>
      <c r="S5551" t="s">
        <v>12167</v>
      </c>
      <c r="T5551" t="s">
        <v>13232</v>
      </c>
      <c r="U5551" t="s">
        <v>13232</v>
      </c>
      <c r="V5551" t="s">
        <v>13232</v>
      </c>
      <c r="W5551" t="s">
        <v>18713</v>
      </c>
      <c r="X5551">
        <v>6</v>
      </c>
      <c r="Y5551" t="s">
        <v>25104</v>
      </c>
      <c r="Z5551" t="s">
        <v>31682</v>
      </c>
      <c r="AA5551">
        <v>0.56413609020231315</v>
      </c>
      <c r="AB5551" t="str">
        <f>HYPERLINK("Melting_Curves/meltCurve_Q9H1Z4_WDR13.pdf", "Melting_Curves/meltCurve_Q9H1Z4_WDR13.pdf")</f>
        <v>Melting_Curves/meltCurve_Q9H1Z4_WDR13.pdf</v>
      </c>
    </row>
    <row r="5552" spans="1:28" x14ac:dyDescent="0.25">
      <c r="A5552" t="s">
        <v>5555</v>
      </c>
      <c r="B5552">
        <v>0.99930955844802105</v>
      </c>
      <c r="C5552">
        <v>1.8508097895859501</v>
      </c>
      <c r="D5552">
        <v>1.80781731179112</v>
      </c>
      <c r="E5552">
        <v>1.66533042380879</v>
      </c>
      <c r="F5552">
        <v>1.7092595697997599</v>
      </c>
      <c r="G5552">
        <v>1.55667139778772</v>
      </c>
      <c r="H5552">
        <v>1.5155781227493901</v>
      </c>
      <c r="I5552">
        <v>1.4131180990209899</v>
      </c>
      <c r="J5552">
        <v>1.5011611220963399</v>
      </c>
      <c r="K5552">
        <v>1.3614077915667799</v>
      </c>
      <c r="L5552">
        <v>10242.525388255001</v>
      </c>
      <c r="M5552">
        <v>250</v>
      </c>
      <c r="O5552">
        <v>40.9674808630499</v>
      </c>
      <c r="P5552">
        <v>0.76280015846506899</v>
      </c>
      <c r="Q5552">
        <v>1.5</v>
      </c>
      <c r="R5552">
        <v>0.42531562211725199</v>
      </c>
      <c r="S5552" t="s">
        <v>12168</v>
      </c>
      <c r="T5552" t="s">
        <v>13232</v>
      </c>
      <c r="U5552" t="s">
        <v>13232</v>
      </c>
      <c r="V5552" t="s">
        <v>13232</v>
      </c>
      <c r="W5552" t="s">
        <v>18714</v>
      </c>
      <c r="X5552">
        <v>3</v>
      </c>
      <c r="Y5552" t="s">
        <v>25105</v>
      </c>
      <c r="Z5552" t="s">
        <v>31683</v>
      </c>
      <c r="AA5552">
        <v>1.4837896849763501</v>
      </c>
      <c r="AB5552" t="str">
        <f>HYPERLINK("Melting_Curves/meltCurve_Q9H204_MED28.pdf", "Melting_Curves/meltCurve_Q9H204_MED28.pdf")</f>
        <v>Melting_Curves/meltCurve_Q9H204_MED28.pdf</v>
      </c>
    </row>
    <row r="5553" spans="1:28" x14ac:dyDescent="0.25">
      <c r="A5553" t="s">
        <v>5556</v>
      </c>
      <c r="B5553">
        <v>0.99930955844802105</v>
      </c>
      <c r="C5553">
        <v>0.98127623282943</v>
      </c>
      <c r="D5553">
        <v>0.90771413934209499</v>
      </c>
      <c r="E5553">
        <v>0.81120030428145795</v>
      </c>
      <c r="F5553">
        <v>0.51197657209050695</v>
      </c>
      <c r="G5553">
        <v>0.28059916637641102</v>
      </c>
      <c r="H5553">
        <v>0.169991171062646</v>
      </c>
      <c r="I5553">
        <v>0.160530729101935</v>
      </c>
      <c r="J5553">
        <v>0.12164809107701299</v>
      </c>
      <c r="K5553">
        <v>0.11443326380950899</v>
      </c>
      <c r="L5553">
        <v>1037.5378832205099</v>
      </c>
      <c r="M5553">
        <v>19.6844381961068</v>
      </c>
      <c r="N5553">
        <v>53.417860235734999</v>
      </c>
      <c r="O5553">
        <v>52.173605165918602</v>
      </c>
      <c r="P5553">
        <v>-8.3477011752755403E-2</v>
      </c>
      <c r="Q5553">
        <v>0.115007558098412</v>
      </c>
      <c r="R5553">
        <v>0.996596651638889</v>
      </c>
      <c r="S5553" t="s">
        <v>12169</v>
      </c>
      <c r="T5553" t="s">
        <v>13232</v>
      </c>
      <c r="U5553" t="s">
        <v>13232</v>
      </c>
      <c r="V5553" t="s">
        <v>13232</v>
      </c>
      <c r="W5553" t="s">
        <v>18715</v>
      </c>
      <c r="X5553">
        <v>7</v>
      </c>
      <c r="Y5553" t="s">
        <v>25106</v>
      </c>
      <c r="Z5553" t="s">
        <v>31684</v>
      </c>
      <c r="AA5553">
        <v>0.50244515797822653</v>
      </c>
      <c r="AB5553" t="str">
        <f>HYPERLINK("Melting_Curves/meltCurve_Q9H211_CDT1.pdf", "Melting_Curves/meltCurve_Q9H211_CDT1.pdf")</f>
        <v>Melting_Curves/meltCurve_Q9H211_CDT1.pdf</v>
      </c>
    </row>
    <row r="5554" spans="1:28" x14ac:dyDescent="0.25">
      <c r="A5554" t="s">
        <v>5557</v>
      </c>
      <c r="B5554">
        <v>0.99930955844802105</v>
      </c>
      <c r="C5554">
        <v>0.779130288596669</v>
      </c>
      <c r="D5554">
        <v>0.43622184785958901</v>
      </c>
      <c r="E5554">
        <v>0.25711430366675903</v>
      </c>
      <c r="F5554">
        <v>0.174971808949441</v>
      </c>
      <c r="G5554">
        <v>0.13526759601898999</v>
      </c>
      <c r="H5554">
        <v>0.107158110063458</v>
      </c>
      <c r="I5554">
        <v>0.100979609300033</v>
      </c>
      <c r="J5554">
        <v>9.1454218644248006E-2</v>
      </c>
      <c r="K5554">
        <v>7.2720474650560002E-2</v>
      </c>
      <c r="L5554">
        <v>926.64293187481599</v>
      </c>
      <c r="M5554">
        <v>20.494117883594502</v>
      </c>
      <c r="N5554">
        <v>45.7459182515734</v>
      </c>
      <c r="O5554">
        <v>44.791169709504899</v>
      </c>
      <c r="P5554">
        <v>-0.10228484780710501</v>
      </c>
      <c r="Q5554">
        <v>0.10582683473191</v>
      </c>
      <c r="R5554">
        <v>0.99059739079181497</v>
      </c>
      <c r="S5554" t="s">
        <v>12170</v>
      </c>
      <c r="T5554" t="s">
        <v>13232</v>
      </c>
      <c r="U5554" t="s">
        <v>13232</v>
      </c>
      <c r="V5554" t="s">
        <v>13232</v>
      </c>
      <c r="W5554" t="s">
        <v>18716</v>
      </c>
      <c r="X5554">
        <v>16</v>
      </c>
      <c r="Y5554" t="s">
        <v>25107</v>
      </c>
      <c r="Z5554" t="s">
        <v>31685</v>
      </c>
      <c r="AA5554">
        <v>0.27523732728483452</v>
      </c>
      <c r="AB5554" t="str">
        <f>HYPERLINK("Melting_Curves/meltCurve_Q9H223_EHD4.pdf", "Melting_Curves/meltCurve_Q9H223_EHD4.pdf")</f>
        <v>Melting_Curves/meltCurve_Q9H223_EHD4.pdf</v>
      </c>
    </row>
    <row r="5555" spans="1:28" x14ac:dyDescent="0.25">
      <c r="A5555" t="s">
        <v>5558</v>
      </c>
      <c r="B5555">
        <v>0.99930955844802105</v>
      </c>
      <c r="C5555">
        <v>0.83790169098510903</v>
      </c>
      <c r="D5555">
        <v>0.66716104090573103</v>
      </c>
      <c r="E5555">
        <v>0.32580150931144503</v>
      </c>
      <c r="F5555">
        <v>0.171220333646673</v>
      </c>
      <c r="G5555">
        <v>0.121683597236257</v>
      </c>
      <c r="H5555">
        <v>7.6726096958202705E-2</v>
      </c>
      <c r="I5555">
        <v>7.1005293201557601E-2</v>
      </c>
      <c r="J5555">
        <v>5.6695809281609402E-2</v>
      </c>
      <c r="K5555">
        <v>4.4629459150739299E-2</v>
      </c>
      <c r="L5555">
        <v>823.78805706517903</v>
      </c>
      <c r="M5555">
        <v>17.370644921432799</v>
      </c>
      <c r="N5555">
        <v>47.7393612230833</v>
      </c>
      <c r="O5555">
        <v>46.808999412556297</v>
      </c>
      <c r="P5555">
        <v>-8.7752450180966196E-2</v>
      </c>
      <c r="Q5555">
        <v>5.4180689439147403E-2</v>
      </c>
      <c r="R5555">
        <v>0.99718612013413399</v>
      </c>
      <c r="S5555" t="s">
        <v>12171</v>
      </c>
      <c r="T5555" t="s">
        <v>13232</v>
      </c>
      <c r="U5555" t="s">
        <v>13232</v>
      </c>
      <c r="V5555" t="s">
        <v>13232</v>
      </c>
      <c r="W5555" t="s">
        <v>18717</v>
      </c>
      <c r="X5555">
        <v>18</v>
      </c>
      <c r="Y5555" t="s">
        <v>25108</v>
      </c>
      <c r="Z5555" t="s">
        <v>31686</v>
      </c>
      <c r="AA5555">
        <v>0.30671770223594508</v>
      </c>
      <c r="AB5555" t="str">
        <f>HYPERLINK("Melting_Curves/meltCurve_Q9H267_VPS33B.pdf", "Melting_Curves/meltCurve_Q9H267_VPS33B.pdf")</f>
        <v>Melting_Curves/meltCurve_Q9H267_VPS33B.pdf</v>
      </c>
    </row>
    <row r="5556" spans="1:28" x14ac:dyDescent="0.25">
      <c r="A5556" t="s">
        <v>5559</v>
      </c>
      <c r="B5556">
        <v>0.99930955844802105</v>
      </c>
      <c r="C5556">
        <v>0.94408516752316896</v>
      </c>
      <c r="D5556">
        <v>0.91755975216178598</v>
      </c>
      <c r="E5556">
        <v>0.61466818594013695</v>
      </c>
      <c r="F5556">
        <v>0.21226812844537499</v>
      </c>
      <c r="G5556">
        <v>0.15346847945249401</v>
      </c>
      <c r="H5556">
        <v>8.1097408080490596E-2</v>
      </c>
      <c r="I5556">
        <v>6.7883656303511994E-2</v>
      </c>
      <c r="J5556">
        <v>5.1926588631626802E-2</v>
      </c>
      <c r="K5556">
        <v>5.6967963946831603E-2</v>
      </c>
      <c r="L5556">
        <v>1410.14330102694</v>
      </c>
      <c r="M5556">
        <v>27.9771571512386</v>
      </c>
      <c r="N5556">
        <v>50.667115526176602</v>
      </c>
      <c r="O5556">
        <v>50.147978367596302</v>
      </c>
      <c r="P5556">
        <v>-0.13002339359289</v>
      </c>
      <c r="Q5556">
        <v>6.7760384112942398E-2</v>
      </c>
      <c r="R5556">
        <v>0.99427580666355098</v>
      </c>
      <c r="S5556" t="s">
        <v>12172</v>
      </c>
      <c r="T5556" t="s">
        <v>13232</v>
      </c>
      <c r="U5556" t="s">
        <v>13232</v>
      </c>
      <c r="V5556" t="s">
        <v>13232</v>
      </c>
      <c r="W5556" t="s">
        <v>18718</v>
      </c>
      <c r="X5556">
        <v>13</v>
      </c>
      <c r="Y5556" t="s">
        <v>25109</v>
      </c>
      <c r="Z5556" t="s">
        <v>31687</v>
      </c>
      <c r="AA5556">
        <v>0.39772148490740128</v>
      </c>
      <c r="AB5556" t="str">
        <f>HYPERLINK("Melting_Curves/meltCurve_Q9H269_VPS16.pdf", "Melting_Curves/meltCurve_Q9H269_VPS16.pdf")</f>
        <v>Melting_Curves/meltCurve_Q9H269_VPS16.pdf</v>
      </c>
    </row>
    <row r="5557" spans="1:28" x14ac:dyDescent="0.25">
      <c r="A5557" t="s">
        <v>5560</v>
      </c>
      <c r="B5557">
        <v>0.99930955844802105</v>
      </c>
      <c r="C5557">
        <v>0.70994480260724402</v>
      </c>
      <c r="D5557">
        <v>0.71366438850297098</v>
      </c>
      <c r="E5557">
        <v>0.48994520346630399</v>
      </c>
      <c r="F5557">
        <v>0.26450768019045401</v>
      </c>
      <c r="G5557">
        <v>0.183480809505806</v>
      </c>
      <c r="H5557">
        <v>0.116536184315279</v>
      </c>
      <c r="I5557">
        <v>0.10483552932933</v>
      </c>
      <c r="J5557">
        <v>9.1815200703215902E-2</v>
      </c>
      <c r="K5557">
        <v>6.5804409558720106E-2</v>
      </c>
      <c r="L5557">
        <v>549.25804996591501</v>
      </c>
      <c r="M5557">
        <v>11.295028939416101</v>
      </c>
      <c r="N5557">
        <v>48.960992705358898</v>
      </c>
      <c r="O5557">
        <v>47.1788204920338</v>
      </c>
      <c r="P5557">
        <v>-5.7658900103544401E-2</v>
      </c>
      <c r="Q5557">
        <v>3.6939434096924302E-2</v>
      </c>
      <c r="R5557">
        <v>0.97415356534438702</v>
      </c>
      <c r="S5557" t="s">
        <v>12173</v>
      </c>
      <c r="T5557" t="s">
        <v>13232</v>
      </c>
      <c r="U5557" t="s">
        <v>13232</v>
      </c>
      <c r="V5557" t="s">
        <v>13232</v>
      </c>
      <c r="W5557" t="s">
        <v>18719</v>
      </c>
      <c r="X5557">
        <v>23</v>
      </c>
      <c r="Y5557" t="s">
        <v>25110</v>
      </c>
      <c r="Z5557" t="s">
        <v>31688</v>
      </c>
      <c r="AA5557">
        <v>0.35399426963421932</v>
      </c>
      <c r="AB5557" t="str">
        <f>HYPERLINK("Melting_Curves/meltCurve_Q9H270_VPS11.pdf", "Melting_Curves/meltCurve_Q9H270_VPS11.pdf")</f>
        <v>Melting_Curves/meltCurve_Q9H270_VPS11.pdf</v>
      </c>
    </row>
    <row r="5558" spans="1:28" x14ac:dyDescent="0.25">
      <c r="A5558" t="s">
        <v>5561</v>
      </c>
      <c r="B5558">
        <v>0.99930955844802105</v>
      </c>
      <c r="C5558">
        <v>0.94658294449790403</v>
      </c>
      <c r="D5558">
        <v>0.904749670934341</v>
      </c>
      <c r="E5558">
        <v>0.886588465636588</v>
      </c>
      <c r="F5558">
        <v>0.88070818457595101</v>
      </c>
      <c r="G5558">
        <v>0.65216520666454003</v>
      </c>
      <c r="H5558">
        <v>0.14287055759522599</v>
      </c>
      <c r="I5558">
        <v>0.12341033607296401</v>
      </c>
      <c r="J5558">
        <v>9.2385577193990195E-2</v>
      </c>
      <c r="K5558">
        <v>7.6841313907448305E-2</v>
      </c>
      <c r="L5558">
        <v>1780.2601072989701</v>
      </c>
      <c r="M5558">
        <v>30.923342226978001</v>
      </c>
      <c r="N5558">
        <v>57.834758924880198</v>
      </c>
      <c r="O5558">
        <v>57.330957001458302</v>
      </c>
      <c r="P5558">
        <v>-0.125949865410284</v>
      </c>
      <c r="Q5558">
        <v>6.5976176326518796E-2</v>
      </c>
      <c r="R5558">
        <v>0.97790397393919204</v>
      </c>
      <c r="S5558" t="s">
        <v>12174</v>
      </c>
      <c r="T5558" t="s">
        <v>13232</v>
      </c>
      <c r="U5558" t="s">
        <v>13232</v>
      </c>
      <c r="V5558" t="s">
        <v>13232</v>
      </c>
      <c r="W5558" t="s">
        <v>18720</v>
      </c>
      <c r="X5558">
        <v>29</v>
      </c>
      <c r="Y5558" t="s">
        <v>25111</v>
      </c>
      <c r="Z5558" t="s">
        <v>31689</v>
      </c>
      <c r="AA5558">
        <v>0.61888054269050408</v>
      </c>
      <c r="AB5558" t="str">
        <f>HYPERLINK("Melting_Curves/meltCurve_Q9H2C0_GAN.pdf", "Melting_Curves/meltCurve_Q9H2C0_GAN.pdf")</f>
        <v>Melting_Curves/meltCurve_Q9H2C0_GAN.pdf</v>
      </c>
    </row>
    <row r="5559" spans="1:28" x14ac:dyDescent="0.25">
      <c r="A5559" t="s">
        <v>5562</v>
      </c>
      <c r="B5559">
        <v>0.99930955844802105</v>
      </c>
      <c r="C5559">
        <v>1.0468544802375801</v>
      </c>
      <c r="D5559">
        <v>1.0023528161616999</v>
      </c>
      <c r="E5559">
        <v>0.82894091462363195</v>
      </c>
      <c r="F5559">
        <v>0.58331812369079505</v>
      </c>
      <c r="G5559">
        <v>0.41737459143730599</v>
      </c>
      <c r="H5559">
        <v>0.30929079567904699</v>
      </c>
      <c r="I5559">
        <v>0.31060361523890501</v>
      </c>
      <c r="J5559">
        <v>0.29349198215150701</v>
      </c>
      <c r="K5559">
        <v>0.251858321519354</v>
      </c>
      <c r="L5559">
        <v>1184.48456268421</v>
      </c>
      <c r="M5559">
        <v>22.544634520467</v>
      </c>
      <c r="N5559">
        <v>54.552719609911399</v>
      </c>
      <c r="O5559">
        <v>52.1313905074825</v>
      </c>
      <c r="P5559">
        <v>-7.7583904540852303E-2</v>
      </c>
      <c r="Q5559">
        <v>0.282405776250227</v>
      </c>
      <c r="R5559">
        <v>0.99356529588532305</v>
      </c>
      <c r="S5559" t="s">
        <v>12175</v>
      </c>
      <c r="T5559" t="s">
        <v>13232</v>
      </c>
      <c r="U5559" t="s">
        <v>13232</v>
      </c>
      <c r="V5559" t="s">
        <v>13232</v>
      </c>
      <c r="W5559" t="s">
        <v>18721</v>
      </c>
      <c r="X5559">
        <v>17</v>
      </c>
      <c r="Y5559" t="s">
        <v>25112</v>
      </c>
      <c r="Z5559" t="s">
        <v>31690</v>
      </c>
      <c r="AA5559">
        <v>0.59033690982487108</v>
      </c>
      <c r="AB5559" t="str">
        <f>HYPERLINK("Melting_Curves/meltCurve_Q9H2D6_5_TRIOBP.pdf", "Melting_Curves/meltCurve_Q9H2D6_5_TRIOBP.pdf")</f>
        <v>Melting_Curves/meltCurve_Q9H2D6_5_TRIOBP.pdf</v>
      </c>
    </row>
    <row r="5560" spans="1:28" x14ac:dyDescent="0.25">
      <c r="A5560" t="s">
        <v>5563</v>
      </c>
      <c r="B5560">
        <v>0.99930955844802105</v>
      </c>
      <c r="C5560">
        <v>1.13233614746945</v>
      </c>
      <c r="D5560">
        <v>1.0366737461634501</v>
      </c>
      <c r="E5560">
        <v>0.88176269113071903</v>
      </c>
      <c r="F5560">
        <v>0.52278481595705295</v>
      </c>
      <c r="G5560">
        <v>0.264775861025137</v>
      </c>
      <c r="H5560">
        <v>0.186041308235528</v>
      </c>
      <c r="I5560">
        <v>0.19147209881345001</v>
      </c>
      <c r="J5560">
        <v>0.20123284815936299</v>
      </c>
      <c r="K5560">
        <v>0.16618060373353299</v>
      </c>
      <c r="L5560">
        <v>1801.73608178738</v>
      </c>
      <c r="M5560">
        <v>34.304147736668298</v>
      </c>
      <c r="N5560">
        <v>53.2578080176838</v>
      </c>
      <c r="O5560">
        <v>52.344884274725999</v>
      </c>
      <c r="P5560">
        <v>-0.132929902340086</v>
      </c>
      <c r="Q5560">
        <v>0.18864946210960301</v>
      </c>
      <c r="R5560">
        <v>0.98604975263767902</v>
      </c>
      <c r="S5560" t="s">
        <v>12176</v>
      </c>
      <c r="T5560" t="s">
        <v>13232</v>
      </c>
      <c r="U5560" t="s">
        <v>13232</v>
      </c>
      <c r="V5560" t="s">
        <v>13232</v>
      </c>
      <c r="W5560" t="s">
        <v>18722</v>
      </c>
      <c r="X5560">
        <v>6</v>
      </c>
      <c r="Y5560" t="s">
        <v>25113</v>
      </c>
      <c r="Z5560" t="s">
        <v>31691</v>
      </c>
      <c r="AA5560">
        <v>0.53132224900493497</v>
      </c>
      <c r="AB5560" t="str">
        <f>HYPERLINK("Melting_Curves/meltCurve_Q9H2F5_2_EPC1.pdf", "Melting_Curves/meltCurve_Q9H2F5_2_EPC1.pdf")</f>
        <v>Melting_Curves/meltCurve_Q9H2F5_2_EPC1.pdf</v>
      </c>
    </row>
    <row r="5561" spans="1:28" x14ac:dyDescent="0.25">
      <c r="A5561" t="s">
        <v>5564</v>
      </c>
      <c r="B5561">
        <v>0.99930955844802105</v>
      </c>
      <c r="C5561">
        <v>1.02989912102129</v>
      </c>
      <c r="D5561">
        <v>0.84077468868469196</v>
      </c>
      <c r="E5561">
        <v>0.56023542136177296</v>
      </c>
      <c r="F5561">
        <v>0.31676672432701097</v>
      </c>
      <c r="G5561">
        <v>0.25433293357312597</v>
      </c>
      <c r="H5561">
        <v>0.234205300248676</v>
      </c>
      <c r="I5561">
        <v>0.23429681734472299</v>
      </c>
      <c r="J5561">
        <v>0.24973434260473701</v>
      </c>
      <c r="K5561">
        <v>0.19308516872385101</v>
      </c>
      <c r="L5561">
        <v>1173.9950604610599</v>
      </c>
      <c r="M5561">
        <v>23.875327646916801</v>
      </c>
      <c r="N5561">
        <v>50.419475327817104</v>
      </c>
      <c r="O5561">
        <v>48.8308051589757</v>
      </c>
      <c r="P5561">
        <v>-9.4971784617968999E-2</v>
      </c>
      <c r="Q5561">
        <v>0.22305132846667</v>
      </c>
      <c r="R5561">
        <v>0.99349317562086503</v>
      </c>
      <c r="S5561" t="s">
        <v>12177</v>
      </c>
      <c r="T5561" t="s">
        <v>13232</v>
      </c>
      <c r="U5561" t="s">
        <v>13232</v>
      </c>
      <c r="V5561" t="s">
        <v>13232</v>
      </c>
      <c r="W5561" t="s">
        <v>18723</v>
      </c>
      <c r="X5561">
        <v>39</v>
      </c>
      <c r="Y5561" t="s">
        <v>25114</v>
      </c>
      <c r="Z5561" t="s">
        <v>31692</v>
      </c>
      <c r="AA5561">
        <v>0.46816295832964122</v>
      </c>
      <c r="AB5561" t="str">
        <f>HYPERLINK("Melting_Curves/meltCurve_Q9H2G2_2_SLK.pdf", "Melting_Curves/meltCurve_Q9H2G2_2_SLK.pdf")</f>
        <v>Melting_Curves/meltCurve_Q9H2G2_2_SLK.pdf</v>
      </c>
    </row>
    <row r="5562" spans="1:28" x14ac:dyDescent="0.25">
      <c r="A5562" t="s">
        <v>5565</v>
      </c>
      <c r="B5562">
        <v>0.99930955844802105</v>
      </c>
      <c r="C5562">
        <v>1.03122404777258</v>
      </c>
      <c r="D5562">
        <v>1.09776372732391</v>
      </c>
      <c r="E5562">
        <v>0.66110654405253699</v>
      </c>
      <c r="F5562">
        <v>0.228446632122911</v>
      </c>
      <c r="G5562">
        <v>0.168466184346167</v>
      </c>
      <c r="H5562">
        <v>0.10899843716004599</v>
      </c>
      <c r="I5562">
        <v>8.9384398959591702E-2</v>
      </c>
      <c r="J5562">
        <v>9.8786818580111499E-2</v>
      </c>
      <c r="K5562">
        <v>6.5764606323277894E-2</v>
      </c>
      <c r="L5562">
        <v>2204.4586074583399</v>
      </c>
      <c r="M5562">
        <v>43.535560912562602</v>
      </c>
      <c r="N5562">
        <v>50.914050094162597</v>
      </c>
      <c r="O5562">
        <v>50.529330068498801</v>
      </c>
      <c r="P5562">
        <v>-0.19259449719371799</v>
      </c>
      <c r="Q5562">
        <v>0.105866053392057</v>
      </c>
      <c r="R5562">
        <v>0.98963258806492005</v>
      </c>
      <c r="S5562" t="s">
        <v>12178</v>
      </c>
      <c r="T5562" t="s">
        <v>13232</v>
      </c>
      <c r="U5562" t="s">
        <v>13232</v>
      </c>
      <c r="V5562" t="s">
        <v>13232</v>
      </c>
      <c r="W5562" t="s">
        <v>18724</v>
      </c>
      <c r="X5562">
        <v>7</v>
      </c>
      <c r="Y5562" t="s">
        <v>25115</v>
      </c>
      <c r="Z5562" t="s">
        <v>31693</v>
      </c>
      <c r="AA5562">
        <v>0.42549959393543602</v>
      </c>
      <c r="AB5562" t="str">
        <f>HYPERLINK("Melting_Curves/meltCurve_Q9H2H8_PPIL3.pdf", "Melting_Curves/meltCurve_Q9H2H8_PPIL3.pdf")</f>
        <v>Melting_Curves/meltCurve_Q9H2H8_PPIL3.pdf</v>
      </c>
    </row>
    <row r="5563" spans="1:28" x14ac:dyDescent="0.25">
      <c r="A5563" t="s">
        <v>5566</v>
      </c>
      <c r="B5563">
        <v>0.99930955844802105</v>
      </c>
      <c r="C5563">
        <v>0.62559843631545198</v>
      </c>
      <c r="D5563">
        <v>0.68749013386630398</v>
      </c>
      <c r="E5563">
        <v>1.17975038854033</v>
      </c>
      <c r="F5563">
        <v>1.6095944879587301</v>
      </c>
      <c r="G5563">
        <v>0.88473763047244802</v>
      </c>
      <c r="H5563">
        <v>0.39288230447623501</v>
      </c>
      <c r="I5563">
        <v>0.16026220596506</v>
      </c>
      <c r="J5563">
        <v>0.127661603413771</v>
      </c>
      <c r="K5563">
        <v>0.10283523506282</v>
      </c>
      <c r="L5563">
        <v>2767.32448444081</v>
      </c>
      <c r="M5563">
        <v>46.179416454760599</v>
      </c>
      <c r="N5563">
        <v>60.262242821031698</v>
      </c>
      <c r="O5563">
        <v>59.813448973233903</v>
      </c>
      <c r="P5563">
        <v>-0.17106469992447301</v>
      </c>
      <c r="Q5563">
        <v>0.113721405902967</v>
      </c>
      <c r="R5563">
        <v>0.712993134086361</v>
      </c>
      <c r="S5563" t="s">
        <v>12179</v>
      </c>
      <c r="T5563" t="s">
        <v>13232</v>
      </c>
      <c r="U5563" t="s">
        <v>13232</v>
      </c>
      <c r="V5563" t="s">
        <v>13232</v>
      </c>
      <c r="W5563" t="s">
        <v>18725</v>
      </c>
      <c r="X5563">
        <v>8</v>
      </c>
      <c r="Y5563" t="s">
        <v>25116</v>
      </c>
      <c r="Z5563" t="s">
        <v>31694</v>
      </c>
      <c r="AA5563">
        <v>0.7050502502041599</v>
      </c>
      <c r="AB5563" t="str">
        <f>HYPERLINK("Melting_Curves/meltCurve_Q9H2J4_PDCL3.pdf", "Melting_Curves/meltCurve_Q9H2J4_PDCL3.pdf")</f>
        <v>Melting_Curves/meltCurve_Q9H2J4_PDCL3.pdf</v>
      </c>
    </row>
    <row r="5564" spans="1:28" x14ac:dyDescent="0.25">
      <c r="A5564" t="s">
        <v>5567</v>
      </c>
      <c r="B5564">
        <v>0.99930955844802105</v>
      </c>
      <c r="C5564">
        <v>1.12088538768668</v>
      </c>
      <c r="D5564">
        <v>0.85461279192614503</v>
      </c>
      <c r="E5564">
        <v>0.51178148375372701</v>
      </c>
      <c r="F5564">
        <v>0.22889860682833499</v>
      </c>
      <c r="G5564">
        <v>0.187479033840424</v>
      </c>
      <c r="H5564">
        <v>0.12554059717862601</v>
      </c>
      <c r="I5564">
        <v>8.0679577666847094E-2</v>
      </c>
      <c r="J5564">
        <v>7.8912647447404893E-2</v>
      </c>
      <c r="K5564">
        <v>8.5973584402656705E-2</v>
      </c>
      <c r="L5564">
        <v>1254.40149334437</v>
      </c>
      <c r="M5564">
        <v>25.2918917138628</v>
      </c>
      <c r="N5564">
        <v>50.0364288082257</v>
      </c>
      <c r="O5564">
        <v>49.290040909579197</v>
      </c>
      <c r="P5564">
        <v>-0.11550680276217801</v>
      </c>
      <c r="Q5564">
        <v>9.9590996874827198E-2</v>
      </c>
      <c r="R5564">
        <v>0.98361823766612899</v>
      </c>
      <c r="S5564" t="s">
        <v>12180</v>
      </c>
      <c r="T5564" t="s">
        <v>13232</v>
      </c>
      <c r="U5564" t="s">
        <v>13232</v>
      </c>
      <c r="V5564" t="s">
        <v>13232</v>
      </c>
      <c r="W5564" t="s">
        <v>18726</v>
      </c>
      <c r="X5564">
        <v>1</v>
      </c>
      <c r="Y5564" t="s">
        <v>25117</v>
      </c>
      <c r="Z5564" t="s">
        <v>31695</v>
      </c>
      <c r="AA5564">
        <v>0.39546100068880807</v>
      </c>
      <c r="AB5564" t="str">
        <f>HYPERLINK("Melting_Curves/meltCurve_Q9H2K0_MTIF3.pdf", "Melting_Curves/meltCurve_Q9H2K0_MTIF3.pdf")</f>
        <v>Melting_Curves/meltCurve_Q9H2K0_MTIF3.pdf</v>
      </c>
    </row>
    <row r="5565" spans="1:28" x14ac:dyDescent="0.25">
      <c r="A5565" t="s">
        <v>5568</v>
      </c>
      <c r="B5565">
        <v>0.99930955844802105</v>
      </c>
      <c r="C5565">
        <v>0.97010672681753696</v>
      </c>
      <c r="D5565">
        <v>0.89580760679123295</v>
      </c>
      <c r="E5565">
        <v>0.68977765588483497</v>
      </c>
      <c r="F5565">
        <v>0.216138958826434</v>
      </c>
      <c r="G5565">
        <v>0.15806296466450401</v>
      </c>
      <c r="H5565">
        <v>9.8368633415889403E-2</v>
      </c>
      <c r="I5565">
        <v>8.9777586369395104E-2</v>
      </c>
      <c r="J5565">
        <v>8.3108845910906198E-2</v>
      </c>
      <c r="K5565">
        <v>6.3140122804767496E-2</v>
      </c>
      <c r="L5565">
        <v>1825.3173510036299</v>
      </c>
      <c r="M5565">
        <v>35.974094789703898</v>
      </c>
      <c r="N5565">
        <v>51.021357923723201</v>
      </c>
      <c r="O5565">
        <v>50.583743910623603</v>
      </c>
      <c r="P5565">
        <v>-0.161787335208325</v>
      </c>
      <c r="Q5565">
        <v>9.0035931944036293E-2</v>
      </c>
      <c r="R5565">
        <v>0.99136657670962602</v>
      </c>
      <c r="S5565" t="s">
        <v>12181</v>
      </c>
      <c r="T5565" t="s">
        <v>13232</v>
      </c>
      <c r="U5565" t="s">
        <v>13232</v>
      </c>
      <c r="V5565" t="s">
        <v>13232</v>
      </c>
      <c r="W5565" t="s">
        <v>18727</v>
      </c>
      <c r="X5565">
        <v>34</v>
      </c>
      <c r="Y5565" t="s">
        <v>25118</v>
      </c>
      <c r="Z5565" t="s">
        <v>31696</v>
      </c>
      <c r="AA5565">
        <v>0.4197486079891441</v>
      </c>
      <c r="AB5565" t="str">
        <f>HYPERLINK("Melting_Curves/meltCurve_Q9H2K8_TAOK3.pdf", "Melting_Curves/meltCurve_Q9H2K8_TAOK3.pdf")</f>
        <v>Melting_Curves/meltCurve_Q9H2K8_TAOK3.pdf</v>
      </c>
    </row>
    <row r="5566" spans="1:28" x14ac:dyDescent="0.25">
      <c r="A5566" t="s">
        <v>5569</v>
      </c>
      <c r="B5566">
        <v>0.99930955844802105</v>
      </c>
      <c r="C5566">
        <v>0.91690445083076599</v>
      </c>
      <c r="D5566">
        <v>0.78247458438136397</v>
      </c>
      <c r="E5566">
        <v>0.41187664658504503</v>
      </c>
      <c r="F5566">
        <v>0.25307827050199799</v>
      </c>
      <c r="G5566">
        <v>0.156061429739249</v>
      </c>
      <c r="H5566">
        <v>9.3754229548458107E-2</v>
      </c>
      <c r="I5566">
        <v>7.2785917135509304E-2</v>
      </c>
      <c r="J5566">
        <v>6.4691168108365102E-2</v>
      </c>
      <c r="K5566">
        <v>5.0960305972128001E-2</v>
      </c>
      <c r="L5566">
        <v>870.31372521315802</v>
      </c>
      <c r="M5566">
        <v>17.823564375103999</v>
      </c>
      <c r="N5566">
        <v>49.1975231686149</v>
      </c>
      <c r="O5566">
        <v>48.227156826445103</v>
      </c>
      <c r="P5566">
        <v>-8.6630149385455393E-2</v>
      </c>
      <c r="Q5566">
        <v>6.2429565203713198E-2</v>
      </c>
      <c r="R5566">
        <v>0.99826121441923799</v>
      </c>
      <c r="S5566" t="s">
        <v>12182</v>
      </c>
      <c r="T5566" t="s">
        <v>13232</v>
      </c>
      <c r="U5566" t="s">
        <v>13232</v>
      </c>
      <c r="V5566" t="s">
        <v>13232</v>
      </c>
      <c r="W5566" t="s">
        <v>18728</v>
      </c>
      <c r="X5566">
        <v>42</v>
      </c>
      <c r="Y5566" t="s">
        <v>25119</v>
      </c>
      <c r="Z5566" t="s">
        <v>31697</v>
      </c>
      <c r="AA5566">
        <v>0.35498798751342081</v>
      </c>
      <c r="AB5566" t="str">
        <f>HYPERLINK("Melting_Curves/meltCurve_Q9H2M9_RAB3GAP2.pdf", "Melting_Curves/meltCurve_Q9H2M9_RAB3GAP2.pdf")</f>
        <v>Melting_Curves/meltCurve_Q9H2M9_RAB3GAP2.pdf</v>
      </c>
    </row>
    <row r="5567" spans="1:28" x14ac:dyDescent="0.25">
      <c r="A5567" t="s">
        <v>5570</v>
      </c>
      <c r="B5567">
        <v>0.99930955844802105</v>
      </c>
      <c r="C5567">
        <v>0.95666830907926503</v>
      </c>
      <c r="D5567">
        <v>0.81885805520828403</v>
      </c>
      <c r="E5567">
        <v>0.62258049253413095</v>
      </c>
      <c r="F5567">
        <v>0.44796594530994299</v>
      </c>
      <c r="G5567">
        <v>0.33049459617049298</v>
      </c>
      <c r="H5567">
        <v>0.27088721512151598</v>
      </c>
      <c r="I5567">
        <v>0.280301269758639</v>
      </c>
      <c r="J5567">
        <v>0.26393943957184701</v>
      </c>
      <c r="K5567">
        <v>0.21120388890488401</v>
      </c>
      <c r="L5567">
        <v>768.23570637615899</v>
      </c>
      <c r="M5567">
        <v>15.3919591404537</v>
      </c>
      <c r="N5567">
        <v>52.027697347535998</v>
      </c>
      <c r="O5567">
        <v>49.091766224335103</v>
      </c>
      <c r="P5567">
        <v>-6.0152922195638697E-2</v>
      </c>
      <c r="Q5567">
        <v>0.23265295179887499</v>
      </c>
      <c r="R5567">
        <v>0.99678934709768297</v>
      </c>
      <c r="S5567" t="s">
        <v>12183</v>
      </c>
      <c r="T5567" t="s">
        <v>13232</v>
      </c>
      <c r="U5567" t="s">
        <v>13232</v>
      </c>
      <c r="V5567" t="s">
        <v>13232</v>
      </c>
      <c r="W5567" t="s">
        <v>18729</v>
      </c>
      <c r="X5567">
        <v>25</v>
      </c>
      <c r="Y5567" t="s">
        <v>25120</v>
      </c>
      <c r="Z5567" t="s">
        <v>31698</v>
      </c>
      <c r="AA5567">
        <v>0.50369362133702278</v>
      </c>
      <c r="AB5567" t="str">
        <f>HYPERLINK("Melting_Curves/meltCurve_Q9H2P0_ADNP.pdf", "Melting_Curves/meltCurve_Q9H2P0_ADNP.pdf")</f>
        <v>Melting_Curves/meltCurve_Q9H2P0_ADNP.pdf</v>
      </c>
    </row>
    <row r="5568" spans="1:28" x14ac:dyDescent="0.25">
      <c r="A5568" t="s">
        <v>5571</v>
      </c>
      <c r="B5568">
        <v>0.99930955844802105</v>
      </c>
      <c r="C5568">
        <v>0.99029533438516804</v>
      </c>
      <c r="D5568">
        <v>0.93781785867197998</v>
      </c>
      <c r="E5568">
        <v>0.81407482763663297</v>
      </c>
      <c r="F5568">
        <v>0.61181057773866299</v>
      </c>
      <c r="G5568">
        <v>0.266899939663863</v>
      </c>
      <c r="H5568">
        <v>0.140434260147725</v>
      </c>
      <c r="I5568">
        <v>0.109995015997174</v>
      </c>
      <c r="J5568">
        <v>0.100931017510455</v>
      </c>
      <c r="K5568">
        <v>7.9222943218447001E-2</v>
      </c>
      <c r="L5568">
        <v>1080.4798611270801</v>
      </c>
      <c r="M5568">
        <v>20.1654825485187</v>
      </c>
      <c r="N5568">
        <v>54.004641796792001</v>
      </c>
      <c r="O5568">
        <v>53.062087149526199</v>
      </c>
      <c r="P5568">
        <v>-8.8056001260307701E-2</v>
      </c>
      <c r="Q5568">
        <v>7.3210693109985195E-2</v>
      </c>
      <c r="R5568">
        <v>0.99853988198967603</v>
      </c>
      <c r="S5568" t="s">
        <v>12184</v>
      </c>
      <c r="T5568" t="s">
        <v>13232</v>
      </c>
      <c r="U5568" t="s">
        <v>13232</v>
      </c>
      <c r="V5568" t="s">
        <v>13232</v>
      </c>
      <c r="W5568" t="s">
        <v>18730</v>
      </c>
      <c r="X5568">
        <v>10</v>
      </c>
      <c r="Y5568" t="s">
        <v>25121</v>
      </c>
      <c r="Z5568" t="s">
        <v>31699</v>
      </c>
      <c r="AA5568">
        <v>0.50525625501366045</v>
      </c>
      <c r="AB5568" t="str">
        <f>HYPERLINK("Melting_Curves/meltCurve_Q9H2P9_DPH5.pdf", "Melting_Curves/meltCurve_Q9H2P9_DPH5.pdf")</f>
        <v>Melting_Curves/meltCurve_Q9H2P9_DPH5.pdf</v>
      </c>
    </row>
    <row r="5569" spans="1:28" x14ac:dyDescent="0.25">
      <c r="A5569" t="s">
        <v>5572</v>
      </c>
      <c r="B5569">
        <v>0.99930955844802105</v>
      </c>
      <c r="C5569">
        <v>0.99719446424886005</v>
      </c>
      <c r="D5569">
        <v>1.0009508979372099</v>
      </c>
      <c r="E5569">
        <v>0.79812941897198697</v>
      </c>
      <c r="F5569">
        <v>0.26844648625154699</v>
      </c>
      <c r="G5569">
        <v>0.19271772729533099</v>
      </c>
      <c r="H5569">
        <v>0.142640766832067</v>
      </c>
      <c r="I5569">
        <v>0.14375652502372499</v>
      </c>
      <c r="J5569">
        <v>0.13437091203253301</v>
      </c>
      <c r="K5569">
        <v>0.10158743029555201</v>
      </c>
      <c r="L5569">
        <v>2540.3426445197101</v>
      </c>
      <c r="M5569">
        <v>49.637415917033699</v>
      </c>
      <c r="N5569">
        <v>51.522154923533698</v>
      </c>
      <c r="O5569">
        <v>51.095117319725901</v>
      </c>
      <c r="P5569">
        <v>-0.20859540105882099</v>
      </c>
      <c r="Q5569">
        <v>0.141115861320571</v>
      </c>
      <c r="R5569">
        <v>0.997508145294698</v>
      </c>
      <c r="S5569" t="s">
        <v>12185</v>
      </c>
      <c r="T5569" t="s">
        <v>13232</v>
      </c>
      <c r="U5569" t="s">
        <v>13232</v>
      </c>
      <c r="V5569" t="s">
        <v>13232</v>
      </c>
      <c r="W5569" t="s">
        <v>18731</v>
      </c>
      <c r="X5569">
        <v>23</v>
      </c>
      <c r="Y5569" t="s">
        <v>25122</v>
      </c>
      <c r="Z5569" t="s">
        <v>31700</v>
      </c>
      <c r="AA5569">
        <v>0.4631029310704724</v>
      </c>
      <c r="AB5569" t="str">
        <f>HYPERLINK("Melting_Curves/meltCurve_Q9H2U1_3_DHX36.pdf", "Melting_Curves/meltCurve_Q9H2U1_3_DHX36.pdf")</f>
        <v>Melting_Curves/meltCurve_Q9H2U1_3_DHX36.pdf</v>
      </c>
    </row>
    <row r="5570" spans="1:28" x14ac:dyDescent="0.25">
      <c r="A5570" t="s">
        <v>5573</v>
      </c>
      <c r="B5570">
        <v>0.99930955844802105</v>
      </c>
      <c r="C5570">
        <v>1.1029177518967499</v>
      </c>
      <c r="D5570">
        <v>1.0591076295961399</v>
      </c>
      <c r="E5570">
        <v>0.92467084455605597</v>
      </c>
      <c r="F5570">
        <v>0.483835894361545</v>
      </c>
      <c r="G5570">
        <v>0.24366063266962601</v>
      </c>
      <c r="H5570">
        <v>0.125499652720265</v>
      </c>
      <c r="I5570">
        <v>8.8593714945102903E-2</v>
      </c>
      <c r="J5570">
        <v>7.3815652341966298E-2</v>
      </c>
      <c r="K5570">
        <v>5.19609452826445E-2</v>
      </c>
      <c r="L5570">
        <v>1693.81665349226</v>
      </c>
      <c r="M5570">
        <v>32.0191357710397</v>
      </c>
      <c r="N5570">
        <v>53.237291617761898</v>
      </c>
      <c r="O5570">
        <v>52.695080205014897</v>
      </c>
      <c r="P5570">
        <v>-0.13796769522180599</v>
      </c>
      <c r="Q5570">
        <v>9.1770437430789401E-2</v>
      </c>
      <c r="R5570">
        <v>0.98550993127402098</v>
      </c>
      <c r="S5570" t="s">
        <v>12186</v>
      </c>
      <c r="T5570" t="s">
        <v>13232</v>
      </c>
      <c r="U5570" t="s">
        <v>13232</v>
      </c>
      <c r="V5570" t="s">
        <v>13232</v>
      </c>
      <c r="W5570" t="s">
        <v>18732</v>
      </c>
      <c r="X5570">
        <v>19</v>
      </c>
      <c r="Y5570" t="s">
        <v>25123</v>
      </c>
      <c r="Z5570" t="s">
        <v>31701</v>
      </c>
      <c r="AA5570">
        <v>0.48748637493418678</v>
      </c>
      <c r="AB5570" t="str">
        <f>HYPERLINK("Melting_Curves/meltCurve_Q9H2U2_PPA2.pdf", "Melting_Curves/meltCurve_Q9H2U2_PPA2.pdf")</f>
        <v>Melting_Curves/meltCurve_Q9H2U2_PPA2.pdf</v>
      </c>
    </row>
    <row r="5571" spans="1:28" x14ac:dyDescent="0.25">
      <c r="A5571" t="s">
        <v>5574</v>
      </c>
      <c r="B5571">
        <v>0.99930955844802105</v>
      </c>
      <c r="C5571">
        <v>0.81096828553217204</v>
      </c>
      <c r="D5571">
        <v>0.69301340281358703</v>
      </c>
      <c r="E5571">
        <v>0.612880262883578</v>
      </c>
      <c r="F5571">
        <v>0.39071185028331001</v>
      </c>
      <c r="G5571">
        <v>0.20918729758254001</v>
      </c>
      <c r="H5571">
        <v>0.15909602718763899</v>
      </c>
      <c r="I5571">
        <v>0.13033377375765601</v>
      </c>
      <c r="J5571">
        <v>0.10219220483312599</v>
      </c>
      <c r="K5571">
        <v>0.108526798189609</v>
      </c>
      <c r="L5571">
        <v>525.83091524684698</v>
      </c>
      <c r="M5571">
        <v>10.4557604594763</v>
      </c>
      <c r="N5571">
        <v>50.662634515963497</v>
      </c>
      <c r="O5571">
        <v>48.5558133276825</v>
      </c>
      <c r="P5571">
        <v>-5.1867828979838597E-2</v>
      </c>
      <c r="Q5571">
        <v>3.6912797385591702E-2</v>
      </c>
      <c r="R5571">
        <v>0.98252913590607605</v>
      </c>
      <c r="S5571" t="s">
        <v>12187</v>
      </c>
      <c r="T5571" t="s">
        <v>13232</v>
      </c>
      <c r="U5571" t="s">
        <v>13232</v>
      </c>
      <c r="V5571" t="s">
        <v>13232</v>
      </c>
      <c r="W5571" t="s">
        <v>18733</v>
      </c>
      <c r="X5571">
        <v>4</v>
      </c>
      <c r="Y5571" t="s">
        <v>25124</v>
      </c>
      <c r="Z5571" t="s">
        <v>31702</v>
      </c>
      <c r="AA5571">
        <v>0.40731289234043511</v>
      </c>
      <c r="AB5571" t="str">
        <f>HYPERLINK("Melting_Curves/meltCurve_Q9H2W6_MRPL46.pdf", "Melting_Curves/meltCurve_Q9H2W6_MRPL46.pdf")</f>
        <v>Melting_Curves/meltCurve_Q9H2W6_MRPL46.pdf</v>
      </c>
    </row>
    <row r="5572" spans="1:28" x14ac:dyDescent="0.25">
      <c r="A5572" t="s">
        <v>5575</v>
      </c>
      <c r="B5572">
        <v>0.99930955844802105</v>
      </c>
      <c r="C5572">
        <v>0.99294829275965801</v>
      </c>
      <c r="D5572">
        <v>1.0495479764064199</v>
      </c>
      <c r="E5572">
        <v>0.98171750199489305</v>
      </c>
      <c r="F5572">
        <v>0.84138028757661099</v>
      </c>
      <c r="G5572">
        <v>0.59098962652873799</v>
      </c>
      <c r="H5572">
        <v>0.49143117662418301</v>
      </c>
      <c r="I5572">
        <v>0.48045681047107103</v>
      </c>
      <c r="J5572">
        <v>0.44410450220282399</v>
      </c>
      <c r="K5572">
        <v>0.36568304982519201</v>
      </c>
      <c r="L5572">
        <v>1357.1942926152001</v>
      </c>
      <c r="M5572">
        <v>24.574924798971601</v>
      </c>
      <c r="N5572">
        <v>59.740670667702098</v>
      </c>
      <c r="O5572">
        <v>54.864995918458</v>
      </c>
      <c r="P5572">
        <v>-6.4734189826694696E-2</v>
      </c>
      <c r="Q5572">
        <v>0.42191645061145999</v>
      </c>
      <c r="R5572">
        <v>0.98612561352864603</v>
      </c>
      <c r="S5572" t="s">
        <v>12188</v>
      </c>
      <c r="T5572" t="s">
        <v>13232</v>
      </c>
      <c r="U5572" t="s">
        <v>13232</v>
      </c>
      <c r="V5572" t="s">
        <v>13232</v>
      </c>
      <c r="W5572" t="s">
        <v>18734</v>
      </c>
      <c r="X5572">
        <v>13</v>
      </c>
      <c r="Y5572" t="s">
        <v>25125</v>
      </c>
      <c r="Z5572" t="s">
        <v>31703</v>
      </c>
      <c r="AA5572">
        <v>0.72083165501375535</v>
      </c>
      <c r="AB5572" t="str">
        <f>HYPERLINK("Melting_Curves/meltCurve_Q9H2Y7_ZNF106.pdf", "Melting_Curves/meltCurve_Q9H2Y7_ZNF106.pdf")</f>
        <v>Melting_Curves/meltCurve_Q9H2Y7_ZNF106.pdf</v>
      </c>
    </row>
    <row r="5573" spans="1:28" x14ac:dyDescent="0.25">
      <c r="A5573" t="s">
        <v>5576</v>
      </c>
      <c r="B5573">
        <v>0.99930955844802105</v>
      </c>
      <c r="C5573">
        <v>1.0483079568406599</v>
      </c>
      <c r="D5573">
        <v>1.02762836188075</v>
      </c>
      <c r="E5573">
        <v>0.96783997550354395</v>
      </c>
      <c r="F5573">
        <v>0.84143001318044996</v>
      </c>
      <c r="G5573">
        <v>0.75686971493951405</v>
      </c>
      <c r="H5573">
        <v>0.74115489609255303</v>
      </c>
      <c r="I5573">
        <v>0.82695014417520296</v>
      </c>
      <c r="J5573">
        <v>0.874360162597279</v>
      </c>
      <c r="K5573">
        <v>0.67861328808656096</v>
      </c>
      <c r="L5573">
        <v>2568.5797212503298</v>
      </c>
      <c r="M5573">
        <v>49.417313415868698</v>
      </c>
      <c r="O5573">
        <v>51.892412714834201</v>
      </c>
      <c r="P5573">
        <v>-5.3459304357851699E-2</v>
      </c>
      <c r="Q5573">
        <v>0.77545277302093296</v>
      </c>
      <c r="R5573">
        <v>0.82411181116280996</v>
      </c>
      <c r="S5573" t="s">
        <v>12189</v>
      </c>
      <c r="T5573" t="s">
        <v>13232</v>
      </c>
      <c r="U5573" t="s">
        <v>13232</v>
      </c>
      <c r="V5573" t="s">
        <v>13232</v>
      </c>
      <c r="W5573" t="s">
        <v>18735</v>
      </c>
      <c r="X5573">
        <v>22</v>
      </c>
      <c r="Y5573" t="s">
        <v>25126</v>
      </c>
      <c r="Z5573" t="s">
        <v>31704</v>
      </c>
      <c r="AA5573">
        <v>0.86562900628573503</v>
      </c>
      <c r="AB5573" t="str">
        <f>HYPERLINK("Melting_Curves/meltCurve_Q9H307_PNN.pdf", "Melting_Curves/meltCurve_Q9H307_PNN.pdf")</f>
        <v>Melting_Curves/meltCurve_Q9H307_PNN.pdf</v>
      </c>
    </row>
    <row r="5574" spans="1:28" x14ac:dyDescent="0.25">
      <c r="A5574" t="s">
        <v>5577</v>
      </c>
      <c r="B5574">
        <v>0.99930955844802105</v>
      </c>
      <c r="C5574">
        <v>1.8515601607400001</v>
      </c>
      <c r="D5574">
        <v>1.81454715567179</v>
      </c>
      <c r="E5574">
        <v>2.0312041661843701</v>
      </c>
      <c r="F5574">
        <v>2.1039824335095099</v>
      </c>
      <c r="G5574">
        <v>3.5152566995630301</v>
      </c>
      <c r="H5574">
        <v>5.8310801413157103</v>
      </c>
      <c r="I5574">
        <v>5.0005249476716704</v>
      </c>
      <c r="J5574">
        <v>8.5438420719362291</v>
      </c>
      <c r="K5574">
        <v>5.5414208774462104</v>
      </c>
      <c r="L5574">
        <v>10242.380361334801</v>
      </c>
      <c r="M5574">
        <v>250</v>
      </c>
      <c r="O5574">
        <v>40.966901977426502</v>
      </c>
      <c r="P5574">
        <v>0.76281095930033704</v>
      </c>
      <c r="Q5574">
        <v>1.5</v>
      </c>
      <c r="R5574">
        <v>-0.93295696141457596</v>
      </c>
      <c r="S5574" t="s">
        <v>12190</v>
      </c>
      <c r="T5574" t="s">
        <v>13232</v>
      </c>
      <c r="U5574" t="s">
        <v>13232</v>
      </c>
      <c r="V5574" t="s">
        <v>13232</v>
      </c>
      <c r="W5574" t="s">
        <v>18736</v>
      </c>
      <c r="X5574">
        <v>1</v>
      </c>
      <c r="Y5574" t="s">
        <v>25127</v>
      </c>
      <c r="Z5574" t="s">
        <v>31705</v>
      </c>
      <c r="AA5574">
        <v>1.483799332076398</v>
      </c>
      <c r="AB5574" t="str">
        <f>HYPERLINK("Melting_Curves/meltCurve_Q9H344_OR51I2.pdf", "Melting_Curves/meltCurve_Q9H344_OR51I2.pdf")</f>
        <v>Melting_Curves/meltCurve_Q9H344_OR51I2.pdf</v>
      </c>
    </row>
    <row r="5575" spans="1:28" x14ac:dyDescent="0.25">
      <c r="A5575" t="s">
        <v>5578</v>
      </c>
      <c r="B5575">
        <v>0.99930955844802105</v>
      </c>
      <c r="C5575">
        <v>0.96008684140103495</v>
      </c>
      <c r="D5575">
        <v>0.96675707005338296</v>
      </c>
      <c r="E5575">
        <v>0.82827161935910598</v>
      </c>
      <c r="F5575">
        <v>0.63228743687014699</v>
      </c>
      <c r="G5575">
        <v>0.54695192453187702</v>
      </c>
      <c r="H5575">
        <v>0.503166648273771</v>
      </c>
      <c r="I5575">
        <v>0.46878221842510998</v>
      </c>
      <c r="J5575">
        <v>0.498600102837082</v>
      </c>
      <c r="K5575">
        <v>0.35586347200428903</v>
      </c>
      <c r="L5575">
        <v>878.74754992486601</v>
      </c>
      <c r="M5575">
        <v>16.8958718813535</v>
      </c>
      <c r="N5575">
        <v>59.002562857361603</v>
      </c>
      <c r="O5575">
        <v>51.297418244731602</v>
      </c>
      <c r="P5575">
        <v>-4.6732374868313997E-2</v>
      </c>
      <c r="Q5575">
        <v>0.43250080740346603</v>
      </c>
      <c r="R5575">
        <v>0.97303228473206305</v>
      </c>
      <c r="S5575" t="s">
        <v>12191</v>
      </c>
      <c r="T5575" t="s">
        <v>13232</v>
      </c>
      <c r="U5575" t="s">
        <v>13232</v>
      </c>
      <c r="V5575" t="s">
        <v>13232</v>
      </c>
      <c r="W5575" t="s">
        <v>18737</v>
      </c>
      <c r="X5575">
        <v>4</v>
      </c>
      <c r="Y5575" t="s">
        <v>25128</v>
      </c>
      <c r="Z5575" t="s">
        <v>31706</v>
      </c>
      <c r="AA5575">
        <v>0.67018139818505695</v>
      </c>
      <c r="AB5575" t="str">
        <f>HYPERLINK("Melting_Curves/meltCurve_Q9H3C7_GGNBP2.pdf", "Melting_Curves/meltCurve_Q9H3C7_GGNBP2.pdf")</f>
        <v>Melting_Curves/meltCurve_Q9H3C7_GGNBP2.pdf</v>
      </c>
    </row>
    <row r="5576" spans="1:28" x14ac:dyDescent="0.25">
      <c r="A5576" t="s">
        <v>5579</v>
      </c>
      <c r="B5576">
        <v>0.99930955844802105</v>
      </c>
      <c r="C5576">
        <v>1.0808828957338099</v>
      </c>
      <c r="D5576">
        <v>1.03346731970598</v>
      </c>
      <c r="E5576">
        <v>0.87173483149410702</v>
      </c>
      <c r="F5576">
        <v>0.62212089191460196</v>
      </c>
      <c r="G5576">
        <v>0.38589467480621098</v>
      </c>
      <c r="H5576">
        <v>0.19455475663354799</v>
      </c>
      <c r="I5576">
        <v>0.13711368918634301</v>
      </c>
      <c r="J5576">
        <v>9.8814145910757101E-2</v>
      </c>
      <c r="K5576">
        <v>8.6436019393789601E-2</v>
      </c>
      <c r="L5576">
        <v>1043.66910397212</v>
      </c>
      <c r="M5576">
        <v>19.146766399675201</v>
      </c>
      <c r="N5576">
        <v>55.024671186552801</v>
      </c>
      <c r="O5576">
        <v>53.924743603525101</v>
      </c>
      <c r="P5576">
        <v>-8.1477785847563905E-2</v>
      </c>
      <c r="Q5576">
        <v>8.2143014664052494E-2</v>
      </c>
      <c r="R5576">
        <v>0.99132174513251203</v>
      </c>
      <c r="S5576" t="s">
        <v>12192</v>
      </c>
      <c r="T5576" t="s">
        <v>13232</v>
      </c>
      <c r="U5576" t="s">
        <v>13232</v>
      </c>
      <c r="V5576" t="s">
        <v>13232</v>
      </c>
      <c r="W5576" t="s">
        <v>18738</v>
      </c>
      <c r="X5576">
        <v>4</v>
      </c>
      <c r="Y5576" t="s">
        <v>25129</v>
      </c>
      <c r="Z5576" t="s">
        <v>31707</v>
      </c>
      <c r="AA5576">
        <v>0.53925861167394362</v>
      </c>
      <c r="AB5576" t="str">
        <f>HYPERLINK("Melting_Curves/meltCurve_Q9H3F6_KCTD10.pdf", "Melting_Curves/meltCurve_Q9H3F6_KCTD10.pdf")</f>
        <v>Melting_Curves/meltCurve_Q9H3F6_KCTD10.pdf</v>
      </c>
    </row>
    <row r="5577" spans="1:28" x14ac:dyDescent="0.25">
      <c r="A5577" t="s">
        <v>5580</v>
      </c>
      <c r="B5577">
        <v>0.99930955844802105</v>
      </c>
      <c r="C5577">
        <v>0.97483778644613095</v>
      </c>
      <c r="D5577">
        <v>0.91345466064439196</v>
      </c>
      <c r="E5577">
        <v>0.86004504399606796</v>
      </c>
      <c r="F5577">
        <v>0.69189075244769005</v>
      </c>
      <c r="G5577">
        <v>0.53761845246703499</v>
      </c>
      <c r="H5577">
        <v>0.30735443116271299</v>
      </c>
      <c r="I5577">
        <v>0.23269354652139801</v>
      </c>
      <c r="J5577">
        <v>0.13095966205852999</v>
      </c>
      <c r="K5577">
        <v>7.2267543297949197E-2</v>
      </c>
      <c r="L5577">
        <v>683.74205690365295</v>
      </c>
      <c r="M5577">
        <v>11.9758023506661</v>
      </c>
      <c r="N5577">
        <v>57.093630057956602</v>
      </c>
      <c r="O5577">
        <v>55.571539665334697</v>
      </c>
      <c r="P5577">
        <v>-5.3888688060055999E-2</v>
      </c>
      <c r="Q5577">
        <v>0</v>
      </c>
      <c r="R5577">
        <v>0.99630116183176398</v>
      </c>
      <c r="S5577" t="s">
        <v>12193</v>
      </c>
      <c r="T5577" t="s">
        <v>13232</v>
      </c>
      <c r="U5577" t="s">
        <v>13232</v>
      </c>
      <c r="V5577" t="s">
        <v>13232</v>
      </c>
      <c r="W5577" t="s">
        <v>18739</v>
      </c>
      <c r="X5577">
        <v>2</v>
      </c>
      <c r="Y5577" t="s">
        <v>25130</v>
      </c>
      <c r="Z5577" t="s">
        <v>31708</v>
      </c>
      <c r="AA5577">
        <v>0.586254730679174</v>
      </c>
      <c r="AB5577" t="str">
        <f>HYPERLINK("Melting_Curves/meltCurve_Q9H3G5_CPVL.pdf", "Melting_Curves/meltCurve_Q9H3G5_CPVL.pdf")</f>
        <v>Melting_Curves/meltCurve_Q9H3G5_CPVL.pdf</v>
      </c>
    </row>
    <row r="5578" spans="1:28" x14ac:dyDescent="0.25">
      <c r="A5578" t="s">
        <v>5581</v>
      </c>
      <c r="B5578">
        <v>0.99930955844802105</v>
      </c>
      <c r="C5578">
        <v>1.05451049702324</v>
      </c>
      <c r="D5578">
        <v>0.71296418153515995</v>
      </c>
      <c r="E5578">
        <v>0.35024442406197398</v>
      </c>
      <c r="F5578">
        <v>0.248603191967637</v>
      </c>
      <c r="G5578">
        <v>0.18428564045613599</v>
      </c>
      <c r="H5578">
        <v>0.11934292440899</v>
      </c>
      <c r="I5578">
        <v>0.117829079099733</v>
      </c>
      <c r="J5578">
        <v>0.112183527986007</v>
      </c>
      <c r="K5578">
        <v>9.06348065740228E-2</v>
      </c>
      <c r="L5578">
        <v>1124.53878018964</v>
      </c>
      <c r="M5578">
        <v>23.489103390181601</v>
      </c>
      <c r="N5578">
        <v>48.463177351860502</v>
      </c>
      <c r="O5578">
        <v>47.531965007199403</v>
      </c>
      <c r="P5578">
        <v>-0.10822148742526599</v>
      </c>
      <c r="Q5578">
        <v>0.124037853095582</v>
      </c>
      <c r="R5578">
        <v>0.98547812739349705</v>
      </c>
      <c r="S5578" t="s">
        <v>12194</v>
      </c>
      <c r="T5578" t="s">
        <v>13232</v>
      </c>
      <c r="U5578" t="s">
        <v>13232</v>
      </c>
      <c r="V5578" t="s">
        <v>13232</v>
      </c>
      <c r="W5578" t="s">
        <v>18740</v>
      </c>
      <c r="X5578">
        <v>14</v>
      </c>
      <c r="Y5578" t="s">
        <v>25131</v>
      </c>
      <c r="Z5578" t="s">
        <v>31709</v>
      </c>
      <c r="AA5578">
        <v>0.3628242257167939</v>
      </c>
      <c r="AB5578" t="str">
        <f>HYPERLINK("Melting_Curves/meltCurve_Q9H3H1_4_TRIT1.pdf", "Melting_Curves/meltCurve_Q9H3H1_4_TRIT1.pdf")</f>
        <v>Melting_Curves/meltCurve_Q9H3H1_4_TRIT1.pdf</v>
      </c>
    </row>
    <row r="5579" spans="1:28" x14ac:dyDescent="0.25">
      <c r="A5579" t="s">
        <v>5582</v>
      </c>
      <c r="B5579">
        <v>0.99930955844802105</v>
      </c>
      <c r="C5579">
        <v>1.08786830605316</v>
      </c>
      <c r="D5579">
        <v>1.08230409254951</v>
      </c>
      <c r="E5579">
        <v>0.995751296699667</v>
      </c>
      <c r="F5579">
        <v>0.71062306759520699</v>
      </c>
      <c r="G5579">
        <v>0.27678680425312802</v>
      </c>
      <c r="H5579">
        <v>0.118045114769182</v>
      </c>
      <c r="I5579">
        <v>6.6142253307495902E-2</v>
      </c>
      <c r="J5579">
        <v>4.54115368880589E-2</v>
      </c>
      <c r="K5579">
        <v>3.4254112824914001E-2</v>
      </c>
      <c r="L5579">
        <v>1631.7708232202399</v>
      </c>
      <c r="M5579">
        <v>29.8313541688665</v>
      </c>
      <c r="N5579">
        <v>54.898430606854397</v>
      </c>
      <c r="O5579">
        <v>54.455817751089498</v>
      </c>
      <c r="P5579">
        <v>-0.1299489951335</v>
      </c>
      <c r="Q5579">
        <v>5.1141766070205999E-2</v>
      </c>
      <c r="R5579">
        <v>0.990372091741613</v>
      </c>
      <c r="S5579" t="s">
        <v>12195</v>
      </c>
      <c r="T5579" t="s">
        <v>13232</v>
      </c>
      <c r="U5579" t="s">
        <v>13232</v>
      </c>
      <c r="V5579" t="s">
        <v>13232</v>
      </c>
      <c r="W5579" t="s">
        <v>18741</v>
      </c>
      <c r="X5579">
        <v>11</v>
      </c>
      <c r="Y5579" t="s">
        <v>25132</v>
      </c>
      <c r="Z5579" t="s">
        <v>31710</v>
      </c>
      <c r="AA5579">
        <v>0.52242350410752436</v>
      </c>
      <c r="AB5579" t="str">
        <f>HYPERLINK("Melting_Curves/meltCurve_Q9H3H3_2_C11orf68.pdf", "Melting_Curves/meltCurve_Q9H3H3_2_C11orf68.pdf")</f>
        <v>Melting_Curves/meltCurve_Q9H3H3_2_C11orf68.pdf</v>
      </c>
    </row>
    <row r="5580" spans="1:28" x14ac:dyDescent="0.25">
      <c r="A5580" t="s">
        <v>5583</v>
      </c>
      <c r="B5580">
        <v>0.99930955844802105</v>
      </c>
      <c r="C5580">
        <v>1.1754522222403601</v>
      </c>
      <c r="D5580">
        <v>1.18962267944061</v>
      </c>
      <c r="E5580">
        <v>1.10562670136818</v>
      </c>
      <c r="F5580">
        <v>0.94256973763713703</v>
      </c>
      <c r="G5580">
        <v>0.68488096782194496</v>
      </c>
      <c r="H5580">
        <v>0.45337313707294502</v>
      </c>
      <c r="I5580">
        <v>0.280594686958483</v>
      </c>
      <c r="J5580">
        <v>0.20604523332267699</v>
      </c>
      <c r="K5580">
        <v>0.13551892596623699</v>
      </c>
      <c r="L5580">
        <v>1275.09719668661</v>
      </c>
      <c r="M5580">
        <v>21.555668454750698</v>
      </c>
      <c r="N5580">
        <v>59.990654070487203</v>
      </c>
      <c r="O5580">
        <v>58.6516327914984</v>
      </c>
      <c r="P5580">
        <v>-7.9950097585982594E-2</v>
      </c>
      <c r="Q5580">
        <v>0.12986404686429701</v>
      </c>
      <c r="R5580">
        <v>0.94524492638732804</v>
      </c>
      <c r="S5580" t="s">
        <v>12196</v>
      </c>
      <c r="T5580" t="s">
        <v>13232</v>
      </c>
      <c r="U5580" t="s">
        <v>13232</v>
      </c>
      <c r="V5580" t="s">
        <v>13232</v>
      </c>
      <c r="W5580" t="s">
        <v>18742</v>
      </c>
      <c r="X5580">
        <v>6</v>
      </c>
      <c r="Y5580" t="s">
        <v>25133</v>
      </c>
      <c r="Z5580" t="s">
        <v>31711</v>
      </c>
      <c r="AA5580">
        <v>0.69354120318825541</v>
      </c>
      <c r="AB5580" t="str">
        <f>HYPERLINK("Melting_Curves/meltCurve_Q9H3K6_BOLA2.pdf", "Melting_Curves/meltCurve_Q9H3K6_BOLA2.pdf")</f>
        <v>Melting_Curves/meltCurve_Q9H3K6_BOLA2.pdf</v>
      </c>
    </row>
    <row r="5581" spans="1:28" x14ac:dyDescent="0.25">
      <c r="A5581" t="s">
        <v>5584</v>
      </c>
      <c r="B5581">
        <v>0.99930955844802105</v>
      </c>
      <c r="C5581">
        <v>1.04062459883759</v>
      </c>
      <c r="D5581">
        <v>1.02491473993732</v>
      </c>
      <c r="E5581">
        <v>0.76064185402394202</v>
      </c>
      <c r="F5581">
        <v>0.38023208418911397</v>
      </c>
      <c r="G5581">
        <v>0.25386207830906299</v>
      </c>
      <c r="H5581">
        <v>0.17634916091618999</v>
      </c>
      <c r="I5581">
        <v>0.13096061932068701</v>
      </c>
      <c r="J5581">
        <v>0.128827031420501</v>
      </c>
      <c r="K5581">
        <v>0.10425708317294299</v>
      </c>
      <c r="L5581">
        <v>1543.50102657101</v>
      </c>
      <c r="M5581">
        <v>29.9409505555309</v>
      </c>
      <c r="N5581">
        <v>52.140096217613298</v>
      </c>
      <c r="O5581">
        <v>51.323158986299497</v>
      </c>
      <c r="P5581">
        <v>-0.12493144016298199</v>
      </c>
      <c r="Q5581">
        <v>0.14340242977075901</v>
      </c>
      <c r="R5581">
        <v>0.99233005472176905</v>
      </c>
      <c r="S5581" t="s">
        <v>12197</v>
      </c>
      <c r="T5581" t="s">
        <v>13232</v>
      </c>
      <c r="U5581" t="s">
        <v>13232</v>
      </c>
      <c r="V5581" t="s">
        <v>13232</v>
      </c>
      <c r="W5581" t="s">
        <v>18743</v>
      </c>
      <c r="X5581">
        <v>5</v>
      </c>
      <c r="Y5581" t="s">
        <v>25134</v>
      </c>
      <c r="Z5581" t="s">
        <v>31712</v>
      </c>
      <c r="AA5581">
        <v>0.4786911199968083</v>
      </c>
      <c r="AB5581" t="str">
        <f>HYPERLINK("Melting_Curves/meltCurve_Q9H3L0_MMADHC.pdf", "Melting_Curves/meltCurve_Q9H3L0_MMADHC.pdf")</f>
        <v>Melting_Curves/meltCurve_Q9H3L0_MMADHC.pdf</v>
      </c>
    </row>
    <row r="5582" spans="1:28" x14ac:dyDescent="0.25">
      <c r="A5582" t="s">
        <v>5585</v>
      </c>
      <c r="B5582">
        <v>0.99930955844802105</v>
      </c>
      <c r="C5582">
        <v>1.0652514999463101</v>
      </c>
      <c r="D5582">
        <v>1.07089674378129</v>
      </c>
      <c r="E5582">
        <v>0.92612107470012195</v>
      </c>
      <c r="F5582">
        <v>0.81870904810455702</v>
      </c>
      <c r="G5582">
        <v>0.73078871149898805</v>
      </c>
      <c r="H5582">
        <v>0.70109942162810102</v>
      </c>
      <c r="I5582">
        <v>0.74852331460453403</v>
      </c>
      <c r="J5582">
        <v>0.73283170817023002</v>
      </c>
      <c r="K5582">
        <v>0.61226596786554199</v>
      </c>
      <c r="L5582">
        <v>1584.5518105983699</v>
      </c>
      <c r="M5582">
        <v>30.315917204039</v>
      </c>
      <c r="O5582">
        <v>52.042138427144799</v>
      </c>
      <c r="P5582">
        <v>-4.3824104223297598E-2</v>
      </c>
      <c r="Q5582">
        <v>0.69907747494291805</v>
      </c>
      <c r="R5582">
        <v>0.91132762819278301</v>
      </c>
      <c r="S5582" t="s">
        <v>12198</v>
      </c>
      <c r="T5582" t="s">
        <v>13232</v>
      </c>
      <c r="U5582" t="s">
        <v>13232</v>
      </c>
      <c r="V5582" t="s">
        <v>13232</v>
      </c>
      <c r="W5582" t="s">
        <v>18744</v>
      </c>
      <c r="X5582">
        <v>4</v>
      </c>
      <c r="Y5582" t="s">
        <v>25135</v>
      </c>
      <c r="Z5582" t="s">
        <v>31713</v>
      </c>
      <c r="AA5582">
        <v>0.82402561041901212</v>
      </c>
      <c r="AB5582" t="str">
        <f>HYPERLINK("Melting_Curves/meltCurve_Q9H3N1_TMX1.pdf", "Melting_Curves/meltCurve_Q9H3N1_TMX1.pdf")</f>
        <v>Melting_Curves/meltCurve_Q9H3N1_TMX1.pdf</v>
      </c>
    </row>
    <row r="5583" spans="1:28" x14ac:dyDescent="0.25">
      <c r="A5583" t="s">
        <v>5586</v>
      </c>
      <c r="B5583">
        <v>0.99930955844802105</v>
      </c>
      <c r="C5583">
        <v>1.01740490740944</v>
      </c>
      <c r="D5583">
        <v>0.98864001453265204</v>
      </c>
      <c r="E5583">
        <v>0.78343989781758505</v>
      </c>
      <c r="F5583">
        <v>0.611413593743103</v>
      </c>
      <c r="G5583">
        <v>0.51364019614332601</v>
      </c>
      <c r="H5583">
        <v>0.46346087760958099</v>
      </c>
      <c r="I5583">
        <v>0.50007664009191499</v>
      </c>
      <c r="J5583">
        <v>0.48361671278518698</v>
      </c>
      <c r="K5583">
        <v>0.418666046375606</v>
      </c>
      <c r="L5583">
        <v>1306.6103680275</v>
      </c>
      <c r="M5583">
        <v>25.663169425613699</v>
      </c>
      <c r="N5583">
        <v>56.917295122551899</v>
      </c>
      <c r="O5583">
        <v>50.607703569716797</v>
      </c>
      <c r="P5583">
        <v>-6.7619144087293401E-2</v>
      </c>
      <c r="Q5583">
        <v>0.46662735821573498</v>
      </c>
      <c r="R5583">
        <v>0.99090057373010798</v>
      </c>
      <c r="S5583" t="s">
        <v>12199</v>
      </c>
      <c r="T5583" t="s">
        <v>13232</v>
      </c>
      <c r="U5583" t="s">
        <v>13232</v>
      </c>
      <c r="V5583" t="s">
        <v>13232</v>
      </c>
      <c r="W5583" t="s">
        <v>18745</v>
      </c>
      <c r="X5583">
        <v>15</v>
      </c>
      <c r="Y5583" t="s">
        <v>20047</v>
      </c>
      <c r="Z5583" t="s">
        <v>31714</v>
      </c>
      <c r="AA5583">
        <v>0.66523677593717068</v>
      </c>
      <c r="AB5583" t="str">
        <f>HYPERLINK("Melting_Curves/meltCurve_Q9H3P2_NELFA.pdf", "Melting_Curves/meltCurve_Q9H3P2_NELFA.pdf")</f>
        <v>Melting_Curves/meltCurve_Q9H3P2_NELFA.pdf</v>
      </c>
    </row>
    <row r="5584" spans="1:28" x14ac:dyDescent="0.25">
      <c r="A5584" t="s">
        <v>5587</v>
      </c>
      <c r="B5584">
        <v>0.99930955844802105</v>
      </c>
      <c r="C5584">
        <v>1.0920999425394899</v>
      </c>
      <c r="D5584">
        <v>1.0204729594400599</v>
      </c>
      <c r="E5584">
        <v>0.77834645675316305</v>
      </c>
      <c r="F5584">
        <v>0.494347392250228</v>
      </c>
      <c r="G5584">
        <v>0.377420386004435</v>
      </c>
      <c r="H5584">
        <v>0.32555037056435099</v>
      </c>
      <c r="I5584">
        <v>0.26120933623653297</v>
      </c>
      <c r="J5584">
        <v>0.196933152220226</v>
      </c>
      <c r="K5584">
        <v>0.117263885734868</v>
      </c>
      <c r="L5584">
        <v>1047.0490634477501</v>
      </c>
      <c r="M5584">
        <v>19.9992908487432</v>
      </c>
      <c r="N5584">
        <v>53.781429362332503</v>
      </c>
      <c r="O5584">
        <v>51.839292013668903</v>
      </c>
      <c r="P5584">
        <v>-7.6592143323122905E-2</v>
      </c>
      <c r="Q5584">
        <v>0.205901197206772</v>
      </c>
      <c r="R5584">
        <v>0.97079684203419603</v>
      </c>
      <c r="S5584" t="s">
        <v>12200</v>
      </c>
      <c r="T5584" t="s">
        <v>13232</v>
      </c>
      <c r="U5584" t="s">
        <v>13232</v>
      </c>
      <c r="V5584" t="s">
        <v>13232</v>
      </c>
      <c r="W5584" t="s">
        <v>18746</v>
      </c>
      <c r="X5584">
        <v>15</v>
      </c>
      <c r="Y5584" t="s">
        <v>25136</v>
      </c>
      <c r="Z5584" t="s">
        <v>31715</v>
      </c>
      <c r="AA5584">
        <v>0.54389069958175329</v>
      </c>
      <c r="AB5584" t="str">
        <f>HYPERLINK("Melting_Curves/meltCurve_Q9H3P7_ACBD3.pdf", "Melting_Curves/meltCurve_Q9H3P7_ACBD3.pdf")</f>
        <v>Melting_Curves/meltCurve_Q9H3P7_ACBD3.pdf</v>
      </c>
    </row>
    <row r="5585" spans="1:28" x14ac:dyDescent="0.25">
      <c r="A5585" t="s">
        <v>5588</v>
      </c>
      <c r="B5585">
        <v>0.99930955844802105</v>
      </c>
      <c r="C5585">
        <v>1.0062834270188801</v>
      </c>
      <c r="D5585">
        <v>0.97765215097555702</v>
      </c>
      <c r="E5585">
        <v>0.95401181558768</v>
      </c>
      <c r="F5585">
        <v>0.75874564958075996</v>
      </c>
      <c r="G5585">
        <v>0.64163331904906395</v>
      </c>
      <c r="H5585">
        <v>0.60226331166027203</v>
      </c>
      <c r="I5585">
        <v>0.66652609428384801</v>
      </c>
      <c r="J5585">
        <v>0.66021238810374605</v>
      </c>
      <c r="K5585">
        <v>0.51803861823620001</v>
      </c>
      <c r="L5585">
        <v>2024.6681434954</v>
      </c>
      <c r="M5585">
        <v>38.6533740456643</v>
      </c>
      <c r="O5585">
        <v>52.240495108093498</v>
      </c>
      <c r="P5585">
        <v>-7.1486468768404199E-2</v>
      </c>
      <c r="Q5585">
        <v>0.61354160384355205</v>
      </c>
      <c r="R5585">
        <v>0.95275563925037898</v>
      </c>
      <c r="S5585" t="s">
        <v>12201</v>
      </c>
      <c r="T5585" t="s">
        <v>13232</v>
      </c>
      <c r="U5585" t="s">
        <v>13232</v>
      </c>
      <c r="V5585" t="s">
        <v>13232</v>
      </c>
      <c r="W5585" t="s">
        <v>18747</v>
      </c>
      <c r="X5585">
        <v>11</v>
      </c>
      <c r="Y5585" t="s">
        <v>25137</v>
      </c>
      <c r="Z5585" t="s">
        <v>31716</v>
      </c>
      <c r="AA5585">
        <v>0.77451944511965209</v>
      </c>
      <c r="AB5585" t="str">
        <f>HYPERLINK("Melting_Curves/meltCurve_Q9H3Q1_CDC42EP4.pdf", "Melting_Curves/meltCurve_Q9H3Q1_CDC42EP4.pdf")</f>
        <v>Melting_Curves/meltCurve_Q9H3Q1_CDC42EP4.pdf</v>
      </c>
    </row>
    <row r="5586" spans="1:28" x14ac:dyDescent="0.25">
      <c r="A5586" t="s">
        <v>5589</v>
      </c>
      <c r="B5586">
        <v>0.99930955844802105</v>
      </c>
      <c r="C5586">
        <v>1.03852482433894</v>
      </c>
      <c r="D5586">
        <v>0.91167181849200196</v>
      </c>
      <c r="E5586">
        <v>0.90551273481185102</v>
      </c>
      <c r="F5586">
        <v>0.342972637242492</v>
      </c>
      <c r="G5586">
        <v>0.211081354886759</v>
      </c>
      <c r="H5586">
        <v>0.12469844462042801</v>
      </c>
      <c r="I5586">
        <v>0.113394529523478</v>
      </c>
      <c r="J5586">
        <v>0.106673719177852</v>
      </c>
      <c r="K5586">
        <v>8.2881173006332895E-2</v>
      </c>
      <c r="L5586">
        <v>2675.5786208814002</v>
      </c>
      <c r="M5586">
        <v>51.526105967766703</v>
      </c>
      <c r="N5586">
        <v>52.216996156022397</v>
      </c>
      <c r="O5586">
        <v>51.848622772279903</v>
      </c>
      <c r="P5586">
        <v>-0.21750023253136599</v>
      </c>
      <c r="Q5586">
        <v>0.12455414648409199</v>
      </c>
      <c r="R5586">
        <v>0.98903171074240803</v>
      </c>
      <c r="S5586" t="s">
        <v>12202</v>
      </c>
      <c r="T5586" t="s">
        <v>13232</v>
      </c>
      <c r="U5586" t="s">
        <v>13232</v>
      </c>
      <c r="V5586" t="s">
        <v>13232</v>
      </c>
      <c r="W5586" t="s">
        <v>18748</v>
      </c>
      <c r="X5586">
        <v>39</v>
      </c>
      <c r="Y5586" t="s">
        <v>25138</v>
      </c>
      <c r="Z5586" t="s">
        <v>31717</v>
      </c>
      <c r="AA5586">
        <v>0.47447981659867672</v>
      </c>
      <c r="AB5586" t="str">
        <f>HYPERLINK("Melting_Curves/meltCurve_Q9H3S7_PTPN23.pdf", "Melting_Curves/meltCurve_Q9H3S7_PTPN23.pdf")</f>
        <v>Melting_Curves/meltCurve_Q9H3S7_PTPN23.pdf</v>
      </c>
    </row>
    <row r="5587" spans="1:28" x14ac:dyDescent="0.25">
      <c r="A5587" t="s">
        <v>5590</v>
      </c>
      <c r="B5587">
        <v>0.99930955844802105</v>
      </c>
      <c r="C5587">
        <v>1.0186204892222801</v>
      </c>
      <c r="D5587">
        <v>0.71352171467339798</v>
      </c>
      <c r="E5587">
        <v>0.31413866894697101</v>
      </c>
      <c r="F5587">
        <v>0.19080659015999399</v>
      </c>
      <c r="G5587">
        <v>0.14184640963468001</v>
      </c>
      <c r="H5587">
        <v>9.1239996096510095E-2</v>
      </c>
      <c r="I5587">
        <v>0.103725059303808</v>
      </c>
      <c r="J5587">
        <v>0.10188611169412901</v>
      </c>
      <c r="K5587">
        <v>7.2223792508253004E-2</v>
      </c>
      <c r="L5587">
        <v>1201.00317965865</v>
      </c>
      <c r="M5587">
        <v>25.197102069246199</v>
      </c>
      <c r="N5587">
        <v>48.098242331058501</v>
      </c>
      <c r="O5587">
        <v>47.367155295491997</v>
      </c>
      <c r="P5587">
        <v>-0.119469804882803</v>
      </c>
      <c r="Q5587">
        <v>0.101663195331779</v>
      </c>
      <c r="R5587">
        <v>0.99391125600292696</v>
      </c>
      <c r="S5587" t="s">
        <v>12203</v>
      </c>
      <c r="T5587" t="s">
        <v>13232</v>
      </c>
      <c r="U5587" t="s">
        <v>13232</v>
      </c>
      <c r="V5587" t="s">
        <v>13232</v>
      </c>
      <c r="W5587" t="s">
        <v>18749</v>
      </c>
      <c r="X5587">
        <v>38</v>
      </c>
      <c r="Y5587" t="s">
        <v>25139</v>
      </c>
      <c r="Z5587" t="s">
        <v>31718</v>
      </c>
      <c r="AA5587">
        <v>0.33898757770121107</v>
      </c>
      <c r="AB5587" t="str">
        <f>HYPERLINK("Melting_Curves/meltCurve_Q9H3U1_UNC45A.pdf", "Melting_Curves/meltCurve_Q9H3U1_UNC45A.pdf")</f>
        <v>Melting_Curves/meltCurve_Q9H3U1_UNC45A.pdf</v>
      </c>
    </row>
    <row r="5588" spans="1:28" x14ac:dyDescent="0.25">
      <c r="A5588" t="s">
        <v>5591</v>
      </c>
      <c r="B5588">
        <v>0.99930955844802105</v>
      </c>
      <c r="C5588">
        <v>2.0324688770521999</v>
      </c>
      <c r="D5588">
        <v>1.3670553199742801</v>
      </c>
      <c r="E5588">
        <v>1.69102174853762</v>
      </c>
      <c r="F5588">
        <v>2.2047413409694099</v>
      </c>
      <c r="G5588">
        <v>2.1899039743070299</v>
      </c>
      <c r="H5588">
        <v>2.6945666317016999</v>
      </c>
      <c r="I5588">
        <v>3.7889582962538602</v>
      </c>
      <c r="J5588">
        <v>3.4876782809891602</v>
      </c>
      <c r="K5588">
        <v>3.0241606369746301</v>
      </c>
      <c r="L5588">
        <v>10235.6517474007</v>
      </c>
      <c r="M5588">
        <v>250</v>
      </c>
      <c r="O5588">
        <v>40.939987830397399</v>
      </c>
      <c r="P5588">
        <v>0.76331240863687999</v>
      </c>
      <c r="Q5588">
        <v>1.5</v>
      </c>
      <c r="R5588">
        <v>-0.94934434882103103</v>
      </c>
      <c r="S5588" t="s">
        <v>12204</v>
      </c>
      <c r="T5588" t="s">
        <v>13232</v>
      </c>
      <c r="U5588" t="s">
        <v>13232</v>
      </c>
      <c r="V5588" t="s">
        <v>13232</v>
      </c>
      <c r="W5588" t="s">
        <v>18750</v>
      </c>
      <c r="X5588">
        <v>1</v>
      </c>
      <c r="Y5588" t="s">
        <v>25140</v>
      </c>
      <c r="Z5588" t="s">
        <v>31719</v>
      </c>
      <c r="AA5588">
        <v>1.4842468227883621</v>
      </c>
      <c r="AB5588" t="str">
        <f>HYPERLINK("Melting_Curves/meltCurve_Q9H3Y8_PPDPF.pdf", "Melting_Curves/meltCurve_Q9H3Y8_PPDPF.pdf")</f>
        <v>Melting_Curves/meltCurve_Q9H3Y8_PPDPF.pdf</v>
      </c>
    </row>
    <row r="5589" spans="1:28" x14ac:dyDescent="0.25">
      <c r="A5589" t="s">
        <v>5592</v>
      </c>
      <c r="B5589">
        <v>0.99930955844802105</v>
      </c>
      <c r="C5589">
        <v>0.931020418863577</v>
      </c>
      <c r="D5589">
        <v>0.70725028896707298</v>
      </c>
      <c r="E5589">
        <v>0.44793127209234901</v>
      </c>
      <c r="F5589">
        <v>0.27337124848521799</v>
      </c>
      <c r="G5589">
        <v>0.21467713274855801</v>
      </c>
      <c r="H5589">
        <v>0.15416071387319699</v>
      </c>
      <c r="I5589">
        <v>0.156621544562664</v>
      </c>
      <c r="J5589">
        <v>0.14792314539874801</v>
      </c>
      <c r="K5589">
        <v>0.11237401706446699</v>
      </c>
      <c r="L5589">
        <v>828.65589791709397</v>
      </c>
      <c r="M5589">
        <v>17.204701490064501</v>
      </c>
      <c r="N5589">
        <v>49.065016982106698</v>
      </c>
      <c r="O5589">
        <v>47.527924295634797</v>
      </c>
      <c r="P5589">
        <v>-7.8250632730252498E-2</v>
      </c>
      <c r="Q5589">
        <v>0.13538263889836299</v>
      </c>
      <c r="R5589">
        <v>0.99661658371640105</v>
      </c>
      <c r="S5589" t="s">
        <v>12205</v>
      </c>
      <c r="T5589" t="s">
        <v>13232</v>
      </c>
      <c r="U5589" t="s">
        <v>13232</v>
      </c>
      <c r="V5589" t="s">
        <v>13232</v>
      </c>
      <c r="W5589" t="s">
        <v>18751</v>
      </c>
      <c r="X5589">
        <v>10</v>
      </c>
      <c r="Y5589" t="s">
        <v>25141</v>
      </c>
      <c r="Z5589" t="s">
        <v>31720</v>
      </c>
      <c r="AA5589">
        <v>0.38744722134854193</v>
      </c>
      <c r="AB5589" t="str">
        <f>HYPERLINK("Melting_Curves/meltCurve_Q9H410_DSN1.pdf", "Melting_Curves/meltCurve_Q9H410_DSN1.pdf")</f>
        <v>Melting_Curves/meltCurve_Q9H410_DSN1.pdf</v>
      </c>
    </row>
    <row r="5590" spans="1:28" x14ac:dyDescent="0.25">
      <c r="A5590" t="s">
        <v>5593</v>
      </c>
      <c r="B5590">
        <v>0.99930955844802105</v>
      </c>
      <c r="C5590">
        <v>1.0675111680332801</v>
      </c>
      <c r="D5590">
        <v>1.0681384248911401</v>
      </c>
      <c r="E5590">
        <v>1.00872839868719</v>
      </c>
      <c r="F5590">
        <v>0.88903675877972499</v>
      </c>
      <c r="G5590">
        <v>0.77361141911337095</v>
      </c>
      <c r="H5590">
        <v>0.82099560860242604</v>
      </c>
      <c r="I5590">
        <v>0.90093765896987799</v>
      </c>
      <c r="J5590">
        <v>0.87744202603225396</v>
      </c>
      <c r="K5590">
        <v>0.70920046235524303</v>
      </c>
      <c r="L5590">
        <v>13227.515121214001</v>
      </c>
      <c r="M5590">
        <v>250</v>
      </c>
      <c r="O5590">
        <v>52.906687366269402</v>
      </c>
      <c r="P5590">
        <v>-0.21684712755761501</v>
      </c>
      <c r="Q5590">
        <v>0.81643743342603103</v>
      </c>
      <c r="R5590">
        <v>0.75362200471400198</v>
      </c>
      <c r="S5590" t="s">
        <v>12206</v>
      </c>
      <c r="T5590" t="s">
        <v>13232</v>
      </c>
      <c r="U5590" t="s">
        <v>13232</v>
      </c>
      <c r="V5590" t="s">
        <v>13232</v>
      </c>
      <c r="W5590" t="s">
        <v>18752</v>
      </c>
      <c r="X5590">
        <v>8</v>
      </c>
      <c r="Y5590" t="s">
        <v>25142</v>
      </c>
      <c r="Z5590" t="s">
        <v>31721</v>
      </c>
      <c r="AA5590">
        <v>0.89544793961362723</v>
      </c>
      <c r="AB5590" t="str">
        <f>HYPERLINK("Melting_Curves/meltCurve_Q9H425_3_C1orf198.pdf", "Melting_Curves/meltCurve_Q9H425_3_C1orf198.pdf")</f>
        <v>Melting_Curves/meltCurve_Q9H425_3_C1orf198.pdf</v>
      </c>
    </row>
    <row r="5591" spans="1:28" x14ac:dyDescent="0.25">
      <c r="A5591" t="s">
        <v>5594</v>
      </c>
      <c r="B5591">
        <v>0.99930955844802105</v>
      </c>
      <c r="C5591">
        <v>1.10301157531117</v>
      </c>
      <c r="D5591">
        <v>1.06820079120752</v>
      </c>
      <c r="E5591">
        <v>1.0378466159622299</v>
      </c>
      <c r="F5591">
        <v>0.95820058945124198</v>
      </c>
      <c r="G5591">
        <v>0.92527836224961202</v>
      </c>
      <c r="H5591">
        <v>1.0664947702565699</v>
      </c>
      <c r="I5591">
        <v>1.23208143171941</v>
      </c>
      <c r="J5591">
        <v>1.52093981790412</v>
      </c>
      <c r="K5591">
        <v>1.1322394424961899</v>
      </c>
      <c r="L5591">
        <v>4180.4941698775501</v>
      </c>
      <c r="M5591">
        <v>66.8700170925637</v>
      </c>
      <c r="O5591">
        <v>62.460893979218802</v>
      </c>
      <c r="P5591">
        <v>8.4742289959740896E-2</v>
      </c>
      <c r="Q5591">
        <v>1.3166188291002701</v>
      </c>
      <c r="R5591">
        <v>0.60984266728356595</v>
      </c>
      <c r="S5591" t="s">
        <v>12207</v>
      </c>
      <c r="T5591" t="s">
        <v>13232</v>
      </c>
      <c r="U5591" t="s">
        <v>13232</v>
      </c>
      <c r="V5591" t="s">
        <v>13232</v>
      </c>
      <c r="W5591" t="s">
        <v>18753</v>
      </c>
      <c r="X5591">
        <v>11</v>
      </c>
      <c r="Y5591" t="s">
        <v>25143</v>
      </c>
      <c r="Z5591" t="s">
        <v>31722</v>
      </c>
      <c r="AA5591">
        <v>1.0785013594036199</v>
      </c>
      <c r="AB5591" t="str">
        <f>HYPERLINK("Melting_Curves/meltCurve_Q9H444_CHMP4B.pdf", "Melting_Curves/meltCurve_Q9H444_CHMP4B.pdf")</f>
        <v>Melting_Curves/meltCurve_Q9H444_CHMP4B.pdf</v>
      </c>
    </row>
    <row r="5592" spans="1:28" x14ac:dyDescent="0.25">
      <c r="A5592" t="s">
        <v>5595</v>
      </c>
      <c r="B5592">
        <v>0.99930955844802105</v>
      </c>
      <c r="C5592">
        <v>1.3441300718857401</v>
      </c>
      <c r="D5592">
        <v>1.2506909363899901</v>
      </c>
      <c r="E5592">
        <v>1.16844061853584</v>
      </c>
      <c r="F5592">
        <v>1.20028681107059</v>
      </c>
      <c r="G5592">
        <v>1.03593560496913</v>
      </c>
      <c r="H5592">
        <v>0.81648742332470003</v>
      </c>
      <c r="I5592">
        <v>0.68250234756727401</v>
      </c>
      <c r="J5592">
        <v>0.64996840607232498</v>
      </c>
      <c r="K5592">
        <v>0.43355072143004098</v>
      </c>
      <c r="L5592">
        <v>1505.1630827162301</v>
      </c>
      <c r="M5592">
        <v>23.439971812891301</v>
      </c>
      <c r="N5592">
        <v>69.057951036659205</v>
      </c>
      <c r="O5592">
        <v>63.751623633283003</v>
      </c>
      <c r="P5592">
        <v>-5.4837319721245899E-2</v>
      </c>
      <c r="Q5592">
        <v>0.40342804269570998</v>
      </c>
      <c r="R5592">
        <v>0.66936781125073397</v>
      </c>
      <c r="S5592" t="s">
        <v>12208</v>
      </c>
      <c r="T5592" t="s">
        <v>13232</v>
      </c>
      <c r="U5592" t="s">
        <v>13232</v>
      </c>
      <c r="V5592" t="s">
        <v>13232</v>
      </c>
      <c r="W5592" t="s">
        <v>18754</v>
      </c>
      <c r="X5592">
        <v>5</v>
      </c>
      <c r="Y5592" t="s">
        <v>25144</v>
      </c>
      <c r="Z5592" t="s">
        <v>31723</v>
      </c>
      <c r="AA5592">
        <v>0.88308389784713304</v>
      </c>
      <c r="AB5592" t="str">
        <f>HYPERLINK("Melting_Curves/meltCurve_Q9H467_CUEDC2.pdf", "Melting_Curves/meltCurve_Q9H467_CUEDC2.pdf")</f>
        <v>Melting_Curves/meltCurve_Q9H467_CUEDC2.pdf</v>
      </c>
    </row>
    <row r="5593" spans="1:28" x14ac:dyDescent="0.25">
      <c r="A5593" t="s">
        <v>5596</v>
      </c>
      <c r="B5593">
        <v>0.99930955844802105</v>
      </c>
      <c r="C5593">
        <v>0.75931277701204603</v>
      </c>
      <c r="D5593">
        <v>0.653737574531986</v>
      </c>
      <c r="E5593">
        <v>0.40652022590638498</v>
      </c>
      <c r="F5593">
        <v>0.25810679315927598</v>
      </c>
      <c r="G5593">
        <v>0.169705979046782</v>
      </c>
      <c r="H5593">
        <v>0.14215278897040001</v>
      </c>
      <c r="I5593">
        <v>0.117641795734411</v>
      </c>
      <c r="J5593">
        <v>0.133662274963956</v>
      </c>
      <c r="K5593">
        <v>9.4425000253046995E-2</v>
      </c>
      <c r="L5593">
        <v>644.73622366832205</v>
      </c>
      <c r="M5593">
        <v>13.618240948884001</v>
      </c>
      <c r="N5593">
        <v>48.103970609509403</v>
      </c>
      <c r="O5593">
        <v>46.357704344468502</v>
      </c>
      <c r="P5593">
        <v>-6.633903133414E-2</v>
      </c>
      <c r="Q5593">
        <v>9.6837320313295103E-2</v>
      </c>
      <c r="R5593">
        <v>0.98930103394905899</v>
      </c>
      <c r="S5593" t="s">
        <v>12209</v>
      </c>
      <c r="T5593" t="s">
        <v>13232</v>
      </c>
      <c r="U5593" t="s">
        <v>13232</v>
      </c>
      <c r="V5593" t="s">
        <v>13232</v>
      </c>
      <c r="W5593" t="s">
        <v>18755</v>
      </c>
      <c r="X5593">
        <v>3</v>
      </c>
      <c r="Y5593" t="s">
        <v>25145</v>
      </c>
      <c r="Z5593" t="s">
        <v>31724</v>
      </c>
      <c r="AA5593">
        <v>0.34706411932786058</v>
      </c>
      <c r="AB5593" t="str">
        <f>HYPERLINK("Melting_Curves/meltCurve_Q9H469_FBXL15.pdf", "Melting_Curves/meltCurve_Q9H469_FBXL15.pdf")</f>
        <v>Melting_Curves/meltCurve_Q9H469_FBXL15.pdf</v>
      </c>
    </row>
    <row r="5594" spans="1:28" x14ac:dyDescent="0.25">
      <c r="A5594" t="s">
        <v>5597</v>
      </c>
      <c r="B5594">
        <v>0.99930955844802105</v>
      </c>
      <c r="C5594">
        <v>0.58978873759550599</v>
      </c>
      <c r="D5594">
        <v>0.85630788022485704</v>
      </c>
      <c r="E5594">
        <v>0.91481243716733296</v>
      </c>
      <c r="F5594">
        <v>0.81486680849594695</v>
      </c>
      <c r="G5594">
        <v>0.60265612677069202</v>
      </c>
      <c r="H5594">
        <v>0.31035645151567798</v>
      </c>
      <c r="I5594">
        <v>0.120452916302506</v>
      </c>
      <c r="J5594">
        <v>5.6123662791054803E-2</v>
      </c>
      <c r="K5594">
        <v>4.5823258324463899E-2</v>
      </c>
      <c r="L5594">
        <v>958.75138491524297</v>
      </c>
      <c r="M5594">
        <v>16.588967297232099</v>
      </c>
      <c r="N5594">
        <v>57.794519458247798</v>
      </c>
      <c r="O5594">
        <v>56.974262568835698</v>
      </c>
      <c r="P5594">
        <v>-7.2796449347150294E-2</v>
      </c>
      <c r="Q5594">
        <v>0</v>
      </c>
      <c r="R5594">
        <v>0.84789466846832395</v>
      </c>
      <c r="S5594" t="s">
        <v>12210</v>
      </c>
      <c r="T5594" t="s">
        <v>13232</v>
      </c>
      <c r="U5594" t="s">
        <v>13232</v>
      </c>
      <c r="V5594" t="s">
        <v>13232</v>
      </c>
      <c r="W5594" t="s">
        <v>18756</v>
      </c>
      <c r="X5594">
        <v>16</v>
      </c>
      <c r="Y5594" t="s">
        <v>25146</v>
      </c>
      <c r="Z5594" t="s">
        <v>31725</v>
      </c>
      <c r="AA5594">
        <v>0.60653870113010788</v>
      </c>
      <c r="AB5594" t="str">
        <f>HYPERLINK("Melting_Curves/meltCurve_Q9H479_FN3K.pdf", "Melting_Curves/meltCurve_Q9H479_FN3K.pdf")</f>
        <v>Melting_Curves/meltCurve_Q9H479_FN3K.pdf</v>
      </c>
    </row>
    <row r="5595" spans="1:28" x14ac:dyDescent="0.25">
      <c r="A5595" t="s">
        <v>5598</v>
      </c>
      <c r="B5595">
        <v>0.99930955844802105</v>
      </c>
      <c r="C5595">
        <v>0.99099922104154403</v>
      </c>
      <c r="D5595">
        <v>0.97840267306607198</v>
      </c>
      <c r="E5595">
        <v>0.86932187379461401</v>
      </c>
      <c r="F5595">
        <v>0.66777268612324603</v>
      </c>
      <c r="G5595">
        <v>0.29411059880488399</v>
      </c>
      <c r="H5595">
        <v>8.2382917951216897E-2</v>
      </c>
      <c r="I5595">
        <v>6.4573208279460795E-2</v>
      </c>
      <c r="J5595">
        <v>5.1509234843720698E-2</v>
      </c>
      <c r="K5595">
        <v>4.2111097347331497E-2</v>
      </c>
      <c r="L5595">
        <v>1226.9699494720101</v>
      </c>
      <c r="M5595">
        <v>22.538988500796101</v>
      </c>
      <c r="N5595">
        <v>54.583291384692203</v>
      </c>
      <c r="O5595">
        <v>54.014570315767898</v>
      </c>
      <c r="P5595">
        <v>-0.101277039620948</v>
      </c>
      <c r="Q5595">
        <v>2.9180065812656E-2</v>
      </c>
      <c r="R5595">
        <v>0.99928307893569501</v>
      </c>
      <c r="S5595" t="s">
        <v>12211</v>
      </c>
      <c r="T5595" t="s">
        <v>13232</v>
      </c>
      <c r="U5595" t="s">
        <v>13232</v>
      </c>
      <c r="V5595" t="s">
        <v>13232</v>
      </c>
      <c r="W5595" t="s">
        <v>18757</v>
      </c>
      <c r="X5595">
        <v>11</v>
      </c>
      <c r="Y5595" t="s">
        <v>25147</v>
      </c>
      <c r="Z5595" t="s">
        <v>31726</v>
      </c>
      <c r="AA5595">
        <v>0.50716560473558847</v>
      </c>
      <c r="AB5595" t="str">
        <f>HYPERLINK("Melting_Curves/meltCurve_Q9H488_POFUT1.pdf", "Melting_Curves/meltCurve_Q9H488_POFUT1.pdf")</f>
        <v>Melting_Curves/meltCurve_Q9H488_POFUT1.pdf</v>
      </c>
    </row>
    <row r="5596" spans="1:28" x14ac:dyDescent="0.25">
      <c r="A5596" t="s">
        <v>5599</v>
      </c>
      <c r="B5596">
        <v>0.99930955844802105</v>
      </c>
      <c r="C5596">
        <v>0.98439573556876403</v>
      </c>
      <c r="D5596">
        <v>0.80443984752307196</v>
      </c>
      <c r="E5596">
        <v>0.65061839410288702</v>
      </c>
      <c r="F5596">
        <v>0.39683987721010999</v>
      </c>
      <c r="G5596">
        <v>0.24314846835062801</v>
      </c>
      <c r="H5596">
        <v>0.123582502789517</v>
      </c>
      <c r="I5596">
        <v>0.10093834249519899</v>
      </c>
      <c r="J5596">
        <v>6.6328071597191895E-2</v>
      </c>
      <c r="K5596">
        <v>7.4777999739497697E-2</v>
      </c>
      <c r="L5596">
        <v>743.59882239783201</v>
      </c>
      <c r="M5596">
        <v>14.4710081938832</v>
      </c>
      <c r="N5596">
        <v>51.721910410079502</v>
      </c>
      <c r="O5596">
        <v>50.434036875989399</v>
      </c>
      <c r="P5596">
        <v>-6.85177686157383E-2</v>
      </c>
      <c r="Q5596">
        <v>4.4924624858760101E-2</v>
      </c>
      <c r="R5596">
        <v>0.99554557376464103</v>
      </c>
      <c r="S5596" t="s">
        <v>12212</v>
      </c>
      <c r="T5596" t="s">
        <v>13232</v>
      </c>
      <c r="U5596" t="s">
        <v>13232</v>
      </c>
      <c r="V5596" t="s">
        <v>13232</v>
      </c>
      <c r="W5596" t="s">
        <v>18758</v>
      </c>
      <c r="X5596">
        <v>3</v>
      </c>
      <c r="Y5596" t="s">
        <v>25148</v>
      </c>
      <c r="Z5596" t="s">
        <v>31727</v>
      </c>
      <c r="AA5596">
        <v>0.43046535798258129</v>
      </c>
      <c r="AB5596" t="str">
        <f>HYPERLINK("Melting_Curves/meltCurve_Q9H496_IFRG15.pdf", "Melting_Curves/meltCurve_Q9H496_IFRG15.pdf")</f>
        <v>Melting_Curves/meltCurve_Q9H496_IFRG15.pdf</v>
      </c>
    </row>
    <row r="5597" spans="1:28" x14ac:dyDescent="0.25">
      <c r="A5597" t="s">
        <v>5600</v>
      </c>
      <c r="B5597">
        <v>0.99930955844802105</v>
      </c>
      <c r="C5597">
        <v>1.03469378889899</v>
      </c>
      <c r="D5597">
        <v>1.0313299887749301</v>
      </c>
      <c r="E5597">
        <v>0.93203752957527397</v>
      </c>
      <c r="F5597">
        <v>0.82206295069011803</v>
      </c>
      <c r="G5597">
        <v>0.199113789696896</v>
      </c>
      <c r="H5597">
        <v>0.11831761246165901</v>
      </c>
      <c r="I5597">
        <v>9.4445574667325796E-2</v>
      </c>
      <c r="J5597">
        <v>8.3237716598610498E-2</v>
      </c>
      <c r="K5597">
        <v>6.3982964685238494E-2</v>
      </c>
      <c r="L5597">
        <v>2418.9930081587299</v>
      </c>
      <c r="M5597">
        <v>44.294917453051298</v>
      </c>
      <c r="N5597">
        <v>54.843312712720703</v>
      </c>
      <c r="O5597">
        <v>54.500124105043497</v>
      </c>
      <c r="P5597">
        <v>-0.18581173309658999</v>
      </c>
      <c r="Q5597">
        <v>8.5516125940388002E-2</v>
      </c>
      <c r="R5597">
        <v>0.99660041138389899</v>
      </c>
      <c r="S5597" t="s">
        <v>12213</v>
      </c>
      <c r="T5597" t="s">
        <v>13232</v>
      </c>
      <c r="U5597" t="s">
        <v>13232</v>
      </c>
      <c r="V5597" t="s">
        <v>13232</v>
      </c>
      <c r="W5597" t="s">
        <v>18759</v>
      </c>
      <c r="X5597">
        <v>37</v>
      </c>
      <c r="Y5597" t="s">
        <v>25149</v>
      </c>
      <c r="Z5597" t="s">
        <v>31728</v>
      </c>
      <c r="AA5597">
        <v>0.53370991107662613</v>
      </c>
      <c r="AB5597" t="str">
        <f>HYPERLINK("Melting_Curves/meltCurve_Q9H4A4_RNPEP.pdf", "Melting_Curves/meltCurve_Q9H4A4_RNPEP.pdf")</f>
        <v>Melting_Curves/meltCurve_Q9H4A4_RNPEP.pdf</v>
      </c>
    </row>
    <row r="5598" spans="1:28" x14ac:dyDescent="0.25">
      <c r="A5598" t="s">
        <v>5601</v>
      </c>
      <c r="B5598">
        <v>0.99930955844802105</v>
      </c>
      <c r="C5598">
        <v>0.88226977865640699</v>
      </c>
      <c r="D5598">
        <v>0.67966525071380202</v>
      </c>
      <c r="E5598">
        <v>0.36824470799548198</v>
      </c>
      <c r="F5598">
        <v>0.195017262188177</v>
      </c>
      <c r="G5598">
        <v>0.12856723889229801</v>
      </c>
      <c r="H5598">
        <v>0.10635681858403501</v>
      </c>
      <c r="I5598">
        <v>7.5489421927296796E-2</v>
      </c>
      <c r="J5598">
        <v>8.7342906237679901E-2</v>
      </c>
      <c r="K5598">
        <v>5.7024548209002997E-2</v>
      </c>
      <c r="L5598">
        <v>847.16840978953405</v>
      </c>
      <c r="M5598">
        <v>17.7505320338574</v>
      </c>
      <c r="N5598">
        <v>48.149830444479697</v>
      </c>
      <c r="O5598">
        <v>47.132990005023302</v>
      </c>
      <c r="P5598">
        <v>-8.7351753388538997E-2</v>
      </c>
      <c r="Q5598">
        <v>7.2267877470744896E-2</v>
      </c>
      <c r="R5598">
        <v>0.99838268045432499</v>
      </c>
      <c r="S5598" t="s">
        <v>12214</v>
      </c>
      <c r="T5598" t="s">
        <v>13232</v>
      </c>
      <c r="U5598" t="s">
        <v>13232</v>
      </c>
      <c r="V5598" t="s">
        <v>13232</v>
      </c>
      <c r="W5598" t="s">
        <v>18760</v>
      </c>
      <c r="X5598">
        <v>5</v>
      </c>
      <c r="Y5598" t="s">
        <v>25150</v>
      </c>
      <c r="Z5598" t="s">
        <v>31729</v>
      </c>
      <c r="AA5598">
        <v>0.32830487863390229</v>
      </c>
      <c r="AB5598" t="str">
        <f>HYPERLINK("Melting_Curves/meltCurve_Q9H4A5_GOLPH3L.pdf", "Melting_Curves/meltCurve_Q9H4A5_GOLPH3L.pdf")</f>
        <v>Melting_Curves/meltCurve_Q9H4A5_GOLPH3L.pdf</v>
      </c>
    </row>
    <row r="5599" spans="1:28" x14ac:dyDescent="0.25">
      <c r="A5599" t="s">
        <v>5602</v>
      </c>
      <c r="B5599">
        <v>0.99930955844802105</v>
      </c>
      <c r="C5599">
        <v>0.87249597635385201</v>
      </c>
      <c r="D5599">
        <v>0.90946376669171303</v>
      </c>
      <c r="E5599">
        <v>0.70419650553637003</v>
      </c>
      <c r="F5599">
        <v>0.32300866884103102</v>
      </c>
      <c r="G5599">
        <v>0.18428114351580299</v>
      </c>
      <c r="H5599">
        <v>0.100362184241868</v>
      </c>
      <c r="I5599">
        <v>7.4770159085393695E-2</v>
      </c>
      <c r="J5599">
        <v>5.9878143124259903E-2</v>
      </c>
      <c r="K5599">
        <v>4.6069645160530102E-2</v>
      </c>
      <c r="L5599">
        <v>1044.1989142047701</v>
      </c>
      <c r="M5599">
        <v>20.350919799876401</v>
      </c>
      <c r="N5599">
        <v>51.598568114677398</v>
      </c>
      <c r="O5599">
        <v>50.821941063238903</v>
      </c>
      <c r="P5599">
        <v>-9.4721351885936694E-2</v>
      </c>
      <c r="Q5599">
        <v>5.3845810349436397E-2</v>
      </c>
      <c r="R5599">
        <v>0.98661019059769195</v>
      </c>
      <c r="S5599" t="s">
        <v>12215</v>
      </c>
      <c r="T5599" t="s">
        <v>13232</v>
      </c>
      <c r="U5599" t="s">
        <v>13232</v>
      </c>
      <c r="V5599" t="s">
        <v>13232</v>
      </c>
      <c r="W5599" t="s">
        <v>18761</v>
      </c>
      <c r="X5599">
        <v>6</v>
      </c>
      <c r="Y5599" t="s">
        <v>25151</v>
      </c>
      <c r="Z5599" t="s">
        <v>31730</v>
      </c>
      <c r="AA5599">
        <v>0.4232429287586828</v>
      </c>
      <c r="AB5599" t="str">
        <f>HYPERLINK("Melting_Curves/meltCurve_Q9H4A6_GOLPH3.pdf", "Melting_Curves/meltCurve_Q9H4A6_GOLPH3.pdf")</f>
        <v>Melting_Curves/meltCurve_Q9H4A6_GOLPH3.pdf</v>
      </c>
    </row>
    <row r="5600" spans="1:28" x14ac:dyDescent="0.25">
      <c r="A5600" t="s">
        <v>5603</v>
      </c>
      <c r="B5600">
        <v>0.99930955844802105</v>
      </c>
      <c r="C5600">
        <v>0.88026640074559204</v>
      </c>
      <c r="D5600">
        <v>0.49695264177862802</v>
      </c>
      <c r="E5600">
        <v>0.24425536601835601</v>
      </c>
      <c r="F5600">
        <v>0.14032870432554201</v>
      </c>
      <c r="G5600">
        <v>0.10424816910370301</v>
      </c>
      <c r="H5600">
        <v>7.6726186941247707E-2</v>
      </c>
      <c r="I5600">
        <v>7.0512528979119193E-2</v>
      </c>
      <c r="J5600">
        <v>6.9485668830954098E-2</v>
      </c>
      <c r="K5600">
        <v>4.9561190391511099E-2</v>
      </c>
      <c r="L5600">
        <v>1026.8719510748799</v>
      </c>
      <c r="M5600">
        <v>22.315866734577099</v>
      </c>
      <c r="N5600">
        <v>46.360065893659197</v>
      </c>
      <c r="O5600">
        <v>45.650592986416399</v>
      </c>
      <c r="P5600">
        <v>-0.112869772125522</v>
      </c>
      <c r="Q5600">
        <v>7.6448324557024896E-2</v>
      </c>
      <c r="R5600">
        <v>0.99437803698694904</v>
      </c>
      <c r="S5600" t="s">
        <v>12216</v>
      </c>
      <c r="T5600" t="s">
        <v>13232</v>
      </c>
      <c r="U5600" t="s">
        <v>13232</v>
      </c>
      <c r="V5600" t="s">
        <v>13232</v>
      </c>
      <c r="W5600" t="s">
        <v>18762</v>
      </c>
      <c r="X5600">
        <v>19</v>
      </c>
      <c r="Y5600" t="s">
        <v>25152</v>
      </c>
      <c r="Z5600" t="s">
        <v>31731</v>
      </c>
      <c r="AA5600">
        <v>0.27271286907793041</v>
      </c>
      <c r="AB5600" t="str">
        <f>HYPERLINK("Melting_Curves/meltCurve_Q9H4E7_DEF6.pdf", "Melting_Curves/meltCurve_Q9H4E7_DEF6.pdf")</f>
        <v>Melting_Curves/meltCurve_Q9H4E7_DEF6.pdf</v>
      </c>
    </row>
    <row r="5601" spans="1:28" x14ac:dyDescent="0.25">
      <c r="A5601" t="s">
        <v>5604</v>
      </c>
      <c r="B5601">
        <v>0.99930955844802105</v>
      </c>
      <c r="C5601">
        <v>0.89413485302727802</v>
      </c>
      <c r="D5601">
        <v>0.85714586256678904</v>
      </c>
      <c r="E5601">
        <v>0.73694459998638895</v>
      </c>
      <c r="F5601">
        <v>0.64572716568977195</v>
      </c>
      <c r="G5601">
        <v>0.61402446726811299</v>
      </c>
      <c r="H5601">
        <v>0.64789135569695699</v>
      </c>
      <c r="I5601">
        <v>0.72761384832539699</v>
      </c>
      <c r="J5601">
        <v>0.81657546922993296</v>
      </c>
      <c r="K5601">
        <v>0.60853574565299695</v>
      </c>
      <c r="L5601">
        <v>947.96967856538799</v>
      </c>
      <c r="M5601">
        <v>20.7433525916265</v>
      </c>
      <c r="O5601">
        <v>45.281560599163598</v>
      </c>
      <c r="P5601">
        <v>-3.7059923098467597E-2</v>
      </c>
      <c r="Q5601">
        <v>0.67641028888818999</v>
      </c>
      <c r="R5601">
        <v>0.76495660769402596</v>
      </c>
      <c r="S5601" t="s">
        <v>12217</v>
      </c>
      <c r="T5601" t="s">
        <v>13232</v>
      </c>
      <c r="U5601" t="s">
        <v>13232</v>
      </c>
      <c r="V5601" t="s">
        <v>13232</v>
      </c>
      <c r="W5601" t="s">
        <v>18763</v>
      </c>
      <c r="X5601">
        <v>11</v>
      </c>
      <c r="Y5601" t="s">
        <v>25153</v>
      </c>
      <c r="Z5601" t="s">
        <v>31732</v>
      </c>
      <c r="AA5601">
        <v>0.74259511888619778</v>
      </c>
      <c r="AB5601" t="str">
        <f>HYPERLINK("Melting_Curves/meltCurve_Q9H4G0_2_EPB41L1.pdf", "Melting_Curves/meltCurve_Q9H4G0_2_EPB41L1.pdf")</f>
        <v>Melting_Curves/meltCurve_Q9H4G0_2_EPB41L1.pdf</v>
      </c>
    </row>
    <row r="5602" spans="1:28" x14ac:dyDescent="0.25">
      <c r="A5602" t="s">
        <v>5605</v>
      </c>
      <c r="B5602">
        <v>0.99930955844802105</v>
      </c>
      <c r="C5602">
        <v>0.76546236946787805</v>
      </c>
      <c r="D5602">
        <v>0.74760298056629804</v>
      </c>
      <c r="E5602">
        <v>0.65459313370581895</v>
      </c>
      <c r="F5602">
        <v>0.46161261705822998</v>
      </c>
      <c r="G5602">
        <v>0.21849051661110999</v>
      </c>
      <c r="H5602">
        <v>7.53498771655539E-2</v>
      </c>
      <c r="I5602">
        <v>8.3936757836314699E-2</v>
      </c>
      <c r="J5602">
        <v>4.9862325979969799E-2</v>
      </c>
      <c r="K5602">
        <v>5.7697282985700503E-2</v>
      </c>
      <c r="L5602">
        <v>567.91523687483198</v>
      </c>
      <c r="M5602">
        <v>11.074148206196799</v>
      </c>
      <c r="N5602">
        <v>51.282972425773103</v>
      </c>
      <c r="O5602">
        <v>49.695886413653</v>
      </c>
      <c r="P5602">
        <v>-5.5727899258799202E-2</v>
      </c>
      <c r="Q5602">
        <v>0</v>
      </c>
      <c r="R5602">
        <v>0.96866704275181204</v>
      </c>
      <c r="S5602" t="s">
        <v>12218</v>
      </c>
      <c r="T5602" t="s">
        <v>13232</v>
      </c>
      <c r="U5602" t="s">
        <v>13232</v>
      </c>
      <c r="V5602" t="s">
        <v>13232</v>
      </c>
      <c r="W5602" t="s">
        <v>18764</v>
      </c>
      <c r="X5602">
        <v>3</v>
      </c>
      <c r="Y5602" t="s">
        <v>25154</v>
      </c>
      <c r="Z5602" t="s">
        <v>31733</v>
      </c>
      <c r="AA5602">
        <v>0.41181414774821568</v>
      </c>
      <c r="AB5602" t="str">
        <f>HYPERLINK("Melting_Curves/meltCurve_Q9H4H8_2_FAM83D.pdf", "Melting_Curves/meltCurve_Q9H4H8_2_FAM83D.pdf")</f>
        <v>Melting_Curves/meltCurve_Q9H4H8_2_FAM83D.pdf</v>
      </c>
    </row>
    <row r="5603" spans="1:28" x14ac:dyDescent="0.25">
      <c r="A5603" t="s">
        <v>5606</v>
      </c>
      <c r="B5603">
        <v>0.99930955844802105</v>
      </c>
      <c r="C5603">
        <v>1.12587685863256</v>
      </c>
      <c r="D5603">
        <v>1.0252948725075399</v>
      </c>
      <c r="E5603">
        <v>1.01777420228343</v>
      </c>
      <c r="F5603">
        <v>0.72788443425850402</v>
      </c>
      <c r="G5603">
        <v>0.64204890250598801</v>
      </c>
      <c r="H5603">
        <v>0.49866770010480699</v>
      </c>
      <c r="I5603">
        <v>0.535984662574987</v>
      </c>
      <c r="J5603">
        <v>0.53566022836656901</v>
      </c>
      <c r="K5603">
        <v>0.45469099989946099</v>
      </c>
      <c r="L5603">
        <v>1615.9581094265</v>
      </c>
      <c r="M5603">
        <v>30.238165449884601</v>
      </c>
      <c r="O5603">
        <v>53.208894657162404</v>
      </c>
      <c r="P5603">
        <v>-6.9295144262513306E-2</v>
      </c>
      <c r="Q5603">
        <v>0.51225930697587796</v>
      </c>
      <c r="R5603">
        <v>0.94282365323587303</v>
      </c>
      <c r="S5603" t="s">
        <v>12219</v>
      </c>
      <c r="T5603" t="s">
        <v>13232</v>
      </c>
      <c r="U5603" t="s">
        <v>13232</v>
      </c>
      <c r="V5603" t="s">
        <v>13232</v>
      </c>
      <c r="W5603" t="s">
        <v>18765</v>
      </c>
      <c r="X5603">
        <v>6</v>
      </c>
      <c r="Y5603" t="s">
        <v>25155</v>
      </c>
      <c r="Z5603" t="s">
        <v>31734</v>
      </c>
      <c r="AA5603">
        <v>0.73391684022759796</v>
      </c>
      <c r="AB5603" t="str">
        <f>HYPERLINK("Melting_Curves/meltCurve_Q9H4I2_ZHX3.pdf", "Melting_Curves/meltCurve_Q9H4I2_ZHX3.pdf")</f>
        <v>Melting_Curves/meltCurve_Q9H4I2_ZHX3.pdf</v>
      </c>
    </row>
    <row r="5604" spans="1:28" x14ac:dyDescent="0.25">
      <c r="A5604" t="s">
        <v>5607</v>
      </c>
      <c r="B5604">
        <v>0.99930955844802105</v>
      </c>
      <c r="C5604">
        <v>0.70468234756830395</v>
      </c>
      <c r="D5604">
        <v>0.47918672597779499</v>
      </c>
      <c r="E5604">
        <v>0.327754896655645</v>
      </c>
      <c r="F5604">
        <v>0.238254477857963</v>
      </c>
      <c r="G5604">
        <v>0.187583701091109</v>
      </c>
      <c r="H5604">
        <v>0.137933820357375</v>
      </c>
      <c r="I5604">
        <v>0.150838491750443</v>
      </c>
      <c r="J5604">
        <v>0.13852989218930001</v>
      </c>
      <c r="K5604">
        <v>0.104587171086093</v>
      </c>
      <c r="L5604">
        <v>728.41635012871802</v>
      </c>
      <c r="M5604">
        <v>16.1052659953193</v>
      </c>
      <c r="N5604">
        <v>46.160000688717801</v>
      </c>
      <c r="O5604">
        <v>44.548383990509898</v>
      </c>
      <c r="P5604">
        <v>-7.7846916322973303E-2</v>
      </c>
      <c r="Q5604">
        <v>0.13874399687351899</v>
      </c>
      <c r="R5604">
        <v>0.98062753131008695</v>
      </c>
      <c r="S5604" t="s">
        <v>12220</v>
      </c>
      <c r="T5604" t="s">
        <v>13232</v>
      </c>
      <c r="U5604" t="s">
        <v>13232</v>
      </c>
      <c r="V5604" t="s">
        <v>13232</v>
      </c>
      <c r="W5604" t="s">
        <v>18766</v>
      </c>
      <c r="X5604">
        <v>11</v>
      </c>
      <c r="Y5604" t="s">
        <v>25156</v>
      </c>
      <c r="Z5604" t="s">
        <v>31735</v>
      </c>
      <c r="AA5604">
        <v>0.31204245634292083</v>
      </c>
      <c r="AB5604" t="str">
        <f>HYPERLINK("Melting_Curves/meltCurve_Q9H4L5_OSBPL3.pdf", "Melting_Curves/meltCurve_Q9H4L5_OSBPL3.pdf")</f>
        <v>Melting_Curves/meltCurve_Q9H4L5_OSBPL3.pdf</v>
      </c>
    </row>
    <row r="5605" spans="1:28" x14ac:dyDescent="0.25">
      <c r="A5605" t="s">
        <v>5608</v>
      </c>
      <c r="B5605">
        <v>0.99930955844802105</v>
      </c>
      <c r="C5605">
        <v>0.88313456027012505</v>
      </c>
      <c r="D5605">
        <v>0.58982088879545402</v>
      </c>
      <c r="E5605">
        <v>0.46723817131322498</v>
      </c>
      <c r="F5605">
        <v>0.35412635576352802</v>
      </c>
      <c r="G5605">
        <v>0.28999182733776002</v>
      </c>
      <c r="H5605">
        <v>0.25122452139367502</v>
      </c>
      <c r="I5605">
        <v>0.24701609565663299</v>
      </c>
      <c r="J5605">
        <v>0.236148973143745</v>
      </c>
      <c r="K5605">
        <v>0.19645807584677699</v>
      </c>
      <c r="L5605">
        <v>727.39068197843403</v>
      </c>
      <c r="M5605">
        <v>15.5606536815248</v>
      </c>
      <c r="N5605">
        <v>48.675215062829999</v>
      </c>
      <c r="O5605">
        <v>45.993894938716402</v>
      </c>
      <c r="P5605">
        <v>-6.51161176379563E-2</v>
      </c>
      <c r="Q5605">
        <v>0.23019127444023199</v>
      </c>
      <c r="R5605">
        <v>0.983092742851993</v>
      </c>
      <c r="S5605" t="s">
        <v>12221</v>
      </c>
      <c r="T5605" t="s">
        <v>13232</v>
      </c>
      <c r="U5605" t="s">
        <v>13232</v>
      </c>
      <c r="V5605" t="s">
        <v>13232</v>
      </c>
      <c r="W5605" t="s">
        <v>18767</v>
      </c>
      <c r="X5605">
        <v>21</v>
      </c>
      <c r="Y5605" t="s">
        <v>25157</v>
      </c>
      <c r="Z5605" t="s">
        <v>31736</v>
      </c>
      <c r="AA5605">
        <v>0.42297709385510529</v>
      </c>
      <c r="AB5605" t="str">
        <f>HYPERLINK("Melting_Curves/meltCurve_Q9H4L7_SMARCAD1.pdf", "Melting_Curves/meltCurve_Q9H4L7_SMARCAD1.pdf")</f>
        <v>Melting_Curves/meltCurve_Q9H4L7_SMARCAD1.pdf</v>
      </c>
    </row>
    <row r="5606" spans="1:28" x14ac:dyDescent="0.25">
      <c r="A5606" t="s">
        <v>5609</v>
      </c>
      <c r="B5606">
        <v>0.99930955844802105</v>
      </c>
      <c r="C5606">
        <v>0.97544942516493605</v>
      </c>
      <c r="D5606">
        <v>0.93029391066503297</v>
      </c>
      <c r="E5606">
        <v>0.988052986781909</v>
      </c>
      <c r="F5606">
        <v>1.2102155566905399</v>
      </c>
      <c r="G5606">
        <v>1.02660223906084</v>
      </c>
      <c r="H5606">
        <v>1.13658528942957</v>
      </c>
      <c r="I5606">
        <v>1.36692487558906</v>
      </c>
      <c r="J5606">
        <v>1.2270135688488999</v>
      </c>
      <c r="K5606">
        <v>0.758266918563545</v>
      </c>
      <c r="L5606">
        <v>10733.7595447284</v>
      </c>
      <c r="M5606">
        <v>209.57345787846799</v>
      </c>
      <c r="O5606">
        <v>51.2125086495248</v>
      </c>
      <c r="P5606">
        <v>0.123714812514699</v>
      </c>
      <c r="Q5606">
        <v>1.1209264899712199</v>
      </c>
      <c r="R5606">
        <v>0.179444788498832</v>
      </c>
      <c r="S5606" t="s">
        <v>12222</v>
      </c>
      <c r="T5606" t="s">
        <v>13232</v>
      </c>
      <c r="U5606" t="s">
        <v>13232</v>
      </c>
      <c r="V5606" t="s">
        <v>13232</v>
      </c>
      <c r="W5606" t="s">
        <v>18768</v>
      </c>
      <c r="X5606">
        <v>3</v>
      </c>
      <c r="Y5606" t="s">
        <v>25158</v>
      </c>
      <c r="Z5606" t="s">
        <v>31737</v>
      </c>
      <c r="AA5606">
        <v>1.075695918851479</v>
      </c>
      <c r="AB5606" t="str">
        <f>HYPERLINK("Melting_Curves/meltCurve_Q9H4M3_2_FBXO44.pdf", "Melting_Curves/meltCurve_Q9H4M3_2_FBXO44.pdf")</f>
        <v>Melting_Curves/meltCurve_Q9H4M3_2_FBXO44.pdf</v>
      </c>
    </row>
    <row r="5607" spans="1:28" x14ac:dyDescent="0.25">
      <c r="A5607" t="s">
        <v>5610</v>
      </c>
      <c r="B5607">
        <v>0.99930955844802105</v>
      </c>
      <c r="C5607">
        <v>1.0348417752855099</v>
      </c>
      <c r="D5607">
        <v>0.88406759125762202</v>
      </c>
      <c r="E5607">
        <v>0.79928194854563905</v>
      </c>
      <c r="F5607">
        <v>0.51521202385443199</v>
      </c>
      <c r="G5607">
        <v>0.48628987368688498</v>
      </c>
      <c r="H5607">
        <v>0.48313001940907202</v>
      </c>
      <c r="I5607">
        <v>0.47525935526502</v>
      </c>
      <c r="J5607">
        <v>0.52116332467431703</v>
      </c>
      <c r="K5607">
        <v>0.28833877999672503</v>
      </c>
      <c r="L5607">
        <v>1142.44982634194</v>
      </c>
      <c r="M5607">
        <v>22.659318662015799</v>
      </c>
      <c r="N5607">
        <v>55.368122689491898</v>
      </c>
      <c r="O5607">
        <v>50.030781920887101</v>
      </c>
      <c r="P5607">
        <v>-6.4082776521919099E-2</v>
      </c>
      <c r="Q5607">
        <v>0.43404340690320198</v>
      </c>
      <c r="R5607">
        <v>0.92666482567421005</v>
      </c>
      <c r="S5607" t="s">
        <v>12223</v>
      </c>
      <c r="T5607" t="s">
        <v>13232</v>
      </c>
      <c r="U5607" t="s">
        <v>13232</v>
      </c>
      <c r="V5607" t="s">
        <v>13232</v>
      </c>
      <c r="W5607" t="s">
        <v>18769</v>
      </c>
      <c r="X5607">
        <v>2</v>
      </c>
      <c r="Y5607" t="s">
        <v>25159</v>
      </c>
      <c r="Z5607" t="s">
        <v>31738</v>
      </c>
      <c r="AA5607">
        <v>0.63676413767171347</v>
      </c>
      <c r="AB5607" t="str">
        <f>HYPERLINK("Melting_Curves/meltCurve_Q9H4M7_2_PLEKHA4.pdf", "Melting_Curves/meltCurve_Q9H4M7_2_PLEKHA4.pdf")</f>
        <v>Melting_Curves/meltCurve_Q9H4M7_2_PLEKHA4.pdf</v>
      </c>
    </row>
    <row r="5608" spans="1:28" x14ac:dyDescent="0.25">
      <c r="A5608" t="s">
        <v>5611</v>
      </c>
      <c r="B5608">
        <v>0.99930955844802105</v>
      </c>
      <c r="C5608">
        <v>0.95588562067401595</v>
      </c>
      <c r="D5608">
        <v>0.83949823279098201</v>
      </c>
      <c r="E5608">
        <v>0.44924815859927297</v>
      </c>
      <c r="F5608">
        <v>0.24023265695691201</v>
      </c>
      <c r="G5608">
        <v>0.160872539832603</v>
      </c>
      <c r="H5608">
        <v>9.3252142444589597E-2</v>
      </c>
      <c r="I5608">
        <v>7.8929515751810495E-2</v>
      </c>
      <c r="J5608">
        <v>6.5920080681577203E-2</v>
      </c>
      <c r="K5608">
        <v>5.2387152623666201E-2</v>
      </c>
      <c r="L5608">
        <v>1019.44335616201</v>
      </c>
      <c r="M5608">
        <v>20.703362024634099</v>
      </c>
      <c r="N5608">
        <v>49.609770836487598</v>
      </c>
      <c r="O5608">
        <v>48.787979243797501</v>
      </c>
      <c r="P5608">
        <v>-9.8515052281883703E-2</v>
      </c>
      <c r="Q5608">
        <v>7.1413835400539805E-2</v>
      </c>
      <c r="R5608">
        <v>0.99823505328971895</v>
      </c>
      <c r="S5608" t="s">
        <v>12224</v>
      </c>
      <c r="T5608" t="s">
        <v>13232</v>
      </c>
      <c r="U5608" t="s">
        <v>13232</v>
      </c>
      <c r="V5608" t="s">
        <v>13232</v>
      </c>
      <c r="W5608" t="s">
        <v>18770</v>
      </c>
      <c r="X5608">
        <v>22</v>
      </c>
      <c r="Y5608" t="s">
        <v>25160</v>
      </c>
      <c r="Z5608" t="s">
        <v>31739</v>
      </c>
      <c r="AA5608">
        <v>0.36953964747385237</v>
      </c>
      <c r="AB5608" t="str">
        <f>HYPERLINK("Melting_Curves/meltCurve_Q9H4M9_EHD1.pdf", "Melting_Curves/meltCurve_Q9H4M9_EHD1.pdf")</f>
        <v>Melting_Curves/meltCurve_Q9H4M9_EHD1.pdf</v>
      </c>
    </row>
    <row r="5609" spans="1:28" x14ac:dyDescent="0.25">
      <c r="A5609" t="s">
        <v>5612</v>
      </c>
      <c r="B5609">
        <v>0.99930955844802105</v>
      </c>
      <c r="C5609">
        <v>0.84032636981926101</v>
      </c>
      <c r="D5609">
        <v>0.72691395562386796</v>
      </c>
      <c r="E5609">
        <v>0.54208599537202695</v>
      </c>
      <c r="F5609">
        <v>0.350491368621142</v>
      </c>
      <c r="G5609">
        <v>0.25600886415257201</v>
      </c>
      <c r="H5609">
        <v>0.158461774466788</v>
      </c>
      <c r="I5609">
        <v>0.16077843803126099</v>
      </c>
      <c r="J5609">
        <v>0.124690480965703</v>
      </c>
      <c r="K5609">
        <v>0.11572140745781</v>
      </c>
      <c r="L5609">
        <v>592.00108048570701</v>
      </c>
      <c r="M5609">
        <v>11.9738553409491</v>
      </c>
      <c r="N5609">
        <v>50.275271854532299</v>
      </c>
      <c r="O5609">
        <v>48.122664255705601</v>
      </c>
      <c r="P5609">
        <v>-5.6614826703764901E-2</v>
      </c>
      <c r="Q5609">
        <v>9.0086231249410495E-2</v>
      </c>
      <c r="R5609">
        <v>0.99425835249975203</v>
      </c>
      <c r="S5609" t="s">
        <v>12225</v>
      </c>
      <c r="T5609" t="s">
        <v>13232</v>
      </c>
      <c r="U5609" t="s">
        <v>13232</v>
      </c>
      <c r="V5609" t="s">
        <v>13232</v>
      </c>
      <c r="W5609" t="s">
        <v>18771</v>
      </c>
      <c r="X5609">
        <v>4</v>
      </c>
      <c r="Y5609" t="s">
        <v>25161</v>
      </c>
      <c r="Z5609" t="s">
        <v>31740</v>
      </c>
      <c r="AA5609">
        <v>0.40911094525461572</v>
      </c>
      <c r="AB5609" t="str">
        <f>HYPERLINK("Melting_Curves/meltCurve_Q9H4P4_2_RNF41.pdf", "Melting_Curves/meltCurve_Q9H4P4_2_RNF41.pdf")</f>
        <v>Melting_Curves/meltCurve_Q9H4P4_2_RNF41.pdf</v>
      </c>
    </row>
    <row r="5610" spans="1:28" x14ac:dyDescent="0.25">
      <c r="A5610" t="s">
        <v>5613</v>
      </c>
      <c r="B5610">
        <v>0.99930955844802105</v>
      </c>
      <c r="C5610">
        <v>1.09534777334212</v>
      </c>
      <c r="D5610">
        <v>1.0169046428572901</v>
      </c>
      <c r="E5610">
        <v>0.88728385522086906</v>
      </c>
      <c r="F5610">
        <v>0.78458619370318905</v>
      </c>
      <c r="G5610">
        <v>0.56935881067691396</v>
      </c>
      <c r="H5610">
        <v>0.44942070200751399</v>
      </c>
      <c r="I5610">
        <v>0.49892268879829499</v>
      </c>
      <c r="J5610">
        <v>0.51903299616070797</v>
      </c>
      <c r="K5610">
        <v>0.420548903168452</v>
      </c>
      <c r="L5610">
        <v>1277.21678761158</v>
      </c>
      <c r="M5610">
        <v>23.824234813024798</v>
      </c>
      <c r="N5610">
        <v>60.120626395334902</v>
      </c>
      <c r="O5610">
        <v>53.2365556898257</v>
      </c>
      <c r="P5610">
        <v>-6.0179307963431801E-2</v>
      </c>
      <c r="Q5610">
        <v>0.46211294546654103</v>
      </c>
      <c r="R5610">
        <v>0.97011092855457304</v>
      </c>
      <c r="S5610" t="s">
        <v>12226</v>
      </c>
      <c r="T5610" t="s">
        <v>13232</v>
      </c>
      <c r="U5610" t="s">
        <v>13232</v>
      </c>
      <c r="V5610" t="s">
        <v>13232</v>
      </c>
      <c r="W5610" t="s">
        <v>18772</v>
      </c>
      <c r="X5610">
        <v>3</v>
      </c>
      <c r="Y5610" t="s">
        <v>25162</v>
      </c>
      <c r="Z5610" t="s">
        <v>31741</v>
      </c>
      <c r="AA5610">
        <v>0.71156163585108556</v>
      </c>
      <c r="AB5610" t="str">
        <f>HYPERLINK("Melting_Curves/meltCurve_Q9H4Z2_2_ZNF335.pdf", "Melting_Curves/meltCurve_Q9H4Z2_2_ZNF335.pdf")</f>
        <v>Melting_Curves/meltCurve_Q9H4Z2_2_ZNF335.pdf</v>
      </c>
    </row>
    <row r="5611" spans="1:28" x14ac:dyDescent="0.25">
      <c r="A5611" t="s">
        <v>5614</v>
      </c>
      <c r="B5611">
        <v>0.99930955844802105</v>
      </c>
      <c r="C5611">
        <v>0.96603749084310497</v>
      </c>
      <c r="D5611">
        <v>0.81078289511811996</v>
      </c>
      <c r="E5611">
        <v>0.53319247006064197</v>
      </c>
      <c r="F5611">
        <v>0.389452760929553</v>
      </c>
      <c r="G5611">
        <v>0.29971307101110101</v>
      </c>
      <c r="H5611">
        <v>0.21969416892341601</v>
      </c>
      <c r="I5611">
        <v>0.16960866508250799</v>
      </c>
      <c r="J5611">
        <v>0.157191693109244</v>
      </c>
      <c r="K5611">
        <v>0.11934859517538</v>
      </c>
      <c r="L5611">
        <v>740.58972613641504</v>
      </c>
      <c r="M5611">
        <v>14.844431846772199</v>
      </c>
      <c r="N5611">
        <v>51.0401147663503</v>
      </c>
      <c r="O5611">
        <v>49.010924811406298</v>
      </c>
      <c r="P5611">
        <v>-6.4963724219360502E-2</v>
      </c>
      <c r="Q5611">
        <v>0.14214374901320401</v>
      </c>
      <c r="R5611">
        <v>0.99411368792906796</v>
      </c>
      <c r="S5611" t="s">
        <v>12227</v>
      </c>
      <c r="T5611" t="s">
        <v>13232</v>
      </c>
      <c r="U5611" t="s">
        <v>13232</v>
      </c>
      <c r="V5611" t="s">
        <v>13232</v>
      </c>
      <c r="W5611" t="s">
        <v>18773</v>
      </c>
      <c r="X5611">
        <v>12</v>
      </c>
      <c r="Y5611" t="s">
        <v>25163</v>
      </c>
      <c r="Z5611" t="s">
        <v>31742</v>
      </c>
      <c r="AA5611">
        <v>0.44586646344349418</v>
      </c>
      <c r="AB5611" t="str">
        <f>HYPERLINK("Melting_Curves/meltCurve_Q9H4Z3_PCIF1.pdf", "Melting_Curves/meltCurve_Q9H4Z3_PCIF1.pdf")</f>
        <v>Melting_Curves/meltCurve_Q9H4Z3_PCIF1.pdf</v>
      </c>
    </row>
    <row r="5612" spans="1:28" x14ac:dyDescent="0.25">
      <c r="A5612" t="s">
        <v>5615</v>
      </c>
      <c r="B5612">
        <v>0.99930955844802105</v>
      </c>
      <c r="C5612">
        <v>0.97709211217014402</v>
      </c>
      <c r="D5612">
        <v>0.93851643960127795</v>
      </c>
      <c r="E5612">
        <v>0.88647441569804897</v>
      </c>
      <c r="F5612">
        <v>0.73111249633888398</v>
      </c>
      <c r="G5612">
        <v>0.62815717303377405</v>
      </c>
      <c r="H5612">
        <v>0.57720794201926295</v>
      </c>
      <c r="I5612">
        <v>0.62043516782803798</v>
      </c>
      <c r="J5612">
        <v>0.64133003654114695</v>
      </c>
      <c r="K5612">
        <v>0.49118254495348201</v>
      </c>
      <c r="L5612">
        <v>949.39920398455502</v>
      </c>
      <c r="M5612">
        <v>18.275268370813802</v>
      </c>
      <c r="O5612">
        <v>51.339888839271502</v>
      </c>
      <c r="P5612">
        <v>-3.8522548788015601E-2</v>
      </c>
      <c r="Q5612">
        <v>0.56714133650350296</v>
      </c>
      <c r="R5612">
        <v>0.95243938881354895</v>
      </c>
      <c r="S5612" t="s">
        <v>12228</v>
      </c>
      <c r="T5612" t="s">
        <v>13232</v>
      </c>
      <c r="U5612" t="s">
        <v>13232</v>
      </c>
      <c r="V5612" t="s">
        <v>13232</v>
      </c>
      <c r="W5612" t="s">
        <v>18774</v>
      </c>
      <c r="X5612">
        <v>29</v>
      </c>
      <c r="Y5612" t="s">
        <v>25164</v>
      </c>
      <c r="Z5612" t="s">
        <v>31743</v>
      </c>
      <c r="AA5612">
        <v>0.7465852295086961</v>
      </c>
      <c r="AB5612" t="str">
        <f>HYPERLINK("Melting_Curves/meltCurve_Q9H501_ESF1.pdf", "Melting_Curves/meltCurve_Q9H501_ESF1.pdf")</f>
        <v>Melting_Curves/meltCurve_Q9H501_ESF1.pdf</v>
      </c>
    </row>
    <row r="5613" spans="1:28" x14ac:dyDescent="0.25">
      <c r="A5613" t="s">
        <v>5616</v>
      </c>
      <c r="B5613">
        <v>0.99930955844802105</v>
      </c>
      <c r="C5613">
        <v>0.90688666072961399</v>
      </c>
      <c r="D5613">
        <v>0.93106573134369497</v>
      </c>
      <c r="E5613">
        <v>0.86312270390397805</v>
      </c>
      <c r="F5613">
        <v>0.65760699813492896</v>
      </c>
      <c r="G5613">
        <v>0.28866729562404903</v>
      </c>
      <c r="H5613">
        <v>0.17531221684655901</v>
      </c>
      <c r="I5613">
        <v>0.16450998031653499</v>
      </c>
      <c r="J5613">
        <v>0.16952702180427701</v>
      </c>
      <c r="K5613">
        <v>0.118668948009271</v>
      </c>
      <c r="L5613">
        <v>1250.91292705213</v>
      </c>
      <c r="M5613">
        <v>23.2933441015394</v>
      </c>
      <c r="N5613">
        <v>54.429869826741403</v>
      </c>
      <c r="O5613">
        <v>53.3114835827067</v>
      </c>
      <c r="P5613">
        <v>-9.4626244724487496E-2</v>
      </c>
      <c r="Q5613">
        <v>0.133730988948568</v>
      </c>
      <c r="R5613">
        <v>0.98943200535507403</v>
      </c>
      <c r="S5613" t="s">
        <v>12229</v>
      </c>
      <c r="T5613" t="s">
        <v>13232</v>
      </c>
      <c r="U5613" t="s">
        <v>13232</v>
      </c>
      <c r="V5613" t="s">
        <v>13232</v>
      </c>
      <c r="W5613" t="s">
        <v>18775</v>
      </c>
      <c r="X5613">
        <v>9</v>
      </c>
      <c r="Y5613" t="s">
        <v>25165</v>
      </c>
      <c r="Z5613" t="s">
        <v>31744</v>
      </c>
      <c r="AA5613">
        <v>0.5385050476405403</v>
      </c>
      <c r="AB5613" t="str">
        <f>HYPERLINK("Melting_Curves/meltCurve_Q9H568_ACTL8.pdf", "Melting_Curves/meltCurve_Q9H568_ACTL8.pdf")</f>
        <v>Melting_Curves/meltCurve_Q9H568_ACTL8.pdf</v>
      </c>
    </row>
    <row r="5614" spans="1:28" x14ac:dyDescent="0.25">
      <c r="A5614" t="s">
        <v>5617</v>
      </c>
      <c r="B5614">
        <v>0.99930955844802105</v>
      </c>
      <c r="C5614">
        <v>0.91438705013991695</v>
      </c>
      <c r="D5614">
        <v>0.91035143822584197</v>
      </c>
      <c r="E5614">
        <v>0.88557650307265801</v>
      </c>
      <c r="F5614">
        <v>0.74107671410951403</v>
      </c>
      <c r="G5614">
        <v>0.61238533193665201</v>
      </c>
      <c r="H5614">
        <v>0.52358396561321396</v>
      </c>
      <c r="I5614">
        <v>0.477614963706611</v>
      </c>
      <c r="J5614">
        <v>0.46977595694047503</v>
      </c>
      <c r="K5614">
        <v>0.36301183909845702</v>
      </c>
      <c r="L5614">
        <v>498.96491250966801</v>
      </c>
      <c r="M5614">
        <v>8.7621459013264307</v>
      </c>
      <c r="N5614">
        <v>62.590509069340499</v>
      </c>
      <c r="O5614">
        <v>54.2129791119389</v>
      </c>
      <c r="P5614">
        <v>-2.9393411568665501E-2</v>
      </c>
      <c r="Q5614">
        <v>0.27313472729563898</v>
      </c>
      <c r="R5614">
        <v>0.98171715060174403</v>
      </c>
      <c r="S5614" t="s">
        <v>12230</v>
      </c>
      <c r="T5614" t="s">
        <v>13232</v>
      </c>
      <c r="U5614" t="s">
        <v>13232</v>
      </c>
      <c r="V5614" t="s">
        <v>13232</v>
      </c>
      <c r="W5614" t="s">
        <v>18776</v>
      </c>
      <c r="X5614">
        <v>2</v>
      </c>
      <c r="Y5614" t="s">
        <v>25166</v>
      </c>
      <c r="Z5614" t="s">
        <v>31745</v>
      </c>
      <c r="AA5614">
        <v>0.69407093184769508</v>
      </c>
      <c r="AB5614" t="str">
        <f>HYPERLINK("Melting_Curves/meltCurve_Q9H582_2_ZNF644.pdf", "Melting_Curves/meltCurve_Q9H582_2_ZNF644.pdf")</f>
        <v>Melting_Curves/meltCurve_Q9H582_2_ZNF644.pdf</v>
      </c>
    </row>
    <row r="5615" spans="1:28" x14ac:dyDescent="0.25">
      <c r="A5615" t="s">
        <v>5618</v>
      </c>
      <c r="B5615">
        <v>0.99930955844802105</v>
      </c>
      <c r="C5615">
        <v>0.50208385023802404</v>
      </c>
      <c r="D5615">
        <v>0.311081150515437</v>
      </c>
      <c r="E5615">
        <v>0.33250497795589701</v>
      </c>
      <c r="F5615">
        <v>0.231190346292939</v>
      </c>
      <c r="G5615">
        <v>0.17255663729126899</v>
      </c>
      <c r="H5615">
        <v>0.133055993144333</v>
      </c>
      <c r="I5615">
        <v>0.125174911289862</v>
      </c>
      <c r="J5615">
        <v>0.104352403888141</v>
      </c>
      <c r="K5615">
        <v>8.8353743376326094E-2</v>
      </c>
      <c r="L5615">
        <v>1324.1057429237801</v>
      </c>
      <c r="M5615">
        <v>30.974940441516299</v>
      </c>
      <c r="N5615">
        <v>43.335827825029</v>
      </c>
      <c r="O5615">
        <v>42.570634490686601</v>
      </c>
      <c r="P5615">
        <v>-0.15068772875484099</v>
      </c>
      <c r="Q5615">
        <v>0.17160924923082599</v>
      </c>
      <c r="R5615">
        <v>0.91932032349795101</v>
      </c>
      <c r="S5615" t="s">
        <v>12231</v>
      </c>
      <c r="T5615" t="s">
        <v>13232</v>
      </c>
      <c r="U5615" t="s">
        <v>13232</v>
      </c>
      <c r="V5615" t="s">
        <v>13232</v>
      </c>
      <c r="W5615" t="s">
        <v>18777</v>
      </c>
      <c r="X5615">
        <v>6</v>
      </c>
      <c r="Y5615" t="s">
        <v>25167</v>
      </c>
      <c r="Z5615" t="s">
        <v>31746</v>
      </c>
      <c r="AA5615">
        <v>0.25512786788466318</v>
      </c>
      <c r="AB5615" t="str">
        <f>HYPERLINK("Melting_Curves/meltCurve_Q9H583_HEATR1.pdf", "Melting_Curves/meltCurve_Q9H583_HEATR1.pdf")</f>
        <v>Melting_Curves/meltCurve_Q9H583_HEATR1.pdf</v>
      </c>
    </row>
    <row r="5616" spans="1:28" x14ac:dyDescent="0.25">
      <c r="A5616" t="s">
        <v>5619</v>
      </c>
      <c r="B5616">
        <v>0.99930955844802105</v>
      </c>
      <c r="C5616">
        <v>1.1285880900291201</v>
      </c>
      <c r="D5616">
        <v>1.1082759976624299</v>
      </c>
      <c r="E5616">
        <v>1.11775655007388</v>
      </c>
      <c r="F5616">
        <v>1.09065831333815</v>
      </c>
      <c r="G5616">
        <v>0.95712397087140799</v>
      </c>
      <c r="H5616">
        <v>1.0503520064785401</v>
      </c>
      <c r="I5616">
        <v>1.10229483872028</v>
      </c>
      <c r="J5616">
        <v>1.1301107597089399</v>
      </c>
      <c r="K5616">
        <v>0.92983996485925302</v>
      </c>
      <c r="L5616">
        <v>10261.469704666501</v>
      </c>
      <c r="M5616">
        <v>250</v>
      </c>
      <c r="O5616">
        <v>41.043239684536601</v>
      </c>
      <c r="P5616">
        <v>0.10405681157810701</v>
      </c>
      <c r="Q5616">
        <v>1.0683332793147899</v>
      </c>
      <c r="R5616">
        <v>8.6965756333692995E-2</v>
      </c>
      <c r="S5616" t="s">
        <v>12232</v>
      </c>
      <c r="T5616" t="s">
        <v>13232</v>
      </c>
      <c r="U5616" t="s">
        <v>13232</v>
      </c>
      <c r="V5616" t="s">
        <v>13232</v>
      </c>
      <c r="W5616" t="s">
        <v>18778</v>
      </c>
      <c r="X5616">
        <v>12</v>
      </c>
      <c r="Y5616" t="s">
        <v>25168</v>
      </c>
      <c r="Z5616" t="s">
        <v>31747</v>
      </c>
      <c r="AA5616">
        <v>1.065945568929451</v>
      </c>
      <c r="AB5616" t="str">
        <f>HYPERLINK("Melting_Curves/meltCurve_Q9H5H4_ZNF768.pdf", "Melting_Curves/meltCurve_Q9H5H4_ZNF768.pdf")</f>
        <v>Melting_Curves/meltCurve_Q9H5H4_ZNF768.pdf</v>
      </c>
    </row>
    <row r="5617" spans="1:28" x14ac:dyDescent="0.25">
      <c r="A5617" t="s">
        <v>5620</v>
      </c>
      <c r="B5617">
        <v>0.99930955844802105</v>
      </c>
      <c r="C5617">
        <v>0.78187992603651202</v>
      </c>
      <c r="D5617">
        <v>0.91549848201517303</v>
      </c>
      <c r="E5617">
        <v>0.94985705049907898</v>
      </c>
      <c r="F5617">
        <v>0.684948852662702</v>
      </c>
      <c r="G5617">
        <v>0.53231088129344994</v>
      </c>
      <c r="H5617">
        <v>0.478961087803075</v>
      </c>
      <c r="I5617">
        <v>0.444558403117367</v>
      </c>
      <c r="J5617">
        <v>0.55129914142639702</v>
      </c>
      <c r="K5617">
        <v>0.43386417861359</v>
      </c>
      <c r="L5617">
        <v>1874.6269571423099</v>
      </c>
      <c r="M5617">
        <v>35.6886522493377</v>
      </c>
      <c r="N5617">
        <v>57.730855290510398</v>
      </c>
      <c r="O5617">
        <v>52.363151604739699</v>
      </c>
      <c r="P5617">
        <v>-8.8610179504265502E-2</v>
      </c>
      <c r="Q5617">
        <v>0.47995871700572201</v>
      </c>
      <c r="R5617">
        <v>0.85328652975206198</v>
      </c>
      <c r="S5617" t="s">
        <v>12233</v>
      </c>
      <c r="T5617" t="s">
        <v>13232</v>
      </c>
      <c r="U5617" t="s">
        <v>13232</v>
      </c>
      <c r="V5617" t="s">
        <v>13232</v>
      </c>
      <c r="W5617" t="s">
        <v>18779</v>
      </c>
      <c r="X5617">
        <v>1</v>
      </c>
      <c r="Y5617" t="s">
        <v>25169</v>
      </c>
      <c r="Z5617" t="s">
        <v>31748</v>
      </c>
      <c r="AA5617">
        <v>0.6994866769744299</v>
      </c>
      <c r="AB5617" t="str">
        <f>HYPERLINK("Melting_Curves/meltCurve_Q9H5J8_TAF1D.pdf", "Melting_Curves/meltCurve_Q9H5J8_TAF1D.pdf")</f>
        <v>Melting_Curves/meltCurve_Q9H5J8_TAF1D.pdf</v>
      </c>
    </row>
    <row r="5618" spans="1:28" x14ac:dyDescent="0.25">
      <c r="A5618" t="s">
        <v>5621</v>
      </c>
      <c r="B5618">
        <v>0.99930955844802105</v>
      </c>
      <c r="C5618">
        <v>1.02063816114496</v>
      </c>
      <c r="D5618">
        <v>0.870192844875877</v>
      </c>
      <c r="E5618">
        <v>0.70273939895434701</v>
      </c>
      <c r="F5618">
        <v>0.52983795431911296</v>
      </c>
      <c r="G5618">
        <v>0.35702154447340401</v>
      </c>
      <c r="H5618">
        <v>0.304294143637867</v>
      </c>
      <c r="I5618">
        <v>0.31120749627518601</v>
      </c>
      <c r="J5618">
        <v>0.34264901526090302</v>
      </c>
      <c r="K5618">
        <v>0.28675662410462599</v>
      </c>
      <c r="L5618">
        <v>936.39400899449299</v>
      </c>
      <c r="M5618">
        <v>18.462095970583899</v>
      </c>
      <c r="N5618">
        <v>53.298792346757402</v>
      </c>
      <c r="O5618">
        <v>50.135978816052699</v>
      </c>
      <c r="P5618">
        <v>-6.4872672306468496E-2</v>
      </c>
      <c r="Q5618">
        <v>0.295354173390938</v>
      </c>
      <c r="R5618">
        <v>0.99229352853542696</v>
      </c>
      <c r="S5618" t="s">
        <v>12234</v>
      </c>
      <c r="T5618" t="s">
        <v>13232</v>
      </c>
      <c r="U5618" t="s">
        <v>13232</v>
      </c>
      <c r="V5618" t="s">
        <v>13232</v>
      </c>
      <c r="W5618" t="s">
        <v>18780</v>
      </c>
      <c r="X5618">
        <v>27</v>
      </c>
      <c r="Y5618" t="s">
        <v>25170</v>
      </c>
      <c r="Z5618" t="s">
        <v>31749</v>
      </c>
      <c r="AA5618">
        <v>0.55851234142899842</v>
      </c>
      <c r="AB5618" t="str">
        <f>HYPERLINK("Melting_Curves/meltCurve_Q9H5N1_RABEP2.pdf", "Melting_Curves/meltCurve_Q9H5N1_RABEP2.pdf")</f>
        <v>Melting_Curves/meltCurve_Q9H5N1_RABEP2.pdf</v>
      </c>
    </row>
    <row r="5619" spans="1:28" x14ac:dyDescent="0.25">
      <c r="A5619" t="s">
        <v>5622</v>
      </c>
      <c r="B5619">
        <v>0.99930955844802105</v>
      </c>
      <c r="C5619">
        <v>0.99027631646069503</v>
      </c>
      <c r="D5619">
        <v>0.90336393407316595</v>
      </c>
      <c r="E5619">
        <v>0.59459371756865698</v>
      </c>
      <c r="F5619">
        <v>0.19531783722058299</v>
      </c>
      <c r="G5619">
        <v>0.147460170604098</v>
      </c>
      <c r="H5619">
        <v>0.103912090523907</v>
      </c>
      <c r="I5619">
        <v>8.7542499100116702E-2</v>
      </c>
      <c r="J5619">
        <v>7.9919901764405402E-2</v>
      </c>
      <c r="K5619">
        <v>5.6248374310162802E-2</v>
      </c>
      <c r="L5619">
        <v>1496.7459788148701</v>
      </c>
      <c r="M5619">
        <v>29.832040237729</v>
      </c>
      <c r="N5619">
        <v>50.481774471186199</v>
      </c>
      <c r="O5619">
        <v>49.948594125631203</v>
      </c>
      <c r="P5619">
        <v>-0.13684193378309101</v>
      </c>
      <c r="Q5619">
        <v>8.3533366796803399E-2</v>
      </c>
      <c r="R5619">
        <v>0.99547343277879796</v>
      </c>
      <c r="S5619" t="s">
        <v>12235</v>
      </c>
      <c r="T5619" t="s">
        <v>13232</v>
      </c>
      <c r="U5619" t="s">
        <v>13232</v>
      </c>
      <c r="V5619" t="s">
        <v>13232</v>
      </c>
      <c r="W5619" t="s">
        <v>18781</v>
      </c>
      <c r="X5619">
        <v>5</v>
      </c>
      <c r="Y5619" t="s">
        <v>25171</v>
      </c>
      <c r="Z5619" t="s">
        <v>31750</v>
      </c>
      <c r="AA5619">
        <v>0.40003904478854141</v>
      </c>
      <c r="AB5619" t="str">
        <f>HYPERLINK("Melting_Curves/meltCurve_Q9H5Q4_TFB2M.pdf", "Melting_Curves/meltCurve_Q9H5Q4_TFB2M.pdf")</f>
        <v>Melting_Curves/meltCurve_Q9H5Q4_TFB2M.pdf</v>
      </c>
    </row>
    <row r="5620" spans="1:28" x14ac:dyDescent="0.25">
      <c r="A5620" t="s">
        <v>5623</v>
      </c>
      <c r="B5620">
        <v>0.99930955844802105</v>
      </c>
      <c r="C5620">
        <v>1.18717578747356</v>
      </c>
      <c r="D5620">
        <v>1.07709784945071</v>
      </c>
      <c r="E5620">
        <v>0.974664025264393</v>
      </c>
      <c r="F5620">
        <v>0.96766047641328801</v>
      </c>
      <c r="G5620">
        <v>0.76399929248120202</v>
      </c>
      <c r="H5620">
        <v>0.81377110397807895</v>
      </c>
      <c r="I5620">
        <v>0.82969324621947604</v>
      </c>
      <c r="J5620">
        <v>0.80050347190170901</v>
      </c>
      <c r="K5620">
        <v>0.69396845847437305</v>
      </c>
      <c r="L5620">
        <v>13343.0827535139</v>
      </c>
      <c r="M5620">
        <v>250</v>
      </c>
      <c r="O5620">
        <v>53.368915055417602</v>
      </c>
      <c r="P5620">
        <v>-0.25718726894716898</v>
      </c>
      <c r="Q5620">
        <v>0.78038711011124895</v>
      </c>
      <c r="R5620">
        <v>0.75309836456794799</v>
      </c>
      <c r="S5620" t="s">
        <v>12236</v>
      </c>
      <c r="T5620" t="s">
        <v>13232</v>
      </c>
      <c r="U5620" t="s">
        <v>13232</v>
      </c>
      <c r="V5620" t="s">
        <v>13232</v>
      </c>
      <c r="W5620" t="s">
        <v>18782</v>
      </c>
      <c r="X5620">
        <v>3</v>
      </c>
      <c r="Y5620" t="s">
        <v>25172</v>
      </c>
      <c r="Z5620" t="s">
        <v>31751</v>
      </c>
      <c r="AA5620">
        <v>0.87829888934402056</v>
      </c>
      <c r="AB5620" t="str">
        <f>HYPERLINK("Melting_Curves/meltCurve_Q9H5V7_IKZF5.pdf", "Melting_Curves/meltCurve_Q9H5V7_IKZF5.pdf")</f>
        <v>Melting_Curves/meltCurve_Q9H5V7_IKZF5.pdf</v>
      </c>
    </row>
    <row r="5621" spans="1:28" x14ac:dyDescent="0.25">
      <c r="A5621" t="s">
        <v>5624</v>
      </c>
      <c r="B5621">
        <v>0.99930955844802105</v>
      </c>
      <c r="C5621">
        <v>0.751162283309876</v>
      </c>
      <c r="D5621">
        <v>0.74462825574426394</v>
      </c>
      <c r="E5621">
        <v>0.90119348567716095</v>
      </c>
      <c r="F5621">
        <v>0.43524170173556398</v>
      </c>
      <c r="G5621">
        <v>0.307202718205697</v>
      </c>
      <c r="H5621">
        <v>0.26491944580965998</v>
      </c>
      <c r="I5621">
        <v>0.26573405290130803</v>
      </c>
      <c r="J5621">
        <v>0.26519138265557901</v>
      </c>
      <c r="K5621">
        <v>0.20883067438549299</v>
      </c>
      <c r="L5621">
        <v>497.11543800812399</v>
      </c>
      <c r="M5621">
        <v>9.5722882169894596</v>
      </c>
      <c r="N5621">
        <v>53.635069082654198</v>
      </c>
      <c r="O5621">
        <v>49.8179296596239</v>
      </c>
      <c r="P5621">
        <v>-4.17676048165024E-2</v>
      </c>
      <c r="Q5621">
        <v>0.13099961723235301</v>
      </c>
      <c r="R5621">
        <v>0.86493527894956101</v>
      </c>
      <c r="S5621" t="s">
        <v>12237</v>
      </c>
      <c r="T5621" t="s">
        <v>13232</v>
      </c>
      <c r="U5621" t="s">
        <v>13232</v>
      </c>
      <c r="V5621" t="s">
        <v>13232</v>
      </c>
      <c r="W5621" t="s">
        <v>18783</v>
      </c>
      <c r="X5621">
        <v>8</v>
      </c>
      <c r="Y5621" t="s">
        <v>25173</v>
      </c>
      <c r="Z5621" t="s">
        <v>31752</v>
      </c>
      <c r="AA5621">
        <v>0.5114504657877943</v>
      </c>
      <c r="AB5621" t="str">
        <f>HYPERLINK("Melting_Curves/meltCurve_Q9H5V9_2_CXorf56.pdf", "Melting_Curves/meltCurve_Q9H5V9_2_CXorf56.pdf")</f>
        <v>Melting_Curves/meltCurve_Q9H5V9_2_CXorf56.pdf</v>
      </c>
    </row>
    <row r="5622" spans="1:28" x14ac:dyDescent="0.25">
      <c r="A5622" t="s">
        <v>5625</v>
      </c>
      <c r="B5622">
        <v>0.99930955844802105</v>
      </c>
      <c r="C5622">
        <v>1.0014420355348499</v>
      </c>
      <c r="D5622">
        <v>0.99061140611651699</v>
      </c>
      <c r="E5622">
        <v>0.97721682545872002</v>
      </c>
      <c r="F5622">
        <v>0.88224020166747397</v>
      </c>
      <c r="G5622">
        <v>0.67647297656625704</v>
      </c>
      <c r="H5622">
        <v>0.50302348009418896</v>
      </c>
      <c r="I5622">
        <v>0.29712033797624299</v>
      </c>
      <c r="J5622">
        <v>0.148473548087178</v>
      </c>
      <c r="K5622">
        <v>7.2462937797401206E-2</v>
      </c>
      <c r="L5622">
        <v>943.25679292805398</v>
      </c>
      <c r="M5622">
        <v>15.6462299480143</v>
      </c>
      <c r="N5622">
        <v>60.286522517470402</v>
      </c>
      <c r="O5622">
        <v>59.327481133608003</v>
      </c>
      <c r="P5622">
        <v>-6.5937278238761304E-2</v>
      </c>
      <c r="Q5622">
        <v>0</v>
      </c>
      <c r="R5622">
        <v>0.99553919706657201</v>
      </c>
      <c r="S5622" t="s">
        <v>12238</v>
      </c>
      <c r="T5622" t="s">
        <v>13232</v>
      </c>
      <c r="U5622" t="s">
        <v>13232</v>
      </c>
      <c r="V5622" t="s">
        <v>13232</v>
      </c>
      <c r="W5622" t="s">
        <v>18784</v>
      </c>
      <c r="X5622">
        <v>3</v>
      </c>
      <c r="Y5622" t="s">
        <v>25174</v>
      </c>
      <c r="Z5622" t="s">
        <v>31753</v>
      </c>
      <c r="AA5622">
        <v>0.68249891740511237</v>
      </c>
      <c r="AB5622" t="str">
        <f>HYPERLINK("Melting_Curves/meltCurve_Q9H5X1_FAM96A.pdf", "Melting_Curves/meltCurve_Q9H5X1_FAM96A.pdf")</f>
        <v>Melting_Curves/meltCurve_Q9H5X1_FAM96A.pdf</v>
      </c>
    </row>
    <row r="5623" spans="1:28" x14ac:dyDescent="0.25">
      <c r="A5623" t="s">
        <v>5626</v>
      </c>
      <c r="B5623">
        <v>0.99930955844802105</v>
      </c>
      <c r="C5623">
        <v>0.29956060454719102</v>
      </c>
      <c r="D5623">
        <v>0.27310597520521102</v>
      </c>
      <c r="E5623">
        <v>0.289077671882571</v>
      </c>
      <c r="F5623">
        <v>0.232737035948029</v>
      </c>
      <c r="G5623">
        <v>0.140690721710828</v>
      </c>
      <c r="H5623">
        <v>5.3877832218599701E-2</v>
      </c>
      <c r="I5623">
        <v>3.9266096480413903E-2</v>
      </c>
      <c r="J5623">
        <v>3.7646775150199603E-2</v>
      </c>
      <c r="K5623">
        <v>3.5637636358075798E-2</v>
      </c>
      <c r="L5623">
        <v>3411.1341386239201</v>
      </c>
      <c r="M5623">
        <v>80.962870702103999</v>
      </c>
      <c r="N5623">
        <v>42.300016159952001</v>
      </c>
      <c r="O5623">
        <v>42.106396138236001</v>
      </c>
      <c r="P5623">
        <v>-0.41463367439097598</v>
      </c>
      <c r="Q5623">
        <v>0.13744523081235499</v>
      </c>
      <c r="R5623">
        <v>0.88378864799590395</v>
      </c>
      <c r="S5623" t="s">
        <v>12239</v>
      </c>
      <c r="T5623" t="s">
        <v>13232</v>
      </c>
      <c r="U5623" t="s">
        <v>13232</v>
      </c>
      <c r="V5623" t="s">
        <v>13232</v>
      </c>
      <c r="W5623" t="s">
        <v>18785</v>
      </c>
      <c r="X5623">
        <v>1</v>
      </c>
      <c r="Y5623" t="s">
        <v>25175</v>
      </c>
      <c r="Z5623" t="s">
        <v>31754</v>
      </c>
      <c r="AA5623">
        <v>0.19953059554531821</v>
      </c>
      <c r="AB5623" t="str">
        <f>HYPERLINK("Melting_Curves/meltCurve_Q9H633_3_RPP21.pdf", "Melting_Curves/meltCurve_Q9H633_3_RPP21.pdf")</f>
        <v>Melting_Curves/meltCurve_Q9H633_3_RPP21.pdf</v>
      </c>
    </row>
    <row r="5624" spans="1:28" x14ac:dyDescent="0.25">
      <c r="A5624" t="s">
        <v>5627</v>
      </c>
      <c r="B5624">
        <v>0.99930955844802105</v>
      </c>
      <c r="C5624">
        <v>0.85372312454434096</v>
      </c>
      <c r="D5624">
        <v>0.62208290133954802</v>
      </c>
      <c r="E5624">
        <v>0.36621665660116798</v>
      </c>
      <c r="F5624">
        <v>0.224126664441679</v>
      </c>
      <c r="G5624">
        <v>0.163439541415904</v>
      </c>
      <c r="H5624">
        <v>0.109686057502761</v>
      </c>
      <c r="I5624">
        <v>8.5363416553499702E-2</v>
      </c>
      <c r="J5624">
        <v>7.5332722921568895E-2</v>
      </c>
      <c r="K5624">
        <v>5.7053861579289697E-2</v>
      </c>
      <c r="L5624">
        <v>736.58744864080404</v>
      </c>
      <c r="M5624">
        <v>15.5267309407818</v>
      </c>
      <c r="N5624">
        <v>47.921870551488198</v>
      </c>
      <c r="O5624">
        <v>46.6739448712149</v>
      </c>
      <c r="P5624">
        <v>-7.7161507505513205E-2</v>
      </c>
      <c r="Q5624">
        <v>7.2280488787333605E-2</v>
      </c>
      <c r="R5624">
        <v>0.99603562011544899</v>
      </c>
      <c r="S5624" t="s">
        <v>12240</v>
      </c>
      <c r="T5624" t="s">
        <v>13232</v>
      </c>
      <c r="U5624" t="s">
        <v>13232</v>
      </c>
      <c r="V5624" t="s">
        <v>13232</v>
      </c>
      <c r="W5624" t="s">
        <v>18786</v>
      </c>
      <c r="X5624">
        <v>12</v>
      </c>
      <c r="Y5624" t="s">
        <v>25176</v>
      </c>
      <c r="Z5624" t="s">
        <v>31755</v>
      </c>
      <c r="AA5624">
        <v>0.32524789084462441</v>
      </c>
      <c r="AB5624" t="str">
        <f>HYPERLINK("Melting_Curves/meltCurve_Q9H6D7_HAUS4.pdf", "Melting_Curves/meltCurve_Q9H6D7_HAUS4.pdf")</f>
        <v>Melting_Curves/meltCurve_Q9H6D7_HAUS4.pdf</v>
      </c>
    </row>
    <row r="5625" spans="1:28" x14ac:dyDescent="0.25">
      <c r="A5625" t="s">
        <v>5628</v>
      </c>
      <c r="B5625">
        <v>0.99930955844802105</v>
      </c>
      <c r="C5625">
        <v>1.14250893327724</v>
      </c>
      <c r="D5625">
        <v>1.1415821126240999</v>
      </c>
      <c r="E5625">
        <v>0.91678399560425805</v>
      </c>
      <c r="F5625">
        <v>0.45130049259187699</v>
      </c>
      <c r="G5625">
        <v>0.31497371884763797</v>
      </c>
      <c r="H5625">
        <v>0.207032295391296</v>
      </c>
      <c r="I5625">
        <v>0.14648995434595199</v>
      </c>
      <c r="J5625">
        <v>0.111306383389733</v>
      </c>
      <c r="K5625">
        <v>9.3797964092409605E-2</v>
      </c>
      <c r="L5625">
        <v>1963.04386928085</v>
      </c>
      <c r="M5625">
        <v>37.4527803383031</v>
      </c>
      <c r="N5625">
        <v>52.961586858981697</v>
      </c>
      <c r="O5625">
        <v>52.265092608874497</v>
      </c>
      <c r="P5625">
        <v>-0.15038204420096399</v>
      </c>
      <c r="Q5625">
        <v>0.160574143467904</v>
      </c>
      <c r="R5625">
        <v>0.96244147296623495</v>
      </c>
      <c r="S5625" t="s">
        <v>12241</v>
      </c>
      <c r="T5625" t="s">
        <v>13232</v>
      </c>
      <c r="U5625" t="s">
        <v>13232</v>
      </c>
      <c r="V5625" t="s">
        <v>13232</v>
      </c>
      <c r="W5625" t="s">
        <v>18787</v>
      </c>
      <c r="X5625">
        <v>4</v>
      </c>
      <c r="Y5625" t="s">
        <v>25177</v>
      </c>
      <c r="Z5625" t="s">
        <v>31756</v>
      </c>
      <c r="AA5625">
        <v>0.51139231822444509</v>
      </c>
      <c r="AB5625" t="str">
        <f>HYPERLINK("Melting_Curves/meltCurve_Q9H6E4_CCDC134.pdf", "Melting_Curves/meltCurve_Q9H6E4_CCDC134.pdf")</f>
        <v>Melting_Curves/meltCurve_Q9H6E4_CCDC134.pdf</v>
      </c>
    </row>
    <row r="5626" spans="1:28" x14ac:dyDescent="0.25">
      <c r="A5626" t="s">
        <v>5629</v>
      </c>
      <c r="B5626">
        <v>0.99930955844802105</v>
      </c>
      <c r="C5626">
        <v>0.82468160328633699</v>
      </c>
      <c r="D5626">
        <v>0.60246081916989802</v>
      </c>
      <c r="E5626">
        <v>0.31478446041872798</v>
      </c>
      <c r="F5626">
        <v>0.199367421727424</v>
      </c>
      <c r="G5626">
        <v>0.146235301108981</v>
      </c>
      <c r="H5626">
        <v>0.10226266906577</v>
      </c>
      <c r="I5626">
        <v>9.2547719501996695E-2</v>
      </c>
      <c r="J5626">
        <v>9.0717602250005802E-2</v>
      </c>
      <c r="K5626">
        <v>7.4094752870074901E-2</v>
      </c>
      <c r="L5626">
        <v>799.42340674863794</v>
      </c>
      <c r="M5626">
        <v>17.090156160559399</v>
      </c>
      <c r="N5626">
        <v>47.301931678062303</v>
      </c>
      <c r="O5626">
        <v>46.150475804328401</v>
      </c>
      <c r="P5626">
        <v>-8.4584476347162499E-2</v>
      </c>
      <c r="Q5626">
        <v>8.6403505066831601E-2</v>
      </c>
      <c r="R5626">
        <v>0.99702585473744798</v>
      </c>
      <c r="S5626" t="s">
        <v>12242</v>
      </c>
      <c r="T5626" t="s">
        <v>13232</v>
      </c>
      <c r="U5626" t="s">
        <v>13232</v>
      </c>
      <c r="V5626" t="s">
        <v>13232</v>
      </c>
      <c r="W5626" t="s">
        <v>18788</v>
      </c>
      <c r="X5626">
        <v>14</v>
      </c>
      <c r="Y5626" t="s">
        <v>25178</v>
      </c>
      <c r="Z5626" t="s">
        <v>31757</v>
      </c>
      <c r="AA5626">
        <v>0.31187298310434558</v>
      </c>
      <c r="AB5626" t="str">
        <f>HYPERLINK("Melting_Curves/meltCurve_Q9H6E5_TUT1.pdf", "Melting_Curves/meltCurve_Q9H6E5_TUT1.pdf")</f>
        <v>Melting_Curves/meltCurve_Q9H6E5_TUT1.pdf</v>
      </c>
    </row>
    <row r="5627" spans="1:28" x14ac:dyDescent="0.25">
      <c r="A5627" t="s">
        <v>5630</v>
      </c>
      <c r="B5627">
        <v>0.99930955844802105</v>
      </c>
      <c r="C5627">
        <v>1.17865836430075</v>
      </c>
      <c r="D5627">
        <v>1.16723618258851</v>
      </c>
      <c r="E5627">
        <v>1.1460113521527999</v>
      </c>
      <c r="F5627">
        <v>1.0964571621364501</v>
      </c>
      <c r="G5627">
        <v>1.0911365398798201</v>
      </c>
      <c r="H5627">
        <v>1.2625711181139101</v>
      </c>
      <c r="I5627">
        <v>1.3926868128418299</v>
      </c>
      <c r="J5627">
        <v>1.47498840423373</v>
      </c>
      <c r="K5627">
        <v>1.1522911616801601</v>
      </c>
      <c r="L5627">
        <v>241.32138089994899</v>
      </c>
      <c r="M5627">
        <v>3.98921817642703</v>
      </c>
      <c r="O5627">
        <v>49.619795041718703</v>
      </c>
      <c r="P5627">
        <v>1.0179760884371799E-2</v>
      </c>
      <c r="Q5627">
        <v>1.5</v>
      </c>
      <c r="R5627">
        <v>0.40160643044352801</v>
      </c>
      <c r="S5627" t="s">
        <v>12243</v>
      </c>
      <c r="T5627" t="s">
        <v>13232</v>
      </c>
      <c r="U5627" t="s">
        <v>13232</v>
      </c>
      <c r="V5627" t="s">
        <v>13232</v>
      </c>
      <c r="W5627" t="s">
        <v>18789</v>
      </c>
      <c r="X5627">
        <v>11</v>
      </c>
      <c r="Y5627" t="s">
        <v>25179</v>
      </c>
      <c r="Z5627" t="s">
        <v>31758</v>
      </c>
      <c r="AA5627">
        <v>1.1951209335437449</v>
      </c>
      <c r="AB5627" t="str">
        <f>HYPERLINK("Melting_Curves/meltCurve_Q9H6F5_CCDC86.pdf", "Melting_Curves/meltCurve_Q9H6F5_CCDC86.pdf")</f>
        <v>Melting_Curves/meltCurve_Q9H6F5_CCDC86.pdf</v>
      </c>
    </row>
    <row r="5628" spans="1:28" x14ac:dyDescent="0.25">
      <c r="A5628" t="s">
        <v>5631</v>
      </c>
      <c r="B5628">
        <v>0.99930955844802105</v>
      </c>
      <c r="C5628">
        <v>0.98618772830020396</v>
      </c>
      <c r="D5628">
        <v>0.97045607122099098</v>
      </c>
      <c r="E5628">
        <v>0.85758255020318597</v>
      </c>
      <c r="F5628">
        <v>0.49346226837267099</v>
      </c>
      <c r="G5628">
        <v>0.346763183752127</v>
      </c>
      <c r="H5628">
        <v>0.30323451508890997</v>
      </c>
      <c r="I5628">
        <v>0.32863970432778</v>
      </c>
      <c r="J5628">
        <v>0.32452928348537702</v>
      </c>
      <c r="K5628">
        <v>0.26555337472739898</v>
      </c>
      <c r="L5628">
        <v>1986.0077291150401</v>
      </c>
      <c r="M5628">
        <v>38.428489506025699</v>
      </c>
      <c r="N5628">
        <v>53.005362902565999</v>
      </c>
      <c r="O5628">
        <v>51.541231678756802</v>
      </c>
      <c r="P5628">
        <v>-0.12886830003049099</v>
      </c>
      <c r="Q5628">
        <v>0.30863611403310098</v>
      </c>
      <c r="R5628">
        <v>0.99598180311165396</v>
      </c>
      <c r="S5628" t="s">
        <v>12244</v>
      </c>
      <c r="T5628" t="s">
        <v>13232</v>
      </c>
      <c r="U5628" t="s">
        <v>13232</v>
      </c>
      <c r="V5628" t="s">
        <v>13232</v>
      </c>
      <c r="W5628" t="s">
        <v>18790</v>
      </c>
      <c r="X5628">
        <v>7</v>
      </c>
      <c r="Y5628" t="s">
        <v>25180</v>
      </c>
      <c r="Z5628" t="s">
        <v>31759</v>
      </c>
      <c r="AA5628">
        <v>0.58049741890025097</v>
      </c>
      <c r="AB5628" t="str">
        <f>HYPERLINK("Melting_Curves/meltCurve_Q9H6K1_C6orf106.pdf", "Melting_Curves/meltCurve_Q9H6K1_C6orf106.pdf")</f>
        <v>Melting_Curves/meltCurve_Q9H6K1_C6orf106.pdf</v>
      </c>
    </row>
    <row r="5629" spans="1:28" x14ac:dyDescent="0.25">
      <c r="A5629" t="s">
        <v>5632</v>
      </c>
      <c r="B5629">
        <v>0.99930955844802105</v>
      </c>
      <c r="C5629">
        <v>0.78713242873571798</v>
      </c>
      <c r="D5629">
        <v>0.75677569344080098</v>
      </c>
      <c r="E5629">
        <v>0.60247976864070296</v>
      </c>
      <c r="F5629">
        <v>0.44371389965854202</v>
      </c>
      <c r="G5629">
        <v>0.33634706175218498</v>
      </c>
      <c r="H5629">
        <v>0.212974361344165</v>
      </c>
      <c r="I5629">
        <v>0.15767671605704101</v>
      </c>
      <c r="J5629">
        <v>0.12675362614973201</v>
      </c>
      <c r="K5629">
        <v>0.10668544238635599</v>
      </c>
      <c r="L5629">
        <v>443.28219920176002</v>
      </c>
      <c r="M5629">
        <v>8.5319920454696501</v>
      </c>
      <c r="N5629">
        <v>51.955295733884697</v>
      </c>
      <c r="O5629">
        <v>49.337068969800903</v>
      </c>
      <c r="P5629">
        <v>-4.3271581739499701E-2</v>
      </c>
      <c r="Q5629">
        <v>0</v>
      </c>
      <c r="R5629">
        <v>0.98757311956306904</v>
      </c>
      <c r="S5629" t="s">
        <v>12245</v>
      </c>
      <c r="T5629" t="s">
        <v>13232</v>
      </c>
      <c r="U5629" t="s">
        <v>13232</v>
      </c>
      <c r="V5629" t="s">
        <v>13232</v>
      </c>
      <c r="W5629" t="s">
        <v>18791</v>
      </c>
      <c r="X5629">
        <v>3</v>
      </c>
      <c r="Y5629" t="s">
        <v>25181</v>
      </c>
      <c r="Z5629" t="s">
        <v>31760</v>
      </c>
      <c r="AA5629">
        <v>0.44325120467206869</v>
      </c>
      <c r="AB5629" t="str">
        <f>HYPERLINK("Melting_Curves/meltCurve_Q9H6L4_ARMC7.pdf", "Melting_Curves/meltCurve_Q9H6L4_ARMC7.pdf")</f>
        <v>Melting_Curves/meltCurve_Q9H6L4_ARMC7.pdf</v>
      </c>
    </row>
    <row r="5630" spans="1:28" x14ac:dyDescent="0.25">
      <c r="A5630" t="s">
        <v>5633</v>
      </c>
      <c r="B5630">
        <v>0.99930955844802105</v>
      </c>
      <c r="C5630">
        <v>0.91520593031039399</v>
      </c>
      <c r="D5630">
        <v>0.88682051048892996</v>
      </c>
      <c r="E5630">
        <v>0.79054324542987398</v>
      </c>
      <c r="F5630">
        <v>0.47212464898713402</v>
      </c>
      <c r="G5630">
        <v>0.278977185800872</v>
      </c>
      <c r="H5630">
        <v>0.14635813156392799</v>
      </c>
      <c r="I5630">
        <v>0.106840775915737</v>
      </c>
      <c r="J5630">
        <v>8.9610639359823205E-2</v>
      </c>
      <c r="K5630">
        <v>6.5539540062677301E-2</v>
      </c>
      <c r="L5630">
        <v>848.24495670567705</v>
      </c>
      <c r="M5630">
        <v>16.0610719313493</v>
      </c>
      <c r="N5630">
        <v>53.170756547592497</v>
      </c>
      <c r="O5630">
        <v>52.015335495950097</v>
      </c>
      <c r="P5630">
        <v>-7.3253413631115399E-2</v>
      </c>
      <c r="Q5630">
        <v>5.1120461039144201E-2</v>
      </c>
      <c r="R5630">
        <v>0.99193270620177298</v>
      </c>
      <c r="S5630" t="s">
        <v>12246</v>
      </c>
      <c r="T5630" t="s">
        <v>13232</v>
      </c>
      <c r="U5630" t="s">
        <v>13232</v>
      </c>
      <c r="V5630" t="s">
        <v>13232</v>
      </c>
      <c r="W5630" t="s">
        <v>18792</v>
      </c>
      <c r="X5630">
        <v>13</v>
      </c>
      <c r="Y5630" t="s">
        <v>25182</v>
      </c>
      <c r="Z5630" t="s">
        <v>31761</v>
      </c>
      <c r="AA5630">
        <v>0.47503447629173751</v>
      </c>
      <c r="AB5630" t="str">
        <f>HYPERLINK("Melting_Curves/meltCurve_Q9H6Q4_NARFL.pdf", "Melting_Curves/meltCurve_Q9H6Q4_NARFL.pdf")</f>
        <v>Melting_Curves/meltCurve_Q9H6Q4_NARFL.pdf</v>
      </c>
    </row>
    <row r="5631" spans="1:28" x14ac:dyDescent="0.25">
      <c r="A5631" t="s">
        <v>5634</v>
      </c>
      <c r="B5631">
        <v>0.99930955844802105</v>
      </c>
      <c r="C5631">
        <v>1.1599167961760899</v>
      </c>
      <c r="D5631">
        <v>1.13056302795007</v>
      </c>
      <c r="E5631">
        <v>1.10467113152806</v>
      </c>
      <c r="F5631">
        <v>1.0944664261567101</v>
      </c>
      <c r="G5631">
        <v>1.07255209718829</v>
      </c>
      <c r="H5631">
        <v>1.3039588241548901</v>
      </c>
      <c r="I5631">
        <v>1.5917731389961201</v>
      </c>
      <c r="J5631">
        <v>1.77281856070195</v>
      </c>
      <c r="K5631">
        <v>1.3613751397889</v>
      </c>
      <c r="L5631">
        <v>15000</v>
      </c>
      <c r="M5631">
        <v>246.340227553083</v>
      </c>
      <c r="O5631">
        <v>60.887391866294003</v>
      </c>
      <c r="P5631">
        <v>0.505729229962114</v>
      </c>
      <c r="Q5631">
        <v>1.5</v>
      </c>
      <c r="R5631">
        <v>0.70028588483870802</v>
      </c>
      <c r="S5631" t="s">
        <v>12247</v>
      </c>
      <c r="T5631" t="s">
        <v>13232</v>
      </c>
      <c r="U5631" t="s">
        <v>13232</v>
      </c>
      <c r="V5631" t="s">
        <v>13232</v>
      </c>
      <c r="W5631" t="s">
        <v>18793</v>
      </c>
      <c r="X5631">
        <v>7</v>
      </c>
      <c r="Y5631" t="s">
        <v>25183</v>
      </c>
      <c r="Z5631" t="s">
        <v>31762</v>
      </c>
      <c r="AA5631">
        <v>1.151755058613263</v>
      </c>
      <c r="AB5631" t="str">
        <f>HYPERLINK("Melting_Curves/meltCurve_Q9H6R4_4_NOL6.pdf", "Melting_Curves/meltCurve_Q9H6R4_4_NOL6.pdf")</f>
        <v>Melting_Curves/meltCurve_Q9H6R4_4_NOL6.pdf</v>
      </c>
    </row>
    <row r="5632" spans="1:28" x14ac:dyDescent="0.25">
      <c r="A5632" t="s">
        <v>5635</v>
      </c>
      <c r="B5632">
        <v>0.99930955844802105</v>
      </c>
      <c r="C5632">
        <v>0.98596757143346203</v>
      </c>
      <c r="D5632">
        <v>0.96756876231790001</v>
      </c>
      <c r="E5632">
        <v>0.91353797408773496</v>
      </c>
      <c r="F5632">
        <v>0.81655129563150697</v>
      </c>
      <c r="G5632">
        <v>0.65327109654701898</v>
      </c>
      <c r="H5632">
        <v>0.56257048846334901</v>
      </c>
      <c r="I5632">
        <v>0.47547041072785701</v>
      </c>
      <c r="J5632">
        <v>0.40797006860815699</v>
      </c>
      <c r="K5632">
        <v>0.224842132508873</v>
      </c>
      <c r="L5632">
        <v>538.95897656907698</v>
      </c>
      <c r="M5632">
        <v>8.6237567242364506</v>
      </c>
      <c r="N5632">
        <v>62.497000326489903</v>
      </c>
      <c r="O5632">
        <v>59.408853876151397</v>
      </c>
      <c r="P5632">
        <v>-3.6320830325613597E-2</v>
      </c>
      <c r="Q5632">
        <v>0</v>
      </c>
      <c r="R5632">
        <v>0.98668477911700403</v>
      </c>
      <c r="S5632" t="s">
        <v>12248</v>
      </c>
      <c r="T5632" t="s">
        <v>13232</v>
      </c>
      <c r="U5632" t="s">
        <v>13232</v>
      </c>
      <c r="V5632" t="s">
        <v>13232</v>
      </c>
      <c r="W5632" t="s">
        <v>18794</v>
      </c>
      <c r="X5632">
        <v>10</v>
      </c>
      <c r="Y5632" t="s">
        <v>25184</v>
      </c>
      <c r="Z5632" t="s">
        <v>31763</v>
      </c>
      <c r="AA5632">
        <v>0.71323925267380361</v>
      </c>
      <c r="AB5632" t="str">
        <f>HYPERLINK("Melting_Curves/meltCurve_Q9H6R7_C2orf44.pdf", "Melting_Curves/meltCurve_Q9H6R7_C2orf44.pdf")</f>
        <v>Melting_Curves/meltCurve_Q9H6R7_C2orf44.pdf</v>
      </c>
    </row>
    <row r="5633" spans="1:28" x14ac:dyDescent="0.25">
      <c r="A5633" t="s">
        <v>5636</v>
      </c>
      <c r="B5633">
        <v>0.99930955844802105</v>
      </c>
      <c r="C5633">
        <v>0.77096422867887004</v>
      </c>
      <c r="D5633">
        <v>0.55101351790986397</v>
      </c>
      <c r="E5633">
        <v>0.36901280780752899</v>
      </c>
      <c r="F5633">
        <v>0.27290843557761202</v>
      </c>
      <c r="G5633">
        <v>0.208524227671291</v>
      </c>
      <c r="H5633">
        <v>0.16787753245002099</v>
      </c>
      <c r="I5633">
        <v>0.16318426335803199</v>
      </c>
      <c r="J5633">
        <v>0.15723337315445901</v>
      </c>
      <c r="K5633">
        <v>0.129679055409301</v>
      </c>
      <c r="L5633">
        <v>702.89635091625598</v>
      </c>
      <c r="M5633">
        <v>15.247855412293401</v>
      </c>
      <c r="N5633">
        <v>47.213902809391698</v>
      </c>
      <c r="O5633">
        <v>45.326958092176099</v>
      </c>
      <c r="P5633">
        <v>-7.1382594523678899E-2</v>
      </c>
      <c r="Q5633">
        <v>0.15129047079881</v>
      </c>
      <c r="R5633">
        <v>0.98917628397373702</v>
      </c>
      <c r="S5633" t="s">
        <v>12249</v>
      </c>
      <c r="T5633" t="s">
        <v>13232</v>
      </c>
      <c r="U5633" t="s">
        <v>13232</v>
      </c>
      <c r="V5633" t="s">
        <v>13232</v>
      </c>
      <c r="W5633" t="s">
        <v>18795</v>
      </c>
      <c r="X5633">
        <v>22</v>
      </c>
      <c r="Y5633" t="s">
        <v>25185</v>
      </c>
      <c r="Z5633" t="s">
        <v>31764</v>
      </c>
      <c r="AA5633">
        <v>0.34755972032850391</v>
      </c>
      <c r="AB5633" t="str">
        <f>HYPERLINK("Melting_Curves/meltCurve_Q9H6S0_YTHDC2.pdf", "Melting_Curves/meltCurve_Q9H6S0_YTHDC2.pdf")</f>
        <v>Melting_Curves/meltCurve_Q9H6S0_YTHDC2.pdf</v>
      </c>
    </row>
    <row r="5634" spans="1:28" x14ac:dyDescent="0.25">
      <c r="A5634" t="s">
        <v>5637</v>
      </c>
      <c r="B5634">
        <v>0.99930955844802105</v>
      </c>
      <c r="C5634">
        <v>0.92064525275208198</v>
      </c>
      <c r="D5634">
        <v>0.88082687860504105</v>
      </c>
      <c r="E5634">
        <v>0.74296719422817803</v>
      </c>
      <c r="F5634">
        <v>0.54068851200393897</v>
      </c>
      <c r="G5634">
        <v>0.41983682411823098</v>
      </c>
      <c r="H5634">
        <v>0.35005099133506701</v>
      </c>
      <c r="I5634">
        <v>0.34205590864103902</v>
      </c>
      <c r="J5634">
        <v>0.32103402365711298</v>
      </c>
      <c r="K5634">
        <v>0.24616725446788401</v>
      </c>
      <c r="L5634">
        <v>681.09622436460302</v>
      </c>
      <c r="M5634">
        <v>13.187071057879299</v>
      </c>
      <c r="N5634">
        <v>54.733477665451801</v>
      </c>
      <c r="O5634">
        <v>50.504391242471598</v>
      </c>
      <c r="P5634">
        <v>-4.81689382740055E-2</v>
      </c>
      <c r="Q5634">
        <v>0.26220570350582401</v>
      </c>
      <c r="R5634">
        <v>0.99164812383251</v>
      </c>
      <c r="S5634" t="s">
        <v>12250</v>
      </c>
      <c r="T5634" t="s">
        <v>13232</v>
      </c>
      <c r="U5634" t="s">
        <v>13232</v>
      </c>
      <c r="V5634" t="s">
        <v>13232</v>
      </c>
      <c r="W5634" t="s">
        <v>18796</v>
      </c>
      <c r="X5634">
        <v>3</v>
      </c>
      <c r="Y5634" t="s">
        <v>25186</v>
      </c>
      <c r="Z5634" t="s">
        <v>31765</v>
      </c>
      <c r="AA5634">
        <v>0.56895562554071821</v>
      </c>
      <c r="AB5634" t="str">
        <f>HYPERLINK("Melting_Curves/meltCurve_Q9H6S1_AZI2.pdf", "Melting_Curves/meltCurve_Q9H6S1_AZI2.pdf")</f>
        <v>Melting_Curves/meltCurve_Q9H6S1_AZI2.pdf</v>
      </c>
    </row>
    <row r="5635" spans="1:28" x14ac:dyDescent="0.25">
      <c r="A5635" t="s">
        <v>5638</v>
      </c>
      <c r="B5635">
        <v>0.99930955844802105</v>
      </c>
      <c r="C5635">
        <v>0.91457754940646796</v>
      </c>
      <c r="D5635">
        <v>0.89297321465894397</v>
      </c>
      <c r="E5635">
        <v>0.80202838899041495</v>
      </c>
      <c r="F5635">
        <v>0.80801135651753297</v>
      </c>
      <c r="G5635">
        <v>0.59325748358056796</v>
      </c>
      <c r="H5635">
        <v>0.51444861237523098</v>
      </c>
      <c r="I5635">
        <v>0.55708199050771601</v>
      </c>
      <c r="J5635">
        <v>0.51944250535064496</v>
      </c>
      <c r="K5635">
        <v>0.40585493637165898</v>
      </c>
      <c r="L5635">
        <v>441.75626328903002</v>
      </c>
      <c r="M5635">
        <v>7.8772222053758503</v>
      </c>
      <c r="N5635">
        <v>64.894486188542899</v>
      </c>
      <c r="O5635">
        <v>52.811023777729098</v>
      </c>
      <c r="P5635">
        <v>-2.5070684588501101E-2</v>
      </c>
      <c r="Q5635">
        <v>0.32848221816957102</v>
      </c>
      <c r="R5635">
        <v>0.95625542411152398</v>
      </c>
      <c r="S5635" t="s">
        <v>12251</v>
      </c>
      <c r="T5635" t="s">
        <v>13232</v>
      </c>
      <c r="U5635" t="s">
        <v>13232</v>
      </c>
      <c r="V5635" t="s">
        <v>13232</v>
      </c>
      <c r="W5635" t="s">
        <v>18797</v>
      </c>
      <c r="X5635">
        <v>1</v>
      </c>
      <c r="Y5635" t="s">
        <v>25187</v>
      </c>
      <c r="Z5635" t="s">
        <v>31766</v>
      </c>
      <c r="AA5635">
        <v>0.70118806972416414</v>
      </c>
      <c r="AB5635" t="str">
        <f>HYPERLINK("Melting_Curves/meltCurve_Q9H6S3_2_EPS8L2.pdf", "Melting_Curves/meltCurve_Q9H6S3_2_EPS8L2.pdf")</f>
        <v>Melting_Curves/meltCurve_Q9H6S3_2_EPS8L2.pdf</v>
      </c>
    </row>
    <row r="5636" spans="1:28" x14ac:dyDescent="0.25">
      <c r="A5636" t="s">
        <v>5639</v>
      </c>
      <c r="B5636">
        <v>0.99930955844802105</v>
      </c>
      <c r="C5636">
        <v>0.85562113862452704</v>
      </c>
      <c r="D5636">
        <v>0.88112522911055702</v>
      </c>
      <c r="E5636">
        <v>0.63917045914132997</v>
      </c>
      <c r="F5636">
        <v>0.362716789701238</v>
      </c>
      <c r="G5636">
        <v>0.25019285475595199</v>
      </c>
      <c r="H5636">
        <v>0.168705299364204</v>
      </c>
      <c r="I5636">
        <v>0.15233671377754299</v>
      </c>
      <c r="J5636">
        <v>0.13853282383076701</v>
      </c>
      <c r="K5636">
        <v>0.11378224954855801</v>
      </c>
      <c r="L5636">
        <v>794.81672602705498</v>
      </c>
      <c r="M5636">
        <v>15.6869674782413</v>
      </c>
      <c r="N5636">
        <v>51.491723081399101</v>
      </c>
      <c r="O5636">
        <v>49.8653782742118</v>
      </c>
      <c r="P5636">
        <v>-6.9918981090300605E-2</v>
      </c>
      <c r="Q5636">
        <v>0.11104782977807599</v>
      </c>
      <c r="R5636">
        <v>0.98747384062052002</v>
      </c>
      <c r="S5636" t="s">
        <v>12252</v>
      </c>
      <c r="T5636" t="s">
        <v>13232</v>
      </c>
      <c r="U5636" t="s">
        <v>13232</v>
      </c>
      <c r="V5636" t="s">
        <v>13232</v>
      </c>
      <c r="W5636" t="s">
        <v>18798</v>
      </c>
      <c r="X5636">
        <v>27</v>
      </c>
      <c r="Y5636" t="s">
        <v>25188</v>
      </c>
      <c r="Z5636" t="s">
        <v>31767</v>
      </c>
      <c r="AA5636">
        <v>0.44636181598152991</v>
      </c>
      <c r="AB5636" t="str">
        <f>HYPERLINK("Melting_Curves/meltCurve_Q9H6T3_2_RPAP3.pdf", "Melting_Curves/meltCurve_Q9H6T3_2_RPAP3.pdf")</f>
        <v>Melting_Curves/meltCurve_Q9H6T3_2_RPAP3.pdf</v>
      </c>
    </row>
    <row r="5637" spans="1:28" x14ac:dyDescent="0.25">
      <c r="A5637" t="s">
        <v>5640</v>
      </c>
      <c r="B5637">
        <v>0.99930955844802105</v>
      </c>
      <c r="C5637">
        <v>0.93793301425139297</v>
      </c>
      <c r="D5637">
        <v>0.92020893236153301</v>
      </c>
      <c r="E5637">
        <v>0.87172382763489398</v>
      </c>
      <c r="F5637">
        <v>0.71670733385004104</v>
      </c>
      <c r="G5637">
        <v>0.320045389342894</v>
      </c>
      <c r="H5637">
        <v>0.14148951054992701</v>
      </c>
      <c r="I5637">
        <v>0.121612567170356</v>
      </c>
      <c r="J5637">
        <v>9.9659963575048194E-2</v>
      </c>
      <c r="K5637">
        <v>9.3450558304075601E-2</v>
      </c>
      <c r="L5637">
        <v>1215.6326288411201</v>
      </c>
      <c r="M5637">
        <v>22.2871313757603</v>
      </c>
      <c r="N5637">
        <v>54.9752862303054</v>
      </c>
      <c r="O5637">
        <v>54.110717592396803</v>
      </c>
      <c r="P5637">
        <v>-9.4715926562150596E-2</v>
      </c>
      <c r="Q5637">
        <v>8.0179865915258205E-2</v>
      </c>
      <c r="R5637">
        <v>0.99296674883746605</v>
      </c>
      <c r="S5637" t="s">
        <v>12253</v>
      </c>
      <c r="T5637" t="s">
        <v>13232</v>
      </c>
      <c r="U5637" t="s">
        <v>13232</v>
      </c>
      <c r="V5637" t="s">
        <v>13232</v>
      </c>
      <c r="W5637" t="s">
        <v>18799</v>
      </c>
      <c r="X5637">
        <v>9</v>
      </c>
      <c r="Y5637" t="s">
        <v>25189</v>
      </c>
      <c r="Z5637" t="s">
        <v>31768</v>
      </c>
      <c r="AA5637">
        <v>0.53650588903003049</v>
      </c>
      <c r="AB5637" t="str">
        <f>HYPERLINK("Melting_Curves/meltCurve_Q9H6U6_2_BCAS3.pdf", "Melting_Curves/meltCurve_Q9H6U6_2_BCAS3.pdf")</f>
        <v>Melting_Curves/meltCurve_Q9H6U6_2_BCAS3.pdf</v>
      </c>
    </row>
    <row r="5638" spans="1:28" x14ac:dyDescent="0.25">
      <c r="A5638" t="s">
        <v>5641</v>
      </c>
      <c r="B5638">
        <v>0.99930955844802105</v>
      </c>
      <c r="C5638">
        <v>0.96464629749693698</v>
      </c>
      <c r="D5638">
        <v>0.86783012881614796</v>
      </c>
      <c r="E5638">
        <v>0.87592789927678605</v>
      </c>
      <c r="F5638">
        <v>0.87942977951997603</v>
      </c>
      <c r="G5638">
        <v>0.502065488055502</v>
      </c>
      <c r="H5638">
        <v>0.19127947774427601</v>
      </c>
      <c r="I5638">
        <v>0.23799470480499901</v>
      </c>
      <c r="J5638">
        <v>0.204091477650403</v>
      </c>
      <c r="K5638">
        <v>0.171692732714843</v>
      </c>
      <c r="L5638">
        <v>1490.1517696128501</v>
      </c>
      <c r="M5638">
        <v>26.635952336169701</v>
      </c>
      <c r="N5638">
        <v>56.860429328578597</v>
      </c>
      <c r="O5638">
        <v>55.632643116687902</v>
      </c>
      <c r="P5638">
        <v>-9.8828458947253797E-2</v>
      </c>
      <c r="Q5638">
        <v>0.17434438725901999</v>
      </c>
      <c r="R5638">
        <v>0.97130240822496705</v>
      </c>
      <c r="S5638" t="s">
        <v>12254</v>
      </c>
      <c r="T5638" t="s">
        <v>13232</v>
      </c>
      <c r="U5638" t="s">
        <v>13232</v>
      </c>
      <c r="V5638" t="s">
        <v>13232</v>
      </c>
      <c r="W5638" t="s">
        <v>18800</v>
      </c>
      <c r="X5638">
        <v>2</v>
      </c>
      <c r="Y5638" t="s">
        <v>25190</v>
      </c>
      <c r="Z5638" t="s">
        <v>31769</v>
      </c>
      <c r="AA5638">
        <v>0.61999298990701779</v>
      </c>
      <c r="AB5638" t="str">
        <f>HYPERLINK("Melting_Curves/meltCurve_Q9H6V9_C2orf43.pdf", "Melting_Curves/meltCurve_Q9H6V9_C2orf43.pdf")</f>
        <v>Melting_Curves/meltCurve_Q9H6V9_C2orf43.pdf</v>
      </c>
    </row>
    <row r="5639" spans="1:28" x14ac:dyDescent="0.25">
      <c r="A5639" t="s">
        <v>5642</v>
      </c>
      <c r="B5639">
        <v>0.99930955844802105</v>
      </c>
      <c r="C5639">
        <v>0.84707678896533001</v>
      </c>
      <c r="D5639">
        <v>0.749283305708076</v>
      </c>
      <c r="E5639">
        <v>0.66334634555155103</v>
      </c>
      <c r="F5639">
        <v>0.58689331506309494</v>
      </c>
      <c r="G5639">
        <v>0.52018039260061799</v>
      </c>
      <c r="H5639">
        <v>0.52791375978460897</v>
      </c>
      <c r="I5639">
        <v>0.60884395709802597</v>
      </c>
      <c r="J5639">
        <v>0.64360696941238005</v>
      </c>
      <c r="K5639">
        <v>0.51645874913837697</v>
      </c>
      <c r="L5639">
        <v>798.16091253308105</v>
      </c>
      <c r="M5639">
        <v>17.662010563052501</v>
      </c>
      <c r="O5639">
        <v>44.623447880683699</v>
      </c>
      <c r="P5639">
        <v>-4.3227736103865398E-2</v>
      </c>
      <c r="Q5639">
        <v>0.56316002267470699</v>
      </c>
      <c r="R5639">
        <v>0.91742890317315995</v>
      </c>
      <c r="S5639" t="s">
        <v>12255</v>
      </c>
      <c r="T5639" t="s">
        <v>13232</v>
      </c>
      <c r="U5639" t="s">
        <v>13232</v>
      </c>
      <c r="V5639" t="s">
        <v>13232</v>
      </c>
      <c r="W5639" t="s">
        <v>18801</v>
      </c>
      <c r="X5639">
        <v>8</v>
      </c>
      <c r="Y5639" t="s">
        <v>25191</v>
      </c>
      <c r="Z5639" t="s">
        <v>31770</v>
      </c>
      <c r="AA5639">
        <v>0.64837621896981512</v>
      </c>
      <c r="AB5639" t="str">
        <f>HYPERLINK("Melting_Curves/meltCurve_Q9H6W3_NO66.pdf", "Melting_Curves/meltCurve_Q9H6W3_NO66.pdf")</f>
        <v>Melting_Curves/meltCurve_Q9H6W3_NO66.pdf</v>
      </c>
    </row>
    <row r="5640" spans="1:28" x14ac:dyDescent="0.25">
      <c r="A5640" t="s">
        <v>5643</v>
      </c>
      <c r="B5640">
        <v>0.99930955844802105</v>
      </c>
      <c r="C5640">
        <v>0.90214471248753103</v>
      </c>
      <c r="D5640">
        <v>0.79626825932954004</v>
      </c>
      <c r="E5640">
        <v>0.66026258910976099</v>
      </c>
      <c r="F5640">
        <v>0.46718612446737401</v>
      </c>
      <c r="G5640">
        <v>0.23344166259774701</v>
      </c>
      <c r="H5640">
        <v>0.13911798888526899</v>
      </c>
      <c r="I5640">
        <v>0.115569224130065</v>
      </c>
      <c r="J5640">
        <v>0.110586760950598</v>
      </c>
      <c r="K5640">
        <v>8.2046147184226398E-2</v>
      </c>
      <c r="L5640">
        <v>645.82027331581605</v>
      </c>
      <c r="M5640">
        <v>12.4825188712794</v>
      </c>
      <c r="N5640">
        <v>52.0552159223922</v>
      </c>
      <c r="O5640">
        <v>50.463940104820303</v>
      </c>
      <c r="P5640">
        <v>-5.9586269197076699E-2</v>
      </c>
      <c r="Q5640">
        <v>3.6625226804403797E-2</v>
      </c>
      <c r="R5640">
        <v>0.99412953385181901</v>
      </c>
      <c r="S5640" t="s">
        <v>12256</v>
      </c>
      <c r="T5640" t="s">
        <v>13232</v>
      </c>
      <c r="U5640" t="s">
        <v>13232</v>
      </c>
      <c r="V5640" t="s">
        <v>13232</v>
      </c>
      <c r="W5640" t="s">
        <v>18802</v>
      </c>
      <c r="X5640">
        <v>9</v>
      </c>
      <c r="Y5640" t="s">
        <v>25192</v>
      </c>
      <c r="Z5640" t="s">
        <v>31771</v>
      </c>
      <c r="AA5640">
        <v>0.44200859826876721</v>
      </c>
      <c r="AB5640" t="str">
        <f>HYPERLINK("Melting_Curves/meltCurve_Q9H6Y2_WDR55.pdf", "Melting_Curves/meltCurve_Q9H6Y2_WDR55.pdf")</f>
        <v>Melting_Curves/meltCurve_Q9H6Y2_WDR55.pdf</v>
      </c>
    </row>
    <row r="5641" spans="1:28" x14ac:dyDescent="0.25">
      <c r="A5641" t="s">
        <v>5644</v>
      </c>
      <c r="B5641">
        <v>0.99930955844802105</v>
      </c>
      <c r="C5641">
        <v>1.1070206240732099</v>
      </c>
      <c r="D5641">
        <v>1.04988998346883</v>
      </c>
      <c r="E5641">
        <v>1.0702425038424299</v>
      </c>
      <c r="F5641">
        <v>1.0104973687563401</v>
      </c>
      <c r="G5641">
        <v>0.91383369601062303</v>
      </c>
      <c r="H5641">
        <v>0.87840558355032206</v>
      </c>
      <c r="I5641">
        <v>0.78857497552268596</v>
      </c>
      <c r="J5641">
        <v>0.68621244971061601</v>
      </c>
      <c r="K5641">
        <v>0.47749372500508702</v>
      </c>
      <c r="L5641">
        <v>985.25225046141202</v>
      </c>
      <c r="M5641">
        <v>14.077104914582</v>
      </c>
      <c r="N5641">
        <v>69.989695989184298</v>
      </c>
      <c r="O5641">
        <v>68.622695388441798</v>
      </c>
      <c r="P5641">
        <v>-5.1291078448946599E-2</v>
      </c>
      <c r="Q5641">
        <v>0</v>
      </c>
      <c r="R5641">
        <v>0.932331143201374</v>
      </c>
      <c r="S5641" t="s">
        <v>12257</v>
      </c>
      <c r="T5641" t="s">
        <v>13232</v>
      </c>
      <c r="U5641" t="s">
        <v>13232</v>
      </c>
      <c r="V5641" t="s">
        <v>13232</v>
      </c>
      <c r="W5641" t="s">
        <v>18803</v>
      </c>
      <c r="X5641">
        <v>24</v>
      </c>
      <c r="Y5641" t="s">
        <v>25193</v>
      </c>
      <c r="Z5641" t="s">
        <v>31772</v>
      </c>
      <c r="AA5641">
        <v>0.90079831529172105</v>
      </c>
      <c r="AB5641" t="str">
        <f>HYPERLINK("Melting_Curves/meltCurve_Q9H6Z4_2_RANBP3.pdf", "Melting_Curves/meltCurve_Q9H6Z4_2_RANBP3.pdf")</f>
        <v>Melting_Curves/meltCurve_Q9H6Z4_2_RANBP3.pdf</v>
      </c>
    </row>
    <row r="5642" spans="1:28" x14ac:dyDescent="0.25">
      <c r="A5642" t="s">
        <v>5645</v>
      </c>
      <c r="B5642">
        <v>0.99930955844802105</v>
      </c>
      <c r="C5642">
        <v>1.09370066163141</v>
      </c>
      <c r="D5642">
        <v>1.0904969735828001</v>
      </c>
      <c r="E5642">
        <v>1.0234204528082</v>
      </c>
      <c r="F5642">
        <v>0.92300338542922999</v>
      </c>
      <c r="G5642">
        <v>0.66517340774533396</v>
      </c>
      <c r="H5642">
        <v>0.46682685339235902</v>
      </c>
      <c r="I5642">
        <v>0.33280956261828099</v>
      </c>
      <c r="J5642">
        <v>0.25945077575708198</v>
      </c>
      <c r="K5642">
        <v>0.16351143376334501</v>
      </c>
      <c r="L5642">
        <v>1094.8577497710501</v>
      </c>
      <c r="M5642">
        <v>18.556420868962299</v>
      </c>
      <c r="N5642">
        <v>60.197319301207401</v>
      </c>
      <c r="O5642">
        <v>58.329166491410803</v>
      </c>
      <c r="P5642">
        <v>-6.7276095348177203E-2</v>
      </c>
      <c r="Q5642">
        <v>0.1541502556646</v>
      </c>
      <c r="R5642">
        <v>0.97947237792174302</v>
      </c>
      <c r="S5642" t="s">
        <v>12258</v>
      </c>
      <c r="T5642" t="s">
        <v>13232</v>
      </c>
      <c r="U5642" t="s">
        <v>13232</v>
      </c>
      <c r="V5642" t="s">
        <v>13232</v>
      </c>
      <c r="W5642" t="s">
        <v>18804</v>
      </c>
      <c r="X5642">
        <v>10</v>
      </c>
      <c r="Y5642" t="s">
        <v>25194</v>
      </c>
      <c r="Z5642" t="s">
        <v>31773</v>
      </c>
      <c r="AA5642">
        <v>0.69875460683040258</v>
      </c>
      <c r="AB5642" t="str">
        <f>HYPERLINK("Melting_Curves/meltCurve_Q9H773_DCTPP1.pdf", "Melting_Curves/meltCurve_Q9H773_DCTPP1.pdf")</f>
        <v>Melting_Curves/meltCurve_Q9H773_DCTPP1.pdf</v>
      </c>
    </row>
    <row r="5643" spans="1:28" x14ac:dyDescent="0.25">
      <c r="A5643" t="s">
        <v>5646</v>
      </c>
      <c r="B5643">
        <v>0.99930955844802105</v>
      </c>
      <c r="C5643">
        <v>1.22183684711176</v>
      </c>
      <c r="D5643">
        <v>0.95479264958434595</v>
      </c>
      <c r="E5643">
        <v>0.88247905228369705</v>
      </c>
      <c r="F5643">
        <v>1.01057834082525</v>
      </c>
      <c r="G5643">
        <v>0.62017559955922696</v>
      </c>
      <c r="H5643">
        <v>0.55958557981753898</v>
      </c>
      <c r="I5643">
        <v>0.52036453756724099</v>
      </c>
      <c r="J5643">
        <v>0.42988765502237097</v>
      </c>
      <c r="K5643">
        <v>0.25517803363941999</v>
      </c>
      <c r="L5643">
        <v>744.509290919411</v>
      </c>
      <c r="M5643">
        <v>12.3367789602672</v>
      </c>
      <c r="N5643">
        <v>62.853858616300101</v>
      </c>
      <c r="O5643">
        <v>58.8288281349583</v>
      </c>
      <c r="P5643">
        <v>-4.2254176141655497E-2</v>
      </c>
      <c r="Q5643">
        <v>0.194206033455953</v>
      </c>
      <c r="R5643">
        <v>0.88676067597772901</v>
      </c>
      <c r="S5643" t="s">
        <v>12259</v>
      </c>
      <c r="T5643" t="s">
        <v>13232</v>
      </c>
      <c r="U5643" t="s">
        <v>13232</v>
      </c>
      <c r="V5643" t="s">
        <v>13232</v>
      </c>
      <c r="W5643" t="s">
        <v>18805</v>
      </c>
      <c r="X5643">
        <v>4</v>
      </c>
      <c r="Y5643" t="s">
        <v>25195</v>
      </c>
      <c r="Z5643" t="s">
        <v>31774</v>
      </c>
      <c r="AA5643">
        <v>0.74164142349335938</v>
      </c>
      <c r="AB5643" t="str">
        <f>HYPERLINK("Melting_Curves/meltCurve_Q9H777_ELAC1.pdf", "Melting_Curves/meltCurve_Q9H777_ELAC1.pdf")</f>
        <v>Melting_Curves/meltCurve_Q9H777_ELAC1.pdf</v>
      </c>
    </row>
    <row r="5644" spans="1:28" x14ac:dyDescent="0.25">
      <c r="A5644" t="s">
        <v>5647</v>
      </c>
      <c r="B5644">
        <v>0.99930955844802105</v>
      </c>
      <c r="C5644">
        <v>0.68599271801527295</v>
      </c>
      <c r="D5644">
        <v>0.28702249632835403</v>
      </c>
      <c r="E5644">
        <v>0.222065250029891</v>
      </c>
      <c r="F5644">
        <v>0.14574389428457199</v>
      </c>
      <c r="G5644">
        <v>0.118311549169408</v>
      </c>
      <c r="H5644">
        <v>8.6757034770997499E-2</v>
      </c>
      <c r="I5644">
        <v>7.9298515877261097E-2</v>
      </c>
      <c r="J5644">
        <v>8.6687109739767301E-2</v>
      </c>
      <c r="K5644">
        <v>6.3750791658558195E-2</v>
      </c>
      <c r="L5644">
        <v>1222.54050048408</v>
      </c>
      <c r="M5644">
        <v>27.822750666185499</v>
      </c>
      <c r="N5644">
        <v>44.321223247381297</v>
      </c>
      <c r="O5644">
        <v>43.715202875491698</v>
      </c>
      <c r="P5644">
        <v>-0.14219490193071699</v>
      </c>
      <c r="Q5644">
        <v>0.106339351180418</v>
      </c>
      <c r="R5644">
        <v>0.98289990767673896</v>
      </c>
      <c r="S5644" t="s">
        <v>12260</v>
      </c>
      <c r="T5644" t="s">
        <v>13232</v>
      </c>
      <c r="U5644" t="s">
        <v>13232</v>
      </c>
      <c r="V5644" t="s">
        <v>13232</v>
      </c>
      <c r="W5644" t="s">
        <v>18806</v>
      </c>
      <c r="X5644">
        <v>3</v>
      </c>
      <c r="Y5644" t="s">
        <v>25196</v>
      </c>
      <c r="Z5644" t="s">
        <v>31775</v>
      </c>
      <c r="AA5644">
        <v>0.23166813836615949</v>
      </c>
      <c r="AB5644" t="str">
        <f>HYPERLINK("Melting_Curves/meltCurve_Q9H7B4_SMYD3.pdf", "Melting_Curves/meltCurve_Q9H7B4_SMYD3.pdf")</f>
        <v>Melting_Curves/meltCurve_Q9H7B4_SMYD3.pdf</v>
      </c>
    </row>
    <row r="5645" spans="1:28" x14ac:dyDescent="0.25">
      <c r="A5645" t="s">
        <v>5648</v>
      </c>
      <c r="B5645">
        <v>0.99930955844802105</v>
      </c>
      <c r="C5645">
        <v>1.1140849415824301</v>
      </c>
      <c r="D5645">
        <v>1.1128495597967401</v>
      </c>
      <c r="E5645">
        <v>1.0077117599032399</v>
      </c>
      <c r="F5645">
        <v>0.83427790883524999</v>
      </c>
      <c r="G5645">
        <v>0.72779440967166498</v>
      </c>
      <c r="H5645">
        <v>0.65966949253876395</v>
      </c>
      <c r="I5645">
        <v>0.66607594279066895</v>
      </c>
      <c r="J5645">
        <v>0.60631873194280805</v>
      </c>
      <c r="K5645">
        <v>0.49005519813648102</v>
      </c>
      <c r="L5645">
        <v>1024.0160350587701</v>
      </c>
      <c r="M5645">
        <v>18.278432110618201</v>
      </c>
      <c r="O5645">
        <v>55.365538235022697</v>
      </c>
      <c r="P5645">
        <v>-3.6237210193134597E-2</v>
      </c>
      <c r="Q5645">
        <v>0.56096902596185805</v>
      </c>
      <c r="R5645">
        <v>0.89958435135536197</v>
      </c>
      <c r="S5645" t="s">
        <v>12261</v>
      </c>
      <c r="T5645" t="s">
        <v>13232</v>
      </c>
      <c r="U5645" t="s">
        <v>13232</v>
      </c>
      <c r="V5645" t="s">
        <v>13232</v>
      </c>
      <c r="W5645" t="s">
        <v>18807</v>
      </c>
      <c r="X5645">
        <v>8</v>
      </c>
      <c r="Y5645" t="s">
        <v>25197</v>
      </c>
      <c r="Z5645" t="s">
        <v>31776</v>
      </c>
      <c r="AA5645">
        <v>0.80179956685702392</v>
      </c>
      <c r="AB5645" t="str">
        <f>HYPERLINK("Melting_Curves/meltCurve_Q9H7C9_AAMDC.pdf", "Melting_Curves/meltCurve_Q9H7C9_AAMDC.pdf")</f>
        <v>Melting_Curves/meltCurve_Q9H7C9_AAMDC.pdf</v>
      </c>
    </row>
    <row r="5646" spans="1:28" x14ac:dyDescent="0.25">
      <c r="A5646" t="s">
        <v>5649</v>
      </c>
      <c r="B5646">
        <v>0.99930955844802105</v>
      </c>
      <c r="C5646">
        <v>0.54592110751436196</v>
      </c>
      <c r="D5646">
        <v>0.60507636425895595</v>
      </c>
      <c r="E5646">
        <v>0.660548236295039</v>
      </c>
      <c r="F5646">
        <v>0.49739503213420599</v>
      </c>
      <c r="G5646">
        <v>0.21116591570371501</v>
      </c>
      <c r="H5646">
        <v>8.7310403433706704E-2</v>
      </c>
      <c r="I5646">
        <v>6.6020181932794797E-2</v>
      </c>
      <c r="J5646">
        <v>5.5279201355427798E-2</v>
      </c>
      <c r="K5646">
        <v>3.9439280704298502E-2</v>
      </c>
      <c r="L5646">
        <v>418.85143558700099</v>
      </c>
      <c r="M5646">
        <v>8.4436637797934999</v>
      </c>
      <c r="N5646">
        <v>49.605413837065498</v>
      </c>
      <c r="O5646">
        <v>47.057438452469299</v>
      </c>
      <c r="P5646">
        <v>-4.4899750008580201E-2</v>
      </c>
      <c r="Q5646">
        <v>0</v>
      </c>
      <c r="R5646">
        <v>0.85839553600928598</v>
      </c>
      <c r="S5646" t="s">
        <v>12262</v>
      </c>
      <c r="T5646" t="s">
        <v>13232</v>
      </c>
      <c r="U5646" t="s">
        <v>13232</v>
      </c>
      <c r="V5646" t="s">
        <v>13232</v>
      </c>
      <c r="W5646" t="s">
        <v>18808</v>
      </c>
      <c r="X5646">
        <v>11</v>
      </c>
      <c r="Y5646" t="s">
        <v>25198</v>
      </c>
      <c r="Z5646" t="s">
        <v>31777</v>
      </c>
      <c r="AA5646">
        <v>0.37845195397674419</v>
      </c>
      <c r="AB5646" t="str">
        <f>HYPERLINK("Melting_Curves/meltCurve_Q9H7D7_2_WDR26.pdf", "Melting_Curves/meltCurve_Q9H7D7_2_WDR26.pdf")</f>
        <v>Melting_Curves/meltCurve_Q9H7D7_2_WDR26.pdf</v>
      </c>
    </row>
    <row r="5647" spans="1:28" x14ac:dyDescent="0.25">
      <c r="A5647" t="s">
        <v>5650</v>
      </c>
      <c r="B5647">
        <v>0.99930955844802105</v>
      </c>
      <c r="C5647">
        <v>1.0979253966759699</v>
      </c>
      <c r="D5647">
        <v>1.0798150406845199</v>
      </c>
      <c r="E5647">
        <v>1.0229974617528701</v>
      </c>
      <c r="F5647">
        <v>0.92559669853179805</v>
      </c>
      <c r="G5647">
        <v>0.76404995810765097</v>
      </c>
      <c r="H5647">
        <v>0.73418059021950299</v>
      </c>
      <c r="I5647">
        <v>0.81570524162810398</v>
      </c>
      <c r="J5647">
        <v>0.83994105609318004</v>
      </c>
      <c r="K5647">
        <v>0.65743485379865196</v>
      </c>
      <c r="L5647">
        <v>13291.6738673031</v>
      </c>
      <c r="M5647">
        <v>250</v>
      </c>
      <c r="O5647">
        <v>53.163288155174897</v>
      </c>
      <c r="P5647">
        <v>-0.27948990853090599</v>
      </c>
      <c r="Q5647">
        <v>0.762262337195588</v>
      </c>
      <c r="R5647">
        <v>0.82495316086216497</v>
      </c>
      <c r="S5647" t="s">
        <v>12263</v>
      </c>
      <c r="T5647" t="s">
        <v>13232</v>
      </c>
      <c r="U5647" t="s">
        <v>13232</v>
      </c>
      <c r="V5647" t="s">
        <v>13232</v>
      </c>
      <c r="W5647" t="s">
        <v>18809</v>
      </c>
      <c r="X5647">
        <v>22</v>
      </c>
      <c r="Y5647" t="s">
        <v>25199</v>
      </c>
      <c r="Z5647" t="s">
        <v>31778</v>
      </c>
      <c r="AA5647">
        <v>0.8666251666414595</v>
      </c>
      <c r="AB5647" t="str">
        <f>HYPERLINK("Melting_Curves/meltCurve_Q9H7E2_3_TDRD3.pdf", "Melting_Curves/meltCurve_Q9H7E2_3_TDRD3.pdf")</f>
        <v>Melting_Curves/meltCurve_Q9H7E2_3_TDRD3.pdf</v>
      </c>
    </row>
    <row r="5648" spans="1:28" x14ac:dyDescent="0.25">
      <c r="A5648" t="s">
        <v>5651</v>
      </c>
      <c r="B5648">
        <v>0.99930955844802105</v>
      </c>
      <c r="C5648">
        <v>0.74983242491326596</v>
      </c>
      <c r="D5648">
        <v>0.62909992079356003</v>
      </c>
      <c r="E5648">
        <v>0.52648407120498797</v>
      </c>
      <c r="F5648">
        <v>0.36222007148811902</v>
      </c>
      <c r="G5648">
        <v>0.22684946675248299</v>
      </c>
      <c r="H5648">
        <v>0.17026486352585599</v>
      </c>
      <c r="I5648">
        <v>0.16373895565015201</v>
      </c>
      <c r="J5648">
        <v>0.16360748127399699</v>
      </c>
      <c r="K5648">
        <v>0.130747754959707</v>
      </c>
      <c r="L5648">
        <v>508.30738736124601</v>
      </c>
      <c r="M5648">
        <v>10.518118389923799</v>
      </c>
      <c r="N5648">
        <v>49.363500320484498</v>
      </c>
      <c r="O5648">
        <v>46.677996866104998</v>
      </c>
      <c r="P5648">
        <v>-5.0771288348856899E-2</v>
      </c>
      <c r="Q5648">
        <v>9.9096278824855305E-2</v>
      </c>
      <c r="R5648">
        <v>0.97824285117068899</v>
      </c>
      <c r="S5648" t="s">
        <v>12264</v>
      </c>
      <c r="T5648" t="s">
        <v>13232</v>
      </c>
      <c r="U5648" t="s">
        <v>13232</v>
      </c>
      <c r="V5648" t="s">
        <v>13232</v>
      </c>
      <c r="W5648" t="s">
        <v>18810</v>
      </c>
      <c r="X5648">
        <v>5</v>
      </c>
      <c r="Y5648" t="s">
        <v>25200</v>
      </c>
      <c r="Z5648" t="s">
        <v>31779</v>
      </c>
      <c r="AA5648">
        <v>0.39213087963638649</v>
      </c>
      <c r="AB5648" t="str">
        <f>HYPERLINK("Melting_Curves/meltCurve_Q9H7E9_C8orf33.pdf", "Melting_Curves/meltCurve_Q9H7E9_C8orf33.pdf")</f>
        <v>Melting_Curves/meltCurve_Q9H7E9_C8orf33.pdf</v>
      </c>
    </row>
    <row r="5649" spans="1:28" x14ac:dyDescent="0.25">
      <c r="A5649" t="s">
        <v>5652</v>
      </c>
      <c r="B5649">
        <v>0.99930955844802105</v>
      </c>
      <c r="C5649">
        <v>1.0417134957255101</v>
      </c>
      <c r="D5649">
        <v>1.0623732659254099</v>
      </c>
      <c r="E5649">
        <v>0.935660932814672</v>
      </c>
      <c r="F5649">
        <v>0.56636262262741099</v>
      </c>
      <c r="G5649">
        <v>0.38487899903555101</v>
      </c>
      <c r="H5649">
        <v>0.31128597761692101</v>
      </c>
      <c r="I5649">
        <v>0.30557140801619398</v>
      </c>
      <c r="J5649">
        <v>0.28926955349972999</v>
      </c>
      <c r="K5649">
        <v>0.24400706514224299</v>
      </c>
      <c r="L5649">
        <v>2071.38027980992</v>
      </c>
      <c r="M5649">
        <v>39.443935111686002</v>
      </c>
      <c r="N5649">
        <v>53.749234603257896</v>
      </c>
      <c r="O5649">
        <v>52.380107762269901</v>
      </c>
      <c r="P5649">
        <v>-0.13216747374082999</v>
      </c>
      <c r="Q5649">
        <v>0.29794721572320498</v>
      </c>
      <c r="R5649">
        <v>0.98824293549506603</v>
      </c>
      <c r="S5649" t="s">
        <v>12265</v>
      </c>
      <c r="T5649" t="s">
        <v>13232</v>
      </c>
      <c r="U5649" t="s">
        <v>13232</v>
      </c>
      <c r="V5649" t="s">
        <v>13232</v>
      </c>
      <c r="W5649" t="s">
        <v>18811</v>
      </c>
      <c r="X5649">
        <v>10</v>
      </c>
      <c r="Y5649" t="s">
        <v>25201</v>
      </c>
      <c r="Z5649" t="s">
        <v>31780</v>
      </c>
      <c r="AA5649">
        <v>0.59342871679329601</v>
      </c>
      <c r="AB5649" t="str">
        <f>HYPERLINK("Melting_Curves/meltCurve_Q9H7L9_SUDS3.pdf", "Melting_Curves/meltCurve_Q9H7L9_SUDS3.pdf")</f>
        <v>Melting_Curves/meltCurve_Q9H7L9_SUDS3.pdf</v>
      </c>
    </row>
    <row r="5650" spans="1:28" x14ac:dyDescent="0.25">
      <c r="A5650" t="s">
        <v>5653</v>
      </c>
      <c r="B5650">
        <v>0.99930955844802105</v>
      </c>
      <c r="C5650">
        <v>1.0024946907995</v>
      </c>
      <c r="D5650">
        <v>0.98468798406730496</v>
      </c>
      <c r="E5650">
        <v>0.95319583041556999</v>
      </c>
      <c r="F5650">
        <v>0.81846802409372899</v>
      </c>
      <c r="G5650">
        <v>0.73874640036295702</v>
      </c>
      <c r="H5650">
        <v>0.69042715384063702</v>
      </c>
      <c r="I5650">
        <v>0.72566160985438</v>
      </c>
      <c r="J5650">
        <v>0.73030916283806602</v>
      </c>
      <c r="K5650">
        <v>0.59075998013550401</v>
      </c>
      <c r="L5650">
        <v>1167.5767624714599</v>
      </c>
      <c r="M5650">
        <v>22.027002321601401</v>
      </c>
      <c r="O5650">
        <v>52.575526048747797</v>
      </c>
      <c r="P5650">
        <v>-3.3885074813746099E-2</v>
      </c>
      <c r="Q5650">
        <v>0.67649051852960596</v>
      </c>
      <c r="R5650">
        <v>0.93667464992317595</v>
      </c>
      <c r="S5650" t="s">
        <v>12266</v>
      </c>
      <c r="T5650" t="s">
        <v>13232</v>
      </c>
      <c r="U5650" t="s">
        <v>13232</v>
      </c>
      <c r="V5650" t="s">
        <v>13232</v>
      </c>
      <c r="W5650" t="s">
        <v>18812</v>
      </c>
      <c r="X5650">
        <v>20</v>
      </c>
      <c r="Y5650" t="s">
        <v>25202</v>
      </c>
      <c r="Z5650" t="s">
        <v>31781</v>
      </c>
      <c r="AA5650">
        <v>0.8205072808506908</v>
      </c>
      <c r="AB5650" t="str">
        <f>HYPERLINK("Melting_Curves/meltCurve_Q9H7N4_SCAF1.pdf", "Melting_Curves/meltCurve_Q9H7N4_SCAF1.pdf")</f>
        <v>Melting_Curves/meltCurve_Q9H7N4_SCAF1.pdf</v>
      </c>
    </row>
    <row r="5651" spans="1:28" x14ac:dyDescent="0.25">
      <c r="A5651" t="s">
        <v>5654</v>
      </c>
      <c r="B5651">
        <v>0.99930955844802105</v>
      </c>
      <c r="C5651">
        <v>1.1210413087458999</v>
      </c>
      <c r="D5651">
        <v>1.1282084438315001</v>
      </c>
      <c r="E5651">
        <v>1.03872883848333</v>
      </c>
      <c r="F5651">
        <v>0.92428667800890796</v>
      </c>
      <c r="G5651">
        <v>0.69988795402573101</v>
      </c>
      <c r="H5651">
        <v>0.50751892408346899</v>
      </c>
      <c r="I5651">
        <v>0.51056484807463698</v>
      </c>
      <c r="J5651">
        <v>0.48924065401735001</v>
      </c>
      <c r="K5651">
        <v>0.39561227943439398</v>
      </c>
      <c r="L5651">
        <v>1638.3709071020801</v>
      </c>
      <c r="M5651">
        <v>28.9143332909691</v>
      </c>
      <c r="N5651">
        <v>61.694712248639298</v>
      </c>
      <c r="O5651">
        <v>56.393972665885101</v>
      </c>
      <c r="P5651">
        <v>-7.0152656058837096E-2</v>
      </c>
      <c r="Q5651">
        <v>0.452706439574729</v>
      </c>
      <c r="R5651">
        <v>0.947449316617618</v>
      </c>
      <c r="S5651" t="s">
        <v>12267</v>
      </c>
      <c r="T5651" t="s">
        <v>13232</v>
      </c>
      <c r="U5651" t="s">
        <v>13232</v>
      </c>
      <c r="V5651" t="s">
        <v>13232</v>
      </c>
      <c r="W5651" t="s">
        <v>18813</v>
      </c>
      <c r="X5651">
        <v>5</v>
      </c>
      <c r="Y5651" t="s">
        <v>25203</v>
      </c>
      <c r="Z5651" t="s">
        <v>31782</v>
      </c>
      <c r="AA5651">
        <v>0.76058568823007966</v>
      </c>
      <c r="AB5651" t="str">
        <f>HYPERLINK("Melting_Curves/meltCurve_Q9H7P9_PLEKHG2.pdf", "Melting_Curves/meltCurve_Q9H7P9_PLEKHG2.pdf")</f>
        <v>Melting_Curves/meltCurve_Q9H7P9_PLEKHG2.pdf</v>
      </c>
    </row>
    <row r="5652" spans="1:28" x14ac:dyDescent="0.25">
      <c r="A5652" t="s">
        <v>5655</v>
      </c>
      <c r="B5652">
        <v>0.99930955844802105</v>
      </c>
      <c r="C5652">
        <v>1.13650725247599</v>
      </c>
      <c r="D5652">
        <v>1.2384683392931499</v>
      </c>
      <c r="E5652">
        <v>1.17099574236683</v>
      </c>
      <c r="F5652">
        <v>0.73626097675487201</v>
      </c>
      <c r="G5652">
        <v>0.207966398921998</v>
      </c>
      <c r="H5652">
        <v>6.2820980469651497E-2</v>
      </c>
      <c r="I5652">
        <v>3.2350145924101403E-2</v>
      </c>
      <c r="J5652">
        <v>2.4966807253125702E-2</v>
      </c>
      <c r="K5652">
        <v>1.4825878499514E-2</v>
      </c>
      <c r="L5652">
        <v>2235.6323403844299</v>
      </c>
      <c r="M5652">
        <v>40.944440719101202</v>
      </c>
      <c r="N5652">
        <v>54.6958265085105</v>
      </c>
      <c r="O5652">
        <v>54.471848886768903</v>
      </c>
      <c r="P5652">
        <v>-0.18151742434339199</v>
      </c>
      <c r="Q5652">
        <v>3.4050021838044502E-2</v>
      </c>
      <c r="R5652">
        <v>0.95556704744193099</v>
      </c>
      <c r="S5652" t="s">
        <v>12268</v>
      </c>
      <c r="T5652" t="s">
        <v>13232</v>
      </c>
      <c r="U5652" t="s">
        <v>13232</v>
      </c>
      <c r="V5652" t="s">
        <v>13232</v>
      </c>
      <c r="W5652" t="s">
        <v>18814</v>
      </c>
      <c r="X5652">
        <v>2</v>
      </c>
      <c r="Y5652" t="s">
        <v>25204</v>
      </c>
      <c r="Z5652" t="s">
        <v>31783</v>
      </c>
      <c r="AA5652">
        <v>0.50766729118893439</v>
      </c>
      <c r="AB5652" t="str">
        <f>HYPERLINK("Melting_Curves/meltCurve_Q9H7R5_2_ZNF665.pdf", "Melting_Curves/meltCurve_Q9H7R5_2_ZNF665.pdf")</f>
        <v>Melting_Curves/meltCurve_Q9H7R5_2_ZNF665.pdf</v>
      </c>
    </row>
    <row r="5653" spans="1:28" x14ac:dyDescent="0.25">
      <c r="A5653" t="s">
        <v>5656</v>
      </c>
      <c r="B5653">
        <v>0.99930955844802105</v>
      </c>
      <c r="C5653">
        <v>0.95773387110232699</v>
      </c>
      <c r="D5653">
        <v>0.97307057952452702</v>
      </c>
      <c r="E5653">
        <v>0.87804096665579801</v>
      </c>
      <c r="F5653">
        <v>0.76374208165194601</v>
      </c>
      <c r="G5653">
        <v>0.71138795210535499</v>
      </c>
      <c r="H5653">
        <v>0.66849046863523198</v>
      </c>
      <c r="I5653">
        <v>0.71063363665813895</v>
      </c>
      <c r="J5653">
        <v>0.64837163216375904</v>
      </c>
      <c r="K5653">
        <v>0.51037513803664802</v>
      </c>
      <c r="L5653">
        <v>475.70388994507903</v>
      </c>
      <c r="M5653">
        <v>8.5212832758682904</v>
      </c>
      <c r="O5653">
        <v>53.005636587138802</v>
      </c>
      <c r="P5653">
        <v>-1.96076972030871E-2</v>
      </c>
      <c r="Q5653">
        <v>0.51256571541184204</v>
      </c>
      <c r="R5653">
        <v>0.92480991744721597</v>
      </c>
      <c r="S5653" t="s">
        <v>12269</v>
      </c>
      <c r="T5653" t="s">
        <v>13232</v>
      </c>
      <c r="U5653" t="s">
        <v>13232</v>
      </c>
      <c r="V5653" t="s">
        <v>13232</v>
      </c>
      <c r="W5653" t="s">
        <v>18815</v>
      </c>
      <c r="X5653">
        <v>2</v>
      </c>
      <c r="Y5653" t="s">
        <v>25205</v>
      </c>
      <c r="Z5653" t="s">
        <v>31784</v>
      </c>
      <c r="AA5653">
        <v>0.78022336657201563</v>
      </c>
      <c r="AB5653" t="str">
        <f>HYPERLINK("Melting_Curves/meltCurve_Q9H7U1_2_CCSER2.pdf", "Melting_Curves/meltCurve_Q9H7U1_2_CCSER2.pdf")</f>
        <v>Melting_Curves/meltCurve_Q9H7U1_2_CCSER2.pdf</v>
      </c>
    </row>
    <row r="5654" spans="1:28" x14ac:dyDescent="0.25">
      <c r="A5654" t="s">
        <v>5657</v>
      </c>
      <c r="B5654">
        <v>0.99930955844802105</v>
      </c>
      <c r="C5654">
        <v>1.05322801692071</v>
      </c>
      <c r="D5654">
        <v>1.04587414260728</v>
      </c>
      <c r="E5654">
        <v>1.0094734574303801</v>
      </c>
      <c r="F5654">
        <v>0.92923003800998205</v>
      </c>
      <c r="G5654">
        <v>0.80638999072397299</v>
      </c>
      <c r="H5654">
        <v>0.74458835757994102</v>
      </c>
      <c r="I5654">
        <v>0.72589190916900903</v>
      </c>
      <c r="J5654">
        <v>0.72051010385262104</v>
      </c>
      <c r="K5654">
        <v>0.53147018084694597</v>
      </c>
      <c r="L5654">
        <v>653.36121048989401</v>
      </c>
      <c r="M5654">
        <v>10.3738208918196</v>
      </c>
      <c r="O5654">
        <v>60.776157638293199</v>
      </c>
      <c r="P5654">
        <v>-2.35593884103403E-2</v>
      </c>
      <c r="Q5654">
        <v>0.44813227260639898</v>
      </c>
      <c r="R5654">
        <v>0.91827578988788305</v>
      </c>
      <c r="S5654" t="s">
        <v>12270</v>
      </c>
      <c r="T5654" t="s">
        <v>13232</v>
      </c>
      <c r="U5654" t="s">
        <v>13232</v>
      </c>
      <c r="V5654" t="s">
        <v>13232</v>
      </c>
      <c r="W5654" t="s">
        <v>18816</v>
      </c>
      <c r="X5654">
        <v>5</v>
      </c>
      <c r="Y5654" t="s">
        <v>25206</v>
      </c>
      <c r="Z5654" t="s">
        <v>31785</v>
      </c>
      <c r="AA5654">
        <v>0.85515877774586491</v>
      </c>
      <c r="AB5654" t="str">
        <f>HYPERLINK("Melting_Curves/meltCurve_Q9H7X3_ZNF696.pdf", "Melting_Curves/meltCurve_Q9H7X3_ZNF696.pdf")</f>
        <v>Melting_Curves/meltCurve_Q9H7X3_ZNF696.pdf</v>
      </c>
    </row>
    <row r="5655" spans="1:28" x14ac:dyDescent="0.25">
      <c r="A5655" t="s">
        <v>5658</v>
      </c>
      <c r="B5655">
        <v>0.99930955844802105</v>
      </c>
      <c r="C5655">
        <v>0.93738426554253895</v>
      </c>
      <c r="D5655">
        <v>0.84312075352209304</v>
      </c>
      <c r="E5655">
        <v>0.71838047506279001</v>
      </c>
      <c r="F5655">
        <v>0.59421987757280603</v>
      </c>
      <c r="G5655">
        <v>0.47491398874346302</v>
      </c>
      <c r="H5655">
        <v>0.43021608241806802</v>
      </c>
      <c r="I5655">
        <v>0.46403580314918702</v>
      </c>
      <c r="J5655">
        <v>0.44507049636732299</v>
      </c>
      <c r="K5655">
        <v>0.35957273302461901</v>
      </c>
      <c r="L5655">
        <v>658.59396124911996</v>
      </c>
      <c r="M5655">
        <v>13.124528024224301</v>
      </c>
      <c r="N5655">
        <v>56.747705412325899</v>
      </c>
      <c r="O5655">
        <v>49.058301442202499</v>
      </c>
      <c r="P5655">
        <v>-4.0770256268539903E-2</v>
      </c>
      <c r="Q5655">
        <v>0.39052159568671901</v>
      </c>
      <c r="R5655">
        <v>0.98711177450722698</v>
      </c>
      <c r="S5655" t="s">
        <v>12271</v>
      </c>
      <c r="T5655" t="s">
        <v>13232</v>
      </c>
      <c r="U5655" t="s">
        <v>13232</v>
      </c>
      <c r="V5655" t="s">
        <v>13232</v>
      </c>
      <c r="W5655" t="s">
        <v>18817</v>
      </c>
      <c r="X5655">
        <v>16</v>
      </c>
      <c r="Y5655" t="s">
        <v>25207</v>
      </c>
      <c r="Z5655" t="s">
        <v>31786</v>
      </c>
      <c r="AA5655">
        <v>0.6154585400247381</v>
      </c>
      <c r="AB5655" t="str">
        <f>HYPERLINK("Melting_Curves/meltCurve_Q9H7Z6_KAT8.pdf", "Melting_Curves/meltCurve_Q9H7Z6_KAT8.pdf")</f>
        <v>Melting_Curves/meltCurve_Q9H7Z6_KAT8.pdf</v>
      </c>
    </row>
    <row r="5656" spans="1:28" x14ac:dyDescent="0.25">
      <c r="A5656" t="s">
        <v>5659</v>
      </c>
      <c r="B5656">
        <v>0.99930955844802105</v>
      </c>
      <c r="C5656">
        <v>0.88475681967918196</v>
      </c>
      <c r="D5656">
        <v>0.76421332697991695</v>
      </c>
      <c r="E5656">
        <v>0.53605374771501002</v>
      </c>
      <c r="F5656">
        <v>0.25209180303516898</v>
      </c>
      <c r="G5656">
        <v>0.16123383106279801</v>
      </c>
      <c r="H5656">
        <v>0.104601635844275</v>
      </c>
      <c r="I5656">
        <v>8.3321259458481303E-2</v>
      </c>
      <c r="J5656">
        <v>8.0668596891916702E-2</v>
      </c>
      <c r="K5656">
        <v>5.9880664967252001E-2</v>
      </c>
      <c r="L5656">
        <v>766.54882390591695</v>
      </c>
      <c r="M5656">
        <v>15.508328127413201</v>
      </c>
      <c r="N5656">
        <v>49.795089982945299</v>
      </c>
      <c r="O5656">
        <v>48.628229437026597</v>
      </c>
      <c r="P5656">
        <v>-7.5431270452065505E-2</v>
      </c>
      <c r="Q5656">
        <v>5.3988630588526799E-2</v>
      </c>
      <c r="R5656">
        <v>0.99447059836875595</v>
      </c>
      <c r="S5656" t="s">
        <v>12272</v>
      </c>
      <c r="T5656" t="s">
        <v>13232</v>
      </c>
      <c r="U5656" t="s">
        <v>13232</v>
      </c>
      <c r="V5656" t="s">
        <v>13232</v>
      </c>
      <c r="W5656" t="s">
        <v>18818</v>
      </c>
      <c r="X5656">
        <v>7</v>
      </c>
      <c r="Y5656" t="s">
        <v>25208</v>
      </c>
      <c r="Z5656" t="s">
        <v>31787</v>
      </c>
      <c r="AA5656">
        <v>0.37291406434370861</v>
      </c>
      <c r="AB5656" t="str">
        <f>HYPERLINK("Melting_Curves/meltCurve_Q9H7Z7_PTGES2.pdf", "Melting_Curves/meltCurve_Q9H7Z7_PTGES2.pdf")</f>
        <v>Melting_Curves/meltCurve_Q9H7Z7_PTGES2.pdf</v>
      </c>
    </row>
    <row r="5657" spans="1:28" x14ac:dyDescent="0.25">
      <c r="A5657" t="s">
        <v>5660</v>
      </c>
      <c r="B5657">
        <v>0.99930955844802105</v>
      </c>
      <c r="C5657">
        <v>0.92670930276843799</v>
      </c>
      <c r="D5657">
        <v>0.91382920805172796</v>
      </c>
      <c r="E5657">
        <v>0.94181820374059</v>
      </c>
      <c r="F5657">
        <v>0.81444852871450502</v>
      </c>
      <c r="G5657">
        <v>0.52076467160658202</v>
      </c>
      <c r="H5657">
        <v>0.35903603276998702</v>
      </c>
      <c r="I5657">
        <v>0.364212624015185</v>
      </c>
      <c r="J5657">
        <v>0.345372954711688</v>
      </c>
      <c r="K5657">
        <v>0.29351031264237498</v>
      </c>
      <c r="L5657">
        <v>1278.0362354352001</v>
      </c>
      <c r="M5657">
        <v>23.218294030192801</v>
      </c>
      <c r="N5657">
        <v>57.493158588825601</v>
      </c>
      <c r="O5657">
        <v>54.640919862216897</v>
      </c>
      <c r="P5657">
        <v>-7.28745999758659E-2</v>
      </c>
      <c r="Q5657">
        <v>0.31401276284954199</v>
      </c>
      <c r="R5657">
        <v>0.98243514422160005</v>
      </c>
      <c r="S5657" t="s">
        <v>12273</v>
      </c>
      <c r="T5657" t="s">
        <v>13232</v>
      </c>
      <c r="U5657" t="s">
        <v>13232</v>
      </c>
      <c r="V5657" t="s">
        <v>13232</v>
      </c>
      <c r="W5657" t="s">
        <v>18819</v>
      </c>
      <c r="X5657">
        <v>10</v>
      </c>
      <c r="Y5657" t="s">
        <v>25209</v>
      </c>
      <c r="Z5657" t="s">
        <v>31788</v>
      </c>
      <c r="AA5657">
        <v>0.66522207585935245</v>
      </c>
      <c r="AB5657" t="str">
        <f>HYPERLINK("Melting_Curves/meltCurve_Q9H814_PHAX.pdf", "Melting_Curves/meltCurve_Q9H814_PHAX.pdf")</f>
        <v>Melting_Curves/meltCurve_Q9H814_PHAX.pdf</v>
      </c>
    </row>
    <row r="5658" spans="1:28" x14ac:dyDescent="0.25">
      <c r="A5658" t="s">
        <v>5661</v>
      </c>
      <c r="B5658">
        <v>0.99930955844802105</v>
      </c>
      <c r="C5658">
        <v>1.06567820476629</v>
      </c>
      <c r="D5658">
        <v>1.0286915774068299</v>
      </c>
      <c r="E5658">
        <v>0.90626359482305396</v>
      </c>
      <c r="F5658">
        <v>0.61426711412910195</v>
      </c>
      <c r="G5658">
        <v>0.186860613575002</v>
      </c>
      <c r="H5658">
        <v>0.107950736229284</v>
      </c>
      <c r="I5658">
        <v>9.1475282903663205E-2</v>
      </c>
      <c r="J5658">
        <v>8.1538362659899097E-2</v>
      </c>
      <c r="K5658">
        <v>6.1564938932484797E-2</v>
      </c>
      <c r="L5658">
        <v>1721.56478240562</v>
      </c>
      <c r="M5658">
        <v>32.166778374790198</v>
      </c>
      <c r="N5658">
        <v>53.806041828032903</v>
      </c>
      <c r="O5658">
        <v>53.314396103217803</v>
      </c>
      <c r="P5658">
        <v>-0.13898027359399701</v>
      </c>
      <c r="Q5658">
        <v>7.8600748546609395E-2</v>
      </c>
      <c r="R5658">
        <v>0.996645024474618</v>
      </c>
      <c r="S5658" t="s">
        <v>12274</v>
      </c>
      <c r="T5658" t="s">
        <v>13232</v>
      </c>
      <c r="U5658" t="s">
        <v>13232</v>
      </c>
      <c r="V5658" t="s">
        <v>13232</v>
      </c>
      <c r="W5658" t="s">
        <v>18820</v>
      </c>
      <c r="X5658">
        <v>15</v>
      </c>
      <c r="Y5658" t="s">
        <v>25210</v>
      </c>
      <c r="Z5658" t="s">
        <v>31789</v>
      </c>
      <c r="AA5658">
        <v>0.49909339101562328</v>
      </c>
      <c r="AB5658" t="str">
        <f>HYPERLINK("Melting_Curves/meltCurve_Q9H832_UBE2Z.pdf", "Melting_Curves/meltCurve_Q9H832_UBE2Z.pdf")</f>
        <v>Melting_Curves/meltCurve_Q9H832_UBE2Z.pdf</v>
      </c>
    </row>
    <row r="5659" spans="1:28" x14ac:dyDescent="0.25">
      <c r="A5659" t="s">
        <v>5662</v>
      </c>
      <c r="B5659">
        <v>0.99930955844802105</v>
      </c>
      <c r="C5659">
        <v>0.96601422653611801</v>
      </c>
      <c r="D5659">
        <v>0.93231039851518605</v>
      </c>
      <c r="E5659">
        <v>0.89715233136578698</v>
      </c>
      <c r="F5659">
        <v>0.76254329301625601</v>
      </c>
      <c r="G5659">
        <v>0.51793422628289798</v>
      </c>
      <c r="H5659">
        <v>0.197212213126571</v>
      </c>
      <c r="I5659">
        <v>9.9635623128954701E-2</v>
      </c>
      <c r="J5659">
        <v>6.0593952345199598E-2</v>
      </c>
      <c r="K5659">
        <v>5.7174383020564101E-2</v>
      </c>
      <c r="L5659">
        <v>983.23970734567899</v>
      </c>
      <c r="M5659">
        <v>17.344487933631601</v>
      </c>
      <c r="N5659">
        <v>56.688886575044897</v>
      </c>
      <c r="O5659">
        <v>55.951412113851397</v>
      </c>
      <c r="P5659">
        <v>-7.7502415757940396E-2</v>
      </c>
      <c r="Q5659">
        <v>0</v>
      </c>
      <c r="R5659">
        <v>0.99517530677267296</v>
      </c>
      <c r="S5659" t="s">
        <v>12275</v>
      </c>
      <c r="T5659" t="s">
        <v>13232</v>
      </c>
      <c r="U5659" t="s">
        <v>13232</v>
      </c>
      <c r="V5659" t="s">
        <v>13232</v>
      </c>
      <c r="W5659" t="s">
        <v>18821</v>
      </c>
      <c r="X5659">
        <v>3</v>
      </c>
      <c r="Y5659" t="s">
        <v>25211</v>
      </c>
      <c r="Z5659" t="s">
        <v>31790</v>
      </c>
      <c r="AA5659">
        <v>0.57090390710239314</v>
      </c>
      <c r="AB5659" t="str">
        <f>HYPERLINK("Melting_Curves/meltCurve_Q9H840_GEMIN7.pdf", "Melting_Curves/meltCurve_Q9H840_GEMIN7.pdf")</f>
        <v>Melting_Curves/meltCurve_Q9H840_GEMIN7.pdf</v>
      </c>
    </row>
    <row r="5660" spans="1:28" x14ac:dyDescent="0.25">
      <c r="A5660" t="s">
        <v>5663</v>
      </c>
      <c r="B5660">
        <v>0.99930955844802105</v>
      </c>
      <c r="C5660">
        <v>1.0595190364708</v>
      </c>
      <c r="D5660">
        <v>0.96902927836254804</v>
      </c>
      <c r="E5660">
        <v>0.72272679909866799</v>
      </c>
      <c r="F5660">
        <v>0.330705412979863</v>
      </c>
      <c r="G5660">
        <v>0.22679364371930699</v>
      </c>
      <c r="H5660">
        <v>0.14886077942978801</v>
      </c>
      <c r="I5660">
        <v>0.121753179504033</v>
      </c>
      <c r="J5660">
        <v>0.115673447157561</v>
      </c>
      <c r="K5660">
        <v>7.76599124198116E-2</v>
      </c>
      <c r="L5660">
        <v>1502.2680556702101</v>
      </c>
      <c r="M5660">
        <v>29.338013444531299</v>
      </c>
      <c r="N5660">
        <v>51.704602250152902</v>
      </c>
      <c r="O5660">
        <v>50.969374973401401</v>
      </c>
      <c r="P5660">
        <v>-0.12615640384420401</v>
      </c>
      <c r="Q5660">
        <v>0.12331252646067301</v>
      </c>
      <c r="R5660">
        <v>0.99264950068456803</v>
      </c>
      <c r="S5660" t="s">
        <v>12276</v>
      </c>
      <c r="T5660" t="s">
        <v>13232</v>
      </c>
      <c r="U5660" t="s">
        <v>13232</v>
      </c>
      <c r="V5660" t="s">
        <v>13232</v>
      </c>
      <c r="W5660" t="s">
        <v>18822</v>
      </c>
      <c r="X5660">
        <v>12</v>
      </c>
      <c r="Y5660" t="s">
        <v>25212</v>
      </c>
      <c r="Z5660" t="s">
        <v>31791</v>
      </c>
      <c r="AA5660">
        <v>0.45655306554182029</v>
      </c>
      <c r="AB5660" t="str">
        <f>HYPERLINK("Melting_Curves/meltCurve_Q9H845_ACAD9.pdf", "Melting_Curves/meltCurve_Q9H845_ACAD9.pdf")</f>
        <v>Melting_Curves/meltCurve_Q9H845_ACAD9.pdf</v>
      </c>
    </row>
    <row r="5661" spans="1:28" x14ac:dyDescent="0.25">
      <c r="A5661" t="s">
        <v>5664</v>
      </c>
      <c r="B5661">
        <v>0.99930955844802105</v>
      </c>
      <c r="C5661">
        <v>0.86962512283539395</v>
      </c>
      <c r="D5661">
        <v>0.65833619680637501</v>
      </c>
      <c r="E5661">
        <v>0.60066538451173002</v>
      </c>
      <c r="F5661">
        <v>0.51390778208055699</v>
      </c>
      <c r="G5661">
        <v>0.34980439397943203</v>
      </c>
      <c r="H5661">
        <v>0.179973336172568</v>
      </c>
      <c r="I5661">
        <v>0.108288404157058</v>
      </c>
      <c r="J5661">
        <v>7.6499440257997695E-2</v>
      </c>
      <c r="K5661">
        <v>4.7852380622160601E-2</v>
      </c>
      <c r="L5661">
        <v>482.56754560217399</v>
      </c>
      <c r="M5661">
        <v>9.3068888578724493</v>
      </c>
      <c r="N5661">
        <v>51.850569424035797</v>
      </c>
      <c r="O5661">
        <v>49.625494143453203</v>
      </c>
      <c r="P5661">
        <v>-4.6915607868530398E-2</v>
      </c>
      <c r="Q5661">
        <v>0</v>
      </c>
      <c r="R5661">
        <v>0.97548806320679504</v>
      </c>
      <c r="S5661" t="s">
        <v>12277</v>
      </c>
      <c r="T5661" t="s">
        <v>13232</v>
      </c>
      <c r="U5661" t="s">
        <v>13232</v>
      </c>
      <c r="V5661" t="s">
        <v>13232</v>
      </c>
      <c r="W5661" t="s">
        <v>18823</v>
      </c>
      <c r="X5661">
        <v>3</v>
      </c>
      <c r="Y5661" t="s">
        <v>25213</v>
      </c>
      <c r="Z5661" t="s">
        <v>31792</v>
      </c>
      <c r="AA5661">
        <v>0.43660740565100259</v>
      </c>
      <c r="AB5661" t="str">
        <f>HYPERLINK("Melting_Curves/meltCurve_Q9H857_2_NT5DC2.pdf", "Melting_Curves/meltCurve_Q9H857_2_NT5DC2.pdf")</f>
        <v>Melting_Curves/meltCurve_Q9H857_2_NT5DC2.pdf</v>
      </c>
    </row>
    <row r="5662" spans="1:28" x14ac:dyDescent="0.25">
      <c r="A5662" t="s">
        <v>5665</v>
      </c>
      <c r="B5662">
        <v>0.99930955844802105</v>
      </c>
      <c r="C5662">
        <v>1.15700767388268</v>
      </c>
      <c r="D5662">
        <v>1.10612034328802</v>
      </c>
      <c r="E5662">
        <v>1.1484922155332999</v>
      </c>
      <c r="F5662">
        <v>1.12359758789549</v>
      </c>
      <c r="G5662">
        <v>0.84715520259145105</v>
      </c>
      <c r="H5662">
        <v>0.89815074001577799</v>
      </c>
      <c r="I5662">
        <v>1.0039458035934901</v>
      </c>
      <c r="J5662">
        <v>0.99005804412165399</v>
      </c>
      <c r="K5662">
        <v>0.80605252632350799</v>
      </c>
      <c r="L5662">
        <v>4973.3207428550804</v>
      </c>
      <c r="M5662">
        <v>69.622871178910898</v>
      </c>
      <c r="Q5662">
        <v>0</v>
      </c>
      <c r="R5662">
        <v>0.25734732700573598</v>
      </c>
      <c r="S5662" t="s">
        <v>12278</v>
      </c>
      <c r="T5662" t="s">
        <v>13232</v>
      </c>
      <c r="U5662" t="s">
        <v>13232</v>
      </c>
      <c r="V5662" t="s">
        <v>13232</v>
      </c>
      <c r="W5662" t="s">
        <v>18824</v>
      </c>
      <c r="X5662">
        <v>12</v>
      </c>
      <c r="Y5662" t="s">
        <v>25214</v>
      </c>
      <c r="Z5662" t="s">
        <v>31793</v>
      </c>
      <c r="AA5662">
        <v>0.99312080503414413</v>
      </c>
      <c r="AB5662" t="str">
        <f>HYPERLINK("Melting_Curves/meltCurve_Q9H869_5_YY1AP1.pdf", "Melting_Curves/meltCurve_Q9H869_5_YY1AP1.pdf")</f>
        <v>Melting_Curves/meltCurve_Q9H869_5_YY1AP1.pdf</v>
      </c>
    </row>
    <row r="5663" spans="1:28" x14ac:dyDescent="0.25">
      <c r="A5663" t="s">
        <v>5666</v>
      </c>
      <c r="B5663">
        <v>0.99930955844802105</v>
      </c>
      <c r="C5663">
        <v>0.65184064018665799</v>
      </c>
      <c r="D5663">
        <v>0.641502254355511</v>
      </c>
      <c r="E5663">
        <v>0.62561536780872695</v>
      </c>
      <c r="F5663">
        <v>0.39920874649728599</v>
      </c>
      <c r="G5663">
        <v>0.23290765366712399</v>
      </c>
      <c r="H5663">
        <v>0.17486325176515</v>
      </c>
      <c r="I5663">
        <v>0.14866620370262301</v>
      </c>
      <c r="J5663">
        <v>0.120537106498862</v>
      </c>
      <c r="K5663">
        <v>9.6144100786499806E-2</v>
      </c>
      <c r="L5663">
        <v>401.38930308663498</v>
      </c>
      <c r="M5663">
        <v>7.9996030999202103</v>
      </c>
      <c r="N5663">
        <v>50.176152284748397</v>
      </c>
      <c r="O5663">
        <v>47.331792734689103</v>
      </c>
      <c r="P5663">
        <v>-4.2300595536743403E-2</v>
      </c>
      <c r="Q5663">
        <v>0</v>
      </c>
      <c r="R5663">
        <v>0.93919153251481802</v>
      </c>
      <c r="S5663" t="s">
        <v>12279</v>
      </c>
      <c r="T5663" t="s">
        <v>13232</v>
      </c>
      <c r="U5663" t="s">
        <v>13232</v>
      </c>
      <c r="V5663" t="s">
        <v>13232</v>
      </c>
      <c r="W5663" t="s">
        <v>18825</v>
      </c>
      <c r="X5663">
        <v>6</v>
      </c>
      <c r="Y5663" t="s">
        <v>25215</v>
      </c>
      <c r="Z5663" t="s">
        <v>31794</v>
      </c>
      <c r="AA5663">
        <v>0.39774098113784417</v>
      </c>
      <c r="AB5663" t="str">
        <f>HYPERLINK("Melting_Curves/meltCurve_Q9H871_RMND5A.pdf", "Melting_Curves/meltCurve_Q9H871_RMND5A.pdf")</f>
        <v>Melting_Curves/meltCurve_Q9H871_RMND5A.pdf</v>
      </c>
    </row>
    <row r="5664" spans="1:28" x14ac:dyDescent="0.25">
      <c r="A5664" t="s">
        <v>5667</v>
      </c>
      <c r="B5664">
        <v>0.99930955844802105</v>
      </c>
      <c r="C5664">
        <v>1.0138789327411</v>
      </c>
      <c r="D5664">
        <v>1.04157769183268</v>
      </c>
      <c r="E5664">
        <v>1.02870571788183</v>
      </c>
      <c r="F5664">
        <v>1.2244898076417901</v>
      </c>
      <c r="G5664">
        <v>1.0515804383915499</v>
      </c>
      <c r="H5664">
        <v>0.87157837927710902</v>
      </c>
      <c r="I5664">
        <v>0.98221501078183704</v>
      </c>
      <c r="J5664">
        <v>0.95536888037402601</v>
      </c>
      <c r="K5664">
        <v>0.79760914388645998</v>
      </c>
      <c r="L5664">
        <v>1797.48610204491</v>
      </c>
      <c r="M5664">
        <v>24.258508418809299</v>
      </c>
      <c r="Q5664">
        <v>0</v>
      </c>
      <c r="R5664">
        <v>0.37808349123773899</v>
      </c>
      <c r="S5664" t="s">
        <v>12280</v>
      </c>
      <c r="T5664" t="s">
        <v>13232</v>
      </c>
      <c r="U5664" t="s">
        <v>13232</v>
      </c>
      <c r="V5664" t="s">
        <v>13232</v>
      </c>
      <c r="W5664" t="s">
        <v>18826</v>
      </c>
      <c r="X5664">
        <v>5</v>
      </c>
      <c r="Y5664" t="s">
        <v>25216</v>
      </c>
      <c r="Z5664" t="s">
        <v>31795</v>
      </c>
      <c r="AA5664">
        <v>0.98177429182830533</v>
      </c>
      <c r="AB5664" t="str">
        <f>HYPERLINK("Melting_Curves/meltCurve_Q9H875_PRKRIP1.pdf", "Melting_Curves/meltCurve_Q9H875_PRKRIP1.pdf")</f>
        <v>Melting_Curves/meltCurve_Q9H875_PRKRIP1.pdf</v>
      </c>
    </row>
    <row r="5665" spans="1:28" x14ac:dyDescent="0.25">
      <c r="A5665" t="s">
        <v>5668</v>
      </c>
      <c r="B5665">
        <v>0.99930955844802105</v>
      </c>
      <c r="C5665">
        <v>1.0344886336375201</v>
      </c>
      <c r="D5665">
        <v>1.0073632126404899</v>
      </c>
      <c r="E5665">
        <v>0.84491522558211396</v>
      </c>
      <c r="F5665">
        <v>0.52042116981284503</v>
      </c>
      <c r="G5665">
        <v>0.32694418926435498</v>
      </c>
      <c r="H5665">
        <v>0.23330235313447201</v>
      </c>
      <c r="I5665">
        <v>0.21795965863278699</v>
      </c>
      <c r="J5665">
        <v>0.16697395902321299</v>
      </c>
      <c r="K5665">
        <v>0.123816414829651</v>
      </c>
      <c r="L5665">
        <v>1244.02991846329</v>
      </c>
      <c r="M5665">
        <v>23.5957828745989</v>
      </c>
      <c r="N5665">
        <v>53.702375213105597</v>
      </c>
      <c r="O5665">
        <v>52.348240404370301</v>
      </c>
      <c r="P5665">
        <v>-9.29778337943723E-2</v>
      </c>
      <c r="Q5665">
        <v>0.17491286047343199</v>
      </c>
      <c r="R5665">
        <v>0.99206056647822805</v>
      </c>
      <c r="S5665" t="s">
        <v>12281</v>
      </c>
      <c r="T5665" t="s">
        <v>13232</v>
      </c>
      <c r="U5665" t="s">
        <v>13232</v>
      </c>
      <c r="V5665" t="s">
        <v>13232</v>
      </c>
      <c r="W5665" t="s">
        <v>18827</v>
      </c>
      <c r="X5665">
        <v>5</v>
      </c>
      <c r="Y5665" t="s">
        <v>25217</v>
      </c>
      <c r="Z5665" t="s">
        <v>31796</v>
      </c>
      <c r="AA5665">
        <v>0.53326867225953234</v>
      </c>
      <c r="AB5665" t="str">
        <f>HYPERLINK("Melting_Curves/meltCurve_Q9H8E8_CSRP2BP.pdf", "Melting_Curves/meltCurve_Q9H8E8_CSRP2BP.pdf")</f>
        <v>Melting_Curves/meltCurve_Q9H8E8_CSRP2BP.pdf</v>
      </c>
    </row>
    <row r="5666" spans="1:28" x14ac:dyDescent="0.25">
      <c r="A5666" t="s">
        <v>5669</v>
      </c>
      <c r="B5666">
        <v>0.99930955844802105</v>
      </c>
      <c r="C5666">
        <v>0.95709623627603702</v>
      </c>
      <c r="D5666">
        <v>0.88009656456109697</v>
      </c>
      <c r="E5666">
        <v>0.77745761443383798</v>
      </c>
      <c r="F5666">
        <v>0.691269598216118</v>
      </c>
      <c r="G5666">
        <v>0.64910886922020805</v>
      </c>
      <c r="H5666">
        <v>0.61001633053642801</v>
      </c>
      <c r="I5666">
        <v>0.64675448010728798</v>
      </c>
      <c r="J5666">
        <v>0.61091322705629003</v>
      </c>
      <c r="K5666">
        <v>0.52570536342060903</v>
      </c>
      <c r="L5666">
        <v>639.34378256866205</v>
      </c>
      <c r="M5666">
        <v>12.898827395878</v>
      </c>
      <c r="O5666">
        <v>48.420049511176302</v>
      </c>
      <c r="P5666">
        <v>-2.81864272559341E-2</v>
      </c>
      <c r="Q5666">
        <v>0.57684844969705495</v>
      </c>
      <c r="R5666">
        <v>0.97000862165680601</v>
      </c>
      <c r="S5666" t="s">
        <v>12282</v>
      </c>
      <c r="T5666" t="s">
        <v>13232</v>
      </c>
      <c r="U5666" t="s">
        <v>13232</v>
      </c>
      <c r="V5666" t="s">
        <v>13232</v>
      </c>
      <c r="W5666" t="s">
        <v>18828</v>
      </c>
      <c r="X5666">
        <v>13</v>
      </c>
      <c r="Y5666" t="s">
        <v>25218</v>
      </c>
      <c r="Z5666" t="s">
        <v>31797</v>
      </c>
      <c r="AA5666">
        <v>0.72511797970062664</v>
      </c>
      <c r="AB5666" t="str">
        <f>HYPERLINK("Melting_Curves/meltCurve_Q9H8G2_CAAP1.pdf", "Melting_Curves/meltCurve_Q9H8G2_CAAP1.pdf")</f>
        <v>Melting_Curves/meltCurve_Q9H8G2_CAAP1.pdf</v>
      </c>
    </row>
    <row r="5667" spans="1:28" x14ac:dyDescent="0.25">
      <c r="A5667" t="s">
        <v>5670</v>
      </c>
      <c r="B5667">
        <v>0.99930955844802105</v>
      </c>
      <c r="C5667">
        <v>1.0022702593508499</v>
      </c>
      <c r="D5667">
        <v>1.0306157726415901</v>
      </c>
      <c r="E5667">
        <v>0.99743369051151698</v>
      </c>
      <c r="F5667">
        <v>0.85317485962669504</v>
      </c>
      <c r="G5667">
        <v>0.48065870098403701</v>
      </c>
      <c r="H5667">
        <v>0.177222285962024</v>
      </c>
      <c r="I5667">
        <v>0.10049958974975701</v>
      </c>
      <c r="J5667">
        <v>7.2707101211931302E-2</v>
      </c>
      <c r="K5667">
        <v>5.63682796047719E-2</v>
      </c>
      <c r="L5667">
        <v>1500.2001022550701</v>
      </c>
      <c r="M5667">
        <v>26.524863990923901</v>
      </c>
      <c r="N5667">
        <v>56.813700401583603</v>
      </c>
      <c r="O5667">
        <v>56.239706651672101</v>
      </c>
      <c r="P5667">
        <v>-0.11128313374745399</v>
      </c>
      <c r="Q5667">
        <v>5.6211426016702697E-2</v>
      </c>
      <c r="R5667">
        <v>0.99890830798131602</v>
      </c>
      <c r="S5667" t="s">
        <v>12283</v>
      </c>
      <c r="T5667" t="s">
        <v>13232</v>
      </c>
      <c r="U5667" t="s">
        <v>13232</v>
      </c>
      <c r="V5667" t="s">
        <v>13232</v>
      </c>
      <c r="W5667" t="s">
        <v>18829</v>
      </c>
      <c r="X5667">
        <v>13</v>
      </c>
      <c r="Y5667" t="s">
        <v>25219</v>
      </c>
      <c r="Z5667" t="s">
        <v>31798</v>
      </c>
      <c r="AA5667">
        <v>0.58492204636583289</v>
      </c>
      <c r="AB5667" t="str">
        <f>HYPERLINK("Melting_Curves/meltCurve_Q9H8H0_NOL11.pdf", "Melting_Curves/meltCurve_Q9H8H0_NOL11.pdf")</f>
        <v>Melting_Curves/meltCurve_Q9H8H0_NOL11.pdf</v>
      </c>
    </row>
    <row r="5668" spans="1:28" x14ac:dyDescent="0.25">
      <c r="A5668" t="s">
        <v>5671</v>
      </c>
      <c r="B5668">
        <v>0.99930955844802105</v>
      </c>
      <c r="C5668">
        <v>1.0315983836295</v>
      </c>
      <c r="D5668">
        <v>0.97427840910507102</v>
      </c>
      <c r="E5668">
        <v>0.97549415794094496</v>
      </c>
      <c r="F5668">
        <v>0.87698827250408495</v>
      </c>
      <c r="G5668">
        <v>0.75907562888074398</v>
      </c>
      <c r="H5668">
        <v>0.74088456650597301</v>
      </c>
      <c r="I5668">
        <v>0.73261117990678803</v>
      </c>
      <c r="J5668">
        <v>0.65624195324024703</v>
      </c>
      <c r="K5668">
        <v>0.62444739265554905</v>
      </c>
      <c r="L5668">
        <v>782.52742548534798</v>
      </c>
      <c r="M5668">
        <v>13.937045227440899</v>
      </c>
      <c r="O5668">
        <v>55.029261582948699</v>
      </c>
      <c r="P5668">
        <v>-2.3414738912330701E-2</v>
      </c>
      <c r="Q5668">
        <v>0.63024538004930797</v>
      </c>
      <c r="R5668">
        <v>0.96527638962260798</v>
      </c>
      <c r="S5668" t="s">
        <v>12284</v>
      </c>
      <c r="T5668" t="s">
        <v>13232</v>
      </c>
      <c r="U5668" t="s">
        <v>13232</v>
      </c>
      <c r="V5668" t="s">
        <v>13232</v>
      </c>
      <c r="W5668" t="s">
        <v>18830</v>
      </c>
      <c r="X5668">
        <v>8</v>
      </c>
      <c r="Y5668" t="s">
        <v>25220</v>
      </c>
      <c r="Z5668" t="s">
        <v>31799</v>
      </c>
      <c r="AA5668">
        <v>0.83608827099709204</v>
      </c>
      <c r="AB5668" t="str">
        <f>HYPERLINK("Melting_Curves/meltCurve_Q9H8M2_BRD9.pdf", "Melting_Curves/meltCurve_Q9H8M2_BRD9.pdf")</f>
        <v>Melting_Curves/meltCurve_Q9H8M2_BRD9.pdf</v>
      </c>
    </row>
    <row r="5669" spans="1:28" x14ac:dyDescent="0.25">
      <c r="A5669" t="s">
        <v>5672</v>
      </c>
      <c r="B5669">
        <v>0.99930955844802105</v>
      </c>
      <c r="C5669">
        <v>1.0247608270245101</v>
      </c>
      <c r="D5669">
        <v>1.0241306870240301</v>
      </c>
      <c r="E5669">
        <v>0.92781839209301797</v>
      </c>
      <c r="F5669">
        <v>0.57193154856487605</v>
      </c>
      <c r="G5669">
        <v>0.17568142354417399</v>
      </c>
      <c r="H5669">
        <v>9.4826644004115695E-2</v>
      </c>
      <c r="I5669">
        <v>7.1523155187652801E-2</v>
      </c>
      <c r="J5669">
        <v>5.31398112472568E-2</v>
      </c>
      <c r="K5669">
        <v>4.9058043726432202E-2</v>
      </c>
      <c r="L5669">
        <v>1782.8292983675501</v>
      </c>
      <c r="M5669">
        <v>33.413454222847797</v>
      </c>
      <c r="N5669">
        <v>53.577019892353199</v>
      </c>
      <c r="O5669">
        <v>53.166613591501701</v>
      </c>
      <c r="P5669">
        <v>-0.14702882663654601</v>
      </c>
      <c r="Q5669">
        <v>6.4210540084178397E-2</v>
      </c>
      <c r="R5669">
        <v>0.99851065027797703</v>
      </c>
      <c r="S5669" t="s">
        <v>12285</v>
      </c>
      <c r="T5669" t="s">
        <v>13232</v>
      </c>
      <c r="U5669" t="s">
        <v>13232</v>
      </c>
      <c r="V5669" t="s">
        <v>13232</v>
      </c>
      <c r="W5669" t="s">
        <v>18831</v>
      </c>
      <c r="X5669">
        <v>7</v>
      </c>
      <c r="Y5669" t="s">
        <v>25221</v>
      </c>
      <c r="Z5669" t="s">
        <v>31800</v>
      </c>
      <c r="AA5669">
        <v>0.48577773958462489</v>
      </c>
      <c r="AB5669" t="str">
        <f>HYPERLINK("Melting_Curves/meltCurve_Q9H8M7_FAM188A.pdf", "Melting_Curves/meltCurve_Q9H8M7_FAM188A.pdf")</f>
        <v>Melting_Curves/meltCurve_Q9H8M7_FAM188A.pdf</v>
      </c>
    </row>
    <row r="5670" spans="1:28" x14ac:dyDescent="0.25">
      <c r="A5670" t="s">
        <v>5673</v>
      </c>
      <c r="B5670">
        <v>0.99930955844802105</v>
      </c>
      <c r="C5670">
        <v>1.1492854977103599</v>
      </c>
      <c r="D5670">
        <v>1.18402787108367</v>
      </c>
      <c r="E5670">
        <v>1.14482207102683</v>
      </c>
      <c r="F5670">
        <v>1.03088823077418</v>
      </c>
      <c r="G5670">
        <v>0.76117610939649205</v>
      </c>
      <c r="H5670">
        <v>0.231239844289056</v>
      </c>
      <c r="I5670">
        <v>0.114566715980703</v>
      </c>
      <c r="J5670">
        <v>8.9450940592112296E-2</v>
      </c>
      <c r="K5670">
        <v>6.8947062496581404E-2</v>
      </c>
      <c r="L5670">
        <v>2403.4042196287901</v>
      </c>
      <c r="M5670">
        <v>41.070651475564702</v>
      </c>
      <c r="N5670">
        <v>58.771453460870198</v>
      </c>
      <c r="O5670">
        <v>58.380556218889502</v>
      </c>
      <c r="P5670">
        <v>-0.161641122714383</v>
      </c>
      <c r="Q5670">
        <v>8.0931995402887105E-2</v>
      </c>
      <c r="R5670">
        <v>0.96324002888235205</v>
      </c>
      <c r="S5670" t="s">
        <v>12286</v>
      </c>
      <c r="T5670" t="s">
        <v>13232</v>
      </c>
      <c r="U5670" t="s">
        <v>13232</v>
      </c>
      <c r="V5670" t="s">
        <v>13232</v>
      </c>
      <c r="W5670" t="s">
        <v>18832</v>
      </c>
      <c r="X5670">
        <v>8</v>
      </c>
      <c r="Y5670" t="s">
        <v>25222</v>
      </c>
      <c r="Z5670" t="s">
        <v>31801</v>
      </c>
      <c r="AA5670">
        <v>0.65171266194918442</v>
      </c>
      <c r="AB5670" t="str">
        <f>HYPERLINK("Melting_Curves/meltCurve_Q9H8S9_MOB1A.pdf", "Melting_Curves/meltCurve_Q9H8S9_MOB1A.pdf")</f>
        <v>Melting_Curves/meltCurve_Q9H8S9_MOB1A.pdf</v>
      </c>
    </row>
    <row r="5671" spans="1:28" x14ac:dyDescent="0.25">
      <c r="A5671" t="s">
        <v>5674</v>
      </c>
      <c r="B5671">
        <v>0.99930955844802105</v>
      </c>
      <c r="C5671">
        <v>1.0977408941139299</v>
      </c>
      <c r="D5671">
        <v>1.0710110562131401</v>
      </c>
      <c r="E5671">
        <v>0.96685088334627101</v>
      </c>
      <c r="F5671">
        <v>0.78310667801686296</v>
      </c>
      <c r="G5671">
        <v>0.66152253613391299</v>
      </c>
      <c r="H5671">
        <v>0.65997356201272195</v>
      </c>
      <c r="I5671">
        <v>0.72918777753145503</v>
      </c>
      <c r="J5671">
        <v>0.71402533760526299</v>
      </c>
      <c r="K5671">
        <v>0.60732961014245102</v>
      </c>
      <c r="L5671">
        <v>2726.8221154610901</v>
      </c>
      <c r="M5671">
        <v>52.1702984647414</v>
      </c>
      <c r="O5671">
        <v>52.191088099836001</v>
      </c>
      <c r="P5671">
        <v>-8.1510423013488903E-2</v>
      </c>
      <c r="Q5671">
        <v>0.67382864073238202</v>
      </c>
      <c r="R5671">
        <v>0.921771130597559</v>
      </c>
      <c r="S5671" t="s">
        <v>12287</v>
      </c>
      <c r="T5671" t="s">
        <v>13232</v>
      </c>
      <c r="U5671" t="s">
        <v>13232</v>
      </c>
      <c r="V5671" t="s">
        <v>13232</v>
      </c>
      <c r="W5671" t="s">
        <v>18833</v>
      </c>
      <c r="X5671">
        <v>6</v>
      </c>
      <c r="Y5671" t="s">
        <v>25223</v>
      </c>
      <c r="Z5671" t="s">
        <v>31802</v>
      </c>
      <c r="AA5671">
        <v>0.80789823199537036</v>
      </c>
      <c r="AB5671" t="str">
        <f>HYPERLINK("Melting_Curves/meltCurve_Q9H8U3_ZFAND3.pdf", "Melting_Curves/meltCurve_Q9H8U3_ZFAND3.pdf")</f>
        <v>Melting_Curves/meltCurve_Q9H8U3_ZFAND3.pdf</v>
      </c>
    </row>
    <row r="5672" spans="1:28" x14ac:dyDescent="0.25">
      <c r="A5672" t="s">
        <v>5675</v>
      </c>
      <c r="B5672">
        <v>0.99930955844802105</v>
      </c>
      <c r="C5672">
        <v>1.0205719906642201</v>
      </c>
      <c r="D5672">
        <v>0.82690636675719598</v>
      </c>
      <c r="E5672">
        <v>0.63477980223362895</v>
      </c>
      <c r="F5672">
        <v>0.472214410378066</v>
      </c>
      <c r="G5672">
        <v>0.40517783707678401</v>
      </c>
      <c r="H5672">
        <v>0.34922585690776398</v>
      </c>
      <c r="I5672">
        <v>0.388696587601149</v>
      </c>
      <c r="J5672">
        <v>0.425239455756244</v>
      </c>
      <c r="K5672">
        <v>0.30049507933959801</v>
      </c>
      <c r="L5672">
        <v>973.94000990218899</v>
      </c>
      <c r="M5672">
        <v>19.8721871925089</v>
      </c>
      <c r="N5672">
        <v>52.397112712898704</v>
      </c>
      <c r="O5672">
        <v>48.522004407017299</v>
      </c>
      <c r="P5672">
        <v>-6.5365423810547704E-2</v>
      </c>
      <c r="Q5672">
        <v>0.361609216683</v>
      </c>
      <c r="R5672">
        <v>0.97974391251762405</v>
      </c>
      <c r="S5672" t="s">
        <v>12288</v>
      </c>
      <c r="T5672" t="s">
        <v>13232</v>
      </c>
      <c r="U5672" t="s">
        <v>13232</v>
      </c>
      <c r="V5672" t="s">
        <v>13232</v>
      </c>
      <c r="W5672" t="s">
        <v>18834</v>
      </c>
      <c r="X5672">
        <v>5</v>
      </c>
      <c r="Y5672" t="s">
        <v>25224</v>
      </c>
      <c r="Z5672" t="s">
        <v>31803</v>
      </c>
      <c r="AA5672">
        <v>0.5624023980723668</v>
      </c>
      <c r="AB5672" t="str">
        <f>HYPERLINK("Melting_Curves/meltCurve_Q9H8V3_ECT2.pdf", "Melting_Curves/meltCurve_Q9H8V3_ECT2.pdf")</f>
        <v>Melting_Curves/meltCurve_Q9H8V3_ECT2.pdf</v>
      </c>
    </row>
    <row r="5673" spans="1:28" x14ac:dyDescent="0.25">
      <c r="A5673" t="s">
        <v>5676</v>
      </c>
      <c r="B5673">
        <v>0.99930955844802105</v>
      </c>
      <c r="C5673">
        <v>0.94196748374373795</v>
      </c>
      <c r="D5673">
        <v>0.84541692855397399</v>
      </c>
      <c r="E5673">
        <v>0.433862584887028</v>
      </c>
      <c r="F5673">
        <v>0.168394839974634</v>
      </c>
      <c r="G5673">
        <v>0.12467602877082699</v>
      </c>
      <c r="H5673">
        <v>9.0298500136062304E-2</v>
      </c>
      <c r="I5673">
        <v>8.1474305904650199E-2</v>
      </c>
      <c r="J5673">
        <v>7.2748812657396494E-2</v>
      </c>
      <c r="K5673">
        <v>4.7714998446920003E-2</v>
      </c>
      <c r="L5673">
        <v>1193.3555628669001</v>
      </c>
      <c r="M5673">
        <v>24.366755026208299</v>
      </c>
      <c r="N5673">
        <v>49.286019485708998</v>
      </c>
      <c r="O5673">
        <v>48.648481010009803</v>
      </c>
      <c r="P5673">
        <v>-0.116289919682871</v>
      </c>
      <c r="Q5673">
        <v>7.1318088342292502E-2</v>
      </c>
      <c r="R5673">
        <v>0.99769732259279698</v>
      </c>
      <c r="S5673" t="s">
        <v>12289</v>
      </c>
      <c r="T5673" t="s">
        <v>13232</v>
      </c>
      <c r="U5673" t="s">
        <v>13232</v>
      </c>
      <c r="V5673" t="s">
        <v>13232</v>
      </c>
      <c r="W5673" t="s">
        <v>18835</v>
      </c>
      <c r="X5673">
        <v>6</v>
      </c>
      <c r="Y5673" t="s">
        <v>25225</v>
      </c>
      <c r="Z5673" t="s">
        <v>31804</v>
      </c>
      <c r="AA5673">
        <v>0.35781593176856741</v>
      </c>
      <c r="AB5673" t="str">
        <f>HYPERLINK("Melting_Curves/meltCurve_Q9H8W4_PLEKHF2.pdf", "Melting_Curves/meltCurve_Q9H8W4_PLEKHF2.pdf")</f>
        <v>Melting_Curves/meltCurve_Q9H8W4_PLEKHF2.pdf</v>
      </c>
    </row>
    <row r="5674" spans="1:28" x14ac:dyDescent="0.25">
      <c r="A5674" t="s">
        <v>5677</v>
      </c>
      <c r="B5674">
        <v>0.99930955844802105</v>
      </c>
      <c r="C5674">
        <v>0.93088008187607396</v>
      </c>
      <c r="D5674">
        <v>0.38414438582728699</v>
      </c>
      <c r="E5674">
        <v>0.70981279204327297</v>
      </c>
      <c r="F5674">
        <v>0.35510216965839098</v>
      </c>
      <c r="G5674">
        <v>0.22950012289237501</v>
      </c>
      <c r="H5674">
        <v>0.13355123148391601</v>
      </c>
      <c r="I5674">
        <v>0.11744622241607</v>
      </c>
      <c r="J5674">
        <v>0.11249319931193</v>
      </c>
      <c r="K5674">
        <v>8.0213605579035493E-2</v>
      </c>
      <c r="L5674">
        <v>463.52335324700601</v>
      </c>
      <c r="M5674">
        <v>9.2983338431248708</v>
      </c>
      <c r="N5674">
        <v>49.986156432474701</v>
      </c>
      <c r="O5674">
        <v>47.707252786069901</v>
      </c>
      <c r="P5674">
        <v>-4.8148206972765298E-2</v>
      </c>
      <c r="Q5674">
        <v>1.2491692814266901E-2</v>
      </c>
      <c r="R5674">
        <v>0.85543136546120102</v>
      </c>
      <c r="S5674" t="s">
        <v>12290</v>
      </c>
      <c r="T5674" t="s">
        <v>13232</v>
      </c>
      <c r="U5674" t="s">
        <v>13232</v>
      </c>
      <c r="V5674" t="s">
        <v>13232</v>
      </c>
      <c r="W5674" t="s">
        <v>18836</v>
      </c>
      <c r="X5674">
        <v>15</v>
      </c>
      <c r="Y5674" t="s">
        <v>25226</v>
      </c>
      <c r="Z5674" t="s">
        <v>31805</v>
      </c>
      <c r="AA5674">
        <v>0.38654351625331201</v>
      </c>
      <c r="AB5674" t="str">
        <f>HYPERLINK("Melting_Curves/meltCurve_Q9H8Y5_ANKZF1.pdf", "Melting_Curves/meltCurve_Q9H8Y5_ANKZF1.pdf")</f>
        <v>Melting_Curves/meltCurve_Q9H8Y5_ANKZF1.pdf</v>
      </c>
    </row>
    <row r="5675" spans="1:28" x14ac:dyDescent="0.25">
      <c r="A5675" t="s">
        <v>5678</v>
      </c>
      <c r="B5675">
        <v>0.99930955844802105</v>
      </c>
      <c r="C5675">
        <v>0.98016865304805001</v>
      </c>
      <c r="D5675">
        <v>0.79233188493006501</v>
      </c>
      <c r="E5675">
        <v>0.44563762664996198</v>
      </c>
      <c r="F5675">
        <v>0.288494037538432</v>
      </c>
      <c r="G5675">
        <v>0.24470936298839399</v>
      </c>
      <c r="H5675">
        <v>0.19931092246339399</v>
      </c>
      <c r="I5675">
        <v>0.217230816623881</v>
      </c>
      <c r="J5675">
        <v>0.206468197437607</v>
      </c>
      <c r="K5675">
        <v>0.16443755690134099</v>
      </c>
      <c r="L5675">
        <v>1104.2933023555699</v>
      </c>
      <c r="M5675">
        <v>22.894315008830699</v>
      </c>
      <c r="N5675">
        <v>49.327792322348401</v>
      </c>
      <c r="O5675">
        <v>47.870909763509097</v>
      </c>
      <c r="P5675">
        <v>-9.5772493331133093E-2</v>
      </c>
      <c r="Q5675">
        <v>0.198992632900137</v>
      </c>
      <c r="R5675">
        <v>0.99728840498642202</v>
      </c>
      <c r="S5675" t="s">
        <v>12291</v>
      </c>
      <c r="T5675" t="s">
        <v>13232</v>
      </c>
      <c r="U5675" t="s">
        <v>13232</v>
      </c>
      <c r="V5675" t="s">
        <v>13232</v>
      </c>
      <c r="W5675" t="s">
        <v>18837</v>
      </c>
      <c r="X5675">
        <v>11</v>
      </c>
      <c r="Y5675" t="s">
        <v>25227</v>
      </c>
      <c r="Z5675" t="s">
        <v>31806</v>
      </c>
      <c r="AA5675">
        <v>0.42737551322750728</v>
      </c>
      <c r="AB5675" t="str">
        <f>HYPERLINK("Melting_Curves/meltCurve_Q9H8Y8_GORASP2.pdf", "Melting_Curves/meltCurve_Q9H8Y8_GORASP2.pdf")</f>
        <v>Melting_Curves/meltCurve_Q9H8Y8_GORASP2.pdf</v>
      </c>
    </row>
    <row r="5676" spans="1:28" x14ac:dyDescent="0.25">
      <c r="A5676" t="s">
        <v>5679</v>
      </c>
      <c r="B5676">
        <v>0.99930955844802105</v>
      </c>
      <c r="C5676">
        <v>0.67547144764077705</v>
      </c>
      <c r="D5676">
        <v>0.72258436552794703</v>
      </c>
      <c r="E5676">
        <v>0.618023517532994</v>
      </c>
      <c r="F5676">
        <v>0.39833422390143303</v>
      </c>
      <c r="G5676">
        <v>0.249341217046012</v>
      </c>
      <c r="H5676">
        <v>0.16055404277708701</v>
      </c>
      <c r="I5676">
        <v>0.16386037870223599</v>
      </c>
      <c r="J5676">
        <v>0.15867955150731899</v>
      </c>
      <c r="K5676">
        <v>0.13763285804293501</v>
      </c>
      <c r="L5676">
        <v>443.057856222645</v>
      </c>
      <c r="M5676">
        <v>8.8385610388239009</v>
      </c>
      <c r="N5676">
        <v>50.638466526720698</v>
      </c>
      <c r="O5676">
        <v>47.760669330086898</v>
      </c>
      <c r="P5676">
        <v>-4.4326752988911602E-2</v>
      </c>
      <c r="Q5676">
        <v>4.2635900707795299E-2</v>
      </c>
      <c r="R5676">
        <v>0.94777702608974201</v>
      </c>
      <c r="S5676" t="s">
        <v>12292</v>
      </c>
      <c r="T5676" t="s">
        <v>13232</v>
      </c>
      <c r="U5676" t="s">
        <v>13232</v>
      </c>
      <c r="V5676" t="s">
        <v>13232</v>
      </c>
      <c r="W5676" t="s">
        <v>18838</v>
      </c>
      <c r="X5676">
        <v>6</v>
      </c>
      <c r="Y5676" t="s">
        <v>25228</v>
      </c>
      <c r="Z5676" t="s">
        <v>31807</v>
      </c>
      <c r="AA5676">
        <v>0.41601188415713641</v>
      </c>
      <c r="AB5676" t="str">
        <f>HYPERLINK("Melting_Curves/meltCurve_Q9H900_ZWILCH.pdf", "Melting_Curves/meltCurve_Q9H900_ZWILCH.pdf")</f>
        <v>Melting_Curves/meltCurve_Q9H900_ZWILCH.pdf</v>
      </c>
    </row>
    <row r="5677" spans="1:28" x14ac:dyDescent="0.25">
      <c r="A5677" t="s">
        <v>5680</v>
      </c>
      <c r="B5677">
        <v>0.99930955844802105</v>
      </c>
      <c r="C5677">
        <v>1.0115080904777201</v>
      </c>
      <c r="D5677">
        <v>0.79113204789175395</v>
      </c>
      <c r="E5677">
        <v>0.850641155340783</v>
      </c>
      <c r="F5677">
        <v>0.72173661589012705</v>
      </c>
      <c r="G5677">
        <v>0.72688327925207497</v>
      </c>
      <c r="H5677">
        <v>0.59307680050420197</v>
      </c>
      <c r="I5677">
        <v>0.79521384486858504</v>
      </c>
      <c r="J5677">
        <v>0.70144887425937896</v>
      </c>
      <c r="K5677">
        <v>0.54912936149685598</v>
      </c>
      <c r="L5677">
        <v>575.21763719183696</v>
      </c>
      <c r="M5677">
        <v>11.752449098928601</v>
      </c>
      <c r="O5677">
        <v>47.591868000851001</v>
      </c>
      <c r="P5677">
        <v>-2.1971798571058101E-2</v>
      </c>
      <c r="Q5677">
        <v>0.64419135612085099</v>
      </c>
      <c r="R5677">
        <v>0.73587891787160298</v>
      </c>
      <c r="S5677" t="s">
        <v>12293</v>
      </c>
      <c r="T5677" t="s">
        <v>13232</v>
      </c>
      <c r="U5677" t="s">
        <v>13232</v>
      </c>
      <c r="V5677" t="s">
        <v>13232</v>
      </c>
      <c r="W5677" t="s">
        <v>18839</v>
      </c>
      <c r="X5677">
        <v>13</v>
      </c>
      <c r="Y5677" t="s">
        <v>19800</v>
      </c>
      <c r="Z5677" t="s">
        <v>31808</v>
      </c>
      <c r="AA5677">
        <v>0.7638556871984723</v>
      </c>
      <c r="AB5677" t="str">
        <f>HYPERLINK("Melting_Curves/meltCurve_Q9H910_2_HN1L.pdf", "Melting_Curves/meltCurve_Q9H910_2_HN1L.pdf")</f>
        <v>Melting_Curves/meltCurve_Q9H910_2_HN1L.pdf</v>
      </c>
    </row>
    <row r="5678" spans="1:28" x14ac:dyDescent="0.25">
      <c r="A5678" t="s">
        <v>5681</v>
      </c>
      <c r="B5678">
        <v>0.99930955844802105</v>
      </c>
      <c r="C5678">
        <v>1.07748963368993</v>
      </c>
      <c r="D5678">
        <v>0.58054512754659604</v>
      </c>
      <c r="E5678">
        <v>0.48637901708626702</v>
      </c>
      <c r="F5678">
        <v>0.26399720169699697</v>
      </c>
      <c r="G5678">
        <v>0.19783157014273201</v>
      </c>
      <c r="H5678">
        <v>0.14276928912395301</v>
      </c>
      <c r="I5678">
        <v>0.13590591042269001</v>
      </c>
      <c r="J5678">
        <v>0.12909566632831801</v>
      </c>
      <c r="K5678">
        <v>9.6813809565990602E-2</v>
      </c>
      <c r="L5678">
        <v>844.46699916854095</v>
      </c>
      <c r="M5678">
        <v>17.552651317378601</v>
      </c>
      <c r="N5678">
        <v>48.901600181022999</v>
      </c>
      <c r="O5678">
        <v>47.499082220613502</v>
      </c>
      <c r="P5678">
        <v>-8.0969741411095794E-2</v>
      </c>
      <c r="Q5678">
        <v>0.123601661762252</v>
      </c>
      <c r="R5678">
        <v>0.95293127277919398</v>
      </c>
      <c r="S5678" t="s">
        <v>12294</v>
      </c>
      <c r="T5678" t="s">
        <v>13232</v>
      </c>
      <c r="U5678" t="s">
        <v>13232</v>
      </c>
      <c r="V5678" t="s">
        <v>13232</v>
      </c>
      <c r="W5678" t="s">
        <v>18840</v>
      </c>
      <c r="X5678">
        <v>16</v>
      </c>
      <c r="Y5678" t="s">
        <v>25229</v>
      </c>
      <c r="Z5678" t="s">
        <v>31809</v>
      </c>
      <c r="AA5678">
        <v>0.37686503908217123</v>
      </c>
      <c r="AB5678" t="str">
        <f>HYPERLINK("Melting_Curves/meltCurve_Q9H939_PSTPIP2.pdf", "Melting_Curves/meltCurve_Q9H939_PSTPIP2.pdf")</f>
        <v>Melting_Curves/meltCurve_Q9H939_PSTPIP2.pdf</v>
      </c>
    </row>
    <row r="5679" spans="1:28" x14ac:dyDescent="0.25">
      <c r="A5679" t="s">
        <v>5682</v>
      </c>
      <c r="B5679">
        <v>0.99930955844802105</v>
      </c>
      <c r="C5679">
        <v>1.0256049999238901</v>
      </c>
      <c r="D5679">
        <v>1.0136866768961601</v>
      </c>
      <c r="E5679">
        <v>0.93354086644560796</v>
      </c>
      <c r="F5679">
        <v>0.671061869590175</v>
      </c>
      <c r="G5679">
        <v>0.37465599880225497</v>
      </c>
      <c r="H5679">
        <v>0.15803168568668499</v>
      </c>
      <c r="I5679">
        <v>0.12514900061371501</v>
      </c>
      <c r="J5679">
        <v>0.10834209077153401</v>
      </c>
      <c r="K5679">
        <v>8.3976826779164307E-2</v>
      </c>
      <c r="L5679">
        <v>1231.90786651597</v>
      </c>
      <c r="M5679">
        <v>22.507710509116801</v>
      </c>
      <c r="N5679">
        <v>55.201740015517601</v>
      </c>
      <c r="O5679">
        <v>54.3061478150303</v>
      </c>
      <c r="P5679">
        <v>-9.4598962772237796E-2</v>
      </c>
      <c r="Q5679">
        <v>8.7032791866937506E-2</v>
      </c>
      <c r="R5679">
        <v>0.99729387632632904</v>
      </c>
      <c r="S5679" t="s">
        <v>12295</v>
      </c>
      <c r="T5679" t="s">
        <v>13232</v>
      </c>
      <c r="U5679" t="s">
        <v>13232</v>
      </c>
      <c r="V5679" t="s">
        <v>13232</v>
      </c>
      <c r="W5679" t="s">
        <v>18841</v>
      </c>
      <c r="X5679">
        <v>9</v>
      </c>
      <c r="Y5679" t="s">
        <v>25230</v>
      </c>
      <c r="Z5679" t="s">
        <v>31810</v>
      </c>
      <c r="AA5679">
        <v>0.54550946904779674</v>
      </c>
      <c r="AB5679" t="str">
        <f>HYPERLINK("Melting_Curves/meltCurve_Q9H944_MED20.pdf", "Melting_Curves/meltCurve_Q9H944_MED20.pdf")</f>
        <v>Melting_Curves/meltCurve_Q9H944_MED20.pdf</v>
      </c>
    </row>
    <row r="5680" spans="1:28" x14ac:dyDescent="0.25">
      <c r="A5680" t="s">
        <v>5683</v>
      </c>
      <c r="B5680">
        <v>0.99930955844802105</v>
      </c>
      <c r="C5680">
        <v>0.83383017281073801</v>
      </c>
      <c r="D5680">
        <v>0.69626540732376896</v>
      </c>
      <c r="E5680">
        <v>0.57750661822280203</v>
      </c>
      <c r="F5680">
        <v>0.68885587043682195</v>
      </c>
      <c r="G5680">
        <v>0.61954483052053499</v>
      </c>
      <c r="H5680">
        <v>0.37318351617635498</v>
      </c>
      <c r="I5680">
        <v>0.40727066943689</v>
      </c>
      <c r="J5680">
        <v>0.51424540145987896</v>
      </c>
      <c r="K5680">
        <v>0.30846847730028198</v>
      </c>
      <c r="L5680">
        <v>332.80332136212201</v>
      </c>
      <c r="M5680">
        <v>6.46634591985916</v>
      </c>
      <c r="N5680">
        <v>58.497515818754202</v>
      </c>
      <c r="O5680">
        <v>47.207853980534402</v>
      </c>
      <c r="P5680">
        <v>-2.50550271249185E-2</v>
      </c>
      <c r="Q5680">
        <v>0.27014470857231199</v>
      </c>
      <c r="R5680">
        <v>0.83809329179707004</v>
      </c>
      <c r="S5680" t="s">
        <v>12296</v>
      </c>
      <c r="T5680" t="s">
        <v>13232</v>
      </c>
      <c r="U5680" t="s">
        <v>13232</v>
      </c>
      <c r="V5680" t="s">
        <v>13232</v>
      </c>
      <c r="W5680" t="s">
        <v>18842</v>
      </c>
      <c r="X5680">
        <v>3</v>
      </c>
      <c r="Y5680" t="s">
        <v>25231</v>
      </c>
      <c r="Z5680" t="s">
        <v>31811</v>
      </c>
      <c r="AA5680">
        <v>0.59317486226960425</v>
      </c>
      <c r="AB5680" t="str">
        <f>HYPERLINK("Melting_Curves/meltCurve_Q9H967_WDR76.pdf", "Melting_Curves/meltCurve_Q9H967_WDR76.pdf")</f>
        <v>Melting_Curves/meltCurve_Q9H967_WDR76.pdf</v>
      </c>
    </row>
    <row r="5681" spans="1:28" x14ac:dyDescent="0.25">
      <c r="A5681" t="s">
        <v>5684</v>
      </c>
      <c r="B5681">
        <v>0.99930955844802105</v>
      </c>
      <c r="C5681">
        <v>0.84236377039154697</v>
      </c>
      <c r="D5681">
        <v>0.81163824831359299</v>
      </c>
      <c r="E5681">
        <v>0.70149570127934602</v>
      </c>
      <c r="F5681">
        <v>0.54636346542805303</v>
      </c>
      <c r="G5681">
        <v>0.31940044987926303</v>
      </c>
      <c r="H5681">
        <v>0.128255914091014</v>
      </c>
      <c r="I5681">
        <v>0.104170742749553</v>
      </c>
      <c r="J5681">
        <v>8.1795984740591701E-2</v>
      </c>
      <c r="K5681">
        <v>6.6309021037627994E-2</v>
      </c>
      <c r="L5681">
        <v>601.31308473380898</v>
      </c>
      <c r="M5681">
        <v>11.339211514349101</v>
      </c>
      <c r="N5681">
        <v>53.029530245087699</v>
      </c>
      <c r="O5681">
        <v>51.460539405574302</v>
      </c>
      <c r="P5681">
        <v>-5.5103456565920597E-2</v>
      </c>
      <c r="Q5681">
        <v>0</v>
      </c>
      <c r="R5681">
        <v>0.98490610340213502</v>
      </c>
      <c r="S5681" t="s">
        <v>12297</v>
      </c>
      <c r="T5681" t="s">
        <v>13232</v>
      </c>
      <c r="U5681" t="s">
        <v>13232</v>
      </c>
      <c r="V5681" t="s">
        <v>13232</v>
      </c>
      <c r="W5681" t="s">
        <v>18843</v>
      </c>
      <c r="X5681">
        <v>14</v>
      </c>
      <c r="Y5681" t="s">
        <v>25232</v>
      </c>
      <c r="Z5681" t="s">
        <v>31812</v>
      </c>
      <c r="AA5681">
        <v>0.46450910463411682</v>
      </c>
      <c r="AB5681" t="str">
        <f>HYPERLINK("Melting_Curves/meltCurve_Q9H974_QTRTD1.pdf", "Melting_Curves/meltCurve_Q9H974_QTRTD1.pdf")</f>
        <v>Melting_Curves/meltCurve_Q9H974_QTRTD1.pdf</v>
      </c>
    </row>
    <row r="5682" spans="1:28" x14ac:dyDescent="0.25">
      <c r="A5682" t="s">
        <v>5685</v>
      </c>
      <c r="B5682">
        <v>0.99930955844802105</v>
      </c>
      <c r="C5682">
        <v>0.85251420447298498</v>
      </c>
      <c r="D5682">
        <v>0.73020425115175702</v>
      </c>
      <c r="E5682">
        <v>0.28311464024495903</v>
      </c>
      <c r="F5682">
        <v>0.13338879386211</v>
      </c>
      <c r="G5682">
        <v>0.111296606684442</v>
      </c>
      <c r="H5682">
        <v>5.8326218171862301E-2</v>
      </c>
      <c r="I5682">
        <v>3.4857157789262003E-2</v>
      </c>
      <c r="J5682">
        <v>2.66737984693327E-2</v>
      </c>
      <c r="K5682">
        <v>1.7338301398382501E-2</v>
      </c>
      <c r="L5682">
        <v>960.30088498164196</v>
      </c>
      <c r="M5682">
        <v>20.135325500207699</v>
      </c>
      <c r="N5682">
        <v>47.858894022336202</v>
      </c>
      <c r="O5682">
        <v>47.229403921764401</v>
      </c>
      <c r="P5682">
        <v>-0.102979467898586</v>
      </c>
      <c r="Q5682">
        <v>3.3836382110704097E-2</v>
      </c>
      <c r="R5682">
        <v>0.99363164633155399</v>
      </c>
      <c r="S5682" t="s">
        <v>12298</v>
      </c>
      <c r="T5682" t="s">
        <v>13232</v>
      </c>
      <c r="U5682" t="s">
        <v>13232</v>
      </c>
      <c r="V5682" t="s">
        <v>13232</v>
      </c>
      <c r="W5682" t="s">
        <v>18844</v>
      </c>
      <c r="X5682">
        <v>10</v>
      </c>
      <c r="Y5682" t="s">
        <v>25233</v>
      </c>
      <c r="Z5682" t="s">
        <v>31813</v>
      </c>
      <c r="AA5682">
        <v>0.29520142654387171</v>
      </c>
      <c r="AB5682" t="str">
        <f>HYPERLINK("Melting_Curves/meltCurve_Q9H993_C6orf211.pdf", "Melting_Curves/meltCurve_Q9H993_C6orf211.pdf")</f>
        <v>Melting_Curves/meltCurve_Q9H993_C6orf211.pdf</v>
      </c>
    </row>
    <row r="5683" spans="1:28" x14ac:dyDescent="0.25">
      <c r="A5683" t="s">
        <v>5686</v>
      </c>
      <c r="B5683">
        <v>0.99930955844802105</v>
      </c>
      <c r="C5683">
        <v>0.97062956798255995</v>
      </c>
      <c r="D5683">
        <v>0.93539691503533096</v>
      </c>
      <c r="E5683">
        <v>0.75190421396961704</v>
      </c>
      <c r="F5683">
        <v>0.42590513968494997</v>
      </c>
      <c r="G5683">
        <v>0.15201579863853401</v>
      </c>
      <c r="H5683">
        <v>9.3544510562409297E-2</v>
      </c>
      <c r="I5683">
        <v>7.3638006657508207E-2</v>
      </c>
      <c r="J5683">
        <v>8.2876009506077597E-2</v>
      </c>
      <c r="K5683">
        <v>4.1085797768607102E-2</v>
      </c>
      <c r="L5683">
        <v>1237.4689073162599</v>
      </c>
      <c r="M5683">
        <v>23.788473055175999</v>
      </c>
      <c r="N5683">
        <v>52.296343167078298</v>
      </c>
      <c r="O5683">
        <v>51.656259410067797</v>
      </c>
      <c r="P5683">
        <v>-0.10832359704993499</v>
      </c>
      <c r="Q5683">
        <v>5.9124108910786503E-2</v>
      </c>
      <c r="R5683">
        <v>0.99854106820519395</v>
      </c>
      <c r="S5683" t="s">
        <v>12299</v>
      </c>
      <c r="T5683" t="s">
        <v>13232</v>
      </c>
      <c r="U5683" t="s">
        <v>13232</v>
      </c>
      <c r="V5683" t="s">
        <v>13232</v>
      </c>
      <c r="W5683" t="s">
        <v>18845</v>
      </c>
      <c r="X5683">
        <v>7</v>
      </c>
      <c r="Y5683" t="s">
        <v>25234</v>
      </c>
      <c r="Z5683" t="s">
        <v>31814</v>
      </c>
      <c r="AA5683">
        <v>0.4455389365398445</v>
      </c>
      <c r="AB5683" t="str">
        <f>HYPERLINK("Melting_Curves/meltCurve_Q9H999_PANK3.pdf", "Melting_Curves/meltCurve_Q9H999_PANK3.pdf")</f>
        <v>Melting_Curves/meltCurve_Q9H999_PANK3.pdf</v>
      </c>
    </row>
    <row r="5684" spans="1:28" x14ac:dyDescent="0.25">
      <c r="A5684" t="s">
        <v>5687</v>
      </c>
      <c r="B5684">
        <v>0.99930955844802105</v>
      </c>
      <c r="C5684">
        <v>0.91255244672915603</v>
      </c>
      <c r="D5684">
        <v>0.88980673268716504</v>
      </c>
      <c r="E5684">
        <v>0.74491649686516304</v>
      </c>
      <c r="F5684">
        <v>0.27854094221617398</v>
      </c>
      <c r="G5684">
        <v>0.16982945874444899</v>
      </c>
      <c r="H5684">
        <v>0.101505498281452</v>
      </c>
      <c r="I5684">
        <v>0.104394492001877</v>
      </c>
      <c r="J5684">
        <v>8.9891599353833798E-2</v>
      </c>
      <c r="K5684">
        <v>6.7728693007503601E-2</v>
      </c>
      <c r="L5684">
        <v>1644.1006145199899</v>
      </c>
      <c r="M5684">
        <v>32.1404941427501</v>
      </c>
      <c r="N5684">
        <v>51.489294088284701</v>
      </c>
      <c r="O5684">
        <v>50.956752055989902</v>
      </c>
      <c r="P5684">
        <v>-0.14277913500967601</v>
      </c>
      <c r="Q5684">
        <v>9.4534794408575901E-2</v>
      </c>
      <c r="R5684">
        <v>0.98569191878745199</v>
      </c>
      <c r="S5684" t="s">
        <v>12300</v>
      </c>
      <c r="T5684" t="s">
        <v>13232</v>
      </c>
      <c r="U5684" t="s">
        <v>13232</v>
      </c>
      <c r="V5684" t="s">
        <v>13232</v>
      </c>
      <c r="W5684" t="s">
        <v>18846</v>
      </c>
      <c r="X5684">
        <v>19</v>
      </c>
      <c r="Y5684" t="s">
        <v>25235</v>
      </c>
      <c r="Z5684" t="s">
        <v>31815</v>
      </c>
      <c r="AA5684">
        <v>0.43614462251249247</v>
      </c>
      <c r="AB5684" t="str">
        <f>HYPERLINK("Melting_Curves/meltCurve_Q9H9A5_2_CNOT10.pdf", "Melting_Curves/meltCurve_Q9H9A5_2_CNOT10.pdf")</f>
        <v>Melting_Curves/meltCurve_Q9H9A5_2_CNOT10.pdf</v>
      </c>
    </row>
    <row r="5685" spans="1:28" x14ac:dyDescent="0.25">
      <c r="A5685" t="s">
        <v>5688</v>
      </c>
      <c r="B5685">
        <v>0.99930955844802105</v>
      </c>
      <c r="C5685">
        <v>0.99383159114161002</v>
      </c>
      <c r="D5685">
        <v>0.95409024882764204</v>
      </c>
      <c r="E5685">
        <v>0.611912298784558</v>
      </c>
      <c r="F5685">
        <v>0.21386377792858199</v>
      </c>
      <c r="G5685">
        <v>0.144404247652753</v>
      </c>
      <c r="H5685">
        <v>8.5075350086377899E-2</v>
      </c>
      <c r="I5685">
        <v>7.0555404591599799E-2</v>
      </c>
      <c r="J5685">
        <v>5.8614049597909897E-2</v>
      </c>
      <c r="K5685">
        <v>4.5487250277867097E-2</v>
      </c>
      <c r="L5685">
        <v>1625.4982178861501</v>
      </c>
      <c r="M5685">
        <v>32.218752876973397</v>
      </c>
      <c r="N5685">
        <v>50.697821635480899</v>
      </c>
      <c r="O5685">
        <v>50.258757798045004</v>
      </c>
      <c r="P5685">
        <v>-0.148672514536798</v>
      </c>
      <c r="Q5685">
        <v>7.2334153769918003E-2</v>
      </c>
      <c r="R5685">
        <v>0.99747959684887599</v>
      </c>
      <c r="S5685" t="s">
        <v>12301</v>
      </c>
      <c r="T5685" t="s">
        <v>13232</v>
      </c>
      <c r="U5685" t="s">
        <v>13232</v>
      </c>
      <c r="V5685" t="s">
        <v>13232</v>
      </c>
      <c r="W5685" t="s">
        <v>18847</v>
      </c>
      <c r="X5685">
        <v>26</v>
      </c>
      <c r="Y5685" t="s">
        <v>25236</v>
      </c>
      <c r="Z5685" t="s">
        <v>31816</v>
      </c>
      <c r="AA5685">
        <v>0.4005367111869429</v>
      </c>
      <c r="AB5685" t="str">
        <f>HYPERLINK("Melting_Curves/meltCurve_Q9H9A6_LRRC40.pdf", "Melting_Curves/meltCurve_Q9H9A6_LRRC40.pdf")</f>
        <v>Melting_Curves/meltCurve_Q9H9A6_LRRC40.pdf</v>
      </c>
    </row>
    <row r="5686" spans="1:28" x14ac:dyDescent="0.25">
      <c r="A5686" t="s">
        <v>5689</v>
      </c>
      <c r="B5686">
        <v>0.99930955844802105</v>
      </c>
      <c r="C5686">
        <v>1.6500810301165101</v>
      </c>
      <c r="D5686">
        <v>1.4402341547548101</v>
      </c>
      <c r="E5686">
        <v>1.55701975866176</v>
      </c>
      <c r="F5686">
        <v>1.4776454625259301</v>
      </c>
      <c r="G5686">
        <v>1.4402064058364601</v>
      </c>
      <c r="H5686">
        <v>1.70305118784905</v>
      </c>
      <c r="I5686">
        <v>1.7188274241681401</v>
      </c>
      <c r="J5686">
        <v>1.73419572934655</v>
      </c>
      <c r="K5686">
        <v>1.5704311041880199</v>
      </c>
      <c r="L5686">
        <v>10256.0329499456</v>
      </c>
      <c r="M5686">
        <v>250</v>
      </c>
      <c r="O5686">
        <v>41.021509337633397</v>
      </c>
      <c r="P5686">
        <v>0.76179552336615997</v>
      </c>
      <c r="Q5686">
        <v>1.5</v>
      </c>
      <c r="R5686">
        <v>0.57050308510102998</v>
      </c>
      <c r="S5686" t="s">
        <v>12302</v>
      </c>
      <c r="T5686" t="s">
        <v>13232</v>
      </c>
      <c r="U5686" t="s">
        <v>13232</v>
      </c>
      <c r="V5686" t="s">
        <v>13232</v>
      </c>
      <c r="W5686" t="s">
        <v>18848</v>
      </c>
      <c r="X5686">
        <v>3</v>
      </c>
      <c r="Y5686" t="s">
        <v>25237</v>
      </c>
      <c r="Z5686" t="s">
        <v>31817</v>
      </c>
      <c r="AA5686">
        <v>1.4828908585118969</v>
      </c>
      <c r="AB5686" t="str">
        <f>HYPERLINK("Melting_Curves/meltCurve_Q9H9A7_RMI1.pdf", "Melting_Curves/meltCurve_Q9H9A7_RMI1.pdf")</f>
        <v>Melting_Curves/meltCurve_Q9H9A7_RMI1.pdf</v>
      </c>
    </row>
    <row r="5687" spans="1:28" x14ac:dyDescent="0.25">
      <c r="A5687" t="s">
        <v>5690</v>
      </c>
      <c r="B5687">
        <v>0.99930955844802105</v>
      </c>
      <c r="C5687">
        <v>0.98502865268154705</v>
      </c>
      <c r="D5687">
        <v>0.84477246636055003</v>
      </c>
      <c r="E5687">
        <v>0.668147340639487</v>
      </c>
      <c r="F5687">
        <v>0.44298838221244802</v>
      </c>
      <c r="G5687">
        <v>0.36088446611714198</v>
      </c>
      <c r="H5687">
        <v>0.33102840420288498</v>
      </c>
      <c r="I5687">
        <v>0.35704101364942797</v>
      </c>
      <c r="J5687">
        <v>0.34431502636179701</v>
      </c>
      <c r="K5687">
        <v>0.27643397215608001</v>
      </c>
      <c r="L5687">
        <v>950.86853653253797</v>
      </c>
      <c r="M5687">
        <v>19.161874806293898</v>
      </c>
      <c r="N5687">
        <v>52.336849977282498</v>
      </c>
      <c r="O5687">
        <v>49.091964065837601</v>
      </c>
      <c r="P5687">
        <v>-6.6857104091207403E-2</v>
      </c>
      <c r="Q5687">
        <v>0.314885392363424</v>
      </c>
      <c r="R5687">
        <v>0.99083230677967404</v>
      </c>
      <c r="S5687" t="s">
        <v>12303</v>
      </c>
      <c r="T5687" t="s">
        <v>13232</v>
      </c>
      <c r="U5687" t="s">
        <v>13232</v>
      </c>
      <c r="V5687" t="s">
        <v>13232</v>
      </c>
      <c r="W5687" t="s">
        <v>18849</v>
      </c>
      <c r="X5687">
        <v>19</v>
      </c>
      <c r="Y5687" t="s">
        <v>25238</v>
      </c>
      <c r="Z5687" t="s">
        <v>31818</v>
      </c>
      <c r="AA5687">
        <v>0.54504198162953843</v>
      </c>
      <c r="AB5687" t="str">
        <f>HYPERLINK("Melting_Curves/meltCurve_Q9H9B1_EHMT1.pdf", "Melting_Curves/meltCurve_Q9H9B1_EHMT1.pdf")</f>
        <v>Melting_Curves/meltCurve_Q9H9B1_EHMT1.pdf</v>
      </c>
    </row>
    <row r="5688" spans="1:28" x14ac:dyDescent="0.25">
      <c r="A5688" t="s">
        <v>5691</v>
      </c>
      <c r="B5688">
        <v>0.99930955844802105</v>
      </c>
      <c r="C5688">
        <v>0.97893330451539695</v>
      </c>
      <c r="D5688">
        <v>0.92146054569007996</v>
      </c>
      <c r="E5688">
        <v>0.81840267474861605</v>
      </c>
      <c r="F5688">
        <v>0.65487793226661795</v>
      </c>
      <c r="G5688">
        <v>0.14201206404459801</v>
      </c>
      <c r="H5688">
        <v>7.1462839448588306E-2</v>
      </c>
      <c r="I5688">
        <v>2.8178465682729099E-2</v>
      </c>
      <c r="J5688">
        <v>2.2622828223384499E-2</v>
      </c>
      <c r="K5688">
        <v>1.5731813979924601E-2</v>
      </c>
      <c r="L5688">
        <v>1363.00309819267</v>
      </c>
      <c r="M5688">
        <v>25.354067987202399</v>
      </c>
      <c r="N5688">
        <v>53.797369666792299</v>
      </c>
      <c r="O5688">
        <v>53.4276821625404</v>
      </c>
      <c r="P5688">
        <v>-0.117569441384148</v>
      </c>
      <c r="Q5688">
        <v>9.0140564720219002E-3</v>
      </c>
      <c r="R5688">
        <v>0.991657375445268</v>
      </c>
      <c r="S5688" t="s">
        <v>12304</v>
      </c>
      <c r="T5688" t="s">
        <v>13232</v>
      </c>
      <c r="U5688" t="s">
        <v>13232</v>
      </c>
      <c r="V5688" t="s">
        <v>13232</v>
      </c>
      <c r="W5688" t="s">
        <v>18850</v>
      </c>
      <c r="X5688">
        <v>2</v>
      </c>
      <c r="Y5688" t="s">
        <v>25239</v>
      </c>
      <c r="Z5688" t="s">
        <v>31819</v>
      </c>
      <c r="AA5688">
        <v>0.47243385518799269</v>
      </c>
      <c r="AB5688" t="str">
        <f>HYPERLINK("Melting_Curves/meltCurve_Q9H9B4_SFXN1.pdf", "Melting_Curves/meltCurve_Q9H9B4_SFXN1.pdf")</f>
        <v>Melting_Curves/meltCurve_Q9H9B4_SFXN1.pdf</v>
      </c>
    </row>
    <row r="5689" spans="1:28" x14ac:dyDescent="0.25">
      <c r="A5689" t="s">
        <v>5692</v>
      </c>
      <c r="B5689">
        <v>0.99930955844802105</v>
      </c>
      <c r="C5689">
        <v>0.96009705038028803</v>
      </c>
      <c r="D5689">
        <v>0.76253006233211396</v>
      </c>
      <c r="E5689">
        <v>0.57532692350399395</v>
      </c>
      <c r="F5689">
        <v>0.410923614425794</v>
      </c>
      <c r="G5689">
        <v>0.41054061795112701</v>
      </c>
      <c r="H5689">
        <v>0.37803517288130301</v>
      </c>
      <c r="I5689">
        <v>0.41697401666947798</v>
      </c>
      <c r="J5689">
        <v>0.33640969890775102</v>
      </c>
      <c r="K5689">
        <v>0.23938400792956699</v>
      </c>
      <c r="L5689">
        <v>841.629767823213</v>
      </c>
      <c r="M5689">
        <v>17.5275649699655</v>
      </c>
      <c r="N5689">
        <v>51.3052310741502</v>
      </c>
      <c r="O5689">
        <v>47.4055356173455</v>
      </c>
      <c r="P5689">
        <v>-6.1251983227319298E-2</v>
      </c>
      <c r="Q5689">
        <v>0.33738109364358299</v>
      </c>
      <c r="R5689">
        <v>0.967946567458987</v>
      </c>
      <c r="S5689" t="s">
        <v>12305</v>
      </c>
      <c r="T5689" t="s">
        <v>13232</v>
      </c>
      <c r="U5689" t="s">
        <v>13232</v>
      </c>
      <c r="V5689" t="s">
        <v>13232</v>
      </c>
      <c r="W5689" t="s">
        <v>18851</v>
      </c>
      <c r="X5689">
        <v>11</v>
      </c>
      <c r="Y5689" t="s">
        <v>25240</v>
      </c>
      <c r="Z5689" t="s">
        <v>31820</v>
      </c>
      <c r="AA5689">
        <v>0.52688495067409513</v>
      </c>
      <c r="AB5689" t="str">
        <f>HYPERLINK("Melting_Curves/meltCurve_Q9H9C1_2_VIPAS39.pdf", "Melting_Curves/meltCurve_Q9H9C1_2_VIPAS39.pdf")</f>
        <v>Melting_Curves/meltCurve_Q9H9C1_2_VIPAS39.pdf</v>
      </c>
    </row>
    <row r="5690" spans="1:28" x14ac:dyDescent="0.25">
      <c r="A5690" t="s">
        <v>5693</v>
      </c>
      <c r="B5690">
        <v>0.99930955844802105</v>
      </c>
      <c r="C5690">
        <v>0.95955013015925295</v>
      </c>
      <c r="D5690">
        <v>0.92654109825710496</v>
      </c>
      <c r="E5690">
        <v>0.77771514797187202</v>
      </c>
      <c r="F5690">
        <v>0.51693573465906295</v>
      </c>
      <c r="G5690">
        <v>0.45699067562330098</v>
      </c>
      <c r="H5690">
        <v>0.37928640745710501</v>
      </c>
      <c r="I5690">
        <v>0.41550376724018001</v>
      </c>
      <c r="J5690">
        <v>0.38574903222411</v>
      </c>
      <c r="K5690">
        <v>0.29459524811005799</v>
      </c>
      <c r="L5690">
        <v>1014.71890500117</v>
      </c>
      <c r="M5690">
        <v>19.895666468639298</v>
      </c>
      <c r="N5690">
        <v>54.469285839469599</v>
      </c>
      <c r="O5690">
        <v>50.495138768485198</v>
      </c>
      <c r="P5690">
        <v>-6.3133834557226806E-2</v>
      </c>
      <c r="Q5690">
        <v>0.35908741488725898</v>
      </c>
      <c r="R5690">
        <v>0.98213699390179798</v>
      </c>
      <c r="S5690" t="s">
        <v>12306</v>
      </c>
      <c r="T5690" t="s">
        <v>13232</v>
      </c>
      <c r="U5690" t="s">
        <v>13232</v>
      </c>
      <c r="V5690" t="s">
        <v>13232</v>
      </c>
      <c r="W5690" t="s">
        <v>18852</v>
      </c>
      <c r="X5690">
        <v>1</v>
      </c>
      <c r="Y5690" t="s">
        <v>25241</v>
      </c>
      <c r="Z5690" t="s">
        <v>31821</v>
      </c>
      <c r="AA5690">
        <v>0.60311582593868784</v>
      </c>
      <c r="AB5690" t="str">
        <f>HYPERLINK("Melting_Curves/meltCurve_Q9H9D4_ZNF408.pdf", "Melting_Curves/meltCurve_Q9H9D4_ZNF408.pdf")</f>
        <v>Melting_Curves/meltCurve_Q9H9D4_ZNF408.pdf</v>
      </c>
    </row>
    <row r="5691" spans="1:28" x14ac:dyDescent="0.25">
      <c r="A5691" t="s">
        <v>5694</v>
      </c>
      <c r="B5691">
        <v>0.99930955844802105</v>
      </c>
      <c r="C5691">
        <v>0.67812857571499796</v>
      </c>
      <c r="D5691">
        <v>0.40436017843225103</v>
      </c>
      <c r="E5691">
        <v>0.216342534742442</v>
      </c>
      <c r="F5691">
        <v>0.14693545717621101</v>
      </c>
      <c r="G5691">
        <v>0.105297449496463</v>
      </c>
      <c r="H5691">
        <v>7.2472039736039703E-2</v>
      </c>
      <c r="I5691">
        <v>6.6796678639816601E-2</v>
      </c>
      <c r="J5691">
        <v>6.0410327509957201E-2</v>
      </c>
      <c r="K5691">
        <v>5.07569167970413E-2</v>
      </c>
      <c r="L5691">
        <v>859.465908258941</v>
      </c>
      <c r="M5691">
        <v>19.206155765804102</v>
      </c>
      <c r="N5691">
        <v>45.1285383506698</v>
      </c>
      <c r="O5691">
        <v>44.2728414913839</v>
      </c>
      <c r="P5691">
        <v>-0.10037848766176601</v>
      </c>
      <c r="Q5691">
        <v>7.4490248251768407E-2</v>
      </c>
      <c r="R5691">
        <v>0.98684228235377602</v>
      </c>
      <c r="S5691" t="s">
        <v>12307</v>
      </c>
      <c r="T5691" t="s">
        <v>13232</v>
      </c>
      <c r="U5691" t="s">
        <v>13232</v>
      </c>
      <c r="V5691" t="s">
        <v>13232</v>
      </c>
      <c r="W5691" t="s">
        <v>18853</v>
      </c>
      <c r="X5691">
        <v>22</v>
      </c>
      <c r="Y5691" t="s">
        <v>25242</v>
      </c>
      <c r="Z5691" t="s">
        <v>31822</v>
      </c>
      <c r="AA5691">
        <v>0.2387446725464365</v>
      </c>
      <c r="AB5691" t="str">
        <f>HYPERLINK("Melting_Curves/meltCurve_Q9H9E3_COG4.pdf", "Melting_Curves/meltCurve_Q9H9E3_COG4.pdf")</f>
        <v>Melting_Curves/meltCurve_Q9H9E3_COG4.pdf</v>
      </c>
    </row>
    <row r="5692" spans="1:28" x14ac:dyDescent="0.25">
      <c r="A5692" t="s">
        <v>5695</v>
      </c>
      <c r="B5692">
        <v>0.99930955844802105</v>
      </c>
      <c r="C5692">
        <v>1.1545815786482001</v>
      </c>
      <c r="D5692">
        <v>0.99275268626351498</v>
      </c>
      <c r="E5692">
        <v>0.95456395974744901</v>
      </c>
      <c r="F5692">
        <v>0.90475136494699004</v>
      </c>
      <c r="G5692">
        <v>0.76871578014859998</v>
      </c>
      <c r="H5692">
        <v>0.83020565194729501</v>
      </c>
      <c r="I5692">
        <v>0.72871711162110697</v>
      </c>
      <c r="J5692">
        <v>0.73627477065451097</v>
      </c>
      <c r="K5692">
        <v>0.55409314768249496</v>
      </c>
      <c r="L5692">
        <v>461.56188202857402</v>
      </c>
      <c r="M5692">
        <v>6.3639339109922304</v>
      </c>
      <c r="O5692">
        <v>66.357484294837604</v>
      </c>
      <c r="P5692">
        <v>-2.16161407821867E-2</v>
      </c>
      <c r="Q5692">
        <v>0.100781299812378</v>
      </c>
      <c r="R5692">
        <v>0.83004400106549603</v>
      </c>
      <c r="S5692" t="s">
        <v>12308</v>
      </c>
      <c r="T5692" t="s">
        <v>13232</v>
      </c>
      <c r="U5692" t="s">
        <v>13232</v>
      </c>
      <c r="V5692" t="s">
        <v>13232</v>
      </c>
      <c r="W5692" t="s">
        <v>18854</v>
      </c>
      <c r="X5692">
        <v>1</v>
      </c>
      <c r="Y5692" t="s">
        <v>25243</v>
      </c>
      <c r="Z5692" t="s">
        <v>31823</v>
      </c>
      <c r="AA5692">
        <v>0.85938503071952643</v>
      </c>
      <c r="AB5692" t="str">
        <f>HYPERLINK("Melting_Curves/meltCurve_Q9H9F9_ACTR5.pdf", "Melting_Curves/meltCurve_Q9H9F9_ACTR5.pdf")</f>
        <v>Melting_Curves/meltCurve_Q9H9F9_ACTR5.pdf</v>
      </c>
    </row>
    <row r="5693" spans="1:28" x14ac:dyDescent="0.25">
      <c r="A5693" t="s">
        <v>5696</v>
      </c>
      <c r="B5693">
        <v>0.99930955844802105</v>
      </c>
      <c r="C5693">
        <v>0.89487730352499095</v>
      </c>
      <c r="D5693">
        <v>0.91480252391377803</v>
      </c>
      <c r="E5693">
        <v>1.0485746647155201</v>
      </c>
      <c r="F5693">
        <v>1.06753000952048</v>
      </c>
      <c r="G5693">
        <v>0.857747852557465</v>
      </c>
      <c r="H5693">
        <v>0.405816152656507</v>
      </c>
      <c r="I5693">
        <v>0.35026751022191199</v>
      </c>
      <c r="J5693">
        <v>0.30037816138544099</v>
      </c>
      <c r="K5693">
        <v>9.3307876291577205E-2</v>
      </c>
      <c r="L5693">
        <v>1900.4860036264099</v>
      </c>
      <c r="M5693">
        <v>31.902024536574402</v>
      </c>
      <c r="N5693">
        <v>60.533613936350797</v>
      </c>
      <c r="O5693">
        <v>59.339969777272401</v>
      </c>
      <c r="P5693">
        <v>-0.107699220296952</v>
      </c>
      <c r="Q5693">
        <v>0.198692144744989</v>
      </c>
      <c r="R5693">
        <v>0.95435252680070004</v>
      </c>
      <c r="S5693" t="s">
        <v>12309</v>
      </c>
      <c r="T5693" t="s">
        <v>13232</v>
      </c>
      <c r="U5693" t="s">
        <v>13232</v>
      </c>
      <c r="V5693" t="s">
        <v>13232</v>
      </c>
      <c r="W5693" t="s">
        <v>18855</v>
      </c>
      <c r="X5693">
        <v>20</v>
      </c>
      <c r="Y5693" t="s">
        <v>25244</v>
      </c>
      <c r="Z5693" t="s">
        <v>31824</v>
      </c>
      <c r="AA5693">
        <v>0.72605530764080828</v>
      </c>
      <c r="AB5693" t="str">
        <f>HYPERLINK("Melting_Curves/meltCurve_Q9H9G7_AGO3.pdf", "Melting_Curves/meltCurve_Q9H9G7_AGO3.pdf")</f>
        <v>Melting_Curves/meltCurve_Q9H9G7_AGO3.pdf</v>
      </c>
    </row>
    <row r="5694" spans="1:28" x14ac:dyDescent="0.25">
      <c r="A5694" t="s">
        <v>5697</v>
      </c>
      <c r="B5694">
        <v>0.99930955844802105</v>
      </c>
      <c r="C5694">
        <v>1.0763639099842099</v>
      </c>
      <c r="D5694">
        <v>1.0562338617595299</v>
      </c>
      <c r="E5694">
        <v>0.827953114783607</v>
      </c>
      <c r="F5694">
        <v>0.34094277466182998</v>
      </c>
      <c r="G5694">
        <v>0.19275448310318999</v>
      </c>
      <c r="H5694">
        <v>9.0661519473633406E-2</v>
      </c>
      <c r="I5694">
        <v>6.06266303970944E-2</v>
      </c>
      <c r="J5694">
        <v>4.9636691622566002E-2</v>
      </c>
      <c r="K5694">
        <v>2.93304667104517E-2</v>
      </c>
      <c r="L5694">
        <v>1912.40428904039</v>
      </c>
      <c r="M5694">
        <v>36.854453132939703</v>
      </c>
      <c r="N5694">
        <v>52.115701698102797</v>
      </c>
      <c r="O5694">
        <v>51.738654842323903</v>
      </c>
      <c r="P5694">
        <v>-0.16498386994487699</v>
      </c>
      <c r="Q5694">
        <v>7.3542738869865704E-2</v>
      </c>
      <c r="R5694">
        <v>0.98880721218444101</v>
      </c>
      <c r="S5694" t="s">
        <v>12310</v>
      </c>
      <c r="T5694" t="s">
        <v>13232</v>
      </c>
      <c r="U5694" t="s">
        <v>13232</v>
      </c>
      <c r="V5694" t="s">
        <v>13232</v>
      </c>
      <c r="W5694" t="s">
        <v>18856</v>
      </c>
      <c r="X5694">
        <v>9</v>
      </c>
      <c r="Y5694" t="s">
        <v>25245</v>
      </c>
      <c r="Z5694" t="s">
        <v>31825</v>
      </c>
      <c r="AA5694">
        <v>0.44466712744338421</v>
      </c>
      <c r="AB5694" t="str">
        <f>HYPERLINK("Melting_Curves/meltCurve_Q9H9H4_VPS37B.pdf", "Melting_Curves/meltCurve_Q9H9H4_VPS37B.pdf")</f>
        <v>Melting_Curves/meltCurve_Q9H9H4_VPS37B.pdf</v>
      </c>
    </row>
    <row r="5695" spans="1:28" x14ac:dyDescent="0.25">
      <c r="A5695" t="s">
        <v>5698</v>
      </c>
      <c r="B5695">
        <v>0.99930955844802105</v>
      </c>
      <c r="C5695">
        <v>1.3081107905357801</v>
      </c>
      <c r="D5695">
        <v>1.0781666341421401</v>
      </c>
      <c r="E5695">
        <v>0.99302375863879</v>
      </c>
      <c r="F5695">
        <v>0.85957000474051604</v>
      </c>
      <c r="G5695">
        <v>0.60288799750694499</v>
      </c>
      <c r="H5695">
        <v>0.60243636917769605</v>
      </c>
      <c r="I5695">
        <v>0.64432592175084902</v>
      </c>
      <c r="J5695">
        <v>0.78632042180988904</v>
      </c>
      <c r="K5695">
        <v>0.62312123345307302</v>
      </c>
      <c r="L5695">
        <v>13270.756599677599</v>
      </c>
      <c r="M5695">
        <v>250</v>
      </c>
      <c r="O5695">
        <v>53.079621611081997</v>
      </c>
      <c r="P5695">
        <v>-0.40997556001897301</v>
      </c>
      <c r="Q5695">
        <v>0.65181838742425002</v>
      </c>
      <c r="R5695">
        <v>0.76208206922348498</v>
      </c>
      <c r="S5695" t="s">
        <v>12311</v>
      </c>
      <c r="T5695" t="s">
        <v>13232</v>
      </c>
      <c r="U5695" t="s">
        <v>13232</v>
      </c>
      <c r="V5695" t="s">
        <v>13232</v>
      </c>
      <c r="W5695" t="s">
        <v>18857</v>
      </c>
      <c r="X5695">
        <v>3</v>
      </c>
      <c r="Y5695" t="s">
        <v>25246</v>
      </c>
      <c r="Z5695" t="s">
        <v>31826</v>
      </c>
      <c r="AA5695">
        <v>0.80369313161243416</v>
      </c>
      <c r="AB5695" t="str">
        <f>HYPERLINK("Melting_Curves/meltCurve_Q9H9J2_MRPL44.pdf", "Melting_Curves/meltCurve_Q9H9J2_MRPL44.pdf")</f>
        <v>Melting_Curves/meltCurve_Q9H9J2_MRPL44.pdf</v>
      </c>
    </row>
    <row r="5696" spans="1:28" x14ac:dyDescent="0.25">
      <c r="A5696" t="s">
        <v>5699</v>
      </c>
      <c r="B5696">
        <v>0.99930955844802105</v>
      </c>
      <c r="C5696">
        <v>0.806234211894025</v>
      </c>
      <c r="D5696">
        <v>0.75192343947256901</v>
      </c>
      <c r="E5696">
        <v>0.70899088364465601</v>
      </c>
      <c r="F5696">
        <v>0.47011913494085</v>
      </c>
      <c r="G5696">
        <v>0.35843039565843299</v>
      </c>
      <c r="H5696">
        <v>0.348392140208029</v>
      </c>
      <c r="I5696">
        <v>0.36515502182410098</v>
      </c>
      <c r="J5696">
        <v>0.32004628712420802</v>
      </c>
      <c r="K5696">
        <v>0.24982897073416199</v>
      </c>
      <c r="L5696">
        <v>497.96959222275302</v>
      </c>
      <c r="M5696">
        <v>9.9946639813524101</v>
      </c>
      <c r="N5696">
        <v>53.3863211436637</v>
      </c>
      <c r="O5696">
        <v>47.952160900270599</v>
      </c>
      <c r="P5696">
        <v>-3.9444954657920001E-2</v>
      </c>
      <c r="Q5696">
        <v>0.24337651355411399</v>
      </c>
      <c r="R5696">
        <v>0.95675622966539897</v>
      </c>
      <c r="S5696" t="s">
        <v>12312</v>
      </c>
      <c r="T5696" t="s">
        <v>13232</v>
      </c>
      <c r="U5696" t="s">
        <v>13232</v>
      </c>
      <c r="V5696" t="s">
        <v>13232</v>
      </c>
      <c r="W5696" t="s">
        <v>18858</v>
      </c>
      <c r="X5696">
        <v>3</v>
      </c>
      <c r="Y5696" t="s">
        <v>25247</v>
      </c>
      <c r="Z5696" t="s">
        <v>31827</v>
      </c>
      <c r="AA5696">
        <v>0.52585279748741665</v>
      </c>
      <c r="AB5696" t="str">
        <f>HYPERLINK("Melting_Curves/meltCurve_Q9H9L3_ISG20L2.pdf", "Melting_Curves/meltCurve_Q9H9L3_ISG20L2.pdf")</f>
        <v>Melting_Curves/meltCurve_Q9H9L3_ISG20L2.pdf</v>
      </c>
    </row>
    <row r="5697" spans="1:28" x14ac:dyDescent="0.25">
      <c r="A5697" t="s">
        <v>5700</v>
      </c>
      <c r="B5697">
        <v>0.99930955844802105</v>
      </c>
      <c r="C5697">
        <v>0.99227819653823102</v>
      </c>
      <c r="D5697">
        <v>0.98232557370455398</v>
      </c>
      <c r="E5697">
        <v>0.94723448237045904</v>
      </c>
      <c r="F5697">
        <v>0.78143637435751301</v>
      </c>
      <c r="G5697">
        <v>0.38818880047884802</v>
      </c>
      <c r="H5697">
        <v>0.14171577504241201</v>
      </c>
      <c r="I5697">
        <v>8.0942758140569004E-2</v>
      </c>
      <c r="J5697">
        <v>6.0815429555925102E-2</v>
      </c>
      <c r="K5697">
        <v>4.8768584909747899E-2</v>
      </c>
      <c r="L5697">
        <v>1362.8483170816601</v>
      </c>
      <c r="M5697">
        <v>24.488876952586299</v>
      </c>
      <c r="N5697">
        <v>55.859509042416597</v>
      </c>
      <c r="O5697">
        <v>55.284629128897699</v>
      </c>
      <c r="P5697">
        <v>-0.105920756705271</v>
      </c>
      <c r="Q5697">
        <v>4.3532770958043497E-2</v>
      </c>
      <c r="R5697">
        <v>0.99986789739450499</v>
      </c>
      <c r="S5697" t="s">
        <v>12313</v>
      </c>
      <c r="T5697" t="s">
        <v>13232</v>
      </c>
      <c r="U5697" t="s">
        <v>13232</v>
      </c>
      <c r="V5697" t="s">
        <v>13232</v>
      </c>
      <c r="W5697" t="s">
        <v>18859</v>
      </c>
      <c r="X5697">
        <v>7</v>
      </c>
      <c r="Y5697" t="s">
        <v>25248</v>
      </c>
      <c r="Z5697" t="s">
        <v>31828</v>
      </c>
      <c r="AA5697">
        <v>0.5516701708397117</v>
      </c>
      <c r="AB5697" t="str">
        <f>HYPERLINK("Melting_Curves/meltCurve_Q9H9Q4_NHEJ1.pdf", "Melting_Curves/meltCurve_Q9H9Q4_NHEJ1.pdf")</f>
        <v>Melting_Curves/meltCurve_Q9H9Q4_NHEJ1.pdf</v>
      </c>
    </row>
    <row r="5698" spans="1:28" x14ac:dyDescent="0.25">
      <c r="A5698" t="s">
        <v>5701</v>
      </c>
      <c r="B5698">
        <v>0.99930955844802105</v>
      </c>
      <c r="C5698">
        <v>1.06134932841001</v>
      </c>
      <c r="D5698">
        <v>1.0447138723518501</v>
      </c>
      <c r="E5698">
        <v>0.94766883713236305</v>
      </c>
      <c r="F5698">
        <v>0.78217549607378001</v>
      </c>
      <c r="G5698">
        <v>0.31380277351854402</v>
      </c>
      <c r="H5698">
        <v>0.13067561533695099</v>
      </c>
      <c r="I5698">
        <v>9.7756917500217505E-2</v>
      </c>
      <c r="J5698">
        <v>8.4520555578155104E-2</v>
      </c>
      <c r="K5698">
        <v>6.6193836561946606E-2</v>
      </c>
      <c r="L5698">
        <v>1655.7063260781599</v>
      </c>
      <c r="M5698">
        <v>30.0896248371591</v>
      </c>
      <c r="N5698">
        <v>55.336653372775302</v>
      </c>
      <c r="O5698">
        <v>54.784491928735498</v>
      </c>
      <c r="P5698">
        <v>-0.12663380363662799</v>
      </c>
      <c r="Q5698">
        <v>7.7752018154911298E-2</v>
      </c>
      <c r="R5698">
        <v>0.99645115479282897</v>
      </c>
      <c r="S5698" t="s">
        <v>12314</v>
      </c>
      <c r="T5698" t="s">
        <v>13232</v>
      </c>
      <c r="U5698" t="s">
        <v>13232</v>
      </c>
      <c r="V5698" t="s">
        <v>13232</v>
      </c>
      <c r="W5698" t="s">
        <v>18860</v>
      </c>
      <c r="X5698">
        <v>13</v>
      </c>
      <c r="Y5698" t="s">
        <v>25249</v>
      </c>
      <c r="Z5698" t="s">
        <v>31829</v>
      </c>
      <c r="AA5698">
        <v>0.545754237678853</v>
      </c>
      <c r="AB5698" t="str">
        <f>HYPERLINK("Melting_Curves/meltCurve_Q9H9S4_CAB39L.pdf", "Melting_Curves/meltCurve_Q9H9S4_CAB39L.pdf")</f>
        <v>Melting_Curves/meltCurve_Q9H9S4_CAB39L.pdf</v>
      </c>
    </row>
    <row r="5699" spans="1:28" x14ac:dyDescent="0.25">
      <c r="A5699" t="s">
        <v>5702</v>
      </c>
      <c r="B5699">
        <v>0.99930955844802105</v>
      </c>
      <c r="C5699">
        <v>0.66839734184628097</v>
      </c>
      <c r="D5699">
        <v>0.72267333740382</v>
      </c>
      <c r="E5699">
        <v>0.82144448390650404</v>
      </c>
      <c r="F5699">
        <v>0.89238472963031501</v>
      </c>
      <c r="G5699">
        <v>0.35814742567970598</v>
      </c>
      <c r="H5699">
        <v>0.15830335675038901</v>
      </c>
      <c r="I5699">
        <v>0.135207232746961</v>
      </c>
      <c r="J5699">
        <v>0.11508232804747499</v>
      </c>
      <c r="K5699">
        <v>9.1977920960617202E-2</v>
      </c>
      <c r="L5699">
        <v>721.53271754582295</v>
      </c>
      <c r="M5699">
        <v>12.9443665790076</v>
      </c>
      <c r="N5699">
        <v>55.741063593742503</v>
      </c>
      <c r="O5699">
        <v>54.461011358434703</v>
      </c>
      <c r="P5699">
        <v>-5.9431011307474899E-2</v>
      </c>
      <c r="Q5699">
        <v>0</v>
      </c>
      <c r="R5699">
        <v>0.81909984915282896</v>
      </c>
      <c r="S5699" t="s">
        <v>12315</v>
      </c>
      <c r="T5699" t="s">
        <v>13232</v>
      </c>
      <c r="U5699" t="s">
        <v>13232</v>
      </c>
      <c r="V5699" t="s">
        <v>13232</v>
      </c>
      <c r="W5699" t="s">
        <v>18861</v>
      </c>
      <c r="X5699">
        <v>22</v>
      </c>
      <c r="Y5699" t="s">
        <v>25250</v>
      </c>
      <c r="Z5699" t="s">
        <v>31830</v>
      </c>
      <c r="AA5699">
        <v>0.54505610066861243</v>
      </c>
      <c r="AB5699" t="str">
        <f>HYPERLINK("Melting_Curves/meltCurve_Q9H9T3_2_ELP3.pdf", "Melting_Curves/meltCurve_Q9H9T3_2_ELP3.pdf")</f>
        <v>Melting_Curves/meltCurve_Q9H9T3_2_ELP3.pdf</v>
      </c>
    </row>
    <row r="5700" spans="1:28" x14ac:dyDescent="0.25">
      <c r="A5700" t="s">
        <v>5703</v>
      </c>
      <c r="B5700">
        <v>0.99930955844802105</v>
      </c>
      <c r="C5700">
        <v>0.91379745807621704</v>
      </c>
      <c r="D5700">
        <v>0.74595144207715802</v>
      </c>
      <c r="E5700">
        <v>0.51701309096179804</v>
      </c>
      <c r="F5700">
        <v>0.29420922729732701</v>
      </c>
      <c r="G5700">
        <v>0.198307443511828</v>
      </c>
      <c r="H5700">
        <v>0.163011817671327</v>
      </c>
      <c r="I5700">
        <v>0.14795033909279701</v>
      </c>
      <c r="J5700">
        <v>0.15414903893011001</v>
      </c>
      <c r="K5700">
        <v>0.119684640750905</v>
      </c>
      <c r="L5700">
        <v>791.495871402224</v>
      </c>
      <c r="M5700">
        <v>16.1983404472311</v>
      </c>
      <c r="N5700">
        <v>49.756293963728503</v>
      </c>
      <c r="O5700">
        <v>48.136266001938097</v>
      </c>
      <c r="P5700">
        <v>-7.3516102576548698E-2</v>
      </c>
      <c r="Q5700">
        <v>0.12620030208240701</v>
      </c>
      <c r="R5700">
        <v>0.99698804566115995</v>
      </c>
      <c r="S5700" t="s">
        <v>12316</v>
      </c>
      <c r="T5700" t="s">
        <v>13232</v>
      </c>
      <c r="U5700" t="s">
        <v>13232</v>
      </c>
      <c r="V5700" t="s">
        <v>13232</v>
      </c>
      <c r="W5700" t="s">
        <v>18862</v>
      </c>
      <c r="X5700">
        <v>6</v>
      </c>
      <c r="Y5700" t="s">
        <v>25251</v>
      </c>
      <c r="Z5700" t="s">
        <v>31831</v>
      </c>
      <c r="AA5700">
        <v>0.40304251637633592</v>
      </c>
      <c r="AB5700" t="str">
        <f>HYPERLINK("Melting_Curves/meltCurve_Q9H9V9_2_JMJD4.pdf", "Melting_Curves/meltCurve_Q9H9V9_2_JMJD4.pdf")</f>
        <v>Melting_Curves/meltCurve_Q9H9V9_2_JMJD4.pdf</v>
      </c>
    </row>
    <row r="5701" spans="1:28" x14ac:dyDescent="0.25">
      <c r="A5701" t="s">
        <v>5704</v>
      </c>
      <c r="B5701">
        <v>0.99930955844802105</v>
      </c>
      <c r="C5701">
        <v>0.80025869550841</v>
      </c>
      <c r="D5701">
        <v>0.83311988989958297</v>
      </c>
      <c r="E5701">
        <v>0.69351346472255804</v>
      </c>
      <c r="F5701">
        <v>0.60011577839770502</v>
      </c>
      <c r="G5701">
        <v>0.46031464510217301</v>
      </c>
      <c r="H5701">
        <v>0.27096007619241602</v>
      </c>
      <c r="I5701">
        <v>0.22036671496992699</v>
      </c>
      <c r="J5701">
        <v>0.158443401267026</v>
      </c>
      <c r="K5701">
        <v>0.12914760617464899</v>
      </c>
      <c r="L5701">
        <v>455.58930441733497</v>
      </c>
      <c r="M5701">
        <v>8.3200593856603202</v>
      </c>
      <c r="N5701">
        <v>54.757938972020597</v>
      </c>
      <c r="O5701">
        <v>51.868295549919097</v>
      </c>
      <c r="P5701">
        <v>-4.0141010969476802E-2</v>
      </c>
      <c r="Q5701">
        <v>0</v>
      </c>
      <c r="R5701">
        <v>0.97965998704528101</v>
      </c>
      <c r="S5701" t="s">
        <v>12317</v>
      </c>
      <c r="T5701" t="s">
        <v>13232</v>
      </c>
      <c r="U5701" t="s">
        <v>13232</v>
      </c>
      <c r="V5701" t="s">
        <v>13232</v>
      </c>
      <c r="W5701" t="s">
        <v>18863</v>
      </c>
      <c r="X5701">
        <v>4</v>
      </c>
      <c r="Y5701" t="s">
        <v>25252</v>
      </c>
      <c r="Z5701" t="s">
        <v>31832</v>
      </c>
      <c r="AA5701">
        <v>0.52060193085807693</v>
      </c>
      <c r="AB5701" t="str">
        <f>HYPERLINK("Melting_Curves/meltCurve_Q9H9Y4_GPN2.pdf", "Melting_Curves/meltCurve_Q9H9Y4_GPN2.pdf")</f>
        <v>Melting_Curves/meltCurve_Q9H9Y4_GPN2.pdf</v>
      </c>
    </row>
    <row r="5702" spans="1:28" x14ac:dyDescent="0.25">
      <c r="A5702" t="s">
        <v>5705</v>
      </c>
      <c r="B5702">
        <v>0.99930955844802105</v>
      </c>
      <c r="C5702">
        <v>0.61011628746270596</v>
      </c>
      <c r="D5702">
        <v>0.51205765525904301</v>
      </c>
      <c r="E5702">
        <v>0.405537006429532</v>
      </c>
      <c r="F5702">
        <v>0.26837230987160798</v>
      </c>
      <c r="G5702">
        <v>0.222141740023513</v>
      </c>
      <c r="H5702">
        <v>0.13733979785427999</v>
      </c>
      <c r="I5702">
        <v>0.16574259540102601</v>
      </c>
      <c r="J5702">
        <v>0.18533400800123301</v>
      </c>
      <c r="K5702">
        <v>0.119581438856548</v>
      </c>
      <c r="L5702">
        <v>575.05146181698001</v>
      </c>
      <c r="M5702">
        <v>12.6875690326836</v>
      </c>
      <c r="N5702">
        <v>46.573958466129099</v>
      </c>
      <c r="O5702">
        <v>44.2422743080609</v>
      </c>
      <c r="P5702">
        <v>-6.13604800680356E-2</v>
      </c>
      <c r="Q5702">
        <v>0.14429593883178399</v>
      </c>
      <c r="R5702">
        <v>0.94641201733319402</v>
      </c>
      <c r="S5702" t="s">
        <v>12318</v>
      </c>
      <c r="T5702" t="s">
        <v>13232</v>
      </c>
      <c r="U5702" t="s">
        <v>13232</v>
      </c>
      <c r="V5702" t="s">
        <v>13232</v>
      </c>
      <c r="W5702" t="s">
        <v>18864</v>
      </c>
      <c r="X5702">
        <v>5</v>
      </c>
      <c r="Y5702" t="s">
        <v>20395</v>
      </c>
      <c r="Z5702" t="s">
        <v>31833</v>
      </c>
      <c r="AA5702">
        <v>0.33342040347632779</v>
      </c>
      <c r="AB5702" t="str">
        <f>HYPERLINK("Melting_Curves/meltCurve_Q9H9Y6_2_POLR1B.pdf", "Melting_Curves/meltCurve_Q9H9Y6_2_POLR1B.pdf")</f>
        <v>Melting_Curves/meltCurve_Q9H9Y6_2_POLR1B.pdf</v>
      </c>
    </row>
    <row r="5703" spans="1:28" x14ac:dyDescent="0.25">
      <c r="A5703" t="s">
        <v>5706</v>
      </c>
      <c r="B5703">
        <v>0.99930955844802105</v>
      </c>
      <c r="C5703">
        <v>0.96855493270394599</v>
      </c>
      <c r="D5703">
        <v>1.0360273690472599</v>
      </c>
      <c r="E5703">
        <v>0.93523438870917497</v>
      </c>
      <c r="F5703">
        <v>0.81145021135342299</v>
      </c>
      <c r="G5703">
        <v>0.66075568196234202</v>
      </c>
      <c r="H5703">
        <v>0.56836411804408005</v>
      </c>
      <c r="I5703">
        <v>0.56095585098369205</v>
      </c>
      <c r="J5703">
        <v>0.50769730336025798</v>
      </c>
      <c r="K5703">
        <v>0.39774517913565999</v>
      </c>
      <c r="L5703">
        <v>792.409357994061</v>
      </c>
      <c r="M5703">
        <v>14.0711219566839</v>
      </c>
      <c r="N5703">
        <v>64.850198216353107</v>
      </c>
      <c r="O5703">
        <v>55.213762061902599</v>
      </c>
      <c r="P5703">
        <v>-3.6859492297232899E-2</v>
      </c>
      <c r="Q5703">
        <v>0.42154216991043902</v>
      </c>
      <c r="R5703">
        <v>0.97478783618956699</v>
      </c>
      <c r="S5703" t="s">
        <v>12319</v>
      </c>
      <c r="T5703" t="s">
        <v>13232</v>
      </c>
      <c r="U5703" t="s">
        <v>13232</v>
      </c>
      <c r="V5703" t="s">
        <v>13232</v>
      </c>
      <c r="W5703" t="s">
        <v>18865</v>
      </c>
      <c r="X5703">
        <v>4</v>
      </c>
      <c r="Y5703" t="s">
        <v>25253</v>
      </c>
      <c r="Z5703" t="s">
        <v>31834</v>
      </c>
      <c r="AA5703">
        <v>0.74651401137505835</v>
      </c>
      <c r="AB5703" t="str">
        <f>HYPERLINK("Melting_Curves/meltCurve_Q9HA38_2_ZMAT3.pdf", "Melting_Curves/meltCurve_Q9HA38_2_ZMAT3.pdf")</f>
        <v>Melting_Curves/meltCurve_Q9HA38_2_ZMAT3.pdf</v>
      </c>
    </row>
    <row r="5704" spans="1:28" x14ac:dyDescent="0.25">
      <c r="A5704" t="s">
        <v>5707</v>
      </c>
      <c r="B5704">
        <v>0.99930955844802105</v>
      </c>
      <c r="C5704">
        <v>0.89306712683830303</v>
      </c>
      <c r="D5704">
        <v>0.848972965695594</v>
      </c>
      <c r="E5704">
        <v>0.57243387833897197</v>
      </c>
      <c r="F5704">
        <v>0.29937425394558098</v>
      </c>
      <c r="G5704">
        <v>0.17018330572658499</v>
      </c>
      <c r="H5704">
        <v>0.14873153370686401</v>
      </c>
      <c r="I5704">
        <v>5.6343912667612198E-2</v>
      </c>
      <c r="J5704">
        <v>4.95753425621537E-2</v>
      </c>
      <c r="K5704">
        <v>4.19400853880635E-2</v>
      </c>
      <c r="L5704">
        <v>807.72412271548399</v>
      </c>
      <c r="M5704">
        <v>16.037762579855801</v>
      </c>
      <c r="N5704">
        <v>50.6371521862009</v>
      </c>
      <c r="O5704">
        <v>49.600370029976503</v>
      </c>
      <c r="P5704">
        <v>-7.7489998074887698E-2</v>
      </c>
      <c r="Q5704">
        <v>4.1453847399511502E-2</v>
      </c>
      <c r="R5704">
        <v>0.99354300939343798</v>
      </c>
      <c r="S5704" t="s">
        <v>12320</v>
      </c>
      <c r="T5704" t="s">
        <v>13232</v>
      </c>
      <c r="U5704" t="s">
        <v>13232</v>
      </c>
      <c r="V5704" t="s">
        <v>13232</v>
      </c>
      <c r="W5704" t="s">
        <v>18866</v>
      </c>
      <c r="X5704">
        <v>5</v>
      </c>
      <c r="Y5704" t="s">
        <v>25254</v>
      </c>
      <c r="Z5704" t="s">
        <v>31835</v>
      </c>
      <c r="AA5704">
        <v>0.39268494820019378</v>
      </c>
      <c r="AB5704" t="str">
        <f>HYPERLINK("Melting_Curves/meltCurve_Q9HA47_3_UCK1.pdf", "Melting_Curves/meltCurve_Q9HA47_3_UCK1.pdf")</f>
        <v>Melting_Curves/meltCurve_Q9HA47_3_UCK1.pdf</v>
      </c>
    </row>
    <row r="5705" spans="1:28" x14ac:dyDescent="0.25">
      <c r="A5705" t="s">
        <v>5708</v>
      </c>
      <c r="B5705">
        <v>0.99930955844802105</v>
      </c>
      <c r="C5705">
        <v>0.93153613774236299</v>
      </c>
      <c r="D5705">
        <v>0.93482036487860498</v>
      </c>
      <c r="E5705">
        <v>0.88205351562434298</v>
      </c>
      <c r="F5705">
        <v>0.77000913803253401</v>
      </c>
      <c r="G5705">
        <v>0.62591820474053195</v>
      </c>
      <c r="H5705">
        <v>0.44296299362283897</v>
      </c>
      <c r="I5705">
        <v>0.21590065781223899</v>
      </c>
      <c r="J5705">
        <v>0.130783851999558</v>
      </c>
      <c r="K5705">
        <v>8.9164708239062002E-2</v>
      </c>
      <c r="L5705">
        <v>754.98032488887804</v>
      </c>
      <c r="M5705">
        <v>12.8676568077061</v>
      </c>
      <c r="N5705">
        <v>58.672712282775301</v>
      </c>
      <c r="O5705">
        <v>57.309844229394102</v>
      </c>
      <c r="P5705">
        <v>-5.6142284954957503E-2</v>
      </c>
      <c r="Q5705">
        <v>0</v>
      </c>
      <c r="R5705">
        <v>0.98716710298074295</v>
      </c>
      <c r="S5705" t="s">
        <v>12321</v>
      </c>
      <c r="T5705" t="s">
        <v>13232</v>
      </c>
      <c r="U5705" t="s">
        <v>13232</v>
      </c>
      <c r="V5705" t="s">
        <v>13232</v>
      </c>
      <c r="W5705" t="s">
        <v>18867</v>
      </c>
      <c r="X5705">
        <v>14</v>
      </c>
      <c r="Y5705" t="s">
        <v>25255</v>
      </c>
      <c r="Z5705" t="s">
        <v>31836</v>
      </c>
      <c r="AA5705">
        <v>0.6329186660499162</v>
      </c>
      <c r="AB5705" t="str">
        <f>HYPERLINK("Melting_Curves/meltCurve_Q9HA64_FN3KRP.pdf", "Melting_Curves/meltCurve_Q9HA64_FN3KRP.pdf")</f>
        <v>Melting_Curves/meltCurve_Q9HA64_FN3KRP.pdf</v>
      </c>
    </row>
    <row r="5706" spans="1:28" x14ac:dyDescent="0.25">
      <c r="A5706" t="s">
        <v>5709</v>
      </c>
      <c r="B5706">
        <v>0.99930955844802105</v>
      </c>
      <c r="C5706">
        <v>0.90383281470912302</v>
      </c>
      <c r="D5706">
        <v>0.78394428111182601</v>
      </c>
      <c r="E5706">
        <v>0.60747283937928098</v>
      </c>
      <c r="F5706">
        <v>0.27038369399847501</v>
      </c>
      <c r="G5706">
        <v>0.14765773282880301</v>
      </c>
      <c r="H5706">
        <v>7.5938217767329105E-2</v>
      </c>
      <c r="I5706">
        <v>5.7133843830495398E-2</v>
      </c>
      <c r="J5706">
        <v>4.5456937578605902E-2</v>
      </c>
      <c r="K5706">
        <v>3.8249079684908503E-2</v>
      </c>
      <c r="L5706">
        <v>786.98208921799505</v>
      </c>
      <c r="M5706">
        <v>15.6458055073327</v>
      </c>
      <c r="N5706">
        <v>50.4282343868624</v>
      </c>
      <c r="O5706">
        <v>49.499658799484997</v>
      </c>
      <c r="P5706">
        <v>-7.7484016815976997E-2</v>
      </c>
      <c r="Q5706">
        <v>1.9518947916167002E-2</v>
      </c>
      <c r="R5706">
        <v>0.99186945335486798</v>
      </c>
      <c r="S5706" t="s">
        <v>12322</v>
      </c>
      <c r="T5706" t="s">
        <v>13232</v>
      </c>
      <c r="U5706" t="s">
        <v>13232</v>
      </c>
      <c r="V5706" t="s">
        <v>13232</v>
      </c>
      <c r="W5706" t="s">
        <v>18868</v>
      </c>
      <c r="X5706">
        <v>7</v>
      </c>
      <c r="Y5706" t="s">
        <v>25256</v>
      </c>
      <c r="Z5706" t="s">
        <v>31837</v>
      </c>
      <c r="AA5706">
        <v>0.37765419416139517</v>
      </c>
      <c r="AB5706" t="str">
        <f>HYPERLINK("Melting_Curves/meltCurve_Q9HA65_2_TBC1D17.pdf", "Melting_Curves/meltCurve_Q9HA65_2_TBC1D17.pdf")</f>
        <v>Melting_Curves/meltCurve_Q9HA65_2_TBC1D17.pdf</v>
      </c>
    </row>
    <row r="5707" spans="1:28" x14ac:dyDescent="0.25">
      <c r="A5707" t="s">
        <v>5710</v>
      </c>
      <c r="B5707">
        <v>0.99930955844802105</v>
      </c>
      <c r="C5707">
        <v>0.89015468005779597</v>
      </c>
      <c r="D5707">
        <v>0.92550838775414401</v>
      </c>
      <c r="E5707">
        <v>0.907788469398082</v>
      </c>
      <c r="F5707">
        <v>0.82092026743067803</v>
      </c>
      <c r="G5707">
        <v>0.492998973672368</v>
      </c>
      <c r="H5707">
        <v>0.181108852953664</v>
      </c>
      <c r="I5707">
        <v>0.124790827631342</v>
      </c>
      <c r="J5707">
        <v>0.120294045157359</v>
      </c>
      <c r="K5707">
        <v>9.4716127873195805E-2</v>
      </c>
      <c r="L5707">
        <v>1221.4049299568501</v>
      </c>
      <c r="M5707">
        <v>21.707759192981602</v>
      </c>
      <c r="N5707">
        <v>56.675000404749099</v>
      </c>
      <c r="O5707">
        <v>55.794860071654703</v>
      </c>
      <c r="P5707">
        <v>-9.0213164461506096E-2</v>
      </c>
      <c r="Q5707">
        <v>7.2532108354353003E-2</v>
      </c>
      <c r="R5707">
        <v>0.98531800460343999</v>
      </c>
      <c r="S5707" t="s">
        <v>12323</v>
      </c>
      <c r="T5707" t="s">
        <v>13232</v>
      </c>
      <c r="U5707" t="s">
        <v>13232</v>
      </c>
      <c r="V5707" t="s">
        <v>13232</v>
      </c>
      <c r="W5707" t="s">
        <v>18869</v>
      </c>
      <c r="X5707">
        <v>5</v>
      </c>
      <c r="Y5707" t="s">
        <v>25257</v>
      </c>
      <c r="Z5707" t="s">
        <v>31838</v>
      </c>
      <c r="AA5707">
        <v>0.58594573775181291</v>
      </c>
      <c r="AB5707" t="str">
        <f>HYPERLINK("Melting_Curves/meltCurve_Q9HA77_CARS2.pdf", "Melting_Curves/meltCurve_Q9HA77_CARS2.pdf")</f>
        <v>Melting_Curves/meltCurve_Q9HA77_CARS2.pdf</v>
      </c>
    </row>
    <row r="5708" spans="1:28" x14ac:dyDescent="0.25">
      <c r="A5708" t="s">
        <v>5711</v>
      </c>
      <c r="B5708">
        <v>0.99930955844802105</v>
      </c>
      <c r="C5708">
        <v>1.1872370313029601</v>
      </c>
      <c r="D5708">
        <v>1.16890891106187</v>
      </c>
      <c r="E5708">
        <v>1.0366807751596701</v>
      </c>
      <c r="F5708">
        <v>0.56338351253480001</v>
      </c>
      <c r="G5708">
        <v>0.22059157378381999</v>
      </c>
      <c r="H5708">
        <v>0.136876934018583</v>
      </c>
      <c r="I5708">
        <v>0.103338780079749</v>
      </c>
      <c r="J5708">
        <v>9.2494726318321105E-2</v>
      </c>
      <c r="K5708">
        <v>7.3375565760068304E-2</v>
      </c>
      <c r="L5708">
        <v>3007.7444364794201</v>
      </c>
      <c r="M5708">
        <v>56.672503726603303</v>
      </c>
      <c r="N5708">
        <v>53.331770518564099</v>
      </c>
      <c r="O5708">
        <v>53.006417391870599</v>
      </c>
      <c r="P5708">
        <v>-0.23509326681289899</v>
      </c>
      <c r="Q5708">
        <v>0.120459185943681</v>
      </c>
      <c r="R5708">
        <v>0.96350879167870096</v>
      </c>
      <c r="S5708" t="s">
        <v>12324</v>
      </c>
      <c r="T5708" t="s">
        <v>13232</v>
      </c>
      <c r="U5708" t="s">
        <v>13232</v>
      </c>
      <c r="V5708" t="s">
        <v>13232</v>
      </c>
      <c r="W5708" t="s">
        <v>18870</v>
      </c>
      <c r="X5708">
        <v>14</v>
      </c>
      <c r="Y5708" t="s">
        <v>25258</v>
      </c>
      <c r="Z5708" t="s">
        <v>31839</v>
      </c>
      <c r="AA5708">
        <v>0.50531614560080207</v>
      </c>
      <c r="AB5708" t="str">
        <f>HYPERLINK("Melting_Curves/meltCurve_Q9HAB8_PPCS.pdf", "Melting_Curves/meltCurve_Q9HAB8_PPCS.pdf")</f>
        <v>Melting_Curves/meltCurve_Q9HAB8_PPCS.pdf</v>
      </c>
    </row>
    <row r="5709" spans="1:28" x14ac:dyDescent="0.25">
      <c r="A5709" t="s">
        <v>5712</v>
      </c>
      <c r="B5709">
        <v>0.99930955844802105</v>
      </c>
      <c r="C5709">
        <v>0.984784473298007</v>
      </c>
      <c r="D5709">
        <v>0.94309582208170994</v>
      </c>
      <c r="E5709">
        <v>0.77000403547358498</v>
      </c>
      <c r="F5709">
        <v>0.53386695250802896</v>
      </c>
      <c r="G5709">
        <v>0.44853289893316101</v>
      </c>
      <c r="H5709">
        <v>0.295860406074483</v>
      </c>
      <c r="I5709">
        <v>0.29592040635987599</v>
      </c>
      <c r="J5709">
        <v>0.29748679299726999</v>
      </c>
      <c r="K5709">
        <v>0.24972356220346401</v>
      </c>
      <c r="L5709">
        <v>896.65133606373502</v>
      </c>
      <c r="M5709">
        <v>17.226325439516</v>
      </c>
      <c r="N5709">
        <v>54.421761891469203</v>
      </c>
      <c r="O5709">
        <v>51.3649513713532</v>
      </c>
      <c r="P5709">
        <v>-6.1720380505925099E-2</v>
      </c>
      <c r="Q5709">
        <v>0.26389892317693597</v>
      </c>
      <c r="R5709">
        <v>0.99321590853804298</v>
      </c>
      <c r="S5709" t="s">
        <v>12325</v>
      </c>
      <c r="T5709" t="s">
        <v>13232</v>
      </c>
      <c r="U5709" t="s">
        <v>13232</v>
      </c>
      <c r="V5709" t="s">
        <v>13232</v>
      </c>
      <c r="W5709" t="s">
        <v>18871</v>
      </c>
      <c r="X5709">
        <v>4</v>
      </c>
      <c r="Y5709" t="s">
        <v>25259</v>
      </c>
      <c r="Z5709" t="s">
        <v>31840</v>
      </c>
      <c r="AA5709">
        <v>0.57277487919244063</v>
      </c>
      <c r="AB5709" t="str">
        <f>HYPERLINK("Melting_Curves/meltCurve_Q9HAF1_2_MEAF6.pdf", "Melting_Curves/meltCurve_Q9HAF1_2_MEAF6.pdf")</f>
        <v>Melting_Curves/meltCurve_Q9HAF1_2_MEAF6.pdf</v>
      </c>
    </row>
    <row r="5710" spans="1:28" x14ac:dyDescent="0.25">
      <c r="A5710" t="s">
        <v>5713</v>
      </c>
      <c r="B5710">
        <v>0.99930955844802105</v>
      </c>
      <c r="C5710">
        <v>0.84711670956790697</v>
      </c>
      <c r="D5710">
        <v>0.75307951547464203</v>
      </c>
      <c r="E5710">
        <v>0.52486932201741099</v>
      </c>
      <c r="F5710">
        <v>0.28052004775419398</v>
      </c>
      <c r="G5710">
        <v>0.191655160235497</v>
      </c>
      <c r="H5710">
        <v>0.124410986726759</v>
      </c>
      <c r="I5710">
        <v>9.88352373562702E-2</v>
      </c>
      <c r="J5710">
        <v>9.9861929439111E-2</v>
      </c>
      <c r="K5710">
        <v>8.0842891431870303E-2</v>
      </c>
      <c r="L5710">
        <v>687.16908186407898</v>
      </c>
      <c r="M5710">
        <v>13.947952534239</v>
      </c>
      <c r="N5710">
        <v>49.7712031953536</v>
      </c>
      <c r="O5710">
        <v>48.287100704138702</v>
      </c>
      <c r="P5710">
        <v>-6.7461960900409998E-2</v>
      </c>
      <c r="Q5710">
        <v>6.59259400447718E-2</v>
      </c>
      <c r="R5710">
        <v>0.99384025434464496</v>
      </c>
      <c r="S5710" t="s">
        <v>12326</v>
      </c>
      <c r="T5710" t="s">
        <v>13232</v>
      </c>
      <c r="U5710" t="s">
        <v>13232</v>
      </c>
      <c r="V5710" t="s">
        <v>13232</v>
      </c>
      <c r="W5710" t="s">
        <v>18872</v>
      </c>
      <c r="X5710">
        <v>3</v>
      </c>
      <c r="Y5710" t="s">
        <v>25260</v>
      </c>
      <c r="Z5710" t="s">
        <v>31841</v>
      </c>
      <c r="AA5710">
        <v>0.3805180654797215</v>
      </c>
      <c r="AB5710" t="str">
        <f>HYPERLINK("Melting_Curves/meltCurve_Q9HAJ7_SAP30L.pdf", "Melting_Curves/meltCurve_Q9HAJ7_SAP30L.pdf")</f>
        <v>Melting_Curves/meltCurve_Q9HAJ7_SAP30L.pdf</v>
      </c>
    </row>
    <row r="5711" spans="1:28" x14ac:dyDescent="0.25">
      <c r="A5711" t="s">
        <v>5714</v>
      </c>
      <c r="B5711">
        <v>0.99930955844802105</v>
      </c>
      <c r="C5711">
        <v>0.82618228007700401</v>
      </c>
      <c r="D5711">
        <v>0.84542257771524199</v>
      </c>
      <c r="E5711">
        <v>0.84550168146003601</v>
      </c>
      <c r="F5711">
        <v>0.76894490406459404</v>
      </c>
      <c r="G5711">
        <v>0.58092198231058101</v>
      </c>
      <c r="H5711">
        <v>0.274329137995727</v>
      </c>
      <c r="I5711">
        <v>0.205786290008904</v>
      </c>
      <c r="J5711">
        <v>7.9889265922251401E-2</v>
      </c>
      <c r="K5711">
        <v>5.3016385548834602E-2</v>
      </c>
      <c r="L5711">
        <v>748.18024768706505</v>
      </c>
      <c r="M5711">
        <v>13.0771492338891</v>
      </c>
      <c r="N5711">
        <v>57.212771566722999</v>
      </c>
      <c r="O5711">
        <v>55.924518846710299</v>
      </c>
      <c r="P5711">
        <v>-5.84690291414698E-2</v>
      </c>
      <c r="Q5711">
        <v>0</v>
      </c>
      <c r="R5711">
        <v>0.95715338060201405</v>
      </c>
      <c r="S5711" t="s">
        <v>12327</v>
      </c>
      <c r="T5711" t="s">
        <v>13232</v>
      </c>
      <c r="U5711" t="s">
        <v>13232</v>
      </c>
      <c r="V5711" t="s">
        <v>13232</v>
      </c>
      <c r="W5711" t="s">
        <v>18873</v>
      </c>
      <c r="X5711">
        <v>12</v>
      </c>
      <c r="Y5711" t="s">
        <v>25261</v>
      </c>
      <c r="Z5711" t="s">
        <v>31842</v>
      </c>
      <c r="AA5711">
        <v>0.5897866721324625</v>
      </c>
      <c r="AB5711" t="str">
        <f>HYPERLINK("Melting_Curves/meltCurve_Q9HAN9_NMNAT1.pdf", "Melting_Curves/meltCurve_Q9HAN9_NMNAT1.pdf")</f>
        <v>Melting_Curves/meltCurve_Q9HAN9_NMNAT1.pdf</v>
      </c>
    </row>
    <row r="5712" spans="1:28" x14ac:dyDescent="0.25">
      <c r="A5712" t="s">
        <v>5715</v>
      </c>
      <c r="B5712">
        <v>0.99930955844802105</v>
      </c>
      <c r="C5712">
        <v>1.0709539204865799</v>
      </c>
      <c r="D5712">
        <v>1.07899327213861</v>
      </c>
      <c r="E5712">
        <v>1.0463353112064799</v>
      </c>
      <c r="F5712">
        <v>0.82402734513882203</v>
      </c>
      <c r="G5712">
        <v>0.58056522078846595</v>
      </c>
      <c r="H5712">
        <v>0.50827023463757603</v>
      </c>
      <c r="I5712">
        <v>0.43127310696230903</v>
      </c>
      <c r="J5712">
        <v>0.47815956168888901</v>
      </c>
      <c r="K5712">
        <v>0.38673198338729098</v>
      </c>
      <c r="L5712">
        <v>1657.90682894061</v>
      </c>
      <c r="M5712">
        <v>30.223311625720399</v>
      </c>
      <c r="N5712">
        <v>59.040909110089999</v>
      </c>
      <c r="O5712">
        <v>54.616756872985803</v>
      </c>
      <c r="P5712">
        <v>-7.7288454553496103E-2</v>
      </c>
      <c r="Q5712">
        <v>0.441329475586411</v>
      </c>
      <c r="R5712">
        <v>0.96786227361932498</v>
      </c>
      <c r="S5712" t="s">
        <v>12328</v>
      </c>
      <c r="T5712" t="s">
        <v>13232</v>
      </c>
      <c r="U5712" t="s">
        <v>13232</v>
      </c>
      <c r="V5712" t="s">
        <v>13232</v>
      </c>
      <c r="W5712" t="s">
        <v>18874</v>
      </c>
      <c r="X5712">
        <v>4</v>
      </c>
      <c r="Y5712" t="s">
        <v>25262</v>
      </c>
      <c r="Z5712" t="s">
        <v>31843</v>
      </c>
      <c r="AA5712">
        <v>0.72161862885322559</v>
      </c>
      <c r="AB5712" t="str">
        <f>HYPERLINK("Melting_Curves/meltCurve_Q9HAP2_MLXIP.pdf", "Melting_Curves/meltCurve_Q9HAP2_MLXIP.pdf")</f>
        <v>Melting_Curves/meltCurve_Q9HAP2_MLXIP.pdf</v>
      </c>
    </row>
    <row r="5713" spans="1:28" x14ac:dyDescent="0.25">
      <c r="A5713" t="s">
        <v>5716</v>
      </c>
      <c r="B5713">
        <v>0.99930955844802105</v>
      </c>
      <c r="C5713">
        <v>0.75288481587807699</v>
      </c>
      <c r="D5713">
        <v>0.87929564076676803</v>
      </c>
      <c r="E5713">
        <v>1.0999468761720901</v>
      </c>
      <c r="F5713">
        <v>0.82891113311579401</v>
      </c>
      <c r="G5713">
        <v>0.15875928359671601</v>
      </c>
      <c r="H5713">
        <v>8.95561307964374E-2</v>
      </c>
      <c r="I5713">
        <v>8.2205439706945604E-2</v>
      </c>
      <c r="J5713">
        <v>8.0432419348646006E-2</v>
      </c>
      <c r="K5713">
        <v>7.2240499770593797E-2</v>
      </c>
      <c r="L5713">
        <v>3064.8148735928698</v>
      </c>
      <c r="M5713">
        <v>56.2889758422182</v>
      </c>
      <c r="N5713">
        <v>54.622153192453503</v>
      </c>
      <c r="O5713">
        <v>54.379280164331803</v>
      </c>
      <c r="P5713">
        <v>-0.23750845794026901</v>
      </c>
      <c r="Q5713">
        <v>8.2198155785316002E-2</v>
      </c>
      <c r="R5713">
        <v>0.95001633309799605</v>
      </c>
      <c r="S5713" t="s">
        <v>12329</v>
      </c>
      <c r="T5713" t="s">
        <v>13232</v>
      </c>
      <c r="U5713" t="s">
        <v>13232</v>
      </c>
      <c r="V5713" t="s">
        <v>13232</v>
      </c>
      <c r="W5713" t="s">
        <v>18875</v>
      </c>
      <c r="X5713">
        <v>1</v>
      </c>
      <c r="Y5713" t="s">
        <v>25263</v>
      </c>
      <c r="Z5713" t="s">
        <v>31844</v>
      </c>
      <c r="AA5713">
        <v>0.5259445726363744</v>
      </c>
      <c r="AB5713" t="str">
        <f>HYPERLINK("Melting_Curves/meltCurve_Q9HAR2_3_LPHN3.pdf", "Melting_Curves/meltCurve_Q9HAR2_3_LPHN3.pdf")</f>
        <v>Melting_Curves/meltCurve_Q9HAR2_3_LPHN3.pdf</v>
      </c>
    </row>
    <row r="5714" spans="1:28" x14ac:dyDescent="0.25">
      <c r="A5714" t="s">
        <v>5717</v>
      </c>
      <c r="B5714">
        <v>0.99930955844802105</v>
      </c>
      <c r="C5714">
        <v>0.98208067681486799</v>
      </c>
      <c r="D5714">
        <v>0.85256483380444303</v>
      </c>
      <c r="E5714">
        <v>0.83314835430813095</v>
      </c>
      <c r="F5714">
        <v>0.89104208380994498</v>
      </c>
      <c r="G5714">
        <v>0.64799247265783499</v>
      </c>
      <c r="H5714">
        <v>0.57447771247373902</v>
      </c>
      <c r="I5714">
        <v>0.399521477719116</v>
      </c>
      <c r="J5714">
        <v>0.21504147218222899</v>
      </c>
      <c r="K5714">
        <v>0.108721666266996</v>
      </c>
      <c r="L5714">
        <v>684.38199243784902</v>
      </c>
      <c r="M5714">
        <v>11.258309155307</v>
      </c>
      <c r="N5714">
        <v>60.789056626812801</v>
      </c>
      <c r="O5714">
        <v>58.965816826452397</v>
      </c>
      <c r="P5714">
        <v>-4.77470806619563E-2</v>
      </c>
      <c r="Q5714">
        <v>0</v>
      </c>
      <c r="R5714">
        <v>0.95394246198316202</v>
      </c>
      <c r="S5714" t="s">
        <v>12330</v>
      </c>
      <c r="T5714" t="s">
        <v>13232</v>
      </c>
      <c r="U5714" t="s">
        <v>13232</v>
      </c>
      <c r="V5714" t="s">
        <v>13232</v>
      </c>
      <c r="W5714" t="s">
        <v>18876</v>
      </c>
      <c r="X5714">
        <v>5</v>
      </c>
      <c r="Y5714" t="s">
        <v>25264</v>
      </c>
      <c r="Z5714" t="s">
        <v>31845</v>
      </c>
      <c r="AA5714">
        <v>0.68795120654377262</v>
      </c>
      <c r="AB5714" t="str">
        <f>HYPERLINK("Melting_Curves/meltCurve_Q9HAT2_SIAE.pdf", "Melting_Curves/meltCurve_Q9HAT2_SIAE.pdf")</f>
        <v>Melting_Curves/meltCurve_Q9HAT2_SIAE.pdf</v>
      </c>
    </row>
    <row r="5715" spans="1:28" x14ac:dyDescent="0.25">
      <c r="A5715" t="s">
        <v>5718</v>
      </c>
      <c r="B5715">
        <v>0.99930955844802105</v>
      </c>
      <c r="C5715">
        <v>1.02995656270532</v>
      </c>
      <c r="D5715">
        <v>0.97749258790462001</v>
      </c>
      <c r="E5715">
        <v>0.88398914122368799</v>
      </c>
      <c r="F5715">
        <v>0.74682163480258201</v>
      </c>
      <c r="G5715">
        <v>0.637460700349889</v>
      </c>
      <c r="H5715">
        <v>0.58186555549056296</v>
      </c>
      <c r="I5715">
        <v>0.56851370001432699</v>
      </c>
      <c r="J5715">
        <v>0.54332177749416999</v>
      </c>
      <c r="K5715">
        <v>0.43867244827947199</v>
      </c>
      <c r="L5715">
        <v>790.25216311465101</v>
      </c>
      <c r="M5715">
        <v>14.669967566053501</v>
      </c>
      <c r="O5715">
        <v>52.897415750842399</v>
      </c>
      <c r="P5715">
        <v>-3.5609885255709198E-2</v>
      </c>
      <c r="Q5715">
        <v>0.48644377563790497</v>
      </c>
      <c r="R5715">
        <v>0.97745586035860099</v>
      </c>
      <c r="S5715" t="s">
        <v>12331</v>
      </c>
      <c r="T5715" t="s">
        <v>13232</v>
      </c>
      <c r="U5715" t="s">
        <v>13232</v>
      </c>
      <c r="V5715" t="s">
        <v>13232</v>
      </c>
      <c r="W5715" t="s">
        <v>18877</v>
      </c>
      <c r="X5715">
        <v>22</v>
      </c>
      <c r="Y5715" t="s">
        <v>25265</v>
      </c>
      <c r="Z5715" t="s">
        <v>31846</v>
      </c>
      <c r="AA5715">
        <v>0.73476437526110494</v>
      </c>
      <c r="AB5715" t="str">
        <f>HYPERLINK("Melting_Curves/meltCurve_Q9HAU0_PLEKHA5.pdf", "Melting_Curves/meltCurve_Q9HAU0_PLEKHA5.pdf")</f>
        <v>Melting_Curves/meltCurve_Q9HAU0_PLEKHA5.pdf</v>
      </c>
    </row>
    <row r="5716" spans="1:28" x14ac:dyDescent="0.25">
      <c r="A5716" t="s">
        <v>5719</v>
      </c>
      <c r="B5716">
        <v>0.99930955844802105</v>
      </c>
      <c r="C5716">
        <v>0.90981086391943999</v>
      </c>
      <c r="D5716">
        <v>0.88014322331800698</v>
      </c>
      <c r="E5716">
        <v>0.60478493618927598</v>
      </c>
      <c r="F5716">
        <v>0.26119523252926102</v>
      </c>
      <c r="G5716">
        <v>0.17992661566343501</v>
      </c>
      <c r="H5716">
        <v>0.11729715542947899</v>
      </c>
      <c r="I5716">
        <v>0.10844904197520901</v>
      </c>
      <c r="J5716">
        <v>9.3815300579285402E-2</v>
      </c>
      <c r="K5716">
        <v>7.4907749479315902E-2</v>
      </c>
      <c r="L5716">
        <v>1059.4809318965499</v>
      </c>
      <c r="M5716">
        <v>21.103735333664901</v>
      </c>
      <c r="N5716">
        <v>50.673126697135103</v>
      </c>
      <c r="O5716">
        <v>49.759218995793098</v>
      </c>
      <c r="P5716">
        <v>-9.6613622443337696E-2</v>
      </c>
      <c r="Q5716">
        <v>8.8826347703195405E-2</v>
      </c>
      <c r="R5716">
        <v>0.99259036192016503</v>
      </c>
      <c r="S5716" t="s">
        <v>12332</v>
      </c>
      <c r="T5716" t="s">
        <v>13232</v>
      </c>
      <c r="U5716" t="s">
        <v>13232</v>
      </c>
      <c r="V5716" t="s">
        <v>13232</v>
      </c>
      <c r="W5716" t="s">
        <v>18878</v>
      </c>
      <c r="X5716">
        <v>39</v>
      </c>
      <c r="Y5716" t="s">
        <v>25266</v>
      </c>
      <c r="Z5716" t="s">
        <v>31847</v>
      </c>
      <c r="AA5716">
        <v>0.41014862000779828</v>
      </c>
      <c r="AB5716" t="str">
        <f>HYPERLINK("Melting_Curves/meltCurve_Q9HAU5_UPF2.pdf", "Melting_Curves/meltCurve_Q9HAU5_UPF2.pdf")</f>
        <v>Melting_Curves/meltCurve_Q9HAU5_UPF2.pdf</v>
      </c>
    </row>
    <row r="5717" spans="1:28" x14ac:dyDescent="0.25">
      <c r="A5717" t="s">
        <v>5720</v>
      </c>
      <c r="B5717">
        <v>0.99930955844802105</v>
      </c>
      <c r="C5717">
        <v>0.93378546466778101</v>
      </c>
      <c r="D5717">
        <v>0.744543791019458</v>
      </c>
      <c r="E5717">
        <v>0.36601750207002198</v>
      </c>
      <c r="F5717">
        <v>0.14565865100015199</v>
      </c>
      <c r="G5717">
        <v>9.8854683640369395E-2</v>
      </c>
      <c r="H5717">
        <v>5.4280107550223E-2</v>
      </c>
      <c r="I5717">
        <v>4.50747903869161E-2</v>
      </c>
      <c r="J5717">
        <v>3.8523354436416399E-2</v>
      </c>
      <c r="K5717">
        <v>3.0297044369461301E-2</v>
      </c>
      <c r="L5717">
        <v>1008.32118582535</v>
      </c>
      <c r="M5717">
        <v>20.8808706486824</v>
      </c>
      <c r="N5717">
        <v>48.475597712516603</v>
      </c>
      <c r="O5717">
        <v>47.852878137272697</v>
      </c>
      <c r="P5717">
        <v>-0.104884229209038</v>
      </c>
      <c r="Q5717">
        <v>3.8569886299594597E-2</v>
      </c>
      <c r="R5717">
        <v>0.99898163153627795</v>
      </c>
      <c r="S5717" t="s">
        <v>12333</v>
      </c>
      <c r="T5717" t="s">
        <v>13232</v>
      </c>
      <c r="U5717" t="s">
        <v>13232</v>
      </c>
      <c r="V5717" t="s">
        <v>13232</v>
      </c>
      <c r="W5717" t="s">
        <v>18879</v>
      </c>
      <c r="X5717">
        <v>49</v>
      </c>
      <c r="Y5717" t="s">
        <v>25267</v>
      </c>
      <c r="Z5717" t="s">
        <v>31848</v>
      </c>
      <c r="AA5717">
        <v>0.31663493722596509</v>
      </c>
      <c r="AB5717" t="str">
        <f>HYPERLINK("Melting_Curves/meltCurve_Q9HAV4_XPO5.pdf", "Melting_Curves/meltCurve_Q9HAV4_XPO5.pdf")</f>
        <v>Melting_Curves/meltCurve_Q9HAV4_XPO5.pdf</v>
      </c>
    </row>
    <row r="5718" spans="1:28" x14ac:dyDescent="0.25">
      <c r="A5718" t="s">
        <v>5721</v>
      </c>
      <c r="B5718">
        <v>0.99930955844802105</v>
      </c>
      <c r="C5718">
        <v>1.27265618373432</v>
      </c>
      <c r="D5718">
        <v>1.2244734412289799</v>
      </c>
      <c r="E5718">
        <v>1.1128637554502401</v>
      </c>
      <c r="F5718">
        <v>0.32172044436585601</v>
      </c>
      <c r="G5718">
        <v>0.19129653403529601</v>
      </c>
      <c r="H5718">
        <v>0.105415039161058</v>
      </c>
      <c r="I5718">
        <v>8.8931149993067102E-2</v>
      </c>
      <c r="J5718">
        <v>7.9619035775257904E-2</v>
      </c>
      <c r="K5718">
        <v>7.5678392934323394E-2</v>
      </c>
      <c r="L5718">
        <v>13188.744388151001</v>
      </c>
      <c r="M5718">
        <v>250</v>
      </c>
      <c r="N5718">
        <v>52.806480558647799</v>
      </c>
      <c r="O5718">
        <v>52.751601586919499</v>
      </c>
      <c r="P5718">
        <v>-1.05661727177442</v>
      </c>
      <c r="Q5718">
        <v>0.108187947487382</v>
      </c>
      <c r="R5718">
        <v>0.94211370686363305</v>
      </c>
      <c r="S5718" t="s">
        <v>12334</v>
      </c>
      <c r="T5718" t="s">
        <v>13232</v>
      </c>
      <c r="U5718" t="s">
        <v>13232</v>
      </c>
      <c r="V5718" t="s">
        <v>13232</v>
      </c>
      <c r="W5718" t="s">
        <v>18880</v>
      </c>
      <c r="X5718">
        <v>12</v>
      </c>
      <c r="Y5718" t="s">
        <v>25268</v>
      </c>
      <c r="Z5718" t="s">
        <v>31849</v>
      </c>
      <c r="AA5718">
        <v>0.48743860552587631</v>
      </c>
      <c r="AB5718" t="str">
        <f>HYPERLINK("Melting_Curves/meltCurve_Q9HAV7_GRPEL1.pdf", "Melting_Curves/meltCurve_Q9HAV7_GRPEL1.pdf")</f>
        <v>Melting_Curves/meltCurve_Q9HAV7_GRPEL1.pdf</v>
      </c>
    </row>
    <row r="5719" spans="1:28" x14ac:dyDescent="0.25">
      <c r="A5719" t="s">
        <v>5722</v>
      </c>
      <c r="B5719">
        <v>0.99930955844802105</v>
      </c>
      <c r="C5719">
        <v>1.00489762047892</v>
      </c>
      <c r="D5719">
        <v>1.01544113183257</v>
      </c>
      <c r="E5719">
        <v>1.06823499878772</v>
      </c>
      <c r="F5719">
        <v>0.92034369086894396</v>
      </c>
      <c r="G5719">
        <v>0.82306092407477505</v>
      </c>
      <c r="H5719">
        <v>0.90450105186775198</v>
      </c>
      <c r="I5719">
        <v>0.98209292198034603</v>
      </c>
      <c r="J5719">
        <v>0.88929057275450096</v>
      </c>
      <c r="K5719">
        <v>0.74152193138871003</v>
      </c>
      <c r="L5719">
        <v>451.65615859795702</v>
      </c>
      <c r="M5719">
        <v>5.04787460552157</v>
      </c>
      <c r="Q5719">
        <v>0</v>
      </c>
      <c r="R5719">
        <v>0.52892305352728897</v>
      </c>
      <c r="S5719" t="s">
        <v>12335</v>
      </c>
      <c r="T5719" t="s">
        <v>13232</v>
      </c>
      <c r="U5719" t="s">
        <v>13232</v>
      </c>
      <c r="V5719" t="s">
        <v>13232</v>
      </c>
      <c r="W5719" t="s">
        <v>18881</v>
      </c>
      <c r="X5719">
        <v>12</v>
      </c>
      <c r="Y5719" t="s">
        <v>25269</v>
      </c>
      <c r="Z5719" t="s">
        <v>31850</v>
      </c>
      <c r="AA5719">
        <v>0.93890845163441583</v>
      </c>
      <c r="AB5719" t="str">
        <f>HYPERLINK("Melting_Curves/meltCurve_Q9HAW4_2_CLSPN.pdf", "Melting_Curves/meltCurve_Q9HAW4_2_CLSPN.pdf")</f>
        <v>Melting_Curves/meltCurve_Q9HAW4_2_CLSPN.pdf</v>
      </c>
    </row>
    <row r="5720" spans="1:28" x14ac:dyDescent="0.25">
      <c r="A5720" t="s">
        <v>5723</v>
      </c>
      <c r="B5720">
        <v>0.99930955844802105</v>
      </c>
      <c r="C5720">
        <v>0.94037798475621104</v>
      </c>
      <c r="D5720">
        <v>0.93453229123384096</v>
      </c>
      <c r="E5720">
        <v>0.81815490488663301</v>
      </c>
      <c r="F5720">
        <v>0.53385216986025097</v>
      </c>
      <c r="G5720">
        <v>0.40304189200896001</v>
      </c>
      <c r="H5720">
        <v>0.27908653771816799</v>
      </c>
      <c r="I5720">
        <v>0.29724959799638401</v>
      </c>
      <c r="J5720">
        <v>0.28026464298019499</v>
      </c>
      <c r="K5720">
        <v>0.223769471312987</v>
      </c>
      <c r="L5720">
        <v>991.311044511011</v>
      </c>
      <c r="M5720">
        <v>18.969770425589001</v>
      </c>
      <c r="N5720">
        <v>54.244676826898697</v>
      </c>
      <c r="O5720">
        <v>51.687068598987501</v>
      </c>
      <c r="P5720">
        <v>-6.87760005526937E-2</v>
      </c>
      <c r="Q5720">
        <v>0.25045222618803697</v>
      </c>
      <c r="R5720">
        <v>0.99024965487625705</v>
      </c>
      <c r="S5720" t="s">
        <v>12336</v>
      </c>
      <c r="T5720" t="s">
        <v>13232</v>
      </c>
      <c r="U5720" t="s">
        <v>13232</v>
      </c>
      <c r="V5720" t="s">
        <v>13232</v>
      </c>
      <c r="W5720" t="s">
        <v>18882</v>
      </c>
      <c r="X5720">
        <v>6</v>
      </c>
      <c r="Y5720" t="s">
        <v>25270</v>
      </c>
      <c r="Z5720" t="s">
        <v>31851</v>
      </c>
      <c r="AA5720">
        <v>0.56806729855659055</v>
      </c>
      <c r="AB5720" t="str">
        <f>HYPERLINK("Melting_Curves/meltCurve_Q9HB19_PLEKHA2.pdf", "Melting_Curves/meltCurve_Q9HB19_PLEKHA2.pdf")</f>
        <v>Melting_Curves/meltCurve_Q9HB19_PLEKHA2.pdf</v>
      </c>
    </row>
    <row r="5721" spans="1:28" x14ac:dyDescent="0.25">
      <c r="A5721" t="s">
        <v>5724</v>
      </c>
      <c r="B5721">
        <v>0.99930955844802105</v>
      </c>
      <c r="C5721">
        <v>1.8336461864906299</v>
      </c>
      <c r="D5721">
        <v>1.3934285081961</v>
      </c>
      <c r="E5721">
        <v>1.05850072635128</v>
      </c>
      <c r="F5721">
        <v>0.476194246677629</v>
      </c>
      <c r="G5721">
        <v>0.33767943992385901</v>
      </c>
      <c r="H5721">
        <v>0.40883193157136899</v>
      </c>
      <c r="I5721">
        <v>0.41450730962558102</v>
      </c>
      <c r="J5721">
        <v>0.49340931660746601</v>
      </c>
      <c r="K5721">
        <v>0.275345847555996</v>
      </c>
      <c r="L5721">
        <v>13156.7920986387</v>
      </c>
      <c r="M5721">
        <v>250</v>
      </c>
      <c r="N5721">
        <v>52.940137613296599</v>
      </c>
      <c r="O5721">
        <v>52.623800543241302</v>
      </c>
      <c r="P5721">
        <v>-0.72928666533139297</v>
      </c>
      <c r="Q5721">
        <v>0.38595462375697298</v>
      </c>
      <c r="R5721">
        <v>0.64873906531300096</v>
      </c>
      <c r="S5721" t="s">
        <v>12337</v>
      </c>
      <c r="T5721" t="s">
        <v>13232</v>
      </c>
      <c r="U5721" t="s">
        <v>13232</v>
      </c>
      <c r="V5721" t="s">
        <v>13232</v>
      </c>
      <c r="W5721" t="s">
        <v>18883</v>
      </c>
      <c r="X5721">
        <v>4</v>
      </c>
      <c r="Y5721" t="s">
        <v>25271</v>
      </c>
      <c r="Z5721" t="s">
        <v>31852</v>
      </c>
      <c r="AA5721">
        <v>0.64446648249347604</v>
      </c>
      <c r="AB5721" t="str">
        <f>HYPERLINK("Melting_Curves/meltCurve_Q9HB21_PLEKHA1.pdf", "Melting_Curves/meltCurve_Q9HB21_PLEKHA1.pdf")</f>
        <v>Melting_Curves/meltCurve_Q9HB21_PLEKHA1.pdf</v>
      </c>
    </row>
    <row r="5722" spans="1:28" x14ac:dyDescent="0.25">
      <c r="A5722" t="s">
        <v>5725</v>
      </c>
      <c r="B5722">
        <v>0.99930955844802105</v>
      </c>
      <c r="C5722">
        <v>0.75558939728868302</v>
      </c>
      <c r="D5722">
        <v>0.63567301713482405</v>
      </c>
      <c r="E5722">
        <v>0.50499458175082701</v>
      </c>
      <c r="F5722">
        <v>0.30668877638068498</v>
      </c>
      <c r="G5722">
        <v>0.22388494089369301</v>
      </c>
      <c r="H5722">
        <v>0.111279339702671</v>
      </c>
      <c r="I5722">
        <v>7.6671202146038495E-2</v>
      </c>
      <c r="J5722">
        <v>8.1545630853253004E-2</v>
      </c>
      <c r="K5722">
        <v>5.3284799961658802E-2</v>
      </c>
      <c r="L5722">
        <v>496.94752328771301</v>
      </c>
      <c r="M5722">
        <v>10.119028028900001</v>
      </c>
      <c r="N5722">
        <v>49.170587026312603</v>
      </c>
      <c r="O5722">
        <v>47.307968794515098</v>
      </c>
      <c r="P5722">
        <v>-5.3168734070279597E-2</v>
      </c>
      <c r="Q5722">
        <v>6.1748687679853099E-3</v>
      </c>
      <c r="R5722">
        <v>0.98391263802894302</v>
      </c>
      <c r="S5722" t="s">
        <v>12338</v>
      </c>
      <c r="T5722" t="s">
        <v>13232</v>
      </c>
      <c r="U5722" t="s">
        <v>13232</v>
      </c>
      <c r="V5722" t="s">
        <v>13232</v>
      </c>
      <c r="W5722" t="s">
        <v>18884</v>
      </c>
      <c r="X5722">
        <v>2</v>
      </c>
      <c r="Y5722" t="s">
        <v>25272</v>
      </c>
      <c r="Z5722" t="s">
        <v>31853</v>
      </c>
      <c r="AA5722">
        <v>0.35536747650179928</v>
      </c>
      <c r="AB5722" t="str">
        <f>HYPERLINK("Melting_Curves/meltCurve_Q9HB40_SCPEP1.pdf", "Melting_Curves/meltCurve_Q9HB40_SCPEP1.pdf")</f>
        <v>Melting_Curves/meltCurve_Q9HB40_SCPEP1.pdf</v>
      </c>
    </row>
    <row r="5723" spans="1:28" x14ac:dyDescent="0.25">
      <c r="A5723" t="s">
        <v>5726</v>
      </c>
      <c r="B5723">
        <v>0.99930955844802105</v>
      </c>
      <c r="C5723">
        <v>1.1143944186097301</v>
      </c>
      <c r="D5723">
        <v>1.0208616958515599</v>
      </c>
      <c r="E5723">
        <v>0.94652967890675099</v>
      </c>
      <c r="F5723">
        <v>0.98069246127869802</v>
      </c>
      <c r="G5723">
        <v>0.70001621580602202</v>
      </c>
      <c r="H5723">
        <v>0.667185538601207</v>
      </c>
      <c r="I5723">
        <v>0.73022089279916902</v>
      </c>
      <c r="J5723">
        <v>0.72186834059035598</v>
      </c>
      <c r="K5723">
        <v>0.51279947220043798</v>
      </c>
      <c r="L5723">
        <v>3465.6723604975</v>
      </c>
      <c r="M5723">
        <v>62.721552957980897</v>
      </c>
      <c r="O5723">
        <v>55.198814855734902</v>
      </c>
      <c r="P5723">
        <v>-9.7291556168090307E-2</v>
      </c>
      <c r="Q5723">
        <v>0.65751005094337001</v>
      </c>
      <c r="R5723">
        <v>0.86521346631353502</v>
      </c>
      <c r="S5723" t="s">
        <v>12339</v>
      </c>
      <c r="T5723" t="s">
        <v>13232</v>
      </c>
      <c r="U5723" t="s">
        <v>13232</v>
      </c>
      <c r="V5723" t="s">
        <v>13232</v>
      </c>
      <c r="W5723" t="s">
        <v>18885</v>
      </c>
      <c r="X5723">
        <v>4</v>
      </c>
      <c r="Y5723" t="s">
        <v>25273</v>
      </c>
      <c r="Z5723" t="s">
        <v>31854</v>
      </c>
      <c r="AA5723">
        <v>0.83219426804592278</v>
      </c>
      <c r="AB5723" t="str">
        <f>HYPERLINK("Melting_Curves/meltCurve_Q9HB58_6_SP110.pdf", "Melting_Curves/meltCurve_Q9HB58_6_SP110.pdf")</f>
        <v>Melting_Curves/meltCurve_Q9HB58_6_SP110.pdf</v>
      </c>
    </row>
    <row r="5724" spans="1:28" x14ac:dyDescent="0.25">
      <c r="A5724" t="s">
        <v>5727</v>
      </c>
      <c r="B5724">
        <v>0.99930955844802105</v>
      </c>
      <c r="C5724">
        <v>1.0631789510568299</v>
      </c>
      <c r="D5724">
        <v>1.1065464205152999</v>
      </c>
      <c r="E5724">
        <v>0.99843570069627197</v>
      </c>
      <c r="F5724">
        <v>0.67491987753191796</v>
      </c>
      <c r="G5724">
        <v>0.31057585247845698</v>
      </c>
      <c r="H5724">
        <v>0.13347866018934601</v>
      </c>
      <c r="I5724">
        <v>0.113701554307406</v>
      </c>
      <c r="J5724">
        <v>0.12095215331162</v>
      </c>
      <c r="K5724">
        <v>8.6362187017826705E-2</v>
      </c>
      <c r="L5724">
        <v>1639.33394691733</v>
      </c>
      <c r="M5724">
        <v>30.1719188055581</v>
      </c>
      <c r="N5724">
        <v>54.766451060667599</v>
      </c>
      <c r="O5724">
        <v>54.096099682619503</v>
      </c>
      <c r="P5724">
        <v>-0.124630577648546</v>
      </c>
      <c r="Q5724">
        <v>0.106190728706287</v>
      </c>
      <c r="R5724">
        <v>0.98741860881921495</v>
      </c>
      <c r="S5724" t="s">
        <v>12340</v>
      </c>
      <c r="T5724" t="s">
        <v>13232</v>
      </c>
      <c r="U5724" t="s">
        <v>13232</v>
      </c>
      <c r="V5724" t="s">
        <v>13232</v>
      </c>
      <c r="W5724" t="s">
        <v>18886</v>
      </c>
      <c r="X5724">
        <v>21</v>
      </c>
      <c r="Y5724" t="s">
        <v>25274</v>
      </c>
      <c r="Z5724" t="s">
        <v>31855</v>
      </c>
      <c r="AA5724">
        <v>0.53905454657056173</v>
      </c>
      <c r="AB5724" t="str">
        <f>HYPERLINK("Melting_Curves/meltCurve_Q9HB71_CACYBP.pdf", "Melting_Curves/meltCurve_Q9HB71_CACYBP.pdf")</f>
        <v>Melting_Curves/meltCurve_Q9HB71_CACYBP.pdf</v>
      </c>
    </row>
    <row r="5725" spans="1:28" x14ac:dyDescent="0.25">
      <c r="A5725" t="s">
        <v>5728</v>
      </c>
      <c r="B5725">
        <v>0.99930955844802105</v>
      </c>
      <c r="C5725">
        <v>1.1018152596683299</v>
      </c>
      <c r="D5725">
        <v>1.0691401681286401</v>
      </c>
      <c r="E5725">
        <v>1.16487392471889</v>
      </c>
      <c r="F5725">
        <v>1.16564798572856</v>
      </c>
      <c r="G5725">
        <v>0.89491961546960497</v>
      </c>
      <c r="H5725">
        <v>0.61418414923384701</v>
      </c>
      <c r="I5725">
        <v>0.333425458742452</v>
      </c>
      <c r="J5725">
        <v>0.16514151868483201</v>
      </c>
      <c r="K5725">
        <v>8.9806650841231503E-2</v>
      </c>
      <c r="L5725">
        <v>1773.3087060457799</v>
      </c>
      <c r="M5725">
        <v>28.689144763837401</v>
      </c>
      <c r="N5725">
        <v>62.128807551292603</v>
      </c>
      <c r="O5725">
        <v>61.513157485087198</v>
      </c>
      <c r="P5725">
        <v>-0.108644240782102</v>
      </c>
      <c r="Q5725">
        <v>6.8219274173169406E-2</v>
      </c>
      <c r="R5725">
        <v>0.95442659802912799</v>
      </c>
      <c r="S5725" t="s">
        <v>12341</v>
      </c>
      <c r="T5725" t="s">
        <v>13232</v>
      </c>
      <c r="U5725" t="s">
        <v>13232</v>
      </c>
      <c r="V5725" t="s">
        <v>13232</v>
      </c>
      <c r="W5725" t="s">
        <v>18887</v>
      </c>
      <c r="X5725">
        <v>12</v>
      </c>
      <c r="Y5725" t="s">
        <v>25275</v>
      </c>
      <c r="Z5725" t="s">
        <v>31856</v>
      </c>
      <c r="AA5725">
        <v>0.75025776904009478</v>
      </c>
      <c r="AB5725" t="str">
        <f>HYPERLINK("Melting_Curves/meltCurve_Q9HB90_RRAGC.pdf", "Melting_Curves/meltCurve_Q9HB90_RRAGC.pdf")</f>
        <v>Melting_Curves/meltCurve_Q9HB90_RRAGC.pdf</v>
      </c>
    </row>
    <row r="5726" spans="1:28" x14ac:dyDescent="0.25">
      <c r="A5726" t="s">
        <v>5729</v>
      </c>
      <c r="B5726">
        <v>0.99930955844802105</v>
      </c>
      <c r="C5726">
        <v>1.14419523138926</v>
      </c>
      <c r="D5726">
        <v>0.88848334152314801</v>
      </c>
      <c r="E5726">
        <v>0.74132884120518505</v>
      </c>
      <c r="F5726">
        <v>0.634767413072855</v>
      </c>
      <c r="G5726">
        <v>0.76617417609207705</v>
      </c>
      <c r="H5726">
        <v>0.62827465486398204</v>
      </c>
      <c r="I5726">
        <v>0.74743265905926803</v>
      </c>
      <c r="J5726">
        <v>0.89044664005867502</v>
      </c>
      <c r="K5726">
        <v>0.72922629139004902</v>
      </c>
      <c r="L5726">
        <v>11515.006826983799</v>
      </c>
      <c r="M5726">
        <v>250</v>
      </c>
      <c r="O5726">
        <v>46.057079704400003</v>
      </c>
      <c r="P5726">
        <v>-0.36103285501687099</v>
      </c>
      <c r="Q5726">
        <v>0.73395009625238805</v>
      </c>
      <c r="R5726">
        <v>0.71895292719059001</v>
      </c>
      <c r="S5726" t="s">
        <v>12342</v>
      </c>
      <c r="T5726" t="s">
        <v>13232</v>
      </c>
      <c r="U5726" t="s">
        <v>13232</v>
      </c>
      <c r="V5726" t="s">
        <v>13232</v>
      </c>
      <c r="W5726" t="s">
        <v>18888</v>
      </c>
      <c r="X5726">
        <v>1</v>
      </c>
      <c r="Y5726" t="s">
        <v>25276</v>
      </c>
      <c r="Z5726" t="s">
        <v>31857</v>
      </c>
      <c r="AA5726">
        <v>0.78771392503100657</v>
      </c>
      <c r="AB5726" t="str">
        <f>HYPERLINK("Melting_Curves/meltCurve_Q9HB96_FANCE.pdf", "Melting_Curves/meltCurve_Q9HB96_FANCE.pdf")</f>
        <v>Melting_Curves/meltCurve_Q9HB96_FANCE.pdf</v>
      </c>
    </row>
    <row r="5727" spans="1:28" x14ac:dyDescent="0.25">
      <c r="A5727" t="s">
        <v>5730</v>
      </c>
      <c r="B5727">
        <v>0.99930955844802105</v>
      </c>
      <c r="C5727">
        <v>0.97478579382602504</v>
      </c>
      <c r="D5727">
        <v>0.95174104858897501</v>
      </c>
      <c r="E5727">
        <v>0.90272335098572198</v>
      </c>
      <c r="F5727">
        <v>0.77387608967281596</v>
      </c>
      <c r="G5727">
        <v>0.62703359707881601</v>
      </c>
      <c r="H5727">
        <v>0.48899085122962399</v>
      </c>
      <c r="I5727">
        <v>0.46269870493354098</v>
      </c>
      <c r="J5727">
        <v>0.37748689817422998</v>
      </c>
      <c r="K5727">
        <v>0.249985989081072</v>
      </c>
      <c r="L5727">
        <v>542.61269009308796</v>
      </c>
      <c r="M5727">
        <v>9.0503447137560897</v>
      </c>
      <c r="N5727">
        <v>61.357978421059201</v>
      </c>
      <c r="O5727">
        <v>57.244995784841002</v>
      </c>
      <c r="P5727">
        <v>-3.58556779293377E-2</v>
      </c>
      <c r="Q5727">
        <v>9.3470732368869006E-2</v>
      </c>
      <c r="R5727">
        <v>0.99035830035584504</v>
      </c>
      <c r="S5727" t="s">
        <v>12343</v>
      </c>
      <c r="T5727" t="s">
        <v>13232</v>
      </c>
      <c r="U5727" t="s">
        <v>13232</v>
      </c>
      <c r="V5727" t="s">
        <v>13232</v>
      </c>
      <c r="W5727" t="s">
        <v>18889</v>
      </c>
      <c r="X5727">
        <v>5</v>
      </c>
      <c r="Y5727" t="s">
        <v>25277</v>
      </c>
      <c r="Z5727" t="s">
        <v>31858</v>
      </c>
      <c r="AA5727">
        <v>0.689085880924451</v>
      </c>
      <c r="AB5727" t="str">
        <f>HYPERLINK("Melting_Curves/meltCurve_Q9HBE1_4_PATZ1.pdf", "Melting_Curves/meltCurve_Q9HBE1_4_PATZ1.pdf")</f>
        <v>Melting_Curves/meltCurve_Q9HBE1_4_PATZ1.pdf</v>
      </c>
    </row>
    <row r="5728" spans="1:28" x14ac:dyDescent="0.25">
      <c r="A5728" t="s">
        <v>5731</v>
      </c>
      <c r="B5728">
        <v>0.99930955844802105</v>
      </c>
      <c r="C5728">
        <v>0.98473746130926998</v>
      </c>
      <c r="D5728">
        <v>0.95443135614232599</v>
      </c>
      <c r="E5728">
        <v>0.83704745680095405</v>
      </c>
      <c r="F5728">
        <v>0.79023801618199196</v>
      </c>
      <c r="G5728">
        <v>0.53380301188762602</v>
      </c>
      <c r="H5728">
        <v>0.34576192270003298</v>
      </c>
      <c r="I5728">
        <v>0.14673812894685201</v>
      </c>
      <c r="J5728">
        <v>0.119177615749502</v>
      </c>
      <c r="K5728">
        <v>8.7454302172946793E-2</v>
      </c>
      <c r="L5728">
        <v>787.77226159707197</v>
      </c>
      <c r="M5728">
        <v>13.7044747935969</v>
      </c>
      <c r="N5728">
        <v>57.482849489929102</v>
      </c>
      <c r="O5728">
        <v>56.300354469291797</v>
      </c>
      <c r="P5728">
        <v>-6.0863064390008499E-2</v>
      </c>
      <c r="Q5728">
        <v>0</v>
      </c>
      <c r="R5728">
        <v>0.99425414152435299</v>
      </c>
      <c r="S5728" t="s">
        <v>12344</v>
      </c>
      <c r="T5728" t="s">
        <v>13232</v>
      </c>
      <c r="U5728" t="s">
        <v>13232</v>
      </c>
      <c r="V5728" t="s">
        <v>13232</v>
      </c>
      <c r="W5728" t="s">
        <v>18890</v>
      </c>
      <c r="X5728">
        <v>1</v>
      </c>
      <c r="Y5728" t="s">
        <v>25278</v>
      </c>
      <c r="Z5728" t="s">
        <v>31859</v>
      </c>
      <c r="AA5728">
        <v>0.59785416720214102</v>
      </c>
      <c r="AB5728" t="str">
        <f>HYPERLINK("Melting_Curves/meltCurve_Q9HBE4_2_IL21.pdf", "Melting_Curves/meltCurve_Q9HBE4_2_IL21.pdf")</f>
        <v>Melting_Curves/meltCurve_Q9HBE4_2_IL21.pdf</v>
      </c>
    </row>
    <row r="5729" spans="1:28" x14ac:dyDescent="0.25">
      <c r="A5729" t="s">
        <v>5732</v>
      </c>
      <c r="B5729">
        <v>0.99930955844802105</v>
      </c>
      <c r="C5729">
        <v>0.79034494982065795</v>
      </c>
      <c r="D5729">
        <v>0.70913097591613095</v>
      </c>
      <c r="E5729">
        <v>0.49689170082898099</v>
      </c>
      <c r="F5729">
        <v>0.170697039943143</v>
      </c>
      <c r="G5729">
        <v>9.4814581339075901E-2</v>
      </c>
      <c r="H5729">
        <v>4.5372015028904998E-2</v>
      </c>
      <c r="I5729">
        <v>2.9456149545041801E-2</v>
      </c>
      <c r="J5729">
        <v>2.4814691400540399E-2</v>
      </c>
      <c r="K5729">
        <v>1.9091819336320801E-2</v>
      </c>
      <c r="L5729">
        <v>697.29616604409102</v>
      </c>
      <c r="M5729">
        <v>14.3052652676327</v>
      </c>
      <c r="N5729">
        <v>48.7440220584445</v>
      </c>
      <c r="O5729">
        <v>47.821178911272597</v>
      </c>
      <c r="P5729">
        <v>-7.4794311387052906E-2</v>
      </c>
      <c r="Q5729">
        <v>0</v>
      </c>
      <c r="R5729">
        <v>0.982970799948783</v>
      </c>
      <c r="S5729" t="s">
        <v>12345</v>
      </c>
      <c r="T5729" t="s">
        <v>13232</v>
      </c>
      <c r="U5729" t="s">
        <v>13232</v>
      </c>
      <c r="V5729" t="s">
        <v>13232</v>
      </c>
      <c r="W5729" t="s">
        <v>18891</v>
      </c>
      <c r="X5729">
        <v>8</v>
      </c>
      <c r="Y5729" t="s">
        <v>25279</v>
      </c>
      <c r="Z5729" t="s">
        <v>31860</v>
      </c>
      <c r="AA5729">
        <v>0.31872591737189698</v>
      </c>
      <c r="AB5729" t="str">
        <f>HYPERLINK("Melting_Curves/meltCurve_Q9HBI1_PARVB.pdf", "Melting_Curves/meltCurve_Q9HBI1_PARVB.pdf")</f>
        <v>Melting_Curves/meltCurve_Q9HBI1_PARVB.pdf</v>
      </c>
    </row>
    <row r="5730" spans="1:28" x14ac:dyDescent="0.25">
      <c r="A5730" t="s">
        <v>5733</v>
      </c>
      <c r="B5730">
        <v>0.99930955844802105</v>
      </c>
      <c r="C5730">
        <v>1.03050023218069</v>
      </c>
      <c r="D5730">
        <v>0.81429678467729205</v>
      </c>
      <c r="E5730">
        <v>0.368649000078765</v>
      </c>
      <c r="F5730">
        <v>0.24057710048622</v>
      </c>
      <c r="G5730">
        <v>0.17824716208916</v>
      </c>
      <c r="H5730">
        <v>0.156237450959092</v>
      </c>
      <c r="I5730">
        <v>0.14539095500876201</v>
      </c>
      <c r="J5730">
        <v>0.145378697436266</v>
      </c>
      <c r="K5730">
        <v>0.10322015932393901</v>
      </c>
      <c r="L5730">
        <v>1330.27172560956</v>
      </c>
      <c r="M5730">
        <v>27.5714109372738</v>
      </c>
      <c r="N5730">
        <v>48.858783903334</v>
      </c>
      <c r="O5730">
        <v>47.996555060327402</v>
      </c>
      <c r="P5730">
        <v>-0.122684631885929</v>
      </c>
      <c r="Q5730">
        <v>0.14572582857240801</v>
      </c>
      <c r="R5730">
        <v>0.99482279614906599</v>
      </c>
      <c r="S5730" t="s">
        <v>12346</v>
      </c>
      <c r="T5730" t="s">
        <v>13232</v>
      </c>
      <c r="U5730" t="s">
        <v>13232</v>
      </c>
      <c r="V5730" t="s">
        <v>13232</v>
      </c>
      <c r="W5730" t="s">
        <v>18892</v>
      </c>
      <c r="X5730">
        <v>14</v>
      </c>
      <c r="Y5730" t="s">
        <v>25280</v>
      </c>
      <c r="Z5730" t="s">
        <v>31861</v>
      </c>
      <c r="AA5730">
        <v>0.38674675944178888</v>
      </c>
      <c r="AB5730" t="str">
        <f>HYPERLINK("Melting_Curves/meltCurve_Q9HBL8_NMRAL1.pdf", "Melting_Curves/meltCurve_Q9HBL8_NMRAL1.pdf")</f>
        <v>Melting_Curves/meltCurve_Q9HBL8_NMRAL1.pdf</v>
      </c>
    </row>
    <row r="5731" spans="1:28" x14ac:dyDescent="0.25">
      <c r="A5731" t="s">
        <v>5734</v>
      </c>
      <c r="B5731">
        <v>0.99930955844802105</v>
      </c>
      <c r="C5731">
        <v>0.97241136201259604</v>
      </c>
      <c r="D5731">
        <v>0.95202552178801303</v>
      </c>
      <c r="E5731">
        <v>0.72452150442532304</v>
      </c>
      <c r="F5731">
        <v>0.30684719750386702</v>
      </c>
      <c r="G5731">
        <v>0.20281239707823101</v>
      </c>
      <c r="H5731">
        <v>0.12963070927173001</v>
      </c>
      <c r="I5731">
        <v>0.11202525176743</v>
      </c>
      <c r="J5731">
        <v>0.10016631981809999</v>
      </c>
      <c r="K5731">
        <v>7.42578252599667E-2</v>
      </c>
      <c r="L5731">
        <v>1551.4711915221201</v>
      </c>
      <c r="M5731">
        <v>30.333129893681999</v>
      </c>
      <c r="N5731">
        <v>51.571254924612496</v>
      </c>
      <c r="O5731">
        <v>50.926986068770802</v>
      </c>
      <c r="P5731">
        <v>-0.132489157078407</v>
      </c>
      <c r="Q5731">
        <v>0.110249250699478</v>
      </c>
      <c r="R5731">
        <v>0.99518808932912795</v>
      </c>
      <c r="S5731" t="s">
        <v>12347</v>
      </c>
      <c r="T5731" t="s">
        <v>13232</v>
      </c>
      <c r="U5731" t="s">
        <v>13232</v>
      </c>
      <c r="V5731" t="s">
        <v>13232</v>
      </c>
      <c r="W5731" t="s">
        <v>18893</v>
      </c>
      <c r="X5731">
        <v>8</v>
      </c>
      <c r="Y5731" t="s">
        <v>25281</v>
      </c>
      <c r="Z5731" t="s">
        <v>31862</v>
      </c>
      <c r="AA5731">
        <v>0.44635833099446798</v>
      </c>
      <c r="AB5731" t="str">
        <f>HYPERLINK("Melting_Curves/meltCurve_Q9HBM1_SPC25.pdf", "Melting_Curves/meltCurve_Q9HBM1_SPC25.pdf")</f>
        <v>Melting_Curves/meltCurve_Q9HBM1_SPC25.pdf</v>
      </c>
    </row>
    <row r="5732" spans="1:28" x14ac:dyDescent="0.25">
      <c r="A5732" t="s">
        <v>5735</v>
      </c>
      <c r="B5732">
        <v>0.99930955844802105</v>
      </c>
      <c r="C5732">
        <v>0.71238576020226096</v>
      </c>
      <c r="D5732">
        <v>0.63935369087730998</v>
      </c>
      <c r="E5732">
        <v>0.53025320451271696</v>
      </c>
      <c r="F5732">
        <v>0.37799908778881203</v>
      </c>
      <c r="G5732">
        <v>0.283031740304796</v>
      </c>
      <c r="H5732">
        <v>0.192161017925008</v>
      </c>
      <c r="I5732">
        <v>0.20362821531070099</v>
      </c>
      <c r="J5732">
        <v>0.17456144503401999</v>
      </c>
      <c r="K5732">
        <v>0.13745511091412599</v>
      </c>
      <c r="L5732">
        <v>459.52148425466902</v>
      </c>
      <c r="M5732">
        <v>9.4856183036775104</v>
      </c>
      <c r="N5732">
        <v>49.685589530632001</v>
      </c>
      <c r="O5732">
        <v>46.437467214878502</v>
      </c>
      <c r="P5732">
        <v>-4.5705392136344697E-2</v>
      </c>
      <c r="Q5732">
        <v>0.10551680666516799</v>
      </c>
      <c r="R5732">
        <v>0.97037834929455902</v>
      </c>
      <c r="S5732" t="s">
        <v>12348</v>
      </c>
      <c r="T5732" t="s">
        <v>13232</v>
      </c>
      <c r="U5732" t="s">
        <v>13232</v>
      </c>
      <c r="V5732" t="s">
        <v>13232</v>
      </c>
      <c r="W5732" t="s">
        <v>18894</v>
      </c>
      <c r="X5732">
        <v>8</v>
      </c>
      <c r="Y5732" t="s">
        <v>25282</v>
      </c>
      <c r="Z5732" t="s">
        <v>31863</v>
      </c>
      <c r="AA5732">
        <v>0.40676327459094969</v>
      </c>
      <c r="AB5732" t="str">
        <f>HYPERLINK("Melting_Curves/meltCurve_Q9HBM6_TAF9B.pdf", "Melting_Curves/meltCurve_Q9HBM6_TAF9B.pdf")</f>
        <v>Melting_Curves/meltCurve_Q9HBM6_TAF9B.pdf</v>
      </c>
    </row>
    <row r="5733" spans="1:28" x14ac:dyDescent="0.25">
      <c r="A5733" t="s">
        <v>5736</v>
      </c>
      <c r="B5733">
        <v>0.99930955844802105</v>
      </c>
      <c r="C5733">
        <v>1.52010864168343</v>
      </c>
      <c r="D5733">
        <v>1.26540136636678</v>
      </c>
      <c r="E5733">
        <v>1.5474489191383201</v>
      </c>
      <c r="F5733">
        <v>1.32535714642587</v>
      </c>
      <c r="G5733">
        <v>1.37445439183096</v>
      </c>
      <c r="H5733">
        <v>1.6187050942610699</v>
      </c>
      <c r="I5733">
        <v>1.97925088292854</v>
      </c>
      <c r="J5733">
        <v>2.1411386252805298</v>
      </c>
      <c r="K5733">
        <v>1.4365872342408901</v>
      </c>
      <c r="L5733">
        <v>10290.0037184063</v>
      </c>
      <c r="M5733">
        <v>250</v>
      </c>
      <c r="O5733">
        <v>41.157380897409702</v>
      </c>
      <c r="P5733">
        <v>0.75928057978818597</v>
      </c>
      <c r="Q5733">
        <v>1.5</v>
      </c>
      <c r="R5733">
        <v>0.24413122582413299</v>
      </c>
      <c r="S5733" t="s">
        <v>12349</v>
      </c>
      <c r="T5733" t="s">
        <v>13232</v>
      </c>
      <c r="U5733" t="s">
        <v>13232</v>
      </c>
      <c r="V5733" t="s">
        <v>13232</v>
      </c>
      <c r="W5733" t="s">
        <v>18895</v>
      </c>
      <c r="X5733">
        <v>2</v>
      </c>
      <c r="Y5733" t="s">
        <v>25283</v>
      </c>
      <c r="Z5733" t="s">
        <v>31864</v>
      </c>
      <c r="AA5733">
        <v>1.480628475719262</v>
      </c>
      <c r="AB5733" t="str">
        <f>HYPERLINK("Melting_Curves/meltCurve_Q9HBR0_SLC38A10.pdf", "Melting_Curves/meltCurve_Q9HBR0_SLC38A10.pdf")</f>
        <v>Melting_Curves/meltCurve_Q9HBR0_SLC38A10.pdf</v>
      </c>
    </row>
    <row r="5734" spans="1:28" x14ac:dyDescent="0.25">
      <c r="A5734" t="s">
        <v>5737</v>
      </c>
      <c r="B5734">
        <v>0.99930955844802105</v>
      </c>
      <c r="C5734">
        <v>1.0060533101083</v>
      </c>
      <c r="D5734">
        <v>0.93755472096716796</v>
      </c>
      <c r="E5734">
        <v>0.82556979987383206</v>
      </c>
      <c r="F5734">
        <v>0.66077158194537899</v>
      </c>
      <c r="G5734">
        <v>0.35753999917830998</v>
      </c>
      <c r="H5734">
        <v>0.137527640763243</v>
      </c>
      <c r="I5734">
        <v>9.1403957867270305E-2</v>
      </c>
      <c r="J5734">
        <v>9.9238912242230096E-2</v>
      </c>
      <c r="K5734">
        <v>7.5646609881156596E-2</v>
      </c>
      <c r="L5734">
        <v>978.17078742043896</v>
      </c>
      <c r="M5734">
        <v>17.943472941079801</v>
      </c>
      <c r="N5734">
        <v>54.808337229954702</v>
      </c>
      <c r="O5734">
        <v>53.8504544380501</v>
      </c>
      <c r="P5734">
        <v>-7.9480250948621198E-2</v>
      </c>
      <c r="Q5734">
        <v>4.59296609770374E-2</v>
      </c>
      <c r="R5734">
        <v>0.997533051505472</v>
      </c>
      <c r="S5734" t="s">
        <v>12350</v>
      </c>
      <c r="T5734" t="s">
        <v>13232</v>
      </c>
      <c r="U5734" t="s">
        <v>13232</v>
      </c>
      <c r="V5734" t="s">
        <v>13232</v>
      </c>
      <c r="W5734" t="s">
        <v>18896</v>
      </c>
      <c r="X5734">
        <v>5</v>
      </c>
      <c r="Y5734" t="s">
        <v>25284</v>
      </c>
      <c r="Z5734" t="s">
        <v>31865</v>
      </c>
      <c r="AA5734">
        <v>0.52260329140748996</v>
      </c>
      <c r="AB5734" t="str">
        <f>HYPERLINK("Melting_Curves/meltCurve_Q9HBU6_ETNK1.pdf", "Melting_Curves/meltCurve_Q9HBU6_ETNK1.pdf")</f>
        <v>Melting_Curves/meltCurve_Q9HBU6_ETNK1.pdf</v>
      </c>
    </row>
    <row r="5735" spans="1:28" x14ac:dyDescent="0.25">
      <c r="A5735" t="s">
        <v>5738</v>
      </c>
      <c r="B5735">
        <v>0.99930955844802105</v>
      </c>
      <c r="C5735">
        <v>0.97023623977815798</v>
      </c>
      <c r="D5735">
        <v>0.86375043078138103</v>
      </c>
      <c r="E5735">
        <v>0.63373539170794302</v>
      </c>
      <c r="F5735">
        <v>0.36959878637584898</v>
      </c>
      <c r="G5735">
        <v>0.28716199916795399</v>
      </c>
      <c r="H5735">
        <v>0.25682924992462602</v>
      </c>
      <c r="I5735">
        <v>0.27198948290743702</v>
      </c>
      <c r="J5735">
        <v>0.27042490068910002</v>
      </c>
      <c r="K5735">
        <v>0.21671923089890599</v>
      </c>
      <c r="L5735">
        <v>1069.83608517314</v>
      </c>
      <c r="M5735">
        <v>21.516627111372198</v>
      </c>
      <c r="N5735">
        <v>51.3213309671494</v>
      </c>
      <c r="O5735">
        <v>49.297855879491301</v>
      </c>
      <c r="P5735">
        <v>-8.2455312963525595E-2</v>
      </c>
      <c r="Q5735">
        <v>0.24434784232342399</v>
      </c>
      <c r="R5735">
        <v>0.99493359693130901</v>
      </c>
      <c r="S5735" t="s">
        <v>12351</v>
      </c>
      <c r="T5735" t="s">
        <v>13232</v>
      </c>
      <c r="U5735" t="s">
        <v>13232</v>
      </c>
      <c r="V5735" t="s">
        <v>13232</v>
      </c>
      <c r="W5735" t="s">
        <v>18897</v>
      </c>
      <c r="X5735">
        <v>43</v>
      </c>
      <c r="Y5735" t="s">
        <v>25285</v>
      </c>
      <c r="Z5735" t="s">
        <v>31866</v>
      </c>
      <c r="AA5735">
        <v>0.49832313725286659</v>
      </c>
      <c r="AB5735" t="str">
        <f>HYPERLINK("Melting_Curves/meltCurve_Q9HC35_EML4.pdf", "Melting_Curves/meltCurve_Q9HC35_EML4.pdf")</f>
        <v>Melting_Curves/meltCurve_Q9HC35_EML4.pdf</v>
      </c>
    </row>
    <row r="5736" spans="1:28" x14ac:dyDescent="0.25">
      <c r="A5736" t="s">
        <v>5739</v>
      </c>
      <c r="B5736">
        <v>0.99930955844802105</v>
      </c>
      <c r="C5736">
        <v>1.0358598063078901</v>
      </c>
      <c r="D5736">
        <v>0.99029506228333797</v>
      </c>
      <c r="E5736">
        <v>0.86429642878429003</v>
      </c>
      <c r="F5736">
        <v>0.19411970974652401</v>
      </c>
      <c r="G5736">
        <v>0.115743102754455</v>
      </c>
      <c r="H5736">
        <v>6.2058703032255899E-2</v>
      </c>
      <c r="I5736">
        <v>5.50642537843E-2</v>
      </c>
      <c r="J5736">
        <v>4.9157030907209201E-2</v>
      </c>
      <c r="K5736">
        <v>3.5986215581025702E-2</v>
      </c>
      <c r="L5736">
        <v>3142.0871511494001</v>
      </c>
      <c r="M5736">
        <v>61.077201667156302</v>
      </c>
      <c r="N5736">
        <v>51.557631051273098</v>
      </c>
      <c r="O5736">
        <v>51.389458569633199</v>
      </c>
      <c r="P5736">
        <v>-0.27849822639967797</v>
      </c>
      <c r="Q5736">
        <v>6.2703215985710797E-2</v>
      </c>
      <c r="R5736">
        <v>0.99745572109699998</v>
      </c>
      <c r="S5736" t="s">
        <v>12352</v>
      </c>
      <c r="T5736" t="s">
        <v>13232</v>
      </c>
      <c r="U5736" t="s">
        <v>13232</v>
      </c>
      <c r="V5736" t="s">
        <v>13232</v>
      </c>
      <c r="W5736" t="s">
        <v>18898</v>
      </c>
      <c r="X5736">
        <v>28</v>
      </c>
      <c r="Y5736" t="s">
        <v>25286</v>
      </c>
      <c r="Z5736" t="s">
        <v>31867</v>
      </c>
      <c r="AA5736">
        <v>0.42168961946904648</v>
      </c>
      <c r="AB5736" t="str">
        <f>HYPERLINK("Melting_Curves/meltCurve_Q9HC38_2_GLOD4.pdf", "Melting_Curves/meltCurve_Q9HC38_2_GLOD4.pdf")</f>
        <v>Melting_Curves/meltCurve_Q9HC38_2_GLOD4.pdf</v>
      </c>
    </row>
    <row r="5737" spans="1:28" x14ac:dyDescent="0.25">
      <c r="A5737" t="s">
        <v>5740</v>
      </c>
      <c r="B5737">
        <v>0.99930955844802105</v>
      </c>
      <c r="C5737">
        <v>1.0279458202385601</v>
      </c>
      <c r="D5737">
        <v>0.97638490388714305</v>
      </c>
      <c r="E5737">
        <v>0.92500080061442902</v>
      </c>
      <c r="F5737">
        <v>0.77521869349543004</v>
      </c>
      <c r="G5737">
        <v>0.66724420879747504</v>
      </c>
      <c r="H5737">
        <v>0.63065494103989805</v>
      </c>
      <c r="I5737">
        <v>0.65289225910605297</v>
      </c>
      <c r="J5737">
        <v>0.595214718091441</v>
      </c>
      <c r="K5737">
        <v>0.51122771449154503</v>
      </c>
      <c r="L5737">
        <v>949.25666908986295</v>
      </c>
      <c r="M5737">
        <v>17.783024646688201</v>
      </c>
      <c r="O5737">
        <v>52.718644034767003</v>
      </c>
      <c r="P5737">
        <v>-3.60015219950078E-2</v>
      </c>
      <c r="Q5737">
        <v>0.57310906208934698</v>
      </c>
      <c r="R5737">
        <v>0.966839667361446</v>
      </c>
      <c r="S5737" t="s">
        <v>12353</v>
      </c>
      <c r="T5737" t="s">
        <v>13232</v>
      </c>
      <c r="U5737" t="s">
        <v>13232</v>
      </c>
      <c r="V5737" t="s">
        <v>13232</v>
      </c>
      <c r="W5737" t="s">
        <v>18899</v>
      </c>
      <c r="X5737">
        <v>3</v>
      </c>
      <c r="Y5737" t="s">
        <v>25287</v>
      </c>
      <c r="Z5737" t="s">
        <v>31868</v>
      </c>
      <c r="AA5737">
        <v>0.77056891107222192</v>
      </c>
      <c r="AB5737" t="str">
        <f>HYPERLINK("Melting_Curves/meltCurve_Q9HC44_GPBP1L1.pdf", "Melting_Curves/meltCurve_Q9HC44_GPBP1L1.pdf")</f>
        <v>Melting_Curves/meltCurve_Q9HC44_GPBP1L1.pdf</v>
      </c>
    </row>
    <row r="5738" spans="1:28" x14ac:dyDescent="0.25">
      <c r="A5738" t="s">
        <v>5741</v>
      </c>
      <c r="B5738">
        <v>0.99930955844802105</v>
      </c>
      <c r="C5738">
        <v>1.1128046155148901</v>
      </c>
      <c r="D5738">
        <v>1.04565408693821</v>
      </c>
      <c r="E5738">
        <v>1.0274771541314001</v>
      </c>
      <c r="F5738">
        <v>0.89302893817649598</v>
      </c>
      <c r="G5738">
        <v>0.89195424110037502</v>
      </c>
      <c r="H5738">
        <v>0.904646624028835</v>
      </c>
      <c r="I5738">
        <v>1.09088492655091</v>
      </c>
      <c r="J5738">
        <v>1.3765056284388899</v>
      </c>
      <c r="K5738">
        <v>0.92414205664247895</v>
      </c>
      <c r="L5738">
        <v>15000</v>
      </c>
      <c r="M5738">
        <v>234.800034315451</v>
      </c>
      <c r="O5738">
        <v>63.879512883906898</v>
      </c>
      <c r="P5738">
        <v>0.13813084668943301</v>
      </c>
      <c r="Q5738">
        <v>1.15031907827734</v>
      </c>
      <c r="R5738">
        <v>0.23596971274370601</v>
      </c>
      <c r="S5738" t="s">
        <v>12354</v>
      </c>
      <c r="T5738" t="s">
        <v>13232</v>
      </c>
      <c r="U5738" t="s">
        <v>13232</v>
      </c>
      <c r="V5738" t="s">
        <v>13232</v>
      </c>
      <c r="W5738" t="s">
        <v>18900</v>
      </c>
      <c r="X5738">
        <v>10</v>
      </c>
      <c r="Y5738" t="s">
        <v>25288</v>
      </c>
      <c r="Z5738" t="s">
        <v>31869</v>
      </c>
      <c r="AA5738">
        <v>1.0306252045770341</v>
      </c>
      <c r="AB5738" t="str">
        <f>HYPERLINK("Melting_Curves/meltCurve_Q9HC52_CBX8.pdf", "Melting_Curves/meltCurve_Q9HC52_CBX8.pdf")</f>
        <v>Melting_Curves/meltCurve_Q9HC52_CBX8.pdf</v>
      </c>
    </row>
    <row r="5739" spans="1:28" x14ac:dyDescent="0.25">
      <c r="A5739" t="s">
        <v>5742</v>
      </c>
      <c r="B5739">
        <v>0.99930955844802105</v>
      </c>
      <c r="C5739">
        <v>1.17422135314397</v>
      </c>
      <c r="D5739">
        <v>1.10710590774148</v>
      </c>
      <c r="E5739">
        <v>1.07844746098069</v>
      </c>
      <c r="F5739">
        <v>0.99575963601788298</v>
      </c>
      <c r="G5739">
        <v>0.93195913738428304</v>
      </c>
      <c r="H5739">
        <v>1.02136174114391</v>
      </c>
      <c r="I5739">
        <v>1.17399921499393</v>
      </c>
      <c r="J5739">
        <v>1.2957426343343399</v>
      </c>
      <c r="K5739">
        <v>0.99450341110145601</v>
      </c>
      <c r="L5739">
        <v>10254.8032280958</v>
      </c>
      <c r="M5739">
        <v>250</v>
      </c>
      <c r="O5739">
        <v>41.016577138082503</v>
      </c>
      <c r="P5739">
        <v>0.13089199982736799</v>
      </c>
      <c r="Q5739">
        <v>1.08589989156885</v>
      </c>
      <c r="R5739">
        <v>6.0680784336147098E-2</v>
      </c>
      <c r="S5739" t="s">
        <v>12355</v>
      </c>
      <c r="T5739" t="s">
        <v>13232</v>
      </c>
      <c r="U5739" t="s">
        <v>13232</v>
      </c>
      <c r="V5739" t="s">
        <v>13232</v>
      </c>
      <c r="W5739" t="s">
        <v>18901</v>
      </c>
      <c r="X5739">
        <v>15</v>
      </c>
      <c r="Y5739" t="s">
        <v>25289</v>
      </c>
      <c r="Z5739" t="s">
        <v>31870</v>
      </c>
      <c r="AA5739">
        <v>1.082974606883546</v>
      </c>
      <c r="AB5739" t="str">
        <f>HYPERLINK("Melting_Curves/meltCurve_Q9HC77_CENPJ.pdf", "Melting_Curves/meltCurve_Q9HC77_CENPJ.pdf")</f>
        <v>Melting_Curves/meltCurve_Q9HC77_CENPJ.pdf</v>
      </c>
    </row>
    <row r="5740" spans="1:28" x14ac:dyDescent="0.25">
      <c r="A5740" t="s">
        <v>5743</v>
      </c>
      <c r="B5740">
        <v>0.99930955844802105</v>
      </c>
      <c r="C5740">
        <v>0.675404934203512</v>
      </c>
      <c r="D5740">
        <v>0.49005737804521998</v>
      </c>
      <c r="E5740">
        <v>0.544733141613575</v>
      </c>
      <c r="F5740">
        <v>0.52626658152348404</v>
      </c>
      <c r="G5740">
        <v>0.421573015676665</v>
      </c>
      <c r="H5740">
        <v>0.30842065291161902</v>
      </c>
      <c r="I5740">
        <v>0.29309139492966502</v>
      </c>
      <c r="J5740">
        <v>0.17026708210224101</v>
      </c>
      <c r="K5740">
        <v>5.7213176437341799E-2</v>
      </c>
      <c r="L5740">
        <v>297.06597036448198</v>
      </c>
      <c r="M5740">
        <v>5.8040507040120799</v>
      </c>
      <c r="N5740">
        <v>51.182524484948402</v>
      </c>
      <c r="O5740">
        <v>46.0870058196003</v>
      </c>
      <c r="P5740">
        <v>-3.1598935183663301E-2</v>
      </c>
      <c r="Q5740">
        <v>0</v>
      </c>
      <c r="R5740">
        <v>0.86126065817945296</v>
      </c>
      <c r="S5740" t="s">
        <v>12356</v>
      </c>
      <c r="T5740" t="s">
        <v>13232</v>
      </c>
      <c r="U5740" t="s">
        <v>13232</v>
      </c>
      <c r="V5740" t="s">
        <v>13232</v>
      </c>
      <c r="W5740" t="s">
        <v>18902</v>
      </c>
      <c r="X5740">
        <v>18</v>
      </c>
      <c r="Y5740" t="s">
        <v>25290</v>
      </c>
      <c r="Z5740" t="s">
        <v>31871</v>
      </c>
      <c r="AA5740">
        <v>0.44099160061846221</v>
      </c>
      <c r="AB5740" t="str">
        <f>HYPERLINK("Melting_Curves/meltCurve_Q9HCC0_MCCC2.pdf", "Melting_Curves/meltCurve_Q9HCC0_MCCC2.pdf")</f>
        <v>Melting_Curves/meltCurve_Q9HCC0_MCCC2.pdf</v>
      </c>
    </row>
    <row r="5741" spans="1:28" x14ac:dyDescent="0.25">
      <c r="A5741" t="s">
        <v>5744</v>
      </c>
      <c r="B5741">
        <v>0.99930955844802105</v>
      </c>
      <c r="C5741">
        <v>0.94978801650605205</v>
      </c>
      <c r="D5741">
        <v>0.87705810268442896</v>
      </c>
      <c r="E5741">
        <v>0.78958605317191899</v>
      </c>
      <c r="F5741">
        <v>0.54093893489446698</v>
      </c>
      <c r="G5741">
        <v>0.43577779764225799</v>
      </c>
      <c r="H5741">
        <v>0.31824489001774903</v>
      </c>
      <c r="I5741">
        <v>0.42203746485467902</v>
      </c>
      <c r="J5741">
        <v>0.36625066506751103</v>
      </c>
      <c r="K5741">
        <v>0.28616239050616499</v>
      </c>
      <c r="L5741">
        <v>841.34262587006594</v>
      </c>
      <c r="M5741">
        <v>16.3961197193705</v>
      </c>
      <c r="N5741">
        <v>54.800220875704397</v>
      </c>
      <c r="O5741">
        <v>50.568428407329499</v>
      </c>
      <c r="P5741">
        <v>-5.4812803320448703E-2</v>
      </c>
      <c r="Q5741">
        <v>0.32384005590905501</v>
      </c>
      <c r="R5741">
        <v>0.97517252581243596</v>
      </c>
      <c r="S5741" t="s">
        <v>12357</v>
      </c>
      <c r="T5741" t="s">
        <v>13232</v>
      </c>
      <c r="U5741" t="s">
        <v>13232</v>
      </c>
      <c r="V5741" t="s">
        <v>13232</v>
      </c>
      <c r="W5741" t="s">
        <v>18903</v>
      </c>
      <c r="X5741">
        <v>6</v>
      </c>
      <c r="Y5741" t="s">
        <v>25291</v>
      </c>
      <c r="Z5741" t="s">
        <v>31872</v>
      </c>
      <c r="AA5741">
        <v>0.59217876739843101</v>
      </c>
      <c r="AB5741" t="str">
        <f>HYPERLINK("Melting_Curves/meltCurve_Q9HCC9_2_ZFYVE28.pdf", "Melting_Curves/meltCurve_Q9HCC9_2_ZFYVE28.pdf")</f>
        <v>Melting_Curves/meltCurve_Q9HCC9_2_ZFYVE28.pdf</v>
      </c>
    </row>
    <row r="5742" spans="1:28" x14ac:dyDescent="0.25">
      <c r="A5742" t="s">
        <v>5745</v>
      </c>
      <c r="B5742">
        <v>0.99930955844802105</v>
      </c>
      <c r="C5742">
        <v>0.95689135800998304</v>
      </c>
      <c r="D5742">
        <v>0.95855597182399999</v>
      </c>
      <c r="E5742">
        <v>0.87630058358257801</v>
      </c>
      <c r="F5742">
        <v>1.16763507373647</v>
      </c>
      <c r="G5742">
        <v>0.89668388640663399</v>
      </c>
      <c r="H5742">
        <v>0.203276994641686</v>
      </c>
      <c r="I5742">
        <v>1.3485949171432501E-2</v>
      </c>
      <c r="J5742">
        <v>1.0763027141136401E-3</v>
      </c>
      <c r="K5742">
        <v>2.47845429402528E-3</v>
      </c>
      <c r="L5742">
        <v>3161.9997429847599</v>
      </c>
      <c r="M5742">
        <v>53.224776711523297</v>
      </c>
      <c r="N5742">
        <v>59.408417692052502</v>
      </c>
      <c r="O5742">
        <v>59.324732267455602</v>
      </c>
      <c r="P5742">
        <v>-0.22429437121311899</v>
      </c>
      <c r="Q5742">
        <v>0</v>
      </c>
      <c r="R5742">
        <v>0.97750610928680803</v>
      </c>
      <c r="S5742" t="s">
        <v>12358</v>
      </c>
      <c r="T5742" t="s">
        <v>13232</v>
      </c>
      <c r="U5742" t="s">
        <v>13232</v>
      </c>
      <c r="V5742" t="s">
        <v>13232</v>
      </c>
      <c r="W5742" t="s">
        <v>18904</v>
      </c>
      <c r="X5742">
        <v>6</v>
      </c>
      <c r="Y5742" t="s">
        <v>25291</v>
      </c>
      <c r="Z5742" t="s">
        <v>31873</v>
      </c>
      <c r="AA5742">
        <v>0.64924111255344275</v>
      </c>
      <c r="AB5742" t="str">
        <f>HYPERLINK("Melting_Curves/meltCurve_Q9HCC9_5_ZFYVE28.pdf", "Melting_Curves/meltCurve_Q9HCC9_5_ZFYVE28.pdf")</f>
        <v>Melting_Curves/meltCurve_Q9HCC9_5_ZFYVE28.pdf</v>
      </c>
    </row>
    <row r="5743" spans="1:28" x14ac:dyDescent="0.25">
      <c r="A5743" t="s">
        <v>5746</v>
      </c>
      <c r="B5743">
        <v>0.99930955844802105</v>
      </c>
      <c r="C5743">
        <v>1.02175055377668</v>
      </c>
      <c r="D5743">
        <v>0.99400802123624199</v>
      </c>
      <c r="E5743">
        <v>1.0086211924924899</v>
      </c>
      <c r="F5743">
        <v>0.90747370300069496</v>
      </c>
      <c r="G5743">
        <v>0.89055366103768596</v>
      </c>
      <c r="H5743">
        <v>1.0598743918056801</v>
      </c>
      <c r="I5743">
        <v>1.26634344950658</v>
      </c>
      <c r="J5743">
        <v>1.0641802073695401</v>
      </c>
      <c r="K5743">
        <v>0.81431587469183797</v>
      </c>
      <c r="L5743">
        <v>1430.28582429158</v>
      </c>
      <c r="M5743">
        <v>24.201364583230099</v>
      </c>
      <c r="O5743">
        <v>58.700305556852499</v>
      </c>
      <c r="P5743">
        <v>3.6892704106149502E-3</v>
      </c>
      <c r="Q5743">
        <v>1.0357926937358</v>
      </c>
      <c r="R5743">
        <v>2.9743778932668701E-2</v>
      </c>
      <c r="S5743" t="s">
        <v>12359</v>
      </c>
      <c r="T5743" t="s">
        <v>13232</v>
      </c>
      <c r="U5743" t="s">
        <v>13232</v>
      </c>
      <c r="V5743" t="s">
        <v>13232</v>
      </c>
      <c r="W5743" t="s">
        <v>18905</v>
      </c>
      <c r="X5743">
        <v>1</v>
      </c>
      <c r="Y5743" t="s">
        <v>25292</v>
      </c>
      <c r="Z5743" t="s">
        <v>31874</v>
      </c>
      <c r="AA5743">
        <v>1.0127036099657749</v>
      </c>
      <c r="AB5743" t="str">
        <f>HYPERLINK("Melting_Curves/meltCurve_Q9HCD5_NCOA5.pdf", "Melting_Curves/meltCurve_Q9HCD5_NCOA5.pdf")</f>
        <v>Melting_Curves/meltCurve_Q9HCD5_NCOA5.pdf</v>
      </c>
    </row>
    <row r="5744" spans="1:28" x14ac:dyDescent="0.25">
      <c r="A5744" t="s">
        <v>5747</v>
      </c>
      <c r="B5744">
        <v>0.99930955844802105</v>
      </c>
      <c r="C5744">
        <v>0.91946224200040305</v>
      </c>
      <c r="D5744">
        <v>0.93183199459286703</v>
      </c>
      <c r="E5744">
        <v>0.79024945189932305</v>
      </c>
      <c r="F5744">
        <v>0.62330088130508998</v>
      </c>
      <c r="G5744">
        <v>0.45631771001677002</v>
      </c>
      <c r="H5744">
        <v>0.42497906155388099</v>
      </c>
      <c r="I5744">
        <v>0.393399027217126</v>
      </c>
      <c r="J5744">
        <v>0.38371716872311201</v>
      </c>
      <c r="K5744">
        <v>0.24984812577125401</v>
      </c>
      <c r="L5744">
        <v>666.15338137692504</v>
      </c>
      <c r="M5744">
        <v>12.594115312974999</v>
      </c>
      <c r="N5744">
        <v>56.783546366059099</v>
      </c>
      <c r="O5744">
        <v>51.613589774630299</v>
      </c>
      <c r="P5744">
        <v>-4.3382152006000103E-2</v>
      </c>
      <c r="Q5744">
        <v>0.288981966820331</v>
      </c>
      <c r="R5744">
        <v>0.97941322022723298</v>
      </c>
      <c r="S5744" t="s">
        <v>12360</v>
      </c>
      <c r="T5744" t="s">
        <v>13232</v>
      </c>
      <c r="U5744" t="s">
        <v>13232</v>
      </c>
      <c r="V5744" t="s">
        <v>13232</v>
      </c>
      <c r="W5744" t="s">
        <v>18906</v>
      </c>
      <c r="X5744">
        <v>6</v>
      </c>
      <c r="Y5744" t="s">
        <v>25293</v>
      </c>
      <c r="Z5744" t="s">
        <v>31875</v>
      </c>
      <c r="AA5744">
        <v>0.61387106388931112</v>
      </c>
      <c r="AB5744" t="str">
        <f>HYPERLINK("Melting_Curves/meltCurve_Q9HCE0_2_EPG5.pdf", "Melting_Curves/meltCurve_Q9HCE0_2_EPG5.pdf")</f>
        <v>Melting_Curves/meltCurve_Q9HCE0_2_EPG5.pdf</v>
      </c>
    </row>
    <row r="5745" spans="1:28" x14ac:dyDescent="0.25">
      <c r="A5745" t="s">
        <v>5748</v>
      </c>
      <c r="B5745">
        <v>0.99930955844802105</v>
      </c>
      <c r="C5745">
        <v>0.77115877293745505</v>
      </c>
      <c r="D5745">
        <v>0.79534327780438396</v>
      </c>
      <c r="E5745">
        <v>0.84652352791736896</v>
      </c>
      <c r="F5745">
        <v>0.78567487006605297</v>
      </c>
      <c r="G5745">
        <v>0.40878055143577402</v>
      </c>
      <c r="H5745">
        <v>0.13352044174721101</v>
      </c>
      <c r="I5745">
        <v>0.10877031079689201</v>
      </c>
      <c r="J5745">
        <v>9.2613633194403799E-2</v>
      </c>
      <c r="K5745">
        <v>7.3168409443364599E-2</v>
      </c>
      <c r="L5745">
        <v>838.08691205098205</v>
      </c>
      <c r="M5745">
        <v>15.0496336947015</v>
      </c>
      <c r="N5745">
        <v>55.688171810585402</v>
      </c>
      <c r="O5745">
        <v>54.7326963709138</v>
      </c>
      <c r="P5745">
        <v>-6.87483629546915E-2</v>
      </c>
      <c r="Q5745">
        <v>0</v>
      </c>
      <c r="R5745">
        <v>0.92604677381242195</v>
      </c>
      <c r="S5745" t="s">
        <v>12361</v>
      </c>
      <c r="T5745" t="s">
        <v>13232</v>
      </c>
      <c r="U5745" t="s">
        <v>13232</v>
      </c>
      <c r="V5745" t="s">
        <v>13232</v>
      </c>
      <c r="W5745" t="s">
        <v>18907</v>
      </c>
      <c r="X5745">
        <v>25</v>
      </c>
      <c r="Y5745" t="s">
        <v>25294</v>
      </c>
      <c r="Z5745" t="s">
        <v>31876</v>
      </c>
      <c r="AA5745">
        <v>0.54114391524072869</v>
      </c>
      <c r="AB5745" t="str">
        <f>HYPERLINK("Melting_Curves/meltCurve_Q9HCE1_MOV10.pdf", "Melting_Curves/meltCurve_Q9HCE1_MOV10.pdf")</f>
        <v>Melting_Curves/meltCurve_Q9HCE1_MOV10.pdf</v>
      </c>
    </row>
    <row r="5746" spans="1:28" x14ac:dyDescent="0.25">
      <c r="A5746" t="s">
        <v>5749</v>
      </c>
      <c r="B5746">
        <v>0.99930955844802105</v>
      </c>
      <c r="C5746">
        <v>1.06383462588717</v>
      </c>
      <c r="D5746">
        <v>1.0071179507306101</v>
      </c>
      <c r="E5746">
        <v>0.91609709541831097</v>
      </c>
      <c r="F5746">
        <v>0.50590343955956796</v>
      </c>
      <c r="G5746">
        <v>0.24195740491419099</v>
      </c>
      <c r="H5746">
        <v>0.22819480268989101</v>
      </c>
      <c r="I5746">
        <v>0.24774293512686901</v>
      </c>
      <c r="J5746">
        <v>0.25802687094466498</v>
      </c>
      <c r="K5746">
        <v>0.196539857777107</v>
      </c>
      <c r="L5746">
        <v>2405.6894827307301</v>
      </c>
      <c r="M5746">
        <v>45.984540367666803</v>
      </c>
      <c r="N5746">
        <v>53.029914871097397</v>
      </c>
      <c r="O5746">
        <v>52.216528261554103</v>
      </c>
      <c r="P5746">
        <v>-0.16931353033399901</v>
      </c>
      <c r="Q5746">
        <v>0.23096289663715699</v>
      </c>
      <c r="R5746">
        <v>0.99510477830548805</v>
      </c>
      <c r="S5746" t="s">
        <v>12362</v>
      </c>
      <c r="T5746" t="s">
        <v>13232</v>
      </c>
      <c r="U5746" t="s">
        <v>13232</v>
      </c>
      <c r="V5746" t="s">
        <v>13232</v>
      </c>
      <c r="W5746" t="s">
        <v>18908</v>
      </c>
      <c r="X5746">
        <v>11</v>
      </c>
      <c r="Y5746" t="s">
        <v>25295</v>
      </c>
      <c r="Z5746" t="s">
        <v>31877</v>
      </c>
      <c r="AA5746">
        <v>0.54875703320328206</v>
      </c>
      <c r="AB5746" t="str">
        <f>HYPERLINK("Melting_Curves/meltCurve_Q9HCE5_METTL14.pdf", "Melting_Curves/meltCurve_Q9HCE5_METTL14.pdf")</f>
        <v>Melting_Curves/meltCurve_Q9HCE5_METTL14.pdf</v>
      </c>
    </row>
    <row r="5747" spans="1:28" x14ac:dyDescent="0.25">
      <c r="A5747" t="s">
        <v>5750</v>
      </c>
      <c r="B5747">
        <v>0.99930955844802105</v>
      </c>
      <c r="C5747">
        <v>1.0464265852639101</v>
      </c>
      <c r="D5747">
        <v>1.0156025474758901</v>
      </c>
      <c r="E5747">
        <v>0.98118574072243003</v>
      </c>
      <c r="F5747">
        <v>0.87968770137945596</v>
      </c>
      <c r="G5747">
        <v>0.737599241731966</v>
      </c>
      <c r="H5747">
        <v>0.70989287381355604</v>
      </c>
      <c r="I5747">
        <v>0.78527876171581801</v>
      </c>
      <c r="J5747">
        <v>0.73855731577561401</v>
      </c>
      <c r="K5747">
        <v>0.62730958260421399</v>
      </c>
      <c r="L5747">
        <v>2028.25417737157</v>
      </c>
      <c r="M5747">
        <v>37.946233986550901</v>
      </c>
      <c r="O5747">
        <v>53.302939580242302</v>
      </c>
      <c r="P5747">
        <v>-5.0874612623311798E-2</v>
      </c>
      <c r="Q5747">
        <v>0.71414719071916599</v>
      </c>
      <c r="R5747">
        <v>0.92389039125415795</v>
      </c>
      <c r="S5747" t="s">
        <v>12363</v>
      </c>
      <c r="T5747" t="s">
        <v>13232</v>
      </c>
      <c r="U5747" t="s">
        <v>13232</v>
      </c>
      <c r="V5747" t="s">
        <v>13232</v>
      </c>
      <c r="W5747" t="s">
        <v>18909</v>
      </c>
      <c r="X5747">
        <v>14</v>
      </c>
      <c r="Y5747" t="s">
        <v>25296</v>
      </c>
      <c r="Z5747" t="s">
        <v>31878</v>
      </c>
      <c r="AA5747">
        <v>0.84348347948001712</v>
      </c>
      <c r="AB5747" t="str">
        <f>HYPERLINK("Melting_Curves/meltCurve_Q9HCH0_3_NCKAP5L.pdf", "Melting_Curves/meltCurve_Q9HCH0_3_NCKAP5L.pdf")</f>
        <v>Melting_Curves/meltCurve_Q9HCH0_3_NCKAP5L.pdf</v>
      </c>
    </row>
    <row r="5748" spans="1:28" x14ac:dyDescent="0.25">
      <c r="A5748" t="s">
        <v>5751</v>
      </c>
      <c r="B5748">
        <v>0.99930955844802105</v>
      </c>
      <c r="C5748">
        <v>1.0155528645941501</v>
      </c>
      <c r="D5748">
        <v>0.92738477411629405</v>
      </c>
      <c r="E5748">
        <v>0.92968848502266799</v>
      </c>
      <c r="F5748">
        <v>0.76492282293440095</v>
      </c>
      <c r="G5748">
        <v>0.59827181578802802</v>
      </c>
      <c r="H5748">
        <v>0.52780240869736195</v>
      </c>
      <c r="I5748">
        <v>0.54976712590288501</v>
      </c>
      <c r="J5748">
        <v>0.573867164583309</v>
      </c>
      <c r="K5748">
        <v>0.44681928810475602</v>
      </c>
      <c r="L5748">
        <v>1158.2443897963101</v>
      </c>
      <c r="M5748">
        <v>21.735647722616299</v>
      </c>
      <c r="O5748">
        <v>52.842871431327602</v>
      </c>
      <c r="P5748">
        <v>-5.03357971839484E-2</v>
      </c>
      <c r="Q5748">
        <v>0.51051364042553804</v>
      </c>
      <c r="R5748">
        <v>0.96994604960143904</v>
      </c>
      <c r="S5748" t="s">
        <v>12364</v>
      </c>
      <c r="T5748" t="s">
        <v>13232</v>
      </c>
      <c r="U5748" t="s">
        <v>13232</v>
      </c>
      <c r="V5748" t="s">
        <v>13232</v>
      </c>
      <c r="W5748" t="s">
        <v>18910</v>
      </c>
      <c r="X5748">
        <v>5</v>
      </c>
      <c r="Y5748" t="s">
        <v>25297</v>
      </c>
      <c r="Z5748" t="s">
        <v>31879</v>
      </c>
      <c r="AA5748">
        <v>0.73313862223415005</v>
      </c>
      <c r="AB5748" t="str">
        <f>HYPERLINK("Melting_Curves/meltCurve_Q9HCI7_MSL2.pdf", "Melting_Curves/meltCurve_Q9HCI7_MSL2.pdf")</f>
        <v>Melting_Curves/meltCurve_Q9HCI7_MSL2.pdf</v>
      </c>
    </row>
    <row r="5749" spans="1:28" x14ac:dyDescent="0.25">
      <c r="A5749" t="s">
        <v>5752</v>
      </c>
      <c r="B5749">
        <v>0.99930955844802105</v>
      </c>
      <c r="C5749">
        <v>0.99384557702766796</v>
      </c>
      <c r="D5749">
        <v>0.92318124902367205</v>
      </c>
      <c r="E5749">
        <v>0.77506781234395306</v>
      </c>
      <c r="F5749">
        <v>0.67691510274852995</v>
      </c>
      <c r="G5749">
        <v>0.46306034191502699</v>
      </c>
      <c r="H5749">
        <v>0.32851516023739802</v>
      </c>
      <c r="I5749">
        <v>0.36811077578599999</v>
      </c>
      <c r="J5749">
        <v>0.21980757475438401</v>
      </c>
      <c r="K5749">
        <v>0.30844542346487602</v>
      </c>
      <c r="L5749">
        <v>758.35090638588701</v>
      </c>
      <c r="M5749">
        <v>14.174039585084101</v>
      </c>
      <c r="N5749">
        <v>56.187041285998497</v>
      </c>
      <c r="O5749">
        <v>52.471612711458597</v>
      </c>
      <c r="P5749">
        <v>-5.0927816589007399E-2</v>
      </c>
      <c r="Q5749">
        <v>0.24596576888699101</v>
      </c>
      <c r="R5749">
        <v>0.98624839495902294</v>
      </c>
      <c r="S5749" t="s">
        <v>12365</v>
      </c>
      <c r="T5749" t="s">
        <v>13232</v>
      </c>
      <c r="U5749" t="s">
        <v>13232</v>
      </c>
      <c r="V5749" t="s">
        <v>13232</v>
      </c>
      <c r="W5749" t="s">
        <v>18911</v>
      </c>
      <c r="X5749">
        <v>2</v>
      </c>
      <c r="Y5749" t="s">
        <v>25298</v>
      </c>
      <c r="Z5749" t="s">
        <v>31880</v>
      </c>
      <c r="AA5749">
        <v>0.60241025035282125</v>
      </c>
      <c r="AB5749" t="str">
        <f>HYPERLINK("Melting_Curves/meltCurve_Q9HCJ0_TNRC6C.pdf", "Melting_Curves/meltCurve_Q9HCJ0_TNRC6C.pdf")</f>
        <v>Melting_Curves/meltCurve_Q9HCJ0_TNRC6C.pdf</v>
      </c>
    </row>
    <row r="5750" spans="1:28" x14ac:dyDescent="0.25">
      <c r="A5750" t="s">
        <v>5753</v>
      </c>
      <c r="B5750">
        <v>0.99930955844802105</v>
      </c>
      <c r="C5750">
        <v>0.99138007147947804</v>
      </c>
      <c r="D5750">
        <v>0.96027149014749402</v>
      </c>
      <c r="E5750">
        <v>0.82518592491600995</v>
      </c>
      <c r="F5750">
        <v>0.46389936610101801</v>
      </c>
      <c r="G5750">
        <v>0.27531940721771397</v>
      </c>
      <c r="H5750">
        <v>0.182125803827554</v>
      </c>
      <c r="I5750">
        <v>0.220431849213021</v>
      </c>
      <c r="J5750">
        <v>0.27077435685092699</v>
      </c>
      <c r="K5750">
        <v>0.185500169436143</v>
      </c>
      <c r="L5750">
        <v>1680.3825254605499</v>
      </c>
      <c r="M5750">
        <v>32.427456030530202</v>
      </c>
      <c r="N5750">
        <v>52.742045242812502</v>
      </c>
      <c r="O5750">
        <v>51.623853457924703</v>
      </c>
      <c r="P5750">
        <v>-0.123053732020194</v>
      </c>
      <c r="Q5750">
        <v>0.21640734130001499</v>
      </c>
      <c r="R5750">
        <v>0.99419460829832396</v>
      </c>
      <c r="S5750" t="s">
        <v>12366</v>
      </c>
      <c r="T5750" t="s">
        <v>13232</v>
      </c>
      <c r="U5750" t="s">
        <v>13232</v>
      </c>
      <c r="V5750" t="s">
        <v>13232</v>
      </c>
      <c r="W5750" t="s">
        <v>18912</v>
      </c>
      <c r="X5750">
        <v>8</v>
      </c>
      <c r="Y5750" t="s">
        <v>25299</v>
      </c>
      <c r="Z5750" t="s">
        <v>31881</v>
      </c>
      <c r="AA5750">
        <v>0.52941152492558585</v>
      </c>
      <c r="AB5750" t="str">
        <f>HYPERLINK("Melting_Curves/meltCurve_Q9HCJ3_2_RAVER2.pdf", "Melting_Curves/meltCurve_Q9HCJ3_2_RAVER2.pdf")</f>
        <v>Melting_Curves/meltCurve_Q9HCJ3_2_RAVER2.pdf</v>
      </c>
    </row>
    <row r="5751" spans="1:28" x14ac:dyDescent="0.25">
      <c r="A5751" t="s">
        <v>5754</v>
      </c>
      <c r="B5751">
        <v>0.99930955844802105</v>
      </c>
      <c r="C5751">
        <v>0.928801376853719</v>
      </c>
      <c r="D5751">
        <v>0.88276956663216499</v>
      </c>
      <c r="E5751">
        <v>0.61288426533025997</v>
      </c>
      <c r="F5751">
        <v>0.450463142588585</v>
      </c>
      <c r="G5751">
        <v>0.36745576525356599</v>
      </c>
      <c r="H5751">
        <v>0.37296227939988702</v>
      </c>
      <c r="I5751">
        <v>0.41449847101306397</v>
      </c>
      <c r="J5751">
        <v>0.43230709965119601</v>
      </c>
      <c r="K5751">
        <v>0.35423070123756001</v>
      </c>
      <c r="L5751">
        <v>1142.9508422813101</v>
      </c>
      <c r="M5751">
        <v>23.468851489805498</v>
      </c>
      <c r="N5751">
        <v>51.899249564661801</v>
      </c>
      <c r="O5751">
        <v>48.351322719780299</v>
      </c>
      <c r="P5751">
        <v>-7.4957992942444901E-2</v>
      </c>
      <c r="Q5751">
        <v>0.382287002877507</v>
      </c>
      <c r="R5751">
        <v>0.98648728268414498</v>
      </c>
      <c r="S5751" t="s">
        <v>12367</v>
      </c>
      <c r="T5751" t="s">
        <v>13232</v>
      </c>
      <c r="U5751" t="s">
        <v>13232</v>
      </c>
      <c r="V5751" t="s">
        <v>13232</v>
      </c>
      <c r="W5751" t="s">
        <v>18913</v>
      </c>
      <c r="X5751">
        <v>32</v>
      </c>
      <c r="Y5751" t="s">
        <v>25300</v>
      </c>
      <c r="Z5751" t="s">
        <v>31882</v>
      </c>
      <c r="AA5751">
        <v>0.56767143802194586</v>
      </c>
      <c r="AB5751" t="str">
        <f>HYPERLINK("Melting_Curves/meltCurve_Q9HCK8_CHD8.pdf", "Melting_Curves/meltCurve_Q9HCK8_CHD8.pdf")</f>
        <v>Melting_Curves/meltCurve_Q9HCK8_CHD8.pdf</v>
      </c>
    </row>
    <row r="5752" spans="1:28" x14ac:dyDescent="0.25">
      <c r="A5752" t="s">
        <v>5755</v>
      </c>
      <c r="B5752">
        <v>0.99930955844802105</v>
      </c>
      <c r="C5752">
        <v>0.961354632733042</v>
      </c>
      <c r="D5752">
        <v>0.96590136268819804</v>
      </c>
      <c r="E5752">
        <v>0.96381623023908403</v>
      </c>
      <c r="F5752">
        <v>0.82353432994996001</v>
      </c>
      <c r="G5752">
        <v>0.67334738154460205</v>
      </c>
      <c r="H5752">
        <v>0.48936553561627899</v>
      </c>
      <c r="I5752">
        <v>0.50845239459986802</v>
      </c>
      <c r="J5752">
        <v>0.49539321194658598</v>
      </c>
      <c r="K5752">
        <v>0.39895403700707399</v>
      </c>
      <c r="L5752">
        <v>1001.76249120482</v>
      </c>
      <c r="M5752">
        <v>17.958648518280299</v>
      </c>
      <c r="N5752">
        <v>62.462317530575604</v>
      </c>
      <c r="O5752">
        <v>55.103757479045598</v>
      </c>
      <c r="P5752">
        <v>-4.6708486956732298E-2</v>
      </c>
      <c r="Q5752">
        <v>0.42675314693651401</v>
      </c>
      <c r="R5752">
        <v>0.98284826241142997</v>
      </c>
      <c r="S5752" t="s">
        <v>12368</v>
      </c>
      <c r="T5752" t="s">
        <v>13232</v>
      </c>
      <c r="U5752" t="s">
        <v>13232</v>
      </c>
      <c r="V5752" t="s">
        <v>13232</v>
      </c>
      <c r="W5752" t="s">
        <v>18914</v>
      </c>
      <c r="X5752">
        <v>5</v>
      </c>
      <c r="Y5752" t="s">
        <v>25301</v>
      </c>
      <c r="Z5752" t="s">
        <v>31883</v>
      </c>
      <c r="AA5752">
        <v>0.73688505152689221</v>
      </c>
      <c r="AB5752" t="str">
        <f>HYPERLINK("Melting_Curves/meltCurve_Q9HCM4_4_EPB41L5.pdf", "Melting_Curves/meltCurve_Q9HCM4_4_EPB41L5.pdf")</f>
        <v>Melting_Curves/meltCurve_Q9HCM4_4_EPB41L5.pdf</v>
      </c>
    </row>
    <row r="5753" spans="1:28" x14ac:dyDescent="0.25">
      <c r="A5753" t="s">
        <v>5756</v>
      </c>
      <c r="B5753">
        <v>0.99930955844802105</v>
      </c>
      <c r="C5753">
        <v>1.02617310491031</v>
      </c>
      <c r="D5753">
        <v>0.96266900210652995</v>
      </c>
      <c r="E5753">
        <v>0.94837834972753698</v>
      </c>
      <c r="F5753">
        <v>0.91139548981291396</v>
      </c>
      <c r="G5753">
        <v>0.76627431574009897</v>
      </c>
      <c r="H5753">
        <v>0.52661268244424997</v>
      </c>
      <c r="I5753">
        <v>0.23446960111944101</v>
      </c>
      <c r="J5753">
        <v>0.17045609263533401</v>
      </c>
      <c r="K5753">
        <v>0.13302415844489099</v>
      </c>
      <c r="L5753">
        <v>1121.3031557916499</v>
      </c>
      <c r="M5753">
        <v>18.549824842741</v>
      </c>
      <c r="N5753">
        <v>60.714824989987903</v>
      </c>
      <c r="O5753">
        <v>59.758808016813902</v>
      </c>
      <c r="P5753">
        <v>-7.4570484142260293E-2</v>
      </c>
      <c r="Q5753">
        <v>3.9118047275276999E-2</v>
      </c>
      <c r="R5753">
        <v>0.99214383360000202</v>
      </c>
      <c r="S5753" t="s">
        <v>12369</v>
      </c>
      <c r="T5753" t="s">
        <v>13232</v>
      </c>
      <c r="U5753" t="s">
        <v>13232</v>
      </c>
      <c r="V5753" t="s">
        <v>13232</v>
      </c>
      <c r="W5753" t="s">
        <v>18915</v>
      </c>
      <c r="X5753">
        <v>8</v>
      </c>
      <c r="Y5753" t="s">
        <v>25302</v>
      </c>
      <c r="Z5753" t="s">
        <v>31884</v>
      </c>
      <c r="AA5753">
        <v>0.70096517671566261</v>
      </c>
      <c r="AB5753" t="str">
        <f>HYPERLINK("Melting_Curves/meltCurve_Q9HCN4_2_GPN1.pdf", "Melting_Curves/meltCurve_Q9HCN4_2_GPN1.pdf")</f>
        <v>Melting_Curves/meltCurve_Q9HCN4_2_GPN1.pdf</v>
      </c>
    </row>
    <row r="5754" spans="1:28" x14ac:dyDescent="0.25">
      <c r="A5754" t="s">
        <v>5757</v>
      </c>
      <c r="B5754">
        <v>0.99930955844802105</v>
      </c>
      <c r="C5754">
        <v>0.87776407895264996</v>
      </c>
      <c r="D5754">
        <v>0.64461138674199503</v>
      </c>
      <c r="E5754">
        <v>0.50859882690966096</v>
      </c>
      <c r="F5754">
        <v>0.31125664627927901</v>
      </c>
      <c r="G5754">
        <v>0.20739365761457301</v>
      </c>
      <c r="H5754">
        <v>0.116747433030336</v>
      </c>
      <c r="I5754">
        <v>7.7326358977509002E-2</v>
      </c>
      <c r="J5754">
        <v>7.1283509682820406E-2</v>
      </c>
      <c r="K5754">
        <v>6.0792111377758501E-2</v>
      </c>
      <c r="L5754">
        <v>590.93543883836503</v>
      </c>
      <c r="M5754">
        <v>12.001911235541399</v>
      </c>
      <c r="N5754">
        <v>49.515723312663098</v>
      </c>
      <c r="O5754">
        <v>47.929613224581999</v>
      </c>
      <c r="P5754">
        <v>-6.0569976086749001E-2</v>
      </c>
      <c r="Q5754">
        <v>3.2688668587298103E-2</v>
      </c>
      <c r="R5754">
        <v>0.99138219504132097</v>
      </c>
      <c r="S5754" t="s">
        <v>12370</v>
      </c>
      <c r="T5754" t="s">
        <v>13232</v>
      </c>
      <c r="U5754" t="s">
        <v>13232</v>
      </c>
      <c r="V5754" t="s">
        <v>13232</v>
      </c>
      <c r="W5754" t="s">
        <v>18916</v>
      </c>
      <c r="X5754">
        <v>3</v>
      </c>
      <c r="Y5754" t="s">
        <v>25303</v>
      </c>
      <c r="Z5754" t="s">
        <v>31885</v>
      </c>
      <c r="AA5754">
        <v>0.36554065990787282</v>
      </c>
      <c r="AB5754" t="str">
        <f>HYPERLINK("Melting_Curves/meltCurve_Q9HCN8_SDF2L1.pdf", "Melting_Curves/meltCurve_Q9HCN8_SDF2L1.pdf")</f>
        <v>Melting_Curves/meltCurve_Q9HCN8_SDF2L1.pdf</v>
      </c>
    </row>
    <row r="5755" spans="1:28" x14ac:dyDescent="0.25">
      <c r="A5755" t="s">
        <v>5758</v>
      </c>
      <c r="B5755">
        <v>0.99930955844802105</v>
      </c>
      <c r="C5755">
        <v>0.80371872159762503</v>
      </c>
      <c r="D5755">
        <v>0.79887990773341999</v>
      </c>
      <c r="E5755">
        <v>0.67967509010570804</v>
      </c>
      <c r="F5755">
        <v>0.55013289907222995</v>
      </c>
      <c r="G5755">
        <v>0.40163834660129899</v>
      </c>
      <c r="H5755">
        <v>0.19397234440800401</v>
      </c>
      <c r="I5755">
        <v>0.17838591216618399</v>
      </c>
      <c r="J5755">
        <v>0.125415031659036</v>
      </c>
      <c r="K5755">
        <v>8.8925225035611399E-2</v>
      </c>
      <c r="L5755">
        <v>486.02417621257001</v>
      </c>
      <c r="M5755">
        <v>9.0886926640158592</v>
      </c>
      <c r="N5755">
        <v>53.475696613053699</v>
      </c>
      <c r="O5755">
        <v>51.077517634045201</v>
      </c>
      <c r="P5755">
        <v>-4.4515927516318402E-2</v>
      </c>
      <c r="Q5755">
        <v>0</v>
      </c>
      <c r="R5755">
        <v>0.98120377932816505</v>
      </c>
      <c r="S5755" t="s">
        <v>12371</v>
      </c>
      <c r="T5755" t="s">
        <v>13232</v>
      </c>
      <c r="U5755" t="s">
        <v>13232</v>
      </c>
      <c r="V5755" t="s">
        <v>13232</v>
      </c>
      <c r="W5755" t="s">
        <v>18917</v>
      </c>
      <c r="X5755">
        <v>2</v>
      </c>
      <c r="Y5755" t="s">
        <v>25304</v>
      </c>
      <c r="Z5755" t="s">
        <v>31886</v>
      </c>
      <c r="AA5755">
        <v>0.48392025640031172</v>
      </c>
      <c r="AB5755" t="str">
        <f>HYPERLINK("Melting_Curves/meltCurve_Q9HCU8_POLD4.pdf", "Melting_Curves/meltCurve_Q9HCU8_POLD4.pdf")</f>
        <v>Melting_Curves/meltCurve_Q9HCU8_POLD4.pdf</v>
      </c>
    </row>
    <row r="5756" spans="1:28" x14ac:dyDescent="0.25">
      <c r="A5756" t="s">
        <v>5759</v>
      </c>
      <c r="B5756">
        <v>0.99930955844802105</v>
      </c>
      <c r="C5756">
        <v>1.0925209434780201</v>
      </c>
      <c r="D5756">
        <v>1.0694155206528699</v>
      </c>
      <c r="E5756">
        <v>1.1134518192912899</v>
      </c>
      <c r="F5756">
        <v>1.03425038870792</v>
      </c>
      <c r="G5756">
        <v>1.0438355547986899</v>
      </c>
      <c r="H5756">
        <v>1.0660867867563699</v>
      </c>
      <c r="I5756">
        <v>1.0419719389397699</v>
      </c>
      <c r="J5756">
        <v>1.03216886076406</v>
      </c>
      <c r="K5756">
        <v>0.70804054066515798</v>
      </c>
      <c r="L5756">
        <v>15000</v>
      </c>
      <c r="M5756">
        <v>213.39980673802501</v>
      </c>
      <c r="Q5756">
        <v>0</v>
      </c>
      <c r="R5756">
        <v>0.68981643419757999</v>
      </c>
      <c r="S5756" t="s">
        <v>12372</v>
      </c>
      <c r="T5756" t="s">
        <v>13232</v>
      </c>
      <c r="U5756" t="s">
        <v>13232</v>
      </c>
      <c r="V5756" t="s">
        <v>13232</v>
      </c>
      <c r="W5756" t="s">
        <v>18918</v>
      </c>
      <c r="X5756">
        <v>12</v>
      </c>
      <c r="Y5756" t="s">
        <v>25305</v>
      </c>
      <c r="Z5756" t="s">
        <v>31887</v>
      </c>
      <c r="AA5756">
        <v>0.99627831833375846</v>
      </c>
      <c r="AB5756" t="str">
        <f>HYPERLINK("Melting_Curves/meltCurve_Q9HD15_SRA1.pdf", "Melting_Curves/meltCurve_Q9HD15_SRA1.pdf")</f>
        <v>Melting_Curves/meltCurve_Q9HD15_SRA1.pdf</v>
      </c>
    </row>
    <row r="5757" spans="1:28" x14ac:dyDescent="0.25">
      <c r="A5757" t="s">
        <v>5760</v>
      </c>
      <c r="B5757">
        <v>0.99930955844802105</v>
      </c>
      <c r="C5757">
        <v>0.84227385175145797</v>
      </c>
      <c r="D5757">
        <v>0.65740873200036898</v>
      </c>
      <c r="E5757">
        <v>0.74892838479702795</v>
      </c>
      <c r="F5757">
        <v>0.37642655433991401</v>
      </c>
      <c r="G5757">
        <v>0.170487843131477</v>
      </c>
      <c r="H5757">
        <v>7.8662264891061595E-2</v>
      </c>
      <c r="I5757">
        <v>5.4843084762615901E-2</v>
      </c>
      <c r="J5757">
        <v>2.4272256881633401E-2</v>
      </c>
      <c r="K5757">
        <v>2.1263330198514702E-2</v>
      </c>
      <c r="L5757">
        <v>630.03605006334499</v>
      </c>
      <c r="M5757">
        <v>12.339068820703201</v>
      </c>
      <c r="N5757">
        <v>51.060259063193897</v>
      </c>
      <c r="O5757">
        <v>49.774726077722697</v>
      </c>
      <c r="P5757">
        <v>-6.1987981605406403E-2</v>
      </c>
      <c r="Q5757">
        <v>0</v>
      </c>
      <c r="R5757">
        <v>0.95094345095688104</v>
      </c>
      <c r="S5757" t="s">
        <v>12373</v>
      </c>
      <c r="T5757" t="s">
        <v>13232</v>
      </c>
      <c r="U5757" t="s">
        <v>13232</v>
      </c>
      <c r="V5757" t="s">
        <v>13232</v>
      </c>
      <c r="W5757" t="s">
        <v>18919</v>
      </c>
      <c r="X5757">
        <v>3</v>
      </c>
      <c r="Y5757" t="s">
        <v>25306</v>
      </c>
      <c r="Z5757" t="s">
        <v>31888</v>
      </c>
      <c r="AA5757">
        <v>0.39989457452861948</v>
      </c>
      <c r="AB5757" t="str">
        <f>HYPERLINK("Melting_Curves/meltCurve_Q9HD20_2_ATP13A1.pdf", "Melting_Curves/meltCurve_Q9HD20_2_ATP13A1.pdf")</f>
        <v>Melting_Curves/meltCurve_Q9HD20_2_ATP13A1.pdf</v>
      </c>
    </row>
    <row r="5758" spans="1:28" x14ac:dyDescent="0.25">
      <c r="A5758" t="s">
        <v>5761</v>
      </c>
      <c r="B5758">
        <v>0.99930955844802105</v>
      </c>
      <c r="C5758">
        <v>1.04882707479191</v>
      </c>
      <c r="D5758">
        <v>0.58388645366342196</v>
      </c>
      <c r="E5758">
        <v>0.41109073639488303</v>
      </c>
      <c r="F5758">
        <v>0.29683077255594897</v>
      </c>
      <c r="G5758">
        <v>0.23896721979673299</v>
      </c>
      <c r="H5758">
        <v>0.21500932938070999</v>
      </c>
      <c r="I5758">
        <v>0.222065697386303</v>
      </c>
      <c r="J5758">
        <v>0.2198163492114</v>
      </c>
      <c r="K5758">
        <v>0.180715044210217</v>
      </c>
      <c r="L5758">
        <v>1168.97922812761</v>
      </c>
      <c r="M5758">
        <v>25.087805354318</v>
      </c>
      <c r="N5758">
        <v>47.7402704608742</v>
      </c>
      <c r="O5758">
        <v>46.302487645203399</v>
      </c>
      <c r="P5758">
        <v>-0.10484098159796899</v>
      </c>
      <c r="Q5758">
        <v>0.22602495541534001</v>
      </c>
      <c r="R5758">
        <v>0.96627196471342303</v>
      </c>
      <c r="S5758" t="s">
        <v>12374</v>
      </c>
      <c r="T5758" t="s">
        <v>13232</v>
      </c>
      <c r="U5758" t="s">
        <v>13232</v>
      </c>
      <c r="V5758" t="s">
        <v>13232</v>
      </c>
      <c r="W5758" t="s">
        <v>18920</v>
      </c>
      <c r="X5758">
        <v>14</v>
      </c>
      <c r="Y5758" t="s">
        <v>25307</v>
      </c>
      <c r="Z5758" t="s">
        <v>31889</v>
      </c>
      <c r="AA5758">
        <v>0.40310925272906251</v>
      </c>
      <c r="AB5758" t="str">
        <f>HYPERLINK("Melting_Curves/meltCurve_Q9HD26_GOPC.pdf", "Melting_Curves/meltCurve_Q9HD26_GOPC.pdf")</f>
        <v>Melting_Curves/meltCurve_Q9HD26_GOPC.pdf</v>
      </c>
    </row>
    <row r="5759" spans="1:28" x14ac:dyDescent="0.25">
      <c r="A5759" t="s">
        <v>5762</v>
      </c>
      <c r="B5759">
        <v>0.99930955844802105</v>
      </c>
      <c r="C5759">
        <v>0.80545302045989897</v>
      </c>
      <c r="D5759">
        <v>0.84000272852149704</v>
      </c>
      <c r="E5759">
        <v>1.00425435967386</v>
      </c>
      <c r="F5759">
        <v>1.49622945699932</v>
      </c>
      <c r="G5759">
        <v>1.4031086885973201</v>
      </c>
      <c r="H5759">
        <v>0.50081334964104596</v>
      </c>
      <c r="I5759">
        <v>0.50724253411431397</v>
      </c>
      <c r="J5759">
        <v>0.28114389016964197</v>
      </c>
      <c r="K5759">
        <v>0.140075245383526</v>
      </c>
      <c r="L5759">
        <v>7878.1127803806703</v>
      </c>
      <c r="M5759">
        <v>130.09460815387101</v>
      </c>
      <c r="N5759">
        <v>61.0078353759667</v>
      </c>
      <c r="O5759">
        <v>60.5424843745378</v>
      </c>
      <c r="P5759">
        <v>-0.37126211040535301</v>
      </c>
      <c r="Q5759">
        <v>0.30889887887483602</v>
      </c>
      <c r="R5759">
        <v>0.70148616578997203</v>
      </c>
      <c r="S5759" t="s">
        <v>12375</v>
      </c>
      <c r="T5759" t="s">
        <v>13232</v>
      </c>
      <c r="U5759" t="s">
        <v>13232</v>
      </c>
      <c r="V5759" t="s">
        <v>13232</v>
      </c>
      <c r="W5759" t="s">
        <v>18921</v>
      </c>
      <c r="X5759">
        <v>14</v>
      </c>
      <c r="Y5759" t="s">
        <v>25308</v>
      </c>
      <c r="Z5759" t="s">
        <v>31890</v>
      </c>
      <c r="AA5759">
        <v>0.78273112034382208</v>
      </c>
      <c r="AB5759" t="str">
        <f>HYPERLINK("Melting_Curves/meltCurve_Q9HD40_SEPSECS.pdf", "Melting_Curves/meltCurve_Q9HD40_SEPSECS.pdf")</f>
        <v>Melting_Curves/meltCurve_Q9HD40_SEPSECS.pdf</v>
      </c>
    </row>
    <row r="5760" spans="1:28" x14ac:dyDescent="0.25">
      <c r="A5760" t="s">
        <v>5763</v>
      </c>
      <c r="B5760">
        <v>0.99930955844802105</v>
      </c>
      <c r="C5760">
        <v>1.2433507324247399</v>
      </c>
      <c r="D5760">
        <v>1.2284150027398</v>
      </c>
      <c r="E5760">
        <v>1.17268345392242</v>
      </c>
      <c r="F5760">
        <v>1.0005086170098201</v>
      </c>
      <c r="G5760">
        <v>0.86586255478767105</v>
      </c>
      <c r="H5760">
        <v>0.68415400834384998</v>
      </c>
      <c r="I5760">
        <v>0.50725109400286295</v>
      </c>
      <c r="J5760">
        <v>0.46516739763349801</v>
      </c>
      <c r="K5760">
        <v>0.37134234337357802</v>
      </c>
      <c r="L5760">
        <v>1450.2896069542401</v>
      </c>
      <c r="M5760">
        <v>23.83448895471</v>
      </c>
      <c r="N5760">
        <v>64.463726163404999</v>
      </c>
      <c r="O5760">
        <v>60.424875867447902</v>
      </c>
      <c r="P5760">
        <v>-6.2259953817136102E-2</v>
      </c>
      <c r="Q5760">
        <v>0.36864787172182401</v>
      </c>
      <c r="R5760">
        <v>0.849749983124511</v>
      </c>
      <c r="S5760" t="s">
        <v>12376</v>
      </c>
      <c r="T5760" t="s">
        <v>13232</v>
      </c>
      <c r="U5760" t="s">
        <v>13232</v>
      </c>
      <c r="V5760" t="s">
        <v>13232</v>
      </c>
      <c r="W5760" t="s">
        <v>13257</v>
      </c>
      <c r="X5760">
        <v>8</v>
      </c>
      <c r="Y5760" t="s">
        <v>19795</v>
      </c>
      <c r="Z5760" t="s">
        <v>31891</v>
      </c>
      <c r="AA5760">
        <v>0.81157013266717426</v>
      </c>
      <c r="AB5760" t="str">
        <f>HYPERLINK("Melting_Curves/meltCurve_Q9HD42_CHMP1A.pdf", "Melting_Curves/meltCurve_Q9HD42_CHMP1A.pdf")</f>
        <v>Melting_Curves/meltCurve_Q9HD42_CHMP1A.pdf</v>
      </c>
    </row>
    <row r="5761" spans="1:28" x14ac:dyDescent="0.25">
      <c r="A5761" t="s">
        <v>5764</v>
      </c>
      <c r="B5761">
        <v>0.99930955844802105</v>
      </c>
      <c r="C5761">
        <v>1.07588950021278</v>
      </c>
      <c r="D5761">
        <v>0.82870560444006003</v>
      </c>
      <c r="E5761">
        <v>1.07336825383884</v>
      </c>
      <c r="F5761">
        <v>0.48950461247536903</v>
      </c>
      <c r="G5761">
        <v>0.27770653821235403</v>
      </c>
      <c r="H5761">
        <v>0.181243022089424</v>
      </c>
      <c r="I5761">
        <v>0.217704699944573</v>
      </c>
      <c r="J5761">
        <v>0.19379519752417501</v>
      </c>
      <c r="K5761">
        <v>0.15630489591428401</v>
      </c>
      <c r="L5761">
        <v>13218.9491539971</v>
      </c>
      <c r="M5761">
        <v>250</v>
      </c>
      <c r="N5761">
        <v>52.987859839275401</v>
      </c>
      <c r="O5761">
        <v>52.8724122457714</v>
      </c>
      <c r="P5761">
        <v>-0.93934755639280998</v>
      </c>
      <c r="Q5761">
        <v>0.20535085096177699</v>
      </c>
      <c r="R5761">
        <v>0.96588516293104598</v>
      </c>
      <c r="S5761" t="s">
        <v>12377</v>
      </c>
      <c r="T5761" t="s">
        <v>13232</v>
      </c>
      <c r="U5761" t="s">
        <v>13232</v>
      </c>
      <c r="V5761" t="s">
        <v>13232</v>
      </c>
      <c r="W5761" t="s">
        <v>18922</v>
      </c>
      <c r="X5761">
        <v>2</v>
      </c>
      <c r="Y5761" t="s">
        <v>25309</v>
      </c>
      <c r="Z5761" t="s">
        <v>31892</v>
      </c>
      <c r="AA5761">
        <v>0.54648261885272542</v>
      </c>
      <c r="AB5761" t="str">
        <f>HYPERLINK("Melting_Curves/meltCurve_Q9HD45_TM9SF3.pdf", "Melting_Curves/meltCurve_Q9HD45_TM9SF3.pdf")</f>
        <v>Melting_Curves/meltCurve_Q9HD45_TM9SF3.pdf</v>
      </c>
    </row>
    <row r="5762" spans="1:28" x14ac:dyDescent="0.25">
      <c r="A5762" t="s">
        <v>5765</v>
      </c>
      <c r="B5762">
        <v>0.99930955844802105</v>
      </c>
      <c r="C5762">
        <v>1.07290027477068</v>
      </c>
      <c r="D5762">
        <v>1.0646324759685799</v>
      </c>
      <c r="E5762">
        <v>1.0226775283438501</v>
      </c>
      <c r="F5762">
        <v>0.91893135192976905</v>
      </c>
      <c r="G5762">
        <v>0.72315084809117303</v>
      </c>
      <c r="H5762">
        <v>0.35038451702184698</v>
      </c>
      <c r="I5762">
        <v>0.166396312955016</v>
      </c>
      <c r="J5762">
        <v>0.134325327706248</v>
      </c>
      <c r="K5762">
        <v>0.125995101349925</v>
      </c>
      <c r="L5762">
        <v>1557.1529544487901</v>
      </c>
      <c r="M5762">
        <v>26.539824148572801</v>
      </c>
      <c r="N5762">
        <v>59.176304325131397</v>
      </c>
      <c r="O5762">
        <v>58.342236212232201</v>
      </c>
      <c r="P5762">
        <v>-0.102222132692968</v>
      </c>
      <c r="Q5762">
        <v>0.10115378191103901</v>
      </c>
      <c r="R5762">
        <v>0.99200156813398899</v>
      </c>
      <c r="S5762" t="s">
        <v>12378</v>
      </c>
      <c r="T5762" t="s">
        <v>13232</v>
      </c>
      <c r="U5762" t="s">
        <v>13232</v>
      </c>
      <c r="V5762" t="s">
        <v>13232</v>
      </c>
      <c r="W5762" t="s">
        <v>18923</v>
      </c>
      <c r="X5762">
        <v>4</v>
      </c>
      <c r="Y5762" t="s">
        <v>25310</v>
      </c>
      <c r="Z5762" t="s">
        <v>31893</v>
      </c>
      <c r="AA5762">
        <v>0.66757307672184318</v>
      </c>
      <c r="AB5762" t="str">
        <f>HYPERLINK("Melting_Curves/meltCurve_Q9HD47_2_RANGRF.pdf", "Melting_Curves/meltCurve_Q9HD47_2_RANGRF.pdf")</f>
        <v>Melting_Curves/meltCurve_Q9HD47_2_RANGRF.pdf</v>
      </c>
    </row>
    <row r="5763" spans="1:28" x14ac:dyDescent="0.25">
      <c r="A5763" t="s">
        <v>5766</v>
      </c>
      <c r="B5763">
        <v>0.99930955844802105</v>
      </c>
      <c r="C5763">
        <v>1.04989441076769</v>
      </c>
      <c r="D5763">
        <v>1.05647421080115</v>
      </c>
      <c r="E5763">
        <v>1.0864031471093401</v>
      </c>
      <c r="F5763">
        <v>1.1301377573343601</v>
      </c>
      <c r="G5763">
        <v>1.0152490216866401</v>
      </c>
      <c r="H5763">
        <v>0.91891630675320102</v>
      </c>
      <c r="I5763">
        <v>1.0018298896575499</v>
      </c>
      <c r="J5763">
        <v>0.98896507459862903</v>
      </c>
      <c r="K5763">
        <v>0.75000847458925202</v>
      </c>
      <c r="L5763">
        <v>5310.1183391738996</v>
      </c>
      <c r="M5763">
        <v>74.760169376132495</v>
      </c>
      <c r="Q5763">
        <v>0</v>
      </c>
      <c r="R5763">
        <v>0.62926144533443695</v>
      </c>
      <c r="S5763" t="s">
        <v>12379</v>
      </c>
      <c r="T5763" t="s">
        <v>13232</v>
      </c>
      <c r="U5763" t="s">
        <v>13232</v>
      </c>
      <c r="V5763" t="s">
        <v>13232</v>
      </c>
      <c r="W5763" t="s">
        <v>18924</v>
      </c>
      <c r="X5763">
        <v>4</v>
      </c>
      <c r="Y5763" t="s">
        <v>25311</v>
      </c>
      <c r="Z5763" t="s">
        <v>31894</v>
      </c>
      <c r="AA5763">
        <v>0.99139245147667476</v>
      </c>
      <c r="AB5763" t="str">
        <f>HYPERLINK("Melting_Curves/meltCurve_Q9HDC5_JPH1.pdf", "Melting_Curves/meltCurve_Q9HDC5_JPH1.pdf")</f>
        <v>Melting_Curves/meltCurve_Q9HDC5_JPH1.pdf</v>
      </c>
    </row>
    <row r="5764" spans="1:28" x14ac:dyDescent="0.25">
      <c r="A5764" t="s">
        <v>5767</v>
      </c>
      <c r="B5764">
        <v>0.99930955844802105</v>
      </c>
      <c r="C5764">
        <v>0.84953049466357899</v>
      </c>
      <c r="D5764">
        <v>0.88658424512767497</v>
      </c>
      <c r="E5764">
        <v>0.83742422857013898</v>
      </c>
      <c r="F5764">
        <v>0.445523214244195</v>
      </c>
      <c r="G5764">
        <v>0.27441384522629497</v>
      </c>
      <c r="H5764">
        <v>0.24755228753994599</v>
      </c>
      <c r="I5764">
        <v>0.28280578666237899</v>
      </c>
      <c r="J5764">
        <v>0.21310465486481001</v>
      </c>
      <c r="K5764">
        <v>0.120570448509488</v>
      </c>
      <c r="L5764">
        <v>1392.5694056418899</v>
      </c>
      <c r="M5764">
        <v>26.892704608990801</v>
      </c>
      <c r="N5764">
        <v>52.840495840396201</v>
      </c>
      <c r="O5764">
        <v>51.498643548519702</v>
      </c>
      <c r="P5764">
        <v>-0.103372192307655</v>
      </c>
      <c r="Q5764">
        <v>0.20819072438814501</v>
      </c>
      <c r="R5764">
        <v>0.95347363619474701</v>
      </c>
      <c r="S5764" t="s">
        <v>12380</v>
      </c>
      <c r="T5764" t="s">
        <v>13232</v>
      </c>
      <c r="U5764" t="s">
        <v>13232</v>
      </c>
      <c r="V5764" t="s">
        <v>13232</v>
      </c>
      <c r="W5764" t="s">
        <v>18925</v>
      </c>
      <c r="X5764">
        <v>13</v>
      </c>
      <c r="Y5764" t="s">
        <v>25312</v>
      </c>
      <c r="Z5764" t="s">
        <v>31895</v>
      </c>
      <c r="AA5764">
        <v>0.52542881760657678</v>
      </c>
      <c r="AB5764" t="str">
        <f>HYPERLINK("Melting_Curves/meltCurve_Q9NNW5_WDR6.pdf", "Melting_Curves/meltCurve_Q9NNW5_WDR6.pdf")</f>
        <v>Melting_Curves/meltCurve_Q9NNW5_WDR6.pdf</v>
      </c>
    </row>
    <row r="5765" spans="1:28" x14ac:dyDescent="0.25">
      <c r="A5765" t="s">
        <v>5768</v>
      </c>
      <c r="B5765">
        <v>0.99930955844802105</v>
      </c>
      <c r="C5765">
        <v>1.16025253213964</v>
      </c>
      <c r="D5765">
        <v>1.07014417477252</v>
      </c>
      <c r="E5765">
        <v>0.92398772981607502</v>
      </c>
      <c r="F5765">
        <v>0.82615120602957604</v>
      </c>
      <c r="G5765">
        <v>0.72236018282470904</v>
      </c>
      <c r="H5765">
        <v>0.70554403436173196</v>
      </c>
      <c r="I5765">
        <v>0.75755277983353198</v>
      </c>
      <c r="J5765">
        <v>0.76186676094581296</v>
      </c>
      <c r="K5765">
        <v>0.62460242934504495</v>
      </c>
      <c r="L5765">
        <v>1714.919196324</v>
      </c>
      <c r="M5765">
        <v>32.905269551133699</v>
      </c>
      <c r="O5765">
        <v>51.925496947849403</v>
      </c>
      <c r="P5765">
        <v>-4.5759355603999602E-2</v>
      </c>
      <c r="Q5765">
        <v>0.71116277705297803</v>
      </c>
      <c r="R5765">
        <v>0.84168550234421702</v>
      </c>
      <c r="S5765" t="s">
        <v>12381</v>
      </c>
      <c r="T5765" t="s">
        <v>13232</v>
      </c>
      <c r="U5765" t="s">
        <v>13232</v>
      </c>
      <c r="V5765" t="s">
        <v>13232</v>
      </c>
      <c r="W5765" t="s">
        <v>18926</v>
      </c>
      <c r="X5765">
        <v>10</v>
      </c>
      <c r="Y5765" t="s">
        <v>25313</v>
      </c>
      <c r="Z5765" t="s">
        <v>31896</v>
      </c>
      <c r="AA5765">
        <v>0.82936108196123692</v>
      </c>
      <c r="AB5765" t="str">
        <f>HYPERLINK("Melting_Curves/meltCurve_Q9NNX1_3_TUFT1.pdf", "Melting_Curves/meltCurve_Q9NNX1_3_TUFT1.pdf")</f>
        <v>Melting_Curves/meltCurve_Q9NNX1_3_TUFT1.pdf</v>
      </c>
    </row>
    <row r="5766" spans="1:28" x14ac:dyDescent="0.25">
      <c r="A5766" t="s">
        <v>5769</v>
      </c>
      <c r="B5766">
        <v>0.99930955844802105</v>
      </c>
      <c r="C5766">
        <v>0.91798998822762401</v>
      </c>
      <c r="D5766">
        <v>0.85349906425692701</v>
      </c>
      <c r="E5766">
        <v>0.58778601042565903</v>
      </c>
      <c r="F5766">
        <v>0.30648072643559299</v>
      </c>
      <c r="G5766">
        <v>0.198607282607802</v>
      </c>
      <c r="H5766">
        <v>0.114952642648356</v>
      </c>
      <c r="I5766">
        <v>9.9078060160066303E-2</v>
      </c>
      <c r="J5766">
        <v>8.8162436251010501E-2</v>
      </c>
      <c r="K5766">
        <v>6.1801437360645299E-2</v>
      </c>
      <c r="L5766">
        <v>867.67007762340097</v>
      </c>
      <c r="M5766">
        <v>17.238238220752301</v>
      </c>
      <c r="N5766">
        <v>50.777086556378897</v>
      </c>
      <c r="O5766">
        <v>49.6713289334485</v>
      </c>
      <c r="P5766">
        <v>-8.0708325834496206E-2</v>
      </c>
      <c r="Q5766">
        <v>6.9822847192470505E-2</v>
      </c>
      <c r="R5766">
        <v>0.99660775705701499</v>
      </c>
      <c r="S5766" t="s">
        <v>12382</v>
      </c>
      <c r="T5766" t="s">
        <v>13232</v>
      </c>
      <c r="U5766" t="s">
        <v>13232</v>
      </c>
      <c r="V5766" t="s">
        <v>13232</v>
      </c>
      <c r="W5766" t="s">
        <v>18927</v>
      </c>
      <c r="X5766">
        <v>4</v>
      </c>
      <c r="Y5766" t="s">
        <v>25314</v>
      </c>
      <c r="Z5766" t="s">
        <v>31897</v>
      </c>
      <c r="AA5766">
        <v>0.40735332521697148</v>
      </c>
      <c r="AB5766" t="str">
        <f>HYPERLINK("Melting_Curves/meltCurve_Q9NP50_FAM60A.pdf", "Melting_Curves/meltCurve_Q9NP50_FAM60A.pdf")</f>
        <v>Melting_Curves/meltCurve_Q9NP50_FAM60A.pdf</v>
      </c>
    </row>
    <row r="5767" spans="1:28" x14ac:dyDescent="0.25">
      <c r="A5767" t="s">
        <v>5770</v>
      </c>
      <c r="B5767">
        <v>0.99930955844802105</v>
      </c>
      <c r="C5767">
        <v>1.0387597832494599</v>
      </c>
      <c r="D5767">
        <v>0.89011228257013997</v>
      </c>
      <c r="E5767">
        <v>0.58594564788367998</v>
      </c>
      <c r="F5767">
        <v>0.43126173166158599</v>
      </c>
      <c r="G5767">
        <v>0.28982576338014598</v>
      </c>
      <c r="H5767">
        <v>0.27139916933545799</v>
      </c>
      <c r="I5767">
        <v>0.244882038964092</v>
      </c>
      <c r="J5767">
        <v>0.215752443686164</v>
      </c>
      <c r="K5767">
        <v>0.18478272404925</v>
      </c>
      <c r="L5767">
        <v>1013.36878841969</v>
      </c>
      <c r="M5767">
        <v>20.250442904836301</v>
      </c>
      <c r="N5767">
        <v>51.538410266529901</v>
      </c>
      <c r="O5767">
        <v>49.561470505984502</v>
      </c>
      <c r="P5767">
        <v>-7.9443682066550905E-2</v>
      </c>
      <c r="Q5767">
        <v>0.22229364203517801</v>
      </c>
      <c r="R5767">
        <v>0.99217247440183998</v>
      </c>
      <c r="S5767" t="s">
        <v>12383</v>
      </c>
      <c r="T5767" t="s">
        <v>13232</v>
      </c>
      <c r="U5767" t="s">
        <v>13232</v>
      </c>
      <c r="V5767" t="s">
        <v>13232</v>
      </c>
      <c r="W5767" t="s">
        <v>18928</v>
      </c>
      <c r="X5767">
        <v>1</v>
      </c>
      <c r="Y5767" t="s">
        <v>25315</v>
      </c>
      <c r="Z5767" t="s">
        <v>31898</v>
      </c>
      <c r="AA5767">
        <v>0.49317839333103991</v>
      </c>
      <c r="AB5767" t="str">
        <f>HYPERLINK("Melting_Curves/meltCurve_Q9NP64_2_ZCCHC17.pdf", "Melting_Curves/meltCurve_Q9NP64_2_ZCCHC17.pdf")</f>
        <v>Melting_Curves/meltCurve_Q9NP64_2_ZCCHC17.pdf</v>
      </c>
    </row>
    <row r="5768" spans="1:28" x14ac:dyDescent="0.25">
      <c r="A5768" t="s">
        <v>5771</v>
      </c>
      <c r="B5768">
        <v>0.99930955844802105</v>
      </c>
      <c r="C5768">
        <v>0.96783133519081099</v>
      </c>
      <c r="D5768">
        <v>0.88474330285105796</v>
      </c>
      <c r="E5768">
        <v>0.81238110305993305</v>
      </c>
      <c r="F5768">
        <v>0.59580337895539504</v>
      </c>
      <c r="G5768">
        <v>0.29659914180886998</v>
      </c>
      <c r="H5768">
        <v>0.19037101260546599</v>
      </c>
      <c r="I5768">
        <v>0.17155715996875001</v>
      </c>
      <c r="J5768">
        <v>0.171748679771416</v>
      </c>
      <c r="K5768">
        <v>0.150830540463878</v>
      </c>
      <c r="L5768">
        <v>993.50275549210903</v>
      </c>
      <c r="M5768">
        <v>18.717218408448002</v>
      </c>
      <c r="N5768">
        <v>53.9982845543067</v>
      </c>
      <c r="O5768">
        <v>52.484855708434701</v>
      </c>
      <c r="P5768">
        <v>-7.7001720147070504E-2</v>
      </c>
      <c r="Q5768">
        <v>0.13635601892996399</v>
      </c>
      <c r="R5768">
        <v>0.99373608398943503</v>
      </c>
      <c r="S5768" t="s">
        <v>12384</v>
      </c>
      <c r="T5768" t="s">
        <v>13232</v>
      </c>
      <c r="U5768" t="s">
        <v>13232</v>
      </c>
      <c r="V5768" t="s">
        <v>13232</v>
      </c>
      <c r="W5768" t="s">
        <v>18929</v>
      </c>
      <c r="X5768">
        <v>12</v>
      </c>
      <c r="Y5768" t="s">
        <v>25316</v>
      </c>
      <c r="Z5768" t="s">
        <v>31899</v>
      </c>
      <c r="AA5768">
        <v>0.5261507389072968</v>
      </c>
      <c r="AB5768" t="str">
        <f>HYPERLINK("Melting_Curves/meltCurve_Q9NP66_HMG20A.pdf", "Melting_Curves/meltCurve_Q9NP66_HMG20A.pdf")</f>
        <v>Melting_Curves/meltCurve_Q9NP66_HMG20A.pdf</v>
      </c>
    </row>
    <row r="5769" spans="1:28" x14ac:dyDescent="0.25">
      <c r="A5769" t="s">
        <v>5772</v>
      </c>
      <c r="B5769">
        <v>0.99930955844802105</v>
      </c>
      <c r="C5769">
        <v>0.88876303535071199</v>
      </c>
      <c r="D5769">
        <v>0.84562683261275096</v>
      </c>
      <c r="E5769">
        <v>0.79236738158133702</v>
      </c>
      <c r="F5769">
        <v>0.56801418262530101</v>
      </c>
      <c r="G5769">
        <v>0.28454628203958199</v>
      </c>
      <c r="H5769">
        <v>0.149157138596997</v>
      </c>
      <c r="I5769">
        <v>0.12542961948182799</v>
      </c>
      <c r="J5769">
        <v>0.109323962835515</v>
      </c>
      <c r="K5769">
        <v>8.6178086090413802E-2</v>
      </c>
      <c r="L5769">
        <v>753.14610842864795</v>
      </c>
      <c r="M5769">
        <v>14.1023848684783</v>
      </c>
      <c r="N5769">
        <v>53.714740204003398</v>
      </c>
      <c r="O5769">
        <v>52.366114903072301</v>
      </c>
      <c r="P5769">
        <v>-6.4709997924773804E-2</v>
      </c>
      <c r="Q5769">
        <v>3.8978042239405201E-2</v>
      </c>
      <c r="R5769">
        <v>0.98588396038961801</v>
      </c>
      <c r="S5769" t="s">
        <v>12385</v>
      </c>
      <c r="T5769" t="s">
        <v>13232</v>
      </c>
      <c r="U5769" t="s">
        <v>13232</v>
      </c>
      <c r="V5769" t="s">
        <v>13232</v>
      </c>
      <c r="W5769" t="s">
        <v>18930</v>
      </c>
      <c r="X5769">
        <v>6</v>
      </c>
      <c r="Y5769" t="s">
        <v>25317</v>
      </c>
      <c r="Z5769" t="s">
        <v>31900</v>
      </c>
      <c r="AA5769">
        <v>0.49041239347709847</v>
      </c>
      <c r="AB5769" t="str">
        <f>HYPERLINK("Melting_Curves/meltCurve_Q9NP72_RAB18.pdf", "Melting_Curves/meltCurve_Q9NP72_RAB18.pdf")</f>
        <v>Melting_Curves/meltCurve_Q9NP72_RAB18.pdf</v>
      </c>
    </row>
    <row r="5770" spans="1:28" x14ac:dyDescent="0.25">
      <c r="A5770" t="s">
        <v>5773</v>
      </c>
      <c r="B5770">
        <v>0.99930955844802105</v>
      </c>
      <c r="C5770">
        <v>1.09075744407708</v>
      </c>
      <c r="D5770">
        <v>1.11103254639771</v>
      </c>
      <c r="E5770">
        <v>0.912247000752477</v>
      </c>
      <c r="F5770">
        <v>0.60704953463351696</v>
      </c>
      <c r="G5770">
        <v>0.31603582433404998</v>
      </c>
      <c r="H5770">
        <v>0.20087461808057899</v>
      </c>
      <c r="I5770">
        <v>0.17388745680422499</v>
      </c>
      <c r="J5770">
        <v>0.18534853867734799</v>
      </c>
      <c r="K5770">
        <v>0.136884551578975</v>
      </c>
      <c r="L5770">
        <v>1542.51876272093</v>
      </c>
      <c r="M5770">
        <v>28.8738012780912</v>
      </c>
      <c r="N5770">
        <v>54.204056708296299</v>
      </c>
      <c r="O5770">
        <v>53.168487676972497</v>
      </c>
      <c r="P5770">
        <v>-0.112656706204702</v>
      </c>
      <c r="Q5770">
        <v>0.17021774235089401</v>
      </c>
      <c r="R5770">
        <v>0.98359575462650295</v>
      </c>
      <c r="S5770" t="s">
        <v>12386</v>
      </c>
      <c r="T5770" t="s">
        <v>13232</v>
      </c>
      <c r="U5770" t="s">
        <v>13232</v>
      </c>
      <c r="V5770" t="s">
        <v>13232</v>
      </c>
      <c r="W5770" t="s">
        <v>18931</v>
      </c>
      <c r="X5770">
        <v>8</v>
      </c>
      <c r="Y5770" t="s">
        <v>25318</v>
      </c>
      <c r="Z5770" t="s">
        <v>31901</v>
      </c>
      <c r="AA5770">
        <v>0.54731294329744695</v>
      </c>
      <c r="AB5770" t="str">
        <f>HYPERLINK("Melting_Curves/meltCurve_Q9NP73_ALG13.pdf", "Melting_Curves/meltCurve_Q9NP73_ALG13.pdf")</f>
        <v>Melting_Curves/meltCurve_Q9NP73_ALG13.pdf</v>
      </c>
    </row>
    <row r="5771" spans="1:28" x14ac:dyDescent="0.25">
      <c r="A5771" t="s">
        <v>5774</v>
      </c>
      <c r="B5771">
        <v>0.99930955844802105</v>
      </c>
      <c r="C5771">
        <v>1.27217352283886</v>
      </c>
      <c r="D5771">
        <v>1.2034299230030501</v>
      </c>
      <c r="E5771">
        <v>1.14813909000992</v>
      </c>
      <c r="F5771">
        <v>1.0906489668303501</v>
      </c>
      <c r="G5771">
        <v>1.03500452756938</v>
      </c>
      <c r="H5771">
        <v>1.3059820871621599</v>
      </c>
      <c r="I5771">
        <v>1.5141995575563201</v>
      </c>
      <c r="J5771">
        <v>1.52993823201377</v>
      </c>
      <c r="K5771">
        <v>1.1167120557421799</v>
      </c>
      <c r="L5771">
        <v>221.523320352615</v>
      </c>
      <c r="M5771">
        <v>3.8607494449654798</v>
      </c>
      <c r="O5771">
        <v>46.566382066882603</v>
      </c>
      <c r="P5771">
        <v>1.05127196427041E-2</v>
      </c>
      <c r="Q5771">
        <v>1.5</v>
      </c>
      <c r="R5771">
        <v>0.23110930827095499</v>
      </c>
      <c r="S5771" t="s">
        <v>12387</v>
      </c>
      <c r="T5771" t="s">
        <v>13232</v>
      </c>
      <c r="U5771" t="s">
        <v>13232</v>
      </c>
      <c r="V5771" t="s">
        <v>13232</v>
      </c>
      <c r="W5771" t="s">
        <v>18932</v>
      </c>
      <c r="X5771">
        <v>3</v>
      </c>
      <c r="Y5771" t="s">
        <v>25319</v>
      </c>
      <c r="Z5771" t="s">
        <v>31902</v>
      </c>
      <c r="AA5771">
        <v>1.220485852166415</v>
      </c>
      <c r="AB5771" t="str">
        <f>HYPERLINK("Melting_Curves/meltCurve_Q9NP74_PALMD.pdf", "Melting_Curves/meltCurve_Q9NP74_PALMD.pdf")</f>
        <v>Melting_Curves/meltCurve_Q9NP74_PALMD.pdf</v>
      </c>
    </row>
    <row r="5772" spans="1:28" x14ac:dyDescent="0.25">
      <c r="A5772" t="s">
        <v>5775</v>
      </c>
      <c r="B5772">
        <v>0.99930955844802105</v>
      </c>
      <c r="C5772">
        <v>1.1033185024985299</v>
      </c>
      <c r="D5772">
        <v>0.63593465296659502</v>
      </c>
      <c r="E5772">
        <v>0.46204665690897601</v>
      </c>
      <c r="F5772">
        <v>0.17568825884681999</v>
      </c>
      <c r="G5772">
        <v>0.123666954604253</v>
      </c>
      <c r="H5772">
        <v>7.0456362822436905E-2</v>
      </c>
      <c r="I5772">
        <v>5.77037365875437E-2</v>
      </c>
      <c r="J5772">
        <v>4.7622419387422898E-2</v>
      </c>
      <c r="K5772">
        <v>3.6048149714411899E-2</v>
      </c>
      <c r="L5772">
        <v>940.66464835403099</v>
      </c>
      <c r="M5772">
        <v>19.361394462022702</v>
      </c>
      <c r="N5772">
        <v>48.844228064865</v>
      </c>
      <c r="O5772">
        <v>48.075158272545501</v>
      </c>
      <c r="P5772">
        <v>-9.57624222628779E-2</v>
      </c>
      <c r="Q5772">
        <v>4.8906608142529999E-2</v>
      </c>
      <c r="R5772">
        <v>0.96633764335616401</v>
      </c>
      <c r="S5772" t="s">
        <v>12388</v>
      </c>
      <c r="T5772" t="s">
        <v>13232</v>
      </c>
      <c r="U5772" t="s">
        <v>13232</v>
      </c>
      <c r="V5772" t="s">
        <v>13232</v>
      </c>
      <c r="W5772" t="s">
        <v>18933</v>
      </c>
      <c r="X5772">
        <v>9</v>
      </c>
      <c r="Y5772" t="s">
        <v>25320</v>
      </c>
      <c r="Z5772" t="s">
        <v>31903</v>
      </c>
      <c r="AA5772">
        <v>0.33537571548833139</v>
      </c>
      <c r="AB5772" t="str">
        <f>HYPERLINK("Melting_Curves/meltCurve_Q9NP77_SSU72.pdf", "Melting_Curves/meltCurve_Q9NP77_SSU72.pdf")</f>
        <v>Melting_Curves/meltCurve_Q9NP77_SSU72.pdf</v>
      </c>
    </row>
    <row r="5773" spans="1:28" x14ac:dyDescent="0.25">
      <c r="A5773" t="s">
        <v>5776</v>
      </c>
      <c r="B5773">
        <v>0.99930955844802105</v>
      </c>
      <c r="C5773">
        <v>1.0518560110376001</v>
      </c>
      <c r="D5773">
        <v>1.00089678113275</v>
      </c>
      <c r="E5773">
        <v>0.83312175909797803</v>
      </c>
      <c r="F5773">
        <v>0.39357235166606303</v>
      </c>
      <c r="G5773">
        <v>0.244298211630046</v>
      </c>
      <c r="H5773">
        <v>0.16152189758615099</v>
      </c>
      <c r="I5773">
        <v>0.14357030644004201</v>
      </c>
      <c r="J5773">
        <v>0.12398122054850901</v>
      </c>
      <c r="K5773">
        <v>9.45400712417242E-2</v>
      </c>
      <c r="L5773">
        <v>1799.28482665407</v>
      </c>
      <c r="M5773">
        <v>34.684155530008297</v>
      </c>
      <c r="N5773">
        <v>52.379331859879798</v>
      </c>
      <c r="O5773">
        <v>51.704734874939</v>
      </c>
      <c r="P5773">
        <v>-0.143947682878734</v>
      </c>
      <c r="Q5773">
        <v>0.14165422800998001</v>
      </c>
      <c r="R5773">
        <v>0.99284634380179404</v>
      </c>
      <c r="S5773" t="s">
        <v>12389</v>
      </c>
      <c r="T5773" t="s">
        <v>13232</v>
      </c>
      <c r="U5773" t="s">
        <v>13232</v>
      </c>
      <c r="V5773" t="s">
        <v>13232</v>
      </c>
      <c r="W5773" t="s">
        <v>18934</v>
      </c>
      <c r="X5773">
        <v>10</v>
      </c>
      <c r="Y5773" t="s">
        <v>25321</v>
      </c>
      <c r="Z5773" t="s">
        <v>31904</v>
      </c>
      <c r="AA5773">
        <v>0.4855497081704005</v>
      </c>
      <c r="AB5773" t="str">
        <f>HYPERLINK("Melting_Curves/meltCurve_Q9NP79_VTA1.pdf", "Melting_Curves/meltCurve_Q9NP79_VTA1.pdf")</f>
        <v>Melting_Curves/meltCurve_Q9NP79_VTA1.pdf</v>
      </c>
    </row>
    <row r="5774" spans="1:28" x14ac:dyDescent="0.25">
      <c r="A5774" t="s">
        <v>5777</v>
      </c>
      <c r="B5774">
        <v>0.99930955844802105</v>
      </c>
      <c r="C5774">
        <v>0.80503501727049098</v>
      </c>
      <c r="D5774">
        <v>0.82280462397551701</v>
      </c>
      <c r="E5774">
        <v>0.83876576218980603</v>
      </c>
      <c r="F5774">
        <v>0.81074506110488997</v>
      </c>
      <c r="G5774">
        <v>0.59118712175676003</v>
      </c>
      <c r="H5774">
        <v>0.44866261799190399</v>
      </c>
      <c r="I5774">
        <v>0.43959750848159401</v>
      </c>
      <c r="J5774">
        <v>0.35031618075043702</v>
      </c>
      <c r="K5774">
        <v>0.23925563426753199</v>
      </c>
      <c r="L5774">
        <v>401.123114871361</v>
      </c>
      <c r="M5774">
        <v>6.6362474415737402</v>
      </c>
      <c r="N5774">
        <v>60.444267492590498</v>
      </c>
      <c r="O5774">
        <v>55.6630656560124</v>
      </c>
      <c r="P5774">
        <v>-2.9872566678720801E-2</v>
      </c>
      <c r="Q5774">
        <v>0</v>
      </c>
      <c r="R5774">
        <v>0.93467667030372803</v>
      </c>
      <c r="S5774" t="s">
        <v>12390</v>
      </c>
      <c r="T5774" t="s">
        <v>13232</v>
      </c>
      <c r="U5774" t="s">
        <v>13232</v>
      </c>
      <c r="V5774" t="s">
        <v>13232</v>
      </c>
      <c r="W5774" t="s">
        <v>18935</v>
      </c>
      <c r="X5774">
        <v>4</v>
      </c>
      <c r="Y5774" t="s">
        <v>25322</v>
      </c>
      <c r="Z5774" t="s">
        <v>31905</v>
      </c>
      <c r="AA5774">
        <v>0.64916217793099729</v>
      </c>
      <c r="AB5774" t="str">
        <f>HYPERLINK("Melting_Curves/meltCurve_Q9NP97_DYNLRB1.pdf", "Melting_Curves/meltCurve_Q9NP97_DYNLRB1.pdf")</f>
        <v>Melting_Curves/meltCurve_Q9NP97_DYNLRB1.pdf</v>
      </c>
    </row>
    <row r="5775" spans="1:28" x14ac:dyDescent="0.25">
      <c r="A5775" t="s">
        <v>5778</v>
      </c>
      <c r="B5775">
        <v>0.99930955844802105</v>
      </c>
      <c r="C5775">
        <v>0.84045543296725</v>
      </c>
      <c r="D5775">
        <v>0.67020431819391801</v>
      </c>
      <c r="E5775">
        <v>0.43497424141034502</v>
      </c>
      <c r="F5775">
        <v>0.30293974706898602</v>
      </c>
      <c r="G5775">
        <v>0.18779469068790899</v>
      </c>
      <c r="H5775">
        <v>9.8352927658989606E-2</v>
      </c>
      <c r="I5775">
        <v>6.51712902178051E-2</v>
      </c>
      <c r="J5775">
        <v>6.2149701461534701E-2</v>
      </c>
      <c r="K5775">
        <v>4.97320116161429E-2</v>
      </c>
      <c r="L5775">
        <v>609.41629481769905</v>
      </c>
      <c r="M5775">
        <v>12.4963303136429</v>
      </c>
      <c r="N5775">
        <v>49.0134509721359</v>
      </c>
      <c r="O5775">
        <v>47.569273814235402</v>
      </c>
      <c r="P5775">
        <v>-6.3692558504291993E-2</v>
      </c>
      <c r="Q5775">
        <v>3.0376224235287901E-2</v>
      </c>
      <c r="R5775">
        <v>0.99583502855273598</v>
      </c>
      <c r="S5775" t="s">
        <v>12391</v>
      </c>
      <c r="T5775" t="s">
        <v>13232</v>
      </c>
      <c r="U5775" t="s">
        <v>13232</v>
      </c>
      <c r="V5775" t="s">
        <v>13232</v>
      </c>
      <c r="W5775" t="s">
        <v>18936</v>
      </c>
      <c r="X5775">
        <v>1</v>
      </c>
      <c r="Y5775" t="s">
        <v>25323</v>
      </c>
      <c r="Z5775" t="s">
        <v>31906</v>
      </c>
      <c r="AA5775">
        <v>0.3474535708214066</v>
      </c>
      <c r="AB5775" t="str">
        <f>HYPERLINK("Melting_Curves/meltCurve_Q9NPA3_MID1IP1.pdf", "Melting_Curves/meltCurve_Q9NPA3_MID1IP1.pdf")</f>
        <v>Melting_Curves/meltCurve_Q9NPA3_MID1IP1.pdf</v>
      </c>
    </row>
    <row r="5776" spans="1:28" x14ac:dyDescent="0.25">
      <c r="A5776" t="s">
        <v>5779</v>
      </c>
      <c r="B5776">
        <v>0.99930955844802105</v>
      </c>
      <c r="C5776">
        <v>1.0907737140268099</v>
      </c>
      <c r="D5776">
        <v>1.08065601255219</v>
      </c>
      <c r="E5776">
        <v>0.98337520396491995</v>
      </c>
      <c r="F5776">
        <v>0.81058509505905096</v>
      </c>
      <c r="G5776">
        <v>0.64954244673254602</v>
      </c>
      <c r="H5776">
        <v>0.58435076615756598</v>
      </c>
      <c r="I5776">
        <v>0.51828653924760903</v>
      </c>
      <c r="J5776">
        <v>0.50880021370445805</v>
      </c>
      <c r="K5776">
        <v>0.39969902235374399</v>
      </c>
      <c r="L5776">
        <v>1051.1302853889199</v>
      </c>
      <c r="M5776">
        <v>18.874056752582199</v>
      </c>
      <c r="N5776">
        <v>63.880125972450401</v>
      </c>
      <c r="O5776">
        <v>55.077914751486702</v>
      </c>
      <c r="P5776">
        <v>-4.6648328864623702E-2</v>
      </c>
      <c r="Q5776">
        <v>0.45550920565522401</v>
      </c>
      <c r="R5776">
        <v>0.95479883522225795</v>
      </c>
      <c r="S5776" t="s">
        <v>12392</v>
      </c>
      <c r="T5776" t="s">
        <v>13232</v>
      </c>
      <c r="U5776" t="s">
        <v>13232</v>
      </c>
      <c r="V5776" t="s">
        <v>13232</v>
      </c>
      <c r="W5776" t="s">
        <v>18937</v>
      </c>
      <c r="X5776">
        <v>7</v>
      </c>
      <c r="Y5776" t="s">
        <v>25324</v>
      </c>
      <c r="Z5776" t="s">
        <v>31907</v>
      </c>
      <c r="AA5776">
        <v>0.74799003114607443</v>
      </c>
      <c r="AB5776" t="str">
        <f>HYPERLINK("Melting_Curves/meltCurve_Q9NPA8_2_ENY2.pdf", "Melting_Curves/meltCurve_Q9NPA8_2_ENY2.pdf")</f>
        <v>Melting_Curves/meltCurve_Q9NPA8_2_ENY2.pdf</v>
      </c>
    </row>
    <row r="5777" spans="1:28" x14ac:dyDescent="0.25">
      <c r="A5777" t="s">
        <v>5780</v>
      </c>
      <c r="B5777">
        <v>0.99930955844802105</v>
      </c>
      <c r="C5777">
        <v>0.99511758572200404</v>
      </c>
      <c r="D5777">
        <v>0.50688370126147397</v>
      </c>
      <c r="E5777">
        <v>0.28590663118843501</v>
      </c>
      <c r="F5777">
        <v>0.14789701697816801</v>
      </c>
      <c r="G5777">
        <v>0.104673516089564</v>
      </c>
      <c r="H5777">
        <v>6.2761508860105703E-2</v>
      </c>
      <c r="I5777">
        <v>4.9892503396423302E-2</v>
      </c>
      <c r="J5777">
        <v>4.5872472001132501E-2</v>
      </c>
      <c r="K5777">
        <v>3.0951909014576999E-2</v>
      </c>
      <c r="L5777">
        <v>1063.36654502333</v>
      </c>
      <c r="M5777">
        <v>22.8256987840482</v>
      </c>
      <c r="N5777">
        <v>46.869060594458098</v>
      </c>
      <c r="O5777">
        <v>46.233201837102598</v>
      </c>
      <c r="P5777">
        <v>-0.115491924905025</v>
      </c>
      <c r="Q5777">
        <v>6.4307108374420996E-2</v>
      </c>
      <c r="R5777">
        <v>0.97889258047490801</v>
      </c>
      <c r="S5777" t="s">
        <v>12393</v>
      </c>
      <c r="T5777" t="s">
        <v>13232</v>
      </c>
      <c r="U5777" t="s">
        <v>13232</v>
      </c>
      <c r="V5777" t="s">
        <v>13232</v>
      </c>
      <c r="W5777" t="s">
        <v>18938</v>
      </c>
      <c r="X5777">
        <v>7</v>
      </c>
      <c r="Y5777" t="s">
        <v>25325</v>
      </c>
      <c r="Z5777" t="s">
        <v>31908</v>
      </c>
      <c r="AA5777">
        <v>0.2800962100051681</v>
      </c>
      <c r="AB5777" t="str">
        <f>HYPERLINK("Melting_Curves/meltCurve_Q9NPB8_GPCPD1.pdf", "Melting_Curves/meltCurve_Q9NPB8_GPCPD1.pdf")</f>
        <v>Melting_Curves/meltCurve_Q9NPB8_GPCPD1.pdf</v>
      </c>
    </row>
    <row r="5778" spans="1:28" x14ac:dyDescent="0.25">
      <c r="A5778" t="s">
        <v>5781</v>
      </c>
      <c r="B5778">
        <v>0.99930955844802105</v>
      </c>
      <c r="C5778">
        <v>0.81907221536841501</v>
      </c>
      <c r="D5778">
        <v>0.84480976176110201</v>
      </c>
      <c r="E5778">
        <v>0.88749338624234397</v>
      </c>
      <c r="F5778">
        <v>0.92822682593831696</v>
      </c>
      <c r="G5778">
        <v>0.70745723921344905</v>
      </c>
      <c r="H5778">
        <v>0.36527923975109999</v>
      </c>
      <c r="I5778">
        <v>0.19992522046292199</v>
      </c>
      <c r="J5778">
        <v>0.12453355286649199</v>
      </c>
      <c r="K5778">
        <v>0.100696422516316</v>
      </c>
      <c r="L5778">
        <v>1126.1177007646099</v>
      </c>
      <c r="M5778">
        <v>19.055955867120701</v>
      </c>
      <c r="N5778">
        <v>59.325095088877298</v>
      </c>
      <c r="O5778">
        <v>58.456061898528098</v>
      </c>
      <c r="P5778">
        <v>-7.8600801554537997E-2</v>
      </c>
      <c r="Q5778">
        <v>3.5574530173087697E-2</v>
      </c>
      <c r="R5778">
        <v>0.94447997140895301</v>
      </c>
      <c r="S5778" t="s">
        <v>12394</v>
      </c>
      <c r="T5778" t="s">
        <v>13232</v>
      </c>
      <c r="U5778" t="s">
        <v>13232</v>
      </c>
      <c r="V5778" t="s">
        <v>13232</v>
      </c>
      <c r="W5778" t="s">
        <v>18939</v>
      </c>
      <c r="X5778">
        <v>8</v>
      </c>
      <c r="Y5778" t="s">
        <v>25326</v>
      </c>
      <c r="Z5778" t="s">
        <v>31909</v>
      </c>
      <c r="AA5778">
        <v>0.65926164593480463</v>
      </c>
      <c r="AB5778" t="str">
        <f>HYPERLINK("Melting_Curves/meltCurve_Q9NPD3_EXOSC4.pdf", "Melting_Curves/meltCurve_Q9NPD3_EXOSC4.pdf")</f>
        <v>Melting_Curves/meltCurve_Q9NPD3_EXOSC4.pdf</v>
      </c>
    </row>
    <row r="5779" spans="1:28" x14ac:dyDescent="0.25">
      <c r="A5779" t="s">
        <v>5782</v>
      </c>
      <c r="B5779">
        <v>0.99930955844802105</v>
      </c>
      <c r="C5779">
        <v>1.1622894324936901</v>
      </c>
      <c r="D5779">
        <v>1.2151687378488401</v>
      </c>
      <c r="E5779">
        <v>0.94967915196063302</v>
      </c>
      <c r="F5779">
        <v>0.32768319526753098</v>
      </c>
      <c r="G5779">
        <v>0.17106084337972999</v>
      </c>
      <c r="H5779">
        <v>0.10588507440547699</v>
      </c>
      <c r="I5779">
        <v>9.0987455248509097E-2</v>
      </c>
      <c r="J5779">
        <v>7.7967884015473499E-2</v>
      </c>
      <c r="K5779">
        <v>5.63582288063737E-2</v>
      </c>
      <c r="L5779">
        <v>3368.1568402848402</v>
      </c>
      <c r="M5779">
        <v>64.613748509283994</v>
      </c>
      <c r="N5779">
        <v>52.306811060930698</v>
      </c>
      <c r="O5779">
        <v>52.077703323843402</v>
      </c>
      <c r="P5779">
        <v>-0.27937613403300698</v>
      </c>
      <c r="Q5779">
        <v>9.9308711658803298E-2</v>
      </c>
      <c r="R5779">
        <v>0.96429429454513504</v>
      </c>
      <c r="S5779" t="s">
        <v>12395</v>
      </c>
      <c r="T5779" t="s">
        <v>13232</v>
      </c>
      <c r="U5779" t="s">
        <v>13232</v>
      </c>
      <c r="V5779" t="s">
        <v>13232</v>
      </c>
      <c r="W5779" t="s">
        <v>18940</v>
      </c>
      <c r="X5779">
        <v>6</v>
      </c>
      <c r="Y5779" t="s">
        <v>25327</v>
      </c>
      <c r="Z5779" t="s">
        <v>31910</v>
      </c>
      <c r="AA5779">
        <v>0.46465222609277201</v>
      </c>
      <c r="AB5779" t="str">
        <f>HYPERLINK("Melting_Curves/meltCurve_Q9NPD8_UBE2T.pdf", "Melting_Curves/meltCurve_Q9NPD8_UBE2T.pdf")</f>
        <v>Melting_Curves/meltCurve_Q9NPD8_UBE2T.pdf</v>
      </c>
    </row>
    <row r="5780" spans="1:28" x14ac:dyDescent="0.25">
      <c r="A5780" t="s">
        <v>5783</v>
      </c>
      <c r="B5780">
        <v>0.99930955844802105</v>
      </c>
      <c r="C5780">
        <v>0.93061891655236695</v>
      </c>
      <c r="D5780">
        <v>0.89279522003335898</v>
      </c>
      <c r="E5780">
        <v>0.97829196254314599</v>
      </c>
      <c r="F5780">
        <v>1.02842941390652</v>
      </c>
      <c r="G5780">
        <v>0.89674253097576395</v>
      </c>
      <c r="H5780">
        <v>0.44977941760769302</v>
      </c>
      <c r="I5780">
        <v>0.390196063190062</v>
      </c>
      <c r="J5780">
        <v>0.33573544224405999</v>
      </c>
      <c r="K5780">
        <v>0.20623901516786899</v>
      </c>
      <c r="L5780">
        <v>2251.1747688987398</v>
      </c>
      <c r="M5780">
        <v>37.868611386514402</v>
      </c>
      <c r="N5780">
        <v>60.790081259059598</v>
      </c>
      <c r="O5780">
        <v>59.281934012686499</v>
      </c>
      <c r="P5780">
        <v>-0.114435313741467</v>
      </c>
      <c r="Q5780">
        <v>0.28342455893076102</v>
      </c>
      <c r="R5780">
        <v>0.96682645771055697</v>
      </c>
      <c r="S5780" t="s">
        <v>12396</v>
      </c>
      <c r="T5780" t="s">
        <v>13232</v>
      </c>
      <c r="U5780" t="s">
        <v>13232</v>
      </c>
      <c r="V5780" t="s">
        <v>13232</v>
      </c>
      <c r="W5780" t="s">
        <v>18941</v>
      </c>
      <c r="X5780">
        <v>4</v>
      </c>
      <c r="Y5780" t="s">
        <v>25328</v>
      </c>
      <c r="Z5780" t="s">
        <v>31911</v>
      </c>
      <c r="AA5780">
        <v>0.75103794630526788</v>
      </c>
      <c r="AB5780" t="str">
        <f>HYPERLINK("Melting_Curves/meltCurve_Q9NPE3_NOP10.pdf", "Melting_Curves/meltCurve_Q9NPE3_NOP10.pdf")</f>
        <v>Melting_Curves/meltCurve_Q9NPE3_NOP10.pdf</v>
      </c>
    </row>
    <row r="5781" spans="1:28" x14ac:dyDescent="0.25">
      <c r="A5781" t="s">
        <v>5784</v>
      </c>
      <c r="B5781">
        <v>0.99930955844802105</v>
      </c>
      <c r="C5781">
        <v>1.0813277784844499</v>
      </c>
      <c r="D5781">
        <v>1.02344159826811</v>
      </c>
      <c r="E5781">
        <v>0.73658354641629298</v>
      </c>
      <c r="F5781">
        <v>0.40360207320921498</v>
      </c>
      <c r="G5781">
        <v>0.21944174117603499</v>
      </c>
      <c r="H5781">
        <v>0.13108833505836401</v>
      </c>
      <c r="I5781">
        <v>0.106219812878451</v>
      </c>
      <c r="J5781">
        <v>9.64412341259792E-2</v>
      </c>
      <c r="K5781">
        <v>7.4024045213675504E-2</v>
      </c>
      <c r="L5781">
        <v>1364.9493220233101</v>
      </c>
      <c r="M5781">
        <v>26.363218010812599</v>
      </c>
      <c r="N5781">
        <v>52.230969265565598</v>
      </c>
      <c r="O5781">
        <v>51.479625973952899</v>
      </c>
      <c r="P5781">
        <v>-0.11486243252042</v>
      </c>
      <c r="Q5781">
        <v>0.102839553438846</v>
      </c>
      <c r="R5781">
        <v>0.99170647885414498</v>
      </c>
      <c r="S5781" t="s">
        <v>12397</v>
      </c>
      <c r="T5781" t="s">
        <v>13232</v>
      </c>
      <c r="U5781" t="s">
        <v>13232</v>
      </c>
      <c r="V5781" t="s">
        <v>13232</v>
      </c>
      <c r="W5781" t="s">
        <v>18942</v>
      </c>
      <c r="X5781">
        <v>16</v>
      </c>
      <c r="Y5781" t="s">
        <v>25329</v>
      </c>
      <c r="Z5781" t="s">
        <v>31912</v>
      </c>
      <c r="AA5781">
        <v>0.46233808258718589</v>
      </c>
      <c r="AB5781" t="str">
        <f>HYPERLINK("Melting_Curves/meltCurve_Q9NPF4_OSGEP.pdf", "Melting_Curves/meltCurve_Q9NPF4_OSGEP.pdf")</f>
        <v>Melting_Curves/meltCurve_Q9NPF4_OSGEP.pdf</v>
      </c>
    </row>
    <row r="5782" spans="1:28" x14ac:dyDescent="0.25">
      <c r="A5782" t="s">
        <v>5785</v>
      </c>
      <c r="B5782">
        <v>0.99930955844802105</v>
      </c>
      <c r="C5782">
        <v>0.88924707182621099</v>
      </c>
      <c r="D5782">
        <v>0.880032698129812</v>
      </c>
      <c r="E5782">
        <v>0.78003429595984297</v>
      </c>
      <c r="F5782">
        <v>0.59097052290305896</v>
      </c>
      <c r="G5782">
        <v>0.46256293686724997</v>
      </c>
      <c r="H5782">
        <v>0.39348483890435698</v>
      </c>
      <c r="I5782">
        <v>0.416554775964255</v>
      </c>
      <c r="J5782">
        <v>0.403624049943199</v>
      </c>
      <c r="K5782">
        <v>0.33698522487584198</v>
      </c>
      <c r="L5782">
        <v>657.208383028355</v>
      </c>
      <c r="M5782">
        <v>12.773864312509501</v>
      </c>
      <c r="N5782">
        <v>56.450068717805401</v>
      </c>
      <c r="O5782">
        <v>50.237442138383201</v>
      </c>
      <c r="P5782">
        <v>-4.20428039660702E-2</v>
      </c>
      <c r="Q5782">
        <v>0.33873620259729798</v>
      </c>
      <c r="R5782">
        <v>0.98099899712610705</v>
      </c>
      <c r="S5782" t="s">
        <v>12398</v>
      </c>
      <c r="T5782" t="s">
        <v>13232</v>
      </c>
      <c r="U5782" t="s">
        <v>13232</v>
      </c>
      <c r="V5782" t="s">
        <v>13232</v>
      </c>
      <c r="W5782" t="s">
        <v>18943</v>
      </c>
      <c r="X5782">
        <v>12</v>
      </c>
      <c r="Y5782" t="s">
        <v>25330</v>
      </c>
      <c r="Z5782" t="s">
        <v>31913</v>
      </c>
      <c r="AA5782">
        <v>0.61032348369919032</v>
      </c>
      <c r="AB5782" t="str">
        <f>HYPERLINK("Melting_Curves/meltCurve_Q9NPF5_DMAP1.pdf", "Melting_Curves/meltCurve_Q9NPF5_DMAP1.pdf")</f>
        <v>Melting_Curves/meltCurve_Q9NPF5_DMAP1.pdf</v>
      </c>
    </row>
    <row r="5783" spans="1:28" x14ac:dyDescent="0.25">
      <c r="A5783" t="s">
        <v>5786</v>
      </c>
      <c r="B5783">
        <v>0.99930955844802105</v>
      </c>
      <c r="C5783">
        <v>1.1247336908686301</v>
      </c>
      <c r="D5783">
        <v>1.13624835146549</v>
      </c>
      <c r="E5783">
        <v>1.0294831780106499</v>
      </c>
      <c r="F5783">
        <v>0.840263435686603</v>
      </c>
      <c r="G5783">
        <v>0.67974503830317901</v>
      </c>
      <c r="H5783">
        <v>0.61631064470167596</v>
      </c>
      <c r="I5783">
        <v>0.62211000357048596</v>
      </c>
      <c r="J5783">
        <v>0.61602133016942495</v>
      </c>
      <c r="K5783">
        <v>0.48053489254163601</v>
      </c>
      <c r="L5783">
        <v>1599.3830693021</v>
      </c>
      <c r="M5783">
        <v>29.3208598752637</v>
      </c>
      <c r="O5783">
        <v>54.295774505097597</v>
      </c>
      <c r="P5783">
        <v>-5.70781340028087E-2</v>
      </c>
      <c r="Q5783">
        <v>0.57721848886800997</v>
      </c>
      <c r="R5783">
        <v>0.90126828757983701</v>
      </c>
      <c r="S5783" t="s">
        <v>12399</v>
      </c>
      <c r="T5783" t="s">
        <v>13232</v>
      </c>
      <c r="U5783" t="s">
        <v>13232</v>
      </c>
      <c r="V5783" t="s">
        <v>13232</v>
      </c>
      <c r="W5783" t="s">
        <v>18944</v>
      </c>
      <c r="X5783">
        <v>17</v>
      </c>
      <c r="Y5783" t="s">
        <v>25331</v>
      </c>
      <c r="Z5783" t="s">
        <v>31914</v>
      </c>
      <c r="AA5783">
        <v>0.78515162638105851</v>
      </c>
      <c r="AB5783" t="str">
        <f>HYPERLINK("Melting_Curves/meltCurve_Q9NPG3_2_UBN1.pdf", "Melting_Curves/meltCurve_Q9NPG3_2_UBN1.pdf")</f>
        <v>Melting_Curves/meltCurve_Q9NPG3_2_UBN1.pdf</v>
      </c>
    </row>
    <row r="5784" spans="1:28" x14ac:dyDescent="0.25">
      <c r="A5784" t="s">
        <v>5787</v>
      </c>
      <c r="B5784">
        <v>0.99930955844802105</v>
      </c>
      <c r="C5784">
        <v>1.2187524263165801</v>
      </c>
      <c r="D5784">
        <v>1.2048111984615799</v>
      </c>
      <c r="E5784">
        <v>1.2131157884727399</v>
      </c>
      <c r="F5784">
        <v>1.2818155882472499</v>
      </c>
      <c r="G5784">
        <v>1.18980266506001</v>
      </c>
      <c r="H5784">
        <v>1.10331887766447</v>
      </c>
      <c r="I5784">
        <v>0.96306357571024603</v>
      </c>
      <c r="J5784">
        <v>0.816952026352884</v>
      </c>
      <c r="K5784">
        <v>0.53200402685215398</v>
      </c>
      <c r="L5784">
        <v>3628.1419251106399</v>
      </c>
      <c r="M5784">
        <v>53.4376791912618</v>
      </c>
      <c r="O5784">
        <v>67.799942749264403</v>
      </c>
      <c r="P5784">
        <v>-0.110650437261596</v>
      </c>
      <c r="Q5784">
        <v>0.43844204808981502</v>
      </c>
      <c r="R5784">
        <v>0.46322481600406301</v>
      </c>
      <c r="S5784" t="s">
        <v>12400</v>
      </c>
      <c r="T5784" t="s">
        <v>13232</v>
      </c>
      <c r="U5784" t="s">
        <v>13232</v>
      </c>
      <c r="V5784" t="s">
        <v>13232</v>
      </c>
      <c r="W5784" t="s">
        <v>18945</v>
      </c>
      <c r="X5784">
        <v>1</v>
      </c>
      <c r="Y5784" t="s">
        <v>25332</v>
      </c>
      <c r="Z5784" t="s">
        <v>31915</v>
      </c>
      <c r="AA5784">
        <v>0.95724775802519912</v>
      </c>
      <c r="AB5784" t="str">
        <f>HYPERLINK("Melting_Curves/meltCurve_Q9NPH3_5_IL1RAP.pdf", "Melting_Curves/meltCurve_Q9NPH3_5_IL1RAP.pdf")</f>
        <v>Melting_Curves/meltCurve_Q9NPH3_5_IL1RAP.pdf</v>
      </c>
    </row>
    <row r="5785" spans="1:28" x14ac:dyDescent="0.25">
      <c r="A5785" t="s">
        <v>5788</v>
      </c>
      <c r="B5785">
        <v>0.99930955844802105</v>
      </c>
      <c r="C5785">
        <v>0.73841773245244302</v>
      </c>
      <c r="D5785">
        <v>0.59704731616894102</v>
      </c>
      <c r="E5785">
        <v>0.43989916147969499</v>
      </c>
      <c r="F5785">
        <v>0.33541417813021102</v>
      </c>
      <c r="G5785">
        <v>0.28369583431520601</v>
      </c>
      <c r="H5785">
        <v>0.239303739217779</v>
      </c>
      <c r="I5785">
        <v>0.26527743950643101</v>
      </c>
      <c r="J5785">
        <v>0.25348674320019599</v>
      </c>
      <c r="K5785">
        <v>0.22293417437482799</v>
      </c>
      <c r="L5785">
        <v>666.44311084310095</v>
      </c>
      <c r="M5785">
        <v>14.5537557053817</v>
      </c>
      <c r="N5785">
        <v>47.930675305220198</v>
      </c>
      <c r="O5785">
        <v>44.953351658713899</v>
      </c>
      <c r="P5785">
        <v>-6.16146545346858E-2</v>
      </c>
      <c r="Q5785">
        <v>0.23883037048296901</v>
      </c>
      <c r="R5785">
        <v>0.98112293637844294</v>
      </c>
      <c r="S5785" t="s">
        <v>12401</v>
      </c>
      <c r="T5785" t="s">
        <v>13232</v>
      </c>
      <c r="U5785" t="s">
        <v>13232</v>
      </c>
      <c r="V5785" t="s">
        <v>13232</v>
      </c>
      <c r="W5785" t="s">
        <v>18946</v>
      </c>
      <c r="X5785">
        <v>14</v>
      </c>
      <c r="Y5785" t="s">
        <v>25333</v>
      </c>
      <c r="Z5785" t="s">
        <v>31916</v>
      </c>
      <c r="AA5785">
        <v>0.409887870603171</v>
      </c>
      <c r="AB5785" t="str">
        <f>HYPERLINK("Melting_Curves/meltCurve_Q9NPI1_BRD7.pdf", "Melting_Curves/meltCurve_Q9NPI1_BRD7.pdf")</f>
        <v>Melting_Curves/meltCurve_Q9NPI1_BRD7.pdf</v>
      </c>
    </row>
    <row r="5786" spans="1:28" x14ac:dyDescent="0.25">
      <c r="A5786" t="s">
        <v>5789</v>
      </c>
      <c r="B5786">
        <v>0.99930955844802105</v>
      </c>
      <c r="C5786">
        <v>0.99878320300161105</v>
      </c>
      <c r="D5786">
        <v>0.927756065565429</v>
      </c>
      <c r="E5786">
        <v>0.812175374559991</v>
      </c>
      <c r="F5786">
        <v>0.60139638641557802</v>
      </c>
      <c r="G5786">
        <v>0.40268576849943599</v>
      </c>
      <c r="H5786">
        <v>0.271213267050815</v>
      </c>
      <c r="I5786">
        <v>0.22189359465734201</v>
      </c>
      <c r="J5786">
        <v>0.182328044434626</v>
      </c>
      <c r="K5786">
        <v>0.13930934973818401</v>
      </c>
      <c r="L5786">
        <v>793.77177408048397</v>
      </c>
      <c r="M5786">
        <v>14.7126416833528</v>
      </c>
      <c r="N5786">
        <v>55.078659512396797</v>
      </c>
      <c r="O5786">
        <v>52.984364395160803</v>
      </c>
      <c r="P5786">
        <v>-6.0403455859324801E-2</v>
      </c>
      <c r="Q5786">
        <v>0.129975419716783</v>
      </c>
      <c r="R5786">
        <v>0.99834878107543501</v>
      </c>
      <c r="S5786" t="s">
        <v>12402</v>
      </c>
      <c r="T5786" t="s">
        <v>13232</v>
      </c>
      <c r="U5786" t="s">
        <v>13232</v>
      </c>
      <c r="V5786" t="s">
        <v>13232</v>
      </c>
      <c r="W5786" t="s">
        <v>18947</v>
      </c>
      <c r="X5786">
        <v>9</v>
      </c>
      <c r="Y5786" t="s">
        <v>25334</v>
      </c>
      <c r="Z5786" t="s">
        <v>31917</v>
      </c>
      <c r="AA5786">
        <v>0.55291499626854601</v>
      </c>
      <c r="AB5786" t="str">
        <f>HYPERLINK("Melting_Curves/meltCurve_Q9NPI6_DCP1A.pdf", "Melting_Curves/meltCurve_Q9NPI6_DCP1A.pdf")</f>
        <v>Melting_Curves/meltCurve_Q9NPI6_DCP1A.pdf</v>
      </c>
    </row>
    <row r="5787" spans="1:28" x14ac:dyDescent="0.25">
      <c r="A5787" t="s">
        <v>5790</v>
      </c>
      <c r="B5787">
        <v>0.99930955844802105</v>
      </c>
      <c r="C5787">
        <v>1.08085481342054</v>
      </c>
      <c r="D5787">
        <v>1.0974869166754799</v>
      </c>
      <c r="E5787">
        <v>1.02675818235807</v>
      </c>
      <c r="F5787">
        <v>0.9562685325843</v>
      </c>
      <c r="G5787">
        <v>0.74152470461325803</v>
      </c>
      <c r="H5787">
        <v>0.47417253466690301</v>
      </c>
      <c r="I5787">
        <v>0.202641840634846</v>
      </c>
      <c r="J5787">
        <v>6.7888332837945597E-2</v>
      </c>
      <c r="K5787">
        <v>5.5261982976501103E-2</v>
      </c>
      <c r="L5787">
        <v>1325.08238506201</v>
      </c>
      <c r="M5787">
        <v>21.993028865200699</v>
      </c>
      <c r="N5787">
        <v>60.250120935185201</v>
      </c>
      <c r="O5787">
        <v>59.758622003355399</v>
      </c>
      <c r="P5787">
        <v>-9.2009826326236499E-2</v>
      </c>
      <c r="Q5787">
        <v>0</v>
      </c>
      <c r="R5787">
        <v>0.98685666863048205</v>
      </c>
      <c r="S5787" t="s">
        <v>12403</v>
      </c>
      <c r="T5787" t="s">
        <v>13232</v>
      </c>
      <c r="U5787" t="s">
        <v>13232</v>
      </c>
      <c r="V5787" t="s">
        <v>13232</v>
      </c>
      <c r="W5787" t="s">
        <v>18948</v>
      </c>
      <c r="X5787">
        <v>6</v>
      </c>
      <c r="Y5787" t="s">
        <v>25335</v>
      </c>
      <c r="Z5787" t="s">
        <v>31918</v>
      </c>
      <c r="AA5787">
        <v>0.68272697120202586</v>
      </c>
      <c r="AB5787" t="str">
        <f>HYPERLINK("Melting_Curves/meltCurve_Q9NPJ3_ACOT13.pdf", "Melting_Curves/meltCurve_Q9NPJ3_ACOT13.pdf")</f>
        <v>Melting_Curves/meltCurve_Q9NPJ3_ACOT13.pdf</v>
      </c>
    </row>
    <row r="5788" spans="1:28" x14ac:dyDescent="0.25">
      <c r="A5788" t="s">
        <v>5791</v>
      </c>
      <c r="B5788">
        <v>0.99930955844802105</v>
      </c>
      <c r="C5788">
        <v>0.78977417814860396</v>
      </c>
      <c r="D5788">
        <v>0.90877127456974505</v>
      </c>
      <c r="E5788">
        <v>1.2251626576505601</v>
      </c>
      <c r="F5788">
        <v>1.0802432184252999</v>
      </c>
      <c r="G5788">
        <v>0.62632413248293595</v>
      </c>
      <c r="H5788">
        <v>0.43387561154594201</v>
      </c>
      <c r="I5788">
        <v>0.38895740071396401</v>
      </c>
      <c r="J5788">
        <v>0.35123743843625999</v>
      </c>
      <c r="K5788">
        <v>0.29330862848962702</v>
      </c>
      <c r="L5788">
        <v>6061.6034226274096</v>
      </c>
      <c r="M5788">
        <v>106.705832597048</v>
      </c>
      <c r="N5788">
        <v>57.519252295894901</v>
      </c>
      <c r="O5788">
        <v>56.786727563882899</v>
      </c>
      <c r="P5788">
        <v>-0.29750758413226402</v>
      </c>
      <c r="Q5788">
        <v>0.36668946935354702</v>
      </c>
      <c r="R5788">
        <v>0.88215845653957603</v>
      </c>
      <c r="S5788" t="s">
        <v>12404</v>
      </c>
      <c r="T5788" t="s">
        <v>13232</v>
      </c>
      <c r="U5788" t="s">
        <v>13232</v>
      </c>
      <c r="V5788" t="s">
        <v>13232</v>
      </c>
      <c r="W5788" t="s">
        <v>18949</v>
      </c>
      <c r="X5788">
        <v>9</v>
      </c>
      <c r="Y5788" t="s">
        <v>25336</v>
      </c>
      <c r="Z5788" t="s">
        <v>31919</v>
      </c>
      <c r="AA5788">
        <v>0.72183116894959676</v>
      </c>
      <c r="AB5788" t="str">
        <f>HYPERLINK("Melting_Curves/meltCurve_Q9NPJ6_MED4.pdf", "Melting_Curves/meltCurve_Q9NPJ6_MED4.pdf")</f>
        <v>Melting_Curves/meltCurve_Q9NPJ6_MED4.pdf</v>
      </c>
    </row>
    <row r="5789" spans="1:28" x14ac:dyDescent="0.25">
      <c r="A5789" t="s">
        <v>5792</v>
      </c>
      <c r="B5789">
        <v>0.99930955844802105</v>
      </c>
      <c r="C5789">
        <v>1.4438302635809199</v>
      </c>
      <c r="D5789">
        <v>0.98834070703451604</v>
      </c>
      <c r="E5789">
        <v>0.40081294746192803</v>
      </c>
      <c r="F5789">
        <v>0.22765899729976399</v>
      </c>
      <c r="G5789">
        <v>0.17069244831729699</v>
      </c>
      <c r="H5789">
        <v>7.4951564981737204E-2</v>
      </c>
      <c r="I5789">
        <v>7.5982961885875097E-2</v>
      </c>
      <c r="J5789">
        <v>5.61510229987656E-2</v>
      </c>
      <c r="K5789">
        <v>3.8016828926264103E-2</v>
      </c>
      <c r="L5789">
        <v>2017.8889118423001</v>
      </c>
      <c r="M5789">
        <v>40.882125785230201</v>
      </c>
      <c r="N5789">
        <v>49.6125577842528</v>
      </c>
      <c r="O5789">
        <v>49.241047977024003</v>
      </c>
      <c r="P5789">
        <v>-0.187973427487685</v>
      </c>
      <c r="Q5789">
        <v>9.4372827143160101E-2</v>
      </c>
      <c r="R5789">
        <v>0.90582806349406397</v>
      </c>
      <c r="S5789" t="s">
        <v>12405</v>
      </c>
      <c r="T5789" t="s">
        <v>13232</v>
      </c>
      <c r="U5789" t="s">
        <v>13232</v>
      </c>
      <c r="V5789" t="s">
        <v>13232</v>
      </c>
      <c r="W5789" t="s">
        <v>18950</v>
      </c>
      <c r="X5789">
        <v>3</v>
      </c>
      <c r="Y5789" t="s">
        <v>25337</v>
      </c>
      <c r="Z5789" t="s">
        <v>31920</v>
      </c>
      <c r="AA5789">
        <v>0.37984832004831021</v>
      </c>
      <c r="AB5789" t="str">
        <f>HYPERLINK("Melting_Curves/meltCurve_Q9NPJ8_NXT2.pdf", "Melting_Curves/meltCurve_Q9NPJ8_NXT2.pdf")</f>
        <v>Melting_Curves/meltCurve_Q9NPJ8_NXT2.pdf</v>
      </c>
    </row>
    <row r="5790" spans="1:28" x14ac:dyDescent="0.25">
      <c r="A5790" t="s">
        <v>5793</v>
      </c>
      <c r="B5790">
        <v>0.99930955844802105</v>
      </c>
      <c r="C5790">
        <v>1.0294275751326201</v>
      </c>
      <c r="D5790">
        <v>0.82085251835708395</v>
      </c>
      <c r="E5790">
        <v>0.39327158165134801</v>
      </c>
      <c r="F5790">
        <v>0.20732999737129101</v>
      </c>
      <c r="G5790">
        <v>0.14155795000695701</v>
      </c>
      <c r="H5790">
        <v>9.9024452734740601E-2</v>
      </c>
      <c r="I5790">
        <v>8.2748157297927005E-2</v>
      </c>
      <c r="J5790">
        <v>8.2716512282869997E-2</v>
      </c>
      <c r="K5790">
        <v>6.3338262806716297E-2</v>
      </c>
      <c r="L5790">
        <v>1221.74428539114</v>
      </c>
      <c r="M5790">
        <v>25.073366260793598</v>
      </c>
      <c r="N5790">
        <v>49.106148047420199</v>
      </c>
      <c r="O5790">
        <v>48.419969821752296</v>
      </c>
      <c r="P5790">
        <v>-0.118060565644051</v>
      </c>
      <c r="Q5790">
        <v>8.8049704598088502E-2</v>
      </c>
      <c r="R5790">
        <v>0.996181911204846</v>
      </c>
      <c r="S5790" t="s">
        <v>12406</v>
      </c>
      <c r="T5790" t="s">
        <v>13232</v>
      </c>
      <c r="U5790" t="s">
        <v>13232</v>
      </c>
      <c r="V5790" t="s">
        <v>13232</v>
      </c>
      <c r="W5790" t="s">
        <v>18951</v>
      </c>
      <c r="X5790">
        <v>18</v>
      </c>
      <c r="Y5790" t="s">
        <v>25338</v>
      </c>
      <c r="Z5790" t="s">
        <v>31921</v>
      </c>
      <c r="AA5790">
        <v>0.36134920065729909</v>
      </c>
      <c r="AB5790" t="str">
        <f>HYPERLINK("Melting_Curves/meltCurve_Q9NPQ8_RIC8A.pdf", "Melting_Curves/meltCurve_Q9NPQ8_RIC8A.pdf")</f>
        <v>Melting_Curves/meltCurve_Q9NPQ8_RIC8A.pdf</v>
      </c>
    </row>
    <row r="5791" spans="1:28" x14ac:dyDescent="0.25">
      <c r="A5791" t="s">
        <v>5794</v>
      </c>
      <c r="B5791">
        <v>0.99930955844802105</v>
      </c>
      <c r="C5791">
        <v>0.98230506606450896</v>
      </c>
      <c r="D5791">
        <v>0.88392466283948201</v>
      </c>
      <c r="E5791">
        <v>0.66053773091134704</v>
      </c>
      <c r="F5791">
        <v>0.23558636170699501</v>
      </c>
      <c r="G5791">
        <v>0.169788973572577</v>
      </c>
      <c r="H5791">
        <v>9.3868296819947294E-2</v>
      </c>
      <c r="I5791">
        <v>7.9202356605404894E-2</v>
      </c>
      <c r="J5791">
        <v>7.6032344450300299E-2</v>
      </c>
      <c r="K5791">
        <v>6.0355466028876099E-2</v>
      </c>
      <c r="L5791">
        <v>1334.66991461819</v>
      </c>
      <c r="M5791">
        <v>26.368566749048501</v>
      </c>
      <c r="N5791">
        <v>50.940993752642903</v>
      </c>
      <c r="O5791">
        <v>50.327520026128603</v>
      </c>
      <c r="P5791">
        <v>-0.120843882052223</v>
      </c>
      <c r="Q5791">
        <v>7.7430870370029006E-2</v>
      </c>
      <c r="R5791">
        <v>0.99246297984549503</v>
      </c>
      <c r="S5791" t="s">
        <v>12407</v>
      </c>
      <c r="T5791" t="s">
        <v>13232</v>
      </c>
      <c r="U5791" t="s">
        <v>13232</v>
      </c>
      <c r="V5791" t="s">
        <v>13232</v>
      </c>
      <c r="W5791" t="s">
        <v>18952</v>
      </c>
      <c r="X5791">
        <v>22</v>
      </c>
      <c r="Y5791" t="s">
        <v>25339</v>
      </c>
      <c r="Z5791" t="s">
        <v>31922</v>
      </c>
      <c r="AA5791">
        <v>0.4113602424360675</v>
      </c>
      <c r="AB5791" t="str">
        <f>HYPERLINK("Melting_Curves/meltCurve_Q9NQ29_LUC7L.pdf", "Melting_Curves/meltCurve_Q9NQ29_LUC7L.pdf")</f>
        <v>Melting_Curves/meltCurve_Q9NQ29_LUC7L.pdf</v>
      </c>
    </row>
    <row r="5792" spans="1:28" x14ac:dyDescent="0.25">
      <c r="A5792" t="s">
        <v>5795</v>
      </c>
      <c r="B5792">
        <v>0.99930955844802105</v>
      </c>
      <c r="C5792">
        <v>0.92460078198504203</v>
      </c>
      <c r="D5792">
        <v>0.827575481741603</v>
      </c>
      <c r="E5792">
        <v>0.53196722778572603</v>
      </c>
      <c r="F5792">
        <v>0.28431264844298498</v>
      </c>
      <c r="G5792">
        <v>0.22437861552525701</v>
      </c>
      <c r="H5792">
        <v>0.11606599332956601</v>
      </c>
      <c r="I5792">
        <v>0.10310216718363199</v>
      </c>
      <c r="J5792">
        <v>9.8244301408982201E-2</v>
      </c>
      <c r="K5792">
        <v>7.0313660429945898E-2</v>
      </c>
      <c r="L5792">
        <v>841.64038297754598</v>
      </c>
      <c r="M5792">
        <v>16.9145204379241</v>
      </c>
      <c r="N5792">
        <v>50.293143034223398</v>
      </c>
      <c r="O5792">
        <v>49.078565793253098</v>
      </c>
      <c r="P5792">
        <v>-7.9075088136056598E-2</v>
      </c>
      <c r="Q5792">
        <v>8.2292116782151897E-2</v>
      </c>
      <c r="R5792">
        <v>0.99616690072007896</v>
      </c>
      <c r="S5792" t="s">
        <v>12408</v>
      </c>
      <c r="T5792" t="s">
        <v>13232</v>
      </c>
      <c r="U5792" t="s">
        <v>13232</v>
      </c>
      <c r="V5792" t="s">
        <v>13232</v>
      </c>
      <c r="W5792" t="s">
        <v>18953</v>
      </c>
      <c r="X5792">
        <v>6</v>
      </c>
      <c r="Y5792" t="s">
        <v>25340</v>
      </c>
      <c r="Z5792" t="s">
        <v>31923</v>
      </c>
      <c r="AA5792">
        <v>0.39848123935327667</v>
      </c>
      <c r="AB5792" t="str">
        <f>HYPERLINK("Melting_Curves/meltCurve_Q9NQ55_2_PPAN.pdf", "Melting_Curves/meltCurve_Q9NQ55_2_PPAN.pdf")</f>
        <v>Melting_Curves/meltCurve_Q9NQ55_2_PPAN.pdf</v>
      </c>
    </row>
    <row r="5793" spans="1:28" x14ac:dyDescent="0.25">
      <c r="A5793" t="s">
        <v>5796</v>
      </c>
      <c r="B5793">
        <v>0.99930955844802105</v>
      </c>
      <c r="C5793">
        <v>1.05996037950068</v>
      </c>
      <c r="D5793">
        <v>1.1055621964032101</v>
      </c>
      <c r="E5793">
        <v>0.72845038323112898</v>
      </c>
      <c r="F5793">
        <v>0.170989733019904</v>
      </c>
      <c r="G5793">
        <v>0.115139805366721</v>
      </c>
      <c r="H5793">
        <v>8.3515561431858495E-2</v>
      </c>
      <c r="I5793">
        <v>5.6416941557206703E-2</v>
      </c>
      <c r="J5793">
        <v>5.9284343265835301E-2</v>
      </c>
      <c r="K5793">
        <v>3.8172446504429698E-2</v>
      </c>
      <c r="L5793">
        <v>2698.1999713381701</v>
      </c>
      <c r="M5793">
        <v>53.056646032290601</v>
      </c>
      <c r="N5793">
        <v>51.000723281831398</v>
      </c>
      <c r="O5793">
        <v>50.782987757573899</v>
      </c>
      <c r="P5793">
        <v>-0.24283244439205201</v>
      </c>
      <c r="Q5793">
        <v>7.0295640768832796E-2</v>
      </c>
      <c r="R5793">
        <v>0.99052660532743697</v>
      </c>
      <c r="S5793" t="s">
        <v>12409</v>
      </c>
      <c r="T5793" t="s">
        <v>13232</v>
      </c>
      <c r="U5793" t="s">
        <v>13232</v>
      </c>
      <c r="V5793" t="s">
        <v>13232</v>
      </c>
      <c r="W5793" t="s">
        <v>18954</v>
      </c>
      <c r="X5793">
        <v>5</v>
      </c>
      <c r="Y5793" t="s">
        <v>25341</v>
      </c>
      <c r="Z5793" t="s">
        <v>31924</v>
      </c>
      <c r="AA5793">
        <v>0.40854712756118627</v>
      </c>
      <c r="AB5793" t="str">
        <f>HYPERLINK("Melting_Curves/meltCurve_Q9NQ88_TIGAR.pdf", "Melting_Curves/meltCurve_Q9NQ88_TIGAR.pdf")</f>
        <v>Melting_Curves/meltCurve_Q9NQ88_TIGAR.pdf</v>
      </c>
    </row>
    <row r="5794" spans="1:28" x14ac:dyDescent="0.25">
      <c r="A5794" t="s">
        <v>5797</v>
      </c>
      <c r="B5794">
        <v>0.99930955844802105</v>
      </c>
      <c r="C5794">
        <v>1.1493361189139899</v>
      </c>
      <c r="D5794">
        <v>1.1713069548803701</v>
      </c>
      <c r="E5794">
        <v>1.6352699316247601</v>
      </c>
      <c r="F5794">
        <v>1.6227463871436101</v>
      </c>
      <c r="G5794">
        <v>1.69265610250809</v>
      </c>
      <c r="H5794">
        <v>1.8412789439075501</v>
      </c>
      <c r="I5794">
        <v>1.86924197703242</v>
      </c>
      <c r="J5794">
        <v>2.0096172727159098</v>
      </c>
      <c r="K5794">
        <v>1.6729141165266499</v>
      </c>
      <c r="L5794">
        <v>7620.26825286647</v>
      </c>
      <c r="M5794">
        <v>165.006370106232</v>
      </c>
      <c r="O5794">
        <v>46.174878042787597</v>
      </c>
      <c r="P5794">
        <v>0.44668870366772601</v>
      </c>
      <c r="Q5794">
        <v>1.5</v>
      </c>
      <c r="R5794">
        <v>0.39536141308092299</v>
      </c>
      <c r="S5794" t="s">
        <v>12410</v>
      </c>
      <c r="T5794" t="s">
        <v>13232</v>
      </c>
      <c r="U5794" t="s">
        <v>13232</v>
      </c>
      <c r="V5794" t="s">
        <v>13232</v>
      </c>
      <c r="W5794" t="s">
        <v>18955</v>
      </c>
      <c r="X5794">
        <v>2</v>
      </c>
      <c r="Y5794" t="s">
        <v>25342</v>
      </c>
      <c r="Z5794" t="s">
        <v>31925</v>
      </c>
      <c r="AA5794">
        <v>1.3968792661711571</v>
      </c>
      <c r="AB5794" t="str">
        <f>HYPERLINK("Melting_Curves/meltCurve_Q9NQ92_COPRS.pdf", "Melting_Curves/meltCurve_Q9NQ92_COPRS.pdf")</f>
        <v>Melting_Curves/meltCurve_Q9NQ92_COPRS.pdf</v>
      </c>
    </row>
    <row r="5795" spans="1:28" x14ac:dyDescent="0.25">
      <c r="A5795" t="s">
        <v>5798</v>
      </c>
      <c r="B5795">
        <v>0.99930955844802105</v>
      </c>
      <c r="C5795">
        <v>0.979352882129637</v>
      </c>
      <c r="D5795">
        <v>1.0461530699167501</v>
      </c>
      <c r="E5795">
        <v>1.1649158324355</v>
      </c>
      <c r="F5795">
        <v>1.0880971776755499</v>
      </c>
      <c r="G5795">
        <v>1.07515868109062</v>
      </c>
      <c r="H5795">
        <v>1.0190345064960999</v>
      </c>
      <c r="I5795">
        <v>1.10221545879579</v>
      </c>
      <c r="J5795">
        <v>1.10715104932206</v>
      </c>
      <c r="K5795">
        <v>0.90490610288817097</v>
      </c>
      <c r="L5795">
        <v>11461.006329316901</v>
      </c>
      <c r="M5795">
        <v>250</v>
      </c>
      <c r="O5795">
        <v>45.841113507875903</v>
      </c>
      <c r="P5795">
        <v>8.9883226418531803E-2</v>
      </c>
      <c r="Q5795">
        <v>1.065925523612</v>
      </c>
      <c r="R5795">
        <v>0.175124276093022</v>
      </c>
      <c r="S5795" t="s">
        <v>12411</v>
      </c>
      <c r="T5795" t="s">
        <v>13232</v>
      </c>
      <c r="U5795" t="s">
        <v>13232</v>
      </c>
      <c r="V5795" t="s">
        <v>13232</v>
      </c>
      <c r="W5795" t="s">
        <v>18956</v>
      </c>
      <c r="X5795">
        <v>7</v>
      </c>
      <c r="Y5795" t="s">
        <v>25343</v>
      </c>
      <c r="Z5795" t="s">
        <v>31926</v>
      </c>
      <c r="AA5795">
        <v>1.053077871902923</v>
      </c>
      <c r="AB5795" t="str">
        <f>HYPERLINK("Melting_Curves/meltCurve_Q9NQA3_WASH6P.pdf", "Melting_Curves/meltCurve_Q9NQA3_WASH6P.pdf")</f>
        <v>Melting_Curves/meltCurve_Q9NQA3_WASH6P.pdf</v>
      </c>
    </row>
    <row r="5796" spans="1:28" x14ac:dyDescent="0.25">
      <c r="A5796" t="s">
        <v>5799</v>
      </c>
      <c r="B5796">
        <v>0.99930955844802105</v>
      </c>
      <c r="C5796">
        <v>1.02532149656941</v>
      </c>
      <c r="D5796">
        <v>0.99231957645549995</v>
      </c>
      <c r="E5796">
        <v>0.97918700510048495</v>
      </c>
      <c r="F5796">
        <v>0.83240087658569595</v>
      </c>
      <c r="G5796">
        <v>0.68870552593256895</v>
      </c>
      <c r="H5796">
        <v>0.65000882332568899</v>
      </c>
      <c r="I5796">
        <v>0.68530184726617804</v>
      </c>
      <c r="J5796">
        <v>0.65457749622693495</v>
      </c>
      <c r="K5796">
        <v>0.53356336618759803</v>
      </c>
      <c r="L5796">
        <v>1439.83087601597</v>
      </c>
      <c r="M5796">
        <v>26.795823488300599</v>
      </c>
      <c r="O5796">
        <v>53.4368285252961</v>
      </c>
      <c r="P5796">
        <v>-4.7153891732836697E-2</v>
      </c>
      <c r="Q5796">
        <v>0.62386258266502104</v>
      </c>
      <c r="R5796">
        <v>0.95383027066867399</v>
      </c>
      <c r="S5796" t="s">
        <v>12412</v>
      </c>
      <c r="T5796" t="s">
        <v>13232</v>
      </c>
      <c r="U5796" t="s">
        <v>13232</v>
      </c>
      <c r="V5796" t="s">
        <v>13232</v>
      </c>
      <c r="W5796" t="s">
        <v>13866</v>
      </c>
      <c r="X5796">
        <v>12</v>
      </c>
      <c r="Y5796" t="s">
        <v>20406</v>
      </c>
      <c r="Z5796" t="s">
        <v>31927</v>
      </c>
      <c r="AA5796">
        <v>0.79910732394238693</v>
      </c>
      <c r="AB5796" t="str">
        <f>HYPERLINK("Melting_Curves/meltCurve_Q9NQC3_RTN4.pdf", "Melting_Curves/meltCurve_Q9NQC3_RTN4.pdf")</f>
        <v>Melting_Curves/meltCurve_Q9NQC3_RTN4.pdf</v>
      </c>
    </row>
    <row r="5797" spans="1:28" x14ac:dyDescent="0.25">
      <c r="A5797" t="s">
        <v>5800</v>
      </c>
      <c r="B5797">
        <v>0.99930955844802105</v>
      </c>
      <c r="C5797">
        <v>0.94421456722935804</v>
      </c>
      <c r="D5797">
        <v>0.92825239906085699</v>
      </c>
      <c r="E5797">
        <v>0.74760576218785502</v>
      </c>
      <c r="F5797">
        <v>0.39886062556995699</v>
      </c>
      <c r="G5797">
        <v>0.28603628542478499</v>
      </c>
      <c r="H5797">
        <v>0.186549768762204</v>
      </c>
      <c r="I5797">
        <v>0.172296867880676</v>
      </c>
      <c r="J5797">
        <v>0.150373520541011</v>
      </c>
      <c r="K5797">
        <v>9.6831556471194305E-2</v>
      </c>
      <c r="L5797">
        <v>1042.8068979181901</v>
      </c>
      <c r="M5797">
        <v>20.2035152637111</v>
      </c>
      <c r="N5797">
        <v>52.447401943205499</v>
      </c>
      <c r="O5797">
        <v>51.117425178989699</v>
      </c>
      <c r="P5797">
        <v>-8.5260727122656393E-2</v>
      </c>
      <c r="Q5797">
        <v>0.13714568833934501</v>
      </c>
      <c r="R5797">
        <v>0.991161220765027</v>
      </c>
      <c r="S5797" t="s">
        <v>12413</v>
      </c>
      <c r="T5797" t="s">
        <v>13232</v>
      </c>
      <c r="U5797" t="s">
        <v>13232</v>
      </c>
      <c r="V5797" t="s">
        <v>13232</v>
      </c>
      <c r="W5797" t="s">
        <v>18957</v>
      </c>
      <c r="X5797">
        <v>2</v>
      </c>
      <c r="Y5797" t="s">
        <v>25344</v>
      </c>
      <c r="Z5797" t="s">
        <v>31928</v>
      </c>
      <c r="AA5797">
        <v>0.48295613170241558</v>
      </c>
      <c r="AB5797" t="str">
        <f>HYPERLINK("Melting_Curves/meltCurve_Q9NQE9_HINT3.pdf", "Melting_Curves/meltCurve_Q9NQE9_HINT3.pdf")</f>
        <v>Melting_Curves/meltCurve_Q9NQE9_HINT3.pdf</v>
      </c>
    </row>
    <row r="5798" spans="1:28" x14ac:dyDescent="0.25">
      <c r="A5798" t="s">
        <v>5801</v>
      </c>
      <c r="B5798">
        <v>0.99930955844802105</v>
      </c>
      <c r="C5798">
        <v>1.0965684249755101</v>
      </c>
      <c r="D5798">
        <v>0.65595127904002104</v>
      </c>
      <c r="E5798">
        <v>0.87717351193681403</v>
      </c>
      <c r="F5798">
        <v>0.54362768259403105</v>
      </c>
      <c r="G5798">
        <v>0.407781125564669</v>
      </c>
      <c r="H5798">
        <v>0.35918772051620901</v>
      </c>
      <c r="I5798">
        <v>0.366893561325565</v>
      </c>
      <c r="J5798">
        <v>0.396823946107626</v>
      </c>
      <c r="K5798">
        <v>0.31349255479527399</v>
      </c>
      <c r="L5798">
        <v>698.99228272463301</v>
      </c>
      <c r="M5798">
        <v>13.644870893176201</v>
      </c>
      <c r="N5798">
        <v>55.260813299886401</v>
      </c>
      <c r="O5798">
        <v>50.164756301622603</v>
      </c>
      <c r="P5798">
        <v>-4.6566235126480601E-2</v>
      </c>
      <c r="Q5798">
        <v>0.31530567474301402</v>
      </c>
      <c r="R5798">
        <v>0.86271893614899897</v>
      </c>
      <c r="S5798" t="s">
        <v>12414</v>
      </c>
      <c r="T5798" t="s">
        <v>13232</v>
      </c>
      <c r="U5798" t="s">
        <v>13232</v>
      </c>
      <c r="V5798" t="s">
        <v>13232</v>
      </c>
      <c r="W5798" t="s">
        <v>18958</v>
      </c>
      <c r="X5798">
        <v>14</v>
      </c>
      <c r="Y5798" t="s">
        <v>25345</v>
      </c>
      <c r="Z5798" t="s">
        <v>31929</v>
      </c>
      <c r="AA5798">
        <v>0.5897921492966115</v>
      </c>
      <c r="AB5798" t="str">
        <f>HYPERLINK("Melting_Curves/meltCurve_Q9NQG5_RPRD1B.pdf", "Melting_Curves/meltCurve_Q9NQG5_RPRD1B.pdf")</f>
        <v>Melting_Curves/meltCurve_Q9NQG5_RPRD1B.pdf</v>
      </c>
    </row>
    <row r="5799" spans="1:28" x14ac:dyDescent="0.25">
      <c r="A5799" t="s">
        <v>5802</v>
      </c>
      <c r="B5799">
        <v>0.99930955844802105</v>
      </c>
      <c r="C5799">
        <v>1.2770106986266201</v>
      </c>
      <c r="D5799">
        <v>1.3830400390247299</v>
      </c>
      <c r="E5799">
        <v>1.26094016609292</v>
      </c>
      <c r="F5799">
        <v>0.99758319798497896</v>
      </c>
      <c r="G5799">
        <v>0.18755757516051999</v>
      </c>
      <c r="H5799">
        <v>6.5710263483071199E-2</v>
      </c>
      <c r="I5799">
        <v>3.9702844608038197E-2</v>
      </c>
      <c r="J5799">
        <v>7.6995578400627504E-3</v>
      </c>
      <c r="K5799">
        <v>1.5859739246976201E-2</v>
      </c>
      <c r="L5799">
        <v>5381.8572449947796</v>
      </c>
      <c r="M5799">
        <v>96.071024606936504</v>
      </c>
      <c r="N5799">
        <v>56.058308372716397</v>
      </c>
      <c r="O5799">
        <v>55.995306464060903</v>
      </c>
      <c r="P5799">
        <v>-0.41515126997346502</v>
      </c>
      <c r="Q5799">
        <v>3.2111028036170601E-2</v>
      </c>
      <c r="R5799">
        <v>0.91054797587688896</v>
      </c>
      <c r="S5799" t="s">
        <v>12415</v>
      </c>
      <c r="T5799" t="s">
        <v>13232</v>
      </c>
      <c r="U5799" t="s">
        <v>13232</v>
      </c>
      <c r="V5799" t="s">
        <v>13232</v>
      </c>
      <c r="W5799" t="s">
        <v>18959</v>
      </c>
      <c r="X5799">
        <v>5</v>
      </c>
      <c r="Y5799" t="s">
        <v>25346</v>
      </c>
      <c r="Z5799" t="s">
        <v>31930</v>
      </c>
      <c r="AA5799">
        <v>0.54959497715972305</v>
      </c>
      <c r="AB5799" t="str">
        <f>HYPERLINK("Melting_Curves/meltCurve_Q9NQG6_SMCR7L.pdf", "Melting_Curves/meltCurve_Q9NQG6_SMCR7L.pdf")</f>
        <v>Melting_Curves/meltCurve_Q9NQG6_SMCR7L.pdf</v>
      </c>
    </row>
    <row r="5800" spans="1:28" x14ac:dyDescent="0.25">
      <c r="A5800" t="s">
        <v>5803</v>
      </c>
      <c r="B5800">
        <v>0.99930955844802105</v>
      </c>
      <c r="C5800">
        <v>0.96504541276357902</v>
      </c>
      <c r="D5800">
        <v>1.00172010389182</v>
      </c>
      <c r="E5800">
        <v>0.82926758488390895</v>
      </c>
      <c r="F5800">
        <v>1.07896104269841</v>
      </c>
      <c r="G5800">
        <v>0.59816343807671002</v>
      </c>
      <c r="H5800">
        <v>0.36273346875782803</v>
      </c>
      <c r="I5800">
        <v>0.27978487849638101</v>
      </c>
      <c r="J5800">
        <v>0.21096982062144701</v>
      </c>
      <c r="K5800">
        <v>8.3293798872427105E-2</v>
      </c>
      <c r="L5800">
        <v>1335.31157756631</v>
      </c>
      <c r="M5800">
        <v>22.947378118222598</v>
      </c>
      <c r="N5800">
        <v>58.994838447933397</v>
      </c>
      <c r="O5800">
        <v>57.753653652891899</v>
      </c>
      <c r="P5800">
        <v>-8.5986706559374695E-2</v>
      </c>
      <c r="Q5800">
        <v>0.13437559757368001</v>
      </c>
      <c r="R5800">
        <v>0.95086593281444798</v>
      </c>
      <c r="S5800" t="s">
        <v>12416</v>
      </c>
      <c r="T5800" t="s">
        <v>13232</v>
      </c>
      <c r="U5800" t="s">
        <v>13232</v>
      </c>
      <c r="V5800" t="s">
        <v>13232</v>
      </c>
      <c r="W5800" t="s">
        <v>18960</v>
      </c>
      <c r="X5800">
        <v>8</v>
      </c>
      <c r="Y5800" t="s">
        <v>25347</v>
      </c>
      <c r="Z5800" t="s">
        <v>31931</v>
      </c>
      <c r="AA5800">
        <v>0.66756216928369194</v>
      </c>
      <c r="AB5800" t="str">
        <f>HYPERLINK("Melting_Curves/meltCurve_Q9NQL2_RRAGD.pdf", "Melting_Curves/meltCurve_Q9NQL2_RRAGD.pdf")</f>
        <v>Melting_Curves/meltCurve_Q9NQL2_RRAGD.pdf</v>
      </c>
    </row>
    <row r="5801" spans="1:28" x14ac:dyDescent="0.25">
      <c r="A5801" t="s">
        <v>5804</v>
      </c>
      <c r="B5801">
        <v>0.99930955844802105</v>
      </c>
      <c r="C5801">
        <v>0.87911691893394095</v>
      </c>
      <c r="D5801">
        <v>0.82334397476263099</v>
      </c>
      <c r="E5801">
        <v>0.86486841212435295</v>
      </c>
      <c r="F5801">
        <v>0.82461182340554795</v>
      </c>
      <c r="G5801">
        <v>0.76162339068302498</v>
      </c>
      <c r="H5801">
        <v>0.67938604879526798</v>
      </c>
      <c r="I5801">
        <v>0.78605580783329299</v>
      </c>
      <c r="J5801">
        <v>0.72559537586322997</v>
      </c>
      <c r="K5801">
        <v>0.62667744140511294</v>
      </c>
      <c r="L5801">
        <v>235.724693354858</v>
      </c>
      <c r="M5801">
        <v>3.96407305773644</v>
      </c>
      <c r="O5801">
        <v>48.677951747279202</v>
      </c>
      <c r="P5801">
        <v>-1.03808486162353E-2</v>
      </c>
      <c r="Q5801">
        <v>0.49676010076198301</v>
      </c>
      <c r="R5801">
        <v>0.79504204629401098</v>
      </c>
      <c r="S5801" t="s">
        <v>12417</v>
      </c>
      <c r="T5801" t="s">
        <v>13232</v>
      </c>
      <c r="U5801" t="s">
        <v>13232</v>
      </c>
      <c r="V5801" t="s">
        <v>13232</v>
      </c>
      <c r="W5801" t="s">
        <v>18961</v>
      </c>
      <c r="X5801">
        <v>6</v>
      </c>
      <c r="Y5801" t="s">
        <v>25348</v>
      </c>
      <c r="Z5801" t="s">
        <v>31932</v>
      </c>
      <c r="AA5801">
        <v>0.79534864583243858</v>
      </c>
      <c r="AB5801" t="str">
        <f>HYPERLINK("Melting_Curves/meltCurve_Q9NQP4_PFDN4.pdf", "Melting_Curves/meltCurve_Q9NQP4_PFDN4.pdf")</f>
        <v>Melting_Curves/meltCurve_Q9NQP4_PFDN4.pdf</v>
      </c>
    </row>
    <row r="5802" spans="1:28" x14ac:dyDescent="0.25">
      <c r="A5802" t="s">
        <v>5805</v>
      </c>
      <c r="B5802">
        <v>0.99930955844802105</v>
      </c>
      <c r="C5802">
        <v>1.0272047447055701</v>
      </c>
      <c r="D5802">
        <v>1.0590884398586999</v>
      </c>
      <c r="E5802">
        <v>1.0674479588727901</v>
      </c>
      <c r="F5802">
        <v>1.0099347743960501</v>
      </c>
      <c r="G5802">
        <v>0.96820185713310203</v>
      </c>
      <c r="H5802">
        <v>0.94711685189316497</v>
      </c>
      <c r="I5802">
        <v>1.1308703643901601</v>
      </c>
      <c r="J5802">
        <v>1.0655917307648799</v>
      </c>
      <c r="K5802">
        <v>0.84163011086611095</v>
      </c>
      <c r="L5802">
        <v>15000</v>
      </c>
      <c r="M5802">
        <v>212.61525972880099</v>
      </c>
      <c r="Q5802">
        <v>0</v>
      </c>
      <c r="R5802">
        <v>0.410152205490801</v>
      </c>
      <c r="S5802" t="s">
        <v>12418</v>
      </c>
      <c r="T5802" t="s">
        <v>13232</v>
      </c>
      <c r="U5802" t="s">
        <v>13232</v>
      </c>
      <c r="V5802" t="s">
        <v>13232</v>
      </c>
      <c r="W5802" t="s">
        <v>18962</v>
      </c>
      <c r="X5802">
        <v>1</v>
      </c>
      <c r="Y5802" t="s">
        <v>25349</v>
      </c>
      <c r="Z5802" t="s">
        <v>31933</v>
      </c>
      <c r="AA5802">
        <v>0.9981407119393565</v>
      </c>
      <c r="AB5802" t="str">
        <f>HYPERLINK("Melting_Curves/meltCurve_Q9NQR1_2_SETD8.pdf", "Melting_Curves/meltCurve_Q9NQR1_2_SETD8.pdf")</f>
        <v>Melting_Curves/meltCurve_Q9NQR1_2_SETD8.pdf</v>
      </c>
    </row>
    <row r="5803" spans="1:28" x14ac:dyDescent="0.25">
      <c r="A5803" t="s">
        <v>5806</v>
      </c>
      <c r="B5803">
        <v>0.99930955844802105</v>
      </c>
      <c r="C5803">
        <v>1.0098385370267899</v>
      </c>
      <c r="D5803">
        <v>1.0127150983948101</v>
      </c>
      <c r="E5803">
        <v>0.93190136361444598</v>
      </c>
      <c r="F5803">
        <v>0.670604306797002</v>
      </c>
      <c r="G5803">
        <v>0.25694744918380802</v>
      </c>
      <c r="H5803">
        <v>0.100750340195656</v>
      </c>
      <c r="I5803">
        <v>7.70452601114823E-2</v>
      </c>
      <c r="J5803">
        <v>6.5494817159494595E-2</v>
      </c>
      <c r="K5803">
        <v>4.7387770539953897E-2</v>
      </c>
      <c r="L5803">
        <v>1517.3828901326999</v>
      </c>
      <c r="M5803">
        <v>27.9685340734984</v>
      </c>
      <c r="N5803">
        <v>54.493530749068</v>
      </c>
      <c r="O5803">
        <v>53.978108796123301</v>
      </c>
      <c r="P5803">
        <v>-0.122021908132959</v>
      </c>
      <c r="Q5803">
        <v>5.80188699089383E-2</v>
      </c>
      <c r="R5803">
        <v>0.999492085016918</v>
      </c>
      <c r="S5803" t="s">
        <v>12419</v>
      </c>
      <c r="T5803" t="s">
        <v>13232</v>
      </c>
      <c r="U5803" t="s">
        <v>13232</v>
      </c>
      <c r="V5803" t="s">
        <v>13232</v>
      </c>
      <c r="W5803" t="s">
        <v>18963</v>
      </c>
      <c r="X5803">
        <v>18</v>
      </c>
      <c r="Y5803" t="s">
        <v>25350</v>
      </c>
      <c r="Z5803" t="s">
        <v>31934</v>
      </c>
      <c r="AA5803">
        <v>0.51265096263446575</v>
      </c>
      <c r="AB5803" t="str">
        <f>HYPERLINK("Melting_Curves/meltCurve_Q9NQR4_NIT2.pdf", "Melting_Curves/meltCurve_Q9NQR4_NIT2.pdf")</f>
        <v>Melting_Curves/meltCurve_Q9NQR4_NIT2.pdf</v>
      </c>
    </row>
    <row r="5804" spans="1:28" x14ac:dyDescent="0.25">
      <c r="A5804" t="s">
        <v>5807</v>
      </c>
      <c r="B5804">
        <v>0.99930955844802105</v>
      </c>
      <c r="C5804">
        <v>1.2875998832283599</v>
      </c>
      <c r="D5804">
        <v>1.25175826680369</v>
      </c>
      <c r="E5804">
        <v>1.30211930506663</v>
      </c>
      <c r="F5804">
        <v>1.2942462136309301</v>
      </c>
      <c r="G5804">
        <v>1.02926701817266</v>
      </c>
      <c r="H5804">
        <v>0.785780869699513</v>
      </c>
      <c r="I5804">
        <v>0.50885779440446099</v>
      </c>
      <c r="J5804">
        <v>0.43959465777421403</v>
      </c>
      <c r="K5804">
        <v>0.35977360462208802</v>
      </c>
      <c r="L5804">
        <v>2741.0656486156699</v>
      </c>
      <c r="M5804">
        <v>44.239309290326403</v>
      </c>
      <c r="N5804">
        <v>64.107242797843696</v>
      </c>
      <c r="O5804">
        <v>61.833751835920502</v>
      </c>
      <c r="P5804">
        <v>-0.109753469990429</v>
      </c>
      <c r="Q5804">
        <v>0.38638650891474302</v>
      </c>
      <c r="R5804">
        <v>0.74393044350795501</v>
      </c>
      <c r="S5804" t="s">
        <v>12420</v>
      </c>
      <c r="T5804" t="s">
        <v>13232</v>
      </c>
      <c r="U5804" t="s">
        <v>13232</v>
      </c>
      <c r="V5804" t="s">
        <v>13232</v>
      </c>
      <c r="W5804" t="s">
        <v>18964</v>
      </c>
      <c r="X5804">
        <v>6</v>
      </c>
      <c r="Y5804" t="s">
        <v>25351</v>
      </c>
      <c r="Z5804" t="s">
        <v>31935</v>
      </c>
      <c r="AA5804">
        <v>0.83745727931376301</v>
      </c>
      <c r="AB5804" t="str">
        <f>HYPERLINK("Melting_Curves/meltCurve_Q9NQS1_AVEN.pdf", "Melting_Curves/meltCurve_Q9NQS1_AVEN.pdf")</f>
        <v>Melting_Curves/meltCurve_Q9NQS1_AVEN.pdf</v>
      </c>
    </row>
    <row r="5805" spans="1:28" x14ac:dyDescent="0.25">
      <c r="A5805" t="s">
        <v>5808</v>
      </c>
      <c r="B5805">
        <v>0.99930955844802105</v>
      </c>
      <c r="C5805">
        <v>1.05249706385941</v>
      </c>
      <c r="D5805">
        <v>1.0814326918038599</v>
      </c>
      <c r="E5805">
        <v>1.0065689465118499</v>
      </c>
      <c r="F5805">
        <v>0.91146810321796801</v>
      </c>
      <c r="G5805">
        <v>0.88891756516699705</v>
      </c>
      <c r="H5805">
        <v>1.0783252983743099</v>
      </c>
      <c r="I5805">
        <v>1.3478186670427299</v>
      </c>
      <c r="J5805">
        <v>1.80416506735083</v>
      </c>
      <c r="K5805">
        <v>1.23059255413727</v>
      </c>
      <c r="L5805">
        <v>4819.3583707929702</v>
      </c>
      <c r="M5805">
        <v>76.459737544611798</v>
      </c>
      <c r="O5805">
        <v>62.988244512242801</v>
      </c>
      <c r="P5805">
        <v>0.15173416520813099</v>
      </c>
      <c r="Q5805">
        <v>1.5</v>
      </c>
      <c r="R5805">
        <v>0.69602239045677805</v>
      </c>
      <c r="S5805" t="s">
        <v>12421</v>
      </c>
      <c r="T5805" t="s">
        <v>13232</v>
      </c>
      <c r="U5805" t="s">
        <v>13232</v>
      </c>
      <c r="V5805" t="s">
        <v>13232</v>
      </c>
      <c r="W5805" t="s">
        <v>18965</v>
      </c>
      <c r="X5805">
        <v>15</v>
      </c>
      <c r="Y5805" t="s">
        <v>25352</v>
      </c>
      <c r="Z5805" t="s">
        <v>31936</v>
      </c>
      <c r="AA5805">
        <v>1.115560677409166</v>
      </c>
      <c r="AB5805" t="str">
        <f>HYPERLINK("Melting_Curves/meltCurve_Q9NQS7_2_INCENP.pdf", "Melting_Curves/meltCurve_Q9NQS7_2_INCENP.pdf")</f>
        <v>Melting_Curves/meltCurve_Q9NQS7_2_INCENP.pdf</v>
      </c>
    </row>
    <row r="5806" spans="1:28" x14ac:dyDescent="0.25">
      <c r="A5806" t="s">
        <v>5809</v>
      </c>
      <c r="B5806">
        <v>0.99930955844802105</v>
      </c>
      <c r="C5806">
        <v>0.78617719956799903</v>
      </c>
      <c r="D5806">
        <v>0.84244160865176898</v>
      </c>
      <c r="E5806">
        <v>0.892869707529237</v>
      </c>
      <c r="F5806">
        <v>0.61546436871703503</v>
      </c>
      <c r="G5806">
        <v>0.226076927289944</v>
      </c>
      <c r="H5806">
        <v>0.113865022153817</v>
      </c>
      <c r="I5806">
        <v>8.2725079227864595E-2</v>
      </c>
      <c r="J5806">
        <v>7.2473642595492202E-2</v>
      </c>
      <c r="K5806">
        <v>5.2665290050298401E-2</v>
      </c>
      <c r="L5806">
        <v>1218.4510028125301</v>
      </c>
      <c r="M5806">
        <v>22.6639055333019</v>
      </c>
      <c r="N5806">
        <v>54.0193987597535</v>
      </c>
      <c r="O5806">
        <v>53.348432885445597</v>
      </c>
      <c r="P5806">
        <v>-0.100768174192316</v>
      </c>
      <c r="Q5806">
        <v>5.1228413554905303E-2</v>
      </c>
      <c r="R5806">
        <v>0.95238883257715901</v>
      </c>
      <c r="S5806" t="s">
        <v>12422</v>
      </c>
      <c r="T5806" t="s">
        <v>13232</v>
      </c>
      <c r="U5806" t="s">
        <v>13232</v>
      </c>
      <c r="V5806" t="s">
        <v>13232</v>
      </c>
      <c r="W5806" t="s">
        <v>18966</v>
      </c>
      <c r="X5806">
        <v>6</v>
      </c>
      <c r="Y5806" t="s">
        <v>25353</v>
      </c>
      <c r="Z5806" t="s">
        <v>31937</v>
      </c>
      <c r="AA5806">
        <v>0.49691819415795618</v>
      </c>
      <c r="AB5806" t="str">
        <f>HYPERLINK("Melting_Curves/meltCurve_Q9NQT4_EXOSC5.pdf", "Melting_Curves/meltCurve_Q9NQT4_EXOSC5.pdf")</f>
        <v>Melting_Curves/meltCurve_Q9NQT4_EXOSC5.pdf</v>
      </c>
    </row>
    <row r="5807" spans="1:28" x14ac:dyDescent="0.25">
      <c r="A5807" t="s">
        <v>5810</v>
      </c>
      <c r="B5807">
        <v>0.99930955844802105</v>
      </c>
      <c r="C5807">
        <v>0.81117630642925198</v>
      </c>
      <c r="D5807">
        <v>0.78514522853658997</v>
      </c>
      <c r="E5807">
        <v>0.51964732418728798</v>
      </c>
      <c r="F5807">
        <v>0.24435162365840599</v>
      </c>
      <c r="G5807">
        <v>0.16597880621810701</v>
      </c>
      <c r="H5807">
        <v>9.9765604872528599E-2</v>
      </c>
      <c r="I5807">
        <v>9.3036263730829197E-2</v>
      </c>
      <c r="J5807">
        <v>8.0767621462785905E-2</v>
      </c>
      <c r="K5807">
        <v>6.2650442302864401E-2</v>
      </c>
      <c r="L5807">
        <v>715.69737033169804</v>
      </c>
      <c r="M5807">
        <v>14.5297650335797</v>
      </c>
      <c r="N5807">
        <v>49.619099546226401</v>
      </c>
      <c r="O5807">
        <v>48.352481565951798</v>
      </c>
      <c r="P5807">
        <v>-7.1356675885008505E-2</v>
      </c>
      <c r="Q5807">
        <v>5.0259232188826802E-2</v>
      </c>
      <c r="R5807">
        <v>0.98644857138545805</v>
      </c>
      <c r="S5807" t="s">
        <v>12423</v>
      </c>
      <c r="T5807" t="s">
        <v>13232</v>
      </c>
      <c r="U5807" t="s">
        <v>13232</v>
      </c>
      <c r="V5807" t="s">
        <v>13232</v>
      </c>
      <c r="W5807" t="s">
        <v>18967</v>
      </c>
      <c r="X5807">
        <v>11</v>
      </c>
      <c r="Y5807" t="s">
        <v>25354</v>
      </c>
      <c r="Z5807" t="s">
        <v>31938</v>
      </c>
      <c r="AA5807">
        <v>0.36795183652189167</v>
      </c>
      <c r="AB5807" t="str">
        <f>HYPERLINK("Melting_Curves/meltCurve_Q9NQT5_EXOSC3.pdf", "Melting_Curves/meltCurve_Q9NQT5_EXOSC3.pdf")</f>
        <v>Melting_Curves/meltCurve_Q9NQT5_EXOSC3.pdf</v>
      </c>
    </row>
    <row r="5808" spans="1:28" x14ac:dyDescent="0.25">
      <c r="A5808" t="s">
        <v>5811</v>
      </c>
      <c r="B5808">
        <v>0.99930955844802105</v>
      </c>
      <c r="C5808">
        <v>0.88352884892873895</v>
      </c>
      <c r="D5808">
        <v>0.58783802401827101</v>
      </c>
      <c r="E5808">
        <v>0.45376804948809302</v>
      </c>
      <c r="F5808">
        <v>0.34157198622048002</v>
      </c>
      <c r="G5808">
        <v>0.25717778047253997</v>
      </c>
      <c r="H5808">
        <v>0.191401896804755</v>
      </c>
      <c r="I5808">
        <v>0.19040909688058799</v>
      </c>
      <c r="J5808">
        <v>0.16824864076527499</v>
      </c>
      <c r="K5808">
        <v>0.143697826908395</v>
      </c>
      <c r="L5808">
        <v>662.868259600035</v>
      </c>
      <c r="M5808">
        <v>13.9872966789851</v>
      </c>
      <c r="N5808">
        <v>48.755279360327599</v>
      </c>
      <c r="O5808">
        <v>46.453597022705601</v>
      </c>
      <c r="P5808">
        <v>-6.3091679765708703E-2</v>
      </c>
      <c r="Q5808">
        <v>0.16196932271276501</v>
      </c>
      <c r="R5808">
        <v>0.98380025096790302</v>
      </c>
      <c r="S5808" t="s">
        <v>12424</v>
      </c>
      <c r="T5808" t="s">
        <v>13232</v>
      </c>
      <c r="U5808" t="s">
        <v>13232</v>
      </c>
      <c r="V5808" t="s">
        <v>13232</v>
      </c>
      <c r="W5808" t="s">
        <v>18968</v>
      </c>
      <c r="X5808">
        <v>27</v>
      </c>
      <c r="Y5808" t="s">
        <v>25355</v>
      </c>
      <c r="Z5808" t="s">
        <v>31939</v>
      </c>
      <c r="AA5808">
        <v>0.39401364796550259</v>
      </c>
      <c r="AB5808" t="str">
        <f>HYPERLINK("Melting_Curves/meltCurve_Q9NQT8_KIF13B.pdf", "Melting_Curves/meltCurve_Q9NQT8_KIF13B.pdf")</f>
        <v>Melting_Curves/meltCurve_Q9NQT8_KIF13B.pdf</v>
      </c>
    </row>
    <row r="5809" spans="1:28" x14ac:dyDescent="0.25">
      <c r="A5809" t="s">
        <v>5812</v>
      </c>
      <c r="B5809">
        <v>0.99930955844802105</v>
      </c>
      <c r="C5809">
        <v>0.90101159891012395</v>
      </c>
      <c r="D5809">
        <v>0.83708608931871897</v>
      </c>
      <c r="E5809">
        <v>0.53207249891340602</v>
      </c>
      <c r="F5809">
        <v>0.36300902665492601</v>
      </c>
      <c r="G5809">
        <v>0.294219061448101</v>
      </c>
      <c r="H5809">
        <v>0.25055198642175502</v>
      </c>
      <c r="I5809">
        <v>0.224110209619378</v>
      </c>
      <c r="J5809">
        <v>0.28154583938740102</v>
      </c>
      <c r="K5809">
        <v>0.20443741205233301</v>
      </c>
      <c r="L5809">
        <v>899.67396210884397</v>
      </c>
      <c r="M5809">
        <v>18.427285255135999</v>
      </c>
      <c r="N5809">
        <v>50.527004642315802</v>
      </c>
      <c r="O5809">
        <v>48.258842534909803</v>
      </c>
      <c r="P5809">
        <v>-7.3371887040008105E-2</v>
      </c>
      <c r="Q5809">
        <v>0.23142598734077499</v>
      </c>
      <c r="R5809">
        <v>0.99283007952503999</v>
      </c>
      <c r="S5809" t="s">
        <v>12425</v>
      </c>
      <c r="T5809" t="s">
        <v>13232</v>
      </c>
      <c r="U5809" t="s">
        <v>13232</v>
      </c>
      <c r="V5809" t="s">
        <v>13232</v>
      </c>
      <c r="W5809" t="s">
        <v>18969</v>
      </c>
      <c r="X5809">
        <v>4</v>
      </c>
      <c r="Y5809" t="s">
        <v>25356</v>
      </c>
      <c r="Z5809" t="s">
        <v>31940</v>
      </c>
      <c r="AA5809">
        <v>0.47020326754989311</v>
      </c>
      <c r="AB5809" t="str">
        <f>HYPERLINK("Melting_Curves/meltCurve_Q9NQV6_2_PRDM10.pdf", "Melting_Curves/meltCurve_Q9NQV6_2_PRDM10.pdf")</f>
        <v>Melting_Curves/meltCurve_Q9NQV6_2_PRDM10.pdf</v>
      </c>
    </row>
    <row r="5810" spans="1:28" x14ac:dyDescent="0.25">
      <c r="A5810" t="s">
        <v>5813</v>
      </c>
      <c r="B5810">
        <v>0.99930955844802105</v>
      </c>
      <c r="C5810">
        <v>1.11801762975856</v>
      </c>
      <c r="D5810">
        <v>1.0886932379289</v>
      </c>
      <c r="E5810">
        <v>0.98594166675531902</v>
      </c>
      <c r="F5810">
        <v>0.86608008738462505</v>
      </c>
      <c r="G5810">
        <v>0.83826562102433599</v>
      </c>
      <c r="H5810">
        <v>0.85792444679697899</v>
      </c>
      <c r="I5810">
        <v>0.97627998267614602</v>
      </c>
      <c r="J5810">
        <v>0.95923757777290897</v>
      </c>
      <c r="K5810">
        <v>0.78955514721206099</v>
      </c>
      <c r="L5810">
        <v>12600.400123651099</v>
      </c>
      <c r="M5810">
        <v>250</v>
      </c>
      <c r="O5810">
        <v>50.398398784957799</v>
      </c>
      <c r="P5810">
        <v>-0.147296736037658</v>
      </c>
      <c r="Q5810">
        <v>0.881223741206827</v>
      </c>
      <c r="R5810">
        <v>0.54634381767162898</v>
      </c>
      <c r="S5810" t="s">
        <v>12426</v>
      </c>
      <c r="T5810" t="s">
        <v>13232</v>
      </c>
      <c r="U5810" t="s">
        <v>13232</v>
      </c>
      <c r="V5810" t="s">
        <v>13232</v>
      </c>
      <c r="W5810" t="s">
        <v>18970</v>
      </c>
      <c r="X5810">
        <v>21</v>
      </c>
      <c r="Y5810" t="s">
        <v>25357</v>
      </c>
      <c r="Z5810" t="s">
        <v>31941</v>
      </c>
      <c r="AA5810">
        <v>0.92241635385193688</v>
      </c>
      <c r="AB5810" t="str">
        <f>HYPERLINK("Melting_Curves/meltCurve_Q9NQW6_ANLN.pdf", "Melting_Curves/meltCurve_Q9NQW6_ANLN.pdf")</f>
        <v>Melting_Curves/meltCurve_Q9NQW6_ANLN.pdf</v>
      </c>
    </row>
    <row r="5811" spans="1:28" x14ac:dyDescent="0.25">
      <c r="A5811" t="s">
        <v>5814</v>
      </c>
      <c r="B5811">
        <v>0.99930955844802105</v>
      </c>
      <c r="C5811">
        <v>0.94591748362976602</v>
      </c>
      <c r="D5811">
        <v>0.85155831264177495</v>
      </c>
      <c r="E5811">
        <v>0.60717217576413596</v>
      </c>
      <c r="F5811">
        <v>0.24843939860407199</v>
      </c>
      <c r="G5811">
        <v>0.14998874181402799</v>
      </c>
      <c r="H5811">
        <v>7.8240181709903295E-2</v>
      </c>
      <c r="I5811">
        <v>6.5994947360999895E-2</v>
      </c>
      <c r="J5811">
        <v>5.56452362163588E-2</v>
      </c>
      <c r="K5811">
        <v>4.0552011529800001E-2</v>
      </c>
      <c r="L5811">
        <v>1016.58054975325</v>
      </c>
      <c r="M5811">
        <v>20.188650007938499</v>
      </c>
      <c r="N5811">
        <v>50.602638046672801</v>
      </c>
      <c r="O5811">
        <v>49.867822159458001</v>
      </c>
      <c r="P5811">
        <v>-9.6436058720569706E-2</v>
      </c>
      <c r="Q5811">
        <v>4.7206144245303901E-2</v>
      </c>
      <c r="R5811">
        <v>0.99500356103532805</v>
      </c>
      <c r="S5811" t="s">
        <v>12427</v>
      </c>
      <c r="T5811" t="s">
        <v>13232</v>
      </c>
      <c r="U5811" t="s">
        <v>13232</v>
      </c>
      <c r="V5811" t="s">
        <v>13232</v>
      </c>
      <c r="W5811" t="s">
        <v>18971</v>
      </c>
      <c r="X5811">
        <v>31</v>
      </c>
      <c r="Y5811" t="s">
        <v>25358</v>
      </c>
      <c r="Z5811" t="s">
        <v>31942</v>
      </c>
      <c r="AA5811">
        <v>0.38906020413056258</v>
      </c>
      <c r="AB5811" t="str">
        <f>HYPERLINK("Melting_Curves/meltCurve_Q9NQW7_3_XPNPEP1.pdf", "Melting_Curves/meltCurve_Q9NQW7_3_XPNPEP1.pdf")</f>
        <v>Melting_Curves/meltCurve_Q9NQW7_3_XPNPEP1.pdf</v>
      </c>
    </row>
    <row r="5812" spans="1:28" x14ac:dyDescent="0.25">
      <c r="A5812" t="s">
        <v>5815</v>
      </c>
      <c r="B5812">
        <v>0.99930955844802105</v>
      </c>
      <c r="C5812">
        <v>1.0663900696330799</v>
      </c>
      <c r="D5812">
        <v>1.05137497464755</v>
      </c>
      <c r="E5812">
        <v>1.0224984710645699</v>
      </c>
      <c r="F5812">
        <v>1.031577879903</v>
      </c>
      <c r="G5812">
        <v>0.85766549153576999</v>
      </c>
      <c r="H5812">
        <v>0.55674725458047702</v>
      </c>
      <c r="I5812">
        <v>0.28690144292312397</v>
      </c>
      <c r="J5812">
        <v>0.202643192904229</v>
      </c>
      <c r="K5812">
        <v>0.15495395743213899</v>
      </c>
      <c r="L5812">
        <v>1703.46975339387</v>
      </c>
      <c r="M5812">
        <v>28.049297653333198</v>
      </c>
      <c r="N5812">
        <v>61.424948570030097</v>
      </c>
      <c r="O5812">
        <v>60.425082317786298</v>
      </c>
      <c r="P5812">
        <v>-0.100297309427168</v>
      </c>
      <c r="Q5812">
        <v>0.13574677928600801</v>
      </c>
      <c r="R5812">
        <v>0.99174697375762999</v>
      </c>
      <c r="S5812" t="s">
        <v>12428</v>
      </c>
      <c r="T5812" t="s">
        <v>13232</v>
      </c>
      <c r="U5812" t="s">
        <v>13232</v>
      </c>
      <c r="V5812" t="s">
        <v>13232</v>
      </c>
      <c r="W5812" t="s">
        <v>18972</v>
      </c>
      <c r="X5812">
        <v>23</v>
      </c>
      <c r="Y5812" t="s">
        <v>25359</v>
      </c>
      <c r="Z5812" t="s">
        <v>31943</v>
      </c>
      <c r="AA5812">
        <v>0.73824677708806374</v>
      </c>
      <c r="AB5812" t="str">
        <f>HYPERLINK("Melting_Curves/meltCurve_Q9NQX3_GPHN.pdf", "Melting_Curves/meltCurve_Q9NQX3_GPHN.pdf")</f>
        <v>Melting_Curves/meltCurve_Q9NQX3_GPHN.pdf</v>
      </c>
    </row>
    <row r="5813" spans="1:28" x14ac:dyDescent="0.25">
      <c r="A5813" t="s">
        <v>5816</v>
      </c>
      <c r="B5813">
        <v>0.99930955844802105</v>
      </c>
      <c r="C5813">
        <v>0.90318264365699497</v>
      </c>
      <c r="D5813">
        <v>0.92759783146728203</v>
      </c>
      <c r="E5813">
        <v>0.99149473596363003</v>
      </c>
      <c r="F5813">
        <v>1.0877424562203499</v>
      </c>
      <c r="G5813">
        <v>0.92638916140556904</v>
      </c>
      <c r="H5813">
        <v>0.48974479861027898</v>
      </c>
      <c r="I5813">
        <v>0.41140207188739403</v>
      </c>
      <c r="J5813">
        <v>0.37139782248026798</v>
      </c>
      <c r="K5813">
        <v>0.24133306517193601</v>
      </c>
      <c r="L5813">
        <v>2512.08957043288</v>
      </c>
      <c r="M5813">
        <v>42.113561086145999</v>
      </c>
      <c r="N5813">
        <v>61.137917069556501</v>
      </c>
      <c r="O5813">
        <v>59.516337732577902</v>
      </c>
      <c r="P5813">
        <v>-0.120195595482186</v>
      </c>
      <c r="Q5813">
        <v>0.320542844078053</v>
      </c>
      <c r="R5813">
        <v>0.96123596232479702</v>
      </c>
      <c r="S5813" t="s">
        <v>12429</v>
      </c>
      <c r="T5813" t="s">
        <v>13232</v>
      </c>
      <c r="U5813" t="s">
        <v>13232</v>
      </c>
      <c r="V5813" t="s">
        <v>13232</v>
      </c>
      <c r="W5813" t="s">
        <v>18973</v>
      </c>
      <c r="X5813">
        <v>6</v>
      </c>
      <c r="Y5813" t="s">
        <v>25360</v>
      </c>
      <c r="Z5813" t="s">
        <v>31944</v>
      </c>
      <c r="AA5813">
        <v>0.76802907978230295</v>
      </c>
      <c r="AB5813" t="str">
        <f>HYPERLINK("Melting_Curves/meltCurve_Q9NQY0_BIN3.pdf", "Melting_Curves/meltCurve_Q9NQY0_BIN3.pdf")</f>
        <v>Melting_Curves/meltCurve_Q9NQY0_BIN3.pdf</v>
      </c>
    </row>
    <row r="5814" spans="1:28" x14ac:dyDescent="0.25">
      <c r="A5814" t="s">
        <v>5817</v>
      </c>
      <c r="B5814">
        <v>0.99930955844802105</v>
      </c>
      <c r="C5814">
        <v>1.0737050323869399</v>
      </c>
      <c r="D5814">
        <v>1.0221978891210399</v>
      </c>
      <c r="E5814">
        <v>0.903922149149052</v>
      </c>
      <c r="F5814">
        <v>0.59948979782699396</v>
      </c>
      <c r="G5814">
        <v>0.43983782014407502</v>
      </c>
      <c r="H5814">
        <v>0.37048745546690798</v>
      </c>
      <c r="I5814">
        <v>0.38913129251110401</v>
      </c>
      <c r="J5814">
        <v>0.37637147533084903</v>
      </c>
      <c r="K5814">
        <v>0.29088871666423599</v>
      </c>
      <c r="L5814">
        <v>1737.27123307236</v>
      </c>
      <c r="M5814">
        <v>33.172419710092697</v>
      </c>
      <c r="N5814">
        <v>54.478194260231</v>
      </c>
      <c r="O5814">
        <v>52.181749689864297</v>
      </c>
      <c r="P5814">
        <v>-0.101489082680562</v>
      </c>
      <c r="Q5814">
        <v>0.36141496253182398</v>
      </c>
      <c r="R5814">
        <v>0.98423220422256497</v>
      </c>
      <c r="S5814" t="s">
        <v>12430</v>
      </c>
      <c r="T5814" t="s">
        <v>13232</v>
      </c>
      <c r="U5814" t="s">
        <v>13232</v>
      </c>
      <c r="V5814" t="s">
        <v>13232</v>
      </c>
      <c r="W5814" t="s">
        <v>18974</v>
      </c>
      <c r="X5814">
        <v>13</v>
      </c>
      <c r="Y5814" t="s">
        <v>25361</v>
      </c>
      <c r="Z5814" t="s">
        <v>31945</v>
      </c>
      <c r="AA5814">
        <v>0.62810629208568358</v>
      </c>
      <c r="AB5814" t="str">
        <f>HYPERLINK("Melting_Curves/meltCurve_Q9NQZ2_UTP3.pdf", "Melting_Curves/meltCurve_Q9NQZ2_UTP3.pdf")</f>
        <v>Melting_Curves/meltCurve_Q9NQZ2_UTP3.pdf</v>
      </c>
    </row>
    <row r="5815" spans="1:28" x14ac:dyDescent="0.25">
      <c r="A5815" t="s">
        <v>5818</v>
      </c>
      <c r="B5815">
        <v>0.99930955844802105</v>
      </c>
      <c r="C5815">
        <v>0.95320305176688702</v>
      </c>
      <c r="D5815">
        <v>0.88206744124511205</v>
      </c>
      <c r="E5815">
        <v>0.67677417860501499</v>
      </c>
      <c r="F5815">
        <v>0.317717335103817</v>
      </c>
      <c r="G5815">
        <v>0.140976184178257</v>
      </c>
      <c r="H5815">
        <v>0.101139546453468</v>
      </c>
      <c r="I5815">
        <v>5.72923015263802E-2</v>
      </c>
      <c r="J5815">
        <v>4.08653992472547E-2</v>
      </c>
      <c r="K5815">
        <v>3.8693059963481297E-2</v>
      </c>
      <c r="L5815">
        <v>1068.6165561673499</v>
      </c>
      <c r="M5815">
        <v>20.895532657315901</v>
      </c>
      <c r="N5815">
        <v>51.358184341975303</v>
      </c>
      <c r="O5815">
        <v>50.679423233356196</v>
      </c>
      <c r="P5815">
        <v>-9.8719337939332005E-2</v>
      </c>
      <c r="Q5815">
        <v>4.2301981170276802E-2</v>
      </c>
      <c r="R5815">
        <v>0.99601140242588104</v>
      </c>
      <c r="S5815" t="s">
        <v>12431</v>
      </c>
      <c r="T5815" t="s">
        <v>13232</v>
      </c>
      <c r="U5815" t="s">
        <v>13232</v>
      </c>
      <c r="V5815" t="s">
        <v>13232</v>
      </c>
      <c r="W5815" t="s">
        <v>18975</v>
      </c>
      <c r="X5815">
        <v>5</v>
      </c>
      <c r="Y5815" t="s">
        <v>25362</v>
      </c>
      <c r="Z5815" t="s">
        <v>31946</v>
      </c>
      <c r="AA5815">
        <v>0.41019884410475271</v>
      </c>
      <c r="AB5815" t="str">
        <f>HYPERLINK("Melting_Curves/meltCurve_Q9NQZ5_STARD7.pdf", "Melting_Curves/meltCurve_Q9NQZ5_STARD7.pdf")</f>
        <v>Melting_Curves/meltCurve_Q9NQZ5_STARD7.pdf</v>
      </c>
    </row>
    <row r="5816" spans="1:28" x14ac:dyDescent="0.25">
      <c r="A5816" t="s">
        <v>5819</v>
      </c>
      <c r="B5816">
        <v>0.99930955844802105</v>
      </c>
      <c r="C5816">
        <v>0.57499251474266599</v>
      </c>
      <c r="D5816">
        <v>0.64479713343476397</v>
      </c>
      <c r="E5816">
        <v>0.70827859199333898</v>
      </c>
      <c r="F5816">
        <v>0.36760269471978502</v>
      </c>
      <c r="G5816">
        <v>0.20871538084056299</v>
      </c>
      <c r="H5816">
        <v>0.122136872811617</v>
      </c>
      <c r="I5816">
        <v>0.102426785981618</v>
      </c>
      <c r="J5816">
        <v>7.9766436937574903E-2</v>
      </c>
      <c r="K5816">
        <v>5.6438478133806903E-2</v>
      </c>
      <c r="L5816">
        <v>428.411541595617</v>
      </c>
      <c r="M5816">
        <v>8.6013371739327003</v>
      </c>
      <c r="N5816">
        <v>49.807551219444001</v>
      </c>
      <c r="O5816">
        <v>47.334610590131199</v>
      </c>
      <c r="P5816">
        <v>-4.5467519301321098E-2</v>
      </c>
      <c r="Q5816">
        <v>0</v>
      </c>
      <c r="R5816">
        <v>0.88050785245110097</v>
      </c>
      <c r="S5816" t="s">
        <v>12432</v>
      </c>
      <c r="T5816" t="s">
        <v>13232</v>
      </c>
      <c r="U5816" t="s">
        <v>13232</v>
      </c>
      <c r="V5816" t="s">
        <v>13232</v>
      </c>
      <c r="W5816" t="s">
        <v>18976</v>
      </c>
      <c r="X5816">
        <v>43</v>
      </c>
      <c r="Y5816" t="s">
        <v>25363</v>
      </c>
      <c r="Z5816" t="s">
        <v>31947</v>
      </c>
      <c r="AA5816">
        <v>0.38278668055435833</v>
      </c>
      <c r="AB5816" t="str">
        <f>HYPERLINK("Melting_Curves/meltCurve_Q9NR09_BIRC6.pdf", "Melting_Curves/meltCurve_Q9NR09_BIRC6.pdf")</f>
        <v>Melting_Curves/meltCurve_Q9NR09_BIRC6.pdf</v>
      </c>
    </row>
    <row r="5817" spans="1:28" x14ac:dyDescent="0.25">
      <c r="A5817" t="s">
        <v>5820</v>
      </c>
      <c r="B5817">
        <v>0.99930955844802105</v>
      </c>
      <c r="C5817">
        <v>0.86465184782970395</v>
      </c>
      <c r="D5817">
        <v>0.76611803887121299</v>
      </c>
      <c r="E5817">
        <v>0.67911294693947599</v>
      </c>
      <c r="F5817">
        <v>0.54595649645004496</v>
      </c>
      <c r="G5817">
        <v>0.48124405627438899</v>
      </c>
      <c r="H5817">
        <v>0.44408116277388499</v>
      </c>
      <c r="I5817">
        <v>0.50786674436175505</v>
      </c>
      <c r="J5817">
        <v>0.54333109784931499</v>
      </c>
      <c r="K5817">
        <v>0.39932388725653101</v>
      </c>
      <c r="L5817">
        <v>637.09681375900198</v>
      </c>
      <c r="M5817">
        <v>13.446734179962901</v>
      </c>
      <c r="N5817">
        <v>57.750334794156799</v>
      </c>
      <c r="O5817">
        <v>46.368244468327703</v>
      </c>
      <c r="P5817">
        <v>-3.9496106598611802E-2</v>
      </c>
      <c r="Q5817">
        <v>0.455308209134685</v>
      </c>
      <c r="R5817">
        <v>0.94824946597520199</v>
      </c>
      <c r="S5817" t="s">
        <v>12433</v>
      </c>
      <c r="T5817" t="s">
        <v>13232</v>
      </c>
      <c r="U5817" t="s">
        <v>13232</v>
      </c>
      <c r="V5817" t="s">
        <v>13232</v>
      </c>
      <c r="W5817" t="s">
        <v>18977</v>
      </c>
      <c r="X5817">
        <v>15</v>
      </c>
      <c r="Y5817" t="s">
        <v>25364</v>
      </c>
      <c r="Z5817" t="s">
        <v>31948</v>
      </c>
      <c r="AA5817">
        <v>0.60726343859514531</v>
      </c>
      <c r="AB5817" t="str">
        <f>HYPERLINK("Melting_Curves/meltCurve_Q9NR12_PDLIM7.pdf", "Melting_Curves/meltCurve_Q9NR12_PDLIM7.pdf")</f>
        <v>Melting_Curves/meltCurve_Q9NR12_PDLIM7.pdf</v>
      </c>
    </row>
    <row r="5818" spans="1:28" x14ac:dyDescent="0.25">
      <c r="A5818" t="s">
        <v>5821</v>
      </c>
      <c r="B5818">
        <v>0.99930955844802105</v>
      </c>
      <c r="C5818">
        <v>0.99724306303180899</v>
      </c>
      <c r="D5818">
        <v>0.98822171624588395</v>
      </c>
      <c r="E5818">
        <v>0.79189940124631197</v>
      </c>
      <c r="F5818">
        <v>0.23374899333152799</v>
      </c>
      <c r="G5818">
        <v>0.14971794400933</v>
      </c>
      <c r="H5818">
        <v>8.4077382499357298E-2</v>
      </c>
      <c r="I5818">
        <v>6.7455825987460097E-2</v>
      </c>
      <c r="J5818">
        <v>5.7621954328983198E-2</v>
      </c>
      <c r="K5818">
        <v>4.3428241089599001E-2</v>
      </c>
      <c r="L5818">
        <v>2412.2725128428101</v>
      </c>
      <c r="M5818">
        <v>47.037906053838</v>
      </c>
      <c r="N5818">
        <v>51.467470584110202</v>
      </c>
      <c r="O5818">
        <v>51.191169973776802</v>
      </c>
      <c r="P5818">
        <v>-0.21194994682343499</v>
      </c>
      <c r="Q5818">
        <v>7.73441310075247E-2</v>
      </c>
      <c r="R5818">
        <v>0.99658170950378899</v>
      </c>
      <c r="S5818" t="s">
        <v>12434</v>
      </c>
      <c r="T5818" t="s">
        <v>13232</v>
      </c>
      <c r="U5818" t="s">
        <v>13232</v>
      </c>
      <c r="V5818" t="s">
        <v>13232</v>
      </c>
      <c r="W5818" t="s">
        <v>18978</v>
      </c>
      <c r="X5818">
        <v>19</v>
      </c>
      <c r="Y5818" t="s">
        <v>25365</v>
      </c>
      <c r="Z5818" t="s">
        <v>31949</v>
      </c>
      <c r="AA5818">
        <v>0.42673289417258919</v>
      </c>
      <c r="AB5818" t="str">
        <f>HYPERLINK("Melting_Curves/meltCurve_Q9NR19_ACSS2.pdf", "Melting_Curves/meltCurve_Q9NR19_ACSS2.pdf")</f>
        <v>Melting_Curves/meltCurve_Q9NR19_ACSS2.pdf</v>
      </c>
    </row>
    <row r="5819" spans="1:28" x14ac:dyDescent="0.25">
      <c r="A5819" t="s">
        <v>5822</v>
      </c>
      <c r="B5819">
        <v>0.99930955844802105</v>
      </c>
      <c r="C5819">
        <v>0.86002554881248805</v>
      </c>
      <c r="D5819">
        <v>0.84551694726970095</v>
      </c>
      <c r="E5819">
        <v>0.83217284022140103</v>
      </c>
      <c r="F5819">
        <v>0.67265288334473705</v>
      </c>
      <c r="G5819">
        <v>0.48203868678870798</v>
      </c>
      <c r="H5819">
        <v>0.39406615202732398</v>
      </c>
      <c r="I5819">
        <v>0.333003850715892</v>
      </c>
      <c r="J5819">
        <v>0.238639256427464</v>
      </c>
      <c r="K5819">
        <v>0.12787594255111601</v>
      </c>
      <c r="L5819">
        <v>472.522528247183</v>
      </c>
      <c r="M5819">
        <v>8.2363903442723192</v>
      </c>
      <c r="N5819">
        <v>57.370110020833899</v>
      </c>
      <c r="O5819">
        <v>54.286181841734503</v>
      </c>
      <c r="P5819">
        <v>-3.7968888212545397E-2</v>
      </c>
      <c r="Q5819">
        <v>0</v>
      </c>
      <c r="R5819">
        <v>0.97780860334339903</v>
      </c>
      <c r="S5819" t="s">
        <v>12435</v>
      </c>
      <c r="T5819" t="s">
        <v>13232</v>
      </c>
      <c r="U5819" t="s">
        <v>13232</v>
      </c>
      <c r="V5819" t="s">
        <v>13232</v>
      </c>
      <c r="W5819" t="s">
        <v>18979</v>
      </c>
      <c r="X5819">
        <v>11</v>
      </c>
      <c r="Y5819" t="s">
        <v>25366</v>
      </c>
      <c r="Z5819" t="s">
        <v>31950</v>
      </c>
      <c r="AA5819">
        <v>0.58873190787613949</v>
      </c>
      <c r="AB5819" t="str">
        <f>HYPERLINK("Melting_Curves/meltCurve_Q9NR28_2_DIABLO.pdf", "Melting_Curves/meltCurve_Q9NR28_2_DIABLO.pdf")</f>
        <v>Melting_Curves/meltCurve_Q9NR28_2_DIABLO.pdf</v>
      </c>
    </row>
    <row r="5820" spans="1:28" x14ac:dyDescent="0.25">
      <c r="A5820" t="s">
        <v>5823</v>
      </c>
      <c r="B5820">
        <v>0.99930955844802105</v>
      </c>
      <c r="C5820">
        <v>1.0392064263177501</v>
      </c>
      <c r="D5820">
        <v>0.80576929599309</v>
      </c>
      <c r="E5820">
        <v>0.69079850143405896</v>
      </c>
      <c r="F5820">
        <v>0.50194753985419205</v>
      </c>
      <c r="G5820">
        <v>0.44032131683433101</v>
      </c>
      <c r="H5820">
        <v>0.40915988363352102</v>
      </c>
      <c r="I5820">
        <v>0.424830964983338</v>
      </c>
      <c r="J5820">
        <v>0.414466486584389</v>
      </c>
      <c r="K5820">
        <v>0.337228184597689</v>
      </c>
      <c r="L5820">
        <v>881.34612488396704</v>
      </c>
      <c r="M5820">
        <v>17.870442606222401</v>
      </c>
      <c r="N5820">
        <v>53.772771728858402</v>
      </c>
      <c r="O5820">
        <v>48.713511660142998</v>
      </c>
      <c r="P5820">
        <v>-5.6294798622185699E-2</v>
      </c>
      <c r="Q5820">
        <v>0.38620924396141298</v>
      </c>
      <c r="R5820">
        <v>0.97391867517464203</v>
      </c>
      <c r="S5820" t="s">
        <v>12436</v>
      </c>
      <c r="T5820" t="s">
        <v>13232</v>
      </c>
      <c r="U5820" t="s">
        <v>13232</v>
      </c>
      <c r="V5820" t="s">
        <v>13232</v>
      </c>
      <c r="W5820" t="s">
        <v>18980</v>
      </c>
      <c r="X5820">
        <v>47</v>
      </c>
      <c r="Y5820" t="s">
        <v>25367</v>
      </c>
      <c r="Z5820" t="s">
        <v>31951</v>
      </c>
      <c r="AA5820">
        <v>0.58758870388015649</v>
      </c>
      <c r="AB5820" t="str">
        <f>HYPERLINK("Melting_Curves/meltCurve_Q9NR30_DDX21.pdf", "Melting_Curves/meltCurve_Q9NR30_DDX21.pdf")</f>
        <v>Melting_Curves/meltCurve_Q9NR30_DDX21.pdf</v>
      </c>
    </row>
    <row r="5821" spans="1:28" x14ac:dyDescent="0.25">
      <c r="A5821" t="s">
        <v>5824</v>
      </c>
      <c r="B5821">
        <v>0.99930955844802105</v>
      </c>
      <c r="C5821">
        <v>1.0297438010948099</v>
      </c>
      <c r="D5821">
        <v>0.95362154430115198</v>
      </c>
      <c r="E5821">
        <v>0.76699465760701802</v>
      </c>
      <c r="F5821">
        <v>0.42430969384233502</v>
      </c>
      <c r="G5821">
        <v>0.19257141903684399</v>
      </c>
      <c r="H5821">
        <v>9.9310916867209498E-2</v>
      </c>
      <c r="I5821">
        <v>7.5006349550178694E-2</v>
      </c>
      <c r="J5821">
        <v>6.7816313525760799E-2</v>
      </c>
      <c r="K5821">
        <v>5.0129584701303999E-2</v>
      </c>
      <c r="L5821">
        <v>1240.6237794384399</v>
      </c>
      <c r="M5821">
        <v>23.786553448401001</v>
      </c>
      <c r="N5821">
        <v>52.455971140601399</v>
      </c>
      <c r="O5821">
        <v>51.792072005453498</v>
      </c>
      <c r="P5821">
        <v>-0.107529902628708</v>
      </c>
      <c r="Q5821">
        <v>6.3486743722042993E-2</v>
      </c>
      <c r="R5821">
        <v>0.99840767172580303</v>
      </c>
      <c r="S5821" t="s">
        <v>12437</v>
      </c>
      <c r="T5821" t="s">
        <v>13232</v>
      </c>
      <c r="U5821" t="s">
        <v>13232</v>
      </c>
      <c r="V5821" t="s">
        <v>13232</v>
      </c>
      <c r="W5821" t="s">
        <v>18981</v>
      </c>
      <c r="X5821">
        <v>9</v>
      </c>
      <c r="Y5821" t="s">
        <v>25368</v>
      </c>
      <c r="Z5821" t="s">
        <v>31952</v>
      </c>
      <c r="AA5821">
        <v>0.45239197110042872</v>
      </c>
      <c r="AB5821" t="str">
        <f>HYPERLINK("Melting_Curves/meltCurve_Q9NR31_SAR1A.pdf", "Melting_Curves/meltCurve_Q9NR31_SAR1A.pdf")</f>
        <v>Melting_Curves/meltCurve_Q9NR31_SAR1A.pdf</v>
      </c>
    </row>
    <row r="5822" spans="1:28" x14ac:dyDescent="0.25">
      <c r="A5822" t="s">
        <v>5825</v>
      </c>
      <c r="B5822">
        <v>0.99930955844802105</v>
      </c>
      <c r="C5822">
        <v>1.01097403509367</v>
      </c>
      <c r="D5822">
        <v>0.97640542780400696</v>
      </c>
      <c r="E5822">
        <v>0.83955322810458399</v>
      </c>
      <c r="F5822">
        <v>0.57400290440623303</v>
      </c>
      <c r="G5822">
        <v>0.49566616213186399</v>
      </c>
      <c r="H5822">
        <v>0.40734574616017999</v>
      </c>
      <c r="I5822">
        <v>0.35461134221399299</v>
      </c>
      <c r="J5822">
        <v>0.379873312237822</v>
      </c>
      <c r="K5822">
        <v>0.30422332472022801</v>
      </c>
      <c r="L5822">
        <v>1062.5984048303401</v>
      </c>
      <c r="M5822">
        <v>20.3432933873775</v>
      </c>
      <c r="N5822">
        <v>55.528062107660404</v>
      </c>
      <c r="O5822">
        <v>51.7364831945563</v>
      </c>
      <c r="P5822">
        <v>-6.38531820480229E-2</v>
      </c>
      <c r="Q5822">
        <v>0.350461405878494</v>
      </c>
      <c r="R5822">
        <v>0.98705335293908303</v>
      </c>
      <c r="S5822" t="s">
        <v>12438</v>
      </c>
      <c r="T5822" t="s">
        <v>13232</v>
      </c>
      <c r="U5822" t="s">
        <v>13232</v>
      </c>
      <c r="V5822" t="s">
        <v>13232</v>
      </c>
      <c r="W5822" t="s">
        <v>18982</v>
      </c>
      <c r="X5822">
        <v>3</v>
      </c>
      <c r="Y5822" t="s">
        <v>25369</v>
      </c>
      <c r="Z5822" t="s">
        <v>31953</v>
      </c>
      <c r="AA5822">
        <v>0.62404058110918414</v>
      </c>
      <c r="AB5822" t="str">
        <f>HYPERLINK("Melting_Curves/meltCurve_Q9NR33_POLE4.pdf", "Melting_Curves/meltCurve_Q9NR33_POLE4.pdf")</f>
        <v>Melting_Curves/meltCurve_Q9NR33_POLE4.pdf</v>
      </c>
    </row>
    <row r="5823" spans="1:28" x14ac:dyDescent="0.25">
      <c r="A5823" t="s">
        <v>5826</v>
      </c>
      <c r="B5823">
        <v>0.99930955844802105</v>
      </c>
      <c r="C5823">
        <v>1.05882462361262</v>
      </c>
      <c r="D5823">
        <v>1.0403485783018001</v>
      </c>
      <c r="E5823">
        <v>0.97857271016070202</v>
      </c>
      <c r="F5823">
        <v>0.52234314775888502</v>
      </c>
      <c r="G5823">
        <v>0.19507197768961099</v>
      </c>
      <c r="H5823">
        <v>0.124067880413423</v>
      </c>
      <c r="I5823">
        <v>0.10715764462915001</v>
      </c>
      <c r="J5823">
        <v>9.6499721364817104E-2</v>
      </c>
      <c r="K5823">
        <v>7.5436263000302595E-2</v>
      </c>
      <c r="L5823">
        <v>2468.6886891098102</v>
      </c>
      <c r="M5823">
        <v>46.661752988072202</v>
      </c>
      <c r="N5823">
        <v>53.194254553978297</v>
      </c>
      <c r="O5823">
        <v>52.8091451008954</v>
      </c>
      <c r="P5823">
        <v>-0.19622572668600899</v>
      </c>
      <c r="Q5823">
        <v>0.111692086958741</v>
      </c>
      <c r="R5823">
        <v>0.99389349385574699</v>
      </c>
      <c r="S5823" t="s">
        <v>12439</v>
      </c>
      <c r="T5823" t="s">
        <v>13232</v>
      </c>
      <c r="U5823" t="s">
        <v>13232</v>
      </c>
      <c r="V5823" t="s">
        <v>13232</v>
      </c>
      <c r="W5823" t="s">
        <v>18983</v>
      </c>
      <c r="X5823">
        <v>23</v>
      </c>
      <c r="Y5823" t="s">
        <v>25370</v>
      </c>
      <c r="Z5823" t="s">
        <v>31954</v>
      </c>
      <c r="AA5823">
        <v>0.49622498752935418</v>
      </c>
      <c r="AB5823" t="str">
        <f>HYPERLINK("Melting_Curves/meltCurve_Q9NR45_NANS.pdf", "Melting_Curves/meltCurve_Q9NR45_NANS.pdf")</f>
        <v>Melting_Curves/meltCurve_Q9NR45_NANS.pdf</v>
      </c>
    </row>
    <row r="5824" spans="1:28" x14ac:dyDescent="0.25">
      <c r="A5824" t="s">
        <v>5827</v>
      </c>
      <c r="B5824">
        <v>0.99930955844802105</v>
      </c>
      <c r="C5824">
        <v>1.1092123102029701</v>
      </c>
      <c r="D5824">
        <v>1.0596069920412701</v>
      </c>
      <c r="E5824">
        <v>0.80516675533510296</v>
      </c>
      <c r="F5824">
        <v>0.252384542645821</v>
      </c>
      <c r="G5824">
        <v>0.17713605391489501</v>
      </c>
      <c r="H5824">
        <v>0.11541748363894699</v>
      </c>
      <c r="I5824">
        <v>0.10717913880329</v>
      </c>
      <c r="J5824">
        <v>0.10065500914549801</v>
      </c>
      <c r="K5824">
        <v>7.6503886656714204E-2</v>
      </c>
      <c r="L5824">
        <v>2584.2300583644201</v>
      </c>
      <c r="M5824">
        <v>50.413992476612499</v>
      </c>
      <c r="N5824">
        <v>51.523550947837997</v>
      </c>
      <c r="O5824">
        <v>51.1797233014697</v>
      </c>
      <c r="P5824">
        <v>-0.218289131218111</v>
      </c>
      <c r="Q5824">
        <v>0.11358217260695599</v>
      </c>
      <c r="R5824">
        <v>0.98863151010723005</v>
      </c>
      <c r="S5824" t="s">
        <v>12440</v>
      </c>
      <c r="T5824" t="s">
        <v>13232</v>
      </c>
      <c r="U5824" t="s">
        <v>13232</v>
      </c>
      <c r="V5824" t="s">
        <v>13232</v>
      </c>
      <c r="W5824" t="s">
        <v>18984</v>
      </c>
      <c r="X5824">
        <v>16</v>
      </c>
      <c r="Y5824" t="s">
        <v>25371</v>
      </c>
      <c r="Z5824" t="s">
        <v>31955</v>
      </c>
      <c r="AA5824">
        <v>0.44826074408163441</v>
      </c>
      <c r="AB5824" t="str">
        <f>HYPERLINK("Melting_Curves/meltCurve_Q9NR46_SH3GLB2.pdf", "Melting_Curves/meltCurve_Q9NR46_SH3GLB2.pdf")</f>
        <v>Melting_Curves/meltCurve_Q9NR46_SH3GLB2.pdf</v>
      </c>
    </row>
    <row r="5825" spans="1:28" x14ac:dyDescent="0.25">
      <c r="A5825" t="s">
        <v>5828</v>
      </c>
      <c r="B5825">
        <v>0.99930955844802105</v>
      </c>
      <c r="C5825">
        <v>0.67890638856697805</v>
      </c>
      <c r="D5825">
        <v>0.59439331378632299</v>
      </c>
      <c r="E5825">
        <v>0.38973814078492902</v>
      </c>
      <c r="F5825">
        <v>0.228013813919027</v>
      </c>
      <c r="G5825">
        <v>0.151741054478545</v>
      </c>
      <c r="H5825">
        <v>8.9703431663033101E-2</v>
      </c>
      <c r="I5825">
        <v>7.3188599947291696E-2</v>
      </c>
      <c r="J5825">
        <v>6.1787288535762298E-2</v>
      </c>
      <c r="K5825">
        <v>5.1267933867237298E-2</v>
      </c>
      <c r="L5825">
        <v>557.00590048604295</v>
      </c>
      <c r="M5825">
        <v>11.814020584625</v>
      </c>
      <c r="N5825">
        <v>47.426758646401602</v>
      </c>
      <c r="O5825">
        <v>45.857847570855398</v>
      </c>
      <c r="P5825">
        <v>-6.2260495921416303E-2</v>
      </c>
      <c r="Q5825">
        <v>3.3554915978611002E-2</v>
      </c>
      <c r="R5825">
        <v>0.97870093120166002</v>
      </c>
      <c r="S5825" t="s">
        <v>12441</v>
      </c>
      <c r="T5825" t="s">
        <v>13232</v>
      </c>
      <c r="U5825" t="s">
        <v>13232</v>
      </c>
      <c r="V5825" t="s">
        <v>13232</v>
      </c>
      <c r="W5825" t="s">
        <v>18985</v>
      </c>
      <c r="X5825">
        <v>20</v>
      </c>
      <c r="Y5825" t="s">
        <v>25372</v>
      </c>
      <c r="Z5825" t="s">
        <v>31956</v>
      </c>
      <c r="AA5825">
        <v>0.30510607820175861</v>
      </c>
      <c r="AB5825" t="str">
        <f>HYPERLINK("Melting_Curves/meltCurve_Q9NR50_EIF2B3.pdf", "Melting_Curves/meltCurve_Q9NR50_EIF2B3.pdf")</f>
        <v>Melting_Curves/meltCurve_Q9NR50_EIF2B3.pdf</v>
      </c>
    </row>
    <row r="5826" spans="1:28" x14ac:dyDescent="0.25">
      <c r="A5826" t="s">
        <v>5829</v>
      </c>
      <c r="B5826">
        <v>0.99930955844802105</v>
      </c>
      <c r="C5826">
        <v>1.0027152659654199</v>
      </c>
      <c r="D5826">
        <v>0.96332163838059404</v>
      </c>
      <c r="E5826">
        <v>0.62921294427899399</v>
      </c>
      <c r="F5826">
        <v>0.33129955847424403</v>
      </c>
      <c r="G5826">
        <v>0.20330118275819001</v>
      </c>
      <c r="H5826">
        <v>9.4446389041377796E-2</v>
      </c>
      <c r="I5826">
        <v>3.1405899250988599E-2</v>
      </c>
      <c r="J5826">
        <v>1.43353255787341E-2</v>
      </c>
      <c r="K5826">
        <v>1.6382436471042702E-2</v>
      </c>
      <c r="L5826">
        <v>1044.83847481882</v>
      </c>
      <c r="M5826">
        <v>20.355862415048801</v>
      </c>
      <c r="N5826">
        <v>51.485647437185001</v>
      </c>
      <c r="O5826">
        <v>50.840954629440397</v>
      </c>
      <c r="P5826">
        <v>-9.7086204102082102E-2</v>
      </c>
      <c r="Q5826">
        <v>3.0096456477586402E-2</v>
      </c>
      <c r="R5826">
        <v>0.99428806542617498</v>
      </c>
      <c r="S5826" t="s">
        <v>12442</v>
      </c>
      <c r="T5826" t="s">
        <v>13232</v>
      </c>
      <c r="U5826" t="s">
        <v>13232</v>
      </c>
      <c r="V5826" t="s">
        <v>13232</v>
      </c>
      <c r="W5826" t="s">
        <v>18986</v>
      </c>
      <c r="X5826">
        <v>1</v>
      </c>
      <c r="Y5826" t="s">
        <v>25373</v>
      </c>
      <c r="Z5826" t="s">
        <v>31957</v>
      </c>
      <c r="AA5826">
        <v>0.40937257451291631</v>
      </c>
      <c r="AB5826" t="str">
        <f>HYPERLINK("Melting_Curves/meltCurve_Q9NR82_4_KCNQ5.pdf", "Melting_Curves/meltCurve_Q9NR82_4_KCNQ5.pdf")</f>
        <v>Melting_Curves/meltCurve_Q9NR82_4_KCNQ5.pdf</v>
      </c>
    </row>
    <row r="5827" spans="1:28" x14ac:dyDescent="0.25">
      <c r="A5827" t="s">
        <v>5830</v>
      </c>
      <c r="B5827">
        <v>0.99930955844802105</v>
      </c>
      <c r="C5827">
        <v>0.723999332916889</v>
      </c>
      <c r="D5827">
        <v>0.75676808640613802</v>
      </c>
      <c r="E5827">
        <v>0.80622629993427397</v>
      </c>
      <c r="F5827">
        <v>0.48085338063281202</v>
      </c>
      <c r="G5827">
        <v>0.16730346246906699</v>
      </c>
      <c r="H5827">
        <v>7.4742092057224901E-2</v>
      </c>
      <c r="I5827">
        <v>5.7617269161619501E-2</v>
      </c>
      <c r="J5827">
        <v>4.6140165025717897E-2</v>
      </c>
      <c r="K5827">
        <v>3.5704125458032497E-2</v>
      </c>
      <c r="L5827">
        <v>690.06442663710504</v>
      </c>
      <c r="M5827">
        <v>13.2231363726327</v>
      </c>
      <c r="N5827">
        <v>52.1861191828065</v>
      </c>
      <c r="O5827">
        <v>51.0359068305956</v>
      </c>
      <c r="P5827">
        <v>-6.4784401301738695E-2</v>
      </c>
      <c r="Q5827">
        <v>0</v>
      </c>
      <c r="R5827">
        <v>0.92479561281508005</v>
      </c>
      <c r="S5827" t="s">
        <v>12443</v>
      </c>
      <c r="T5827" t="s">
        <v>13232</v>
      </c>
      <c r="U5827" t="s">
        <v>13232</v>
      </c>
      <c r="V5827" t="s">
        <v>13232</v>
      </c>
      <c r="W5827" t="s">
        <v>18987</v>
      </c>
      <c r="X5827">
        <v>10</v>
      </c>
      <c r="Y5827" t="s">
        <v>25374</v>
      </c>
      <c r="Z5827" t="s">
        <v>31958</v>
      </c>
      <c r="AA5827">
        <v>0.43281732216570012</v>
      </c>
      <c r="AB5827" t="str">
        <f>HYPERLINK("Melting_Curves/meltCurve_Q9NRD1_FBXO6.pdf", "Melting_Curves/meltCurve_Q9NRD1_FBXO6.pdf")</f>
        <v>Melting_Curves/meltCurve_Q9NRD1_FBXO6.pdf</v>
      </c>
    </row>
    <row r="5828" spans="1:28" x14ac:dyDescent="0.25">
      <c r="A5828" t="s">
        <v>5831</v>
      </c>
      <c r="B5828">
        <v>0.99930955844802105</v>
      </c>
      <c r="C5828">
        <v>0.99514349924715295</v>
      </c>
      <c r="D5828">
        <v>0.92165972711177002</v>
      </c>
      <c r="E5828">
        <v>0.64765585949353</v>
      </c>
      <c r="F5828">
        <v>0.33306095998644297</v>
      </c>
      <c r="G5828">
        <v>0.20299690792751199</v>
      </c>
      <c r="H5828">
        <v>0.13565794058872799</v>
      </c>
      <c r="I5828">
        <v>0.112374839768368</v>
      </c>
      <c r="J5828">
        <v>0.100351697160261</v>
      </c>
      <c r="K5828">
        <v>7.1148739407233999E-2</v>
      </c>
      <c r="L5828">
        <v>1136.5429781666501</v>
      </c>
      <c r="M5828">
        <v>22.342368445664199</v>
      </c>
      <c r="N5828">
        <v>51.375826674271899</v>
      </c>
      <c r="O5828">
        <v>50.467143405445</v>
      </c>
      <c r="P5828">
        <v>-9.9741154228757303E-2</v>
      </c>
      <c r="Q5828">
        <v>9.8834047532872393E-2</v>
      </c>
      <c r="R5828">
        <v>0.99792019324952796</v>
      </c>
      <c r="S5828" t="s">
        <v>12444</v>
      </c>
      <c r="T5828" t="s">
        <v>13232</v>
      </c>
      <c r="U5828" t="s">
        <v>13232</v>
      </c>
      <c r="V5828" t="s">
        <v>13232</v>
      </c>
      <c r="W5828" t="s">
        <v>18988</v>
      </c>
      <c r="X5828">
        <v>6</v>
      </c>
      <c r="Y5828" t="s">
        <v>25375</v>
      </c>
      <c r="Z5828" t="s">
        <v>31959</v>
      </c>
      <c r="AA5828">
        <v>0.43546631045305839</v>
      </c>
      <c r="AB5828" t="str">
        <f>HYPERLINK("Melting_Curves/meltCurve_Q9NRD5_PICK1.pdf", "Melting_Curves/meltCurve_Q9NRD5_PICK1.pdf")</f>
        <v>Melting_Curves/meltCurve_Q9NRD5_PICK1.pdf</v>
      </c>
    </row>
    <row r="5829" spans="1:28" x14ac:dyDescent="0.25">
      <c r="A5829" t="s">
        <v>5832</v>
      </c>
      <c r="B5829">
        <v>0.99930955844802105</v>
      </c>
      <c r="C5829">
        <v>1.04893956480496</v>
      </c>
      <c r="D5829">
        <v>1.0460073250038699</v>
      </c>
      <c r="E5829">
        <v>1.0007411823507</v>
      </c>
      <c r="F5829">
        <v>0.81172794889627697</v>
      </c>
      <c r="G5829">
        <v>0.57254939486762402</v>
      </c>
      <c r="H5829">
        <v>0.50361816644295998</v>
      </c>
      <c r="I5829">
        <v>0.52847673311159904</v>
      </c>
      <c r="J5829">
        <v>0.49807783315118498</v>
      </c>
      <c r="K5829">
        <v>0.397259285539523</v>
      </c>
      <c r="L5829">
        <v>1727.16399745942</v>
      </c>
      <c r="M5829">
        <v>31.870482432038099</v>
      </c>
      <c r="N5829">
        <v>59.991716112797498</v>
      </c>
      <c r="O5829">
        <v>53.9811924762082</v>
      </c>
      <c r="P5829">
        <v>-7.7190661388493495E-2</v>
      </c>
      <c r="Q5829">
        <v>0.47703050122440299</v>
      </c>
      <c r="R5829">
        <v>0.97568536747867496</v>
      </c>
      <c r="S5829" t="s">
        <v>12445</v>
      </c>
      <c r="T5829" t="s">
        <v>13232</v>
      </c>
      <c r="U5829" t="s">
        <v>13232</v>
      </c>
      <c r="V5829" t="s">
        <v>13232</v>
      </c>
      <c r="W5829" t="s">
        <v>18989</v>
      </c>
      <c r="X5829">
        <v>9</v>
      </c>
      <c r="Y5829" t="s">
        <v>25376</v>
      </c>
      <c r="Z5829" t="s">
        <v>31960</v>
      </c>
      <c r="AA5829">
        <v>0.72751372557022076</v>
      </c>
      <c r="AB5829" t="str">
        <f>HYPERLINK("Melting_Curves/meltCurve_Q9NRF2_3_SH2B1.pdf", "Melting_Curves/meltCurve_Q9NRF2_3_SH2B1.pdf")</f>
        <v>Melting_Curves/meltCurve_Q9NRF2_3_SH2B1.pdf</v>
      </c>
    </row>
    <row r="5830" spans="1:28" x14ac:dyDescent="0.25">
      <c r="A5830" t="s">
        <v>5833</v>
      </c>
      <c r="B5830">
        <v>0.99930955844802105</v>
      </c>
      <c r="C5830">
        <v>0.94050845965128904</v>
      </c>
      <c r="D5830">
        <v>0.92743177425096401</v>
      </c>
      <c r="E5830">
        <v>0.87111266364905704</v>
      </c>
      <c r="F5830">
        <v>0.73045750165080103</v>
      </c>
      <c r="G5830">
        <v>0.43567772042319503</v>
      </c>
      <c r="H5830">
        <v>0.173795433698927</v>
      </c>
      <c r="I5830">
        <v>9.7181382068281696E-2</v>
      </c>
      <c r="J5830">
        <v>7.6529315132716297E-2</v>
      </c>
      <c r="K5830">
        <v>5.7401445795510798E-2</v>
      </c>
      <c r="L5830">
        <v>944.69523345393895</v>
      </c>
      <c r="M5830">
        <v>16.921539063866501</v>
      </c>
      <c r="N5830">
        <v>55.899034769553502</v>
      </c>
      <c r="O5830">
        <v>55.065778219459503</v>
      </c>
      <c r="P5830">
        <v>-7.6011618977757198E-2</v>
      </c>
      <c r="Q5830">
        <v>1.0639659120593999E-2</v>
      </c>
      <c r="R5830">
        <v>0.99523880359065398</v>
      </c>
      <c r="S5830" t="s">
        <v>12446</v>
      </c>
      <c r="T5830" t="s">
        <v>13232</v>
      </c>
      <c r="U5830" t="s">
        <v>13232</v>
      </c>
      <c r="V5830" t="s">
        <v>13232</v>
      </c>
      <c r="W5830" t="s">
        <v>18990</v>
      </c>
      <c r="X5830">
        <v>22</v>
      </c>
      <c r="Y5830" t="s">
        <v>25377</v>
      </c>
      <c r="Z5830" t="s">
        <v>31961</v>
      </c>
      <c r="AA5830">
        <v>0.5484392475610862</v>
      </c>
      <c r="AB5830" t="str">
        <f>HYPERLINK("Melting_Curves/meltCurve_Q9NRF8_CTPS2.pdf", "Melting_Curves/meltCurve_Q9NRF8_CTPS2.pdf")</f>
        <v>Melting_Curves/meltCurve_Q9NRF8_CTPS2.pdf</v>
      </c>
    </row>
    <row r="5831" spans="1:28" x14ac:dyDescent="0.25">
      <c r="A5831" t="s">
        <v>5834</v>
      </c>
      <c r="B5831">
        <v>0.99930955844802105</v>
      </c>
      <c r="C5831">
        <v>0.85313865438605696</v>
      </c>
      <c r="D5831">
        <v>0.76811751912147497</v>
      </c>
      <c r="E5831">
        <v>0.79205977395800597</v>
      </c>
      <c r="F5831">
        <v>0.47602189479850798</v>
      </c>
      <c r="G5831">
        <v>0.26323935281518102</v>
      </c>
      <c r="H5831">
        <v>0.15886485883307</v>
      </c>
      <c r="I5831">
        <v>0.14516767015585</v>
      </c>
      <c r="J5831">
        <v>0.117642388968553</v>
      </c>
      <c r="K5831">
        <v>0.10597059446776599</v>
      </c>
      <c r="L5831">
        <v>609.88049920465403</v>
      </c>
      <c r="M5831">
        <v>11.597893335170401</v>
      </c>
      <c r="N5831">
        <v>52.871324297364602</v>
      </c>
      <c r="O5831">
        <v>51.095036833351003</v>
      </c>
      <c r="P5831">
        <v>-5.5037089197263002E-2</v>
      </c>
      <c r="Q5831">
        <v>3.0393288440691901E-2</v>
      </c>
      <c r="R5831">
        <v>0.96785789927572696</v>
      </c>
      <c r="S5831" t="s">
        <v>12447</v>
      </c>
      <c r="T5831" t="s">
        <v>13232</v>
      </c>
      <c r="U5831" t="s">
        <v>13232</v>
      </c>
      <c r="V5831" t="s">
        <v>13232</v>
      </c>
      <c r="W5831" t="s">
        <v>18991</v>
      </c>
      <c r="X5831">
        <v>5</v>
      </c>
      <c r="Y5831" t="s">
        <v>25378</v>
      </c>
      <c r="Z5831" t="s">
        <v>31962</v>
      </c>
      <c r="AA5831">
        <v>0.4667988727485472</v>
      </c>
      <c r="AB5831" t="str">
        <f>HYPERLINK("Melting_Curves/meltCurve_Q9NRF9_POLE3.pdf", "Melting_Curves/meltCurve_Q9NRF9_POLE3.pdf")</f>
        <v>Melting_Curves/meltCurve_Q9NRF9_POLE3.pdf</v>
      </c>
    </row>
    <row r="5832" spans="1:28" x14ac:dyDescent="0.25">
      <c r="A5832" t="s">
        <v>5835</v>
      </c>
      <c r="B5832">
        <v>0.99930955844802105</v>
      </c>
      <c r="C5832">
        <v>0.96300035579707399</v>
      </c>
      <c r="D5832">
        <v>0.969350415375</v>
      </c>
      <c r="E5832">
        <v>0.82114759377574897</v>
      </c>
      <c r="F5832">
        <v>0.38684442580773398</v>
      </c>
      <c r="G5832">
        <v>0.14925832907717301</v>
      </c>
      <c r="H5832">
        <v>6.3762921989311397E-2</v>
      </c>
      <c r="I5832">
        <v>4.5984193218460701E-2</v>
      </c>
      <c r="J5832">
        <v>3.5336687786345897E-2</v>
      </c>
      <c r="K5832">
        <v>2.6571757562954199E-2</v>
      </c>
      <c r="L5832">
        <v>1581.2820052203499</v>
      </c>
      <c r="M5832">
        <v>30.305308313947702</v>
      </c>
      <c r="N5832">
        <v>52.338961553244602</v>
      </c>
      <c r="O5832">
        <v>51.952764755368399</v>
      </c>
      <c r="P5832">
        <v>-0.139358093041693</v>
      </c>
      <c r="Q5832">
        <v>4.4392771381326503E-2</v>
      </c>
      <c r="R5832">
        <v>0.99742425110928201</v>
      </c>
      <c r="S5832" t="s">
        <v>12448</v>
      </c>
      <c r="T5832" t="s">
        <v>13232</v>
      </c>
      <c r="U5832" t="s">
        <v>13232</v>
      </c>
      <c r="V5832" t="s">
        <v>13232</v>
      </c>
      <c r="W5832" t="s">
        <v>18992</v>
      </c>
      <c r="X5832">
        <v>3</v>
      </c>
      <c r="Y5832" t="s">
        <v>25379</v>
      </c>
      <c r="Z5832" t="s">
        <v>31963</v>
      </c>
      <c r="AA5832">
        <v>0.4383188805795149</v>
      </c>
      <c r="AB5832" t="str">
        <f>HYPERLINK("Melting_Curves/meltCurve_Q9NRG0_CHRAC1.pdf", "Melting_Curves/meltCurve_Q9NRG0_CHRAC1.pdf")</f>
        <v>Melting_Curves/meltCurve_Q9NRG0_CHRAC1.pdf</v>
      </c>
    </row>
    <row r="5833" spans="1:28" x14ac:dyDescent="0.25">
      <c r="A5833" t="s">
        <v>5836</v>
      </c>
      <c r="B5833">
        <v>0.99930955844802105</v>
      </c>
      <c r="C5833">
        <v>1.07009845898228</v>
      </c>
      <c r="D5833">
        <v>1.0226651170687899</v>
      </c>
      <c r="E5833">
        <v>0.87169938368821198</v>
      </c>
      <c r="F5833">
        <v>0.79548067143485501</v>
      </c>
      <c r="G5833">
        <v>0.63295174466980397</v>
      </c>
      <c r="H5833">
        <v>0.45453947470748601</v>
      </c>
      <c r="I5833">
        <v>0.43268554902216699</v>
      </c>
      <c r="J5833">
        <v>0.313579559943794</v>
      </c>
      <c r="K5833">
        <v>0.23716592125762501</v>
      </c>
      <c r="L5833">
        <v>695.94187084675696</v>
      </c>
      <c r="M5833">
        <v>11.9368760659227</v>
      </c>
      <c r="N5833">
        <v>60.321574411616602</v>
      </c>
      <c r="O5833">
        <v>56.737824413237703</v>
      </c>
      <c r="P5833">
        <v>-4.3943135420636402E-2</v>
      </c>
      <c r="Q5833">
        <v>0.16473102899286199</v>
      </c>
      <c r="R5833">
        <v>0.98309386593524795</v>
      </c>
      <c r="S5833" t="s">
        <v>12449</v>
      </c>
      <c r="T5833" t="s">
        <v>13232</v>
      </c>
      <c r="U5833" t="s">
        <v>13232</v>
      </c>
      <c r="V5833" t="s">
        <v>13232</v>
      </c>
      <c r="W5833" t="s">
        <v>18993</v>
      </c>
      <c r="X5833">
        <v>6</v>
      </c>
      <c r="Y5833" t="s">
        <v>25380</v>
      </c>
      <c r="Z5833" t="s">
        <v>31964</v>
      </c>
      <c r="AA5833">
        <v>0.68370642822518735</v>
      </c>
      <c r="AB5833" t="str">
        <f>HYPERLINK("Melting_Curves/meltCurve_Q9NRG1_PRTFDC1.pdf", "Melting_Curves/meltCurve_Q9NRG1_PRTFDC1.pdf")</f>
        <v>Melting_Curves/meltCurve_Q9NRG1_PRTFDC1.pdf</v>
      </c>
    </row>
    <row r="5834" spans="1:28" x14ac:dyDescent="0.25">
      <c r="A5834" t="s">
        <v>5837</v>
      </c>
      <c r="B5834">
        <v>0.99930955844802105</v>
      </c>
      <c r="C5834">
        <v>0.93774948574621297</v>
      </c>
      <c r="D5834">
        <v>0.44966297423029</v>
      </c>
      <c r="E5834">
        <v>0.28781746011334802</v>
      </c>
      <c r="F5834">
        <v>0.18608164216831899</v>
      </c>
      <c r="G5834">
        <v>0.13896626657428501</v>
      </c>
      <c r="H5834">
        <v>9.1712601227090698E-2</v>
      </c>
      <c r="I5834">
        <v>8.5784732698000493E-2</v>
      </c>
      <c r="J5834">
        <v>8.0876968955475095E-2</v>
      </c>
      <c r="K5834">
        <v>5.7781909907868002E-2</v>
      </c>
      <c r="L5834">
        <v>1106.1726193443601</v>
      </c>
      <c r="M5834">
        <v>24.1246490896885</v>
      </c>
      <c r="N5834">
        <v>46.305219168539203</v>
      </c>
      <c r="O5834">
        <v>45.540798230208999</v>
      </c>
      <c r="P5834">
        <v>-0.11851990133759201</v>
      </c>
      <c r="Q5834">
        <v>0.105079894520026</v>
      </c>
      <c r="R5834">
        <v>0.97662832187974002</v>
      </c>
      <c r="S5834" t="s">
        <v>12450</v>
      </c>
      <c r="T5834" t="s">
        <v>13232</v>
      </c>
      <c r="U5834" t="s">
        <v>13232</v>
      </c>
      <c r="V5834" t="s">
        <v>13232</v>
      </c>
      <c r="W5834" t="s">
        <v>18994</v>
      </c>
      <c r="X5834">
        <v>5</v>
      </c>
      <c r="Y5834" t="s">
        <v>25381</v>
      </c>
      <c r="Z5834" t="s">
        <v>31965</v>
      </c>
      <c r="AA5834">
        <v>0.28871402916412098</v>
      </c>
      <c r="AB5834" t="str">
        <f>HYPERLINK("Melting_Curves/meltCurve_Q9NRG4_SMYD2.pdf", "Melting_Curves/meltCurve_Q9NRG4_SMYD2.pdf")</f>
        <v>Melting_Curves/meltCurve_Q9NRG4_SMYD2.pdf</v>
      </c>
    </row>
    <row r="5835" spans="1:28" x14ac:dyDescent="0.25">
      <c r="A5835" t="s">
        <v>5838</v>
      </c>
      <c r="B5835">
        <v>0.99930955844802105</v>
      </c>
      <c r="C5835">
        <v>1.19783344195948</v>
      </c>
      <c r="D5835">
        <v>1.1558977645639099</v>
      </c>
      <c r="E5835">
        <v>1.04346849416619</v>
      </c>
      <c r="F5835">
        <v>0.92468249337767905</v>
      </c>
      <c r="G5835">
        <v>0.66195580551435296</v>
      </c>
      <c r="H5835">
        <v>0.56806294238997401</v>
      </c>
      <c r="I5835">
        <v>0.52168931775743899</v>
      </c>
      <c r="J5835">
        <v>0.47912808036392202</v>
      </c>
      <c r="K5835">
        <v>0.339316788379878</v>
      </c>
      <c r="L5835">
        <v>1250.28940552728</v>
      </c>
      <c r="M5835">
        <v>21.861131672257301</v>
      </c>
      <c r="N5835">
        <v>62.342890284341003</v>
      </c>
      <c r="O5835">
        <v>56.720236638975997</v>
      </c>
      <c r="P5835">
        <v>-5.6094191008149698E-2</v>
      </c>
      <c r="Q5835">
        <v>0.41785217191442597</v>
      </c>
      <c r="R5835">
        <v>0.900845294484382</v>
      </c>
      <c r="S5835" t="s">
        <v>12451</v>
      </c>
      <c r="T5835" t="s">
        <v>13232</v>
      </c>
      <c r="U5835" t="s">
        <v>13232</v>
      </c>
      <c r="V5835" t="s">
        <v>13232</v>
      </c>
      <c r="W5835" t="s">
        <v>18995</v>
      </c>
      <c r="X5835">
        <v>7</v>
      </c>
      <c r="Y5835" t="s">
        <v>25382</v>
      </c>
      <c r="Z5835" t="s">
        <v>31966</v>
      </c>
      <c r="AA5835">
        <v>0.75777725054733358</v>
      </c>
      <c r="AB5835" t="str">
        <f>HYPERLINK("Melting_Curves/meltCurve_Q9NRH1_YAE1D1.pdf", "Melting_Curves/meltCurve_Q9NRH1_YAE1D1.pdf")</f>
        <v>Melting_Curves/meltCurve_Q9NRH1_YAE1D1.pdf</v>
      </c>
    </row>
    <row r="5836" spans="1:28" x14ac:dyDescent="0.25">
      <c r="A5836" t="s">
        <v>5839</v>
      </c>
      <c r="B5836">
        <v>0.99930955844802105</v>
      </c>
      <c r="C5836">
        <v>0.80707278984291397</v>
      </c>
      <c r="D5836">
        <v>0.66240036488216303</v>
      </c>
      <c r="E5836">
        <v>0.42614011435668298</v>
      </c>
      <c r="F5836">
        <v>0.284093690479717</v>
      </c>
      <c r="G5836">
        <v>0.19397258362559799</v>
      </c>
      <c r="H5836">
        <v>0.115479595811997</v>
      </c>
      <c r="I5836">
        <v>9.61467653450091E-2</v>
      </c>
      <c r="J5836">
        <v>8.1020646660642098E-2</v>
      </c>
      <c r="K5836">
        <v>6.6796483942156107E-2</v>
      </c>
      <c r="L5836">
        <v>611.99444278322801</v>
      </c>
      <c r="M5836">
        <v>12.689383035006999</v>
      </c>
      <c r="N5836">
        <v>48.694498224385697</v>
      </c>
      <c r="O5836">
        <v>47.078129141737598</v>
      </c>
      <c r="P5836">
        <v>-6.3547228498508995E-2</v>
      </c>
      <c r="Q5836">
        <v>5.7131750744670501E-2</v>
      </c>
      <c r="R5836">
        <v>0.99457322044334995</v>
      </c>
      <c r="S5836" t="s">
        <v>12452</v>
      </c>
      <c r="T5836" t="s">
        <v>13232</v>
      </c>
      <c r="U5836" t="s">
        <v>13232</v>
      </c>
      <c r="V5836" t="s">
        <v>13232</v>
      </c>
      <c r="W5836" t="s">
        <v>18996</v>
      </c>
      <c r="X5836">
        <v>10</v>
      </c>
      <c r="Y5836" t="s">
        <v>25383</v>
      </c>
      <c r="Z5836" t="s">
        <v>31967</v>
      </c>
      <c r="AA5836">
        <v>0.34867070517354187</v>
      </c>
      <c r="AB5836" t="str">
        <f>HYPERLINK("Melting_Curves/meltCurve_Q9NRL2_2_BAZ1A.pdf", "Melting_Curves/meltCurve_Q9NRL2_2_BAZ1A.pdf")</f>
        <v>Melting_Curves/meltCurve_Q9NRL2_2_BAZ1A.pdf</v>
      </c>
    </row>
    <row r="5837" spans="1:28" x14ac:dyDescent="0.25">
      <c r="A5837" t="s">
        <v>5840</v>
      </c>
      <c r="B5837">
        <v>0.99930955844802105</v>
      </c>
      <c r="C5837">
        <v>1.0362043055300201</v>
      </c>
      <c r="D5837">
        <v>0.97330555814957698</v>
      </c>
      <c r="E5837">
        <v>0.80708468287034896</v>
      </c>
      <c r="F5837">
        <v>0.56237253485989602</v>
      </c>
      <c r="G5837">
        <v>0.34664207749000298</v>
      </c>
      <c r="H5837">
        <v>0.203643493119011</v>
      </c>
      <c r="I5837">
        <v>0.186960364697182</v>
      </c>
      <c r="J5837">
        <v>0.16611718028126601</v>
      </c>
      <c r="K5837">
        <v>0.1304664828622</v>
      </c>
      <c r="L5837">
        <v>1025.7520626985499</v>
      </c>
      <c r="M5837">
        <v>19.303240545090599</v>
      </c>
      <c r="N5837">
        <v>54.088712719724001</v>
      </c>
      <c r="O5837">
        <v>52.578409483630601</v>
      </c>
      <c r="P5837">
        <v>-7.8591956937300506E-2</v>
      </c>
      <c r="Q5837">
        <v>0.14375299373605899</v>
      </c>
      <c r="R5837">
        <v>0.99713150034405496</v>
      </c>
      <c r="S5837" t="s">
        <v>12453</v>
      </c>
      <c r="T5837" t="s">
        <v>13232</v>
      </c>
      <c r="U5837" t="s">
        <v>13232</v>
      </c>
      <c r="V5837" t="s">
        <v>13232</v>
      </c>
      <c r="W5837" t="s">
        <v>18997</v>
      </c>
      <c r="X5837">
        <v>18</v>
      </c>
      <c r="Y5837" t="s">
        <v>25384</v>
      </c>
      <c r="Z5837" t="s">
        <v>31968</v>
      </c>
      <c r="AA5837">
        <v>0.53123900033745231</v>
      </c>
      <c r="AB5837" t="str">
        <f>HYPERLINK("Melting_Curves/meltCurve_Q9NRL3_STRN4.pdf", "Melting_Curves/meltCurve_Q9NRL3_STRN4.pdf")</f>
        <v>Melting_Curves/meltCurve_Q9NRL3_STRN4.pdf</v>
      </c>
    </row>
    <row r="5838" spans="1:28" x14ac:dyDescent="0.25">
      <c r="A5838" t="s">
        <v>5841</v>
      </c>
      <c r="B5838">
        <v>0.99930955844802105</v>
      </c>
      <c r="C5838">
        <v>0.98305328231914002</v>
      </c>
      <c r="D5838">
        <v>1.0237440060554801</v>
      </c>
      <c r="E5838">
        <v>0.87703601496029804</v>
      </c>
      <c r="F5838">
        <v>0.52141545934351696</v>
      </c>
      <c r="G5838">
        <v>0.175310394106101</v>
      </c>
      <c r="H5838">
        <v>9.6844205445894296E-2</v>
      </c>
      <c r="I5838">
        <v>7.0222201004314103E-2</v>
      </c>
      <c r="J5838">
        <v>5.6161529704628399E-2</v>
      </c>
      <c r="K5838">
        <v>4.0365039422436501E-2</v>
      </c>
      <c r="L5838">
        <v>1584.86121215403</v>
      </c>
      <c r="M5838">
        <v>29.891283673857998</v>
      </c>
      <c r="N5838">
        <v>53.251045516305702</v>
      </c>
      <c r="O5838">
        <v>52.785239861869499</v>
      </c>
      <c r="P5838">
        <v>-0.13299085263011801</v>
      </c>
      <c r="Q5838">
        <v>6.06080925306096E-2</v>
      </c>
      <c r="R5838">
        <v>0.99855637578616696</v>
      </c>
      <c r="S5838" t="s">
        <v>12454</v>
      </c>
      <c r="T5838" t="s">
        <v>13232</v>
      </c>
      <c r="U5838" t="s">
        <v>13232</v>
      </c>
      <c r="V5838" t="s">
        <v>13232</v>
      </c>
      <c r="W5838" t="s">
        <v>18998</v>
      </c>
      <c r="X5838">
        <v>14</v>
      </c>
      <c r="Y5838" t="s">
        <v>25385</v>
      </c>
      <c r="Z5838" t="s">
        <v>31969</v>
      </c>
      <c r="AA5838">
        <v>0.47446794356642158</v>
      </c>
      <c r="AB5838" t="str">
        <f>HYPERLINK("Melting_Curves/meltCurve_Q9NRN7_AASDHPPT.pdf", "Melting_Curves/meltCurve_Q9NRN7_AASDHPPT.pdf")</f>
        <v>Melting_Curves/meltCurve_Q9NRN7_AASDHPPT.pdf</v>
      </c>
    </row>
    <row r="5839" spans="1:28" x14ac:dyDescent="0.25">
      <c r="A5839" t="s">
        <v>5842</v>
      </c>
      <c r="B5839">
        <v>0.99930955844802105</v>
      </c>
      <c r="C5839">
        <v>1.1138875754780899</v>
      </c>
      <c r="D5839">
        <v>1.0942367582175201</v>
      </c>
      <c r="E5839">
        <v>1.0648204684653699</v>
      </c>
      <c r="F5839">
        <v>1.0189971461554199</v>
      </c>
      <c r="G5839">
        <v>0.84790467729824504</v>
      </c>
      <c r="H5839">
        <v>0.81376462737569799</v>
      </c>
      <c r="I5839">
        <v>0.72396200755706197</v>
      </c>
      <c r="J5839">
        <v>0.61705684087512902</v>
      </c>
      <c r="K5839">
        <v>0.34814122849157703</v>
      </c>
      <c r="L5839">
        <v>944.55298970430897</v>
      </c>
      <c r="M5839">
        <v>13.885516483972999</v>
      </c>
      <c r="N5839">
        <v>68.024333679501098</v>
      </c>
      <c r="O5839">
        <v>66.660026779422793</v>
      </c>
      <c r="P5839">
        <v>-5.2082989669751299E-2</v>
      </c>
      <c r="Q5839">
        <v>0</v>
      </c>
      <c r="R5839">
        <v>0.91901183623923999</v>
      </c>
      <c r="S5839" t="s">
        <v>12455</v>
      </c>
      <c r="T5839" t="s">
        <v>13232</v>
      </c>
      <c r="U5839" t="s">
        <v>13232</v>
      </c>
      <c r="V5839" t="s">
        <v>13232</v>
      </c>
      <c r="W5839" t="s">
        <v>18999</v>
      </c>
      <c r="X5839">
        <v>8</v>
      </c>
      <c r="Y5839" t="s">
        <v>25386</v>
      </c>
      <c r="Z5839" t="s">
        <v>31970</v>
      </c>
      <c r="AA5839">
        <v>0.86643823826518707</v>
      </c>
      <c r="AB5839" t="str">
        <f>HYPERLINK("Melting_Curves/meltCurve_Q9NRN9_METTL5.pdf", "Melting_Curves/meltCurve_Q9NRN9_METTL5.pdf")</f>
        <v>Melting_Curves/meltCurve_Q9NRN9_METTL5.pdf</v>
      </c>
    </row>
    <row r="5840" spans="1:28" x14ac:dyDescent="0.25">
      <c r="A5840" t="s">
        <v>5843</v>
      </c>
      <c r="B5840">
        <v>0.99930955844802105</v>
      </c>
      <c r="C5840">
        <v>1.0472163493153099</v>
      </c>
      <c r="D5840">
        <v>1.0052725302846801</v>
      </c>
      <c r="E5840">
        <v>0.94842910343446896</v>
      </c>
      <c r="F5840">
        <v>0.86810781254412295</v>
      </c>
      <c r="G5840">
        <v>0.70591243074661503</v>
      </c>
      <c r="H5840">
        <v>0.63542621689046197</v>
      </c>
      <c r="I5840">
        <v>0.60847631112331602</v>
      </c>
      <c r="J5840">
        <v>0.57191121464815597</v>
      </c>
      <c r="K5840">
        <v>0.47727207388537102</v>
      </c>
      <c r="L5840">
        <v>838.034717011466</v>
      </c>
      <c r="M5840">
        <v>14.7861870323784</v>
      </c>
      <c r="O5840">
        <v>55.670475083893699</v>
      </c>
      <c r="P5840">
        <v>-3.3407329927116799E-2</v>
      </c>
      <c r="Q5840">
        <v>0.49693504368001501</v>
      </c>
      <c r="R5840">
        <v>0.97856726798835203</v>
      </c>
      <c r="S5840" t="s">
        <v>12456</v>
      </c>
      <c r="T5840" t="s">
        <v>13232</v>
      </c>
      <c r="U5840" t="s">
        <v>13232</v>
      </c>
      <c r="V5840" t="s">
        <v>13232</v>
      </c>
      <c r="W5840" t="s">
        <v>19000</v>
      </c>
      <c r="X5840">
        <v>19</v>
      </c>
      <c r="Y5840" t="s">
        <v>25387</v>
      </c>
      <c r="Z5840" t="s">
        <v>31971</v>
      </c>
      <c r="AA5840">
        <v>0.78495906056170595</v>
      </c>
      <c r="AB5840" t="str">
        <f>HYPERLINK("Melting_Curves/meltCurve_Q9NRR5_UBQLN4.pdf", "Melting_Curves/meltCurve_Q9NRR5_UBQLN4.pdf")</f>
        <v>Melting_Curves/meltCurve_Q9NRR5_UBQLN4.pdf</v>
      </c>
    </row>
    <row r="5841" spans="1:28" x14ac:dyDescent="0.25">
      <c r="A5841" t="s">
        <v>5844</v>
      </c>
      <c r="B5841">
        <v>0.99930955844802105</v>
      </c>
      <c r="C5841">
        <v>1.0671944881703199</v>
      </c>
      <c r="D5841">
        <v>0.91989033212009297</v>
      </c>
      <c r="E5841">
        <v>0.51901276203096802</v>
      </c>
      <c r="F5841">
        <v>0.35350950499994399</v>
      </c>
      <c r="G5841">
        <v>0.26559873845111398</v>
      </c>
      <c r="H5841">
        <v>0.21725300818446699</v>
      </c>
      <c r="I5841">
        <v>0.194026812133447</v>
      </c>
      <c r="J5841">
        <v>0.18485586369533599</v>
      </c>
      <c r="K5841">
        <v>0.14196804320068401</v>
      </c>
      <c r="L5841">
        <v>1262.2208970547499</v>
      </c>
      <c r="M5841">
        <v>25.456415006758501</v>
      </c>
      <c r="N5841">
        <v>50.559776804742803</v>
      </c>
      <c r="O5841">
        <v>49.280663118448899</v>
      </c>
      <c r="P5841">
        <v>-0.104069570416542</v>
      </c>
      <c r="Q5841">
        <v>0.19414370016829399</v>
      </c>
      <c r="R5841">
        <v>0.98843640003766498</v>
      </c>
      <c r="S5841" t="s">
        <v>12457</v>
      </c>
      <c r="T5841" t="s">
        <v>13232</v>
      </c>
      <c r="U5841" t="s">
        <v>13232</v>
      </c>
      <c r="V5841" t="s">
        <v>13232</v>
      </c>
      <c r="W5841" t="s">
        <v>19001</v>
      </c>
      <c r="X5841">
        <v>8</v>
      </c>
      <c r="Y5841" t="s">
        <v>25388</v>
      </c>
      <c r="Z5841" t="s">
        <v>31972</v>
      </c>
      <c r="AA5841">
        <v>0.45849231073097813</v>
      </c>
      <c r="AB5841" t="str">
        <f>HYPERLINK("Melting_Curves/meltCurve_Q9NRS6_SNX15.pdf", "Melting_Curves/meltCurve_Q9NRS6_SNX15.pdf")</f>
        <v>Melting_Curves/meltCurve_Q9NRS6_SNX15.pdf</v>
      </c>
    </row>
    <row r="5842" spans="1:28" x14ac:dyDescent="0.25">
      <c r="A5842" t="s">
        <v>5845</v>
      </c>
      <c r="B5842">
        <v>0.99930955844802105</v>
      </c>
      <c r="C5842">
        <v>1.1551313220271999</v>
      </c>
      <c r="D5842">
        <v>1.2083058120968</v>
      </c>
      <c r="E5842">
        <v>1.1128549393490299</v>
      </c>
      <c r="F5842">
        <v>0.80935808660140696</v>
      </c>
      <c r="G5842">
        <v>0.43332896461136899</v>
      </c>
      <c r="H5842">
        <v>0.21806945362196201</v>
      </c>
      <c r="I5842">
        <v>0.17001281037909999</v>
      </c>
      <c r="J5842">
        <v>0.144629868498724</v>
      </c>
      <c r="K5842">
        <v>0.116565214954963</v>
      </c>
      <c r="L5842">
        <v>1735.7094365641101</v>
      </c>
      <c r="M5842">
        <v>31.148776033661701</v>
      </c>
      <c r="N5842">
        <v>56.333014259060199</v>
      </c>
      <c r="O5842">
        <v>55.495036129089698</v>
      </c>
      <c r="P5842">
        <v>-0.120241184841569</v>
      </c>
      <c r="Q5842">
        <v>0.143112200632938</v>
      </c>
      <c r="R5842">
        <v>0.95329461777189495</v>
      </c>
      <c r="S5842" t="s">
        <v>12458</v>
      </c>
      <c r="T5842" t="s">
        <v>13232</v>
      </c>
      <c r="U5842" t="s">
        <v>13232</v>
      </c>
      <c r="V5842" t="s">
        <v>13232</v>
      </c>
      <c r="W5842" t="s">
        <v>19002</v>
      </c>
      <c r="X5842">
        <v>9</v>
      </c>
      <c r="Y5842" t="s">
        <v>25389</v>
      </c>
      <c r="Z5842" t="s">
        <v>31973</v>
      </c>
      <c r="AA5842">
        <v>0.59753588147468273</v>
      </c>
      <c r="AB5842" t="str">
        <f>HYPERLINK("Melting_Curves/meltCurve_Q9NRV9_HEBP1.pdf", "Melting_Curves/meltCurve_Q9NRV9_HEBP1.pdf")</f>
        <v>Melting_Curves/meltCurve_Q9NRV9_HEBP1.pdf</v>
      </c>
    </row>
    <row r="5843" spans="1:28" x14ac:dyDescent="0.25">
      <c r="A5843" t="s">
        <v>5846</v>
      </c>
      <c r="B5843">
        <v>0.99930955844802105</v>
      </c>
      <c r="C5843">
        <v>1.0219753553959301</v>
      </c>
      <c r="D5843">
        <v>0.96243041985540501</v>
      </c>
      <c r="E5843">
        <v>0.94954626254007402</v>
      </c>
      <c r="F5843">
        <v>0.73451007837382398</v>
      </c>
      <c r="G5843">
        <v>0.41142549732431499</v>
      </c>
      <c r="H5843">
        <v>0.15691220447682899</v>
      </c>
      <c r="I5843">
        <v>0.13905730939986</v>
      </c>
      <c r="J5843">
        <v>7.5295605961336207E-2</v>
      </c>
      <c r="K5843">
        <v>5.4410959920088403E-2</v>
      </c>
      <c r="L5843">
        <v>1194.62673726249</v>
      </c>
      <c r="M5843">
        <v>21.506187807183402</v>
      </c>
      <c r="N5843">
        <v>55.855646742406101</v>
      </c>
      <c r="O5843">
        <v>55.074457841936798</v>
      </c>
      <c r="P5843">
        <v>-9.2173628063839594E-2</v>
      </c>
      <c r="Q5843">
        <v>5.5845908352205403E-2</v>
      </c>
      <c r="R5843">
        <v>0.997472842793521</v>
      </c>
      <c r="S5843" t="s">
        <v>12459</v>
      </c>
      <c r="T5843" t="s">
        <v>13232</v>
      </c>
      <c r="U5843" t="s">
        <v>13232</v>
      </c>
      <c r="V5843" t="s">
        <v>13232</v>
      </c>
      <c r="W5843" t="s">
        <v>19003</v>
      </c>
      <c r="X5843">
        <v>7</v>
      </c>
      <c r="Y5843" t="s">
        <v>25390</v>
      </c>
      <c r="Z5843" t="s">
        <v>31974</v>
      </c>
      <c r="AA5843">
        <v>0.5562818682417503</v>
      </c>
      <c r="AB5843" t="str">
        <f>HYPERLINK("Melting_Curves/meltCurve_Q9NRW1_RAB6B.pdf", "Melting_Curves/meltCurve_Q9NRW1_RAB6B.pdf")</f>
        <v>Melting_Curves/meltCurve_Q9NRW1_RAB6B.pdf</v>
      </c>
    </row>
    <row r="5844" spans="1:28" x14ac:dyDescent="0.25">
      <c r="A5844" t="s">
        <v>5847</v>
      </c>
      <c r="B5844">
        <v>0.99930955844802105</v>
      </c>
      <c r="C5844">
        <v>1.1511742652080601</v>
      </c>
      <c r="D5844">
        <v>1.01104054731633</v>
      </c>
      <c r="E5844">
        <v>0.69833063287549801</v>
      </c>
      <c r="F5844">
        <v>0.34116976359155499</v>
      </c>
      <c r="G5844">
        <v>0.23912758343769899</v>
      </c>
      <c r="H5844">
        <v>0.19265690062858201</v>
      </c>
      <c r="I5844">
        <v>0.18527767080559501</v>
      </c>
      <c r="J5844">
        <v>0.19551535505904599</v>
      </c>
      <c r="K5844">
        <v>0.13743139153578801</v>
      </c>
      <c r="L5844">
        <v>1787.0587728340799</v>
      </c>
      <c r="M5844">
        <v>35.167329577427203</v>
      </c>
      <c r="N5844">
        <v>51.494570339244497</v>
      </c>
      <c r="O5844">
        <v>50.6524103588701</v>
      </c>
      <c r="P5844">
        <v>-0.14138119882450201</v>
      </c>
      <c r="Q5844">
        <v>0.185462970074009</v>
      </c>
      <c r="R5844">
        <v>0.98111405669297003</v>
      </c>
      <c r="S5844" t="s">
        <v>12460</v>
      </c>
      <c r="T5844" t="s">
        <v>13232</v>
      </c>
      <c r="U5844" t="s">
        <v>13232</v>
      </c>
      <c r="V5844" t="s">
        <v>13232</v>
      </c>
      <c r="W5844" t="s">
        <v>19004</v>
      </c>
      <c r="X5844">
        <v>3</v>
      </c>
      <c r="Y5844" t="s">
        <v>25391</v>
      </c>
      <c r="Z5844" t="s">
        <v>31975</v>
      </c>
      <c r="AA5844">
        <v>0.4828361636994713</v>
      </c>
      <c r="AB5844" t="str">
        <f>HYPERLINK("Melting_Curves/meltCurve_Q9NRW4_DUSP22.pdf", "Melting_Curves/meltCurve_Q9NRW4_DUSP22.pdf")</f>
        <v>Melting_Curves/meltCurve_Q9NRW4_DUSP22.pdf</v>
      </c>
    </row>
    <row r="5845" spans="1:28" x14ac:dyDescent="0.25">
      <c r="A5845" t="s">
        <v>5848</v>
      </c>
      <c r="B5845">
        <v>0.99930955844802105</v>
      </c>
      <c r="C5845">
        <v>0.91151615871639302</v>
      </c>
      <c r="D5845">
        <v>0.77719218757489195</v>
      </c>
      <c r="E5845">
        <v>0.40239149629710103</v>
      </c>
      <c r="F5845">
        <v>0.148202168042085</v>
      </c>
      <c r="G5845">
        <v>0.106221513893859</v>
      </c>
      <c r="H5845">
        <v>5.4405635279806998E-2</v>
      </c>
      <c r="I5845">
        <v>5.2761416414584102E-2</v>
      </c>
      <c r="J5845">
        <v>4.1864502563342301E-2</v>
      </c>
      <c r="K5845">
        <v>3.31633673943851E-2</v>
      </c>
      <c r="L5845">
        <v>1000.69443933373</v>
      </c>
      <c r="M5845">
        <v>20.594925835455101</v>
      </c>
      <c r="N5845">
        <v>48.783737132752499</v>
      </c>
      <c r="O5845">
        <v>48.138220372310698</v>
      </c>
      <c r="P5845">
        <v>-0.102747198465272</v>
      </c>
      <c r="Q5845">
        <v>3.9389903636500599E-2</v>
      </c>
      <c r="R5845">
        <v>0.99752447125376797</v>
      </c>
      <c r="S5845" t="s">
        <v>12461</v>
      </c>
      <c r="T5845" t="s">
        <v>13232</v>
      </c>
      <c r="U5845" t="s">
        <v>13232</v>
      </c>
      <c r="V5845" t="s">
        <v>13232</v>
      </c>
      <c r="W5845" t="s">
        <v>19005</v>
      </c>
      <c r="X5845">
        <v>10</v>
      </c>
      <c r="Y5845" t="s">
        <v>25392</v>
      </c>
      <c r="Z5845" t="s">
        <v>31976</v>
      </c>
      <c r="AA5845">
        <v>0.3271457942982019</v>
      </c>
      <c r="AB5845" t="str">
        <f>HYPERLINK("Melting_Curves/meltCurve_Q9NRW7_VPS45.pdf", "Melting_Curves/meltCurve_Q9NRW7_VPS45.pdf")</f>
        <v>Melting_Curves/meltCurve_Q9NRW7_VPS45.pdf</v>
      </c>
    </row>
    <row r="5846" spans="1:28" x14ac:dyDescent="0.25">
      <c r="A5846" t="s">
        <v>5849</v>
      </c>
      <c r="B5846">
        <v>0.99930955844802105</v>
      </c>
      <c r="C5846">
        <v>0.93507203217898305</v>
      </c>
      <c r="D5846">
        <v>0.94497628934271305</v>
      </c>
      <c r="E5846">
        <v>0.85366680878728096</v>
      </c>
      <c r="F5846">
        <v>0.75180186907326396</v>
      </c>
      <c r="G5846">
        <v>0.570635002821133</v>
      </c>
      <c r="H5846">
        <v>0.33721691465475701</v>
      </c>
      <c r="I5846">
        <v>0.241874435890816</v>
      </c>
      <c r="J5846">
        <v>0.19031067342762101</v>
      </c>
      <c r="K5846">
        <v>0.14561213618423199</v>
      </c>
      <c r="L5846">
        <v>674.70280544791206</v>
      </c>
      <c r="M5846">
        <v>11.703600027085599</v>
      </c>
      <c r="N5846">
        <v>57.900925478449402</v>
      </c>
      <c r="O5846">
        <v>56.043267176223601</v>
      </c>
      <c r="P5846">
        <v>-5.0926229915577201E-2</v>
      </c>
      <c r="Q5846">
        <v>2.4807911238513499E-2</v>
      </c>
      <c r="R5846">
        <v>0.99608862966643197</v>
      </c>
      <c r="S5846" t="s">
        <v>12462</v>
      </c>
      <c r="T5846" t="s">
        <v>13232</v>
      </c>
      <c r="U5846" t="s">
        <v>13232</v>
      </c>
      <c r="V5846" t="s">
        <v>13232</v>
      </c>
      <c r="W5846" t="s">
        <v>19006</v>
      </c>
      <c r="X5846">
        <v>6</v>
      </c>
      <c r="Y5846" t="s">
        <v>25393</v>
      </c>
      <c r="Z5846" t="s">
        <v>31977</v>
      </c>
      <c r="AA5846">
        <v>0.61221489379032457</v>
      </c>
      <c r="AB5846" t="str">
        <f>HYPERLINK("Melting_Curves/meltCurve_Q9NRX4_PHPT1.pdf", "Melting_Curves/meltCurve_Q9NRX4_PHPT1.pdf")</f>
        <v>Melting_Curves/meltCurve_Q9NRX4_PHPT1.pdf</v>
      </c>
    </row>
    <row r="5847" spans="1:28" x14ac:dyDescent="0.25">
      <c r="A5847" t="s">
        <v>5850</v>
      </c>
      <c r="B5847">
        <v>0.99930955844802105</v>
      </c>
      <c r="C5847">
        <v>0.91876923194728299</v>
      </c>
      <c r="D5847">
        <v>0.73144079300988196</v>
      </c>
      <c r="E5847">
        <v>0.73545289324615404</v>
      </c>
      <c r="F5847">
        <v>0.61434051267725498</v>
      </c>
      <c r="G5847">
        <v>0.72804676660319501</v>
      </c>
      <c r="H5847">
        <v>1.06218838526388</v>
      </c>
      <c r="I5847">
        <v>1.4698699336610701</v>
      </c>
      <c r="J5847">
        <v>1.5596856347748</v>
      </c>
      <c r="K5847">
        <v>1.1312243742531201</v>
      </c>
      <c r="L5847">
        <v>15000</v>
      </c>
      <c r="M5847">
        <v>244.24938316969099</v>
      </c>
      <c r="O5847">
        <v>61.408525101744402</v>
      </c>
      <c r="P5847">
        <v>0.38474891947822898</v>
      </c>
      <c r="Q5847">
        <v>1.3869301667798399</v>
      </c>
      <c r="R5847">
        <v>0.488794743735874</v>
      </c>
      <c r="S5847" t="s">
        <v>12463</v>
      </c>
      <c r="T5847" t="s">
        <v>13232</v>
      </c>
      <c r="U5847" t="s">
        <v>13232</v>
      </c>
      <c r="V5847" t="s">
        <v>13232</v>
      </c>
      <c r="W5847" t="s">
        <v>19007</v>
      </c>
      <c r="X5847">
        <v>4</v>
      </c>
      <c r="Y5847" t="s">
        <v>25394</v>
      </c>
      <c r="Z5847" t="s">
        <v>31978</v>
      </c>
      <c r="AA5847">
        <v>1.1107132350096109</v>
      </c>
      <c r="AB5847" t="str">
        <f>HYPERLINK("Melting_Curves/meltCurve_Q9NRY2_INIP.pdf", "Melting_Curves/meltCurve_Q9NRY2_INIP.pdf")</f>
        <v>Melting_Curves/meltCurve_Q9NRY2_INIP.pdf</v>
      </c>
    </row>
    <row r="5848" spans="1:28" x14ac:dyDescent="0.25">
      <c r="A5848" t="s">
        <v>5851</v>
      </c>
      <c r="B5848">
        <v>0.99930955844802105</v>
      </c>
      <c r="C5848">
        <v>0.99610102819057</v>
      </c>
      <c r="D5848">
        <v>0.84293809190258795</v>
      </c>
      <c r="E5848">
        <v>0.53884448511095195</v>
      </c>
      <c r="F5848">
        <v>0.20989092589116501</v>
      </c>
      <c r="G5848">
        <v>0.16160550601100099</v>
      </c>
      <c r="H5848">
        <v>0.11346376420971301</v>
      </c>
      <c r="I5848">
        <v>0.107556081602995</v>
      </c>
      <c r="J5848">
        <v>0.100729693707562</v>
      </c>
      <c r="K5848">
        <v>7.91226724204388E-2</v>
      </c>
      <c r="L5848">
        <v>1165.6458972672999</v>
      </c>
      <c r="M5848">
        <v>23.5172052873748</v>
      </c>
      <c r="N5848">
        <v>50.019047167084103</v>
      </c>
      <c r="O5848">
        <v>49.211442450664798</v>
      </c>
      <c r="P5848">
        <v>-0.108004419056214</v>
      </c>
      <c r="Q5848">
        <v>9.5987454046102899E-2</v>
      </c>
      <c r="R5848">
        <v>0.99561506473328099</v>
      </c>
      <c r="S5848" t="s">
        <v>12464</v>
      </c>
      <c r="T5848" t="s">
        <v>13232</v>
      </c>
      <c r="U5848" t="s">
        <v>13232</v>
      </c>
      <c r="V5848" t="s">
        <v>13232</v>
      </c>
      <c r="W5848" t="s">
        <v>19008</v>
      </c>
      <c r="X5848">
        <v>27</v>
      </c>
      <c r="Y5848" t="s">
        <v>25395</v>
      </c>
      <c r="Z5848" t="s">
        <v>31979</v>
      </c>
      <c r="AA5848">
        <v>0.39334540745662999</v>
      </c>
      <c r="AB5848" t="str">
        <f>HYPERLINK("Melting_Curves/meltCurve_Q9NRY4_ARHGAP35.pdf", "Melting_Curves/meltCurve_Q9NRY4_ARHGAP35.pdf")</f>
        <v>Melting_Curves/meltCurve_Q9NRY4_ARHGAP35.pdf</v>
      </c>
    </row>
    <row r="5849" spans="1:28" x14ac:dyDescent="0.25">
      <c r="A5849" t="s">
        <v>5852</v>
      </c>
      <c r="B5849">
        <v>0.99930955844802105</v>
      </c>
      <c r="C5849">
        <v>1.1769375647008999</v>
      </c>
      <c r="D5849">
        <v>1.1518113777432999</v>
      </c>
      <c r="E5849">
        <v>1.0828551165720599</v>
      </c>
      <c r="F5849">
        <v>0.860041103589964</v>
      </c>
      <c r="G5849">
        <v>0.41216617199980699</v>
      </c>
      <c r="H5849">
        <v>0.28129088895037102</v>
      </c>
      <c r="I5849">
        <v>0.27212069976159098</v>
      </c>
      <c r="J5849">
        <v>0.27870393165080798</v>
      </c>
      <c r="K5849">
        <v>0.20826359875981099</v>
      </c>
      <c r="L5849">
        <v>2262.7482376923299</v>
      </c>
      <c r="M5849">
        <v>41.0651844208084</v>
      </c>
      <c r="N5849">
        <v>56.083490358073199</v>
      </c>
      <c r="O5849">
        <v>54.9711923003047</v>
      </c>
      <c r="P5849">
        <v>-0.13887166515840099</v>
      </c>
      <c r="Q5849">
        <v>0.25640886514933497</v>
      </c>
      <c r="R5849">
        <v>0.95686454148718103</v>
      </c>
      <c r="S5849" t="s">
        <v>12465</v>
      </c>
      <c r="T5849" t="s">
        <v>13232</v>
      </c>
      <c r="U5849" t="s">
        <v>13232</v>
      </c>
      <c r="V5849" t="s">
        <v>13232</v>
      </c>
      <c r="W5849" t="s">
        <v>19009</v>
      </c>
      <c r="X5849">
        <v>24</v>
      </c>
      <c r="Y5849" t="s">
        <v>25396</v>
      </c>
      <c r="Z5849" t="s">
        <v>31980</v>
      </c>
      <c r="AA5849">
        <v>0.63339473758006892</v>
      </c>
      <c r="AB5849" t="str">
        <f>HYPERLINK("Melting_Curves/meltCurve_Q9NRY5_FAM114A2.pdf", "Melting_Curves/meltCurve_Q9NRY5_FAM114A2.pdf")</f>
        <v>Melting_Curves/meltCurve_Q9NRY5_FAM114A2.pdf</v>
      </c>
    </row>
    <row r="5850" spans="1:28" x14ac:dyDescent="0.25">
      <c r="A5850" t="s">
        <v>5853</v>
      </c>
      <c r="B5850">
        <v>0.99930955844802105</v>
      </c>
      <c r="C5850">
        <v>0.87533369494253099</v>
      </c>
      <c r="D5850">
        <v>0.74637069413012802</v>
      </c>
      <c r="E5850">
        <v>0.73681180354444997</v>
      </c>
      <c r="F5850">
        <v>0.51253784523105095</v>
      </c>
      <c r="G5850">
        <v>0.42998660818517098</v>
      </c>
      <c r="H5850">
        <v>0.47019025290897298</v>
      </c>
      <c r="I5850">
        <v>0.45183021132520701</v>
      </c>
      <c r="J5850">
        <v>0.42167484452568299</v>
      </c>
      <c r="K5850">
        <v>0.351549778981185</v>
      </c>
      <c r="L5850">
        <v>555.27824650570597</v>
      </c>
      <c r="M5850">
        <v>11.3624234193109</v>
      </c>
      <c r="N5850">
        <v>55.718618645830396</v>
      </c>
      <c r="O5850">
        <v>47.4294025576664</v>
      </c>
      <c r="P5850">
        <v>-3.7365909385467598E-2</v>
      </c>
      <c r="Q5850">
        <v>0.37628965799734199</v>
      </c>
      <c r="R5850">
        <v>0.950773161547669</v>
      </c>
      <c r="S5850" t="s">
        <v>12466</v>
      </c>
      <c r="T5850" t="s">
        <v>13232</v>
      </c>
      <c r="U5850" t="s">
        <v>13232</v>
      </c>
      <c r="V5850" t="s">
        <v>13232</v>
      </c>
      <c r="W5850" t="s">
        <v>19010</v>
      </c>
      <c r="X5850">
        <v>3</v>
      </c>
      <c r="Y5850" t="s">
        <v>25397</v>
      </c>
      <c r="Z5850" t="s">
        <v>31981</v>
      </c>
      <c r="AA5850">
        <v>0.58597835421366029</v>
      </c>
      <c r="AB5850" t="str">
        <f>HYPERLINK("Melting_Curves/meltCurve_Q9NRZ9_6_HELLS.pdf", "Melting_Curves/meltCurve_Q9NRZ9_6_HELLS.pdf")</f>
        <v>Melting_Curves/meltCurve_Q9NRZ9_6_HELLS.pdf</v>
      </c>
    </row>
    <row r="5851" spans="1:28" x14ac:dyDescent="0.25">
      <c r="A5851" t="s">
        <v>5854</v>
      </c>
      <c r="B5851">
        <v>0.99930955844802105</v>
      </c>
      <c r="C5851">
        <v>1.4471386590592099</v>
      </c>
      <c r="D5851">
        <v>1.3242864140539701</v>
      </c>
      <c r="E5851">
        <v>1.1643144232723699</v>
      </c>
      <c r="F5851">
        <v>1.1105613710011699</v>
      </c>
      <c r="G5851">
        <v>0.951744101599165</v>
      </c>
      <c r="H5851">
        <v>1.08410287544914</v>
      </c>
      <c r="I5851">
        <v>1.20481836734906</v>
      </c>
      <c r="J5851">
        <v>1.1140211038002601</v>
      </c>
      <c r="K5851">
        <v>0.82446136000345105</v>
      </c>
      <c r="L5851">
        <v>15000</v>
      </c>
      <c r="M5851">
        <v>212.73876428379</v>
      </c>
      <c r="Q5851">
        <v>0</v>
      </c>
      <c r="R5851">
        <v>-0.41174496062183902</v>
      </c>
      <c r="S5851" t="s">
        <v>12467</v>
      </c>
      <c r="T5851" t="s">
        <v>13232</v>
      </c>
      <c r="U5851" t="s">
        <v>13232</v>
      </c>
      <c r="V5851" t="s">
        <v>13232</v>
      </c>
      <c r="W5851" t="s">
        <v>19011</v>
      </c>
      <c r="X5851">
        <v>4</v>
      </c>
      <c r="Y5851" t="s">
        <v>25398</v>
      </c>
      <c r="Z5851" t="s">
        <v>31982</v>
      </c>
      <c r="AA5851">
        <v>0.99791861561585204</v>
      </c>
      <c r="AB5851" t="str">
        <f>HYPERLINK("Melting_Curves/meltCurve_Q9NS18_GLRX2.pdf", "Melting_Curves/meltCurve_Q9NS18_GLRX2.pdf")</f>
        <v>Melting_Curves/meltCurve_Q9NS18_GLRX2.pdf</v>
      </c>
    </row>
    <row r="5852" spans="1:28" x14ac:dyDescent="0.25">
      <c r="A5852" t="s">
        <v>5855</v>
      </c>
      <c r="B5852">
        <v>0.99930955844802105</v>
      </c>
      <c r="C5852">
        <v>1.63311124545393</v>
      </c>
      <c r="D5852">
        <v>1.4485650543292601</v>
      </c>
      <c r="E5852">
        <v>1.46446452677841</v>
      </c>
      <c r="F5852">
        <v>1.3899266676931501</v>
      </c>
      <c r="G5852">
        <v>1.1805930859151901</v>
      </c>
      <c r="H5852">
        <v>2.3558941625158898</v>
      </c>
      <c r="I5852">
        <v>1.37464039422701</v>
      </c>
      <c r="J5852">
        <v>1.8712273265876</v>
      </c>
      <c r="K5852">
        <v>1.07833063838697</v>
      </c>
      <c r="L5852">
        <v>10257.8861922872</v>
      </c>
      <c r="M5852">
        <v>250</v>
      </c>
      <c r="O5852">
        <v>41.0289187420356</v>
      </c>
      <c r="P5852">
        <v>0.76165789353391899</v>
      </c>
      <c r="Q5852">
        <v>1.5</v>
      </c>
      <c r="R5852">
        <v>0.17046780815034099</v>
      </c>
      <c r="S5852" t="s">
        <v>12468</v>
      </c>
      <c r="T5852" t="s">
        <v>13232</v>
      </c>
      <c r="U5852" t="s">
        <v>13232</v>
      </c>
      <c r="V5852" t="s">
        <v>13232</v>
      </c>
      <c r="W5852" t="s">
        <v>19012</v>
      </c>
      <c r="X5852">
        <v>1</v>
      </c>
      <c r="Y5852" t="s">
        <v>25399</v>
      </c>
      <c r="Z5852" t="s">
        <v>31983</v>
      </c>
      <c r="AA5852">
        <v>1.4827674968606861</v>
      </c>
      <c r="AB5852" t="str">
        <f>HYPERLINK("Melting_Curves/meltCurve_Q9NS56_TOPORS.pdf", "Melting_Curves/meltCurve_Q9NS56_TOPORS.pdf")</f>
        <v>Melting_Curves/meltCurve_Q9NS56_TOPORS.pdf</v>
      </c>
    </row>
    <row r="5853" spans="1:28" x14ac:dyDescent="0.25">
      <c r="A5853" t="s">
        <v>5856</v>
      </c>
      <c r="B5853">
        <v>0.99930955844802105</v>
      </c>
      <c r="C5853">
        <v>0.99030571197419304</v>
      </c>
      <c r="D5853">
        <v>0.96748252921323497</v>
      </c>
      <c r="E5853">
        <v>0.82223224777670301</v>
      </c>
      <c r="F5853">
        <v>0.63871752127743198</v>
      </c>
      <c r="G5853">
        <v>0.38587121144981001</v>
      </c>
      <c r="H5853">
        <v>0.26308981496324002</v>
      </c>
      <c r="I5853">
        <v>0.27943511818433803</v>
      </c>
      <c r="J5853">
        <v>0.253444067320518</v>
      </c>
      <c r="K5853">
        <v>0.204331603941762</v>
      </c>
      <c r="L5853">
        <v>1039.4240491462999</v>
      </c>
      <c r="M5853">
        <v>19.519811379434699</v>
      </c>
      <c r="N5853">
        <v>54.906474333484503</v>
      </c>
      <c r="O5853">
        <v>52.700267564600502</v>
      </c>
      <c r="P5853">
        <v>-7.1992226321019204E-2</v>
      </c>
      <c r="Q5853">
        <v>0.22255936777945901</v>
      </c>
      <c r="R5853">
        <v>0.99775395405006095</v>
      </c>
      <c r="S5853" t="s">
        <v>12469</v>
      </c>
      <c r="T5853" t="s">
        <v>13232</v>
      </c>
      <c r="U5853" t="s">
        <v>13232</v>
      </c>
      <c r="V5853" t="s">
        <v>13232</v>
      </c>
      <c r="W5853" t="s">
        <v>19013</v>
      </c>
      <c r="X5853">
        <v>5</v>
      </c>
      <c r="Y5853" t="s">
        <v>25400</v>
      </c>
      <c r="Z5853" t="s">
        <v>31984</v>
      </c>
      <c r="AA5853">
        <v>0.57703145536865685</v>
      </c>
      <c r="AB5853" t="str">
        <f>HYPERLINK("Melting_Curves/meltCurve_Q9NS73_2_MBIP.pdf", "Melting_Curves/meltCurve_Q9NS73_2_MBIP.pdf")</f>
        <v>Melting_Curves/meltCurve_Q9NS73_2_MBIP.pdf</v>
      </c>
    </row>
    <row r="5854" spans="1:28" x14ac:dyDescent="0.25">
      <c r="A5854" t="s">
        <v>5857</v>
      </c>
      <c r="B5854">
        <v>0.99930955844802105</v>
      </c>
      <c r="C5854">
        <v>1.0589853736028401</v>
      </c>
      <c r="D5854">
        <v>1.0167882891628399</v>
      </c>
      <c r="E5854">
        <v>0.947964376879874</v>
      </c>
      <c r="F5854">
        <v>0.81827017935408097</v>
      </c>
      <c r="G5854">
        <v>0.55754492520221999</v>
      </c>
      <c r="H5854">
        <v>0.26466762191498799</v>
      </c>
      <c r="I5854">
        <v>0.133547983641189</v>
      </c>
      <c r="J5854">
        <v>0.10782707150354599</v>
      </c>
      <c r="K5854">
        <v>8.4902710264558701E-2</v>
      </c>
      <c r="L5854">
        <v>1137.2283495054601</v>
      </c>
      <c r="M5854">
        <v>19.8857216016542</v>
      </c>
      <c r="N5854">
        <v>57.509192509486702</v>
      </c>
      <c r="O5854">
        <v>56.619279549330003</v>
      </c>
      <c r="P5854">
        <v>-8.3194937696745894E-2</v>
      </c>
      <c r="Q5854">
        <v>5.2530117345529301E-2</v>
      </c>
      <c r="R5854">
        <v>0.99654703056557803</v>
      </c>
      <c r="S5854" t="s">
        <v>12470</v>
      </c>
      <c r="T5854" t="s">
        <v>13232</v>
      </c>
      <c r="U5854" t="s">
        <v>13232</v>
      </c>
      <c r="V5854" t="s">
        <v>13232</v>
      </c>
      <c r="W5854" t="s">
        <v>19014</v>
      </c>
      <c r="X5854">
        <v>13</v>
      </c>
      <c r="Y5854" t="s">
        <v>25401</v>
      </c>
      <c r="Z5854" t="s">
        <v>31985</v>
      </c>
      <c r="AA5854">
        <v>0.60690549475359135</v>
      </c>
      <c r="AB5854" t="str">
        <f>HYPERLINK("Melting_Curves/meltCurve_Q9NS86_LANCL2.pdf", "Melting_Curves/meltCurve_Q9NS86_LANCL2.pdf")</f>
        <v>Melting_Curves/meltCurve_Q9NS86_LANCL2.pdf</v>
      </c>
    </row>
    <row r="5855" spans="1:28" x14ac:dyDescent="0.25">
      <c r="A5855" t="s">
        <v>5858</v>
      </c>
      <c r="B5855">
        <v>0.99930955844802105</v>
      </c>
      <c r="C5855">
        <v>0.87234159139452705</v>
      </c>
      <c r="D5855">
        <v>0.64461228688430905</v>
      </c>
      <c r="E5855">
        <v>0.53026419764039301</v>
      </c>
      <c r="F5855">
        <v>0.37421178684141598</v>
      </c>
      <c r="G5855">
        <v>0.26743154610660702</v>
      </c>
      <c r="H5855">
        <v>0.204534877946278</v>
      </c>
      <c r="I5855">
        <v>0.20302202913603401</v>
      </c>
      <c r="J5855">
        <v>0.229153500061165</v>
      </c>
      <c r="K5855">
        <v>0.20311081719169999</v>
      </c>
      <c r="L5855">
        <v>641.108784397146</v>
      </c>
      <c r="M5855">
        <v>13.363414812376501</v>
      </c>
      <c r="N5855">
        <v>49.722748673961497</v>
      </c>
      <c r="O5855">
        <v>46.938822869783102</v>
      </c>
      <c r="P5855">
        <v>-5.7844379862549797E-2</v>
      </c>
      <c r="Q5855">
        <v>0.18741865554758899</v>
      </c>
      <c r="R5855">
        <v>0.98706308145729305</v>
      </c>
      <c r="S5855" t="s">
        <v>12471</v>
      </c>
      <c r="T5855" t="s">
        <v>13232</v>
      </c>
      <c r="U5855" t="s">
        <v>13232</v>
      </c>
      <c r="V5855" t="s">
        <v>13232</v>
      </c>
      <c r="W5855" t="s">
        <v>19015</v>
      </c>
      <c r="X5855">
        <v>12</v>
      </c>
      <c r="Y5855" t="s">
        <v>25402</v>
      </c>
      <c r="Z5855" t="s">
        <v>31986</v>
      </c>
      <c r="AA5855">
        <v>0.4295997475884617</v>
      </c>
      <c r="AB5855" t="str">
        <f>HYPERLINK("Melting_Curves/meltCurve_Q9NS87_2_KIF15.pdf", "Melting_Curves/meltCurve_Q9NS87_2_KIF15.pdf")</f>
        <v>Melting_Curves/meltCurve_Q9NS87_2_KIF15.pdf</v>
      </c>
    </row>
    <row r="5856" spans="1:28" x14ac:dyDescent="0.25">
      <c r="A5856" t="s">
        <v>5859</v>
      </c>
      <c r="B5856">
        <v>0.99930955844802105</v>
      </c>
      <c r="C5856">
        <v>1.0652293374222399</v>
      </c>
      <c r="D5856">
        <v>1.0237147927889401</v>
      </c>
      <c r="E5856">
        <v>0.95434934477852096</v>
      </c>
      <c r="F5856">
        <v>0.79741532517580505</v>
      </c>
      <c r="G5856">
        <v>0.64427845266231099</v>
      </c>
      <c r="H5856">
        <v>0.62560725171736797</v>
      </c>
      <c r="I5856">
        <v>0.62805366193021195</v>
      </c>
      <c r="J5856">
        <v>0.58585858246382805</v>
      </c>
      <c r="K5856">
        <v>0.470065579967193</v>
      </c>
      <c r="L5856">
        <v>1233.0430315532701</v>
      </c>
      <c r="M5856">
        <v>22.934022139126501</v>
      </c>
      <c r="O5856">
        <v>53.3610300062319</v>
      </c>
      <c r="P5856">
        <v>-4.7056373051993103E-2</v>
      </c>
      <c r="Q5856">
        <v>0.56206047997849895</v>
      </c>
      <c r="R5856">
        <v>0.95218440458263198</v>
      </c>
      <c r="S5856" t="s">
        <v>12472</v>
      </c>
      <c r="T5856" t="s">
        <v>13232</v>
      </c>
      <c r="U5856" t="s">
        <v>13232</v>
      </c>
      <c r="V5856" t="s">
        <v>13232</v>
      </c>
      <c r="W5856" t="s">
        <v>19016</v>
      </c>
      <c r="X5856">
        <v>17</v>
      </c>
      <c r="Y5856" t="s">
        <v>25403</v>
      </c>
      <c r="Z5856" t="s">
        <v>31987</v>
      </c>
      <c r="AA5856">
        <v>0.76772932517906822</v>
      </c>
      <c r="AB5856" t="str">
        <f>HYPERLINK("Melting_Curves/meltCurve_Q9NS91_RAD18.pdf", "Melting_Curves/meltCurve_Q9NS91_RAD18.pdf")</f>
        <v>Melting_Curves/meltCurve_Q9NS91_RAD18.pdf</v>
      </c>
    </row>
    <row r="5857" spans="1:28" x14ac:dyDescent="0.25">
      <c r="A5857" t="s">
        <v>5860</v>
      </c>
      <c r="B5857">
        <v>0.99930955844802105</v>
      </c>
      <c r="C5857">
        <v>1.0041038286675901</v>
      </c>
      <c r="D5857">
        <v>1.01965846583061</v>
      </c>
      <c r="E5857">
        <v>0.96906280606068695</v>
      </c>
      <c r="F5857">
        <v>0.83884631656313402</v>
      </c>
      <c r="G5857">
        <v>0.74110224241250899</v>
      </c>
      <c r="H5857">
        <v>0.65648721755931305</v>
      </c>
      <c r="I5857">
        <v>0.71462674332353704</v>
      </c>
      <c r="J5857">
        <v>0.65080997665194495</v>
      </c>
      <c r="K5857">
        <v>0.51326868567921002</v>
      </c>
      <c r="L5857">
        <v>768.85779525621103</v>
      </c>
      <c r="M5857">
        <v>13.657066407639</v>
      </c>
      <c r="O5857">
        <v>55.131555933226302</v>
      </c>
      <c r="P5857">
        <v>-2.6961645711343098E-2</v>
      </c>
      <c r="Q5857">
        <v>0.56470293026930396</v>
      </c>
      <c r="R5857">
        <v>0.93484770675537299</v>
      </c>
      <c r="S5857" t="s">
        <v>12473</v>
      </c>
      <c r="T5857" t="s">
        <v>13232</v>
      </c>
      <c r="U5857" t="s">
        <v>13232</v>
      </c>
      <c r="V5857" t="s">
        <v>13232</v>
      </c>
      <c r="W5857" t="s">
        <v>19017</v>
      </c>
      <c r="X5857">
        <v>4</v>
      </c>
      <c r="Y5857" t="s">
        <v>25404</v>
      </c>
      <c r="Z5857" t="s">
        <v>31988</v>
      </c>
      <c r="AA5857">
        <v>0.80915956001029821</v>
      </c>
      <c r="AB5857" t="str">
        <f>HYPERLINK("Melting_Curves/meltCurve_Q9NSA3_CTNNBIP1.pdf", "Melting_Curves/meltCurve_Q9NSA3_CTNNBIP1.pdf")</f>
        <v>Melting_Curves/meltCurve_Q9NSA3_CTNNBIP1.pdf</v>
      </c>
    </row>
    <row r="5858" spans="1:28" x14ac:dyDescent="0.25">
      <c r="A5858" t="s">
        <v>5861</v>
      </c>
      <c r="B5858">
        <v>0.99930955844802105</v>
      </c>
      <c r="C5858">
        <v>1.11113195698856</v>
      </c>
      <c r="D5858">
        <v>1.0401969482867699</v>
      </c>
      <c r="E5858">
        <v>0.97616103342896599</v>
      </c>
      <c r="F5858">
        <v>0.83040075821139803</v>
      </c>
      <c r="G5858">
        <v>0.763615964385568</v>
      </c>
      <c r="H5858">
        <v>0.76978749800645396</v>
      </c>
      <c r="I5858">
        <v>0.79365479655755999</v>
      </c>
      <c r="J5858">
        <v>0.83305799617418197</v>
      </c>
      <c r="K5858">
        <v>0.69688958869565498</v>
      </c>
      <c r="L5858">
        <v>2920.5795820549902</v>
      </c>
      <c r="M5858">
        <v>56.179670301375502</v>
      </c>
      <c r="O5858">
        <v>51.920666811550603</v>
      </c>
      <c r="P5858">
        <v>-6.1893908371738297E-2</v>
      </c>
      <c r="Q5858">
        <v>0.77119329749144405</v>
      </c>
      <c r="R5858">
        <v>0.86242711981392595</v>
      </c>
      <c r="S5858" t="s">
        <v>12474</v>
      </c>
      <c r="T5858" t="s">
        <v>13232</v>
      </c>
      <c r="U5858" t="s">
        <v>13232</v>
      </c>
      <c r="V5858" t="s">
        <v>13232</v>
      </c>
      <c r="W5858" t="s">
        <v>19018</v>
      </c>
      <c r="X5858">
        <v>5</v>
      </c>
      <c r="Y5858" t="s">
        <v>25405</v>
      </c>
      <c r="Z5858" t="s">
        <v>31989</v>
      </c>
      <c r="AA5858">
        <v>0.86302747046348516</v>
      </c>
      <c r="AB5858" t="str">
        <f>HYPERLINK("Melting_Curves/meltCurve_Q9NSC5_5_HOMER3.pdf", "Melting_Curves/meltCurve_Q9NSC5_5_HOMER3.pdf")</f>
        <v>Melting_Curves/meltCurve_Q9NSC5_5_HOMER3.pdf</v>
      </c>
    </row>
    <row r="5859" spans="1:28" x14ac:dyDescent="0.25">
      <c r="A5859" t="s">
        <v>5862</v>
      </c>
      <c r="B5859">
        <v>0.99930955844802105</v>
      </c>
      <c r="C5859">
        <v>0.81949960821293799</v>
      </c>
      <c r="D5859">
        <v>0.83602814970261796</v>
      </c>
      <c r="E5859">
        <v>0.47316021689139498</v>
      </c>
      <c r="F5859">
        <v>0.22985892274207401</v>
      </c>
      <c r="G5859">
        <v>0.12849306749537101</v>
      </c>
      <c r="H5859">
        <v>6.6109792608172999E-2</v>
      </c>
      <c r="I5859">
        <v>5.1230937297392302E-2</v>
      </c>
      <c r="J5859">
        <v>4.4077748337539899E-2</v>
      </c>
      <c r="K5859">
        <v>3.4288845075311401E-2</v>
      </c>
      <c r="L5859">
        <v>818.54014280895899</v>
      </c>
      <c r="M5859">
        <v>16.575898063710898</v>
      </c>
      <c r="N5859">
        <v>49.5434663499002</v>
      </c>
      <c r="O5859">
        <v>48.679414588180101</v>
      </c>
      <c r="P5859">
        <v>-8.2886292389581506E-2</v>
      </c>
      <c r="Q5859">
        <v>2.6398264992917E-2</v>
      </c>
      <c r="R5859">
        <v>0.98746427185789698</v>
      </c>
      <c r="S5859" t="s">
        <v>12475</v>
      </c>
      <c r="T5859" t="s">
        <v>13232</v>
      </c>
      <c r="U5859" t="s">
        <v>13232</v>
      </c>
      <c r="V5859" t="s">
        <v>13232</v>
      </c>
      <c r="W5859" t="s">
        <v>19019</v>
      </c>
      <c r="X5859">
        <v>23</v>
      </c>
      <c r="Y5859" t="s">
        <v>25406</v>
      </c>
      <c r="Z5859" t="s">
        <v>31990</v>
      </c>
      <c r="AA5859">
        <v>0.35050386989276622</v>
      </c>
      <c r="AB5859" t="str">
        <f>HYPERLINK("Melting_Curves/meltCurve_Q9NSD9_FARSB.pdf", "Melting_Curves/meltCurve_Q9NSD9_FARSB.pdf")</f>
        <v>Melting_Curves/meltCurve_Q9NSD9_FARSB.pdf</v>
      </c>
    </row>
    <row r="5860" spans="1:28" x14ac:dyDescent="0.25">
      <c r="A5860" t="s">
        <v>5863</v>
      </c>
      <c r="B5860">
        <v>0.99930955844802105</v>
      </c>
      <c r="C5860">
        <v>0.63892166478520296</v>
      </c>
      <c r="D5860">
        <v>0.38688746068670998</v>
      </c>
      <c r="E5860">
        <v>0.30910652625990798</v>
      </c>
      <c r="F5860">
        <v>0.22400872732666</v>
      </c>
      <c r="G5860">
        <v>0.16633814173969999</v>
      </c>
      <c r="H5860">
        <v>0.104251857963823</v>
      </c>
      <c r="I5860">
        <v>9.1714191331388806E-2</v>
      </c>
      <c r="J5860">
        <v>8.6793501916670304E-2</v>
      </c>
      <c r="K5860">
        <v>6.7705174205061794E-2</v>
      </c>
      <c r="L5860">
        <v>720.27493568692796</v>
      </c>
      <c r="M5860">
        <v>16.141416385386901</v>
      </c>
      <c r="N5860">
        <v>45.295285927828601</v>
      </c>
      <c r="O5860">
        <v>43.954741135720901</v>
      </c>
      <c r="P5860">
        <v>-8.2030980472857701E-2</v>
      </c>
      <c r="Q5860">
        <v>0.10655235342626999</v>
      </c>
      <c r="R5860">
        <v>0.96031512431775301</v>
      </c>
      <c r="S5860" t="s">
        <v>12476</v>
      </c>
      <c r="T5860" t="s">
        <v>13232</v>
      </c>
      <c r="U5860" t="s">
        <v>13232</v>
      </c>
      <c r="V5860" t="s">
        <v>13232</v>
      </c>
      <c r="W5860" t="s">
        <v>19020</v>
      </c>
      <c r="X5860">
        <v>4</v>
      </c>
      <c r="Y5860" t="s">
        <v>25407</v>
      </c>
      <c r="Z5860" t="s">
        <v>31991</v>
      </c>
      <c r="AA5860">
        <v>0.2698649521826022</v>
      </c>
      <c r="AB5860" t="str">
        <f>HYPERLINK("Melting_Curves/meltCurve_Q9NSE2_CISH.pdf", "Melting_Curves/meltCurve_Q9NSE2_CISH.pdf")</f>
        <v>Melting_Curves/meltCurve_Q9NSE2_CISH.pdf</v>
      </c>
    </row>
    <row r="5861" spans="1:28" x14ac:dyDescent="0.25">
      <c r="A5861" t="s">
        <v>5864</v>
      </c>
      <c r="B5861">
        <v>0.99930955844802105</v>
      </c>
      <c r="C5861">
        <v>0.98263379709193399</v>
      </c>
      <c r="D5861">
        <v>0.95179124013199801</v>
      </c>
      <c r="E5861">
        <v>0.88764361894016297</v>
      </c>
      <c r="F5861">
        <v>0.69462124161129002</v>
      </c>
      <c r="G5861">
        <v>0.293812307829102</v>
      </c>
      <c r="H5861">
        <v>0.116946331043144</v>
      </c>
      <c r="I5861">
        <v>8.9096631873826895E-2</v>
      </c>
      <c r="J5861">
        <v>7.5797617861449507E-2</v>
      </c>
      <c r="K5861">
        <v>5.8431526215441197E-2</v>
      </c>
      <c r="L5861">
        <v>1292.0060133560501</v>
      </c>
      <c r="M5861">
        <v>23.714286372073001</v>
      </c>
      <c r="N5861">
        <v>54.759278234321698</v>
      </c>
      <c r="O5861">
        <v>54.099191553877098</v>
      </c>
      <c r="P5861">
        <v>-0.10339268746713599</v>
      </c>
      <c r="Q5861">
        <v>5.6540351105015201E-2</v>
      </c>
      <c r="R5861">
        <v>0.99862790706151305</v>
      </c>
      <c r="S5861" t="s">
        <v>12477</v>
      </c>
      <c r="T5861" t="s">
        <v>13232</v>
      </c>
      <c r="U5861" t="s">
        <v>13232</v>
      </c>
      <c r="V5861" t="s">
        <v>13232</v>
      </c>
      <c r="W5861" t="s">
        <v>19021</v>
      </c>
      <c r="X5861">
        <v>35</v>
      </c>
      <c r="Y5861" t="s">
        <v>25408</v>
      </c>
      <c r="Z5861" t="s">
        <v>31992</v>
      </c>
      <c r="AA5861">
        <v>0.52157587883982892</v>
      </c>
      <c r="AB5861" t="str">
        <f>HYPERLINK("Melting_Curves/meltCurve_Q9NSE4_IARS2.pdf", "Melting_Curves/meltCurve_Q9NSE4_IARS2.pdf")</f>
        <v>Melting_Curves/meltCurve_Q9NSE4_IARS2.pdf</v>
      </c>
    </row>
    <row r="5862" spans="1:28" x14ac:dyDescent="0.25">
      <c r="A5862" t="s">
        <v>5865</v>
      </c>
      <c r="B5862">
        <v>0.99930955844802105</v>
      </c>
      <c r="C5862">
        <v>0.89479884708957003</v>
      </c>
      <c r="D5862">
        <v>0.85638582490425696</v>
      </c>
      <c r="E5862">
        <v>0.860101292520423</v>
      </c>
      <c r="F5862">
        <v>0.64544542738267596</v>
      </c>
      <c r="G5862">
        <v>0.45868023921463102</v>
      </c>
      <c r="H5862">
        <v>0.33126275033741898</v>
      </c>
      <c r="I5862">
        <v>0.248921945251636</v>
      </c>
      <c r="J5862">
        <v>0.21813029462442801</v>
      </c>
      <c r="K5862">
        <v>0.16911181627427799</v>
      </c>
      <c r="L5862">
        <v>570.88467227784099</v>
      </c>
      <c r="M5862">
        <v>10.235745755817399</v>
      </c>
      <c r="N5862">
        <v>56.492075576270501</v>
      </c>
      <c r="O5862">
        <v>53.770545335263499</v>
      </c>
      <c r="P5862">
        <v>-4.47054402226017E-2</v>
      </c>
      <c r="Q5862">
        <v>6.1029070575963199E-2</v>
      </c>
      <c r="R5862">
        <v>0.98488722661243899</v>
      </c>
      <c r="S5862" t="s">
        <v>12478</v>
      </c>
      <c r="T5862" t="s">
        <v>13232</v>
      </c>
      <c r="U5862" t="s">
        <v>13232</v>
      </c>
      <c r="V5862" t="s">
        <v>13232</v>
      </c>
      <c r="W5862" t="s">
        <v>13629</v>
      </c>
      <c r="X5862">
        <v>4</v>
      </c>
      <c r="Y5862" t="s">
        <v>20168</v>
      </c>
      <c r="Z5862" t="s">
        <v>31993</v>
      </c>
      <c r="AA5862">
        <v>0.57553777134447193</v>
      </c>
      <c r="AB5862" t="str">
        <f>HYPERLINK("Melting_Curves/meltCurve_Q9NSG2_C1orf112.pdf", "Melting_Curves/meltCurve_Q9NSG2_C1orf112.pdf")</f>
        <v>Melting_Curves/meltCurve_Q9NSG2_C1orf112.pdf</v>
      </c>
    </row>
    <row r="5863" spans="1:28" x14ac:dyDescent="0.25">
      <c r="A5863" t="s">
        <v>5866</v>
      </c>
      <c r="B5863">
        <v>0.99930955844802105</v>
      </c>
      <c r="C5863">
        <v>0.94111522087412502</v>
      </c>
      <c r="D5863">
        <v>0.95125151332060198</v>
      </c>
      <c r="E5863">
        <v>0.96364283099330705</v>
      </c>
      <c r="F5863">
        <v>0.795797889346056</v>
      </c>
      <c r="G5863">
        <v>0.41321155529261699</v>
      </c>
      <c r="H5863">
        <v>0.29220270986567298</v>
      </c>
      <c r="I5863">
        <v>0.320386561653491</v>
      </c>
      <c r="J5863">
        <v>0.309233669592132</v>
      </c>
      <c r="K5863">
        <v>0.25884268199278299</v>
      </c>
      <c r="L5863">
        <v>1844.8802743874101</v>
      </c>
      <c r="M5863">
        <v>33.915951149207899</v>
      </c>
      <c r="N5863">
        <v>55.818036781952301</v>
      </c>
      <c r="O5863">
        <v>54.207589377378604</v>
      </c>
      <c r="P5863">
        <v>-0.111162987416818</v>
      </c>
      <c r="Q5863">
        <v>0.28931927501087601</v>
      </c>
      <c r="R5863">
        <v>0.99183817109563099</v>
      </c>
      <c r="S5863" t="s">
        <v>12479</v>
      </c>
      <c r="T5863" t="s">
        <v>13232</v>
      </c>
      <c r="U5863" t="s">
        <v>13232</v>
      </c>
      <c r="V5863" t="s">
        <v>13232</v>
      </c>
      <c r="W5863" t="s">
        <v>19022</v>
      </c>
      <c r="X5863">
        <v>11</v>
      </c>
      <c r="Y5863" t="s">
        <v>25409</v>
      </c>
      <c r="Z5863" t="s">
        <v>31994</v>
      </c>
      <c r="AA5863">
        <v>0.63403851373414122</v>
      </c>
      <c r="AB5863" t="str">
        <f>HYPERLINK("Melting_Curves/meltCurve_Q9NSI2_2_FAM207A.pdf", "Melting_Curves/meltCurve_Q9NSI2_2_FAM207A.pdf")</f>
        <v>Melting_Curves/meltCurve_Q9NSI2_2_FAM207A.pdf</v>
      </c>
    </row>
    <row r="5864" spans="1:28" x14ac:dyDescent="0.25">
      <c r="A5864" t="s">
        <v>5867</v>
      </c>
      <c r="B5864">
        <v>0.99930955844802105</v>
      </c>
      <c r="C5864">
        <v>1.13540133517146</v>
      </c>
      <c r="D5864">
        <v>1.1418869444517701</v>
      </c>
      <c r="E5864">
        <v>1.18705345863403</v>
      </c>
      <c r="F5864">
        <v>1.0137649230575101</v>
      </c>
      <c r="G5864">
        <v>0.87755252557017505</v>
      </c>
      <c r="H5864">
        <v>0.90748755354127897</v>
      </c>
      <c r="I5864">
        <v>1.0018427352508299</v>
      </c>
      <c r="J5864">
        <v>0.92169324572473599</v>
      </c>
      <c r="K5864">
        <v>0.733544820937157</v>
      </c>
      <c r="L5864">
        <v>2125.9535369379</v>
      </c>
      <c r="M5864">
        <v>29.344772351512098</v>
      </c>
      <c r="Q5864">
        <v>0</v>
      </c>
      <c r="R5864">
        <v>0.441996619947083</v>
      </c>
      <c r="S5864" t="s">
        <v>12480</v>
      </c>
      <c r="T5864" t="s">
        <v>13232</v>
      </c>
      <c r="U5864" t="s">
        <v>13232</v>
      </c>
      <c r="V5864" t="s">
        <v>13232</v>
      </c>
      <c r="W5864" t="s">
        <v>19023</v>
      </c>
      <c r="X5864">
        <v>6</v>
      </c>
      <c r="Y5864" t="s">
        <v>25410</v>
      </c>
      <c r="Z5864" t="s">
        <v>31995</v>
      </c>
      <c r="AA5864">
        <v>0.9779852580823224</v>
      </c>
      <c r="AB5864" t="str">
        <f>HYPERLINK("Melting_Curves/meltCurve_Q9NSI6_3_BRWD1.pdf", "Melting_Curves/meltCurve_Q9NSI6_3_BRWD1.pdf")</f>
        <v>Melting_Curves/meltCurve_Q9NSI6_3_BRWD1.pdf</v>
      </c>
    </row>
    <row r="5865" spans="1:28" x14ac:dyDescent="0.25">
      <c r="A5865" t="s">
        <v>5868</v>
      </c>
      <c r="B5865">
        <v>0.99930955844802105</v>
      </c>
      <c r="C5865">
        <v>1.0155295801608899</v>
      </c>
      <c r="D5865">
        <v>1.0268277381032</v>
      </c>
      <c r="E5865">
        <v>0.98324269124842001</v>
      </c>
      <c r="F5865">
        <v>0.79143267002063999</v>
      </c>
      <c r="G5865">
        <v>0.652232915751492</v>
      </c>
      <c r="H5865">
        <v>0.57899542419486805</v>
      </c>
      <c r="I5865">
        <v>0.58720707714043796</v>
      </c>
      <c r="J5865">
        <v>0.57780473806429999</v>
      </c>
      <c r="K5865">
        <v>0.47160975128717397</v>
      </c>
      <c r="L5865">
        <v>1353.71819020508</v>
      </c>
      <c r="M5865">
        <v>25.083772137151801</v>
      </c>
      <c r="O5865">
        <v>53.628395085720598</v>
      </c>
      <c r="P5865">
        <v>-5.3225245521320498E-2</v>
      </c>
      <c r="Q5865">
        <v>0.54482982822952697</v>
      </c>
      <c r="R5865">
        <v>0.97318767185112098</v>
      </c>
      <c r="S5865" t="s">
        <v>12481</v>
      </c>
      <c r="T5865" t="s">
        <v>13232</v>
      </c>
      <c r="U5865" t="s">
        <v>13232</v>
      </c>
      <c r="V5865" t="s">
        <v>13232</v>
      </c>
      <c r="W5865" t="s">
        <v>19024</v>
      </c>
      <c r="X5865">
        <v>26</v>
      </c>
      <c r="Y5865" t="s">
        <v>25411</v>
      </c>
      <c r="Z5865" t="s">
        <v>31996</v>
      </c>
      <c r="AA5865">
        <v>0.76094136510204013</v>
      </c>
      <c r="AB5865" t="str">
        <f>HYPERLINK("Melting_Curves/meltCurve_Q9NSI8_SAMSN1.pdf", "Melting_Curves/meltCurve_Q9NSI8_SAMSN1.pdf")</f>
        <v>Melting_Curves/meltCurve_Q9NSI8_SAMSN1.pdf</v>
      </c>
    </row>
    <row r="5866" spans="1:28" x14ac:dyDescent="0.25">
      <c r="A5866" t="s">
        <v>5869</v>
      </c>
      <c r="B5866">
        <v>0.99930955844802105</v>
      </c>
      <c r="C5866">
        <v>0.857956071778192</v>
      </c>
      <c r="D5866">
        <v>0.88580295507797302</v>
      </c>
      <c r="E5866">
        <v>0.47980276009248102</v>
      </c>
      <c r="F5866">
        <v>0.25459482889104201</v>
      </c>
      <c r="G5866">
        <v>0.186685734461779</v>
      </c>
      <c r="H5866">
        <v>0.14006966498088</v>
      </c>
      <c r="I5866">
        <v>0.13961720518357401</v>
      </c>
      <c r="J5866">
        <v>0.13505891192698</v>
      </c>
      <c r="K5866">
        <v>0.107182215243324</v>
      </c>
      <c r="L5866">
        <v>1061.65852335977</v>
      </c>
      <c r="M5866">
        <v>21.598469065477701</v>
      </c>
      <c r="N5866">
        <v>49.8196784577732</v>
      </c>
      <c r="O5866">
        <v>48.738787809873898</v>
      </c>
      <c r="P5866">
        <v>-9.6909195537296003E-2</v>
      </c>
      <c r="Q5866">
        <v>0.12528553005173099</v>
      </c>
      <c r="R5866">
        <v>0.98720596620835999</v>
      </c>
      <c r="S5866" t="s">
        <v>12482</v>
      </c>
      <c r="T5866" t="s">
        <v>13232</v>
      </c>
      <c r="U5866" t="s">
        <v>13232</v>
      </c>
      <c r="V5866" t="s">
        <v>13232</v>
      </c>
      <c r="W5866" t="s">
        <v>19025</v>
      </c>
      <c r="X5866">
        <v>29</v>
      </c>
      <c r="Y5866" t="s">
        <v>25412</v>
      </c>
      <c r="Z5866" t="s">
        <v>31997</v>
      </c>
      <c r="AA5866">
        <v>0.40266807575261088</v>
      </c>
      <c r="AB5866" t="str">
        <f>HYPERLINK("Melting_Curves/meltCurve_Q9NSK0_KLC4.pdf", "Melting_Curves/meltCurve_Q9NSK0_KLC4.pdf")</f>
        <v>Melting_Curves/meltCurve_Q9NSK0_KLC4.pdf</v>
      </c>
    </row>
    <row r="5867" spans="1:28" x14ac:dyDescent="0.25">
      <c r="A5867" t="s">
        <v>5870</v>
      </c>
      <c r="B5867">
        <v>0.99930955844802105</v>
      </c>
      <c r="C5867">
        <v>1.1505900216481</v>
      </c>
      <c r="D5867">
        <v>0.84754902062613102</v>
      </c>
      <c r="E5867">
        <v>0.671336876849841</v>
      </c>
      <c r="F5867">
        <v>0.46737792231701297</v>
      </c>
      <c r="G5867">
        <v>0.47040710580369299</v>
      </c>
      <c r="H5867">
        <v>0.441265572766605</v>
      </c>
      <c r="I5867">
        <v>0.34786731855592301</v>
      </c>
      <c r="J5867">
        <v>0.45311511655373599</v>
      </c>
      <c r="K5867">
        <v>0.32600756134776598</v>
      </c>
      <c r="L5867">
        <v>1176.79927134478</v>
      </c>
      <c r="M5867">
        <v>23.8573061084372</v>
      </c>
      <c r="N5867">
        <v>52.836146112567597</v>
      </c>
      <c r="O5867">
        <v>48.983938995270002</v>
      </c>
      <c r="P5867">
        <v>-7.3362799518203903E-2</v>
      </c>
      <c r="Q5867">
        <v>0.397494427217084</v>
      </c>
      <c r="R5867">
        <v>0.93622384988496898</v>
      </c>
      <c r="S5867" t="s">
        <v>12483</v>
      </c>
      <c r="T5867" t="s">
        <v>13232</v>
      </c>
      <c r="U5867" t="s">
        <v>13232</v>
      </c>
      <c r="V5867" t="s">
        <v>13232</v>
      </c>
      <c r="W5867" t="s">
        <v>19026</v>
      </c>
      <c r="X5867">
        <v>2</v>
      </c>
      <c r="Y5867" t="s">
        <v>25413</v>
      </c>
      <c r="Z5867" t="s">
        <v>31998</v>
      </c>
      <c r="AA5867">
        <v>0.59069313069133811</v>
      </c>
      <c r="AB5867" t="str">
        <f>HYPERLINK("Melting_Curves/meltCurve_Q9NSQ0_RRP7B.pdf", "Melting_Curves/meltCurve_Q9NSQ0_RRP7B.pdf")</f>
        <v>Melting_Curves/meltCurve_Q9NSQ0_RRP7B.pdf</v>
      </c>
    </row>
    <row r="5868" spans="1:28" x14ac:dyDescent="0.25">
      <c r="A5868" t="s">
        <v>5871</v>
      </c>
      <c r="B5868">
        <v>0.99930955844802105</v>
      </c>
      <c r="C5868">
        <v>0.99769387637726303</v>
      </c>
      <c r="D5868">
        <v>0.90456860819332296</v>
      </c>
      <c r="E5868">
        <v>0.55567251580249599</v>
      </c>
      <c r="F5868">
        <v>0.25810031201921102</v>
      </c>
      <c r="G5868">
        <v>0.173563143179991</v>
      </c>
      <c r="H5868">
        <v>9.0811580613124998E-2</v>
      </c>
      <c r="I5868">
        <v>6.3081246505531693E-2</v>
      </c>
      <c r="J5868">
        <v>4.5481977393947902E-2</v>
      </c>
      <c r="K5868">
        <v>3.0594477881506401E-2</v>
      </c>
      <c r="L5868">
        <v>1119.3638576283199</v>
      </c>
      <c r="M5868">
        <v>22.2694266846921</v>
      </c>
      <c r="N5868">
        <v>50.540777721786597</v>
      </c>
      <c r="O5868">
        <v>49.864548834842601</v>
      </c>
      <c r="P5868">
        <v>-0.105255605356166</v>
      </c>
      <c r="Q5868">
        <v>5.7288406003784098E-2</v>
      </c>
      <c r="R5868">
        <v>0.99661218126758</v>
      </c>
      <c r="S5868" t="s">
        <v>12484</v>
      </c>
      <c r="T5868" t="s">
        <v>13232</v>
      </c>
      <c r="U5868" t="s">
        <v>13232</v>
      </c>
      <c r="V5868" t="s">
        <v>13232</v>
      </c>
      <c r="W5868" t="s">
        <v>19027</v>
      </c>
      <c r="X5868">
        <v>8</v>
      </c>
      <c r="Y5868" t="s">
        <v>25414</v>
      </c>
      <c r="Z5868" t="s">
        <v>31999</v>
      </c>
      <c r="AA5868">
        <v>0.39047115604650873</v>
      </c>
      <c r="AB5868" t="str">
        <f>HYPERLINK("Melting_Curves/meltCurve_Q9NSY0_NRBP2.pdf", "Melting_Curves/meltCurve_Q9NSY0_NRBP2.pdf")</f>
        <v>Melting_Curves/meltCurve_Q9NSY0_NRBP2.pdf</v>
      </c>
    </row>
    <row r="5869" spans="1:28" x14ac:dyDescent="0.25">
      <c r="A5869" t="s">
        <v>5872</v>
      </c>
      <c r="B5869">
        <v>0.99930955844802105</v>
      </c>
      <c r="C5869">
        <v>0.99958948848370199</v>
      </c>
      <c r="D5869">
        <v>0.99246648485231204</v>
      </c>
      <c r="E5869">
        <v>0.91123665325804803</v>
      </c>
      <c r="F5869">
        <v>0.77621580417279801</v>
      </c>
      <c r="G5869">
        <v>0.66022171796228102</v>
      </c>
      <c r="H5869">
        <v>0.58878211226739097</v>
      </c>
      <c r="I5869">
        <v>0.596935462349374</v>
      </c>
      <c r="J5869">
        <v>0.56549873537721096</v>
      </c>
      <c r="K5869">
        <v>0.46182987297009798</v>
      </c>
      <c r="L5869">
        <v>828.40349325041802</v>
      </c>
      <c r="M5869">
        <v>15.259622415489501</v>
      </c>
      <c r="O5869">
        <v>53.380587805136997</v>
      </c>
      <c r="P5869">
        <v>-3.5094644042551901E-2</v>
      </c>
      <c r="Q5869">
        <v>0.50897977775097902</v>
      </c>
      <c r="R5869">
        <v>0.97861802374658402</v>
      </c>
      <c r="S5869" t="s">
        <v>12485</v>
      </c>
      <c r="T5869" t="s">
        <v>13232</v>
      </c>
      <c r="U5869" t="s">
        <v>13232</v>
      </c>
      <c r="V5869" t="s">
        <v>13232</v>
      </c>
      <c r="W5869" t="s">
        <v>19028</v>
      </c>
      <c r="X5869">
        <v>21</v>
      </c>
      <c r="Y5869" t="s">
        <v>25415</v>
      </c>
      <c r="Z5869" t="s">
        <v>32000</v>
      </c>
      <c r="AA5869">
        <v>0.75253547778644636</v>
      </c>
      <c r="AB5869" t="str">
        <f>HYPERLINK("Melting_Curves/meltCurve_Q9NSY1_BMP2K.pdf", "Melting_Curves/meltCurve_Q9NSY1_BMP2K.pdf")</f>
        <v>Melting_Curves/meltCurve_Q9NSY1_BMP2K.pdf</v>
      </c>
    </row>
    <row r="5870" spans="1:28" x14ac:dyDescent="0.25">
      <c r="A5870" t="s">
        <v>5873</v>
      </c>
      <c r="B5870">
        <v>0.99930955844802105</v>
      </c>
      <c r="C5870">
        <v>1.0663278323074099</v>
      </c>
      <c r="D5870">
        <v>1.0421219968020801</v>
      </c>
      <c r="E5870">
        <v>0.90762267946241904</v>
      </c>
      <c r="F5870">
        <v>0.68600455815584904</v>
      </c>
      <c r="G5870">
        <v>0.37383327545538703</v>
      </c>
      <c r="H5870">
        <v>0.22352715314611801</v>
      </c>
      <c r="I5870">
        <v>0.19880381483210999</v>
      </c>
      <c r="J5870">
        <v>0.17834155941978799</v>
      </c>
      <c r="K5870">
        <v>0.14088104766599999</v>
      </c>
      <c r="L5870">
        <v>1288.8843558619301</v>
      </c>
      <c r="M5870">
        <v>23.739550904925501</v>
      </c>
      <c r="N5870">
        <v>55.206136640852101</v>
      </c>
      <c r="O5870">
        <v>53.911847704096203</v>
      </c>
      <c r="P5870">
        <v>-9.2207051695059203E-2</v>
      </c>
      <c r="Q5870">
        <v>0.16241541373524199</v>
      </c>
      <c r="R5870">
        <v>0.99390100350700195</v>
      </c>
      <c r="S5870" t="s">
        <v>12486</v>
      </c>
      <c r="T5870" t="s">
        <v>13232</v>
      </c>
      <c r="U5870" t="s">
        <v>13232</v>
      </c>
      <c r="V5870" t="s">
        <v>13232</v>
      </c>
      <c r="W5870" t="s">
        <v>19029</v>
      </c>
      <c r="X5870">
        <v>12</v>
      </c>
      <c r="Y5870" t="s">
        <v>25416</v>
      </c>
      <c r="Z5870" t="s">
        <v>32001</v>
      </c>
      <c r="AA5870">
        <v>0.56996386881828776</v>
      </c>
      <c r="AB5870" t="str">
        <f>HYPERLINK("Melting_Curves/meltCurve_Q9NT62_ATG3.pdf", "Melting_Curves/meltCurve_Q9NT62_ATG3.pdf")</f>
        <v>Melting_Curves/meltCurve_Q9NT62_ATG3.pdf</v>
      </c>
    </row>
    <row r="5871" spans="1:28" x14ac:dyDescent="0.25">
      <c r="A5871" t="s">
        <v>5874</v>
      </c>
      <c r="B5871">
        <v>0.99930955844802105</v>
      </c>
      <c r="C5871">
        <v>0.99801508020454699</v>
      </c>
      <c r="D5871">
        <v>0.87255458105524697</v>
      </c>
      <c r="E5871">
        <v>0.65615325100081701</v>
      </c>
      <c r="F5871">
        <v>0.53766863437182999</v>
      </c>
      <c r="G5871">
        <v>0.39660443835884102</v>
      </c>
      <c r="H5871">
        <v>0.18138069598012599</v>
      </c>
      <c r="I5871">
        <v>6.1884869045780402E-2</v>
      </c>
      <c r="J5871">
        <v>3.00828777448705E-2</v>
      </c>
      <c r="K5871">
        <v>2.4313161692102198E-2</v>
      </c>
      <c r="L5871">
        <v>675.321174885358</v>
      </c>
      <c r="M5871">
        <v>12.6166100040953</v>
      </c>
      <c r="N5871">
        <v>53.526359181870802</v>
      </c>
      <c r="O5871">
        <v>52.235061139829902</v>
      </c>
      <c r="P5871">
        <v>-6.0395824383700301E-2</v>
      </c>
      <c r="Q5871">
        <v>0</v>
      </c>
      <c r="R5871">
        <v>0.988439397090074</v>
      </c>
      <c r="S5871" t="s">
        <v>12487</v>
      </c>
      <c r="T5871" t="s">
        <v>13232</v>
      </c>
      <c r="U5871" t="s">
        <v>13232</v>
      </c>
      <c r="V5871" t="s">
        <v>13232</v>
      </c>
      <c r="W5871" t="s">
        <v>19030</v>
      </c>
      <c r="X5871">
        <v>4</v>
      </c>
      <c r="Y5871" t="s">
        <v>25417</v>
      </c>
      <c r="Z5871" t="s">
        <v>32002</v>
      </c>
      <c r="AA5871">
        <v>0.47674438403741692</v>
      </c>
      <c r="AB5871" t="str">
        <f>HYPERLINK("Melting_Curves/meltCurve_Q9NT99_LRRC4B.pdf", "Melting_Curves/meltCurve_Q9NT99_LRRC4B.pdf")</f>
        <v>Melting_Curves/meltCurve_Q9NT99_LRRC4B.pdf</v>
      </c>
    </row>
    <row r="5872" spans="1:28" x14ac:dyDescent="0.25">
      <c r="A5872" t="s">
        <v>5875</v>
      </c>
      <c r="B5872">
        <v>0.99930955844802105</v>
      </c>
      <c r="C5872">
        <v>0.95975834364823298</v>
      </c>
      <c r="D5872">
        <v>1.01601425527028</v>
      </c>
      <c r="E5872">
        <v>0.74253374441467002</v>
      </c>
      <c r="F5872">
        <v>0.33843193178735098</v>
      </c>
      <c r="G5872">
        <v>0.184708906517451</v>
      </c>
      <c r="H5872">
        <v>0.11314377412073701</v>
      </c>
      <c r="I5872">
        <v>8.1868225508512596E-2</v>
      </c>
      <c r="J5872">
        <v>9.92754487751972E-2</v>
      </c>
      <c r="K5872">
        <v>6.3259470003467905E-2</v>
      </c>
      <c r="L5872">
        <v>1605.0685990614099</v>
      </c>
      <c r="M5872">
        <v>31.193835485173899</v>
      </c>
      <c r="N5872">
        <v>51.807427504578897</v>
      </c>
      <c r="O5872">
        <v>51.244592635515602</v>
      </c>
      <c r="P5872">
        <v>-0.13762141903959599</v>
      </c>
      <c r="Q5872">
        <v>9.5678473904161801E-2</v>
      </c>
      <c r="R5872">
        <v>0.99560730893472404</v>
      </c>
      <c r="S5872" t="s">
        <v>12488</v>
      </c>
      <c r="T5872" t="s">
        <v>13232</v>
      </c>
      <c r="U5872" t="s">
        <v>13232</v>
      </c>
      <c r="V5872" t="s">
        <v>13232</v>
      </c>
      <c r="W5872" t="s">
        <v>19031</v>
      </c>
      <c r="X5872">
        <v>2</v>
      </c>
      <c r="Y5872" t="s">
        <v>25418</v>
      </c>
      <c r="Z5872" t="s">
        <v>32003</v>
      </c>
      <c r="AA5872">
        <v>0.44626746407983631</v>
      </c>
      <c r="AB5872" t="str">
        <f>HYPERLINK("Melting_Curves/meltCurve_Q9NTG7_SIRT3.pdf", "Melting_Curves/meltCurve_Q9NTG7_SIRT3.pdf")</f>
        <v>Melting_Curves/meltCurve_Q9NTG7_SIRT3.pdf</v>
      </c>
    </row>
    <row r="5873" spans="1:28" x14ac:dyDescent="0.25">
      <c r="A5873" t="s">
        <v>5876</v>
      </c>
      <c r="B5873">
        <v>0.99930955844802105</v>
      </c>
      <c r="C5873">
        <v>0.691615761796887</v>
      </c>
      <c r="D5873">
        <v>0.58947757435775106</v>
      </c>
      <c r="E5873">
        <v>0.37548153158196901</v>
      </c>
      <c r="F5873">
        <v>0.268935719610496</v>
      </c>
      <c r="G5873">
        <v>0.219078446434265</v>
      </c>
      <c r="H5873">
        <v>0.18833482265079199</v>
      </c>
      <c r="I5873">
        <v>0.198263185915317</v>
      </c>
      <c r="J5873">
        <v>0.193970040638242</v>
      </c>
      <c r="K5873">
        <v>0.14784660372094499</v>
      </c>
      <c r="L5873">
        <v>662.018043720077</v>
      </c>
      <c r="M5873">
        <v>14.4649539156981</v>
      </c>
      <c r="N5873">
        <v>47.1397943459964</v>
      </c>
      <c r="O5873">
        <v>44.918999180569699</v>
      </c>
      <c r="P5873">
        <v>-6.6676057379891698E-2</v>
      </c>
      <c r="Q5873">
        <v>0.171882009762618</v>
      </c>
      <c r="R5873">
        <v>0.97702501279822096</v>
      </c>
      <c r="S5873" t="s">
        <v>12489</v>
      </c>
      <c r="T5873" t="s">
        <v>13232</v>
      </c>
      <c r="U5873" t="s">
        <v>13232</v>
      </c>
      <c r="V5873" t="s">
        <v>13232</v>
      </c>
      <c r="W5873" t="s">
        <v>19032</v>
      </c>
      <c r="X5873">
        <v>45</v>
      </c>
      <c r="Y5873" t="s">
        <v>25419</v>
      </c>
      <c r="Z5873" t="s">
        <v>32004</v>
      </c>
      <c r="AA5873">
        <v>0.35769387468125008</v>
      </c>
      <c r="AB5873" t="str">
        <f>HYPERLINK("Melting_Curves/meltCurve_Q9NTI5_2_PDS5B.pdf", "Melting_Curves/meltCurve_Q9NTI5_2_PDS5B.pdf")</f>
        <v>Melting_Curves/meltCurve_Q9NTI5_2_PDS5B.pdf</v>
      </c>
    </row>
    <row r="5874" spans="1:28" x14ac:dyDescent="0.25">
      <c r="A5874" t="s">
        <v>5877</v>
      </c>
      <c r="B5874">
        <v>0.99930955844802105</v>
      </c>
      <c r="C5874">
        <v>0.66538602591818896</v>
      </c>
      <c r="D5874">
        <v>0.495394997473807</v>
      </c>
      <c r="E5874">
        <v>0.240493900073428</v>
      </c>
      <c r="F5874">
        <v>0.13892826299811001</v>
      </c>
      <c r="G5874">
        <v>0.100282511407031</v>
      </c>
      <c r="H5874">
        <v>6.3205584779140206E-2</v>
      </c>
      <c r="I5874">
        <v>5.5998466181601599E-2</v>
      </c>
      <c r="J5874">
        <v>5.0599360112735102E-2</v>
      </c>
      <c r="K5874">
        <v>3.98875054526006E-2</v>
      </c>
      <c r="L5874">
        <v>732.323218966372</v>
      </c>
      <c r="M5874">
        <v>16.1075078095039</v>
      </c>
      <c r="N5874">
        <v>45.763870219713397</v>
      </c>
      <c r="O5874">
        <v>44.781271837985102</v>
      </c>
      <c r="P5874">
        <v>-8.5436272281499304E-2</v>
      </c>
      <c r="Q5874">
        <v>4.9970309003833403E-2</v>
      </c>
      <c r="R5874">
        <v>0.98474563792361902</v>
      </c>
      <c r="S5874" t="s">
        <v>12490</v>
      </c>
      <c r="T5874" t="s">
        <v>13232</v>
      </c>
      <c r="U5874" t="s">
        <v>13232</v>
      </c>
      <c r="V5874" t="s">
        <v>13232</v>
      </c>
      <c r="W5874" t="s">
        <v>19033</v>
      </c>
      <c r="X5874">
        <v>51</v>
      </c>
      <c r="Y5874" t="s">
        <v>20199</v>
      </c>
      <c r="Z5874" t="s">
        <v>32005</v>
      </c>
      <c r="AA5874">
        <v>0.24801057982901331</v>
      </c>
      <c r="AB5874" t="str">
        <f>HYPERLINK("Melting_Curves/meltCurve_Q9NTJ3_SMC4.pdf", "Melting_Curves/meltCurve_Q9NTJ3_SMC4.pdf")</f>
        <v>Melting_Curves/meltCurve_Q9NTJ3_SMC4.pdf</v>
      </c>
    </row>
    <row r="5875" spans="1:28" x14ac:dyDescent="0.25">
      <c r="A5875" t="s">
        <v>5878</v>
      </c>
      <c r="B5875">
        <v>0.99930955844802105</v>
      </c>
      <c r="C5875">
        <v>0.65710975836630803</v>
      </c>
      <c r="D5875">
        <v>0.72632957022713096</v>
      </c>
      <c r="E5875">
        <v>0.79479336461444205</v>
      </c>
      <c r="F5875">
        <v>0.59798419256930302</v>
      </c>
      <c r="G5875">
        <v>0.23606981714511099</v>
      </c>
      <c r="H5875">
        <v>0.114747564503358</v>
      </c>
      <c r="I5875">
        <v>0.103361706780333</v>
      </c>
      <c r="J5875">
        <v>7.4040003394249099E-2</v>
      </c>
      <c r="K5875">
        <v>6.5370635394114404E-2</v>
      </c>
      <c r="L5875">
        <v>538.61424324224595</v>
      </c>
      <c r="M5875">
        <v>10.2439498428958</v>
      </c>
      <c r="N5875">
        <v>52.578762657953497</v>
      </c>
      <c r="O5875">
        <v>50.693291278573</v>
      </c>
      <c r="P5875">
        <v>-5.0541684286902998E-2</v>
      </c>
      <c r="Q5875">
        <v>0</v>
      </c>
      <c r="R5875">
        <v>0.88630003221637299</v>
      </c>
      <c r="S5875" t="s">
        <v>12491</v>
      </c>
      <c r="T5875" t="s">
        <v>13232</v>
      </c>
      <c r="U5875" t="s">
        <v>13232</v>
      </c>
      <c r="V5875" t="s">
        <v>13232</v>
      </c>
      <c r="W5875" t="s">
        <v>19034</v>
      </c>
      <c r="X5875">
        <v>13</v>
      </c>
      <c r="Y5875" t="s">
        <v>25420</v>
      </c>
      <c r="Z5875" t="s">
        <v>32006</v>
      </c>
      <c r="AA5875">
        <v>0.45425931353940208</v>
      </c>
      <c r="AB5875" t="str">
        <f>HYPERLINK("Melting_Curves/meltCurve_Q9NTJ4_3_MAN2C1.pdf", "Melting_Curves/meltCurve_Q9NTJ4_3_MAN2C1.pdf")</f>
        <v>Melting_Curves/meltCurve_Q9NTJ4_3_MAN2C1.pdf</v>
      </c>
    </row>
    <row r="5876" spans="1:28" x14ac:dyDescent="0.25">
      <c r="A5876" t="s">
        <v>5879</v>
      </c>
      <c r="B5876">
        <v>0.99930955844802105</v>
      </c>
      <c r="C5876">
        <v>0.96487716695711601</v>
      </c>
      <c r="D5876">
        <v>0.95598374497285099</v>
      </c>
      <c r="E5876">
        <v>0.57388791090232105</v>
      </c>
      <c r="F5876">
        <v>0.15076292554944001</v>
      </c>
      <c r="G5876">
        <v>0.104179620807815</v>
      </c>
      <c r="H5876">
        <v>5.9186791362782903E-2</v>
      </c>
      <c r="I5876">
        <v>4.9524021942673399E-2</v>
      </c>
      <c r="J5876">
        <v>4.2246646208272301E-2</v>
      </c>
      <c r="K5876">
        <v>3.3337255408637301E-2</v>
      </c>
      <c r="L5876">
        <v>1895.9902749448199</v>
      </c>
      <c r="M5876">
        <v>37.7508237829298</v>
      </c>
      <c r="N5876">
        <v>50.372603744052299</v>
      </c>
      <c r="O5876">
        <v>50.083501965591999</v>
      </c>
      <c r="P5876">
        <v>-0.178498673672386</v>
      </c>
      <c r="Q5876">
        <v>5.27554844926292E-2</v>
      </c>
      <c r="R5876">
        <v>0.99765028426267499</v>
      </c>
      <c r="S5876" t="s">
        <v>12492</v>
      </c>
      <c r="T5876" t="s">
        <v>13232</v>
      </c>
      <c r="U5876" t="s">
        <v>13232</v>
      </c>
      <c r="V5876" t="s">
        <v>13232</v>
      </c>
      <c r="W5876" t="s">
        <v>19035</v>
      </c>
      <c r="X5876">
        <v>26</v>
      </c>
      <c r="Y5876" t="s">
        <v>25421</v>
      </c>
      <c r="Z5876" t="s">
        <v>32007</v>
      </c>
      <c r="AA5876">
        <v>0.37926716979141689</v>
      </c>
      <c r="AB5876" t="str">
        <f>HYPERLINK("Melting_Curves/meltCurve_Q9NTK5_OLA1.pdf", "Melting_Curves/meltCurve_Q9NTK5_OLA1.pdf")</f>
        <v>Melting_Curves/meltCurve_Q9NTK5_OLA1.pdf</v>
      </c>
    </row>
    <row r="5877" spans="1:28" x14ac:dyDescent="0.25">
      <c r="A5877" t="s">
        <v>5880</v>
      </c>
      <c r="B5877">
        <v>0.99930955844802105</v>
      </c>
      <c r="C5877">
        <v>1.2411714494672501</v>
      </c>
      <c r="D5877">
        <v>1.3502876470832501</v>
      </c>
      <c r="E5877">
        <v>1.38639767806612</v>
      </c>
      <c r="F5877">
        <v>1.3403445360124899</v>
      </c>
      <c r="G5877">
        <v>1.07427540973804</v>
      </c>
      <c r="H5877">
        <v>1.10098598282541</v>
      </c>
      <c r="I5877">
        <v>0.99471334551185897</v>
      </c>
      <c r="J5877">
        <v>1.17480784809662</v>
      </c>
      <c r="K5877">
        <v>0.84591397743400998</v>
      </c>
      <c r="L5877">
        <v>15000</v>
      </c>
      <c r="M5877">
        <v>212.58268005143299</v>
      </c>
      <c r="Q5877">
        <v>0</v>
      </c>
      <c r="R5877">
        <v>-0.70598315171141002</v>
      </c>
      <c r="S5877" t="s">
        <v>12493</v>
      </c>
      <c r="T5877" t="s">
        <v>13232</v>
      </c>
      <c r="U5877" t="s">
        <v>13232</v>
      </c>
      <c r="V5877" t="s">
        <v>13232</v>
      </c>
      <c r="W5877" t="s">
        <v>19036</v>
      </c>
      <c r="X5877">
        <v>17</v>
      </c>
      <c r="Y5877" t="s">
        <v>25421</v>
      </c>
      <c r="Z5877" t="s">
        <v>32008</v>
      </c>
      <c r="AA5877">
        <v>0.99819557358243938</v>
      </c>
      <c r="AB5877" t="str">
        <f>HYPERLINK("Melting_Curves/meltCurve_Q9NTK5_2_OLA1.pdf", "Melting_Curves/meltCurve_Q9NTK5_2_OLA1.pdf")</f>
        <v>Melting_Curves/meltCurve_Q9NTK5_2_OLA1.pdf</v>
      </c>
    </row>
    <row r="5878" spans="1:28" x14ac:dyDescent="0.25">
      <c r="A5878" t="s">
        <v>5881</v>
      </c>
      <c r="B5878">
        <v>0.99930955844802105</v>
      </c>
      <c r="C5878">
        <v>0.81511944364827804</v>
      </c>
      <c r="D5878">
        <v>0.88053197234493497</v>
      </c>
      <c r="E5878">
        <v>0.90327844658692003</v>
      </c>
      <c r="F5878">
        <v>0.87546953577946696</v>
      </c>
      <c r="G5878">
        <v>0.48192219248027202</v>
      </c>
      <c r="H5878">
        <v>0.190589781239275</v>
      </c>
      <c r="I5878">
        <v>0.146386648685223</v>
      </c>
      <c r="J5878">
        <v>0.11353216327942001</v>
      </c>
      <c r="K5878">
        <v>8.52369215941228E-2</v>
      </c>
      <c r="L5878">
        <v>1350.7983597817099</v>
      </c>
      <c r="M5878">
        <v>23.946715860117699</v>
      </c>
      <c r="N5878">
        <v>56.837092070869502</v>
      </c>
      <c r="O5878">
        <v>56.019544548375599</v>
      </c>
      <c r="P5878">
        <v>-9.8041464457175403E-2</v>
      </c>
      <c r="Q5878">
        <v>8.2604793251347494E-2</v>
      </c>
      <c r="R5878">
        <v>0.95996151253081197</v>
      </c>
      <c r="S5878" t="s">
        <v>12494</v>
      </c>
      <c r="T5878" t="s">
        <v>13232</v>
      </c>
      <c r="U5878" t="s">
        <v>13232</v>
      </c>
      <c r="V5878" t="s">
        <v>13232</v>
      </c>
      <c r="W5878" t="s">
        <v>19037</v>
      </c>
      <c r="X5878">
        <v>7</v>
      </c>
      <c r="Y5878" t="s">
        <v>25422</v>
      </c>
      <c r="Z5878" t="s">
        <v>32009</v>
      </c>
      <c r="AA5878">
        <v>0.59333738888379128</v>
      </c>
      <c r="AB5878" t="str">
        <f>HYPERLINK("Melting_Curves/meltCurve_Q9NTM9_CUTC.pdf", "Melting_Curves/meltCurve_Q9NTM9_CUTC.pdf")</f>
        <v>Melting_Curves/meltCurve_Q9NTM9_CUTC.pdf</v>
      </c>
    </row>
    <row r="5879" spans="1:28" x14ac:dyDescent="0.25">
      <c r="A5879" t="s">
        <v>5882</v>
      </c>
      <c r="B5879">
        <v>0.99930955844802105</v>
      </c>
      <c r="C5879">
        <v>1.0346219359118201</v>
      </c>
      <c r="D5879">
        <v>0.97241181265022103</v>
      </c>
      <c r="E5879">
        <v>0.96734350959778004</v>
      </c>
      <c r="F5879">
        <v>0.955632549469843</v>
      </c>
      <c r="G5879">
        <v>0.79000062981984398</v>
      </c>
      <c r="H5879">
        <v>0.71475323448130701</v>
      </c>
      <c r="I5879">
        <v>0.70980962008044701</v>
      </c>
      <c r="J5879">
        <v>0.66456477016834203</v>
      </c>
      <c r="K5879">
        <v>0.428336335785025</v>
      </c>
      <c r="L5879">
        <v>539.61974914084306</v>
      </c>
      <c r="M5879">
        <v>7.7235778877205004</v>
      </c>
      <c r="N5879">
        <v>69.866551303675905</v>
      </c>
      <c r="O5879">
        <v>65.646013095178404</v>
      </c>
      <c r="P5879">
        <v>-2.9451660524340301E-2</v>
      </c>
      <c r="Q5879">
        <v>0</v>
      </c>
      <c r="R5879">
        <v>0.93708715927785502</v>
      </c>
      <c r="S5879" t="s">
        <v>12495</v>
      </c>
      <c r="T5879" t="s">
        <v>13232</v>
      </c>
      <c r="U5879" t="s">
        <v>13232</v>
      </c>
      <c r="V5879" t="s">
        <v>13232</v>
      </c>
      <c r="W5879" t="s">
        <v>19038</v>
      </c>
      <c r="X5879">
        <v>12</v>
      </c>
      <c r="Y5879" t="s">
        <v>25423</v>
      </c>
      <c r="Z5879" t="s">
        <v>32010</v>
      </c>
      <c r="AA5879">
        <v>0.83509427557934013</v>
      </c>
      <c r="AB5879" t="str">
        <f>HYPERLINK("Melting_Curves/meltCurve_Q9NTX5_2_ECHDC1.pdf", "Melting_Curves/meltCurve_Q9NTX5_2_ECHDC1.pdf")</f>
        <v>Melting_Curves/meltCurve_Q9NTX5_2_ECHDC1.pdf</v>
      </c>
    </row>
    <row r="5880" spans="1:28" x14ac:dyDescent="0.25">
      <c r="A5880" t="s">
        <v>5883</v>
      </c>
      <c r="B5880">
        <v>0.99930955844802105</v>
      </c>
      <c r="C5880">
        <v>1.0286790644235899</v>
      </c>
      <c r="D5880">
        <v>1.0556188301312299</v>
      </c>
      <c r="E5880">
        <v>0.94193553493419302</v>
      </c>
      <c r="F5880">
        <v>0.48833878811130499</v>
      </c>
      <c r="G5880">
        <v>0.28409103054951601</v>
      </c>
      <c r="H5880">
        <v>0.17805514484132701</v>
      </c>
      <c r="I5880">
        <v>0.144397967881185</v>
      </c>
      <c r="J5880">
        <v>0.112699530788295</v>
      </c>
      <c r="K5880">
        <v>8.0873364187563995E-2</v>
      </c>
      <c r="L5880">
        <v>1836.0883364454101</v>
      </c>
      <c r="M5880">
        <v>34.804803360452297</v>
      </c>
      <c r="N5880">
        <v>53.2611472349694</v>
      </c>
      <c r="O5880">
        <v>52.5806496087746</v>
      </c>
      <c r="P5880">
        <v>-0.14213839140345899</v>
      </c>
      <c r="Q5880">
        <v>0.14107258525456801</v>
      </c>
      <c r="R5880">
        <v>0.98660728540910503</v>
      </c>
      <c r="S5880" t="s">
        <v>12496</v>
      </c>
      <c r="T5880" t="s">
        <v>13232</v>
      </c>
      <c r="U5880" t="s">
        <v>13232</v>
      </c>
      <c r="V5880" t="s">
        <v>13232</v>
      </c>
      <c r="W5880" t="s">
        <v>19039</v>
      </c>
      <c r="X5880">
        <v>30</v>
      </c>
      <c r="Y5880" t="s">
        <v>25424</v>
      </c>
      <c r="Z5880" t="s">
        <v>32011</v>
      </c>
      <c r="AA5880">
        <v>0.51036244590248203</v>
      </c>
      <c r="AB5880" t="str">
        <f>HYPERLINK("Melting_Curves/meltCurve_Q9NTZ6_RBM12.pdf", "Melting_Curves/meltCurve_Q9NTZ6_RBM12.pdf")</f>
        <v>Melting_Curves/meltCurve_Q9NTZ6_RBM12.pdf</v>
      </c>
    </row>
    <row r="5881" spans="1:28" x14ac:dyDescent="0.25">
      <c r="A5881" t="s">
        <v>5884</v>
      </c>
      <c r="B5881">
        <v>0.99930955844802105</v>
      </c>
      <c r="C5881">
        <v>1.0174056446897899</v>
      </c>
      <c r="D5881">
        <v>0.98893092344042799</v>
      </c>
      <c r="E5881">
        <v>0.94735133071862299</v>
      </c>
      <c r="F5881">
        <v>0.78844017119361298</v>
      </c>
      <c r="G5881">
        <v>0.49513536790581297</v>
      </c>
      <c r="H5881">
        <v>0.33163059905942399</v>
      </c>
      <c r="I5881">
        <v>0.34278240434594898</v>
      </c>
      <c r="J5881">
        <v>0.30863272959428001</v>
      </c>
      <c r="K5881">
        <v>0.22557900276376699</v>
      </c>
      <c r="L5881">
        <v>1272.7060521626599</v>
      </c>
      <c r="M5881">
        <v>23.111267437880201</v>
      </c>
      <c r="N5881">
        <v>57.012272561620399</v>
      </c>
      <c r="O5881">
        <v>54.661315770535303</v>
      </c>
      <c r="P5881">
        <v>-7.6889134993321007E-2</v>
      </c>
      <c r="Q5881">
        <v>0.27259998161701798</v>
      </c>
      <c r="R5881">
        <v>0.99423611768686604</v>
      </c>
      <c r="S5881" t="s">
        <v>12497</v>
      </c>
      <c r="T5881" t="s">
        <v>13232</v>
      </c>
      <c r="U5881" t="s">
        <v>13232</v>
      </c>
      <c r="V5881" t="s">
        <v>13232</v>
      </c>
      <c r="W5881" t="s">
        <v>19040</v>
      </c>
      <c r="X5881">
        <v>15</v>
      </c>
      <c r="Y5881" t="s">
        <v>25425</v>
      </c>
      <c r="Z5881" t="s">
        <v>32012</v>
      </c>
      <c r="AA5881">
        <v>0.64565737983459592</v>
      </c>
      <c r="AB5881" t="str">
        <f>HYPERLINK("Melting_Curves/meltCurve_Q9NU19_TBC1D22B.pdf", "Melting_Curves/meltCurve_Q9NU19_TBC1D22B.pdf")</f>
        <v>Melting_Curves/meltCurve_Q9NU19_TBC1D22B.pdf</v>
      </c>
    </row>
    <row r="5882" spans="1:28" x14ac:dyDescent="0.25">
      <c r="A5882" t="s">
        <v>5885</v>
      </c>
      <c r="B5882">
        <v>0.99930955844802105</v>
      </c>
      <c r="C5882">
        <v>0.88903528285754896</v>
      </c>
      <c r="D5882">
        <v>0.79002349986270504</v>
      </c>
      <c r="E5882">
        <v>0.76992512179523098</v>
      </c>
      <c r="F5882">
        <v>0.65411556767201495</v>
      </c>
      <c r="G5882">
        <v>0.484420839234533</v>
      </c>
      <c r="H5882">
        <v>0.43603545602573801</v>
      </c>
      <c r="I5882">
        <v>0.37527328626407502</v>
      </c>
      <c r="J5882">
        <v>0.375961838572972</v>
      </c>
      <c r="K5882">
        <v>0.30978218562965198</v>
      </c>
      <c r="L5882">
        <v>432.48670326764898</v>
      </c>
      <c r="M5882">
        <v>8.0268480572206702</v>
      </c>
      <c r="N5882">
        <v>57.882269761083997</v>
      </c>
      <c r="O5882">
        <v>50.844488948330799</v>
      </c>
      <c r="P5882">
        <v>-3.1096984857177198E-2</v>
      </c>
      <c r="Q5882">
        <v>0.21296788332171501</v>
      </c>
      <c r="R5882">
        <v>0.981478469444657</v>
      </c>
      <c r="S5882" t="s">
        <v>12498</v>
      </c>
      <c r="T5882" t="s">
        <v>13232</v>
      </c>
      <c r="U5882" t="s">
        <v>13232</v>
      </c>
      <c r="V5882" t="s">
        <v>13232</v>
      </c>
      <c r="W5882" t="s">
        <v>19041</v>
      </c>
      <c r="X5882">
        <v>17</v>
      </c>
      <c r="Y5882" t="s">
        <v>25426</v>
      </c>
      <c r="Z5882" t="s">
        <v>32013</v>
      </c>
      <c r="AA5882">
        <v>0.60453660408087095</v>
      </c>
      <c r="AB5882" t="str">
        <f>HYPERLINK("Melting_Curves/meltCurve_Q9NU22_MDN1.pdf", "Melting_Curves/meltCurve_Q9NU22_MDN1.pdf")</f>
        <v>Melting_Curves/meltCurve_Q9NU22_MDN1.pdf</v>
      </c>
    </row>
    <row r="5883" spans="1:28" x14ac:dyDescent="0.25">
      <c r="A5883" t="s">
        <v>5886</v>
      </c>
      <c r="B5883">
        <v>0.99930955844802105</v>
      </c>
      <c r="C5883">
        <v>1.0327678329372501</v>
      </c>
      <c r="D5883">
        <v>1.0541035430571299</v>
      </c>
      <c r="E5883">
        <v>0.96185060884217899</v>
      </c>
      <c r="F5883">
        <v>0.59810718416519704</v>
      </c>
      <c r="G5883">
        <v>0.23522458182832001</v>
      </c>
      <c r="H5883">
        <v>0.108340999261656</v>
      </c>
      <c r="I5883">
        <v>6.1799802840876501E-2</v>
      </c>
      <c r="J5883">
        <v>3.7196580933357003E-2</v>
      </c>
      <c r="K5883">
        <v>3.0448461472298901E-2</v>
      </c>
      <c r="L5883">
        <v>1568.15984375977</v>
      </c>
      <c r="M5883">
        <v>29.110084801349501</v>
      </c>
      <c r="N5883">
        <v>54.069643190823498</v>
      </c>
      <c r="O5883">
        <v>53.617683351449102</v>
      </c>
      <c r="P5883">
        <v>-0.12881425455968601</v>
      </c>
      <c r="Q5883">
        <v>5.0958284517917701E-2</v>
      </c>
      <c r="R5883">
        <v>0.99420973253219203</v>
      </c>
      <c r="S5883" t="s">
        <v>12499</v>
      </c>
      <c r="T5883" t="s">
        <v>13232</v>
      </c>
      <c r="U5883" t="s">
        <v>13232</v>
      </c>
      <c r="V5883" t="s">
        <v>13232</v>
      </c>
      <c r="W5883" t="s">
        <v>19042</v>
      </c>
      <c r="X5883">
        <v>4</v>
      </c>
      <c r="Y5883" t="s">
        <v>25427</v>
      </c>
      <c r="Z5883" t="s">
        <v>32014</v>
      </c>
      <c r="AA5883">
        <v>0.49632776334675738</v>
      </c>
      <c r="AB5883" t="str">
        <f>HYPERLINK("Melting_Curves/meltCurve_Q9NU23_LYRM2.pdf", "Melting_Curves/meltCurve_Q9NU23_LYRM2.pdf")</f>
        <v>Melting_Curves/meltCurve_Q9NU23_LYRM2.pdf</v>
      </c>
    </row>
    <row r="5884" spans="1:28" x14ac:dyDescent="0.25">
      <c r="A5884" t="s">
        <v>5887</v>
      </c>
      <c r="B5884">
        <v>0.99930955844802105</v>
      </c>
      <c r="C5884">
        <v>1.04470346591646</v>
      </c>
      <c r="D5884">
        <v>1.03656230359452</v>
      </c>
      <c r="E5884">
        <v>0.93151566964313604</v>
      </c>
      <c r="F5884">
        <v>0.77793879212498396</v>
      </c>
      <c r="G5884">
        <v>0.38257319075405</v>
      </c>
      <c r="H5884">
        <v>0.18368186909790099</v>
      </c>
      <c r="I5884">
        <v>0.16604131269963901</v>
      </c>
      <c r="J5884">
        <v>0.13006794187342999</v>
      </c>
      <c r="K5884">
        <v>0.105546649012087</v>
      </c>
      <c r="L5884">
        <v>1430.4357943325101</v>
      </c>
      <c r="M5884">
        <v>25.931523016353299</v>
      </c>
      <c r="N5884">
        <v>55.750977616286498</v>
      </c>
      <c r="O5884">
        <v>54.837129489928998</v>
      </c>
      <c r="P5884">
        <v>-0.10405818229030001</v>
      </c>
      <c r="Q5884">
        <v>0.11980706960114</v>
      </c>
      <c r="R5884">
        <v>0.99692706538618803</v>
      </c>
      <c r="S5884" t="s">
        <v>12500</v>
      </c>
      <c r="T5884" t="s">
        <v>13232</v>
      </c>
      <c r="U5884" t="s">
        <v>13232</v>
      </c>
      <c r="V5884" t="s">
        <v>13232</v>
      </c>
      <c r="W5884" t="s">
        <v>19043</v>
      </c>
      <c r="X5884">
        <v>5</v>
      </c>
      <c r="Y5884" t="s">
        <v>25428</v>
      </c>
      <c r="Z5884" t="s">
        <v>32015</v>
      </c>
      <c r="AA5884">
        <v>0.57228956687456412</v>
      </c>
      <c r="AB5884" t="str">
        <f>HYPERLINK("Melting_Curves/meltCurve_Q9NUB1_3_ACSS1.pdf", "Melting_Curves/meltCurve_Q9NUB1_3_ACSS1.pdf")</f>
        <v>Melting_Curves/meltCurve_Q9NUB1_3_ACSS1.pdf</v>
      </c>
    </row>
    <row r="5885" spans="1:28" x14ac:dyDescent="0.25">
      <c r="A5885" t="s">
        <v>5888</v>
      </c>
      <c r="B5885">
        <v>0.99930955844802105</v>
      </c>
      <c r="C5885">
        <v>1.0603257349145301</v>
      </c>
      <c r="D5885">
        <v>1.0912879681693799</v>
      </c>
      <c r="E5885">
        <v>0.92982777572619002</v>
      </c>
      <c r="F5885">
        <v>0.905163327204626</v>
      </c>
      <c r="G5885">
        <v>0.82274194667054601</v>
      </c>
      <c r="H5885">
        <v>0.80110676060490305</v>
      </c>
      <c r="I5885">
        <v>0.90882402873707901</v>
      </c>
      <c r="J5885">
        <v>0.96250097561169701</v>
      </c>
      <c r="K5885">
        <v>0.73720209325253305</v>
      </c>
      <c r="L5885">
        <v>1875.2061436864401</v>
      </c>
      <c r="M5885">
        <v>36.697750191363298</v>
      </c>
      <c r="O5885">
        <v>50.947646411091696</v>
      </c>
      <c r="P5885">
        <v>-2.7262875438842999E-2</v>
      </c>
      <c r="Q5885">
        <v>0.84860377699203005</v>
      </c>
      <c r="R5885">
        <v>0.60057281388069395</v>
      </c>
      <c r="S5885" t="s">
        <v>12501</v>
      </c>
      <c r="T5885" t="s">
        <v>13232</v>
      </c>
      <c r="U5885" t="s">
        <v>13232</v>
      </c>
      <c r="V5885" t="s">
        <v>13232</v>
      </c>
      <c r="W5885" t="s">
        <v>19044</v>
      </c>
      <c r="X5885">
        <v>6</v>
      </c>
      <c r="Y5885" t="s">
        <v>25429</v>
      </c>
      <c r="Z5885" t="s">
        <v>32016</v>
      </c>
      <c r="AA5885">
        <v>0.90524966679898544</v>
      </c>
      <c r="AB5885" t="str">
        <f>HYPERLINK("Melting_Curves/meltCurve_Q9NUD5_ZCCHC3.pdf", "Melting_Curves/meltCurve_Q9NUD5_ZCCHC3.pdf")</f>
        <v>Melting_Curves/meltCurve_Q9NUD5_ZCCHC3.pdf</v>
      </c>
    </row>
    <row r="5886" spans="1:28" x14ac:dyDescent="0.25">
      <c r="A5886" t="s">
        <v>5889</v>
      </c>
      <c r="B5886">
        <v>0.99930955844802105</v>
      </c>
      <c r="C5886">
        <v>0.80981646176734401</v>
      </c>
      <c r="D5886">
        <v>0.80561837446060602</v>
      </c>
      <c r="E5886">
        <v>0.888221296377247</v>
      </c>
      <c r="F5886">
        <v>0.801774214858752</v>
      </c>
      <c r="G5886">
        <v>0.33948878455678499</v>
      </c>
      <c r="H5886">
        <v>0.15400753091545899</v>
      </c>
      <c r="I5886">
        <v>0.11642679929510499</v>
      </c>
      <c r="J5886">
        <v>8.9525215799153096E-2</v>
      </c>
      <c r="K5886">
        <v>7.8949820417688402E-2</v>
      </c>
      <c r="L5886">
        <v>1285.66085785109</v>
      </c>
      <c r="M5886">
        <v>23.293313458762501</v>
      </c>
      <c r="N5886">
        <v>55.553800464500803</v>
      </c>
      <c r="O5886">
        <v>54.792436687239203</v>
      </c>
      <c r="P5886">
        <v>-9.8848168785888105E-2</v>
      </c>
      <c r="Q5886">
        <v>6.9941476325733304E-2</v>
      </c>
      <c r="R5886">
        <v>0.942309128861613</v>
      </c>
      <c r="S5886" t="s">
        <v>12502</v>
      </c>
      <c r="T5886" t="s">
        <v>13232</v>
      </c>
      <c r="U5886" t="s">
        <v>13232</v>
      </c>
      <c r="V5886" t="s">
        <v>13232</v>
      </c>
      <c r="W5886" t="s">
        <v>19045</v>
      </c>
      <c r="X5886">
        <v>5</v>
      </c>
      <c r="Y5886" t="s">
        <v>25430</v>
      </c>
      <c r="Z5886" t="s">
        <v>32017</v>
      </c>
      <c r="AA5886">
        <v>0.55069329371270981</v>
      </c>
      <c r="AB5886" t="str">
        <f>HYPERLINK("Melting_Curves/meltCurve_Q9NUG6_PDRG1.pdf", "Melting_Curves/meltCurve_Q9NUG6_PDRG1.pdf")</f>
        <v>Melting_Curves/meltCurve_Q9NUG6_PDRG1.pdf</v>
      </c>
    </row>
    <row r="5887" spans="1:28" x14ac:dyDescent="0.25">
      <c r="A5887" t="s">
        <v>5890</v>
      </c>
      <c r="B5887">
        <v>0.99930955844802105</v>
      </c>
      <c r="C5887">
        <v>0.92872148970838997</v>
      </c>
      <c r="D5887">
        <v>0.92684253307311304</v>
      </c>
      <c r="E5887">
        <v>0.98804772020016995</v>
      </c>
      <c r="F5887">
        <v>0.91919898373805498</v>
      </c>
      <c r="G5887">
        <v>0.70848165134920205</v>
      </c>
      <c r="H5887">
        <v>0.50646894680134502</v>
      </c>
      <c r="I5887">
        <v>0.286806369552075</v>
      </c>
      <c r="J5887">
        <v>0.11124676517993901</v>
      </c>
      <c r="K5887">
        <v>8.4468550727811106E-2</v>
      </c>
      <c r="L5887">
        <v>1044.4744519297899</v>
      </c>
      <c r="M5887">
        <v>17.271654265938501</v>
      </c>
      <c r="N5887">
        <v>60.473330333556</v>
      </c>
      <c r="O5887">
        <v>59.680119278776502</v>
      </c>
      <c r="P5887">
        <v>-7.2355155270062907E-2</v>
      </c>
      <c r="Q5887">
        <v>0</v>
      </c>
      <c r="R5887">
        <v>0.987773039893312</v>
      </c>
      <c r="S5887" t="s">
        <v>12503</v>
      </c>
      <c r="T5887" t="s">
        <v>13232</v>
      </c>
      <c r="U5887" t="s">
        <v>13232</v>
      </c>
      <c r="V5887" t="s">
        <v>13232</v>
      </c>
      <c r="W5887" t="s">
        <v>19046</v>
      </c>
      <c r="X5887">
        <v>10</v>
      </c>
      <c r="Y5887" t="s">
        <v>25431</v>
      </c>
      <c r="Z5887" t="s">
        <v>32018</v>
      </c>
      <c r="AA5887">
        <v>0.68909076758507459</v>
      </c>
      <c r="AB5887" t="str">
        <f>HYPERLINK("Melting_Curves/meltCurve_Q9NUJ1_ABHD10.pdf", "Melting_Curves/meltCurve_Q9NUJ1_ABHD10.pdf")</f>
        <v>Melting_Curves/meltCurve_Q9NUJ1_ABHD10.pdf</v>
      </c>
    </row>
    <row r="5888" spans="1:28" x14ac:dyDescent="0.25">
      <c r="A5888" t="s">
        <v>5891</v>
      </c>
      <c r="B5888">
        <v>0.99930955844802105</v>
      </c>
      <c r="C5888">
        <v>0.89308710506754496</v>
      </c>
      <c r="D5888">
        <v>0.85145024068000497</v>
      </c>
      <c r="E5888">
        <v>0.75303753696069597</v>
      </c>
      <c r="F5888">
        <v>0.52507703862550603</v>
      </c>
      <c r="G5888">
        <v>0.38900161865209998</v>
      </c>
      <c r="H5888">
        <v>0.29883634736655301</v>
      </c>
      <c r="I5888">
        <v>0.269151868967756</v>
      </c>
      <c r="J5888">
        <v>0.24153670022071999</v>
      </c>
      <c r="K5888">
        <v>0.22526367227049299</v>
      </c>
      <c r="L5888">
        <v>630.34214359229395</v>
      </c>
      <c r="M5888">
        <v>12.0908304462335</v>
      </c>
      <c r="N5888">
        <v>54.214279290860297</v>
      </c>
      <c r="O5888">
        <v>50.769228823405903</v>
      </c>
      <c r="P5888">
        <v>-4.8498901059826301E-2</v>
      </c>
      <c r="Q5888">
        <v>0.18560582801537501</v>
      </c>
      <c r="R5888">
        <v>0.99097261293737904</v>
      </c>
      <c r="S5888" t="s">
        <v>12504</v>
      </c>
      <c r="T5888" t="s">
        <v>13232</v>
      </c>
      <c r="U5888" t="s">
        <v>13232</v>
      </c>
      <c r="V5888" t="s">
        <v>13232</v>
      </c>
      <c r="W5888" t="s">
        <v>19047</v>
      </c>
      <c r="X5888">
        <v>3</v>
      </c>
      <c r="Y5888" t="s">
        <v>25432</v>
      </c>
      <c r="Z5888" t="s">
        <v>32019</v>
      </c>
      <c r="AA5888">
        <v>0.5394618956995676</v>
      </c>
      <c r="AB5888" t="str">
        <f>HYPERLINK("Melting_Curves/meltCurve_Q9NUJ3_TCP11L1.pdf", "Melting_Curves/meltCurve_Q9NUJ3_TCP11L1.pdf")</f>
        <v>Melting_Curves/meltCurve_Q9NUJ3_TCP11L1.pdf</v>
      </c>
    </row>
    <row r="5889" spans="1:28" x14ac:dyDescent="0.25">
      <c r="A5889" t="s">
        <v>5892</v>
      </c>
      <c r="B5889">
        <v>0.99930955844802105</v>
      </c>
      <c r="C5889">
        <v>1.00046799609509</v>
      </c>
      <c r="D5889">
        <v>1.00761322180637</v>
      </c>
      <c r="E5889">
        <v>0.75939669075275396</v>
      </c>
      <c r="F5889">
        <v>0.63889044925973304</v>
      </c>
      <c r="G5889">
        <v>0.43440227638068801</v>
      </c>
      <c r="H5889">
        <v>0.38825337607841698</v>
      </c>
      <c r="I5889">
        <v>0.35669664542450102</v>
      </c>
      <c r="J5889">
        <v>0.32892304999155098</v>
      </c>
      <c r="K5889">
        <v>0.27935980206028999</v>
      </c>
      <c r="L5889">
        <v>945.359772166173</v>
      </c>
      <c r="M5889">
        <v>18.016843285006999</v>
      </c>
      <c r="N5889">
        <v>55.471850819109598</v>
      </c>
      <c r="O5889">
        <v>51.837280172310997</v>
      </c>
      <c r="P5889">
        <v>-5.9841061837001101E-2</v>
      </c>
      <c r="Q5889">
        <v>0.31134538420368102</v>
      </c>
      <c r="R5889">
        <v>0.99012190110683995</v>
      </c>
      <c r="S5889" t="s">
        <v>12505</v>
      </c>
      <c r="T5889" t="s">
        <v>13232</v>
      </c>
      <c r="U5889" t="s">
        <v>13232</v>
      </c>
      <c r="V5889" t="s">
        <v>13232</v>
      </c>
      <c r="W5889" t="s">
        <v>19048</v>
      </c>
      <c r="X5889">
        <v>14</v>
      </c>
      <c r="Y5889" t="s">
        <v>20223</v>
      </c>
      <c r="Z5889" t="s">
        <v>32020</v>
      </c>
      <c r="AA5889">
        <v>0.60897925813788434</v>
      </c>
      <c r="AB5889" t="str">
        <f>HYPERLINK("Melting_Curves/meltCurve_Q9NUL3_7_STAU2.pdf", "Melting_Curves/meltCurve_Q9NUL3_7_STAU2.pdf")</f>
        <v>Melting_Curves/meltCurve_Q9NUL3_7_STAU2.pdf</v>
      </c>
    </row>
    <row r="5890" spans="1:28" x14ac:dyDescent="0.25">
      <c r="A5890" t="s">
        <v>5893</v>
      </c>
      <c r="B5890">
        <v>0.99930955844802105</v>
      </c>
      <c r="C5890">
        <v>1.26871944782123</v>
      </c>
      <c r="D5890">
        <v>1.27837587685244</v>
      </c>
      <c r="E5890">
        <v>1.3392068984707699</v>
      </c>
      <c r="F5890">
        <v>1.19534133979794</v>
      </c>
      <c r="G5890">
        <v>0.93331581336750602</v>
      </c>
      <c r="H5890">
        <v>0.52424715200350502</v>
      </c>
      <c r="I5890">
        <v>0.29132940548831798</v>
      </c>
      <c r="J5890">
        <v>0.22447021573263101</v>
      </c>
      <c r="K5890">
        <v>0.17175192803025199</v>
      </c>
      <c r="L5890">
        <v>2450.1491777369502</v>
      </c>
      <c r="M5890">
        <v>40.488499832403399</v>
      </c>
      <c r="N5890">
        <v>61.2576152885445</v>
      </c>
      <c r="O5890">
        <v>60.367633587010197</v>
      </c>
      <c r="P5890">
        <v>-0.135145347013399</v>
      </c>
      <c r="Q5890">
        <v>0.19400435013131101</v>
      </c>
      <c r="R5890">
        <v>0.84800009820002997</v>
      </c>
      <c r="S5890" t="s">
        <v>12506</v>
      </c>
      <c r="T5890" t="s">
        <v>13232</v>
      </c>
      <c r="U5890" t="s">
        <v>13232</v>
      </c>
      <c r="V5890" t="s">
        <v>13232</v>
      </c>
      <c r="W5890" t="s">
        <v>19049</v>
      </c>
      <c r="X5890">
        <v>3</v>
      </c>
      <c r="Y5890" t="s">
        <v>25433</v>
      </c>
      <c r="Z5890" t="s">
        <v>32021</v>
      </c>
      <c r="AA5890">
        <v>0.74821756533363115</v>
      </c>
      <c r="AB5890" t="str">
        <f>HYPERLINK("Melting_Curves/meltCurve_Q9NUM4_TMEM106B.pdf", "Melting_Curves/meltCurve_Q9NUM4_TMEM106B.pdf")</f>
        <v>Melting_Curves/meltCurve_Q9NUM4_TMEM106B.pdf</v>
      </c>
    </row>
    <row r="5891" spans="1:28" x14ac:dyDescent="0.25">
      <c r="A5891" t="s">
        <v>5894</v>
      </c>
      <c r="B5891">
        <v>0.99930955844802105</v>
      </c>
      <c r="C5891">
        <v>0.83318590441683404</v>
      </c>
      <c r="D5891">
        <v>0.84368553068041596</v>
      </c>
      <c r="E5891">
        <v>0.71375949335975397</v>
      </c>
      <c r="F5891">
        <v>0.59357507929084896</v>
      </c>
      <c r="G5891">
        <v>0.42778634221490902</v>
      </c>
      <c r="H5891">
        <v>0.19261292288923901</v>
      </c>
      <c r="I5891">
        <v>0.14856902507754</v>
      </c>
      <c r="J5891">
        <v>0.102592526025059</v>
      </c>
      <c r="K5891">
        <v>6.97696195799406E-2</v>
      </c>
      <c r="L5891">
        <v>562.84169105758201</v>
      </c>
      <c r="M5891">
        <v>10.3841284459458</v>
      </c>
      <c r="N5891">
        <v>54.202111652566202</v>
      </c>
      <c r="O5891">
        <v>52.307544268201902</v>
      </c>
      <c r="P5891">
        <v>-4.9651061145786601E-2</v>
      </c>
      <c r="Q5891">
        <v>0</v>
      </c>
      <c r="R5891">
        <v>0.98223388995509298</v>
      </c>
      <c r="S5891" t="s">
        <v>12507</v>
      </c>
      <c r="T5891" t="s">
        <v>13232</v>
      </c>
      <c r="U5891" t="s">
        <v>13232</v>
      </c>
      <c r="V5891" t="s">
        <v>13232</v>
      </c>
      <c r="W5891" t="s">
        <v>19050</v>
      </c>
      <c r="X5891">
        <v>5</v>
      </c>
      <c r="Y5891" t="s">
        <v>25434</v>
      </c>
      <c r="Z5891" t="s">
        <v>32022</v>
      </c>
      <c r="AA5891">
        <v>0.50205649616678327</v>
      </c>
      <c r="AB5891" t="str">
        <f>HYPERLINK("Melting_Curves/meltCurve_Q9NUP1_BLOC1S4.pdf", "Melting_Curves/meltCurve_Q9NUP1_BLOC1S4.pdf")</f>
        <v>Melting_Curves/meltCurve_Q9NUP1_BLOC1S4.pdf</v>
      </c>
    </row>
    <row r="5892" spans="1:28" x14ac:dyDescent="0.25">
      <c r="A5892" t="s">
        <v>5895</v>
      </c>
      <c r="B5892">
        <v>0.99930955844802105</v>
      </c>
      <c r="C5892">
        <v>1.08793755974893</v>
      </c>
      <c r="D5892">
        <v>0.98579740192996401</v>
      </c>
      <c r="E5892">
        <v>0.88164953881042396</v>
      </c>
      <c r="F5892">
        <v>0.44808165563758201</v>
      </c>
      <c r="G5892">
        <v>0.231784163957791</v>
      </c>
      <c r="H5892">
        <v>0.17986555576318899</v>
      </c>
      <c r="I5892">
        <v>0.18159973155175499</v>
      </c>
      <c r="J5892">
        <v>0.18022651205352799</v>
      </c>
      <c r="K5892">
        <v>0.14860899435407299</v>
      </c>
      <c r="L5892">
        <v>2094.7567594355901</v>
      </c>
      <c r="M5892">
        <v>40.190867397041899</v>
      </c>
      <c r="N5892">
        <v>52.695835362188397</v>
      </c>
      <c r="O5892">
        <v>51.991683171600997</v>
      </c>
      <c r="P5892">
        <v>-0.15892143890851501</v>
      </c>
      <c r="Q5892">
        <v>0.17766630466162101</v>
      </c>
      <c r="R5892">
        <v>0.99341245719800997</v>
      </c>
      <c r="S5892" t="s">
        <v>12508</v>
      </c>
      <c r="T5892" t="s">
        <v>13232</v>
      </c>
      <c r="U5892" t="s">
        <v>13232</v>
      </c>
      <c r="V5892" t="s">
        <v>13232</v>
      </c>
      <c r="W5892" t="s">
        <v>19051</v>
      </c>
      <c r="X5892">
        <v>4</v>
      </c>
      <c r="Y5892" t="s">
        <v>25435</v>
      </c>
      <c r="Z5892" t="s">
        <v>32023</v>
      </c>
      <c r="AA5892">
        <v>0.51282793808752047</v>
      </c>
      <c r="AB5892" t="str">
        <f>HYPERLINK("Melting_Curves/meltCurve_Q9NUP7_TRMT13.pdf", "Melting_Curves/meltCurve_Q9NUP7_TRMT13.pdf")</f>
        <v>Melting_Curves/meltCurve_Q9NUP7_TRMT13.pdf</v>
      </c>
    </row>
    <row r="5893" spans="1:28" x14ac:dyDescent="0.25">
      <c r="A5893" t="s">
        <v>5896</v>
      </c>
      <c r="B5893">
        <v>0.99930955844802105</v>
      </c>
      <c r="C5893">
        <v>1.1281536507232499</v>
      </c>
      <c r="D5893">
        <v>1.0702510374171299</v>
      </c>
      <c r="E5893">
        <v>0.93873971093361397</v>
      </c>
      <c r="F5893">
        <v>0.35750933237429</v>
      </c>
      <c r="G5893">
        <v>0.25400430764361098</v>
      </c>
      <c r="H5893">
        <v>0.17927172910955999</v>
      </c>
      <c r="I5893">
        <v>0.17601347258529501</v>
      </c>
      <c r="J5893">
        <v>0.15862430091396701</v>
      </c>
      <c r="K5893">
        <v>0.12586688065202201</v>
      </c>
      <c r="L5893">
        <v>3274.2989050041301</v>
      </c>
      <c r="M5893">
        <v>63.029386724514097</v>
      </c>
      <c r="N5893">
        <v>52.313050977155498</v>
      </c>
      <c r="O5893">
        <v>51.896548615235403</v>
      </c>
      <c r="P5893">
        <v>-0.24969638901104699</v>
      </c>
      <c r="Q5893">
        <v>0.17762954153911401</v>
      </c>
      <c r="R5893">
        <v>0.98236355983846602</v>
      </c>
      <c r="S5893" t="s">
        <v>12509</v>
      </c>
      <c r="T5893" t="s">
        <v>13232</v>
      </c>
      <c r="U5893" t="s">
        <v>13232</v>
      </c>
      <c r="V5893" t="s">
        <v>13232</v>
      </c>
      <c r="W5893" t="s">
        <v>19052</v>
      </c>
      <c r="X5893">
        <v>27</v>
      </c>
      <c r="Y5893" t="s">
        <v>25436</v>
      </c>
      <c r="Z5893" t="s">
        <v>32024</v>
      </c>
      <c r="AA5893">
        <v>0.50635670152349244</v>
      </c>
      <c r="AB5893" t="str">
        <f>HYPERLINK("Melting_Curves/meltCurve_Q9NUQ3_TXLNG.pdf", "Melting_Curves/meltCurve_Q9NUQ3_TXLNG.pdf")</f>
        <v>Melting_Curves/meltCurve_Q9NUQ3_TXLNG.pdf</v>
      </c>
    </row>
    <row r="5894" spans="1:28" x14ac:dyDescent="0.25">
      <c r="A5894" t="s">
        <v>5897</v>
      </c>
      <c r="B5894">
        <v>0.99930955844802105</v>
      </c>
      <c r="C5894">
        <v>1.0386908851613501</v>
      </c>
      <c r="D5894">
        <v>1.1470086637891499</v>
      </c>
      <c r="E5894">
        <v>1.05330593419611</v>
      </c>
      <c r="F5894">
        <v>0.86133283468950605</v>
      </c>
      <c r="G5894">
        <v>0.82576160864368298</v>
      </c>
      <c r="H5894">
        <v>0.7769491224442</v>
      </c>
      <c r="I5894">
        <v>0.84322814781077104</v>
      </c>
      <c r="J5894">
        <v>0.77274620805524796</v>
      </c>
      <c r="K5894">
        <v>0.69477496912835301</v>
      </c>
      <c r="L5894">
        <v>13219.939317402601</v>
      </c>
      <c r="M5894">
        <v>250</v>
      </c>
      <c r="O5894">
        <v>52.876382697296201</v>
      </c>
      <c r="P5894">
        <v>-0.25685857860484401</v>
      </c>
      <c r="Q5894">
        <v>0.78269199868087802</v>
      </c>
      <c r="R5894">
        <v>0.80062949561376995</v>
      </c>
      <c r="S5894" t="s">
        <v>12510</v>
      </c>
      <c r="T5894" t="s">
        <v>13232</v>
      </c>
      <c r="U5894" t="s">
        <v>13232</v>
      </c>
      <c r="V5894" t="s">
        <v>13232</v>
      </c>
      <c r="W5894" t="s">
        <v>19053</v>
      </c>
      <c r="X5894">
        <v>4</v>
      </c>
      <c r="Y5894" t="s">
        <v>25437</v>
      </c>
      <c r="Z5894" t="s">
        <v>32025</v>
      </c>
      <c r="AA5894">
        <v>0.8760079758726238</v>
      </c>
      <c r="AB5894" t="str">
        <f>HYPERLINK("Melting_Curves/meltCurve_Q9NUQ6_2_SPATS2L.pdf", "Melting_Curves/meltCurve_Q9NUQ6_2_SPATS2L.pdf")</f>
        <v>Melting_Curves/meltCurve_Q9NUQ6_2_SPATS2L.pdf</v>
      </c>
    </row>
    <row r="5895" spans="1:28" x14ac:dyDescent="0.25">
      <c r="A5895" t="s">
        <v>5898</v>
      </c>
      <c r="B5895">
        <v>0.99930955844802105</v>
      </c>
      <c r="C5895">
        <v>0.56801664517431005</v>
      </c>
      <c r="D5895">
        <v>0.51779511382905796</v>
      </c>
      <c r="E5895">
        <v>0.46270824154401702</v>
      </c>
      <c r="F5895">
        <v>0.386456710062967</v>
      </c>
      <c r="G5895">
        <v>0.31622573106686103</v>
      </c>
      <c r="H5895">
        <v>0.26345529415387098</v>
      </c>
      <c r="I5895">
        <v>0.28416322032923902</v>
      </c>
      <c r="J5895">
        <v>0.29042374846728802</v>
      </c>
      <c r="K5895">
        <v>0.212996043523032</v>
      </c>
      <c r="L5895">
        <v>597.66413909562198</v>
      </c>
      <c r="M5895">
        <v>13.5606339646564</v>
      </c>
      <c r="N5895">
        <v>46.782787338829301</v>
      </c>
      <c r="O5895">
        <v>43.148144181153597</v>
      </c>
      <c r="P5895">
        <v>-5.7206403607242898E-2</v>
      </c>
      <c r="Q5895">
        <v>0.27201625414090902</v>
      </c>
      <c r="R5895">
        <v>0.89298454676789596</v>
      </c>
      <c r="S5895" t="s">
        <v>12511</v>
      </c>
      <c r="T5895" t="s">
        <v>13232</v>
      </c>
      <c r="U5895" t="s">
        <v>13232</v>
      </c>
      <c r="V5895" t="s">
        <v>13232</v>
      </c>
      <c r="W5895" t="s">
        <v>19054</v>
      </c>
      <c r="X5895">
        <v>13</v>
      </c>
      <c r="Y5895" t="s">
        <v>25438</v>
      </c>
      <c r="Z5895" t="s">
        <v>32026</v>
      </c>
      <c r="AA5895">
        <v>0.40281417379003409</v>
      </c>
      <c r="AB5895" t="str">
        <f>HYPERLINK("Melting_Curves/meltCurve_Q9NUQ8_2_ABCF3.pdf", "Melting_Curves/meltCurve_Q9NUQ8_2_ABCF3.pdf")</f>
        <v>Melting_Curves/meltCurve_Q9NUQ8_2_ABCF3.pdf</v>
      </c>
    </row>
    <row r="5896" spans="1:28" x14ac:dyDescent="0.25">
      <c r="A5896" t="s">
        <v>5899</v>
      </c>
      <c r="B5896">
        <v>0.99930955844802105</v>
      </c>
      <c r="C5896">
        <v>1.06926477495572</v>
      </c>
      <c r="D5896">
        <v>1.1087171455945699</v>
      </c>
      <c r="E5896">
        <v>1.04360430305054</v>
      </c>
      <c r="F5896">
        <v>0.93258784911893999</v>
      </c>
      <c r="G5896">
        <v>0.56215169715013802</v>
      </c>
      <c r="H5896">
        <v>0.13244049809868799</v>
      </c>
      <c r="I5896">
        <v>0.107284601395692</v>
      </c>
      <c r="J5896">
        <v>8.7494032860954293E-2</v>
      </c>
      <c r="K5896">
        <v>6.8098369839963396E-2</v>
      </c>
      <c r="L5896">
        <v>2208.7105916957498</v>
      </c>
      <c r="M5896">
        <v>38.678858030351499</v>
      </c>
      <c r="N5896">
        <v>57.3528300434835</v>
      </c>
      <c r="O5896">
        <v>56.9518194939116</v>
      </c>
      <c r="P5896">
        <v>-0.156664374743051</v>
      </c>
      <c r="Q5896">
        <v>7.7294363929270193E-2</v>
      </c>
      <c r="R5896">
        <v>0.989673725409005</v>
      </c>
      <c r="S5896" t="s">
        <v>12512</v>
      </c>
      <c r="T5896" t="s">
        <v>13232</v>
      </c>
      <c r="U5896" t="s">
        <v>13232</v>
      </c>
      <c r="V5896" t="s">
        <v>13232</v>
      </c>
      <c r="W5896" t="s">
        <v>19055</v>
      </c>
      <c r="X5896">
        <v>20</v>
      </c>
      <c r="Y5896" t="s">
        <v>25439</v>
      </c>
      <c r="Z5896" t="s">
        <v>32027</v>
      </c>
      <c r="AA5896">
        <v>0.60719408305445688</v>
      </c>
      <c r="AB5896" t="str">
        <f>HYPERLINK("Melting_Curves/meltCurve_Q9NUQ9_FAM49B.pdf", "Melting_Curves/meltCurve_Q9NUQ9_FAM49B.pdf")</f>
        <v>Melting_Curves/meltCurve_Q9NUQ9_FAM49B.pdf</v>
      </c>
    </row>
    <row r="5897" spans="1:28" x14ac:dyDescent="0.25">
      <c r="A5897" t="s">
        <v>5900</v>
      </c>
      <c r="B5897">
        <v>0.99930955844802105</v>
      </c>
      <c r="C5897">
        <v>0.92087798992707603</v>
      </c>
      <c r="D5897">
        <v>0.94114946983145398</v>
      </c>
      <c r="E5897">
        <v>0.97295715155810802</v>
      </c>
      <c r="F5897">
        <v>0.47369809932552298</v>
      </c>
      <c r="G5897">
        <v>0.25886498834518101</v>
      </c>
      <c r="H5897">
        <v>0.16038777660466899</v>
      </c>
      <c r="I5897">
        <v>0.135872220044464</v>
      </c>
      <c r="J5897">
        <v>0.10396007618851801</v>
      </c>
      <c r="K5897">
        <v>9.8923507575845004E-2</v>
      </c>
      <c r="L5897">
        <v>2531.1760981270299</v>
      </c>
      <c r="M5897">
        <v>48.131570299699398</v>
      </c>
      <c r="N5897">
        <v>52.965828230470599</v>
      </c>
      <c r="O5897">
        <v>52.498145415965801</v>
      </c>
      <c r="P5897">
        <v>-0.195952517501194</v>
      </c>
      <c r="Q5897">
        <v>0.14508222363243301</v>
      </c>
      <c r="R5897">
        <v>0.98340937863091205</v>
      </c>
      <c r="S5897" t="s">
        <v>12513</v>
      </c>
      <c r="T5897" t="s">
        <v>13232</v>
      </c>
      <c r="U5897" t="s">
        <v>13232</v>
      </c>
      <c r="V5897" t="s">
        <v>13232</v>
      </c>
      <c r="W5897" t="s">
        <v>19056</v>
      </c>
      <c r="X5897">
        <v>5</v>
      </c>
      <c r="Y5897" t="s">
        <v>25440</v>
      </c>
      <c r="Z5897" t="s">
        <v>32028</v>
      </c>
      <c r="AA5897">
        <v>0.50596601855882473</v>
      </c>
      <c r="AB5897" t="str">
        <f>HYPERLINK("Melting_Curves/meltCurve_Q9NUS5_AP5S1.pdf", "Melting_Curves/meltCurve_Q9NUS5_AP5S1.pdf")</f>
        <v>Melting_Curves/meltCurve_Q9NUS5_AP5S1.pdf</v>
      </c>
    </row>
    <row r="5898" spans="1:28" x14ac:dyDescent="0.25">
      <c r="A5898" t="s">
        <v>5901</v>
      </c>
      <c r="B5898">
        <v>0.99930955844802105</v>
      </c>
      <c r="C5898">
        <v>0.99797038677789296</v>
      </c>
      <c r="D5898">
        <v>0.78445955867644701</v>
      </c>
      <c r="E5898">
        <v>0.37531280462454902</v>
      </c>
      <c r="F5898">
        <v>0.216883391412487</v>
      </c>
      <c r="G5898">
        <v>0.16928708454701299</v>
      </c>
      <c r="H5898">
        <v>0.11532094427730701</v>
      </c>
      <c r="I5898">
        <v>0.111064417845745</v>
      </c>
      <c r="J5898">
        <v>0.103972024404927</v>
      </c>
      <c r="K5898">
        <v>7.9989933045161804E-2</v>
      </c>
      <c r="L5898">
        <v>1150.70089649075</v>
      </c>
      <c r="M5898">
        <v>23.816223754414999</v>
      </c>
      <c r="N5898">
        <v>48.822638350120997</v>
      </c>
      <c r="O5898">
        <v>47.979043115247499</v>
      </c>
      <c r="P5898">
        <v>-0.110508151490628</v>
      </c>
      <c r="Q5898">
        <v>0.109515974470221</v>
      </c>
      <c r="R5898">
        <v>0.99676745033979697</v>
      </c>
      <c r="S5898" t="s">
        <v>12514</v>
      </c>
      <c r="T5898" t="s">
        <v>13232</v>
      </c>
      <c r="U5898" t="s">
        <v>13232</v>
      </c>
      <c r="V5898" t="s">
        <v>13232</v>
      </c>
      <c r="W5898" t="s">
        <v>19057</v>
      </c>
      <c r="X5898">
        <v>27</v>
      </c>
      <c r="Y5898" t="s">
        <v>25441</v>
      </c>
      <c r="Z5898" t="s">
        <v>32029</v>
      </c>
      <c r="AA5898">
        <v>0.36506829274030023</v>
      </c>
      <c r="AB5898" t="str">
        <f>HYPERLINK("Melting_Curves/meltCurve_Q9NUU7_DDX19A.pdf", "Melting_Curves/meltCurve_Q9NUU7_DDX19A.pdf")</f>
        <v>Melting_Curves/meltCurve_Q9NUU7_DDX19A.pdf</v>
      </c>
    </row>
    <row r="5899" spans="1:28" x14ac:dyDescent="0.25">
      <c r="A5899" t="s">
        <v>5902</v>
      </c>
      <c r="B5899">
        <v>0.99930955844802105</v>
      </c>
      <c r="C5899">
        <v>1.05744058506099</v>
      </c>
      <c r="D5899">
        <v>0.82374475487822696</v>
      </c>
      <c r="E5899">
        <v>0.38943746196990597</v>
      </c>
      <c r="F5899">
        <v>0.16220996309954999</v>
      </c>
      <c r="G5899">
        <v>0.113127980870423</v>
      </c>
      <c r="H5899">
        <v>6.6056302143197299E-2</v>
      </c>
      <c r="I5899">
        <v>4.4402234674459598E-2</v>
      </c>
      <c r="J5899">
        <v>4.3117292925704903E-2</v>
      </c>
      <c r="K5899">
        <v>2.1760502908478498E-2</v>
      </c>
      <c r="L5899">
        <v>1267.2088803704701</v>
      </c>
      <c r="M5899">
        <v>25.926291554264999</v>
      </c>
      <c r="N5899">
        <v>49.079869541290797</v>
      </c>
      <c r="O5899">
        <v>48.589357752454298</v>
      </c>
      <c r="P5899">
        <v>-0.126630059119195</v>
      </c>
      <c r="Q5899">
        <v>5.0723992112359499E-2</v>
      </c>
      <c r="R5899">
        <v>0.99389461538465695</v>
      </c>
      <c r="S5899" t="s">
        <v>12515</v>
      </c>
      <c r="T5899" t="s">
        <v>13232</v>
      </c>
      <c r="U5899" t="s">
        <v>13232</v>
      </c>
      <c r="V5899" t="s">
        <v>13232</v>
      </c>
      <c r="W5899" t="s">
        <v>19058</v>
      </c>
      <c r="X5899">
        <v>9</v>
      </c>
      <c r="Y5899" t="s">
        <v>25442</v>
      </c>
      <c r="Z5899" t="s">
        <v>32030</v>
      </c>
      <c r="AA5899">
        <v>0.33942318891723072</v>
      </c>
      <c r="AB5899" t="str">
        <f>HYPERLINK("Melting_Curves/meltCurve_Q9NUW8_TDP1.pdf", "Melting_Curves/meltCurve_Q9NUW8_TDP1.pdf")</f>
        <v>Melting_Curves/meltCurve_Q9NUW8_TDP1.pdf</v>
      </c>
    </row>
    <row r="5900" spans="1:28" x14ac:dyDescent="0.25">
      <c r="A5900" t="s">
        <v>5903</v>
      </c>
      <c r="B5900">
        <v>0.99930955844802105</v>
      </c>
      <c r="C5900">
        <v>0.95781188553086505</v>
      </c>
      <c r="D5900">
        <v>0.91839992363428702</v>
      </c>
      <c r="E5900">
        <v>0.64525225127409602</v>
      </c>
      <c r="F5900">
        <v>0.193330615583828</v>
      </c>
      <c r="G5900">
        <v>0.13488990791758801</v>
      </c>
      <c r="H5900">
        <v>7.9277668230797502E-2</v>
      </c>
      <c r="I5900">
        <v>5.8167471207062803E-2</v>
      </c>
      <c r="J5900">
        <v>5.37512704280226E-2</v>
      </c>
      <c r="K5900">
        <v>4.1861110156328499E-2</v>
      </c>
      <c r="L5900">
        <v>1700.43505461676</v>
      </c>
      <c r="M5900">
        <v>33.623954705076102</v>
      </c>
      <c r="N5900">
        <v>50.779328199171403</v>
      </c>
      <c r="O5900">
        <v>50.394253516734203</v>
      </c>
      <c r="P5900">
        <v>-0.156113285921858</v>
      </c>
      <c r="Q5900">
        <v>6.4098201963842E-2</v>
      </c>
      <c r="R5900">
        <v>0.99413876067488804</v>
      </c>
      <c r="S5900" t="s">
        <v>12516</v>
      </c>
      <c r="T5900" t="s">
        <v>13232</v>
      </c>
      <c r="U5900" t="s">
        <v>13232</v>
      </c>
      <c r="V5900" t="s">
        <v>13232</v>
      </c>
      <c r="W5900" t="s">
        <v>19059</v>
      </c>
      <c r="X5900">
        <v>8</v>
      </c>
      <c r="Y5900" t="s">
        <v>25443</v>
      </c>
      <c r="Z5900" t="s">
        <v>32031</v>
      </c>
      <c r="AA5900">
        <v>0.39855793723591021</v>
      </c>
      <c r="AB5900" t="str">
        <f>HYPERLINK("Melting_Curves/meltCurve_Q9NUX5_2_POT1.pdf", "Melting_Curves/meltCurve_Q9NUX5_2_POT1.pdf")</f>
        <v>Melting_Curves/meltCurve_Q9NUX5_2_POT1.pdf</v>
      </c>
    </row>
    <row r="5901" spans="1:28" x14ac:dyDescent="0.25">
      <c r="A5901" t="s">
        <v>5904</v>
      </c>
      <c r="B5901">
        <v>0.99930955844802105</v>
      </c>
      <c r="C5901">
        <v>1.21321908033833</v>
      </c>
      <c r="D5901">
        <v>1.1346616621601</v>
      </c>
      <c r="E5901">
        <v>0.97007861217797697</v>
      </c>
      <c r="F5901">
        <v>0.69839966153223898</v>
      </c>
      <c r="G5901">
        <v>0.221111489093574</v>
      </c>
      <c r="H5901">
        <v>0.113319208507997</v>
      </c>
      <c r="I5901">
        <v>8.6775206260603699E-2</v>
      </c>
      <c r="J5901">
        <v>8.6617758785424007E-2</v>
      </c>
      <c r="K5901">
        <v>7.0350101006968896E-2</v>
      </c>
      <c r="L5901">
        <v>1936.9416130141899</v>
      </c>
      <c r="M5901">
        <v>35.788985256407997</v>
      </c>
      <c r="N5901">
        <v>54.404627765676103</v>
      </c>
      <c r="O5901">
        <v>53.953026152725798</v>
      </c>
      <c r="P5901">
        <v>-0.15172862410778301</v>
      </c>
      <c r="Q5901">
        <v>8.5060203002489093E-2</v>
      </c>
      <c r="R5901">
        <v>0.96969178613046003</v>
      </c>
      <c r="S5901" t="s">
        <v>12517</v>
      </c>
      <c r="T5901" t="s">
        <v>13232</v>
      </c>
      <c r="U5901" t="s">
        <v>13232</v>
      </c>
      <c r="V5901" t="s">
        <v>13232</v>
      </c>
      <c r="W5901" t="s">
        <v>19060</v>
      </c>
      <c r="X5901">
        <v>12</v>
      </c>
      <c r="Y5901" t="s">
        <v>25444</v>
      </c>
      <c r="Z5901" t="s">
        <v>32032</v>
      </c>
      <c r="AA5901">
        <v>0.51998908195577931</v>
      </c>
      <c r="AB5901" t="str">
        <f>HYPERLINK("Melting_Curves/meltCurve_Q9NUY8_2_TBC1D23.pdf", "Melting_Curves/meltCurve_Q9NUY8_2_TBC1D23.pdf")</f>
        <v>Melting_Curves/meltCurve_Q9NUY8_2_TBC1D23.pdf</v>
      </c>
    </row>
    <row r="5902" spans="1:28" x14ac:dyDescent="0.25">
      <c r="A5902" t="s">
        <v>5905</v>
      </c>
      <c r="B5902">
        <v>0.99930955844802105</v>
      </c>
      <c r="C5902">
        <v>0.93202060378433005</v>
      </c>
      <c r="D5902">
        <v>0.93301534028772704</v>
      </c>
      <c r="E5902">
        <v>0.81061631082265795</v>
      </c>
      <c r="F5902">
        <v>0.65906442991153302</v>
      </c>
      <c r="G5902">
        <v>0.431049894010062</v>
      </c>
      <c r="H5902">
        <v>0.20958721089777699</v>
      </c>
      <c r="I5902">
        <v>0.141028219369362</v>
      </c>
      <c r="J5902">
        <v>9.8165202342699806E-2</v>
      </c>
      <c r="K5902">
        <v>7.1013649696353598E-2</v>
      </c>
      <c r="L5902">
        <v>731.61655215089195</v>
      </c>
      <c r="M5902">
        <v>13.1790874642847</v>
      </c>
      <c r="N5902">
        <v>55.513458630528</v>
      </c>
      <c r="O5902">
        <v>54.281982005626702</v>
      </c>
      <c r="P5902">
        <v>-6.0707504414509797E-2</v>
      </c>
      <c r="Q5902">
        <v>0</v>
      </c>
      <c r="R5902">
        <v>0.997379266272022</v>
      </c>
      <c r="S5902" t="s">
        <v>12518</v>
      </c>
      <c r="T5902" t="s">
        <v>13232</v>
      </c>
      <c r="U5902" t="s">
        <v>13232</v>
      </c>
      <c r="V5902" t="s">
        <v>13232</v>
      </c>
      <c r="W5902" t="s">
        <v>19061</v>
      </c>
      <c r="X5902">
        <v>14</v>
      </c>
      <c r="Y5902" t="s">
        <v>25445</v>
      </c>
      <c r="Z5902" t="s">
        <v>32033</v>
      </c>
      <c r="AA5902">
        <v>0.53778083963121526</v>
      </c>
      <c r="AB5902" t="str">
        <f>HYPERLINK("Melting_Curves/meltCurve_Q9NV06_DCAF13.pdf", "Melting_Curves/meltCurve_Q9NV06_DCAF13.pdf")</f>
        <v>Melting_Curves/meltCurve_Q9NV06_DCAF13.pdf</v>
      </c>
    </row>
    <row r="5903" spans="1:28" x14ac:dyDescent="0.25">
      <c r="A5903" t="s">
        <v>5906</v>
      </c>
      <c r="B5903">
        <v>0.99930955844802105</v>
      </c>
      <c r="C5903">
        <v>0.91751399660974098</v>
      </c>
      <c r="D5903">
        <v>0.87793100858606798</v>
      </c>
      <c r="E5903">
        <v>0.53513585978133305</v>
      </c>
      <c r="F5903">
        <v>0.24938986279188699</v>
      </c>
      <c r="G5903">
        <v>0.14538377284564399</v>
      </c>
      <c r="H5903">
        <v>9.8993005500167694E-2</v>
      </c>
      <c r="I5903">
        <v>6.9733383907090399E-2</v>
      </c>
      <c r="J5903">
        <v>7.0501039884127106E-2</v>
      </c>
      <c r="K5903">
        <v>4.8287225996833702E-2</v>
      </c>
      <c r="L5903">
        <v>1036.55023184117</v>
      </c>
      <c r="M5903">
        <v>20.7710646273732</v>
      </c>
      <c r="N5903">
        <v>50.227934745885499</v>
      </c>
      <c r="O5903">
        <v>49.447906019727498</v>
      </c>
      <c r="P5903">
        <v>-9.8426359182936199E-2</v>
      </c>
      <c r="Q5903">
        <v>6.2764986356908803E-2</v>
      </c>
      <c r="R5903">
        <v>0.99660030963602197</v>
      </c>
      <c r="S5903" t="s">
        <v>12519</v>
      </c>
      <c r="T5903" t="s">
        <v>13232</v>
      </c>
      <c r="U5903" t="s">
        <v>13232</v>
      </c>
      <c r="V5903" t="s">
        <v>13232</v>
      </c>
      <c r="W5903" t="s">
        <v>19062</v>
      </c>
      <c r="X5903">
        <v>4</v>
      </c>
      <c r="Y5903" t="s">
        <v>25446</v>
      </c>
      <c r="Z5903" t="s">
        <v>32034</v>
      </c>
      <c r="AA5903">
        <v>0.38428122217901539</v>
      </c>
      <c r="AB5903" t="str">
        <f>HYPERLINK("Melting_Curves/meltCurve_Q9NV31_IMP3.pdf", "Melting_Curves/meltCurve_Q9NV31_IMP3.pdf")</f>
        <v>Melting_Curves/meltCurve_Q9NV31_IMP3.pdf</v>
      </c>
    </row>
    <row r="5904" spans="1:28" x14ac:dyDescent="0.25">
      <c r="A5904" t="s">
        <v>5907</v>
      </c>
      <c r="B5904">
        <v>0.99930955844802105</v>
      </c>
      <c r="C5904">
        <v>1.04389411680561</v>
      </c>
      <c r="D5904">
        <v>0.89172582356262098</v>
      </c>
      <c r="E5904">
        <v>0.627705324750784</v>
      </c>
      <c r="F5904">
        <v>0.33743824777694797</v>
      </c>
      <c r="G5904">
        <v>0.23779937733244899</v>
      </c>
      <c r="H5904">
        <v>0.136031074887632</v>
      </c>
      <c r="I5904">
        <v>0.106299772696891</v>
      </c>
      <c r="J5904">
        <v>8.5109938245713002E-2</v>
      </c>
      <c r="K5904">
        <v>6.2515179404269594E-2</v>
      </c>
      <c r="L5904">
        <v>1001.29475584495</v>
      </c>
      <c r="M5904">
        <v>19.6821539397252</v>
      </c>
      <c r="N5904">
        <v>51.380303296471098</v>
      </c>
      <c r="O5904">
        <v>50.356805572607001</v>
      </c>
      <c r="P5904">
        <v>-8.9091290312827406E-2</v>
      </c>
      <c r="Q5904">
        <v>8.8271203014206101E-2</v>
      </c>
      <c r="R5904">
        <v>0.99325681499059604</v>
      </c>
      <c r="S5904" t="s">
        <v>12520</v>
      </c>
      <c r="T5904" t="s">
        <v>13232</v>
      </c>
      <c r="U5904" t="s">
        <v>13232</v>
      </c>
      <c r="V5904" t="s">
        <v>13232</v>
      </c>
      <c r="W5904" t="s">
        <v>19063</v>
      </c>
      <c r="X5904">
        <v>5</v>
      </c>
      <c r="Y5904" t="s">
        <v>25447</v>
      </c>
      <c r="Z5904" t="s">
        <v>32035</v>
      </c>
      <c r="AA5904">
        <v>0.43176578272214172</v>
      </c>
      <c r="AB5904" t="str">
        <f>HYPERLINK("Melting_Curves/meltCurve_Q9NV35_NUDT15.pdf", "Melting_Curves/meltCurve_Q9NV35_NUDT15.pdf")</f>
        <v>Melting_Curves/meltCurve_Q9NV35_NUDT15.pdf</v>
      </c>
    </row>
    <row r="5905" spans="1:28" x14ac:dyDescent="0.25">
      <c r="A5905" t="s">
        <v>5908</v>
      </c>
      <c r="B5905">
        <v>0.99930955844802105</v>
      </c>
      <c r="C5905">
        <v>1.4816758190916599</v>
      </c>
      <c r="D5905">
        <v>1.3889112013224401</v>
      </c>
      <c r="E5905">
        <v>1.22813681136612</v>
      </c>
      <c r="F5905">
        <v>1.3268053543791301</v>
      </c>
      <c r="G5905">
        <v>0.83766591814812497</v>
      </c>
      <c r="H5905">
        <v>0.31726528457444803</v>
      </c>
      <c r="I5905">
        <v>0.21076405441101001</v>
      </c>
      <c r="J5905">
        <v>0.16314785733612699</v>
      </c>
      <c r="K5905">
        <v>0.14327490119084099</v>
      </c>
      <c r="L5905">
        <v>2772.1634548902598</v>
      </c>
      <c r="M5905">
        <v>47.015025458746599</v>
      </c>
      <c r="N5905">
        <v>59.472720853069497</v>
      </c>
      <c r="O5905">
        <v>58.856970768247898</v>
      </c>
      <c r="P5905">
        <v>-0.166604461173748</v>
      </c>
      <c r="Q5905">
        <v>0.165728560439346</v>
      </c>
      <c r="R5905">
        <v>0.79968458076632798</v>
      </c>
      <c r="S5905" t="s">
        <v>12521</v>
      </c>
      <c r="T5905" t="s">
        <v>13232</v>
      </c>
      <c r="U5905" t="s">
        <v>13232</v>
      </c>
      <c r="V5905" t="s">
        <v>13232</v>
      </c>
      <c r="W5905" t="s">
        <v>19064</v>
      </c>
      <c r="X5905">
        <v>2</v>
      </c>
      <c r="Y5905" t="s">
        <v>25448</v>
      </c>
      <c r="Z5905" t="s">
        <v>32036</v>
      </c>
      <c r="AA5905">
        <v>0.69550596600025749</v>
      </c>
      <c r="AB5905" t="str">
        <f>HYPERLINK("Melting_Curves/meltCurve_Q9NV56_MRGBP.pdf", "Melting_Curves/meltCurve_Q9NV56_MRGBP.pdf")</f>
        <v>Melting_Curves/meltCurve_Q9NV56_MRGBP.pdf</v>
      </c>
    </row>
    <row r="5906" spans="1:28" x14ac:dyDescent="0.25">
      <c r="A5906" t="s">
        <v>5909</v>
      </c>
      <c r="B5906">
        <v>0.99930955844802105</v>
      </c>
      <c r="C5906">
        <v>0.68521634653114305</v>
      </c>
      <c r="D5906">
        <v>0.56305594168506301</v>
      </c>
      <c r="E5906">
        <v>0.26524373640805099</v>
      </c>
      <c r="F5906">
        <v>0.17860676630517699</v>
      </c>
      <c r="G5906">
        <v>0.138626466496719</v>
      </c>
      <c r="H5906">
        <v>9.2789772311544894E-2</v>
      </c>
      <c r="I5906">
        <v>9.7501046740345695E-2</v>
      </c>
      <c r="J5906">
        <v>9.3918459107167604E-2</v>
      </c>
      <c r="K5906">
        <v>7.5043526912935796E-2</v>
      </c>
      <c r="L5906">
        <v>724.27984798806096</v>
      </c>
      <c r="M5906">
        <v>15.8180936826133</v>
      </c>
      <c r="N5906">
        <v>46.325795727795601</v>
      </c>
      <c r="O5906">
        <v>45.075010721103901</v>
      </c>
      <c r="P5906">
        <v>-8.0380559983110694E-2</v>
      </c>
      <c r="Q5906">
        <v>8.3870311440606804E-2</v>
      </c>
      <c r="R5906">
        <v>0.98328223865264397</v>
      </c>
      <c r="S5906" t="s">
        <v>12522</v>
      </c>
      <c r="T5906" t="s">
        <v>13232</v>
      </c>
      <c r="U5906" t="s">
        <v>13232</v>
      </c>
      <c r="V5906" t="s">
        <v>13232</v>
      </c>
      <c r="W5906" t="s">
        <v>19065</v>
      </c>
      <c r="X5906">
        <v>20</v>
      </c>
      <c r="Y5906" t="s">
        <v>25449</v>
      </c>
      <c r="Z5906" t="s">
        <v>32037</v>
      </c>
      <c r="AA5906">
        <v>0.28495264559120459</v>
      </c>
      <c r="AB5906" t="str">
        <f>HYPERLINK("Melting_Curves/meltCurve_Q9NV70_2_EXOC1.pdf", "Melting_Curves/meltCurve_Q9NV70_2_EXOC1.pdf")</f>
        <v>Melting_Curves/meltCurve_Q9NV70_2_EXOC1.pdf</v>
      </c>
    </row>
    <row r="5907" spans="1:28" x14ac:dyDescent="0.25">
      <c r="A5907" t="s">
        <v>5910</v>
      </c>
      <c r="B5907">
        <v>0.99930955844802105</v>
      </c>
      <c r="C5907">
        <v>0.92963957539458397</v>
      </c>
      <c r="D5907">
        <v>0.91931990675316499</v>
      </c>
      <c r="E5907">
        <v>0.83416732026760698</v>
      </c>
      <c r="F5907">
        <v>0.56098361875666602</v>
      </c>
      <c r="G5907">
        <v>0.279012820494904</v>
      </c>
      <c r="H5907">
        <v>0.17969757622877</v>
      </c>
      <c r="I5907">
        <v>0.171014814115998</v>
      </c>
      <c r="J5907">
        <v>0.14277575487010399</v>
      </c>
      <c r="K5907">
        <v>0.120243373283201</v>
      </c>
      <c r="L5907">
        <v>1098.7206066119099</v>
      </c>
      <c r="M5907">
        <v>20.724895710133001</v>
      </c>
      <c r="N5907">
        <v>53.7757598613806</v>
      </c>
      <c r="O5907">
        <v>52.528352084920002</v>
      </c>
      <c r="P5907">
        <v>-8.60996945915391E-2</v>
      </c>
      <c r="Q5907">
        <v>0.12712765968221101</v>
      </c>
      <c r="R5907">
        <v>0.99385352330633503</v>
      </c>
      <c r="S5907" t="s">
        <v>12523</v>
      </c>
      <c r="T5907" t="s">
        <v>13232</v>
      </c>
      <c r="U5907" t="s">
        <v>13232</v>
      </c>
      <c r="V5907" t="s">
        <v>13232</v>
      </c>
      <c r="W5907" t="s">
        <v>19066</v>
      </c>
      <c r="X5907">
        <v>18</v>
      </c>
      <c r="Y5907" t="s">
        <v>25450</v>
      </c>
      <c r="Z5907" t="s">
        <v>32038</v>
      </c>
      <c r="AA5907">
        <v>0.51708520923165413</v>
      </c>
      <c r="AB5907" t="str">
        <f>HYPERLINK("Melting_Curves/meltCurve_Q9NV88_3_INTS9.pdf", "Melting_Curves/meltCurve_Q9NV88_3_INTS9.pdf")</f>
        <v>Melting_Curves/meltCurve_Q9NV88_3_INTS9.pdf</v>
      </c>
    </row>
    <row r="5908" spans="1:28" x14ac:dyDescent="0.25">
      <c r="A5908" t="s">
        <v>5911</v>
      </c>
      <c r="B5908">
        <v>0.99930955844802105</v>
      </c>
      <c r="C5908">
        <v>0.89653797571350702</v>
      </c>
      <c r="D5908">
        <v>0.87446666327271905</v>
      </c>
      <c r="E5908">
        <v>0.750373066691567</v>
      </c>
      <c r="F5908">
        <v>0.55475899542777696</v>
      </c>
      <c r="G5908">
        <v>0.48586208383169699</v>
      </c>
      <c r="H5908">
        <v>0.34337968759697401</v>
      </c>
      <c r="I5908">
        <v>0.35533722946431001</v>
      </c>
      <c r="J5908">
        <v>0.29091118898253199</v>
      </c>
      <c r="K5908">
        <v>0.23601956817549499</v>
      </c>
      <c r="L5908">
        <v>536.03650714760295</v>
      </c>
      <c r="M5908">
        <v>10.0928421869439</v>
      </c>
      <c r="N5908">
        <v>55.849271538345498</v>
      </c>
      <c r="O5908">
        <v>51.152002803638702</v>
      </c>
      <c r="P5908">
        <v>-3.9717942267744097E-2</v>
      </c>
      <c r="Q5908">
        <v>0.19519239625533</v>
      </c>
      <c r="R5908">
        <v>0.98799640526900101</v>
      </c>
      <c r="S5908" t="s">
        <v>12524</v>
      </c>
      <c r="T5908" t="s">
        <v>13232</v>
      </c>
      <c r="U5908" t="s">
        <v>13232</v>
      </c>
      <c r="V5908" t="s">
        <v>13232</v>
      </c>
      <c r="W5908" t="s">
        <v>19067</v>
      </c>
      <c r="X5908">
        <v>1</v>
      </c>
      <c r="Y5908" t="s">
        <v>25451</v>
      </c>
      <c r="Z5908" t="s">
        <v>32039</v>
      </c>
      <c r="AA5908">
        <v>0.5738746679317851</v>
      </c>
      <c r="AB5908" t="str">
        <f>HYPERLINK("Melting_Curves/meltCurve_Q9NVA4_TMEM184C.pdf", "Melting_Curves/meltCurve_Q9NVA4_TMEM184C.pdf")</f>
        <v>Melting_Curves/meltCurve_Q9NVA4_TMEM184C.pdf</v>
      </c>
    </row>
    <row r="5909" spans="1:28" x14ac:dyDescent="0.25">
      <c r="A5909" t="s">
        <v>5912</v>
      </c>
      <c r="B5909">
        <v>0.99930955844802105</v>
      </c>
      <c r="C5909">
        <v>0.67238714354640805</v>
      </c>
      <c r="D5909">
        <v>0.67143276048896805</v>
      </c>
      <c r="E5909">
        <v>0.63873505525180696</v>
      </c>
      <c r="F5909">
        <v>0.34361319503915799</v>
      </c>
      <c r="G5909">
        <v>0.19863325721143801</v>
      </c>
      <c r="H5909">
        <v>0.109657292425773</v>
      </c>
      <c r="I5909">
        <v>9.2937767521942702E-2</v>
      </c>
      <c r="J5909">
        <v>7.7815830713230796E-2</v>
      </c>
      <c r="K5909">
        <v>6.5042820267950094E-2</v>
      </c>
      <c r="L5909">
        <v>474.41532678024799</v>
      </c>
      <c r="M5909">
        <v>9.5139715215993697</v>
      </c>
      <c r="N5909">
        <v>49.865123404266598</v>
      </c>
      <c r="O5909">
        <v>47.8111887882947</v>
      </c>
      <c r="P5909">
        <v>-4.9776882154739799E-2</v>
      </c>
      <c r="Q5909">
        <v>0</v>
      </c>
      <c r="R5909">
        <v>0.94463880312361603</v>
      </c>
      <c r="S5909" t="s">
        <v>12525</v>
      </c>
      <c r="T5909" t="s">
        <v>13232</v>
      </c>
      <c r="U5909" t="s">
        <v>13232</v>
      </c>
      <c r="V5909" t="s">
        <v>13232</v>
      </c>
      <c r="W5909" t="s">
        <v>19068</v>
      </c>
      <c r="X5909">
        <v>11</v>
      </c>
      <c r="Y5909" t="s">
        <v>25452</v>
      </c>
      <c r="Z5909" t="s">
        <v>32040</v>
      </c>
      <c r="AA5909">
        <v>0.37772282644421978</v>
      </c>
      <c r="AB5909" t="str">
        <f>HYPERLINK("Melting_Curves/meltCurve_Q9NVC6_MED17.pdf", "Melting_Curves/meltCurve_Q9NVC6_MED17.pdf")</f>
        <v>Melting_Curves/meltCurve_Q9NVC6_MED17.pdf</v>
      </c>
    </row>
    <row r="5910" spans="1:28" x14ac:dyDescent="0.25">
      <c r="A5910" t="s">
        <v>5913</v>
      </c>
      <c r="B5910">
        <v>0.99930955844802105</v>
      </c>
      <c r="C5910">
        <v>0.60763106224104102</v>
      </c>
      <c r="D5910">
        <v>0.29334920343612703</v>
      </c>
      <c r="E5910">
        <v>0.18399312108154001</v>
      </c>
      <c r="F5910">
        <v>0.121037078645057</v>
      </c>
      <c r="G5910">
        <v>6.5707578298561595E-2</v>
      </c>
      <c r="H5910">
        <v>4.8809459671557698E-2</v>
      </c>
      <c r="I5910">
        <v>4.4940395982402202E-2</v>
      </c>
      <c r="J5910">
        <v>4.2877946968005801E-2</v>
      </c>
      <c r="K5910">
        <v>2.9304132747220001E-2</v>
      </c>
      <c r="L5910">
        <v>1028.56024719427</v>
      </c>
      <c r="M5910">
        <v>23.448919751844301</v>
      </c>
      <c r="N5910">
        <v>44.120764200565397</v>
      </c>
      <c r="O5910">
        <v>43.548568856694601</v>
      </c>
      <c r="P5910">
        <v>-0.12602579741733899</v>
      </c>
      <c r="Q5910">
        <v>6.3811892502834505E-2</v>
      </c>
      <c r="R5910">
        <v>0.97977044746143105</v>
      </c>
      <c r="S5910" t="s">
        <v>12526</v>
      </c>
      <c r="T5910" t="s">
        <v>13232</v>
      </c>
      <c r="U5910" t="s">
        <v>13232</v>
      </c>
      <c r="V5910" t="s">
        <v>13232</v>
      </c>
      <c r="W5910" t="s">
        <v>19069</v>
      </c>
      <c r="X5910">
        <v>5</v>
      </c>
      <c r="Y5910" t="s">
        <v>25453</v>
      </c>
      <c r="Z5910" t="s">
        <v>32041</v>
      </c>
      <c r="AA5910">
        <v>0.19722204982570879</v>
      </c>
      <c r="AB5910" t="str">
        <f>HYPERLINK("Melting_Curves/meltCurve_Q9NVE5_USP40.pdf", "Melting_Curves/meltCurve_Q9NVE5_USP40.pdf")</f>
        <v>Melting_Curves/meltCurve_Q9NVE5_USP40.pdf</v>
      </c>
    </row>
    <row r="5911" spans="1:28" x14ac:dyDescent="0.25">
      <c r="A5911" t="s">
        <v>5914</v>
      </c>
      <c r="B5911">
        <v>0.99930955844802105</v>
      </c>
      <c r="C5911">
        <v>0.80477091232069797</v>
      </c>
      <c r="D5911">
        <v>0.48630886564244802</v>
      </c>
      <c r="E5911">
        <v>0.28835103253029998</v>
      </c>
      <c r="F5911">
        <v>0.18560914034281401</v>
      </c>
      <c r="G5911">
        <v>0.13524230196089501</v>
      </c>
      <c r="H5911">
        <v>8.55077876564245E-2</v>
      </c>
      <c r="I5911">
        <v>7.6922622820588094E-2</v>
      </c>
      <c r="J5911">
        <v>5.6070127722148901E-2</v>
      </c>
      <c r="K5911">
        <v>4.2828562598261601E-2</v>
      </c>
      <c r="L5911">
        <v>787.42825328111303</v>
      </c>
      <c r="M5911">
        <v>17.100821279767199</v>
      </c>
      <c r="N5911">
        <v>46.465560873087</v>
      </c>
      <c r="O5911">
        <v>45.430390871893003</v>
      </c>
      <c r="P5911">
        <v>-8.7380841914792798E-2</v>
      </c>
      <c r="Q5911">
        <v>7.1505158496132398E-2</v>
      </c>
      <c r="R5911">
        <v>0.98966471588044302</v>
      </c>
      <c r="S5911" t="s">
        <v>12527</v>
      </c>
      <c r="T5911" t="s">
        <v>13232</v>
      </c>
      <c r="U5911" t="s">
        <v>13232</v>
      </c>
      <c r="V5911" t="s">
        <v>13232</v>
      </c>
      <c r="W5911" t="s">
        <v>19070</v>
      </c>
      <c r="X5911">
        <v>25</v>
      </c>
      <c r="Y5911" t="s">
        <v>25454</v>
      </c>
      <c r="Z5911" t="s">
        <v>32042</v>
      </c>
      <c r="AA5911">
        <v>0.27899291125792319</v>
      </c>
      <c r="AB5911" t="str">
        <f>HYPERLINK("Melting_Curves/meltCurve_Q9NVE7_PANK4.pdf", "Melting_Curves/meltCurve_Q9NVE7_PANK4.pdf")</f>
        <v>Melting_Curves/meltCurve_Q9NVE7_PANK4.pdf</v>
      </c>
    </row>
    <row r="5912" spans="1:28" x14ac:dyDescent="0.25">
      <c r="A5912" t="s">
        <v>5915</v>
      </c>
      <c r="B5912">
        <v>0.99930955844802105</v>
      </c>
      <c r="C5912">
        <v>0.98860076524818696</v>
      </c>
      <c r="D5912">
        <v>0.90143603266972006</v>
      </c>
      <c r="E5912">
        <v>0.51810604981025599</v>
      </c>
      <c r="F5912">
        <v>0.257060614199634</v>
      </c>
      <c r="G5912">
        <v>0.20218725939722301</v>
      </c>
      <c r="H5912">
        <v>0.120306204098842</v>
      </c>
      <c r="I5912">
        <v>9.9673589081949496E-2</v>
      </c>
      <c r="J5912">
        <v>8.9826399711354907E-2</v>
      </c>
      <c r="K5912">
        <v>7.6421534168803304E-2</v>
      </c>
      <c r="L5912">
        <v>1178.0638742910801</v>
      </c>
      <c r="M5912">
        <v>23.673309027101599</v>
      </c>
      <c r="N5912">
        <v>50.246978420668199</v>
      </c>
      <c r="O5912">
        <v>49.412365920415198</v>
      </c>
      <c r="P5912">
        <v>-0.107574205375339</v>
      </c>
      <c r="Q5912">
        <v>0.101873389583717</v>
      </c>
      <c r="R5912">
        <v>0.99644298305921397</v>
      </c>
      <c r="S5912" t="s">
        <v>12528</v>
      </c>
      <c r="T5912" t="s">
        <v>13232</v>
      </c>
      <c r="U5912" t="s">
        <v>13232</v>
      </c>
      <c r="V5912" t="s">
        <v>13232</v>
      </c>
      <c r="W5912" t="s">
        <v>19071</v>
      </c>
      <c r="X5912">
        <v>3</v>
      </c>
      <c r="Y5912" t="s">
        <v>25455</v>
      </c>
      <c r="Z5912" t="s">
        <v>32043</v>
      </c>
      <c r="AA5912">
        <v>0.40310534969846817</v>
      </c>
      <c r="AB5912" t="str">
        <f>HYPERLINK("Melting_Curves/meltCurve_Q9NVF7_FBXO28.pdf", "Melting_Curves/meltCurve_Q9NVF7_FBXO28.pdf")</f>
        <v>Melting_Curves/meltCurve_Q9NVF7_FBXO28.pdf</v>
      </c>
    </row>
    <row r="5913" spans="1:28" x14ac:dyDescent="0.25">
      <c r="A5913" t="s">
        <v>5916</v>
      </c>
      <c r="B5913">
        <v>0.99930955844802105</v>
      </c>
      <c r="C5913">
        <v>1.0125599490703601</v>
      </c>
      <c r="D5913">
        <v>1.0133590221814399</v>
      </c>
      <c r="E5913">
        <v>0.983503754415189</v>
      </c>
      <c r="F5913">
        <v>0.84718406595626305</v>
      </c>
      <c r="G5913">
        <v>0.43716009838667802</v>
      </c>
      <c r="H5913">
        <v>0.14365555139589101</v>
      </c>
      <c r="I5913">
        <v>0.102366739852133</v>
      </c>
      <c r="J5913">
        <v>8.1192492581937295E-2</v>
      </c>
      <c r="K5913">
        <v>6.4151897219711804E-2</v>
      </c>
      <c r="L5913">
        <v>1608.811499894</v>
      </c>
      <c r="M5913">
        <v>28.667143580416901</v>
      </c>
      <c r="N5913">
        <v>56.405896336647899</v>
      </c>
      <c r="O5913">
        <v>55.849436458401698</v>
      </c>
      <c r="P5913">
        <v>-0.119658388890206</v>
      </c>
      <c r="Q5913">
        <v>6.7531594066719006E-2</v>
      </c>
      <c r="R5913">
        <v>0.99953938680563104</v>
      </c>
      <c r="S5913" t="s">
        <v>12529</v>
      </c>
      <c r="T5913" t="s">
        <v>13232</v>
      </c>
      <c r="U5913" t="s">
        <v>13232</v>
      </c>
      <c r="V5913" t="s">
        <v>13232</v>
      </c>
      <c r="W5913" t="s">
        <v>19072</v>
      </c>
      <c r="X5913">
        <v>20</v>
      </c>
      <c r="Y5913" t="s">
        <v>25456</v>
      </c>
      <c r="Z5913" t="s">
        <v>32044</v>
      </c>
      <c r="AA5913">
        <v>0.5753420899322178</v>
      </c>
      <c r="AB5913" t="str">
        <f>HYPERLINK("Melting_Curves/meltCurve_Q9NVG8_TBC1D13.pdf", "Melting_Curves/meltCurve_Q9NVG8_TBC1D13.pdf")</f>
        <v>Melting_Curves/meltCurve_Q9NVG8_TBC1D13.pdf</v>
      </c>
    </row>
    <row r="5914" spans="1:28" x14ac:dyDescent="0.25">
      <c r="A5914" t="s">
        <v>5917</v>
      </c>
      <c r="B5914">
        <v>0.99930955844802105</v>
      </c>
      <c r="C5914">
        <v>1.1055415469829299</v>
      </c>
      <c r="D5914">
        <v>0.72970528978318105</v>
      </c>
      <c r="E5914">
        <v>0.37139740898104001</v>
      </c>
      <c r="F5914">
        <v>0.246108493552294</v>
      </c>
      <c r="G5914">
        <v>0.20672470670808801</v>
      </c>
      <c r="H5914">
        <v>0.116385943905315</v>
      </c>
      <c r="I5914">
        <v>0.115841118749806</v>
      </c>
      <c r="J5914">
        <v>0.101560915752783</v>
      </c>
      <c r="K5914">
        <v>6.8583380269219202E-2</v>
      </c>
      <c r="L5914">
        <v>1139.14328871357</v>
      </c>
      <c r="M5914">
        <v>23.6386278427909</v>
      </c>
      <c r="N5914">
        <v>48.749015270802602</v>
      </c>
      <c r="O5914">
        <v>47.849009452059498</v>
      </c>
      <c r="P5914">
        <v>-0.10884364191984799</v>
      </c>
      <c r="Q5914">
        <v>0.11873522245814699</v>
      </c>
      <c r="R5914">
        <v>0.97519094118879002</v>
      </c>
      <c r="S5914" t="s">
        <v>12530</v>
      </c>
      <c r="T5914" t="s">
        <v>13232</v>
      </c>
      <c r="U5914" t="s">
        <v>13232</v>
      </c>
      <c r="V5914" t="s">
        <v>13232</v>
      </c>
      <c r="W5914" t="s">
        <v>19073</v>
      </c>
      <c r="X5914">
        <v>4</v>
      </c>
      <c r="Y5914" t="s">
        <v>25457</v>
      </c>
      <c r="Z5914" t="s">
        <v>32045</v>
      </c>
      <c r="AA5914">
        <v>0.36808319588274863</v>
      </c>
      <c r="AB5914" t="str">
        <f>HYPERLINK("Melting_Curves/meltCurve_Q9NVH0_2_EXD2.pdf", "Melting_Curves/meltCurve_Q9NVH0_2_EXD2.pdf")</f>
        <v>Melting_Curves/meltCurve_Q9NVH0_2_EXD2.pdf</v>
      </c>
    </row>
    <row r="5915" spans="1:28" x14ac:dyDescent="0.25">
      <c r="A5915" t="s">
        <v>5918</v>
      </c>
      <c r="B5915">
        <v>0.99930955844802105</v>
      </c>
      <c r="C5915">
        <v>0.60609519040166304</v>
      </c>
      <c r="D5915">
        <v>0.58593787494040095</v>
      </c>
      <c r="E5915">
        <v>0.49093897520656798</v>
      </c>
      <c r="F5915">
        <v>0.19393918901850099</v>
      </c>
      <c r="G5915">
        <v>0.13836120116084299</v>
      </c>
      <c r="H5915">
        <v>8.0284200853547594E-2</v>
      </c>
      <c r="I5915">
        <v>6.4162202217240297E-2</v>
      </c>
      <c r="J5915">
        <v>6.38872679100599E-2</v>
      </c>
      <c r="K5915">
        <v>4.7245685820039199E-2</v>
      </c>
      <c r="L5915">
        <v>488.03978105551198</v>
      </c>
      <c r="M5915">
        <v>10.274778192542099</v>
      </c>
      <c r="N5915">
        <v>47.513996898466203</v>
      </c>
      <c r="O5915">
        <v>45.805108704721199</v>
      </c>
      <c r="P5915">
        <v>-5.6011437339617803E-2</v>
      </c>
      <c r="Q5915">
        <v>1.63877541232233E-3</v>
      </c>
      <c r="R5915">
        <v>0.94227167521747601</v>
      </c>
      <c r="S5915" t="s">
        <v>12531</v>
      </c>
      <c r="T5915" t="s">
        <v>13232</v>
      </c>
      <c r="U5915" t="s">
        <v>13232</v>
      </c>
      <c r="V5915" t="s">
        <v>13232</v>
      </c>
      <c r="W5915" t="s">
        <v>19074</v>
      </c>
      <c r="X5915">
        <v>6</v>
      </c>
      <c r="Y5915" t="s">
        <v>25458</v>
      </c>
      <c r="Z5915" t="s">
        <v>32046</v>
      </c>
      <c r="AA5915">
        <v>0.30390698567336122</v>
      </c>
      <c r="AB5915" t="str">
        <f>HYPERLINK("Melting_Curves/meltCurve_Q9NVH2_3_INTS7.pdf", "Melting_Curves/meltCurve_Q9NVH2_3_INTS7.pdf")</f>
        <v>Melting_Curves/meltCurve_Q9NVH2_3_INTS7.pdf</v>
      </c>
    </row>
    <row r="5916" spans="1:28" x14ac:dyDescent="0.25">
      <c r="A5916" t="s">
        <v>5919</v>
      </c>
      <c r="B5916">
        <v>0.99930955844802105</v>
      </c>
      <c r="C5916">
        <v>1.1013001594749201</v>
      </c>
      <c r="D5916">
        <v>1.05198660035893</v>
      </c>
      <c r="E5916">
        <v>1.02006349941325</v>
      </c>
      <c r="F5916">
        <v>1.0370906956899799</v>
      </c>
      <c r="G5916">
        <v>0.78496838720024897</v>
      </c>
      <c r="H5916">
        <v>0.43892517701731698</v>
      </c>
      <c r="I5916">
        <v>0.161781330688516</v>
      </c>
      <c r="J5916">
        <v>0.106630013150873</v>
      </c>
      <c r="K5916">
        <v>8.7454224939859895E-2</v>
      </c>
      <c r="L5916">
        <v>1706.58561792616</v>
      </c>
      <c r="M5916">
        <v>28.510533188096399</v>
      </c>
      <c r="N5916">
        <v>60.140247064095902</v>
      </c>
      <c r="O5916">
        <v>59.565909352362603</v>
      </c>
      <c r="P5916">
        <v>-0.112169704580922</v>
      </c>
      <c r="Q5916">
        <v>6.2600891601306094E-2</v>
      </c>
      <c r="R5916">
        <v>0.98802651471352698</v>
      </c>
      <c r="S5916" t="s">
        <v>12532</v>
      </c>
      <c r="T5916" t="s">
        <v>13232</v>
      </c>
      <c r="U5916" t="s">
        <v>13232</v>
      </c>
      <c r="V5916" t="s">
        <v>13232</v>
      </c>
      <c r="W5916" t="s">
        <v>19075</v>
      </c>
      <c r="X5916">
        <v>9</v>
      </c>
      <c r="Y5916" t="s">
        <v>25459</v>
      </c>
      <c r="Z5916" t="s">
        <v>32047</v>
      </c>
      <c r="AA5916">
        <v>0.68923718015229218</v>
      </c>
      <c r="AB5916" t="str">
        <f>HYPERLINK("Melting_Curves/meltCurve_Q9NVH6_TMLHE.pdf", "Melting_Curves/meltCurve_Q9NVH6_TMLHE.pdf")</f>
        <v>Melting_Curves/meltCurve_Q9NVH6_TMLHE.pdf</v>
      </c>
    </row>
    <row r="5917" spans="1:28" x14ac:dyDescent="0.25">
      <c r="A5917" t="s">
        <v>5920</v>
      </c>
      <c r="B5917">
        <v>0.99930955844802105</v>
      </c>
      <c r="C5917">
        <v>0.69489824326474203</v>
      </c>
      <c r="D5917">
        <v>0.442230693724664</v>
      </c>
      <c r="E5917">
        <v>0.30606911588675001</v>
      </c>
      <c r="F5917">
        <v>0.19870713435305701</v>
      </c>
      <c r="G5917">
        <v>0.13826882677562699</v>
      </c>
      <c r="H5917">
        <v>8.3453010220526203E-2</v>
      </c>
      <c r="I5917">
        <v>7.1312413850938797E-2</v>
      </c>
      <c r="J5917">
        <v>6.2612231090718104E-2</v>
      </c>
      <c r="K5917">
        <v>4.9060246241783803E-2</v>
      </c>
      <c r="L5917">
        <v>682.43336615656699</v>
      </c>
      <c r="M5917">
        <v>15.0010984906201</v>
      </c>
      <c r="N5917">
        <v>45.954723651955199</v>
      </c>
      <c r="O5917">
        <v>44.706761119769403</v>
      </c>
      <c r="P5917">
        <v>-7.8016469275942996E-2</v>
      </c>
      <c r="Q5917">
        <v>7.0065057185944399E-2</v>
      </c>
      <c r="R5917">
        <v>0.97841880064014797</v>
      </c>
      <c r="S5917" t="s">
        <v>12533</v>
      </c>
      <c r="T5917" t="s">
        <v>13232</v>
      </c>
      <c r="U5917" t="s">
        <v>13232</v>
      </c>
      <c r="V5917" t="s">
        <v>13232</v>
      </c>
      <c r="W5917" t="s">
        <v>19076</v>
      </c>
      <c r="X5917">
        <v>22</v>
      </c>
      <c r="Y5917" t="s">
        <v>25460</v>
      </c>
      <c r="Z5917" t="s">
        <v>32048</v>
      </c>
      <c r="AA5917">
        <v>0.26872262840373218</v>
      </c>
      <c r="AB5917" t="str">
        <f>HYPERLINK("Melting_Curves/meltCurve_Q9NVI1_FANCI.pdf", "Melting_Curves/meltCurve_Q9NVI1_FANCI.pdf")</f>
        <v>Melting_Curves/meltCurve_Q9NVI1_FANCI.pdf</v>
      </c>
    </row>
    <row r="5918" spans="1:28" x14ac:dyDescent="0.25">
      <c r="A5918" t="s">
        <v>5921</v>
      </c>
      <c r="B5918">
        <v>0.99930955844802105</v>
      </c>
      <c r="C5918">
        <v>0.76454810082274804</v>
      </c>
      <c r="D5918">
        <v>0.71562274857466301</v>
      </c>
      <c r="E5918">
        <v>0.73454585185708798</v>
      </c>
      <c r="F5918">
        <v>0.44730173022669201</v>
      </c>
      <c r="G5918">
        <v>0.25504013312656598</v>
      </c>
      <c r="H5918">
        <v>0.177731699635574</v>
      </c>
      <c r="I5918">
        <v>0.167937087438672</v>
      </c>
      <c r="J5918">
        <v>0.13674090390253599</v>
      </c>
      <c r="K5918">
        <v>0.117641970661835</v>
      </c>
      <c r="L5918">
        <v>463.50905837953297</v>
      </c>
      <c r="M5918">
        <v>8.9098818433379492</v>
      </c>
      <c r="N5918">
        <v>52.052282924049997</v>
      </c>
      <c r="O5918">
        <v>49.601513104366603</v>
      </c>
      <c r="P5918">
        <v>-4.48246441621424E-2</v>
      </c>
      <c r="Q5918">
        <v>2.5932386563343201E-3</v>
      </c>
      <c r="R5918">
        <v>0.95355390207753199</v>
      </c>
      <c r="S5918" t="s">
        <v>12534</v>
      </c>
      <c r="T5918" t="s">
        <v>13232</v>
      </c>
      <c r="U5918" t="s">
        <v>13232</v>
      </c>
      <c r="V5918" t="s">
        <v>13232</v>
      </c>
      <c r="W5918" t="s">
        <v>19077</v>
      </c>
      <c r="X5918">
        <v>7</v>
      </c>
      <c r="Y5918" t="s">
        <v>25461</v>
      </c>
      <c r="Z5918" t="s">
        <v>32049</v>
      </c>
      <c r="AA5918">
        <v>0.44478443230156273</v>
      </c>
      <c r="AB5918" t="str">
        <f>HYPERLINK("Melting_Curves/meltCurve_Q9NVI7_2_ATAD3A.pdf", "Melting_Curves/meltCurve_Q9NVI7_2_ATAD3A.pdf")</f>
        <v>Melting_Curves/meltCurve_Q9NVI7_2_ATAD3A.pdf</v>
      </c>
    </row>
    <row r="5919" spans="1:28" x14ac:dyDescent="0.25">
      <c r="A5919" t="s">
        <v>5922</v>
      </c>
      <c r="B5919">
        <v>0.99930955844802105</v>
      </c>
      <c r="C5919">
        <v>0.992180774610945</v>
      </c>
      <c r="D5919">
        <v>0.96444178789702695</v>
      </c>
      <c r="E5919">
        <v>0.93463135575438905</v>
      </c>
      <c r="F5919">
        <v>0.74127799241471204</v>
      </c>
      <c r="G5919">
        <v>0.51692468068757003</v>
      </c>
      <c r="H5919">
        <v>0.34499646361712299</v>
      </c>
      <c r="I5919">
        <v>0.24210968826165599</v>
      </c>
      <c r="J5919">
        <v>0.14778310650507701</v>
      </c>
      <c r="K5919">
        <v>9.3674091428465306E-2</v>
      </c>
      <c r="L5919">
        <v>788.910018956052</v>
      </c>
      <c r="M5919">
        <v>13.749720947843601</v>
      </c>
      <c r="N5919">
        <v>57.667882945916901</v>
      </c>
      <c r="O5919">
        <v>56.203619223894002</v>
      </c>
      <c r="P5919">
        <v>-5.9115973728844501E-2</v>
      </c>
      <c r="Q5919">
        <v>3.3562991708421398E-2</v>
      </c>
      <c r="R5919">
        <v>0.99664038974796498</v>
      </c>
      <c r="S5919" t="s">
        <v>12535</v>
      </c>
      <c r="T5919" t="s">
        <v>13232</v>
      </c>
      <c r="U5919" t="s">
        <v>13232</v>
      </c>
      <c r="V5919" t="s">
        <v>13232</v>
      </c>
      <c r="W5919" t="s">
        <v>19078</v>
      </c>
      <c r="X5919">
        <v>5</v>
      </c>
      <c r="Y5919" t="s">
        <v>25462</v>
      </c>
      <c r="Z5919" t="s">
        <v>32050</v>
      </c>
      <c r="AA5919">
        <v>0.60822153188286376</v>
      </c>
      <c r="AB5919" t="str">
        <f>HYPERLINK("Melting_Curves/meltCurve_Q9NVJ2_ARL8B.pdf", "Melting_Curves/meltCurve_Q9NVJ2_ARL8B.pdf")</f>
        <v>Melting_Curves/meltCurve_Q9NVJ2_ARL8B.pdf</v>
      </c>
    </row>
    <row r="5920" spans="1:28" x14ac:dyDescent="0.25">
      <c r="A5920" t="s">
        <v>5923</v>
      </c>
      <c r="B5920">
        <v>0.99930955844802105</v>
      </c>
      <c r="C5920">
        <v>1.0063016783679899</v>
      </c>
      <c r="D5920">
        <v>0.93397673141031101</v>
      </c>
      <c r="E5920">
        <v>0.71990680448823696</v>
      </c>
      <c r="F5920">
        <v>0.44941721976051002</v>
      </c>
      <c r="G5920">
        <v>0.31644170419335799</v>
      </c>
      <c r="H5920">
        <v>0.20958660531534501</v>
      </c>
      <c r="I5920">
        <v>0.204766482360177</v>
      </c>
      <c r="J5920">
        <v>0.189500974606365</v>
      </c>
      <c r="K5920">
        <v>0.137440844314972</v>
      </c>
      <c r="L5920">
        <v>1005.35561184857</v>
      </c>
      <c r="M5920">
        <v>19.487776177709801</v>
      </c>
      <c r="N5920">
        <v>52.719170834331301</v>
      </c>
      <c r="O5920">
        <v>51.055019881784197</v>
      </c>
      <c r="P5920">
        <v>-7.9135406893965199E-2</v>
      </c>
      <c r="Q5920">
        <v>0.170738812037419</v>
      </c>
      <c r="R5920">
        <v>0.99622010414343898</v>
      </c>
      <c r="S5920" t="s">
        <v>12536</v>
      </c>
      <c r="T5920" t="s">
        <v>13232</v>
      </c>
      <c r="U5920" t="s">
        <v>13232</v>
      </c>
      <c r="V5920" t="s">
        <v>13232</v>
      </c>
      <c r="W5920" t="s">
        <v>19079</v>
      </c>
      <c r="X5920">
        <v>15</v>
      </c>
      <c r="Y5920" t="s">
        <v>25463</v>
      </c>
      <c r="Z5920" t="s">
        <v>32051</v>
      </c>
      <c r="AA5920">
        <v>0.50313102849638136</v>
      </c>
      <c r="AB5920" t="str">
        <f>HYPERLINK("Melting_Curves/meltCurve_Q9NVM4_3_PRMT7.pdf", "Melting_Curves/meltCurve_Q9NVM4_3_PRMT7.pdf")</f>
        <v>Melting_Curves/meltCurve_Q9NVM4_3_PRMT7.pdf</v>
      </c>
    </row>
    <row r="5921" spans="1:28" x14ac:dyDescent="0.25">
      <c r="A5921" t="s">
        <v>5924</v>
      </c>
      <c r="B5921">
        <v>0.99930955844802105</v>
      </c>
      <c r="C5921">
        <v>1.0501708588921299</v>
      </c>
      <c r="D5921">
        <v>1.0444320171866299</v>
      </c>
      <c r="E5921">
        <v>0.93668078166331104</v>
      </c>
      <c r="F5921">
        <v>0.60485477222044803</v>
      </c>
      <c r="G5921">
        <v>0.343377910540554</v>
      </c>
      <c r="H5921">
        <v>0.21243655664651001</v>
      </c>
      <c r="I5921">
        <v>0.16879199284513999</v>
      </c>
      <c r="J5921">
        <v>0.14761427489673601</v>
      </c>
      <c r="K5921">
        <v>0.102204370077463</v>
      </c>
      <c r="L5921">
        <v>1329.8533568340499</v>
      </c>
      <c r="M5921">
        <v>24.694540070126799</v>
      </c>
      <c r="N5921">
        <v>54.588673850918497</v>
      </c>
      <c r="O5921">
        <v>53.502702301712603</v>
      </c>
      <c r="P5921">
        <v>-9.9041601280578206E-2</v>
      </c>
      <c r="Q5921">
        <v>0.14168582589137799</v>
      </c>
      <c r="R5921">
        <v>0.99072436203145997</v>
      </c>
      <c r="S5921" t="s">
        <v>12537</v>
      </c>
      <c r="T5921" t="s">
        <v>13232</v>
      </c>
      <c r="U5921" t="s">
        <v>13232</v>
      </c>
      <c r="V5921" t="s">
        <v>13232</v>
      </c>
      <c r="W5921" t="s">
        <v>19080</v>
      </c>
      <c r="X5921">
        <v>6</v>
      </c>
      <c r="Y5921" t="s">
        <v>25464</v>
      </c>
      <c r="Z5921" t="s">
        <v>32052</v>
      </c>
      <c r="AA5921">
        <v>0.5461206868743339</v>
      </c>
      <c r="AB5921" t="str">
        <f>HYPERLINK("Melting_Curves/meltCurve_Q9NVM6_DNAJC17.pdf", "Melting_Curves/meltCurve_Q9NVM6_DNAJC17.pdf")</f>
        <v>Melting_Curves/meltCurve_Q9NVM6_DNAJC17.pdf</v>
      </c>
    </row>
    <row r="5922" spans="1:28" x14ac:dyDescent="0.25">
      <c r="A5922" t="s">
        <v>5925</v>
      </c>
      <c r="B5922">
        <v>0.99930955844802105</v>
      </c>
      <c r="C5922">
        <v>0.87311581734068</v>
      </c>
      <c r="D5922">
        <v>0.85513380417094398</v>
      </c>
      <c r="E5922">
        <v>0.588248413190953</v>
      </c>
      <c r="F5922">
        <v>0.256651920762965</v>
      </c>
      <c r="G5922">
        <v>0.181336492193159</v>
      </c>
      <c r="H5922">
        <v>0.11186353474024099</v>
      </c>
      <c r="I5922">
        <v>9.9216362559031199E-2</v>
      </c>
      <c r="J5922">
        <v>8.6288940910356396E-2</v>
      </c>
      <c r="K5922">
        <v>6.4934586745757195E-2</v>
      </c>
      <c r="L5922">
        <v>904.42037256063998</v>
      </c>
      <c r="M5922">
        <v>18.073989497112699</v>
      </c>
      <c r="N5922">
        <v>50.472515009574899</v>
      </c>
      <c r="O5922">
        <v>49.439374433283199</v>
      </c>
      <c r="P5922">
        <v>-8.4840418157090994E-2</v>
      </c>
      <c r="Q5922">
        <v>7.1759199838328902E-2</v>
      </c>
      <c r="R5922">
        <v>0.98891771878914303</v>
      </c>
      <c r="S5922" t="s">
        <v>12538</v>
      </c>
      <c r="T5922" t="s">
        <v>13232</v>
      </c>
      <c r="U5922" t="s">
        <v>13232</v>
      </c>
      <c r="V5922" t="s">
        <v>13232</v>
      </c>
      <c r="W5922" t="s">
        <v>19081</v>
      </c>
      <c r="X5922">
        <v>22</v>
      </c>
      <c r="Y5922" t="s">
        <v>25465</v>
      </c>
      <c r="Z5922" t="s">
        <v>32053</v>
      </c>
      <c r="AA5922">
        <v>0.39810592470765821</v>
      </c>
      <c r="AB5922" t="str">
        <f>HYPERLINK("Melting_Curves/meltCurve_Q9NVM9_ASUN.pdf", "Melting_Curves/meltCurve_Q9NVM9_ASUN.pdf")</f>
        <v>Melting_Curves/meltCurve_Q9NVM9_ASUN.pdf</v>
      </c>
    </row>
    <row r="5923" spans="1:28" x14ac:dyDescent="0.25">
      <c r="A5923" t="s">
        <v>5926</v>
      </c>
      <c r="B5923">
        <v>0.99930955844802105</v>
      </c>
      <c r="C5923">
        <v>0.969164418371673</v>
      </c>
      <c r="D5923">
        <v>0.77816640656421998</v>
      </c>
      <c r="E5923">
        <v>0.499038763697636</v>
      </c>
      <c r="F5923">
        <v>0.27075903888392</v>
      </c>
      <c r="G5923">
        <v>0.18874303678915699</v>
      </c>
      <c r="H5923">
        <v>0.112348271016274</v>
      </c>
      <c r="I5923">
        <v>8.4070119185798098E-2</v>
      </c>
      <c r="J5923">
        <v>8.1052139366022305E-2</v>
      </c>
      <c r="K5923">
        <v>5.72175060401676E-2</v>
      </c>
      <c r="L5923">
        <v>850.60349780535603</v>
      </c>
      <c r="M5923">
        <v>17.208564356928399</v>
      </c>
      <c r="N5923">
        <v>49.870077240733998</v>
      </c>
      <c r="O5923">
        <v>48.776074148258402</v>
      </c>
      <c r="P5923">
        <v>-8.1981361164952901E-2</v>
      </c>
      <c r="Q5923">
        <v>7.0580593026503394E-2</v>
      </c>
      <c r="R5923">
        <v>0.99712879470448001</v>
      </c>
      <c r="S5923" t="s">
        <v>12539</v>
      </c>
      <c r="T5923" t="s">
        <v>13232</v>
      </c>
      <c r="U5923" t="s">
        <v>13232</v>
      </c>
      <c r="V5923" t="s">
        <v>13232</v>
      </c>
      <c r="W5923" t="s">
        <v>19082</v>
      </c>
      <c r="X5923">
        <v>3</v>
      </c>
      <c r="Y5923" t="s">
        <v>25466</v>
      </c>
      <c r="Z5923" t="s">
        <v>32054</v>
      </c>
      <c r="AA5923">
        <v>0.38013683180231028</v>
      </c>
      <c r="AB5923" t="str">
        <f>HYPERLINK("Melting_Curves/meltCurve_Q9NVN3_3_RIC8B.pdf", "Melting_Curves/meltCurve_Q9NVN3_3_RIC8B.pdf")</f>
        <v>Melting_Curves/meltCurve_Q9NVN3_3_RIC8B.pdf</v>
      </c>
    </row>
    <row r="5924" spans="1:28" x14ac:dyDescent="0.25">
      <c r="A5924" t="s">
        <v>5927</v>
      </c>
      <c r="B5924">
        <v>0.99930955844802105</v>
      </c>
      <c r="C5924">
        <v>0.92979389353887498</v>
      </c>
      <c r="D5924">
        <v>0.56428544763340405</v>
      </c>
      <c r="E5924">
        <v>0.44008304337953202</v>
      </c>
      <c r="F5924">
        <v>0.36741083392692397</v>
      </c>
      <c r="G5924">
        <v>0.30059967116596997</v>
      </c>
      <c r="H5924">
        <v>0.24780645537808901</v>
      </c>
      <c r="I5924">
        <v>0.25373589269820701</v>
      </c>
      <c r="J5924">
        <v>0.23330068879850199</v>
      </c>
      <c r="K5924">
        <v>0.20008172972076699</v>
      </c>
      <c r="L5924">
        <v>829.00110569840297</v>
      </c>
      <c r="M5924">
        <v>17.848190224118301</v>
      </c>
      <c r="N5924">
        <v>48.270428604211702</v>
      </c>
      <c r="O5924">
        <v>45.8760560813597</v>
      </c>
      <c r="P5924">
        <v>-7.3418884658568703E-2</v>
      </c>
      <c r="Q5924">
        <v>0.245190395921496</v>
      </c>
      <c r="R5924">
        <v>0.97222004311401</v>
      </c>
      <c r="S5924" t="s">
        <v>12540</v>
      </c>
      <c r="T5924" t="s">
        <v>13232</v>
      </c>
      <c r="U5924" t="s">
        <v>13232</v>
      </c>
      <c r="V5924" t="s">
        <v>13232</v>
      </c>
      <c r="W5924" t="s">
        <v>19083</v>
      </c>
      <c r="X5924">
        <v>7</v>
      </c>
      <c r="Y5924" t="s">
        <v>25467</v>
      </c>
      <c r="Z5924" t="s">
        <v>32055</v>
      </c>
      <c r="AA5924">
        <v>0.42204295667038472</v>
      </c>
      <c r="AB5924" t="str">
        <f>HYPERLINK("Melting_Curves/meltCurve_Q9NVN8_GNL3L.pdf", "Melting_Curves/meltCurve_Q9NVN8_GNL3L.pdf")</f>
        <v>Melting_Curves/meltCurve_Q9NVN8_GNL3L.pdf</v>
      </c>
    </row>
    <row r="5925" spans="1:28" x14ac:dyDescent="0.25">
      <c r="A5925" t="s">
        <v>5928</v>
      </c>
      <c r="B5925">
        <v>0.99930955844802105</v>
      </c>
      <c r="C5925">
        <v>0.952243939458297</v>
      </c>
      <c r="D5925">
        <v>0.81758474444224005</v>
      </c>
      <c r="E5925">
        <v>0.41411129160750099</v>
      </c>
      <c r="F5925">
        <v>0.31945113190489799</v>
      </c>
      <c r="G5925">
        <v>0.19646796400871899</v>
      </c>
      <c r="H5925">
        <v>0.15485550855535901</v>
      </c>
      <c r="I5925">
        <v>0.14755906540309399</v>
      </c>
      <c r="J5925">
        <v>0.13264445389931701</v>
      </c>
      <c r="K5925">
        <v>9.8025975563330495E-2</v>
      </c>
      <c r="L5925">
        <v>965.19455845366303</v>
      </c>
      <c r="M5925">
        <v>19.800464140797398</v>
      </c>
      <c r="N5925">
        <v>49.5153540584326</v>
      </c>
      <c r="O5925">
        <v>48.257023687229903</v>
      </c>
      <c r="P5925">
        <v>-8.8999164450401499E-2</v>
      </c>
      <c r="Q5925">
        <v>0.13240644801259899</v>
      </c>
      <c r="R5925">
        <v>0.99475675296542698</v>
      </c>
      <c r="S5925" t="s">
        <v>12541</v>
      </c>
      <c r="T5925" t="s">
        <v>13232</v>
      </c>
      <c r="U5925" t="s">
        <v>13232</v>
      </c>
      <c r="V5925" t="s">
        <v>13232</v>
      </c>
      <c r="W5925" t="s">
        <v>19084</v>
      </c>
      <c r="X5925">
        <v>12</v>
      </c>
      <c r="Y5925" t="s">
        <v>25468</v>
      </c>
      <c r="Z5925" t="s">
        <v>32056</v>
      </c>
      <c r="AA5925">
        <v>0.39777924718026658</v>
      </c>
      <c r="AB5925" t="str">
        <f>HYPERLINK("Melting_Curves/meltCurve_Q9NVP1_DDX18.pdf", "Melting_Curves/meltCurve_Q9NVP1_DDX18.pdf")</f>
        <v>Melting_Curves/meltCurve_Q9NVP1_DDX18.pdf</v>
      </c>
    </row>
    <row r="5926" spans="1:28" x14ac:dyDescent="0.25">
      <c r="A5926" t="s">
        <v>5929</v>
      </c>
      <c r="B5926">
        <v>0.99930955844802105</v>
      </c>
      <c r="C5926">
        <v>1.0269799800230399</v>
      </c>
      <c r="D5926">
        <v>0.96578645698319499</v>
      </c>
      <c r="E5926">
        <v>0.73132092361150702</v>
      </c>
      <c r="F5926">
        <v>0.34268182776452899</v>
      </c>
      <c r="G5926">
        <v>0.19159020484742501</v>
      </c>
      <c r="H5926">
        <v>0.117914890041402</v>
      </c>
      <c r="I5926">
        <v>9.4706120785909703E-2</v>
      </c>
      <c r="J5926">
        <v>7.0800936669554004E-2</v>
      </c>
      <c r="K5926">
        <v>4.86082859678309E-2</v>
      </c>
      <c r="L5926">
        <v>1393.9518872814999</v>
      </c>
      <c r="M5926">
        <v>27.078407909580299</v>
      </c>
      <c r="N5926">
        <v>51.8326358317819</v>
      </c>
      <c r="O5926">
        <v>51.200050985269101</v>
      </c>
      <c r="P5926">
        <v>-0.12104965955736199</v>
      </c>
      <c r="Q5926">
        <v>8.4482581850310906E-2</v>
      </c>
      <c r="R5926">
        <v>0.99615213201626696</v>
      </c>
      <c r="S5926" t="s">
        <v>12542</v>
      </c>
      <c r="T5926" t="s">
        <v>13232</v>
      </c>
      <c r="U5926" t="s">
        <v>13232</v>
      </c>
      <c r="V5926" t="s">
        <v>13232</v>
      </c>
      <c r="W5926" t="s">
        <v>19085</v>
      </c>
      <c r="X5926">
        <v>4</v>
      </c>
      <c r="Y5926" t="s">
        <v>25469</v>
      </c>
      <c r="Z5926" t="s">
        <v>32057</v>
      </c>
      <c r="AA5926">
        <v>0.4418790867682828</v>
      </c>
      <c r="AB5926" t="str">
        <f>HYPERLINK("Melting_Curves/meltCurve_Q9NVP2_ASF1B.pdf", "Melting_Curves/meltCurve_Q9NVP2_ASF1B.pdf")</f>
        <v>Melting_Curves/meltCurve_Q9NVP2_ASF1B.pdf</v>
      </c>
    </row>
    <row r="5927" spans="1:28" x14ac:dyDescent="0.25">
      <c r="A5927" t="s">
        <v>5930</v>
      </c>
      <c r="B5927">
        <v>0.99930955844802105</v>
      </c>
      <c r="C5927">
        <v>0.87472981711730902</v>
      </c>
      <c r="D5927">
        <v>0.75350035256385595</v>
      </c>
      <c r="E5927">
        <v>0.56638792850525499</v>
      </c>
      <c r="F5927">
        <v>0.24721336225941301</v>
      </c>
      <c r="G5927">
        <v>0.17599891175486601</v>
      </c>
      <c r="H5927">
        <v>0.14480854755521899</v>
      </c>
      <c r="I5927">
        <v>0.144141985831161</v>
      </c>
      <c r="J5927">
        <v>0.132897256196708</v>
      </c>
      <c r="K5927">
        <v>9.8019583693071996E-2</v>
      </c>
      <c r="L5927">
        <v>776.54006597042996</v>
      </c>
      <c r="M5927">
        <v>15.8136273778349</v>
      </c>
      <c r="N5927">
        <v>49.822867717546501</v>
      </c>
      <c r="O5927">
        <v>48.3405983141962</v>
      </c>
      <c r="P5927">
        <v>-7.3464338154424005E-2</v>
      </c>
      <c r="Q5927">
        <v>0.101782669538851</v>
      </c>
      <c r="R5927">
        <v>0.98669569267765</v>
      </c>
      <c r="S5927" t="s">
        <v>12543</v>
      </c>
      <c r="T5927" t="s">
        <v>13232</v>
      </c>
      <c r="U5927" t="s">
        <v>13232</v>
      </c>
      <c r="V5927" t="s">
        <v>13232</v>
      </c>
      <c r="W5927" t="s">
        <v>19086</v>
      </c>
      <c r="X5927">
        <v>8</v>
      </c>
      <c r="Y5927" t="s">
        <v>25470</v>
      </c>
      <c r="Z5927" t="s">
        <v>32058</v>
      </c>
      <c r="AA5927">
        <v>0.39439870705833502</v>
      </c>
      <c r="AB5927" t="str">
        <f>HYPERLINK("Melting_Curves/meltCurve_Q9NVR0_KLHL11.pdf", "Melting_Curves/meltCurve_Q9NVR0_KLHL11.pdf")</f>
        <v>Melting_Curves/meltCurve_Q9NVR0_KLHL11.pdf</v>
      </c>
    </row>
    <row r="5928" spans="1:28" x14ac:dyDescent="0.25">
      <c r="A5928" t="s">
        <v>5931</v>
      </c>
      <c r="B5928">
        <v>0.99930955844802105</v>
      </c>
      <c r="C5928">
        <v>0.64044500060102305</v>
      </c>
      <c r="D5928">
        <v>0.64585092632639296</v>
      </c>
      <c r="E5928">
        <v>0.39720997244901302</v>
      </c>
      <c r="F5928">
        <v>0.16678596561910899</v>
      </c>
      <c r="G5928">
        <v>0.101666783866112</v>
      </c>
      <c r="H5928">
        <v>4.6539947124131398E-2</v>
      </c>
      <c r="I5928">
        <v>4.0808108870977702E-2</v>
      </c>
      <c r="J5928">
        <v>2.77057549330691E-2</v>
      </c>
      <c r="K5928">
        <v>2.4063937053689002E-2</v>
      </c>
      <c r="L5928">
        <v>577.51311376513002</v>
      </c>
      <c r="M5928">
        <v>12.193988866791999</v>
      </c>
      <c r="N5928">
        <v>47.360477861835903</v>
      </c>
      <c r="O5928">
        <v>46.140757833190499</v>
      </c>
      <c r="P5928">
        <v>-6.60844774696209E-2</v>
      </c>
      <c r="Q5928">
        <v>0</v>
      </c>
      <c r="R5928">
        <v>0.96520721750078098</v>
      </c>
      <c r="S5928" t="s">
        <v>12544</v>
      </c>
      <c r="T5928" t="s">
        <v>13232</v>
      </c>
      <c r="U5928" t="s">
        <v>13232</v>
      </c>
      <c r="V5928" t="s">
        <v>13232</v>
      </c>
      <c r="W5928" t="s">
        <v>19087</v>
      </c>
      <c r="X5928">
        <v>7</v>
      </c>
      <c r="Y5928" t="s">
        <v>25471</v>
      </c>
      <c r="Z5928" t="s">
        <v>32059</v>
      </c>
      <c r="AA5928">
        <v>0.28506266470868519</v>
      </c>
      <c r="AB5928" t="str">
        <f>HYPERLINK("Melting_Curves/meltCurve_Q9NVR2_INTS10.pdf", "Melting_Curves/meltCurve_Q9NVR2_INTS10.pdf")</f>
        <v>Melting_Curves/meltCurve_Q9NVR2_INTS10.pdf</v>
      </c>
    </row>
    <row r="5929" spans="1:28" x14ac:dyDescent="0.25">
      <c r="A5929" t="s">
        <v>5932</v>
      </c>
      <c r="B5929">
        <v>0.99930955844802105</v>
      </c>
      <c r="C5929">
        <v>0.99508250768082995</v>
      </c>
      <c r="D5929">
        <v>0.92402046532674498</v>
      </c>
      <c r="E5929">
        <v>0.93798014808349395</v>
      </c>
      <c r="F5929">
        <v>0.71926426030541302</v>
      </c>
      <c r="G5929">
        <v>0.424727895655586</v>
      </c>
      <c r="H5929">
        <v>0.24944900947193899</v>
      </c>
      <c r="I5929">
        <v>0.218357978525275</v>
      </c>
      <c r="J5929">
        <v>0.182946776658791</v>
      </c>
      <c r="K5929">
        <v>0.145644532036386</v>
      </c>
      <c r="L5929">
        <v>1132.45794028606</v>
      </c>
      <c r="M5929">
        <v>20.610761793584299</v>
      </c>
      <c r="N5929">
        <v>55.958340600721201</v>
      </c>
      <c r="O5929">
        <v>54.435580954406298</v>
      </c>
      <c r="P5929">
        <v>-7.9916237263919401E-2</v>
      </c>
      <c r="Q5929">
        <v>0.155749452442426</v>
      </c>
      <c r="R5929">
        <v>0.99516526232499203</v>
      </c>
      <c r="S5929" t="s">
        <v>12545</v>
      </c>
      <c r="T5929" t="s">
        <v>13232</v>
      </c>
      <c r="U5929" t="s">
        <v>13232</v>
      </c>
      <c r="V5929" t="s">
        <v>13232</v>
      </c>
      <c r="W5929" t="s">
        <v>19088</v>
      </c>
      <c r="X5929">
        <v>10</v>
      </c>
      <c r="Y5929" t="s">
        <v>25472</v>
      </c>
      <c r="Z5929" t="s">
        <v>32060</v>
      </c>
      <c r="AA5929">
        <v>0.58707905583433506</v>
      </c>
      <c r="AB5929" t="str">
        <f>HYPERLINK("Melting_Curves/meltCurve_Q9NVR5_DNAAF2.pdf", "Melting_Curves/meltCurve_Q9NVR5_DNAAF2.pdf")</f>
        <v>Melting_Curves/meltCurve_Q9NVR5_DNAAF2.pdf</v>
      </c>
    </row>
    <row r="5930" spans="1:28" x14ac:dyDescent="0.25">
      <c r="A5930" t="s">
        <v>5933</v>
      </c>
      <c r="B5930">
        <v>0.99930955844802105</v>
      </c>
      <c r="C5930">
        <v>1.0868016228475501</v>
      </c>
      <c r="D5930">
        <v>1.1033922871684001</v>
      </c>
      <c r="E5930">
        <v>0.92572612193868398</v>
      </c>
      <c r="F5930">
        <v>0.66242130390681297</v>
      </c>
      <c r="G5930">
        <v>0.46681281409250602</v>
      </c>
      <c r="H5930">
        <v>0.29509041189185897</v>
      </c>
      <c r="I5930">
        <v>0.229186769073005</v>
      </c>
      <c r="J5930">
        <v>0.17101042702872399</v>
      </c>
      <c r="K5930">
        <v>0.137921147991623</v>
      </c>
      <c r="L5930">
        <v>1045.4353065067</v>
      </c>
      <c r="M5930">
        <v>18.970044771936902</v>
      </c>
      <c r="N5930">
        <v>56.190168375439697</v>
      </c>
      <c r="O5930">
        <v>54.508345121554697</v>
      </c>
      <c r="P5930">
        <v>-7.3712852064174494E-2</v>
      </c>
      <c r="Q5930">
        <v>0.152810801292073</v>
      </c>
      <c r="R5930">
        <v>0.97782553150052498</v>
      </c>
      <c r="S5930" t="s">
        <v>12546</v>
      </c>
      <c r="T5930" t="s">
        <v>13232</v>
      </c>
      <c r="U5930" t="s">
        <v>13232</v>
      </c>
      <c r="V5930" t="s">
        <v>13232</v>
      </c>
      <c r="W5930" t="s">
        <v>19089</v>
      </c>
      <c r="X5930">
        <v>8</v>
      </c>
      <c r="Y5930" t="s">
        <v>25473</v>
      </c>
      <c r="Z5930" t="s">
        <v>32061</v>
      </c>
      <c r="AA5930">
        <v>0.59164688352284922</v>
      </c>
      <c r="AB5930" t="str">
        <f>HYPERLINK("Melting_Curves/meltCurve_Q9NVT9_ARMC1.pdf", "Melting_Curves/meltCurve_Q9NVT9_ARMC1.pdf")</f>
        <v>Melting_Curves/meltCurve_Q9NVT9_ARMC1.pdf</v>
      </c>
    </row>
    <row r="5931" spans="1:28" x14ac:dyDescent="0.25">
      <c r="A5931" t="s">
        <v>5934</v>
      </c>
      <c r="B5931">
        <v>0.99930955844802105</v>
      </c>
      <c r="C5931">
        <v>0.94436423962623495</v>
      </c>
      <c r="D5931">
        <v>0.85982335354871298</v>
      </c>
      <c r="E5931">
        <v>0.51278972528632205</v>
      </c>
      <c r="F5931">
        <v>0.242632163897022</v>
      </c>
      <c r="G5931">
        <v>0.148734721434929</v>
      </c>
      <c r="H5931">
        <v>0.100594868070373</v>
      </c>
      <c r="I5931">
        <v>9.8997016153939493E-2</v>
      </c>
      <c r="J5931">
        <v>9.40034297921052E-2</v>
      </c>
      <c r="K5931">
        <v>7.1409387541900696E-2</v>
      </c>
      <c r="L5931">
        <v>1079.1804870148901</v>
      </c>
      <c r="M5931">
        <v>21.770495111336</v>
      </c>
      <c r="N5931">
        <v>49.998210427113101</v>
      </c>
      <c r="O5931">
        <v>49.158217576906601</v>
      </c>
      <c r="P5931">
        <v>-0.10131792855694299</v>
      </c>
      <c r="Q5931">
        <v>8.4909631963736701E-2</v>
      </c>
      <c r="R5931">
        <v>0.998644637966002</v>
      </c>
      <c r="S5931" t="s">
        <v>12547</v>
      </c>
      <c r="T5931" t="s">
        <v>13232</v>
      </c>
      <c r="U5931" t="s">
        <v>13232</v>
      </c>
      <c r="V5931" t="s">
        <v>13232</v>
      </c>
      <c r="W5931" t="s">
        <v>19090</v>
      </c>
      <c r="X5931">
        <v>19</v>
      </c>
      <c r="Y5931" t="s">
        <v>25474</v>
      </c>
      <c r="Z5931" t="s">
        <v>32062</v>
      </c>
      <c r="AA5931">
        <v>0.38762161188890248</v>
      </c>
      <c r="AB5931" t="str">
        <f>HYPERLINK("Melting_Curves/meltCurve_Q9NVU0_5_POLR3E.pdf", "Melting_Curves/meltCurve_Q9NVU0_5_POLR3E.pdf")</f>
        <v>Melting_Curves/meltCurve_Q9NVU0_5_POLR3E.pdf</v>
      </c>
    </row>
    <row r="5932" spans="1:28" x14ac:dyDescent="0.25">
      <c r="A5932" t="s">
        <v>5935</v>
      </c>
      <c r="B5932">
        <v>0.99930955844802105</v>
      </c>
      <c r="C5932">
        <v>1.28605152173351</v>
      </c>
      <c r="D5932">
        <v>1.35700051830394</v>
      </c>
      <c r="E5932">
        <v>1.21312099070027</v>
      </c>
      <c r="F5932">
        <v>1.02056772601455</v>
      </c>
      <c r="G5932">
        <v>0.89917035929539602</v>
      </c>
      <c r="H5932">
        <v>1.0834856409862801</v>
      </c>
      <c r="I5932">
        <v>1.17137579160255</v>
      </c>
      <c r="J5932">
        <v>1.2526588829207099</v>
      </c>
      <c r="K5932">
        <v>0.95948073485980501</v>
      </c>
      <c r="L5932">
        <v>10247.2180004937</v>
      </c>
      <c r="M5932">
        <v>250</v>
      </c>
      <c r="O5932">
        <v>40.986248987391697</v>
      </c>
      <c r="P5932">
        <v>0.210590618068036</v>
      </c>
      <c r="Q5932">
        <v>1.1381011119383</v>
      </c>
      <c r="R5932">
        <v>8.1465979063943303E-2</v>
      </c>
      <c r="S5932" t="s">
        <v>12548</v>
      </c>
      <c r="T5932" t="s">
        <v>13232</v>
      </c>
      <c r="U5932" t="s">
        <v>13232</v>
      </c>
      <c r="V5932" t="s">
        <v>13232</v>
      </c>
      <c r="W5932" t="s">
        <v>19091</v>
      </c>
      <c r="X5932">
        <v>4</v>
      </c>
      <c r="Y5932" t="s">
        <v>25475</v>
      </c>
      <c r="Z5932" t="s">
        <v>32063</v>
      </c>
      <c r="AA5932">
        <v>1.1335375590748951</v>
      </c>
      <c r="AB5932" t="str">
        <f>HYPERLINK("Melting_Curves/meltCurve_Q9NVU7_2_SDAD1.pdf", "Melting_Curves/meltCurve_Q9NVU7_2_SDAD1.pdf")</f>
        <v>Melting_Curves/meltCurve_Q9NVU7_2_SDAD1.pdf</v>
      </c>
    </row>
    <row r="5933" spans="1:28" x14ac:dyDescent="0.25">
      <c r="A5933" t="s">
        <v>5936</v>
      </c>
      <c r="B5933">
        <v>0.99930955844802105</v>
      </c>
      <c r="C5933">
        <v>0.85324797587276902</v>
      </c>
      <c r="D5933">
        <v>0.59319980485761903</v>
      </c>
      <c r="E5933">
        <v>0.38939433164500997</v>
      </c>
      <c r="F5933">
        <v>0.25655723157782701</v>
      </c>
      <c r="G5933">
        <v>0.183148670674918</v>
      </c>
      <c r="H5933">
        <v>9.5281824046036898E-2</v>
      </c>
      <c r="I5933">
        <v>7.5410385530945506E-2</v>
      </c>
      <c r="J5933">
        <v>5.7042896235419603E-2</v>
      </c>
      <c r="K5933">
        <v>4.6339697991191697E-2</v>
      </c>
      <c r="L5933">
        <v>652.42255599432895</v>
      </c>
      <c r="M5933">
        <v>13.662289930449001</v>
      </c>
      <c r="N5933">
        <v>48.132040422699802</v>
      </c>
      <c r="O5933">
        <v>46.765301189942797</v>
      </c>
      <c r="P5933">
        <v>-6.9326393648948298E-2</v>
      </c>
      <c r="Q5933">
        <v>5.0935728601858597E-2</v>
      </c>
      <c r="R5933">
        <v>0.99158002729427497</v>
      </c>
      <c r="S5933" t="s">
        <v>12549</v>
      </c>
      <c r="T5933" t="s">
        <v>13232</v>
      </c>
      <c r="U5933" t="s">
        <v>13232</v>
      </c>
      <c r="V5933" t="s">
        <v>13232</v>
      </c>
      <c r="W5933" t="s">
        <v>19092</v>
      </c>
      <c r="X5933">
        <v>7</v>
      </c>
      <c r="Y5933" t="s">
        <v>25476</v>
      </c>
      <c r="Z5933" t="s">
        <v>32064</v>
      </c>
      <c r="AA5933">
        <v>0.3259098771924227</v>
      </c>
      <c r="AB5933" t="str">
        <f>HYPERLINK("Melting_Curves/meltCurve_Q9NVX0_HAUS2.pdf", "Melting_Curves/meltCurve_Q9NVX0_HAUS2.pdf")</f>
        <v>Melting_Curves/meltCurve_Q9NVX0_HAUS2.pdf</v>
      </c>
    </row>
    <row r="5934" spans="1:28" x14ac:dyDescent="0.25">
      <c r="A5934" t="s">
        <v>5937</v>
      </c>
      <c r="B5934">
        <v>0.99930955844802105</v>
      </c>
      <c r="C5934">
        <v>1.0067986790668499</v>
      </c>
      <c r="D5934">
        <v>0.99553355697050105</v>
      </c>
      <c r="E5934">
        <v>0.93773255340919803</v>
      </c>
      <c r="F5934">
        <v>0.79459424319294603</v>
      </c>
      <c r="G5934">
        <v>0.61528772220704098</v>
      </c>
      <c r="H5934">
        <v>0.45830174647670102</v>
      </c>
      <c r="I5934">
        <v>0.33831219630642301</v>
      </c>
      <c r="J5934">
        <v>0.20584153285690701</v>
      </c>
      <c r="K5934">
        <v>0.105550939458972</v>
      </c>
      <c r="L5934">
        <v>724.762582727927</v>
      </c>
      <c r="M5934">
        <v>12.1413451827512</v>
      </c>
      <c r="N5934">
        <v>59.693763127278203</v>
      </c>
      <c r="O5934">
        <v>58.143624057161603</v>
      </c>
      <c r="P5934">
        <v>-5.2216139024216603E-2</v>
      </c>
      <c r="Q5934">
        <v>0</v>
      </c>
      <c r="R5934">
        <v>0.99484448490838695</v>
      </c>
      <c r="S5934" t="s">
        <v>12550</v>
      </c>
      <c r="T5934" t="s">
        <v>13232</v>
      </c>
      <c r="U5934" t="s">
        <v>13232</v>
      </c>
      <c r="V5934" t="s">
        <v>13232</v>
      </c>
      <c r="W5934" t="s">
        <v>19093</v>
      </c>
      <c r="X5934">
        <v>14</v>
      </c>
      <c r="Y5934" t="s">
        <v>25477</v>
      </c>
      <c r="Z5934" t="s">
        <v>32065</v>
      </c>
      <c r="AA5934">
        <v>0.66090214472696929</v>
      </c>
      <c r="AB5934" t="str">
        <f>HYPERLINK("Melting_Curves/meltCurve_Q9NVX2_NLE1.pdf", "Melting_Curves/meltCurve_Q9NVX2_NLE1.pdf")</f>
        <v>Melting_Curves/meltCurve_Q9NVX2_NLE1.pdf</v>
      </c>
    </row>
    <row r="5935" spans="1:28" x14ac:dyDescent="0.25">
      <c r="A5935" t="s">
        <v>5938</v>
      </c>
      <c r="B5935">
        <v>0.99930955844802105</v>
      </c>
      <c r="C5935">
        <v>0.90766137789297696</v>
      </c>
      <c r="D5935">
        <v>0.951210801147792</v>
      </c>
      <c r="E5935">
        <v>0.81638114230659298</v>
      </c>
      <c r="F5935">
        <v>0.63922384939147303</v>
      </c>
      <c r="G5935">
        <v>0.43451940156414598</v>
      </c>
      <c r="H5935">
        <v>0.195242116969326</v>
      </c>
      <c r="I5935">
        <v>0.11984700051958801</v>
      </c>
      <c r="J5935">
        <v>8.5032545867791104E-2</v>
      </c>
      <c r="K5935">
        <v>6.1853826963911597E-2</v>
      </c>
      <c r="L5935">
        <v>759.48072737329301</v>
      </c>
      <c r="M5935">
        <v>13.720161359063701</v>
      </c>
      <c r="N5935">
        <v>55.355107187691999</v>
      </c>
      <c r="O5935">
        <v>54.218867212135997</v>
      </c>
      <c r="P5935">
        <v>-6.3271913521811801E-2</v>
      </c>
      <c r="Q5935">
        <v>0</v>
      </c>
      <c r="R5935">
        <v>0.99432576924068405</v>
      </c>
      <c r="S5935" t="s">
        <v>12551</v>
      </c>
      <c r="T5935" t="s">
        <v>13232</v>
      </c>
      <c r="U5935" t="s">
        <v>13232</v>
      </c>
      <c r="V5935" t="s">
        <v>13232</v>
      </c>
      <c r="W5935" t="s">
        <v>19094</v>
      </c>
      <c r="X5935">
        <v>14</v>
      </c>
      <c r="Y5935" t="s">
        <v>25478</v>
      </c>
      <c r="Z5935" t="s">
        <v>32066</v>
      </c>
      <c r="AA5935">
        <v>0.53220446486216355</v>
      </c>
      <c r="AB5935" t="str">
        <f>HYPERLINK("Melting_Curves/meltCurve_Q9NVZ3_NECAP2.pdf", "Melting_Curves/meltCurve_Q9NVZ3_NECAP2.pdf")</f>
        <v>Melting_Curves/meltCurve_Q9NVZ3_NECAP2.pdf</v>
      </c>
    </row>
    <row r="5936" spans="1:28" x14ac:dyDescent="0.25">
      <c r="A5936" t="s">
        <v>5939</v>
      </c>
      <c r="B5936">
        <v>0.99930955844802105</v>
      </c>
      <c r="C5936">
        <v>0.69222055864113996</v>
      </c>
      <c r="D5936">
        <v>0.68994309421972799</v>
      </c>
      <c r="E5936">
        <v>0.64396682559686103</v>
      </c>
      <c r="F5936">
        <v>0.436901163756507</v>
      </c>
      <c r="G5936">
        <v>0.26170384308399802</v>
      </c>
      <c r="H5936">
        <v>0.145035737861125</v>
      </c>
      <c r="I5936">
        <v>0.150465628882157</v>
      </c>
      <c r="J5936">
        <v>0.122783343060046</v>
      </c>
      <c r="K5936">
        <v>9.0511110313459806E-2</v>
      </c>
      <c r="L5936">
        <v>431.371968933581</v>
      </c>
      <c r="M5936">
        <v>8.4680039408201608</v>
      </c>
      <c r="N5936">
        <v>50.941389134190601</v>
      </c>
      <c r="O5936">
        <v>48.338551659881396</v>
      </c>
      <c r="P5936">
        <v>-4.38353181252241E-2</v>
      </c>
      <c r="Q5936">
        <v>0</v>
      </c>
      <c r="R5936">
        <v>0.95311068378938502</v>
      </c>
      <c r="S5936" t="s">
        <v>12552</v>
      </c>
      <c r="T5936" t="s">
        <v>13232</v>
      </c>
      <c r="U5936" t="s">
        <v>13232</v>
      </c>
      <c r="V5936" t="s">
        <v>13232</v>
      </c>
      <c r="W5936" t="s">
        <v>19095</v>
      </c>
      <c r="X5936">
        <v>14</v>
      </c>
      <c r="Y5936" t="s">
        <v>25479</v>
      </c>
      <c r="Z5936" t="s">
        <v>32067</v>
      </c>
      <c r="AA5936">
        <v>0.41537424770282477</v>
      </c>
      <c r="AB5936" t="str">
        <f>HYPERLINK("Melting_Curves/meltCurve_Q9NW08_2_POLR3B.pdf", "Melting_Curves/meltCurve_Q9NW08_2_POLR3B.pdf")</f>
        <v>Melting_Curves/meltCurve_Q9NW08_2_POLR3B.pdf</v>
      </c>
    </row>
    <row r="5937" spans="1:28" x14ac:dyDescent="0.25">
      <c r="A5937" t="s">
        <v>5940</v>
      </c>
      <c r="B5937">
        <v>0.99930955844802105</v>
      </c>
      <c r="C5937">
        <v>1.0001604603554</v>
      </c>
      <c r="D5937">
        <v>0.93433181160286405</v>
      </c>
      <c r="E5937">
        <v>0.74188892409475105</v>
      </c>
      <c r="F5937">
        <v>0.57250988445183104</v>
      </c>
      <c r="G5937">
        <v>0.47244047953047402</v>
      </c>
      <c r="H5937">
        <v>0.42171885458420699</v>
      </c>
      <c r="I5937">
        <v>0.43051071709764999</v>
      </c>
      <c r="J5937">
        <v>0.40852577048354999</v>
      </c>
      <c r="K5937">
        <v>0.32805911307663799</v>
      </c>
      <c r="L5937">
        <v>944.85209916662302</v>
      </c>
      <c r="M5937">
        <v>18.5492264759671</v>
      </c>
      <c r="N5937">
        <v>55.3071226358229</v>
      </c>
      <c r="O5937">
        <v>50.356606259609499</v>
      </c>
      <c r="P5937">
        <v>-5.6681855132605603E-2</v>
      </c>
      <c r="Q5937">
        <v>0.38451763108777498</v>
      </c>
      <c r="R5937">
        <v>0.99072319203001302</v>
      </c>
      <c r="S5937" t="s">
        <v>12553</v>
      </c>
      <c r="T5937" t="s">
        <v>13232</v>
      </c>
      <c r="U5937" t="s">
        <v>13232</v>
      </c>
      <c r="V5937" t="s">
        <v>13232</v>
      </c>
      <c r="W5937" t="s">
        <v>19096</v>
      </c>
      <c r="X5937">
        <v>33</v>
      </c>
      <c r="Y5937" t="s">
        <v>25480</v>
      </c>
      <c r="Z5937" t="s">
        <v>32068</v>
      </c>
      <c r="AA5937">
        <v>0.6187387837849504</v>
      </c>
      <c r="AB5937" t="str">
        <f>HYPERLINK("Melting_Curves/meltCurve_Q9NW13_RBM28.pdf", "Melting_Curves/meltCurve_Q9NW13_RBM28.pdf")</f>
        <v>Melting_Curves/meltCurve_Q9NW13_RBM28.pdf</v>
      </c>
    </row>
    <row r="5938" spans="1:28" x14ac:dyDescent="0.25">
      <c r="A5938" t="s">
        <v>5941</v>
      </c>
      <c r="B5938">
        <v>0.99930955844802105</v>
      </c>
      <c r="C5938">
        <v>1.00774843915802</v>
      </c>
      <c r="D5938">
        <v>1.0064463908699399</v>
      </c>
      <c r="E5938">
        <v>0.88148032088507</v>
      </c>
      <c r="F5938">
        <v>0.62920741328793295</v>
      </c>
      <c r="G5938">
        <v>0.461548406363611</v>
      </c>
      <c r="H5938">
        <v>0.32734214113312399</v>
      </c>
      <c r="I5938">
        <v>0.31401403811482498</v>
      </c>
      <c r="J5938">
        <v>0.30269809122822899</v>
      </c>
      <c r="K5938">
        <v>0.23648636951635199</v>
      </c>
      <c r="L5938">
        <v>1090.3294649080699</v>
      </c>
      <c r="M5938">
        <v>20.388855813473601</v>
      </c>
      <c r="N5938">
        <v>55.632974122365901</v>
      </c>
      <c r="O5938">
        <v>52.970275084207202</v>
      </c>
      <c r="P5938">
        <v>-6.9947097627988702E-2</v>
      </c>
      <c r="Q5938">
        <v>0.273131307514556</v>
      </c>
      <c r="R5938">
        <v>0.99322473802312805</v>
      </c>
      <c r="S5938" t="s">
        <v>12554</v>
      </c>
      <c r="T5938" t="s">
        <v>13232</v>
      </c>
      <c r="U5938" t="s">
        <v>13232</v>
      </c>
      <c r="V5938" t="s">
        <v>13232</v>
      </c>
      <c r="W5938" t="s">
        <v>19097</v>
      </c>
      <c r="X5938">
        <v>20</v>
      </c>
      <c r="Y5938" t="s">
        <v>25481</v>
      </c>
      <c r="Z5938" t="s">
        <v>32069</v>
      </c>
      <c r="AA5938">
        <v>0.60929283700477865</v>
      </c>
      <c r="AB5938" t="str">
        <f>HYPERLINK("Melting_Curves/meltCurve_Q9NW64_RBM22.pdf", "Melting_Curves/meltCurve_Q9NW64_RBM22.pdf")</f>
        <v>Melting_Curves/meltCurve_Q9NW64_RBM22.pdf</v>
      </c>
    </row>
    <row r="5939" spans="1:28" x14ac:dyDescent="0.25">
      <c r="A5939" t="s">
        <v>5942</v>
      </c>
      <c r="B5939">
        <v>0.99930955844802105</v>
      </c>
      <c r="C5939">
        <v>1.2682513111876901</v>
      </c>
      <c r="D5939">
        <v>1.3394710699568499</v>
      </c>
      <c r="E5939">
        <v>1.2832823937913</v>
      </c>
      <c r="F5939">
        <v>1.2944233813341099</v>
      </c>
      <c r="G5939">
        <v>1.23802906081078</v>
      </c>
      <c r="H5939">
        <v>1.40268937041118</v>
      </c>
      <c r="I5939">
        <v>1.5253612485838299</v>
      </c>
      <c r="J5939">
        <v>1.5226914761674799</v>
      </c>
      <c r="K5939">
        <v>1.1937253582963201</v>
      </c>
      <c r="L5939">
        <v>4284.1441978188504</v>
      </c>
      <c r="M5939">
        <v>101.05137860801</v>
      </c>
      <c r="O5939">
        <v>42.379099976553697</v>
      </c>
      <c r="P5939">
        <v>0.20862797248111201</v>
      </c>
      <c r="Q5939">
        <v>1.3499790573288399</v>
      </c>
      <c r="R5939">
        <v>0.50680363064043199</v>
      </c>
      <c r="S5939" t="s">
        <v>12555</v>
      </c>
      <c r="T5939" t="s">
        <v>13232</v>
      </c>
      <c r="U5939" t="s">
        <v>13232</v>
      </c>
      <c r="V5939" t="s">
        <v>13232</v>
      </c>
      <c r="W5939" t="s">
        <v>19098</v>
      </c>
      <c r="X5939">
        <v>8</v>
      </c>
      <c r="Y5939" t="s">
        <v>20036</v>
      </c>
      <c r="Z5939" t="s">
        <v>32070</v>
      </c>
      <c r="AA5939">
        <v>1.3218612531667531</v>
      </c>
      <c r="AB5939" t="str">
        <f>HYPERLINK("Melting_Curves/meltCurve_Q9NW68_4_BSDC1.pdf", "Melting_Curves/meltCurve_Q9NW68_4_BSDC1.pdf")</f>
        <v>Melting_Curves/meltCurve_Q9NW68_4_BSDC1.pdf</v>
      </c>
    </row>
    <row r="5940" spans="1:28" x14ac:dyDescent="0.25">
      <c r="A5940" t="s">
        <v>5943</v>
      </c>
      <c r="B5940">
        <v>0.99930955844802105</v>
      </c>
      <c r="C5940">
        <v>1.14905125800226</v>
      </c>
      <c r="D5940">
        <v>1.12647207129511</v>
      </c>
      <c r="E5940">
        <v>1.06963162936428</v>
      </c>
      <c r="F5940">
        <v>0.944341926822582</v>
      </c>
      <c r="G5940">
        <v>0.62321712518199202</v>
      </c>
      <c r="H5940">
        <v>0.59603394362180195</v>
      </c>
      <c r="I5940">
        <v>0.67736580617142705</v>
      </c>
      <c r="J5940">
        <v>0.67538907427782702</v>
      </c>
      <c r="K5940">
        <v>0.53998530708241799</v>
      </c>
      <c r="L5940">
        <v>13343.022955634</v>
      </c>
      <c r="M5940">
        <v>250</v>
      </c>
      <c r="O5940">
        <v>53.368675951681602</v>
      </c>
      <c r="P5940">
        <v>-0.44220901705746601</v>
      </c>
      <c r="Q5940">
        <v>0.62239824178633396</v>
      </c>
      <c r="R5940">
        <v>0.89087769515568405</v>
      </c>
      <c r="S5940" t="s">
        <v>12556</v>
      </c>
      <c r="T5940" t="s">
        <v>13232</v>
      </c>
      <c r="U5940" t="s">
        <v>13232</v>
      </c>
      <c r="V5940" t="s">
        <v>13232</v>
      </c>
      <c r="W5940" t="s">
        <v>19099</v>
      </c>
      <c r="X5940">
        <v>7</v>
      </c>
      <c r="Y5940" t="s">
        <v>25482</v>
      </c>
      <c r="Z5940" t="s">
        <v>32071</v>
      </c>
      <c r="AA5940">
        <v>0.79074445678829097</v>
      </c>
      <c r="AB5940" t="str">
        <f>HYPERLINK("Melting_Curves/meltCurve_Q9NW75_2_GPATCH2.pdf", "Melting_Curves/meltCurve_Q9NW75_2_GPATCH2.pdf")</f>
        <v>Melting_Curves/meltCurve_Q9NW75_2_GPATCH2.pdf</v>
      </c>
    </row>
    <row r="5941" spans="1:28" x14ac:dyDescent="0.25">
      <c r="A5941" t="s">
        <v>5944</v>
      </c>
      <c r="B5941">
        <v>0.99930955844802105</v>
      </c>
      <c r="C5941">
        <v>1.06682157078889</v>
      </c>
      <c r="D5941">
        <v>1.04784045584872</v>
      </c>
      <c r="E5941">
        <v>0.96631436200024701</v>
      </c>
      <c r="F5941">
        <v>0.85045925616455598</v>
      </c>
      <c r="G5941">
        <v>0.50006344882267595</v>
      </c>
      <c r="H5941">
        <v>0.28617775246433103</v>
      </c>
      <c r="I5941">
        <v>0.29021893612947403</v>
      </c>
      <c r="J5941">
        <v>0.26592306006990102</v>
      </c>
      <c r="K5941">
        <v>0.20613082826229401</v>
      </c>
      <c r="L5941">
        <v>1562.43195939728</v>
      </c>
      <c r="M5941">
        <v>28.0721014497997</v>
      </c>
      <c r="N5941">
        <v>56.988366795202097</v>
      </c>
      <c r="O5941">
        <v>55.377679727639403</v>
      </c>
      <c r="P5941">
        <v>-9.6266957854175897E-2</v>
      </c>
      <c r="Q5941">
        <v>0.24038532314255101</v>
      </c>
      <c r="R5941">
        <v>0.991950410725848</v>
      </c>
      <c r="S5941" t="s">
        <v>12557</v>
      </c>
      <c r="T5941" t="s">
        <v>13232</v>
      </c>
      <c r="U5941" t="s">
        <v>13232</v>
      </c>
      <c r="V5941" t="s">
        <v>13232</v>
      </c>
      <c r="W5941" t="s">
        <v>19100</v>
      </c>
      <c r="X5941">
        <v>25</v>
      </c>
      <c r="Y5941" t="s">
        <v>25483</v>
      </c>
      <c r="Z5941" t="s">
        <v>32072</v>
      </c>
      <c r="AA5941">
        <v>0.64256208469486653</v>
      </c>
      <c r="AB5941" t="str">
        <f>HYPERLINK("Melting_Curves/meltCurve_Q9NW82_WDR70.pdf", "Melting_Curves/meltCurve_Q9NW82_WDR70.pdf")</f>
        <v>Melting_Curves/meltCurve_Q9NW82_WDR70.pdf</v>
      </c>
    </row>
    <row r="5942" spans="1:28" x14ac:dyDescent="0.25">
      <c r="A5942" t="s">
        <v>5945</v>
      </c>
      <c r="B5942">
        <v>0.99930955844802105</v>
      </c>
      <c r="C5942">
        <v>0.81051989396922597</v>
      </c>
      <c r="D5942">
        <v>0.80710374540325103</v>
      </c>
      <c r="E5942">
        <v>0.90491172211263304</v>
      </c>
      <c r="F5942">
        <v>0.80778539375255198</v>
      </c>
      <c r="G5942">
        <v>0.65081261707224303</v>
      </c>
      <c r="H5942">
        <v>0.57198812367674601</v>
      </c>
      <c r="I5942">
        <v>0.55827660658434197</v>
      </c>
      <c r="J5942">
        <v>0.57714841911812298</v>
      </c>
      <c r="K5942">
        <v>0.477447348800211</v>
      </c>
      <c r="L5942">
        <v>257.07719295073002</v>
      </c>
      <c r="M5942">
        <v>3.72067819479338</v>
      </c>
      <c r="N5942">
        <v>69.0941772555054</v>
      </c>
      <c r="O5942">
        <v>55.375316287925699</v>
      </c>
      <c r="P5942">
        <v>-1.7069154478380501E-2</v>
      </c>
      <c r="Q5942">
        <v>0</v>
      </c>
      <c r="R5942">
        <v>0.86717800659300803</v>
      </c>
      <c r="S5942" t="s">
        <v>12558</v>
      </c>
      <c r="T5942" t="s">
        <v>13232</v>
      </c>
      <c r="U5942" t="s">
        <v>13232</v>
      </c>
      <c r="V5942" t="s">
        <v>13232</v>
      </c>
      <c r="W5942" t="s">
        <v>19101</v>
      </c>
      <c r="X5942">
        <v>3</v>
      </c>
      <c r="Y5942" t="s">
        <v>25484</v>
      </c>
      <c r="Z5942" t="s">
        <v>32073</v>
      </c>
      <c r="AA5942">
        <v>0.71952529461464176</v>
      </c>
      <c r="AB5942" t="str">
        <f>HYPERLINK("Melting_Curves/meltCurve_Q9NWA0_MED9.pdf", "Melting_Curves/meltCurve_Q9NWA0_MED9.pdf")</f>
        <v>Melting_Curves/meltCurve_Q9NWA0_MED9.pdf</v>
      </c>
    </row>
    <row r="5943" spans="1:28" x14ac:dyDescent="0.25">
      <c r="A5943" t="s">
        <v>5946</v>
      </c>
      <c r="B5943">
        <v>0.99930955844802105</v>
      </c>
      <c r="C5943">
        <v>1.2137480406480801</v>
      </c>
      <c r="D5943">
        <v>1.1536213049089299</v>
      </c>
      <c r="E5943">
        <v>1.1716442003446801</v>
      </c>
      <c r="F5943">
        <v>1.3695208266722201</v>
      </c>
      <c r="G5943">
        <v>1.3477560212375099</v>
      </c>
      <c r="H5943">
        <v>1.48164307628545</v>
      </c>
      <c r="I5943">
        <v>1.69243117324263</v>
      </c>
      <c r="J5943">
        <v>1.71896797895822</v>
      </c>
      <c r="K5943">
        <v>1.3130648970268799</v>
      </c>
      <c r="L5943">
        <v>607.60018388939704</v>
      </c>
      <c r="M5943">
        <v>12.3710207585532</v>
      </c>
      <c r="O5943">
        <v>47.884359279280503</v>
      </c>
      <c r="P5943">
        <v>3.2300919610401997E-2</v>
      </c>
      <c r="Q5943">
        <v>1.5</v>
      </c>
      <c r="R5943">
        <v>0.64220263840696201</v>
      </c>
      <c r="S5943" t="s">
        <v>12559</v>
      </c>
      <c r="T5943" t="s">
        <v>13232</v>
      </c>
      <c r="U5943" t="s">
        <v>13232</v>
      </c>
      <c r="V5943" t="s">
        <v>13232</v>
      </c>
      <c r="W5943" t="s">
        <v>19102</v>
      </c>
      <c r="X5943">
        <v>9</v>
      </c>
      <c r="Y5943" t="s">
        <v>25485</v>
      </c>
      <c r="Z5943" t="s">
        <v>32074</v>
      </c>
      <c r="AA5943">
        <v>1.330753457569732</v>
      </c>
      <c r="AB5943" t="str">
        <f>HYPERLINK("Melting_Curves/meltCurve_Q9NWB6_ARGLU1.pdf", "Melting_Curves/meltCurve_Q9NWB6_ARGLU1.pdf")</f>
        <v>Melting_Curves/meltCurve_Q9NWB6_ARGLU1.pdf</v>
      </c>
    </row>
    <row r="5944" spans="1:28" x14ac:dyDescent="0.25">
      <c r="A5944" t="s">
        <v>5947</v>
      </c>
      <c r="B5944">
        <v>0.99930955844802105</v>
      </c>
      <c r="C5944">
        <v>1.5769739024546601</v>
      </c>
      <c r="D5944">
        <v>1.38466696002037</v>
      </c>
      <c r="E5944">
        <v>1.4891767633001001</v>
      </c>
      <c r="F5944">
        <v>1.8630564325338801</v>
      </c>
      <c r="G5944">
        <v>2.00324395633805</v>
      </c>
      <c r="H5944">
        <v>2.7558973565749998</v>
      </c>
      <c r="I5944">
        <v>3.4735476357351698</v>
      </c>
      <c r="J5944">
        <v>3.4548365058020698</v>
      </c>
      <c r="K5944">
        <v>2.6733725893133502</v>
      </c>
      <c r="L5944">
        <v>10265.6602381541</v>
      </c>
      <c r="M5944">
        <v>250</v>
      </c>
      <c r="O5944">
        <v>41.060012180709101</v>
      </c>
      <c r="P5944">
        <v>0.76108110028977605</v>
      </c>
      <c r="Q5944">
        <v>1.5</v>
      </c>
      <c r="R5944">
        <v>-0.61178515016713397</v>
      </c>
      <c r="S5944" t="s">
        <v>12560</v>
      </c>
      <c r="T5944" t="s">
        <v>13232</v>
      </c>
      <c r="U5944" t="s">
        <v>13232</v>
      </c>
      <c r="V5944" t="s">
        <v>13232</v>
      </c>
      <c r="W5944" t="s">
        <v>19103</v>
      </c>
      <c r="X5944">
        <v>1</v>
      </c>
      <c r="Y5944" t="s">
        <v>25486</v>
      </c>
      <c r="Z5944" t="s">
        <v>32075</v>
      </c>
      <c r="AA5944">
        <v>1.482249923525393</v>
      </c>
      <c r="AB5944" t="str">
        <f>HYPERLINK("Melting_Curves/meltCurve_Q9NWD9_BEX4.pdf", "Melting_Curves/meltCurve_Q9NWD9_BEX4.pdf")</f>
        <v>Melting_Curves/meltCurve_Q9NWD9_BEX4.pdf</v>
      </c>
    </row>
    <row r="5945" spans="1:28" x14ac:dyDescent="0.25">
      <c r="A5945" t="s">
        <v>5948</v>
      </c>
      <c r="B5945">
        <v>0.99930955844802105</v>
      </c>
      <c r="C5945">
        <v>1.19522917273551</v>
      </c>
      <c r="D5945">
        <v>1.16229515787388</v>
      </c>
      <c r="E5945">
        <v>1.1724292401573999</v>
      </c>
      <c r="F5945">
        <v>1.0774566867603299</v>
      </c>
      <c r="G5945">
        <v>0.90003701694041405</v>
      </c>
      <c r="H5945">
        <v>0.78844744370602204</v>
      </c>
      <c r="I5945">
        <v>0.79117077592131402</v>
      </c>
      <c r="J5945">
        <v>0.77090237853891397</v>
      </c>
      <c r="K5945">
        <v>0.60283763355466102</v>
      </c>
      <c r="L5945">
        <v>1168.78593308008</v>
      </c>
      <c r="M5945">
        <v>18.833520995457899</v>
      </c>
      <c r="O5945">
        <v>61.371844338198997</v>
      </c>
      <c r="P5945">
        <v>-2.8854506630660502E-2</v>
      </c>
      <c r="Q5945">
        <v>0.62390862428248905</v>
      </c>
      <c r="R5945">
        <v>0.68749422711215102</v>
      </c>
      <c r="S5945" t="s">
        <v>12561</v>
      </c>
      <c r="T5945" t="s">
        <v>13232</v>
      </c>
      <c r="U5945" t="s">
        <v>13232</v>
      </c>
      <c r="V5945" t="s">
        <v>13232</v>
      </c>
      <c r="W5945" t="s">
        <v>19104</v>
      </c>
      <c r="X5945">
        <v>31</v>
      </c>
      <c r="Y5945" t="s">
        <v>25487</v>
      </c>
      <c r="Z5945" t="s">
        <v>32076</v>
      </c>
      <c r="AA5945">
        <v>0.90120719507156699</v>
      </c>
      <c r="AB5945" t="str">
        <f>HYPERLINK("Melting_Curves/meltCurve_Q9NWH9_SLTM.pdf", "Melting_Curves/meltCurve_Q9NWH9_SLTM.pdf")</f>
        <v>Melting_Curves/meltCurve_Q9NWH9_SLTM.pdf</v>
      </c>
    </row>
    <row r="5946" spans="1:28" x14ac:dyDescent="0.25">
      <c r="A5946" t="s">
        <v>5949</v>
      </c>
      <c r="B5946">
        <v>0.99930955844802105</v>
      </c>
      <c r="C5946">
        <v>1.1752428603263001</v>
      </c>
      <c r="D5946">
        <v>1.0975711306018301</v>
      </c>
      <c r="E5946">
        <v>1.0685898369504401</v>
      </c>
      <c r="F5946">
        <v>0.99773582379004899</v>
      </c>
      <c r="G5946">
        <v>0.92877308950150905</v>
      </c>
      <c r="H5946">
        <v>1.12418317601171</v>
      </c>
      <c r="I5946">
        <v>1.2094213566693801</v>
      </c>
      <c r="J5946">
        <v>1.2353550146399399</v>
      </c>
      <c r="K5946">
        <v>0.97804403654099603</v>
      </c>
      <c r="L5946">
        <v>10255.7284839145</v>
      </c>
      <c r="M5946">
        <v>250</v>
      </c>
      <c r="O5946">
        <v>41.0202879705245</v>
      </c>
      <c r="P5946">
        <v>0.13795934367518201</v>
      </c>
      <c r="Q5946">
        <v>1.09054611368816</v>
      </c>
      <c r="R5946">
        <v>7.5763492069994595E-2</v>
      </c>
      <c r="S5946" t="s">
        <v>12562</v>
      </c>
      <c r="T5946" t="s">
        <v>13232</v>
      </c>
      <c r="U5946" t="s">
        <v>13232</v>
      </c>
      <c r="V5946" t="s">
        <v>13232</v>
      </c>
      <c r="W5946" t="s">
        <v>19105</v>
      </c>
      <c r="X5946">
        <v>11</v>
      </c>
      <c r="Y5946" t="s">
        <v>25488</v>
      </c>
      <c r="Z5946" t="s">
        <v>32077</v>
      </c>
      <c r="AA5946">
        <v>1.08745145116335</v>
      </c>
      <c r="AB5946" t="str">
        <f>HYPERLINK("Melting_Curves/meltCurve_Q9NWK9_ZNHIT6.pdf", "Melting_Curves/meltCurve_Q9NWK9_ZNHIT6.pdf")</f>
        <v>Melting_Curves/meltCurve_Q9NWK9_ZNHIT6.pdf</v>
      </c>
    </row>
    <row r="5947" spans="1:28" x14ac:dyDescent="0.25">
      <c r="A5947" t="s">
        <v>5950</v>
      </c>
      <c r="B5947">
        <v>0.99930955844802105</v>
      </c>
      <c r="C5947">
        <v>1.14653604838641</v>
      </c>
      <c r="D5947">
        <v>1.0462543934784201</v>
      </c>
      <c r="E5947">
        <v>1.09206887358518</v>
      </c>
      <c r="F5947">
        <v>0.95295894756752697</v>
      </c>
      <c r="G5947">
        <v>0.98327130682319597</v>
      </c>
      <c r="H5947">
        <v>0.95159322369971999</v>
      </c>
      <c r="I5947">
        <v>1.0575503226674201</v>
      </c>
      <c r="J5947">
        <v>1.0933091466331599</v>
      </c>
      <c r="K5947">
        <v>0.84642010176294002</v>
      </c>
      <c r="L5947">
        <v>15000</v>
      </c>
      <c r="M5947">
        <v>212.57885120087599</v>
      </c>
      <c r="Q5947">
        <v>0</v>
      </c>
      <c r="R5947">
        <v>0.29740956145053199</v>
      </c>
      <c r="S5947" t="s">
        <v>12563</v>
      </c>
      <c r="T5947" t="s">
        <v>13232</v>
      </c>
      <c r="U5947" t="s">
        <v>13232</v>
      </c>
      <c r="V5947" t="s">
        <v>13232</v>
      </c>
      <c r="W5947" t="s">
        <v>19106</v>
      </c>
      <c r="X5947">
        <v>4</v>
      </c>
      <c r="Y5947" t="s">
        <v>25489</v>
      </c>
      <c r="Z5947" t="s">
        <v>32078</v>
      </c>
      <c r="AA5947">
        <v>0.99820192257711182</v>
      </c>
      <c r="AB5947" t="str">
        <f>HYPERLINK("Melting_Curves/meltCurve_Q9NWM3_CUEDC1.pdf", "Melting_Curves/meltCurve_Q9NWM3_CUEDC1.pdf")</f>
        <v>Melting_Curves/meltCurve_Q9NWM3_CUEDC1.pdf</v>
      </c>
    </row>
    <row r="5948" spans="1:28" x14ac:dyDescent="0.25">
      <c r="A5948" t="s">
        <v>5951</v>
      </c>
      <c r="B5948">
        <v>0.99930955844802105</v>
      </c>
      <c r="C5948">
        <v>1.1683545698595501</v>
      </c>
      <c r="D5948">
        <v>1.15957251359932</v>
      </c>
      <c r="E5948">
        <v>0.984936331640764</v>
      </c>
      <c r="F5948">
        <v>0.87575674548026605</v>
      </c>
      <c r="G5948">
        <v>0.66763763428976797</v>
      </c>
      <c r="H5948">
        <v>0.412248876982162</v>
      </c>
      <c r="I5948">
        <v>0.25669332508262099</v>
      </c>
      <c r="J5948">
        <v>0.21408827257501201</v>
      </c>
      <c r="K5948">
        <v>0.140671284056476</v>
      </c>
      <c r="L5948">
        <v>1130.4586460645901</v>
      </c>
      <c r="M5948">
        <v>19.303248256398</v>
      </c>
      <c r="N5948">
        <v>59.427401300948802</v>
      </c>
      <c r="O5948">
        <v>57.945456512069804</v>
      </c>
      <c r="P5948">
        <v>-7.3092285734619497E-2</v>
      </c>
      <c r="Q5948">
        <v>0.122384178422484</v>
      </c>
      <c r="R5948">
        <v>0.96077870033742896</v>
      </c>
      <c r="S5948" t="s">
        <v>12564</v>
      </c>
      <c r="T5948" t="s">
        <v>13232</v>
      </c>
      <c r="U5948" t="s">
        <v>13232</v>
      </c>
      <c r="V5948" t="s">
        <v>13232</v>
      </c>
      <c r="W5948" t="s">
        <v>19107</v>
      </c>
      <c r="X5948">
        <v>4</v>
      </c>
      <c r="Y5948" t="s">
        <v>25490</v>
      </c>
      <c r="Z5948" t="s">
        <v>32079</v>
      </c>
      <c r="AA5948">
        <v>0.67504126516364138</v>
      </c>
      <c r="AB5948" t="str">
        <f>HYPERLINK("Melting_Curves/meltCurve_Q9NWM8_FKBP14.pdf", "Melting_Curves/meltCurve_Q9NWM8_FKBP14.pdf")</f>
        <v>Melting_Curves/meltCurve_Q9NWM8_FKBP14.pdf</v>
      </c>
    </row>
    <row r="5949" spans="1:28" x14ac:dyDescent="0.25">
      <c r="A5949" t="s">
        <v>5952</v>
      </c>
      <c r="B5949">
        <v>0.99930955844802105</v>
      </c>
      <c r="C5949">
        <v>0.84832087569187198</v>
      </c>
      <c r="D5949">
        <v>0.86655772466914205</v>
      </c>
      <c r="E5949">
        <v>0.65468386057102101</v>
      </c>
      <c r="F5949">
        <v>0.357471151668871</v>
      </c>
      <c r="G5949">
        <v>0.24291179352695899</v>
      </c>
      <c r="H5949">
        <v>0.16165996911099301</v>
      </c>
      <c r="I5949">
        <v>0.14925631970521999</v>
      </c>
      <c r="J5949">
        <v>0.13058922396254799</v>
      </c>
      <c r="K5949">
        <v>0.113465073891782</v>
      </c>
      <c r="L5949">
        <v>774.57319950384397</v>
      </c>
      <c r="M5949">
        <v>15.271078566953999</v>
      </c>
      <c r="N5949">
        <v>51.492287713642803</v>
      </c>
      <c r="O5949">
        <v>49.875668896862798</v>
      </c>
      <c r="P5949">
        <v>-6.8731954324662795E-2</v>
      </c>
      <c r="Q5949">
        <v>0.10216443359508</v>
      </c>
      <c r="R5949">
        <v>0.98537530465646095</v>
      </c>
      <c r="S5949" t="s">
        <v>12565</v>
      </c>
      <c r="T5949" t="s">
        <v>13232</v>
      </c>
      <c r="U5949" t="s">
        <v>13232</v>
      </c>
      <c r="V5949" t="s">
        <v>13232</v>
      </c>
      <c r="W5949" t="s">
        <v>19108</v>
      </c>
      <c r="X5949">
        <v>11</v>
      </c>
      <c r="Y5949" t="s">
        <v>25491</v>
      </c>
      <c r="Z5949" t="s">
        <v>32080</v>
      </c>
      <c r="AA5949">
        <v>0.44333927701395093</v>
      </c>
      <c r="AB5949" t="str">
        <f>HYPERLINK("Melting_Curves/meltCurve_Q9NWS0_PIH1D1.pdf", "Melting_Curves/meltCurve_Q9NWS0_PIH1D1.pdf")</f>
        <v>Melting_Curves/meltCurve_Q9NWS0_PIH1D1.pdf</v>
      </c>
    </row>
    <row r="5950" spans="1:28" x14ac:dyDescent="0.25">
      <c r="A5950" t="s">
        <v>5953</v>
      </c>
      <c r="B5950">
        <v>0.99930955844802105</v>
      </c>
      <c r="C5950">
        <v>1.24249636362848</v>
      </c>
      <c r="D5950">
        <v>0.90728451409232103</v>
      </c>
      <c r="E5950">
        <v>0.57447710742106095</v>
      </c>
      <c r="F5950">
        <v>0.30250603502711698</v>
      </c>
      <c r="G5950">
        <v>0.19660894392422201</v>
      </c>
      <c r="H5950">
        <v>0.12483030860045501</v>
      </c>
      <c r="I5950">
        <v>0.105280738192933</v>
      </c>
      <c r="J5950">
        <v>9.3903718571223094E-2</v>
      </c>
      <c r="K5950">
        <v>5.9693318689718999E-2</v>
      </c>
      <c r="L5950">
        <v>1295.4398392309299</v>
      </c>
      <c r="M5950">
        <v>25.7257858968504</v>
      </c>
      <c r="N5950">
        <v>50.812442769995201</v>
      </c>
      <c r="O5950">
        <v>50.054381321942799</v>
      </c>
      <c r="P5950">
        <v>-0.11522716296657699</v>
      </c>
      <c r="Q5950">
        <v>0.103225889898346</v>
      </c>
      <c r="R5950">
        <v>0.96019079902419902</v>
      </c>
      <c r="S5950" t="s">
        <v>12566</v>
      </c>
      <c r="T5950" t="s">
        <v>13232</v>
      </c>
      <c r="U5950" t="s">
        <v>13232</v>
      </c>
      <c r="V5950" t="s">
        <v>13232</v>
      </c>
      <c r="W5950" t="s">
        <v>19109</v>
      </c>
      <c r="X5950">
        <v>8</v>
      </c>
      <c r="Y5950" t="s">
        <v>25492</v>
      </c>
      <c r="Z5950" t="s">
        <v>32081</v>
      </c>
      <c r="AA5950">
        <v>0.42038111148822249</v>
      </c>
      <c r="AB5950" t="str">
        <f>HYPERLINK("Melting_Curves/meltCurve_Q9NWS6_FAM118A.pdf", "Melting_Curves/meltCurve_Q9NWS6_FAM118A.pdf")</f>
        <v>Melting_Curves/meltCurve_Q9NWS6_FAM118A.pdf</v>
      </c>
    </row>
    <row r="5951" spans="1:28" x14ac:dyDescent="0.25">
      <c r="A5951" t="s">
        <v>5954</v>
      </c>
      <c r="B5951">
        <v>0.99930955844802105</v>
      </c>
      <c r="C5951">
        <v>0.98224964866110198</v>
      </c>
      <c r="D5951">
        <v>1.0080404489050301</v>
      </c>
      <c r="E5951">
        <v>0.88954276435801805</v>
      </c>
      <c r="F5951">
        <v>0.70985458276498103</v>
      </c>
      <c r="G5951">
        <v>0.42986358023737198</v>
      </c>
      <c r="H5951">
        <v>0.209893834684165</v>
      </c>
      <c r="I5951">
        <v>0.119206267099484</v>
      </c>
      <c r="J5951">
        <v>8.5242898264658307E-2</v>
      </c>
      <c r="K5951">
        <v>6.4354369377707304E-2</v>
      </c>
      <c r="L5951">
        <v>989.70444172236398</v>
      </c>
      <c r="M5951">
        <v>17.7727075113004</v>
      </c>
      <c r="N5951">
        <v>55.940293589266403</v>
      </c>
      <c r="O5951">
        <v>54.9960995981031</v>
      </c>
      <c r="P5951">
        <v>-7.7668514478475004E-2</v>
      </c>
      <c r="Q5951">
        <v>3.8695975219293702E-2</v>
      </c>
      <c r="R5951">
        <v>0.99910279300093596</v>
      </c>
      <c r="S5951" t="s">
        <v>12567</v>
      </c>
      <c r="T5951" t="s">
        <v>13232</v>
      </c>
      <c r="U5951" t="s">
        <v>13232</v>
      </c>
      <c r="V5951" t="s">
        <v>13232</v>
      </c>
      <c r="W5951" t="s">
        <v>19110</v>
      </c>
      <c r="X5951">
        <v>12</v>
      </c>
      <c r="Y5951" t="s">
        <v>25493</v>
      </c>
      <c r="Z5951" t="s">
        <v>32082</v>
      </c>
      <c r="AA5951">
        <v>0.55598966475323608</v>
      </c>
      <c r="AB5951" t="str">
        <f>HYPERLINK("Melting_Curves/meltCurve_Q9NWT1_PAK1IP1.pdf", "Melting_Curves/meltCurve_Q9NWT1_PAK1IP1.pdf")</f>
        <v>Melting_Curves/meltCurve_Q9NWT1_PAK1IP1.pdf</v>
      </c>
    </row>
    <row r="5952" spans="1:28" x14ac:dyDescent="0.25">
      <c r="A5952" t="s">
        <v>5955</v>
      </c>
      <c r="B5952">
        <v>0.99930955844802105</v>
      </c>
      <c r="C5952">
        <v>1.26015866070327</v>
      </c>
      <c r="D5952">
        <v>1.2017093528908001</v>
      </c>
      <c r="E5952">
        <v>0.99408749046538003</v>
      </c>
      <c r="F5952">
        <v>0.450847262209295</v>
      </c>
      <c r="G5952">
        <v>0.27691155222959202</v>
      </c>
      <c r="H5952">
        <v>0.204576899105754</v>
      </c>
      <c r="I5952">
        <v>0.165810913267079</v>
      </c>
      <c r="J5952">
        <v>0.152301344517944</v>
      </c>
      <c r="K5952">
        <v>0.10379802441172099</v>
      </c>
      <c r="L5952">
        <v>3915.49275781099</v>
      </c>
      <c r="M5952">
        <v>74.569583136525793</v>
      </c>
      <c r="N5952">
        <v>52.823805789582501</v>
      </c>
      <c r="O5952">
        <v>52.470182613333897</v>
      </c>
      <c r="P5952">
        <v>-0.291383091481345</v>
      </c>
      <c r="Q5952">
        <v>0.17988432534985799</v>
      </c>
      <c r="R5952">
        <v>0.93839242314303695</v>
      </c>
      <c r="S5952" t="s">
        <v>12568</v>
      </c>
      <c r="T5952" t="s">
        <v>13232</v>
      </c>
      <c r="U5952" t="s">
        <v>13232</v>
      </c>
      <c r="V5952" t="s">
        <v>13232</v>
      </c>
      <c r="W5952" t="s">
        <v>19111</v>
      </c>
      <c r="X5952">
        <v>4</v>
      </c>
      <c r="Y5952" t="s">
        <v>25494</v>
      </c>
      <c r="Z5952" t="s">
        <v>32083</v>
      </c>
      <c r="AA5952">
        <v>0.52266672099005507</v>
      </c>
      <c r="AB5952" t="str">
        <f>HYPERLINK("Melting_Curves/meltCurve_Q9NWT6_HIF1AN.pdf", "Melting_Curves/meltCurve_Q9NWT6_HIF1AN.pdf")</f>
        <v>Melting_Curves/meltCurve_Q9NWT6_HIF1AN.pdf</v>
      </c>
    </row>
    <row r="5953" spans="1:28" x14ac:dyDescent="0.25">
      <c r="A5953" t="s">
        <v>5956</v>
      </c>
      <c r="B5953">
        <v>0.99930955844802105</v>
      </c>
      <c r="C5953">
        <v>1.1752358005385899</v>
      </c>
      <c r="D5953">
        <v>1.1070153973730501</v>
      </c>
      <c r="E5953">
        <v>1.06837546977766</v>
      </c>
      <c r="F5953">
        <v>0.96951729899227401</v>
      </c>
      <c r="G5953">
        <v>0.80108984317536003</v>
      </c>
      <c r="H5953">
        <v>0.71953631621845404</v>
      </c>
      <c r="I5953">
        <v>0.73108280321781105</v>
      </c>
      <c r="J5953">
        <v>0.76059255352584798</v>
      </c>
      <c r="K5953">
        <v>0.60766355080585199</v>
      </c>
      <c r="L5953">
        <v>2270.5570041415099</v>
      </c>
      <c r="M5953">
        <v>40.475268593962397</v>
      </c>
      <c r="O5953">
        <v>55.9609823265342</v>
      </c>
      <c r="P5953">
        <v>-5.4114605395953801E-2</v>
      </c>
      <c r="Q5953">
        <v>0.70072586728957797</v>
      </c>
      <c r="R5953">
        <v>0.82125612123536695</v>
      </c>
      <c r="S5953" t="s">
        <v>12569</v>
      </c>
      <c r="T5953" t="s">
        <v>13232</v>
      </c>
      <c r="U5953" t="s">
        <v>13232</v>
      </c>
      <c r="V5953" t="s">
        <v>13232</v>
      </c>
      <c r="W5953" t="s">
        <v>19112</v>
      </c>
      <c r="X5953">
        <v>1</v>
      </c>
      <c r="Y5953" t="s">
        <v>25495</v>
      </c>
      <c r="Z5953" t="s">
        <v>32084</v>
      </c>
      <c r="AA5953">
        <v>0.86243634809361225</v>
      </c>
      <c r="AB5953" t="str">
        <f>HYPERLINK("Melting_Curves/meltCurve_Q9NWT8_AURKAIP1.pdf", "Melting_Curves/meltCurve_Q9NWT8_AURKAIP1.pdf")</f>
        <v>Melting_Curves/meltCurve_Q9NWT8_AURKAIP1.pdf</v>
      </c>
    </row>
    <row r="5954" spans="1:28" x14ac:dyDescent="0.25">
      <c r="A5954" t="s">
        <v>5957</v>
      </c>
      <c r="B5954">
        <v>0.99930955844802105</v>
      </c>
      <c r="C5954">
        <v>0.88799504189085798</v>
      </c>
      <c r="D5954">
        <v>0.81627489718052104</v>
      </c>
      <c r="E5954">
        <v>0.74737391140466303</v>
      </c>
      <c r="F5954">
        <v>0.68088349577320395</v>
      </c>
      <c r="G5954">
        <v>0.52684433384207896</v>
      </c>
      <c r="H5954">
        <v>0.45371814251763598</v>
      </c>
      <c r="I5954">
        <v>0.47398352234630697</v>
      </c>
      <c r="J5954">
        <v>0.44492298106674399</v>
      </c>
      <c r="K5954">
        <v>0.22324276993306699</v>
      </c>
      <c r="L5954">
        <v>327.91313308733402</v>
      </c>
      <c r="M5954">
        <v>5.4708197917553898</v>
      </c>
      <c r="N5954">
        <v>59.938584092234798</v>
      </c>
      <c r="O5954">
        <v>53.352344159790803</v>
      </c>
      <c r="P5954">
        <v>-2.57503751225657E-2</v>
      </c>
      <c r="Q5954">
        <v>0</v>
      </c>
      <c r="R5954">
        <v>0.95054553395138897</v>
      </c>
      <c r="S5954" t="s">
        <v>12570</v>
      </c>
      <c r="T5954" t="s">
        <v>13232</v>
      </c>
      <c r="U5954" t="s">
        <v>13232</v>
      </c>
      <c r="V5954" t="s">
        <v>13232</v>
      </c>
      <c r="W5954" t="s">
        <v>19113</v>
      </c>
      <c r="X5954">
        <v>10</v>
      </c>
      <c r="Y5954" t="s">
        <v>25496</v>
      </c>
      <c r="Z5954" t="s">
        <v>32085</v>
      </c>
      <c r="AA5954">
        <v>0.62482280296450832</v>
      </c>
      <c r="AB5954" t="str">
        <f>HYPERLINK("Melting_Curves/meltCurve_Q9NWU1_OXSM.pdf", "Melting_Curves/meltCurve_Q9NWU1_OXSM.pdf")</f>
        <v>Melting_Curves/meltCurve_Q9NWU1_OXSM.pdf</v>
      </c>
    </row>
    <row r="5955" spans="1:28" x14ac:dyDescent="0.25">
      <c r="A5955" t="s">
        <v>5958</v>
      </c>
      <c r="B5955">
        <v>0.99930955844802105</v>
      </c>
      <c r="C5955">
        <v>0.82809011184138304</v>
      </c>
      <c r="D5955">
        <v>0.77288939097596698</v>
      </c>
      <c r="E5955">
        <v>0.72320816062075599</v>
      </c>
      <c r="F5955">
        <v>0.55101543988534696</v>
      </c>
      <c r="G5955">
        <v>0.38779549496954202</v>
      </c>
      <c r="H5955">
        <v>0.24555897204563601</v>
      </c>
      <c r="I5955">
        <v>0.167159486004473</v>
      </c>
      <c r="J5955">
        <v>0.11613213397998801</v>
      </c>
      <c r="K5955">
        <v>9.2757811365090703E-2</v>
      </c>
      <c r="L5955">
        <v>491.64041765071102</v>
      </c>
      <c r="M5955">
        <v>9.1467688331807793</v>
      </c>
      <c r="N5955">
        <v>53.750173820940397</v>
      </c>
      <c r="O5955">
        <v>51.367995805597097</v>
      </c>
      <c r="P5955">
        <v>-4.4546299882881203E-2</v>
      </c>
      <c r="Q5955">
        <v>0</v>
      </c>
      <c r="R5955">
        <v>0.98356998605853097</v>
      </c>
      <c r="S5955" t="s">
        <v>12571</v>
      </c>
      <c r="T5955" t="s">
        <v>13232</v>
      </c>
      <c r="U5955" t="s">
        <v>13232</v>
      </c>
      <c r="V5955" t="s">
        <v>13232</v>
      </c>
      <c r="W5955" t="s">
        <v>19114</v>
      </c>
      <c r="X5955">
        <v>7</v>
      </c>
      <c r="Y5955" t="s">
        <v>25497</v>
      </c>
      <c r="Z5955" t="s">
        <v>32086</v>
      </c>
      <c r="AA5955">
        <v>0.49154287125606611</v>
      </c>
      <c r="AB5955" t="str">
        <f>HYPERLINK("Melting_Curves/meltCurve_Q9NWU2_GID8.pdf", "Melting_Curves/meltCurve_Q9NWU2_GID8.pdf")</f>
        <v>Melting_Curves/meltCurve_Q9NWU2_GID8.pdf</v>
      </c>
    </row>
    <row r="5956" spans="1:28" x14ac:dyDescent="0.25">
      <c r="A5956" t="s">
        <v>5959</v>
      </c>
      <c r="B5956">
        <v>0.99930955844802105</v>
      </c>
      <c r="C5956">
        <v>0.93838599445248805</v>
      </c>
      <c r="D5956">
        <v>1.0021966483932301</v>
      </c>
      <c r="E5956">
        <v>1.0944793067631999</v>
      </c>
      <c r="F5956">
        <v>0.61272752445074097</v>
      </c>
      <c r="G5956">
        <v>0.19962827656781301</v>
      </c>
      <c r="H5956">
        <v>0.10903707845085001</v>
      </c>
      <c r="I5956">
        <v>8.1606290268191106E-2</v>
      </c>
      <c r="J5956">
        <v>7.1083185800577306E-2</v>
      </c>
      <c r="K5956">
        <v>5.4292117540256701E-2</v>
      </c>
      <c r="L5956">
        <v>13264.5482045178</v>
      </c>
      <c r="M5956">
        <v>250</v>
      </c>
      <c r="N5956">
        <v>53.107256264620503</v>
      </c>
      <c r="O5956">
        <v>53.054797229405999</v>
      </c>
      <c r="P5956">
        <v>-1.0565380813062999</v>
      </c>
      <c r="Q5956">
        <v>0.103129378693727</v>
      </c>
      <c r="R5956">
        <v>0.98603261105264195</v>
      </c>
      <c r="S5956" t="s">
        <v>12572</v>
      </c>
      <c r="T5956" t="s">
        <v>13232</v>
      </c>
      <c r="U5956" t="s">
        <v>13232</v>
      </c>
      <c r="V5956" t="s">
        <v>13232</v>
      </c>
      <c r="W5956" t="s">
        <v>19115</v>
      </c>
      <c r="X5956">
        <v>9</v>
      </c>
      <c r="Y5956" t="s">
        <v>25498</v>
      </c>
      <c r="Z5956" t="s">
        <v>32087</v>
      </c>
      <c r="AA5956">
        <v>0.49359654216593912</v>
      </c>
      <c r="AB5956" t="str">
        <f>HYPERLINK("Melting_Curves/meltCurve_Q9NWV4_C1orf123.pdf", "Melting_Curves/meltCurve_Q9NWV4_C1orf123.pdf")</f>
        <v>Melting_Curves/meltCurve_Q9NWV4_C1orf123.pdf</v>
      </c>
    </row>
    <row r="5957" spans="1:28" x14ac:dyDescent="0.25">
      <c r="A5957" t="s">
        <v>5960</v>
      </c>
      <c r="B5957">
        <v>0.99930955844802105</v>
      </c>
      <c r="C5957">
        <v>0.91584686955061601</v>
      </c>
      <c r="D5957">
        <v>0.99714198500737306</v>
      </c>
      <c r="E5957">
        <v>0.8475495365365</v>
      </c>
      <c r="F5957">
        <v>0.81706040706258898</v>
      </c>
      <c r="G5957">
        <v>0.65194270009080102</v>
      </c>
      <c r="H5957">
        <v>0.27315085277456103</v>
      </c>
      <c r="I5957">
        <v>0.17752703367648401</v>
      </c>
      <c r="J5957">
        <v>9.7074911928742902E-2</v>
      </c>
      <c r="K5957">
        <v>0.12631144484034501</v>
      </c>
      <c r="L5957">
        <v>926.779435203003</v>
      </c>
      <c r="M5957">
        <v>15.9962155516015</v>
      </c>
      <c r="N5957">
        <v>58.087270719048597</v>
      </c>
      <c r="O5957">
        <v>57.0546287726985</v>
      </c>
      <c r="P5957">
        <v>-6.8680269529393698E-2</v>
      </c>
      <c r="Q5957">
        <v>2.0213332159500601E-2</v>
      </c>
      <c r="R5957">
        <v>0.98064958234524702</v>
      </c>
      <c r="S5957" t="s">
        <v>12573</v>
      </c>
      <c r="T5957" t="s">
        <v>13232</v>
      </c>
      <c r="U5957" t="s">
        <v>13232</v>
      </c>
      <c r="V5957" t="s">
        <v>13232</v>
      </c>
      <c r="W5957" t="s">
        <v>19116</v>
      </c>
      <c r="X5957">
        <v>1</v>
      </c>
      <c r="Y5957" t="s">
        <v>25499</v>
      </c>
      <c r="Z5957" t="s">
        <v>32088</v>
      </c>
      <c r="AA5957">
        <v>0.61910282118935822</v>
      </c>
      <c r="AB5957" t="str">
        <f>HYPERLINK("Melting_Curves/meltCurve_Q9NWW7_C2orf42.pdf", "Melting_Curves/meltCurve_Q9NWW7_C2orf42.pdf")</f>
        <v>Melting_Curves/meltCurve_Q9NWW7_C2orf42.pdf</v>
      </c>
    </row>
    <row r="5958" spans="1:28" x14ac:dyDescent="0.25">
      <c r="A5958" t="s">
        <v>5961</v>
      </c>
      <c r="B5958">
        <v>0.99930955844802105</v>
      </c>
      <c r="C5958">
        <v>0.81092542714040206</v>
      </c>
      <c r="D5958">
        <v>0.68191421992721002</v>
      </c>
      <c r="E5958">
        <v>0.64793640123321306</v>
      </c>
      <c r="F5958">
        <v>0.31445429859532997</v>
      </c>
      <c r="G5958">
        <v>0.15166465304820601</v>
      </c>
      <c r="H5958">
        <v>8.73050263764764E-2</v>
      </c>
      <c r="I5958">
        <v>7.4912479618958694E-2</v>
      </c>
      <c r="J5958">
        <v>6.4993006800681194E-2</v>
      </c>
      <c r="K5958">
        <v>5.0220114635593199E-2</v>
      </c>
      <c r="L5958">
        <v>582.07204024213797</v>
      </c>
      <c r="M5958">
        <v>11.5962957083494</v>
      </c>
      <c r="N5958">
        <v>50.194653058332001</v>
      </c>
      <c r="O5958">
        <v>48.771631226160203</v>
      </c>
      <c r="P5958">
        <v>-5.9458176614844399E-2</v>
      </c>
      <c r="Q5958">
        <v>0</v>
      </c>
      <c r="R5958">
        <v>0.97110544624480399</v>
      </c>
      <c r="S5958" t="s">
        <v>12574</v>
      </c>
      <c r="T5958" t="s">
        <v>13232</v>
      </c>
      <c r="U5958" t="s">
        <v>13232</v>
      </c>
      <c r="V5958" t="s">
        <v>13232</v>
      </c>
      <c r="W5958" t="s">
        <v>19117</v>
      </c>
      <c r="X5958">
        <v>10</v>
      </c>
      <c r="Y5958" t="s">
        <v>25500</v>
      </c>
      <c r="Z5958" t="s">
        <v>32089</v>
      </c>
      <c r="AA5958">
        <v>0.37586965365040448</v>
      </c>
      <c r="AB5958" t="str">
        <f>HYPERLINK("Melting_Curves/meltCurve_Q9NWX6_THG1L.pdf", "Melting_Curves/meltCurve_Q9NWX6_THG1L.pdf")</f>
        <v>Melting_Curves/meltCurve_Q9NWX6_THG1L.pdf</v>
      </c>
    </row>
    <row r="5959" spans="1:28" x14ac:dyDescent="0.25">
      <c r="A5959" t="s">
        <v>5962</v>
      </c>
      <c r="B5959">
        <v>0.99930955844802105</v>
      </c>
      <c r="C5959">
        <v>1.02455766329241</v>
      </c>
      <c r="D5959">
        <v>0.69133668664348602</v>
      </c>
      <c r="E5959">
        <v>0.33247025431992799</v>
      </c>
      <c r="F5959">
        <v>0.22215461662939401</v>
      </c>
      <c r="G5959">
        <v>0.16286542241943899</v>
      </c>
      <c r="H5959">
        <v>0.110536851720707</v>
      </c>
      <c r="I5959">
        <v>9.8570505538078598E-2</v>
      </c>
      <c r="J5959">
        <v>8.9473875989351803E-2</v>
      </c>
      <c r="K5959">
        <v>6.7319337435077398E-2</v>
      </c>
      <c r="L5959">
        <v>1086.02962914215</v>
      </c>
      <c r="M5959">
        <v>22.7539085256353</v>
      </c>
      <c r="N5959">
        <v>48.2194445680854</v>
      </c>
      <c r="O5959">
        <v>47.3652911281523</v>
      </c>
      <c r="P5959">
        <v>-0.107702002315893</v>
      </c>
      <c r="Q5959">
        <v>0.103233221735002</v>
      </c>
      <c r="R5959">
        <v>0.98928718380331204</v>
      </c>
      <c r="S5959" t="s">
        <v>12575</v>
      </c>
      <c r="T5959" t="s">
        <v>13232</v>
      </c>
      <c r="U5959" t="s">
        <v>13232</v>
      </c>
      <c r="V5959" t="s">
        <v>13232</v>
      </c>
      <c r="W5959" t="s">
        <v>19118</v>
      </c>
      <c r="X5959">
        <v>14</v>
      </c>
      <c r="Y5959" t="s">
        <v>25501</v>
      </c>
      <c r="Z5959" t="s">
        <v>32090</v>
      </c>
      <c r="AA5959">
        <v>0.34399604614676971</v>
      </c>
      <c r="AB5959" t="str">
        <f>HYPERLINK("Melting_Curves/meltCurve_Q9NWY4_C4orf27.pdf", "Melting_Curves/meltCurve_Q9NWY4_C4orf27.pdf")</f>
        <v>Melting_Curves/meltCurve_Q9NWY4_C4orf27.pdf</v>
      </c>
    </row>
    <row r="5960" spans="1:28" x14ac:dyDescent="0.25">
      <c r="A5960" t="s">
        <v>5963</v>
      </c>
      <c r="B5960">
        <v>0.99930955844802105</v>
      </c>
      <c r="C5960">
        <v>0.97220669072188104</v>
      </c>
      <c r="D5960">
        <v>0.68360361137928005</v>
      </c>
      <c r="E5960">
        <v>0.331017896074292</v>
      </c>
      <c r="F5960">
        <v>0.176988481199366</v>
      </c>
      <c r="G5960">
        <v>0.121488963701051</v>
      </c>
      <c r="H5960">
        <v>6.6989168642235697E-2</v>
      </c>
      <c r="I5960">
        <v>5.7620485973126502E-2</v>
      </c>
      <c r="J5960">
        <v>5.33318787079754E-2</v>
      </c>
      <c r="K5960">
        <v>3.8891974793785797E-2</v>
      </c>
      <c r="L5960">
        <v>995.73629934309099</v>
      </c>
      <c r="M5960">
        <v>20.818612663807901</v>
      </c>
      <c r="N5960">
        <v>48.1153598845329</v>
      </c>
      <c r="O5960">
        <v>47.394392898908201</v>
      </c>
      <c r="P5960">
        <v>-0.10342288694931701</v>
      </c>
      <c r="Q5960">
        <v>5.8241033370466301E-2</v>
      </c>
      <c r="R5960">
        <v>0.99606446991806596</v>
      </c>
      <c r="S5960" t="s">
        <v>12576</v>
      </c>
      <c r="T5960" t="s">
        <v>13232</v>
      </c>
      <c r="U5960" t="s">
        <v>13232</v>
      </c>
      <c r="V5960" t="s">
        <v>13232</v>
      </c>
      <c r="W5960" t="s">
        <v>19119</v>
      </c>
      <c r="X5960">
        <v>15</v>
      </c>
      <c r="Y5960" t="s">
        <v>25502</v>
      </c>
      <c r="Z5960" t="s">
        <v>32091</v>
      </c>
      <c r="AA5960">
        <v>0.31634238862449848</v>
      </c>
      <c r="AB5960" t="str">
        <f>HYPERLINK("Melting_Curves/meltCurve_Q9NWZ3_IRAK4.pdf", "Melting_Curves/meltCurve_Q9NWZ3_IRAK4.pdf")</f>
        <v>Melting_Curves/meltCurve_Q9NWZ3_IRAK4.pdf</v>
      </c>
    </row>
    <row r="5961" spans="1:28" x14ac:dyDescent="0.25">
      <c r="A5961" t="s">
        <v>5964</v>
      </c>
      <c r="B5961">
        <v>0.99930955844802105</v>
      </c>
      <c r="C5961">
        <v>1.14501394378863</v>
      </c>
      <c r="D5961">
        <v>1.07219788996307</v>
      </c>
      <c r="E5961">
        <v>1.08328340254662</v>
      </c>
      <c r="F5961">
        <v>0.975979756468216</v>
      </c>
      <c r="G5961">
        <v>0.88683755157300803</v>
      </c>
      <c r="H5961">
        <v>0.93121415528110396</v>
      </c>
      <c r="I5961">
        <v>1.05543267141799</v>
      </c>
      <c r="J5961">
        <v>1.01935481127987</v>
      </c>
      <c r="K5961">
        <v>0.92487214271516105</v>
      </c>
      <c r="L5961">
        <v>13215.117995882199</v>
      </c>
      <c r="M5961">
        <v>250</v>
      </c>
      <c r="O5961">
        <v>52.857077959278598</v>
      </c>
      <c r="P5961">
        <v>-4.3108875051200098E-2</v>
      </c>
      <c r="Q5961">
        <v>0.96354224551023904</v>
      </c>
      <c r="R5961">
        <v>0.106682422037347</v>
      </c>
      <c r="S5961" t="s">
        <v>12577</v>
      </c>
      <c r="T5961" t="s">
        <v>13232</v>
      </c>
      <c r="U5961" t="s">
        <v>13232</v>
      </c>
      <c r="V5961" t="s">
        <v>13232</v>
      </c>
      <c r="W5961" t="s">
        <v>19120</v>
      </c>
      <c r="X5961">
        <v>2</v>
      </c>
      <c r="Y5961" t="s">
        <v>25503</v>
      </c>
      <c r="Z5961" t="s">
        <v>32092</v>
      </c>
      <c r="AA5961">
        <v>0.97917442534407295</v>
      </c>
      <c r="AB5961" t="str">
        <f>HYPERLINK("Melting_Curves/meltCurve_Q9NWZ5_3_UCKL1.pdf", "Melting_Curves/meltCurve_Q9NWZ5_3_UCKL1.pdf")</f>
        <v>Melting_Curves/meltCurve_Q9NWZ5_3_UCKL1.pdf</v>
      </c>
    </row>
    <row r="5962" spans="1:28" x14ac:dyDescent="0.25">
      <c r="A5962" t="s">
        <v>5965</v>
      </c>
      <c r="B5962">
        <v>0.99930955844802105</v>
      </c>
      <c r="C5962">
        <v>1.23817767534635</v>
      </c>
      <c r="D5962">
        <v>1.11272428413279</v>
      </c>
      <c r="E5962">
        <v>1.1649355487894</v>
      </c>
      <c r="F5962">
        <v>1.21575159982242</v>
      </c>
      <c r="G5962">
        <v>1.1420286005425799</v>
      </c>
      <c r="H5962">
        <v>1.0571028920188701</v>
      </c>
      <c r="I5962">
        <v>1.0243943635530499</v>
      </c>
      <c r="J5962">
        <v>0.936784473052515</v>
      </c>
      <c r="K5962">
        <v>0.79198352626711699</v>
      </c>
      <c r="L5962">
        <v>15000</v>
      </c>
      <c r="M5962">
        <v>223.051530334809</v>
      </c>
      <c r="O5962">
        <v>67.243643976932603</v>
      </c>
      <c r="P5962">
        <v>-0.17252808865952299</v>
      </c>
      <c r="Q5962">
        <v>0.791950952020814</v>
      </c>
      <c r="R5962">
        <v>3.5262372145613602E-3</v>
      </c>
      <c r="S5962" t="s">
        <v>12578</v>
      </c>
      <c r="T5962" t="s">
        <v>13232</v>
      </c>
      <c r="U5962" t="s">
        <v>13232</v>
      </c>
      <c r="V5962" t="s">
        <v>13232</v>
      </c>
      <c r="W5962" t="s">
        <v>19121</v>
      </c>
      <c r="X5962">
        <v>5</v>
      </c>
      <c r="Y5962" t="s">
        <v>25504</v>
      </c>
      <c r="Z5962" t="s">
        <v>32093</v>
      </c>
      <c r="AA5962">
        <v>0.98095263051427595</v>
      </c>
      <c r="AB5962" t="str">
        <f>HYPERLINK("Melting_Curves/meltCurve_Q9NWZ8_GEMIN8.pdf", "Melting_Curves/meltCurve_Q9NWZ8_GEMIN8.pdf")</f>
        <v>Melting_Curves/meltCurve_Q9NWZ8_GEMIN8.pdf</v>
      </c>
    </row>
    <row r="5963" spans="1:28" x14ac:dyDescent="0.25">
      <c r="A5963" t="s">
        <v>5966</v>
      </c>
      <c r="B5963">
        <v>0.99930955844802105</v>
      </c>
      <c r="C5963">
        <v>0.943309302901569</v>
      </c>
      <c r="D5963">
        <v>0.886254330490853</v>
      </c>
      <c r="E5963">
        <v>0.72079389303657604</v>
      </c>
      <c r="F5963">
        <v>0.34074164260676398</v>
      </c>
      <c r="G5963">
        <v>0.12537682366330899</v>
      </c>
      <c r="H5963">
        <v>5.6842694328261598E-2</v>
      </c>
      <c r="I5963">
        <v>3.8932957678220401E-2</v>
      </c>
      <c r="J5963">
        <v>3.63191599502969E-2</v>
      </c>
      <c r="K5963">
        <v>2.5080156949634901E-2</v>
      </c>
      <c r="L5963">
        <v>1155.91586836076</v>
      </c>
      <c r="M5963">
        <v>22.4191024712642</v>
      </c>
      <c r="N5963">
        <v>51.675925823556298</v>
      </c>
      <c r="O5963">
        <v>51.154455642107401</v>
      </c>
      <c r="P5963">
        <v>-0.10686773561417801</v>
      </c>
      <c r="Q5963">
        <v>2.46448082276884E-2</v>
      </c>
      <c r="R5963">
        <v>0.99513833832388299</v>
      </c>
      <c r="S5963" t="s">
        <v>12579</v>
      </c>
      <c r="T5963" t="s">
        <v>13232</v>
      </c>
      <c r="U5963" t="s">
        <v>13232</v>
      </c>
      <c r="V5963" t="s">
        <v>13232</v>
      </c>
      <c r="W5963" t="s">
        <v>19122</v>
      </c>
      <c r="X5963">
        <v>3</v>
      </c>
      <c r="Y5963" t="s">
        <v>25505</v>
      </c>
      <c r="Z5963" t="s">
        <v>32094</v>
      </c>
      <c r="AA5963">
        <v>0.41139114881406391</v>
      </c>
      <c r="AB5963" t="str">
        <f>HYPERLINK("Melting_Curves/meltCurve_Q9NX01_TXNL4B.pdf", "Melting_Curves/meltCurve_Q9NX01_TXNL4B.pdf")</f>
        <v>Melting_Curves/meltCurve_Q9NX01_TXNL4B.pdf</v>
      </c>
    </row>
    <row r="5964" spans="1:28" x14ac:dyDescent="0.25">
      <c r="A5964" t="s">
        <v>5967</v>
      </c>
      <c r="B5964">
        <v>0.99930955844802105</v>
      </c>
      <c r="C5964">
        <v>1.0160192603460401</v>
      </c>
      <c r="D5964">
        <v>0.84122294948741805</v>
      </c>
      <c r="E5964">
        <v>0.66953282512390599</v>
      </c>
      <c r="F5964">
        <v>0.28353832846845101</v>
      </c>
      <c r="G5964">
        <v>0.17082115394</v>
      </c>
      <c r="H5964">
        <v>0.10763712636997801</v>
      </c>
      <c r="I5964">
        <v>0.101607677550963</v>
      </c>
      <c r="J5964">
        <v>9.4624980234392295E-2</v>
      </c>
      <c r="K5964">
        <v>7.4211549890672995E-2</v>
      </c>
      <c r="L5964">
        <v>1116.7929858331399</v>
      </c>
      <c r="M5964">
        <v>22.041003568632799</v>
      </c>
      <c r="N5964">
        <v>51.094761942560197</v>
      </c>
      <c r="O5964">
        <v>50.257311940359997</v>
      </c>
      <c r="P5964">
        <v>-0.100442673576622</v>
      </c>
      <c r="Q5964">
        <v>8.3913222007849106E-2</v>
      </c>
      <c r="R5964">
        <v>0.99101359551533597</v>
      </c>
      <c r="S5964" t="s">
        <v>12580</v>
      </c>
      <c r="T5964" t="s">
        <v>13232</v>
      </c>
      <c r="U5964" t="s">
        <v>13232</v>
      </c>
      <c r="V5964" t="s">
        <v>13232</v>
      </c>
      <c r="W5964" t="s">
        <v>19123</v>
      </c>
      <c r="X5964">
        <v>38</v>
      </c>
      <c r="Y5964" t="s">
        <v>25506</v>
      </c>
      <c r="Z5964" t="s">
        <v>32095</v>
      </c>
      <c r="AA5964">
        <v>0.42026049656451281</v>
      </c>
      <c r="AB5964" t="str">
        <f>HYPERLINK("Melting_Curves/meltCurve_Q9NX02_5_NLRP2.pdf", "Melting_Curves/meltCurve_Q9NX02_5_NLRP2.pdf")</f>
        <v>Melting_Curves/meltCurve_Q9NX02_5_NLRP2.pdf</v>
      </c>
    </row>
    <row r="5965" spans="1:28" x14ac:dyDescent="0.25">
      <c r="A5965" t="s">
        <v>5968</v>
      </c>
      <c r="B5965">
        <v>0.99930955844802105</v>
      </c>
      <c r="C5965">
        <v>0.94624824839978505</v>
      </c>
      <c r="D5965">
        <v>0.84886622760428299</v>
      </c>
      <c r="E5965">
        <v>0.413112555129522</v>
      </c>
      <c r="F5965">
        <v>0.20846650141989101</v>
      </c>
      <c r="G5965">
        <v>0.169439800704066</v>
      </c>
      <c r="H5965">
        <v>0.122502129779422</v>
      </c>
      <c r="I5965">
        <v>0.110927034912568</v>
      </c>
      <c r="J5965">
        <v>9.7905519994697099E-2</v>
      </c>
      <c r="K5965">
        <v>8.0786524826825606E-2</v>
      </c>
      <c r="L5965">
        <v>1198.40674508898</v>
      </c>
      <c r="M5965">
        <v>24.580137210406701</v>
      </c>
      <c r="N5965">
        <v>49.237570292758001</v>
      </c>
      <c r="O5965">
        <v>48.435845297854797</v>
      </c>
      <c r="P5965">
        <v>-0.11329303652247499</v>
      </c>
      <c r="Q5965">
        <v>0.10702494571374301</v>
      </c>
      <c r="R5965">
        <v>0.99750126438891296</v>
      </c>
      <c r="S5965" t="s">
        <v>12581</v>
      </c>
      <c r="T5965" t="s">
        <v>13232</v>
      </c>
      <c r="U5965" t="s">
        <v>13232</v>
      </c>
      <c r="V5965" t="s">
        <v>13232</v>
      </c>
      <c r="W5965" t="s">
        <v>19124</v>
      </c>
      <c r="X5965">
        <v>4</v>
      </c>
      <c r="Y5965" t="s">
        <v>25507</v>
      </c>
      <c r="Z5965" t="s">
        <v>32096</v>
      </c>
      <c r="AA5965">
        <v>0.37581216132958262</v>
      </c>
      <c r="AB5965" t="str">
        <f>HYPERLINK("Melting_Curves/meltCurve_Q9NX07_TRNAU1AP.pdf", "Melting_Curves/meltCurve_Q9NX07_TRNAU1AP.pdf")</f>
        <v>Melting_Curves/meltCurve_Q9NX07_TRNAU1AP.pdf</v>
      </c>
    </row>
    <row r="5966" spans="1:28" x14ac:dyDescent="0.25">
      <c r="A5966" t="s">
        <v>5969</v>
      </c>
      <c r="B5966">
        <v>0.99930955844802105</v>
      </c>
      <c r="C5966">
        <v>0.81363106627269599</v>
      </c>
      <c r="D5966">
        <v>0.816404868826765</v>
      </c>
      <c r="E5966">
        <v>0.67342390116083495</v>
      </c>
      <c r="F5966">
        <v>0.48929090445736101</v>
      </c>
      <c r="G5966">
        <v>0.30760990741760302</v>
      </c>
      <c r="H5966">
        <v>0.179136568907558</v>
      </c>
      <c r="I5966">
        <v>0.164415261855169</v>
      </c>
      <c r="J5966">
        <v>0.119255246373557</v>
      </c>
      <c r="K5966">
        <v>8.0020571280312897E-2</v>
      </c>
      <c r="L5966">
        <v>516.22483881063897</v>
      </c>
      <c r="M5966">
        <v>9.7924827839067792</v>
      </c>
      <c r="N5966">
        <v>52.716438407276598</v>
      </c>
      <c r="O5966">
        <v>50.659072046224601</v>
      </c>
      <c r="P5966">
        <v>-4.8350890080834298E-2</v>
      </c>
      <c r="Q5966">
        <v>0</v>
      </c>
      <c r="R5966">
        <v>0.98719082391179402</v>
      </c>
      <c r="S5966" t="s">
        <v>12582</v>
      </c>
      <c r="T5966" t="s">
        <v>13232</v>
      </c>
      <c r="U5966" t="s">
        <v>13232</v>
      </c>
      <c r="V5966" t="s">
        <v>13232</v>
      </c>
      <c r="W5966" t="s">
        <v>19125</v>
      </c>
      <c r="X5966">
        <v>5</v>
      </c>
      <c r="Y5966" t="s">
        <v>25508</v>
      </c>
      <c r="Z5966" t="s">
        <v>32097</v>
      </c>
      <c r="AA5966">
        <v>0.45988182355670348</v>
      </c>
      <c r="AB5966" t="str">
        <f>HYPERLINK("Melting_Curves/meltCurve_Q9NX08_COMMD8.pdf", "Melting_Curves/meltCurve_Q9NX08_COMMD8.pdf")</f>
        <v>Melting_Curves/meltCurve_Q9NX08_COMMD8.pdf</v>
      </c>
    </row>
    <row r="5967" spans="1:28" x14ac:dyDescent="0.25">
      <c r="A5967" t="s">
        <v>5970</v>
      </c>
      <c r="B5967">
        <v>0.99930955844802105</v>
      </c>
      <c r="C5967">
        <v>1.2895713855881401</v>
      </c>
      <c r="D5967">
        <v>0.98449371374612005</v>
      </c>
      <c r="E5967">
        <v>1.2638470527966701</v>
      </c>
      <c r="F5967">
        <v>1.2962956873337199</v>
      </c>
      <c r="G5967">
        <v>1.50631156058996</v>
      </c>
      <c r="H5967">
        <v>2.5404226015243099</v>
      </c>
      <c r="I5967">
        <v>3.5408710003744202</v>
      </c>
      <c r="J5967">
        <v>4.4539306418838196</v>
      </c>
      <c r="K5967">
        <v>2.9570531124564101</v>
      </c>
      <c r="L5967">
        <v>1744.9826973396</v>
      </c>
      <c r="M5967">
        <v>34.610036851352298</v>
      </c>
      <c r="O5967">
        <v>50.250975895565098</v>
      </c>
      <c r="P5967">
        <v>8.6093276026860593E-2</v>
      </c>
      <c r="Q5967">
        <v>1.5</v>
      </c>
      <c r="R5967">
        <v>-0.21347987209736</v>
      </c>
      <c r="S5967" t="s">
        <v>12583</v>
      </c>
      <c r="T5967" t="s">
        <v>13232</v>
      </c>
      <c r="U5967" t="s">
        <v>13232</v>
      </c>
      <c r="V5967" t="s">
        <v>13232</v>
      </c>
      <c r="W5967" t="s">
        <v>19126</v>
      </c>
      <c r="X5967">
        <v>1</v>
      </c>
      <c r="Y5967" t="s">
        <v>25509</v>
      </c>
      <c r="Z5967" t="s">
        <v>32098</v>
      </c>
      <c r="AA5967">
        <v>1.3240261774895961</v>
      </c>
      <c r="AB5967" t="str">
        <f>HYPERLINK("Melting_Curves/meltCurve_Q9NX09_DDIT4.pdf", "Melting_Curves/meltCurve_Q9NX09_DDIT4.pdf")</f>
        <v>Melting_Curves/meltCurve_Q9NX09_DDIT4.pdf</v>
      </c>
    </row>
    <row r="5968" spans="1:28" x14ac:dyDescent="0.25">
      <c r="A5968" t="s">
        <v>5971</v>
      </c>
      <c r="B5968">
        <v>0.99930955844802105</v>
      </c>
      <c r="C5968">
        <v>0.80217065854257097</v>
      </c>
      <c r="D5968">
        <v>0.81660792217873801</v>
      </c>
      <c r="E5968">
        <v>0.89257328946101699</v>
      </c>
      <c r="F5968">
        <v>0.83592966247515199</v>
      </c>
      <c r="G5968">
        <v>0.62851483163844701</v>
      </c>
      <c r="H5968">
        <v>0.30350193549548599</v>
      </c>
      <c r="I5968">
        <v>0.26228495159737097</v>
      </c>
      <c r="J5968">
        <v>0.19484973041263401</v>
      </c>
      <c r="K5968">
        <v>0.14406811105320999</v>
      </c>
      <c r="L5968">
        <v>671.71613754907003</v>
      </c>
      <c r="M5968">
        <v>11.481724054716601</v>
      </c>
      <c r="N5968">
        <v>58.503089834879702</v>
      </c>
      <c r="O5968">
        <v>56.812809921291098</v>
      </c>
      <c r="P5968">
        <v>-5.0538811131891098E-2</v>
      </c>
      <c r="Q5968">
        <v>0</v>
      </c>
      <c r="R5968">
        <v>0.929262372239962</v>
      </c>
      <c r="S5968" t="s">
        <v>12584</v>
      </c>
      <c r="T5968" t="s">
        <v>13232</v>
      </c>
      <c r="U5968" t="s">
        <v>13232</v>
      </c>
      <c r="V5968" t="s">
        <v>13232</v>
      </c>
      <c r="W5968" t="s">
        <v>19127</v>
      </c>
      <c r="X5968">
        <v>7</v>
      </c>
      <c r="Y5968" t="s">
        <v>25510</v>
      </c>
      <c r="Z5968" t="s">
        <v>32099</v>
      </c>
      <c r="AA5968">
        <v>0.62646426692778379</v>
      </c>
      <c r="AB5968" t="str">
        <f>HYPERLINK("Melting_Curves/meltCurve_Q9NX24_NHP2.pdf", "Melting_Curves/meltCurve_Q9NX24_NHP2.pdf")</f>
        <v>Melting_Curves/meltCurve_Q9NX24_NHP2.pdf</v>
      </c>
    </row>
    <row r="5969" spans="1:28" x14ac:dyDescent="0.25">
      <c r="A5969" t="s">
        <v>5972</v>
      </c>
      <c r="B5969">
        <v>0.99930955844802105</v>
      </c>
      <c r="C5969">
        <v>0.93981846170540095</v>
      </c>
      <c r="D5969">
        <v>0.90692877652071302</v>
      </c>
      <c r="E5969">
        <v>0.913507956220451</v>
      </c>
      <c r="F5969">
        <v>0.79317847739311897</v>
      </c>
      <c r="G5969">
        <v>0.26263080439991299</v>
      </c>
      <c r="H5969">
        <v>0.13308698440532199</v>
      </c>
      <c r="I5969">
        <v>0.10176160073778499</v>
      </c>
      <c r="J5969">
        <v>8.2422836099434807E-2</v>
      </c>
      <c r="K5969">
        <v>6.3454770129720797E-2</v>
      </c>
      <c r="L5969">
        <v>1770.73873441406</v>
      </c>
      <c r="M5969">
        <v>32.329539660463901</v>
      </c>
      <c r="N5969">
        <v>55.0721654206382</v>
      </c>
      <c r="O5969">
        <v>54.563256993895401</v>
      </c>
      <c r="P5969">
        <v>-0.13614703439190301</v>
      </c>
      <c r="Q5969">
        <v>8.0891371183479402E-2</v>
      </c>
      <c r="R5969">
        <v>0.98982517979852502</v>
      </c>
      <c r="S5969" t="s">
        <v>12585</v>
      </c>
      <c r="T5969" t="s">
        <v>13232</v>
      </c>
      <c r="U5969" t="s">
        <v>13232</v>
      </c>
      <c r="V5969" t="s">
        <v>13232</v>
      </c>
      <c r="W5969" t="s">
        <v>19128</v>
      </c>
      <c r="X5969">
        <v>9</v>
      </c>
      <c r="Y5969" t="s">
        <v>25511</v>
      </c>
      <c r="Z5969" t="s">
        <v>32100</v>
      </c>
      <c r="AA5969">
        <v>0.53871891006914474</v>
      </c>
      <c r="AB5969" t="str">
        <f>HYPERLINK("Melting_Curves/meltCurve_Q9NX38_FAM206A.pdf", "Melting_Curves/meltCurve_Q9NX38_FAM206A.pdf")</f>
        <v>Melting_Curves/meltCurve_Q9NX38_FAM206A.pdf</v>
      </c>
    </row>
    <row r="5970" spans="1:28" x14ac:dyDescent="0.25">
      <c r="A5970" t="s">
        <v>5973</v>
      </c>
      <c r="B5970">
        <v>0.99930955844802105</v>
      </c>
      <c r="C5970">
        <v>1.07360966752418</v>
      </c>
      <c r="D5970">
        <v>0.87825618054336796</v>
      </c>
      <c r="E5970">
        <v>0.38750924001632803</v>
      </c>
      <c r="F5970">
        <v>0.22021465108897101</v>
      </c>
      <c r="G5970">
        <v>0.175109764409561</v>
      </c>
      <c r="H5970">
        <v>0.117434350559141</v>
      </c>
      <c r="I5970">
        <v>0.10915280308403399</v>
      </c>
      <c r="J5970">
        <v>0.107236444817189</v>
      </c>
      <c r="K5970">
        <v>8.3406622514916498E-2</v>
      </c>
      <c r="L5970">
        <v>1487.89290074111</v>
      </c>
      <c r="M5970">
        <v>30.492493262193399</v>
      </c>
      <c r="N5970">
        <v>49.233807914770701</v>
      </c>
      <c r="O5970">
        <v>48.5869553770778</v>
      </c>
      <c r="P5970">
        <v>-0.138243000651084</v>
      </c>
      <c r="Q5970">
        <v>0.11889583863092899</v>
      </c>
      <c r="R5970">
        <v>0.99167005224141103</v>
      </c>
      <c r="S5970" t="s">
        <v>12586</v>
      </c>
      <c r="T5970" t="s">
        <v>13232</v>
      </c>
      <c r="U5970" t="s">
        <v>13232</v>
      </c>
      <c r="V5970" t="s">
        <v>13232</v>
      </c>
      <c r="W5970" t="s">
        <v>19129</v>
      </c>
      <c r="X5970">
        <v>12</v>
      </c>
      <c r="Y5970" t="s">
        <v>25512</v>
      </c>
      <c r="Z5970" t="s">
        <v>32101</v>
      </c>
      <c r="AA5970">
        <v>0.38239261453083567</v>
      </c>
      <c r="AB5970" t="str">
        <f>HYPERLINK("Melting_Curves/meltCurve_Q9NX46_ADPRHL2.pdf", "Melting_Curves/meltCurve_Q9NX46_ADPRHL2.pdf")</f>
        <v>Melting_Curves/meltCurve_Q9NX46_ADPRHL2.pdf</v>
      </c>
    </row>
    <row r="5971" spans="1:28" x14ac:dyDescent="0.25">
      <c r="A5971" t="s">
        <v>5974</v>
      </c>
      <c r="B5971">
        <v>0.99930955844802105</v>
      </c>
      <c r="C5971">
        <v>0.898050319596571</v>
      </c>
      <c r="D5971">
        <v>0.87917989875007896</v>
      </c>
      <c r="E5971">
        <v>0.87439908985711301</v>
      </c>
      <c r="F5971">
        <v>0.74190790463574696</v>
      </c>
      <c r="G5971">
        <v>0.62158844759913201</v>
      </c>
      <c r="H5971">
        <v>0.65127001469527002</v>
      </c>
      <c r="I5971">
        <v>0.67141335365775301</v>
      </c>
      <c r="J5971">
        <v>0.72501656744932697</v>
      </c>
      <c r="K5971">
        <v>0.53297980311731297</v>
      </c>
      <c r="L5971">
        <v>504.82958129416198</v>
      </c>
      <c r="M5971">
        <v>9.9789615559544398</v>
      </c>
      <c r="O5971">
        <v>48.683624547894397</v>
      </c>
      <c r="P5971">
        <v>-2.0835058551073E-2</v>
      </c>
      <c r="Q5971">
        <v>0.59361340092891202</v>
      </c>
      <c r="R5971">
        <v>0.844672952976109</v>
      </c>
      <c r="S5971" t="s">
        <v>12587</v>
      </c>
      <c r="T5971" t="s">
        <v>13232</v>
      </c>
      <c r="U5971" t="s">
        <v>13232</v>
      </c>
      <c r="V5971" t="s">
        <v>13232</v>
      </c>
      <c r="W5971" t="s">
        <v>19130</v>
      </c>
      <c r="X5971">
        <v>10</v>
      </c>
      <c r="Y5971" t="s">
        <v>25513</v>
      </c>
      <c r="Z5971" t="s">
        <v>32102</v>
      </c>
      <c r="AA5971">
        <v>0.75461006817520926</v>
      </c>
      <c r="AB5971" t="str">
        <f>HYPERLINK("Melting_Curves/meltCurve_Q9NX55_HYPK.pdf", "Melting_Curves/meltCurve_Q9NX55_HYPK.pdf")</f>
        <v>Melting_Curves/meltCurve_Q9NX55_HYPK.pdf</v>
      </c>
    </row>
    <row r="5972" spans="1:28" x14ac:dyDescent="0.25">
      <c r="A5972" t="s">
        <v>5975</v>
      </c>
      <c r="B5972">
        <v>0.99930955844802105</v>
      </c>
      <c r="C5972">
        <v>0.94496203874718199</v>
      </c>
      <c r="D5972">
        <v>0.90641240286661695</v>
      </c>
      <c r="E5972">
        <v>0.75802481443546899</v>
      </c>
      <c r="F5972">
        <v>0.55499900198529795</v>
      </c>
      <c r="G5972">
        <v>0.49190191876151701</v>
      </c>
      <c r="H5972">
        <v>0.43422221990981402</v>
      </c>
      <c r="I5972">
        <v>0.426676518082726</v>
      </c>
      <c r="J5972">
        <v>0.39017507858151701</v>
      </c>
      <c r="K5972">
        <v>0.31115799060274102</v>
      </c>
      <c r="L5972">
        <v>722.962457021663</v>
      </c>
      <c r="M5972">
        <v>14.0994834908446</v>
      </c>
      <c r="N5972">
        <v>56.166602897507303</v>
      </c>
      <c r="O5972">
        <v>50.277385243898202</v>
      </c>
      <c r="P5972">
        <v>-4.5329343933843601E-2</v>
      </c>
      <c r="Q5972">
        <v>0.35352295769578501</v>
      </c>
      <c r="R5972">
        <v>0.985158456443332</v>
      </c>
      <c r="S5972" t="s">
        <v>12588</v>
      </c>
      <c r="T5972" t="s">
        <v>13232</v>
      </c>
      <c r="U5972" t="s">
        <v>13232</v>
      </c>
      <c r="V5972" t="s">
        <v>13232</v>
      </c>
      <c r="W5972" t="s">
        <v>19131</v>
      </c>
      <c r="X5972">
        <v>7</v>
      </c>
      <c r="Y5972" t="s">
        <v>25514</v>
      </c>
      <c r="Z5972" t="s">
        <v>32103</v>
      </c>
      <c r="AA5972">
        <v>0.61284586721223533</v>
      </c>
      <c r="AB5972" t="str">
        <f>HYPERLINK("Melting_Curves/meltCurve_Q9NX58_LYAR.pdf", "Melting_Curves/meltCurve_Q9NX58_LYAR.pdf")</f>
        <v>Melting_Curves/meltCurve_Q9NX58_LYAR.pdf</v>
      </c>
    </row>
    <row r="5973" spans="1:28" x14ac:dyDescent="0.25">
      <c r="A5973" t="s">
        <v>5976</v>
      </c>
      <c r="B5973">
        <v>0.99930955844802105</v>
      </c>
      <c r="C5973">
        <v>0.91075076987495596</v>
      </c>
      <c r="D5973">
        <v>0.86187177655635305</v>
      </c>
      <c r="E5973">
        <v>0.96679264348730298</v>
      </c>
      <c r="F5973">
        <v>0.84903377254715595</v>
      </c>
      <c r="G5973">
        <v>0.74088376160997205</v>
      </c>
      <c r="H5973">
        <v>0.75506163869568999</v>
      </c>
      <c r="I5973">
        <v>0.70625244937126597</v>
      </c>
      <c r="J5973">
        <v>0.72786426059018094</v>
      </c>
      <c r="K5973">
        <v>0.59615437562268803</v>
      </c>
      <c r="L5973">
        <v>252.554484102722</v>
      </c>
      <c r="M5973">
        <v>3.0560973374024298</v>
      </c>
      <c r="O5973">
        <v>61.342374969350601</v>
      </c>
      <c r="P5973">
        <v>-1.2819761460704101E-2</v>
      </c>
      <c r="Q5973">
        <v>0</v>
      </c>
      <c r="R5973">
        <v>0.85399830499151497</v>
      </c>
      <c r="S5973" t="s">
        <v>12589</v>
      </c>
      <c r="T5973" t="s">
        <v>13232</v>
      </c>
      <c r="U5973" t="s">
        <v>13232</v>
      </c>
      <c r="V5973" t="s">
        <v>13232</v>
      </c>
      <c r="W5973" t="s">
        <v>19132</v>
      </c>
      <c r="X5973">
        <v>2</v>
      </c>
      <c r="Y5973" t="s">
        <v>25515</v>
      </c>
      <c r="Z5973" t="s">
        <v>32104</v>
      </c>
      <c r="AA5973">
        <v>0.81480168602249337</v>
      </c>
      <c r="AB5973" t="str">
        <f>HYPERLINK("Melting_Curves/meltCurve_Q9NX63_CHCHD3.pdf", "Melting_Curves/meltCurve_Q9NX63_CHCHD3.pdf")</f>
        <v>Melting_Curves/meltCurve_Q9NX63_CHCHD3.pdf</v>
      </c>
    </row>
    <row r="5974" spans="1:28" x14ac:dyDescent="0.25">
      <c r="A5974" t="s">
        <v>5977</v>
      </c>
      <c r="B5974">
        <v>0.99930955844802105</v>
      </c>
      <c r="C5974">
        <v>0.96559221057434796</v>
      </c>
      <c r="D5974">
        <v>0.93003413445651195</v>
      </c>
      <c r="E5974">
        <v>0.93929635225575303</v>
      </c>
      <c r="F5974">
        <v>0.81211998798907103</v>
      </c>
      <c r="G5974">
        <v>0.68610778941282202</v>
      </c>
      <c r="H5974">
        <v>0.478008115126698</v>
      </c>
      <c r="I5974">
        <v>0.51088591800757699</v>
      </c>
      <c r="J5974">
        <v>0.50343537156787699</v>
      </c>
      <c r="K5974">
        <v>0.36344667944626502</v>
      </c>
      <c r="L5974">
        <v>745.80657654263803</v>
      </c>
      <c r="M5974">
        <v>13.171780257546599</v>
      </c>
      <c r="N5974">
        <v>62.904825985377101</v>
      </c>
      <c r="O5974">
        <v>55.364144909143803</v>
      </c>
      <c r="P5974">
        <v>-3.7724093445095003E-2</v>
      </c>
      <c r="Q5974">
        <v>0.365852692348342</v>
      </c>
      <c r="R5974">
        <v>0.96970776496020505</v>
      </c>
      <c r="S5974" t="s">
        <v>12590</v>
      </c>
      <c r="T5974" t="s">
        <v>13232</v>
      </c>
      <c r="U5974" t="s">
        <v>13232</v>
      </c>
      <c r="V5974" t="s">
        <v>13232</v>
      </c>
      <c r="W5974" t="s">
        <v>19133</v>
      </c>
      <c r="X5974">
        <v>6</v>
      </c>
      <c r="Y5974" t="s">
        <v>25516</v>
      </c>
      <c r="Z5974" t="s">
        <v>32105</v>
      </c>
      <c r="AA5974">
        <v>0.72848716650156009</v>
      </c>
      <c r="AB5974" t="str">
        <f>HYPERLINK("Melting_Curves/meltCurve_Q9NX70_MED29.pdf", "Melting_Curves/meltCurve_Q9NX70_MED29.pdf")</f>
        <v>Melting_Curves/meltCurve_Q9NX70_MED29.pdf</v>
      </c>
    </row>
    <row r="5975" spans="1:28" x14ac:dyDescent="0.25">
      <c r="A5975" t="s">
        <v>5978</v>
      </c>
      <c r="B5975">
        <v>0.99930955844802105</v>
      </c>
      <c r="C5975">
        <v>1.04741320707382</v>
      </c>
      <c r="D5975">
        <v>0.97304325245865197</v>
      </c>
      <c r="E5975">
        <v>0.78954624484172597</v>
      </c>
      <c r="F5975">
        <v>0.38363588784865899</v>
      </c>
      <c r="G5975">
        <v>0.238507890070703</v>
      </c>
      <c r="H5975">
        <v>0.18068059784270299</v>
      </c>
      <c r="I5975">
        <v>0.16869913591655</v>
      </c>
      <c r="J5975">
        <v>0.14742048095607199</v>
      </c>
      <c r="K5975">
        <v>0.11718657648399899</v>
      </c>
      <c r="L5975">
        <v>1681.9100241245301</v>
      </c>
      <c r="M5975">
        <v>32.622024770469203</v>
      </c>
      <c r="N5975">
        <v>52.170498783390599</v>
      </c>
      <c r="O5975">
        <v>51.364916046267403</v>
      </c>
      <c r="P5975">
        <v>-0.13349893530092899</v>
      </c>
      <c r="Q5975">
        <v>0.15920246442282701</v>
      </c>
      <c r="R5975">
        <v>0.99491291342695298</v>
      </c>
      <c r="S5975" t="s">
        <v>12591</v>
      </c>
      <c r="T5975" t="s">
        <v>13232</v>
      </c>
      <c r="U5975" t="s">
        <v>13232</v>
      </c>
      <c r="V5975" t="s">
        <v>13232</v>
      </c>
      <c r="W5975" t="s">
        <v>19134</v>
      </c>
      <c r="X5975">
        <v>17</v>
      </c>
      <c r="Y5975" t="s">
        <v>25517</v>
      </c>
      <c r="Z5975" t="s">
        <v>32106</v>
      </c>
      <c r="AA5975">
        <v>0.48763202315395637</v>
      </c>
      <c r="AB5975" t="str">
        <f>HYPERLINK("Melting_Curves/meltCurve_Q9NX74_DUS2L.pdf", "Melting_Curves/meltCurve_Q9NX74_DUS2L.pdf")</f>
        <v>Melting_Curves/meltCurve_Q9NX74_DUS2L.pdf</v>
      </c>
    </row>
    <row r="5976" spans="1:28" x14ac:dyDescent="0.25">
      <c r="A5976" t="s">
        <v>5979</v>
      </c>
      <c r="B5976">
        <v>0.99930955844802105</v>
      </c>
      <c r="C5976">
        <v>1.03145084101727</v>
      </c>
      <c r="D5976">
        <v>1.0118960061241999</v>
      </c>
      <c r="E5976">
        <v>0.83129110008769902</v>
      </c>
      <c r="F5976">
        <v>0.40909682705373202</v>
      </c>
      <c r="G5976">
        <v>0.20180471677061301</v>
      </c>
      <c r="H5976">
        <v>0.115467318100621</v>
      </c>
      <c r="I5976">
        <v>9.77122351624993E-2</v>
      </c>
      <c r="J5976">
        <v>8.9341626999919599E-2</v>
      </c>
      <c r="K5976">
        <v>6.7053391701779999E-2</v>
      </c>
      <c r="L5976">
        <v>1669.4651098550501</v>
      </c>
      <c r="M5976">
        <v>32.024554900215897</v>
      </c>
      <c r="N5976">
        <v>52.488177180270597</v>
      </c>
      <c r="O5976">
        <v>51.928770462203197</v>
      </c>
      <c r="P5976">
        <v>-0.13907305596477099</v>
      </c>
      <c r="Q5976">
        <v>9.7960101310701903E-2</v>
      </c>
      <c r="R5976">
        <v>0.99640674744468005</v>
      </c>
      <c r="S5976" t="s">
        <v>12592</v>
      </c>
      <c r="T5976" t="s">
        <v>13232</v>
      </c>
      <c r="U5976" t="s">
        <v>13232</v>
      </c>
      <c r="V5976" t="s">
        <v>13232</v>
      </c>
      <c r="W5976" t="s">
        <v>19135</v>
      </c>
      <c r="X5976">
        <v>13</v>
      </c>
      <c r="Y5976" t="s">
        <v>25518</v>
      </c>
      <c r="Z5976" t="s">
        <v>32107</v>
      </c>
      <c r="AA5976">
        <v>0.46778096306632949</v>
      </c>
      <c r="AB5976" t="str">
        <f>HYPERLINK("Melting_Curves/meltCurve_Q9NXA8_SIRT5.pdf", "Melting_Curves/meltCurve_Q9NXA8_SIRT5.pdf")</f>
        <v>Melting_Curves/meltCurve_Q9NXA8_SIRT5.pdf</v>
      </c>
    </row>
    <row r="5977" spans="1:28" x14ac:dyDescent="0.25">
      <c r="A5977" t="s">
        <v>5980</v>
      </c>
      <c r="B5977">
        <v>0.99930955844802105</v>
      </c>
      <c r="C5977">
        <v>0.75380083899891703</v>
      </c>
      <c r="D5977">
        <v>0.74280110972734903</v>
      </c>
      <c r="E5977">
        <v>0.96307325132334198</v>
      </c>
      <c r="F5977">
        <v>0.81943055373814999</v>
      </c>
      <c r="G5977">
        <v>0.56680926027196199</v>
      </c>
      <c r="H5977">
        <v>0.14137717924146401</v>
      </c>
      <c r="I5977">
        <v>0.112628784062159</v>
      </c>
      <c r="J5977">
        <v>9.2535513583005893E-2</v>
      </c>
      <c r="K5977">
        <v>7.3171872808422106E-2</v>
      </c>
      <c r="L5977">
        <v>1274.2074478658899</v>
      </c>
      <c r="M5977">
        <v>22.404179405893501</v>
      </c>
      <c r="N5977">
        <v>57.093480736056598</v>
      </c>
      <c r="O5977">
        <v>56.426354926342903</v>
      </c>
      <c r="P5977">
        <v>-9.5162924028609999E-2</v>
      </c>
      <c r="Q5977">
        <v>4.1324344522150898E-2</v>
      </c>
      <c r="R5977">
        <v>0.89798734102353295</v>
      </c>
      <c r="S5977" t="s">
        <v>12593</v>
      </c>
      <c r="T5977" t="s">
        <v>13232</v>
      </c>
      <c r="U5977" t="s">
        <v>13232</v>
      </c>
      <c r="V5977" t="s">
        <v>13232</v>
      </c>
      <c r="W5977" t="s">
        <v>19136</v>
      </c>
      <c r="X5977">
        <v>10</v>
      </c>
      <c r="Y5977" t="s">
        <v>25519</v>
      </c>
      <c r="Z5977" t="s">
        <v>32108</v>
      </c>
      <c r="AA5977">
        <v>0.5907302332081914</v>
      </c>
      <c r="AB5977" t="str">
        <f>HYPERLINK("Melting_Curves/meltCurve_Q9NXC5_MIOS.pdf", "Melting_Curves/meltCurve_Q9NXC5_MIOS.pdf")</f>
        <v>Melting_Curves/meltCurve_Q9NXC5_MIOS.pdf</v>
      </c>
    </row>
    <row r="5978" spans="1:28" x14ac:dyDescent="0.25">
      <c r="A5978" t="s">
        <v>5981</v>
      </c>
      <c r="B5978">
        <v>0.99930955844802105</v>
      </c>
      <c r="C5978">
        <v>1.0289039189503499</v>
      </c>
      <c r="D5978">
        <v>1.0122794245345099</v>
      </c>
      <c r="E5978">
        <v>0.93550622177391496</v>
      </c>
      <c r="F5978">
        <v>0.77510770898760495</v>
      </c>
      <c r="G5978">
        <v>0.68121599886646</v>
      </c>
      <c r="H5978">
        <v>0.70082598396754103</v>
      </c>
      <c r="I5978">
        <v>0.72978520050922702</v>
      </c>
      <c r="J5978">
        <v>0.72693903385692005</v>
      </c>
      <c r="K5978">
        <v>0.60020884006352604</v>
      </c>
      <c r="L5978">
        <v>2108.74542667781</v>
      </c>
      <c r="M5978">
        <v>40.767328588746203</v>
      </c>
      <c r="O5978">
        <v>51.6023616046771</v>
      </c>
      <c r="P5978">
        <v>-6.1897240918254097E-2</v>
      </c>
      <c r="Q5978">
        <v>0.686608098873837</v>
      </c>
      <c r="R5978">
        <v>0.94555158558449204</v>
      </c>
      <c r="S5978" t="s">
        <v>12594</v>
      </c>
      <c r="T5978" t="s">
        <v>13232</v>
      </c>
      <c r="U5978" t="s">
        <v>13232</v>
      </c>
      <c r="V5978" t="s">
        <v>13232</v>
      </c>
      <c r="W5978" t="s">
        <v>19137</v>
      </c>
      <c r="X5978">
        <v>6</v>
      </c>
      <c r="Y5978" t="s">
        <v>25520</v>
      </c>
      <c r="Z5978" t="s">
        <v>32109</v>
      </c>
      <c r="AA5978">
        <v>0.81018440432319727</v>
      </c>
      <c r="AB5978" t="str">
        <f>HYPERLINK("Melting_Curves/meltCurve_Q9NXE8_CWC25.pdf", "Melting_Curves/meltCurve_Q9NXE8_CWC25.pdf")</f>
        <v>Melting_Curves/meltCurve_Q9NXE8_CWC25.pdf</v>
      </c>
    </row>
    <row r="5979" spans="1:28" x14ac:dyDescent="0.25">
      <c r="A5979" t="s">
        <v>5982</v>
      </c>
      <c r="B5979">
        <v>0.99930955844802105</v>
      </c>
      <c r="C5979">
        <v>0.62826086128629</v>
      </c>
      <c r="D5979">
        <v>0.59918546030027198</v>
      </c>
      <c r="E5979">
        <v>0.55414899784142102</v>
      </c>
      <c r="F5979">
        <v>0.32320600420270001</v>
      </c>
      <c r="G5979">
        <v>0.20139925422610899</v>
      </c>
      <c r="H5979">
        <v>0.14885841175728501</v>
      </c>
      <c r="I5979">
        <v>6.1238602838877602E-2</v>
      </c>
      <c r="J5979">
        <v>0</v>
      </c>
      <c r="K5979">
        <v>3.3086806447179803E-2</v>
      </c>
      <c r="L5979">
        <v>453.10392704879598</v>
      </c>
      <c r="M5979">
        <v>9.3080617218905193</v>
      </c>
      <c r="N5979">
        <v>48.678655382081097</v>
      </c>
      <c r="O5979">
        <v>46.590188076131</v>
      </c>
      <c r="P5979">
        <v>-4.9978404685806999E-2</v>
      </c>
      <c r="Q5979">
        <v>0</v>
      </c>
      <c r="R5979">
        <v>0.94058380948818598</v>
      </c>
      <c r="S5979" t="s">
        <v>12595</v>
      </c>
      <c r="T5979" t="s">
        <v>13232</v>
      </c>
      <c r="U5979" t="s">
        <v>13232</v>
      </c>
      <c r="V5979" t="s">
        <v>13232</v>
      </c>
      <c r="W5979" t="s">
        <v>19138</v>
      </c>
      <c r="X5979">
        <v>2</v>
      </c>
      <c r="Y5979" t="s">
        <v>25521</v>
      </c>
      <c r="Z5979" t="s">
        <v>32110</v>
      </c>
      <c r="AA5979">
        <v>0.34501667924647261</v>
      </c>
      <c r="AB5979" t="str">
        <f>HYPERLINK("Melting_Curves/meltCurve_Q9NXF1_2_TEX10.pdf", "Melting_Curves/meltCurve_Q9NXF1_2_TEX10.pdf")</f>
        <v>Melting_Curves/meltCurve_Q9NXF1_2_TEX10.pdf</v>
      </c>
    </row>
    <row r="5980" spans="1:28" x14ac:dyDescent="0.25">
      <c r="A5980" t="s">
        <v>5983</v>
      </c>
      <c r="B5980">
        <v>0.99930955844802105</v>
      </c>
      <c r="C5980">
        <v>0.85941074862084399</v>
      </c>
      <c r="D5980">
        <v>0.687936646408561</v>
      </c>
      <c r="E5980">
        <v>0.38223283172891098</v>
      </c>
      <c r="F5980">
        <v>0.18020768811127699</v>
      </c>
      <c r="G5980">
        <v>0.119885269622604</v>
      </c>
      <c r="H5980">
        <v>5.9342736071334203E-2</v>
      </c>
      <c r="I5980">
        <v>4.7699190720382E-2</v>
      </c>
      <c r="J5980">
        <v>4.2663054781569697E-2</v>
      </c>
      <c r="K5980">
        <v>3.0795736779125501E-2</v>
      </c>
      <c r="L5980">
        <v>785.533532713505</v>
      </c>
      <c r="M5980">
        <v>16.3413693955623</v>
      </c>
      <c r="N5980">
        <v>48.2613361882566</v>
      </c>
      <c r="O5980">
        <v>47.367670446816803</v>
      </c>
      <c r="P5980">
        <v>-8.3551309886415306E-2</v>
      </c>
      <c r="Q5980">
        <v>3.13308514633545E-2</v>
      </c>
      <c r="R5980">
        <v>0.997701071791256</v>
      </c>
      <c r="S5980" t="s">
        <v>12596</v>
      </c>
      <c r="T5980" t="s">
        <v>13232</v>
      </c>
      <c r="U5980" t="s">
        <v>13232</v>
      </c>
      <c r="V5980" t="s">
        <v>13232</v>
      </c>
      <c r="W5980" t="s">
        <v>19139</v>
      </c>
      <c r="X5980">
        <v>4</v>
      </c>
      <c r="Y5980" t="s">
        <v>25522</v>
      </c>
      <c r="Z5980" t="s">
        <v>32111</v>
      </c>
      <c r="AA5980">
        <v>0.3128379617374229</v>
      </c>
      <c r="AB5980" t="str">
        <f>HYPERLINK("Melting_Curves/meltCurve_Q9NXF7_DCAF16.pdf", "Melting_Curves/meltCurve_Q9NXF7_DCAF16.pdf")</f>
        <v>Melting_Curves/meltCurve_Q9NXF7_DCAF16.pdf</v>
      </c>
    </row>
    <row r="5981" spans="1:28" x14ac:dyDescent="0.25">
      <c r="A5981" t="s">
        <v>5984</v>
      </c>
      <c r="B5981">
        <v>0.99930955844802105</v>
      </c>
      <c r="C5981">
        <v>1.0860288395864399</v>
      </c>
      <c r="D5981">
        <v>1.0692148716090899</v>
      </c>
      <c r="E5981">
        <v>1.0777473208309301</v>
      </c>
      <c r="F5981">
        <v>1.0743149814220001</v>
      </c>
      <c r="G5981">
        <v>0.87078290056632102</v>
      </c>
      <c r="H5981">
        <v>0.46567201032480698</v>
      </c>
      <c r="I5981">
        <v>0.28651228926719602</v>
      </c>
      <c r="J5981">
        <v>0.256884933819094</v>
      </c>
      <c r="K5981">
        <v>0.184989452151369</v>
      </c>
      <c r="L5981">
        <v>2135.8266257443702</v>
      </c>
      <c r="M5981">
        <v>35.7458548491107</v>
      </c>
      <c r="N5981">
        <v>60.690225843737203</v>
      </c>
      <c r="O5981">
        <v>59.564256991331703</v>
      </c>
      <c r="P5981">
        <v>-0.11814087342817101</v>
      </c>
      <c r="Q5981">
        <v>0.21255762961924299</v>
      </c>
      <c r="R5981">
        <v>0.98006386392989497</v>
      </c>
      <c r="S5981" t="s">
        <v>12597</v>
      </c>
      <c r="T5981" t="s">
        <v>13232</v>
      </c>
      <c r="U5981" t="s">
        <v>13232</v>
      </c>
      <c r="V5981" t="s">
        <v>13232</v>
      </c>
      <c r="W5981" t="s">
        <v>19140</v>
      </c>
      <c r="X5981">
        <v>23</v>
      </c>
      <c r="Y5981" t="s">
        <v>25523</v>
      </c>
      <c r="Z5981" t="s">
        <v>32112</v>
      </c>
      <c r="AA5981">
        <v>0.73470498701776821</v>
      </c>
      <c r="AB5981" t="str">
        <f>HYPERLINK("Melting_Curves/meltCurve_Q9NXG2_THUMPD1.pdf", "Melting_Curves/meltCurve_Q9NXG2_THUMPD1.pdf")</f>
        <v>Melting_Curves/meltCurve_Q9NXG2_THUMPD1.pdf</v>
      </c>
    </row>
    <row r="5982" spans="1:28" x14ac:dyDescent="0.25">
      <c r="A5982" t="s">
        <v>5985</v>
      </c>
      <c r="B5982">
        <v>0.99930955844802105</v>
      </c>
      <c r="C5982">
        <v>0.929829625585052</v>
      </c>
      <c r="D5982">
        <v>0.93121253897628598</v>
      </c>
      <c r="E5982">
        <v>0.97154770187020101</v>
      </c>
      <c r="F5982">
        <v>1.0663648209418399</v>
      </c>
      <c r="G5982">
        <v>0.86299156229435803</v>
      </c>
      <c r="H5982">
        <v>0.31935322495552898</v>
      </c>
      <c r="I5982">
        <v>0.20448603528866</v>
      </c>
      <c r="J5982">
        <v>0.173209918549699</v>
      </c>
      <c r="K5982">
        <v>0.13772571068473299</v>
      </c>
      <c r="L5982">
        <v>2689.5712831056699</v>
      </c>
      <c r="M5982">
        <v>45.524128844670798</v>
      </c>
      <c r="N5982">
        <v>59.588740000688603</v>
      </c>
      <c r="O5982">
        <v>58.966462084610598</v>
      </c>
      <c r="P5982">
        <v>-0.16193811047741999</v>
      </c>
      <c r="Q5982">
        <v>0.16098070314673499</v>
      </c>
      <c r="R5982">
        <v>0.98820126876498504</v>
      </c>
      <c r="S5982" t="s">
        <v>12598</v>
      </c>
      <c r="T5982" t="s">
        <v>13232</v>
      </c>
      <c r="U5982" t="s">
        <v>13232</v>
      </c>
      <c r="V5982" t="s">
        <v>13232</v>
      </c>
      <c r="W5982" t="s">
        <v>19141</v>
      </c>
      <c r="X5982">
        <v>26</v>
      </c>
      <c r="Y5982" t="s">
        <v>25524</v>
      </c>
      <c r="Z5982" t="s">
        <v>32113</v>
      </c>
      <c r="AA5982">
        <v>0.69719687297555832</v>
      </c>
      <c r="AB5982" t="str">
        <f>HYPERLINK("Melting_Curves/meltCurve_Q9NXH9_TRMT1.pdf", "Melting_Curves/meltCurve_Q9NXH9_TRMT1.pdf")</f>
        <v>Melting_Curves/meltCurve_Q9NXH9_TRMT1.pdf</v>
      </c>
    </row>
    <row r="5983" spans="1:28" x14ac:dyDescent="0.25">
      <c r="A5983" t="s">
        <v>5986</v>
      </c>
      <c r="B5983">
        <v>0.99930955844802105</v>
      </c>
      <c r="C5983">
        <v>0.97655045566401999</v>
      </c>
      <c r="D5983">
        <v>0.95981684273429602</v>
      </c>
      <c r="E5983">
        <v>0.805904067842097</v>
      </c>
      <c r="F5983">
        <v>0.392519525028178</v>
      </c>
      <c r="G5983">
        <v>0.27916395550419498</v>
      </c>
      <c r="H5983">
        <v>0.18131024246428701</v>
      </c>
      <c r="I5983">
        <v>0.15853219694799001</v>
      </c>
      <c r="J5983">
        <v>0.150398935492152</v>
      </c>
      <c r="K5983">
        <v>0.109710345181446</v>
      </c>
      <c r="L5983">
        <v>1492.13095165042</v>
      </c>
      <c r="M5983">
        <v>28.842641998469801</v>
      </c>
      <c r="N5983">
        <v>52.4152625779885</v>
      </c>
      <c r="O5983">
        <v>51.486706924105697</v>
      </c>
      <c r="P5983">
        <v>-0.118144670258956</v>
      </c>
      <c r="Q5983">
        <v>0.15641064274542299</v>
      </c>
      <c r="R5983">
        <v>0.99173624546741301</v>
      </c>
      <c r="S5983" t="s">
        <v>12599</v>
      </c>
      <c r="T5983" t="s">
        <v>13232</v>
      </c>
      <c r="U5983" t="s">
        <v>13232</v>
      </c>
      <c r="V5983" t="s">
        <v>13232</v>
      </c>
      <c r="W5983" t="s">
        <v>19142</v>
      </c>
      <c r="X5983">
        <v>5</v>
      </c>
      <c r="Y5983" t="s">
        <v>25525</v>
      </c>
      <c r="Z5983" t="s">
        <v>32114</v>
      </c>
      <c r="AA5983">
        <v>0.49215583992654138</v>
      </c>
      <c r="AB5983" t="str">
        <f>HYPERLINK("Melting_Curves/meltCurve_Q9NXJ5_PGPEP1.pdf", "Melting_Curves/meltCurve_Q9NXJ5_PGPEP1.pdf")</f>
        <v>Melting_Curves/meltCurve_Q9NXJ5_PGPEP1.pdf</v>
      </c>
    </row>
    <row r="5984" spans="1:28" x14ac:dyDescent="0.25">
      <c r="A5984" t="s">
        <v>5987</v>
      </c>
      <c r="B5984">
        <v>0.99930955844802105</v>
      </c>
      <c r="C5984">
        <v>0.75002279343897305</v>
      </c>
      <c r="D5984">
        <v>0.661968256383895</v>
      </c>
      <c r="E5984">
        <v>0.43751488234728902</v>
      </c>
      <c r="F5984">
        <v>0.28306100992270899</v>
      </c>
      <c r="G5984">
        <v>0.24642412339264999</v>
      </c>
      <c r="H5984">
        <v>0.131181815976187</v>
      </c>
      <c r="I5984">
        <v>6.81720247266559E-2</v>
      </c>
      <c r="J5984">
        <v>5.1350764202745099E-2</v>
      </c>
      <c r="K5984">
        <v>3.21472975588546E-2</v>
      </c>
      <c r="L5984">
        <v>505.51215718079999</v>
      </c>
      <c r="M5984">
        <v>10.3444613014974</v>
      </c>
      <c r="N5984">
        <v>48.902286830847103</v>
      </c>
      <c r="O5984">
        <v>47.147418025102098</v>
      </c>
      <c r="P5984">
        <v>-5.4676293916388202E-2</v>
      </c>
      <c r="Q5984">
        <v>3.6232018719649902E-3</v>
      </c>
      <c r="R5984">
        <v>0.98372085176644197</v>
      </c>
      <c r="S5984" t="s">
        <v>12600</v>
      </c>
      <c r="T5984" t="s">
        <v>13232</v>
      </c>
      <c r="U5984" t="s">
        <v>13232</v>
      </c>
      <c r="V5984" t="s">
        <v>13232</v>
      </c>
      <c r="W5984" t="s">
        <v>19143</v>
      </c>
      <c r="X5984">
        <v>6</v>
      </c>
      <c r="Y5984" t="s">
        <v>25526</v>
      </c>
      <c r="Z5984" t="s">
        <v>32115</v>
      </c>
      <c r="AA5984">
        <v>0.34498374193608428</v>
      </c>
      <c r="AB5984" t="str">
        <f>HYPERLINK("Melting_Curves/meltCurve_Q9NXK8_FBXL12.pdf", "Melting_Curves/meltCurve_Q9NXK8_FBXL12.pdf")</f>
        <v>Melting_Curves/meltCurve_Q9NXK8_FBXL12.pdf</v>
      </c>
    </row>
    <row r="5985" spans="1:28" x14ac:dyDescent="0.25">
      <c r="A5985" t="s">
        <v>5988</v>
      </c>
      <c r="B5985">
        <v>0.99930955844802105</v>
      </c>
      <c r="C5985">
        <v>1.24182635109562</v>
      </c>
      <c r="D5985">
        <v>1.1855131431619199</v>
      </c>
      <c r="E5985">
        <v>1.0385872797471001</v>
      </c>
      <c r="F5985">
        <v>0.96216148527065304</v>
      </c>
      <c r="G5985">
        <v>0.76662007274349397</v>
      </c>
      <c r="H5985">
        <v>0.59789893530881399</v>
      </c>
      <c r="I5985">
        <v>0.61084504734135303</v>
      </c>
      <c r="J5985">
        <v>0.68385857106338099</v>
      </c>
      <c r="K5985">
        <v>0.59005469686981904</v>
      </c>
      <c r="L5985">
        <v>2653.1514391215401</v>
      </c>
      <c r="M5985">
        <v>47.0798814181586</v>
      </c>
      <c r="O5985">
        <v>56.252856853355297</v>
      </c>
      <c r="P5985">
        <v>-7.9765012429812598E-2</v>
      </c>
      <c r="Q5985">
        <v>0.61877516879919003</v>
      </c>
      <c r="R5985">
        <v>0.81847715899728002</v>
      </c>
      <c r="S5985" t="s">
        <v>12601</v>
      </c>
      <c r="T5985" t="s">
        <v>13232</v>
      </c>
      <c r="U5985" t="s">
        <v>13232</v>
      </c>
      <c r="V5985" t="s">
        <v>13232</v>
      </c>
      <c r="W5985" t="s">
        <v>19144</v>
      </c>
      <c r="X5985">
        <v>15</v>
      </c>
      <c r="Y5985" t="s">
        <v>25527</v>
      </c>
      <c r="Z5985" t="s">
        <v>32116</v>
      </c>
      <c r="AA5985">
        <v>0.82766377997800922</v>
      </c>
      <c r="AB5985" t="str">
        <f>HYPERLINK("Melting_Curves/meltCurve_Q9NXR1_2_NDE1.pdf", "Melting_Curves/meltCurve_Q9NXR1_2_NDE1.pdf")</f>
        <v>Melting_Curves/meltCurve_Q9NXR1_2_NDE1.pdf</v>
      </c>
    </row>
    <row r="5986" spans="1:28" x14ac:dyDescent="0.25">
      <c r="A5986" t="s">
        <v>5989</v>
      </c>
      <c r="B5986">
        <v>0.99930955844802105</v>
      </c>
      <c r="C5986">
        <v>0.85448961898864695</v>
      </c>
      <c r="D5986">
        <v>0.79466795693202597</v>
      </c>
      <c r="E5986">
        <v>0.73490732543222703</v>
      </c>
      <c r="F5986">
        <v>0.71487429001858105</v>
      </c>
      <c r="G5986">
        <v>0.60855252037307195</v>
      </c>
      <c r="H5986">
        <v>0.26950438515234498</v>
      </c>
      <c r="I5986">
        <v>0.147509671850793</v>
      </c>
      <c r="J5986">
        <v>0.10777090953377499</v>
      </c>
      <c r="K5986">
        <v>8.1151649331774503E-2</v>
      </c>
      <c r="L5986">
        <v>580.93888948569497</v>
      </c>
      <c r="M5986">
        <v>10.344356812314199</v>
      </c>
      <c r="N5986">
        <v>56.160000566532702</v>
      </c>
      <c r="O5986">
        <v>54.1827274155822</v>
      </c>
      <c r="P5986">
        <v>-4.7749425761383503E-2</v>
      </c>
      <c r="Q5986">
        <v>0</v>
      </c>
      <c r="R5986">
        <v>0.94183918638166197</v>
      </c>
      <c r="S5986" t="s">
        <v>12602</v>
      </c>
      <c r="T5986" t="s">
        <v>13232</v>
      </c>
      <c r="U5986" t="s">
        <v>13232</v>
      </c>
      <c r="V5986" t="s">
        <v>13232</v>
      </c>
      <c r="W5986" t="s">
        <v>19145</v>
      </c>
      <c r="X5986">
        <v>12</v>
      </c>
      <c r="Y5986" t="s">
        <v>25528</v>
      </c>
      <c r="Z5986" t="s">
        <v>32117</v>
      </c>
      <c r="AA5986">
        <v>0.55899461064695211</v>
      </c>
      <c r="AB5986" t="str">
        <f>HYPERLINK("Melting_Curves/meltCurve_Q9NXR7_BRE.pdf", "Melting_Curves/meltCurve_Q9NXR7_BRE.pdf")</f>
        <v>Melting_Curves/meltCurve_Q9NXR7_BRE.pdf</v>
      </c>
    </row>
    <row r="5987" spans="1:28" x14ac:dyDescent="0.25">
      <c r="A5987" t="s">
        <v>5990</v>
      </c>
      <c r="B5987">
        <v>0.99930955844802105</v>
      </c>
      <c r="C5987">
        <v>0.88726816916048601</v>
      </c>
      <c r="D5987">
        <v>0.82995737172769601</v>
      </c>
      <c r="E5987">
        <v>0.779716595411308</v>
      </c>
      <c r="F5987">
        <v>0.52543204557982404</v>
      </c>
      <c r="G5987">
        <v>0.35086763543294902</v>
      </c>
      <c r="H5987">
        <v>0.20259174996335799</v>
      </c>
      <c r="I5987">
        <v>0.129701101699955</v>
      </c>
      <c r="J5987">
        <v>9.1899703217178996E-2</v>
      </c>
      <c r="K5987">
        <v>6.7374534513842899E-2</v>
      </c>
      <c r="L5987">
        <v>613.22460458798798</v>
      </c>
      <c r="M5987">
        <v>11.384568193443201</v>
      </c>
      <c r="N5987">
        <v>53.864546269730603</v>
      </c>
      <c r="O5987">
        <v>52.282910433035397</v>
      </c>
      <c r="P5987">
        <v>-5.4453416784026099E-2</v>
      </c>
      <c r="Q5987">
        <v>0</v>
      </c>
      <c r="R5987">
        <v>0.98984037779452605</v>
      </c>
      <c r="S5987" t="s">
        <v>12603</v>
      </c>
      <c r="T5987" t="s">
        <v>13232</v>
      </c>
      <c r="U5987" t="s">
        <v>13232</v>
      </c>
      <c r="V5987" t="s">
        <v>13232</v>
      </c>
      <c r="W5987" t="s">
        <v>19146</v>
      </c>
      <c r="X5987">
        <v>5</v>
      </c>
      <c r="Y5987" t="s">
        <v>25529</v>
      </c>
      <c r="Z5987" t="s">
        <v>32118</v>
      </c>
      <c r="AA5987">
        <v>0.48991055204416878</v>
      </c>
      <c r="AB5987" t="str">
        <f>HYPERLINK("Melting_Curves/meltCurve_Q9NXU5_ARL15.pdf", "Melting_Curves/meltCurve_Q9NXU5_ARL15.pdf")</f>
        <v>Melting_Curves/meltCurve_Q9NXU5_ARL15.pdf</v>
      </c>
    </row>
    <row r="5988" spans="1:28" x14ac:dyDescent="0.25">
      <c r="A5988" t="s">
        <v>5991</v>
      </c>
      <c r="B5988">
        <v>0.99930955844802105</v>
      </c>
      <c r="C5988">
        <v>1.2119247631384</v>
      </c>
      <c r="D5988">
        <v>1.1945024646356199</v>
      </c>
      <c r="E5988">
        <v>1.1416714750797099</v>
      </c>
      <c r="F5988">
        <v>1.2133096361218301</v>
      </c>
      <c r="G5988">
        <v>0.76903807850667605</v>
      </c>
      <c r="H5988">
        <v>0.49374553778262598</v>
      </c>
      <c r="I5988">
        <v>0.47753092709659001</v>
      </c>
      <c r="J5988">
        <v>0.31407176331455899</v>
      </c>
      <c r="K5988">
        <v>0.16169386692572199</v>
      </c>
      <c r="L5988">
        <v>1451.4113797939399</v>
      </c>
      <c r="M5988">
        <v>24.079428934537201</v>
      </c>
      <c r="N5988">
        <v>61.725162827588498</v>
      </c>
      <c r="O5988">
        <v>59.8648830017992</v>
      </c>
      <c r="P5988">
        <v>-7.8846823653650006E-2</v>
      </c>
      <c r="Q5988">
        <v>0.21591462129618999</v>
      </c>
      <c r="R5988">
        <v>0.87245202052929205</v>
      </c>
      <c r="S5988" t="s">
        <v>12604</v>
      </c>
      <c r="T5988" t="s">
        <v>13232</v>
      </c>
      <c r="U5988" t="s">
        <v>13232</v>
      </c>
      <c r="V5988" t="s">
        <v>13232</v>
      </c>
      <c r="W5988" t="s">
        <v>19147</v>
      </c>
      <c r="X5988">
        <v>4</v>
      </c>
      <c r="Y5988" t="s">
        <v>25530</v>
      </c>
      <c r="Z5988" t="s">
        <v>32119</v>
      </c>
      <c r="AA5988">
        <v>0.75160639155281284</v>
      </c>
      <c r="AB5988" t="str">
        <f>HYPERLINK("Melting_Curves/meltCurve_Q9NXV2_KCTD5.pdf", "Melting_Curves/meltCurve_Q9NXV2_KCTD5.pdf")</f>
        <v>Melting_Curves/meltCurve_Q9NXV2_KCTD5.pdf</v>
      </c>
    </row>
    <row r="5989" spans="1:28" x14ac:dyDescent="0.25">
      <c r="A5989" t="s">
        <v>5992</v>
      </c>
      <c r="B5989">
        <v>0.99930955844802105</v>
      </c>
      <c r="C5989">
        <v>1.19234067935915</v>
      </c>
      <c r="D5989">
        <v>1.17959059346075</v>
      </c>
      <c r="E5989">
        <v>1.0680146871260301</v>
      </c>
      <c r="F5989">
        <v>0.827935511021618</v>
      </c>
      <c r="G5989">
        <v>0.69041685038882294</v>
      </c>
      <c r="H5989">
        <v>0.62560634457998299</v>
      </c>
      <c r="I5989">
        <v>0.67338443805261605</v>
      </c>
      <c r="J5989">
        <v>0.60938841988631598</v>
      </c>
      <c r="K5989">
        <v>0.51174960086544397</v>
      </c>
      <c r="L5989">
        <v>2010.15204365258</v>
      </c>
      <c r="M5989">
        <v>37.278715978710999</v>
      </c>
      <c r="O5989">
        <v>53.767784838859498</v>
      </c>
      <c r="P5989">
        <v>-6.7764538575984606E-2</v>
      </c>
      <c r="Q5989">
        <v>0.60904889420641595</v>
      </c>
      <c r="R5989">
        <v>0.83707861990735299</v>
      </c>
      <c r="S5989" t="s">
        <v>12605</v>
      </c>
      <c r="T5989" t="s">
        <v>13232</v>
      </c>
      <c r="U5989" t="s">
        <v>13232</v>
      </c>
      <c r="V5989" t="s">
        <v>13232</v>
      </c>
      <c r="W5989" t="s">
        <v>19148</v>
      </c>
      <c r="X5989">
        <v>17</v>
      </c>
      <c r="Y5989" t="s">
        <v>25531</v>
      </c>
      <c r="Z5989" t="s">
        <v>32120</v>
      </c>
      <c r="AA5989">
        <v>0.79215337370226246</v>
      </c>
      <c r="AB5989" t="str">
        <f>HYPERLINK("Melting_Curves/meltCurve_Q9NXV6_CDKN2AIP.pdf", "Melting_Curves/meltCurve_Q9NXV6_CDKN2AIP.pdf")</f>
        <v>Melting_Curves/meltCurve_Q9NXV6_CDKN2AIP.pdf</v>
      </c>
    </row>
    <row r="5990" spans="1:28" x14ac:dyDescent="0.25">
      <c r="A5990" t="s">
        <v>5993</v>
      </c>
      <c r="B5990">
        <v>0.99930955844802105</v>
      </c>
      <c r="C5990">
        <v>1.27002009315155</v>
      </c>
      <c r="D5990">
        <v>0.98853127161119902</v>
      </c>
      <c r="E5990">
        <v>1.1766253044574</v>
      </c>
      <c r="F5990">
        <v>1.0172775254262301</v>
      </c>
      <c r="G5990">
        <v>0.85126932193320404</v>
      </c>
      <c r="H5990">
        <v>0.79975242103593902</v>
      </c>
      <c r="I5990">
        <v>0.83133023936581996</v>
      </c>
      <c r="J5990">
        <v>0.85072502925503102</v>
      </c>
      <c r="K5990">
        <v>0.68848173500876197</v>
      </c>
      <c r="L5990">
        <v>14197.004306635599</v>
      </c>
      <c r="M5990">
        <v>250</v>
      </c>
      <c r="O5990">
        <v>56.784403439750697</v>
      </c>
      <c r="P5990">
        <v>-0.22830621976839099</v>
      </c>
      <c r="Q5990">
        <v>0.79257235401540405</v>
      </c>
      <c r="R5990">
        <v>0.58050806073305405</v>
      </c>
      <c r="S5990" t="s">
        <v>12606</v>
      </c>
      <c r="T5990" t="s">
        <v>13232</v>
      </c>
      <c r="U5990" t="s">
        <v>13232</v>
      </c>
      <c r="V5990" t="s">
        <v>13232</v>
      </c>
      <c r="W5990" t="s">
        <v>19149</v>
      </c>
      <c r="X5990">
        <v>2</v>
      </c>
      <c r="Y5990" t="s">
        <v>25532</v>
      </c>
      <c r="Z5990" t="s">
        <v>32121</v>
      </c>
      <c r="AA5990">
        <v>0.90866965648906772</v>
      </c>
      <c r="AB5990" t="str">
        <f>HYPERLINK("Melting_Curves/meltCurve_Q9NXW2_DNAJB12.pdf", "Melting_Curves/meltCurve_Q9NXW2_DNAJB12.pdf")</f>
        <v>Melting_Curves/meltCurve_Q9NXW2_DNAJB12.pdf</v>
      </c>
    </row>
    <row r="5991" spans="1:28" x14ac:dyDescent="0.25">
      <c r="A5991" t="s">
        <v>5994</v>
      </c>
      <c r="B5991">
        <v>0.99930955844802105</v>
      </c>
      <c r="C5991">
        <v>1.0339011145969701</v>
      </c>
      <c r="D5991">
        <v>0.92167660811400398</v>
      </c>
      <c r="E5991">
        <v>0.41910950133903602</v>
      </c>
      <c r="F5991">
        <v>0.18749981156402001</v>
      </c>
      <c r="G5991">
        <v>0.14567795762421701</v>
      </c>
      <c r="H5991">
        <v>8.5496022814597894E-2</v>
      </c>
      <c r="I5991">
        <v>7.9800824625410202E-2</v>
      </c>
      <c r="J5991">
        <v>7.57087711715064E-2</v>
      </c>
      <c r="K5991">
        <v>6.3413811566214298E-2</v>
      </c>
      <c r="L5991">
        <v>1574.45106108606</v>
      </c>
      <c r="M5991">
        <v>31.9920293904608</v>
      </c>
      <c r="N5991">
        <v>49.515158096612303</v>
      </c>
      <c r="O5991">
        <v>49.022760129822302</v>
      </c>
      <c r="P5991">
        <v>-0.148718293211696</v>
      </c>
      <c r="Q5991">
        <v>8.8454898224696002E-2</v>
      </c>
      <c r="R5991">
        <v>0.99663726402800301</v>
      </c>
      <c r="S5991" t="s">
        <v>12607</v>
      </c>
      <c r="T5991" t="s">
        <v>13232</v>
      </c>
      <c r="U5991" t="s">
        <v>13232</v>
      </c>
      <c r="V5991" t="s">
        <v>13232</v>
      </c>
      <c r="W5991" t="s">
        <v>19150</v>
      </c>
      <c r="X5991">
        <v>14</v>
      </c>
      <c r="Y5991" t="s">
        <v>25533</v>
      </c>
      <c r="Z5991" t="s">
        <v>32122</v>
      </c>
      <c r="AA5991">
        <v>0.37330067493121388</v>
      </c>
      <c r="AB5991" t="str">
        <f>HYPERLINK("Melting_Curves/meltCurve_Q9NXW9_ALKBH4.pdf", "Melting_Curves/meltCurve_Q9NXW9_ALKBH4.pdf")</f>
        <v>Melting_Curves/meltCurve_Q9NXW9_ALKBH4.pdf</v>
      </c>
    </row>
    <row r="5992" spans="1:28" x14ac:dyDescent="0.25">
      <c r="A5992" t="s">
        <v>5995</v>
      </c>
      <c r="B5992">
        <v>0.99930955844802105</v>
      </c>
      <c r="C5992">
        <v>1.0131536596258699</v>
      </c>
      <c r="D5992">
        <v>0.89769607834610798</v>
      </c>
      <c r="E5992">
        <v>0.81352630500498901</v>
      </c>
      <c r="F5992">
        <v>0.61961432674304895</v>
      </c>
      <c r="G5992">
        <v>0.56822271719055295</v>
      </c>
      <c r="H5992">
        <v>0.53368469689035403</v>
      </c>
      <c r="I5992">
        <v>0.56799385048670903</v>
      </c>
      <c r="J5992">
        <v>0.55615539026544503</v>
      </c>
      <c r="K5992">
        <v>0.44843681431622301</v>
      </c>
      <c r="L5992">
        <v>961.716576780683</v>
      </c>
      <c r="M5992">
        <v>19.076032429581598</v>
      </c>
      <c r="O5992">
        <v>49.870691445517998</v>
      </c>
      <c r="P5992">
        <v>-4.62444722827626E-2</v>
      </c>
      <c r="Q5992">
        <v>0.516429167909636</v>
      </c>
      <c r="R5992">
        <v>0.96770445579142494</v>
      </c>
      <c r="S5992" t="s">
        <v>12608</v>
      </c>
      <c r="T5992" t="s">
        <v>13232</v>
      </c>
      <c r="U5992" t="s">
        <v>13232</v>
      </c>
      <c r="V5992" t="s">
        <v>13232</v>
      </c>
      <c r="W5992" t="s">
        <v>19151</v>
      </c>
      <c r="X5992">
        <v>10</v>
      </c>
      <c r="Y5992" t="s">
        <v>25534</v>
      </c>
      <c r="Z5992" t="s">
        <v>32123</v>
      </c>
      <c r="AA5992">
        <v>0.69166446306751483</v>
      </c>
      <c r="AB5992" t="str">
        <f>HYPERLINK("Melting_Curves/meltCurve_Q9NXZ1_SAGE1.pdf", "Melting_Curves/meltCurve_Q9NXZ1_SAGE1.pdf")</f>
        <v>Melting_Curves/meltCurve_Q9NXZ1_SAGE1.pdf</v>
      </c>
    </row>
    <row r="5993" spans="1:28" x14ac:dyDescent="0.25">
      <c r="A5993" t="s">
        <v>5996</v>
      </c>
      <c r="B5993">
        <v>0.99930955844802105</v>
      </c>
      <c r="C5993">
        <v>0.82212373440144904</v>
      </c>
      <c r="D5993">
        <v>0.86068604929816195</v>
      </c>
      <c r="E5993">
        <v>0.93394401306566799</v>
      </c>
      <c r="F5993">
        <v>0.915747708473028</v>
      </c>
      <c r="G5993">
        <v>0.74454067092174603</v>
      </c>
      <c r="H5993">
        <v>0.29512270267790702</v>
      </c>
      <c r="I5993">
        <v>0.19559652247067399</v>
      </c>
      <c r="J5993">
        <v>0.117137945251566</v>
      </c>
      <c r="K5993">
        <v>8.8831325176223094E-2</v>
      </c>
      <c r="L5993">
        <v>1530.6356486674399</v>
      </c>
      <c r="M5993">
        <v>26.074978241567901</v>
      </c>
      <c r="N5993">
        <v>59.093392898537701</v>
      </c>
      <c r="O5993">
        <v>58.359315859914503</v>
      </c>
      <c r="P5993">
        <v>-0.102828744016957</v>
      </c>
      <c r="Q5993">
        <v>7.9432077498909695E-2</v>
      </c>
      <c r="R5993">
        <v>0.95405832589121597</v>
      </c>
      <c r="S5993" t="s">
        <v>12609</v>
      </c>
      <c r="T5993" t="s">
        <v>13232</v>
      </c>
      <c r="U5993" t="s">
        <v>13232</v>
      </c>
      <c r="V5993" t="s">
        <v>13232</v>
      </c>
      <c r="W5993" t="s">
        <v>19152</v>
      </c>
      <c r="X5993">
        <v>8</v>
      </c>
      <c r="Y5993" t="s">
        <v>25535</v>
      </c>
      <c r="Z5993" t="s">
        <v>32124</v>
      </c>
      <c r="AA5993">
        <v>0.66059011561996439</v>
      </c>
      <c r="AB5993" t="str">
        <f>HYPERLINK("Melting_Curves/meltCurve_Q9NY12_2_GAR1.pdf", "Melting_Curves/meltCurve_Q9NY12_2_GAR1.pdf")</f>
        <v>Melting_Curves/meltCurve_Q9NY12_2_GAR1.pdf</v>
      </c>
    </row>
    <row r="5994" spans="1:28" x14ac:dyDescent="0.25">
      <c r="A5994" t="s">
        <v>5997</v>
      </c>
      <c r="B5994">
        <v>0.99930955844802105</v>
      </c>
      <c r="C5994">
        <v>1.0048341940482599</v>
      </c>
      <c r="D5994">
        <v>0.91819004284926498</v>
      </c>
      <c r="E5994">
        <v>0.78758467285794198</v>
      </c>
      <c r="F5994">
        <v>0.60274052716439996</v>
      </c>
      <c r="G5994">
        <v>0.41507439804097701</v>
      </c>
      <c r="H5994">
        <v>0.31260392927188202</v>
      </c>
      <c r="I5994">
        <v>0.35692549531754197</v>
      </c>
      <c r="J5994">
        <v>0.39175443959038497</v>
      </c>
      <c r="K5994">
        <v>0.27716642192281499</v>
      </c>
      <c r="L5994">
        <v>1000.36173342592</v>
      </c>
      <c r="M5994">
        <v>19.263063002844699</v>
      </c>
      <c r="N5994">
        <v>54.8052451767891</v>
      </c>
      <c r="O5994">
        <v>51.381646224014702</v>
      </c>
      <c r="P5994">
        <v>-6.3932756566634094E-2</v>
      </c>
      <c r="Q5994">
        <v>0.31789741751247602</v>
      </c>
      <c r="R5994">
        <v>0.98742787250995501</v>
      </c>
      <c r="S5994" t="s">
        <v>12610</v>
      </c>
      <c r="T5994" t="s">
        <v>13232</v>
      </c>
      <c r="U5994" t="s">
        <v>13232</v>
      </c>
      <c r="V5994" t="s">
        <v>13232</v>
      </c>
      <c r="W5994" t="s">
        <v>19153</v>
      </c>
      <c r="X5994">
        <v>25</v>
      </c>
      <c r="Y5994" t="s">
        <v>25536</v>
      </c>
      <c r="Z5994" t="s">
        <v>32125</v>
      </c>
      <c r="AA5994">
        <v>0.59927925280667127</v>
      </c>
      <c r="AB5994" t="str">
        <f>HYPERLINK("Melting_Curves/meltCurve_Q9NY27_PPP4R2.pdf", "Melting_Curves/meltCurve_Q9NY27_PPP4R2.pdf")</f>
        <v>Melting_Curves/meltCurve_Q9NY27_PPP4R2.pdf</v>
      </c>
    </row>
    <row r="5995" spans="1:28" x14ac:dyDescent="0.25">
      <c r="A5995" t="s">
        <v>5998</v>
      </c>
      <c r="B5995">
        <v>0.99930955844802105</v>
      </c>
      <c r="C5995">
        <v>0.98566621411852196</v>
      </c>
      <c r="D5995">
        <v>0.95382793937057397</v>
      </c>
      <c r="E5995">
        <v>0.79628744239750404</v>
      </c>
      <c r="F5995">
        <v>0.32270431011975698</v>
      </c>
      <c r="G5995">
        <v>0.14001651939273299</v>
      </c>
      <c r="H5995">
        <v>8.3061127934258197E-2</v>
      </c>
      <c r="I5995">
        <v>6.9922262564116697E-2</v>
      </c>
      <c r="J5995">
        <v>6.2506935407016503E-2</v>
      </c>
      <c r="K5995">
        <v>4.69805397577511E-2</v>
      </c>
      <c r="L5995">
        <v>1838.8576300367099</v>
      </c>
      <c r="M5995">
        <v>35.596189933707898</v>
      </c>
      <c r="N5995">
        <v>51.882095370415598</v>
      </c>
      <c r="O5995">
        <v>51.496608360002597</v>
      </c>
      <c r="P5995">
        <v>-0.16053742979169</v>
      </c>
      <c r="Q5995">
        <v>7.1012297501338098E-2</v>
      </c>
      <c r="R5995">
        <v>0.99761119260891096</v>
      </c>
      <c r="S5995" t="s">
        <v>12611</v>
      </c>
      <c r="T5995" t="s">
        <v>13232</v>
      </c>
      <c r="U5995" t="s">
        <v>13232</v>
      </c>
      <c r="V5995" t="s">
        <v>13232</v>
      </c>
      <c r="W5995" t="s">
        <v>19154</v>
      </c>
      <c r="X5995">
        <v>32</v>
      </c>
      <c r="Y5995" t="s">
        <v>25537</v>
      </c>
      <c r="Z5995" t="s">
        <v>32126</v>
      </c>
      <c r="AA5995">
        <v>0.43623541118473369</v>
      </c>
      <c r="AB5995" t="str">
        <f>HYPERLINK("Melting_Curves/meltCurve_Q9NY33_DPP3.pdf", "Melting_Curves/meltCurve_Q9NY33_DPP3.pdf")</f>
        <v>Melting_Curves/meltCurve_Q9NY33_DPP3.pdf</v>
      </c>
    </row>
    <row r="5996" spans="1:28" x14ac:dyDescent="0.25">
      <c r="A5996" t="s">
        <v>5999</v>
      </c>
      <c r="B5996">
        <v>0.99930955844802105</v>
      </c>
      <c r="C5996">
        <v>0.86321397058859695</v>
      </c>
      <c r="D5996">
        <v>0.74655788675464796</v>
      </c>
      <c r="E5996">
        <v>0.52661674024538796</v>
      </c>
      <c r="F5996">
        <v>0.35759098994953098</v>
      </c>
      <c r="G5996">
        <v>0.27680843536824601</v>
      </c>
      <c r="H5996">
        <v>0.20052056576800201</v>
      </c>
      <c r="I5996">
        <v>0.19005855124950799</v>
      </c>
      <c r="J5996">
        <v>0.15744760992172999</v>
      </c>
      <c r="K5996">
        <v>0.120960886917102</v>
      </c>
      <c r="L5996">
        <v>626.36991228779004</v>
      </c>
      <c r="M5996">
        <v>12.7268357068291</v>
      </c>
      <c r="N5996">
        <v>50.385395789939103</v>
      </c>
      <c r="O5996">
        <v>48.048785865845097</v>
      </c>
      <c r="P5996">
        <v>-5.7764632237837198E-2</v>
      </c>
      <c r="Q5996">
        <v>0.12783056514900501</v>
      </c>
      <c r="R5996">
        <v>0.99549935352861596</v>
      </c>
      <c r="S5996" t="s">
        <v>12612</v>
      </c>
      <c r="T5996" t="s">
        <v>13232</v>
      </c>
      <c r="U5996" t="s">
        <v>13232</v>
      </c>
      <c r="V5996" t="s">
        <v>13232</v>
      </c>
      <c r="W5996" t="s">
        <v>19155</v>
      </c>
      <c r="X5996">
        <v>10</v>
      </c>
      <c r="Y5996" t="s">
        <v>25538</v>
      </c>
      <c r="Z5996" t="s">
        <v>32127</v>
      </c>
      <c r="AA5996">
        <v>0.42442298637641068</v>
      </c>
      <c r="AB5996" t="str">
        <f>HYPERLINK("Melting_Curves/meltCurve_Q9NY61_AATF.pdf", "Melting_Curves/meltCurve_Q9NY61_AATF.pdf")</f>
        <v>Melting_Curves/meltCurve_Q9NY61_AATF.pdf</v>
      </c>
    </row>
    <row r="5997" spans="1:28" x14ac:dyDescent="0.25">
      <c r="A5997" t="s">
        <v>6000</v>
      </c>
      <c r="B5997">
        <v>0.99930955844802105</v>
      </c>
      <c r="C5997">
        <v>1.1179705460389</v>
      </c>
      <c r="D5997">
        <v>1.0430012671364799</v>
      </c>
      <c r="E5997">
        <v>0.795225661917485</v>
      </c>
      <c r="F5997">
        <v>0.20443743982492399</v>
      </c>
      <c r="G5997">
        <v>0.15143138138354301</v>
      </c>
      <c r="H5997">
        <v>0.104285426731851</v>
      </c>
      <c r="I5997">
        <v>9.6925474647962001E-2</v>
      </c>
      <c r="J5997">
        <v>9.7107195980983205E-2</v>
      </c>
      <c r="K5997">
        <v>7.4974693089998004E-2</v>
      </c>
      <c r="L5997">
        <v>2894.04432431229</v>
      </c>
      <c r="M5997">
        <v>56.6615927867308</v>
      </c>
      <c r="N5997">
        <v>51.287429776894797</v>
      </c>
      <c r="O5997">
        <v>51.012440228454402</v>
      </c>
      <c r="P5997">
        <v>-0.24875752029385501</v>
      </c>
      <c r="Q5997">
        <v>0.10417473692736</v>
      </c>
      <c r="R5997">
        <v>0.98992363630679403</v>
      </c>
      <c r="S5997" t="s">
        <v>12613</v>
      </c>
      <c r="T5997" t="s">
        <v>13232</v>
      </c>
      <c r="U5997" t="s">
        <v>13232</v>
      </c>
      <c r="V5997" t="s">
        <v>13232</v>
      </c>
      <c r="W5997" t="s">
        <v>19156</v>
      </c>
      <c r="X5997">
        <v>16</v>
      </c>
      <c r="Y5997" t="s">
        <v>25539</v>
      </c>
      <c r="Z5997" t="s">
        <v>32128</v>
      </c>
      <c r="AA5997">
        <v>0.43648138444262591</v>
      </c>
      <c r="AB5997" t="str">
        <f>HYPERLINK("Melting_Curves/meltCurve_Q9NY93_DDX56.pdf", "Melting_Curves/meltCurve_Q9NY93_DDX56.pdf")</f>
        <v>Melting_Curves/meltCurve_Q9NY93_DDX56.pdf</v>
      </c>
    </row>
    <row r="5998" spans="1:28" x14ac:dyDescent="0.25">
      <c r="A5998" t="s">
        <v>6001</v>
      </c>
      <c r="B5998">
        <v>0.99930955844802105</v>
      </c>
      <c r="C5998">
        <v>1.09395181172839</v>
      </c>
      <c r="D5998">
        <v>1.0230313211894899</v>
      </c>
      <c r="E5998">
        <v>0.92894027187218497</v>
      </c>
      <c r="F5998">
        <v>0.79655683962637802</v>
      </c>
      <c r="G5998">
        <v>0.63360511438811196</v>
      </c>
      <c r="H5998">
        <v>0.55107986875648796</v>
      </c>
      <c r="I5998">
        <v>0.55729733371797197</v>
      </c>
      <c r="J5998">
        <v>0.54048991541279001</v>
      </c>
      <c r="K5998">
        <v>0.467106544703835</v>
      </c>
      <c r="L5998">
        <v>1183.3009260656499</v>
      </c>
      <c r="M5998">
        <v>21.9031408595858</v>
      </c>
      <c r="O5998">
        <v>53.579977148458099</v>
      </c>
      <c r="P5998">
        <v>-4.97814107614655E-2</v>
      </c>
      <c r="Q5998">
        <v>0.51290522309000197</v>
      </c>
      <c r="R5998">
        <v>0.972030627393485</v>
      </c>
      <c r="S5998" t="s">
        <v>12614</v>
      </c>
      <c r="T5998" t="s">
        <v>13232</v>
      </c>
      <c r="U5998" t="s">
        <v>13232</v>
      </c>
      <c r="V5998" t="s">
        <v>13232</v>
      </c>
      <c r="W5998" t="s">
        <v>19157</v>
      </c>
      <c r="X5998">
        <v>20</v>
      </c>
      <c r="Y5998" t="s">
        <v>25540</v>
      </c>
      <c r="Z5998" t="s">
        <v>32129</v>
      </c>
      <c r="AA5998">
        <v>0.74630239578039714</v>
      </c>
      <c r="AB5998" t="str">
        <f>HYPERLINK("Melting_Curves/meltCurve_Q9NYB0_TERF2IP.pdf", "Melting_Curves/meltCurve_Q9NYB0_TERF2IP.pdf")</f>
        <v>Melting_Curves/meltCurve_Q9NYB0_TERF2IP.pdf</v>
      </c>
    </row>
    <row r="5999" spans="1:28" x14ac:dyDescent="0.25">
      <c r="A5999" t="s">
        <v>6002</v>
      </c>
      <c r="B5999">
        <v>0.99930955844802105</v>
      </c>
      <c r="C5999">
        <v>0.92274675405887496</v>
      </c>
      <c r="D5999">
        <v>0.879804686863355</v>
      </c>
      <c r="E5999">
        <v>0.81718439905057405</v>
      </c>
      <c r="F5999">
        <v>0.695247622577985</v>
      </c>
      <c r="G5999">
        <v>0.57789048811520205</v>
      </c>
      <c r="H5999">
        <v>0.397972453110085</v>
      </c>
      <c r="I5999">
        <v>0.40620469914832402</v>
      </c>
      <c r="J5999">
        <v>0.33321922892121603</v>
      </c>
      <c r="K5999">
        <v>0.25745858073171601</v>
      </c>
      <c r="L5999">
        <v>466.38405166106497</v>
      </c>
      <c r="M5999">
        <v>8.1166945427089203</v>
      </c>
      <c r="N5999">
        <v>59.119436979780701</v>
      </c>
      <c r="O5999">
        <v>54.287552452637797</v>
      </c>
      <c r="P5999">
        <v>-3.3606189119183297E-2</v>
      </c>
      <c r="Q5999">
        <v>0.101878130240456</v>
      </c>
      <c r="R5999">
        <v>0.99091047784105302</v>
      </c>
      <c r="S5999" t="s">
        <v>12615</v>
      </c>
      <c r="T5999" t="s">
        <v>13232</v>
      </c>
      <c r="U5999" t="s">
        <v>13232</v>
      </c>
      <c r="V5999" t="s">
        <v>13232</v>
      </c>
      <c r="W5999" t="s">
        <v>19158</v>
      </c>
      <c r="X5999">
        <v>3</v>
      </c>
      <c r="Y5999" t="s">
        <v>25541</v>
      </c>
      <c r="Z5999" t="s">
        <v>32130</v>
      </c>
      <c r="AA5999">
        <v>0.63231097001675707</v>
      </c>
      <c r="AB5999" t="str">
        <f>HYPERLINK("Melting_Curves/meltCurve_Q9NYB9_3_ABI2.pdf", "Melting_Curves/meltCurve_Q9NYB9_3_ABI2.pdf")</f>
        <v>Melting_Curves/meltCurve_Q9NYB9_3_ABI2.pdf</v>
      </c>
    </row>
    <row r="6000" spans="1:28" x14ac:dyDescent="0.25">
      <c r="A6000" t="s">
        <v>6003</v>
      </c>
      <c r="B6000">
        <v>0.99930955844802105</v>
      </c>
      <c r="C6000">
        <v>1.30488379964893</v>
      </c>
      <c r="D6000">
        <v>1.21919657624096</v>
      </c>
      <c r="E6000">
        <v>1.1489713134672801</v>
      </c>
      <c r="F6000">
        <v>1.0656736720050799</v>
      </c>
      <c r="G6000">
        <v>0.98118739232722396</v>
      </c>
      <c r="H6000">
        <v>0.92826236486671099</v>
      </c>
      <c r="I6000">
        <v>0.94240819650380303</v>
      </c>
      <c r="J6000">
        <v>0.97980891843707396</v>
      </c>
      <c r="K6000">
        <v>0.72104642593362001</v>
      </c>
      <c r="L6000">
        <v>4050.01638215497</v>
      </c>
      <c r="M6000">
        <v>56.904842767579296</v>
      </c>
      <c r="Q6000">
        <v>0</v>
      </c>
      <c r="R6000">
        <v>0.28407839469836299</v>
      </c>
      <c r="S6000" t="s">
        <v>12616</v>
      </c>
      <c r="T6000" t="s">
        <v>13232</v>
      </c>
      <c r="U6000" t="s">
        <v>13232</v>
      </c>
      <c r="V6000" t="s">
        <v>13232</v>
      </c>
      <c r="W6000" t="s">
        <v>19159</v>
      </c>
      <c r="X6000">
        <v>3</v>
      </c>
      <c r="Y6000" t="s">
        <v>25542</v>
      </c>
      <c r="Z6000" t="s">
        <v>32131</v>
      </c>
      <c r="AA6000">
        <v>0.98731095515183065</v>
      </c>
      <c r="AB6000" t="str">
        <f>HYPERLINK("Melting_Curves/meltCurve_Q9NYF3_FAM53C.pdf", "Melting_Curves/meltCurve_Q9NYF3_FAM53C.pdf")</f>
        <v>Melting_Curves/meltCurve_Q9NYF3_FAM53C.pdf</v>
      </c>
    </row>
    <row r="6001" spans="1:28" x14ac:dyDescent="0.25">
      <c r="A6001" t="s">
        <v>6004</v>
      </c>
      <c r="B6001">
        <v>0.99930955844802105</v>
      </c>
      <c r="C6001">
        <v>1.0749574110767399</v>
      </c>
      <c r="D6001">
        <v>1.08584874784375</v>
      </c>
      <c r="E6001">
        <v>1.0236657435562699</v>
      </c>
      <c r="F6001">
        <v>0.96011077231684905</v>
      </c>
      <c r="G6001">
        <v>0.93304386087178204</v>
      </c>
      <c r="H6001">
        <v>0.89157597925311505</v>
      </c>
      <c r="I6001">
        <v>0.96549836885499896</v>
      </c>
      <c r="J6001">
        <v>0.981100561997026</v>
      </c>
      <c r="K6001">
        <v>0.73881655117525502</v>
      </c>
      <c r="L6001">
        <v>4193.6864842902896</v>
      </c>
      <c r="M6001">
        <v>58.868384100731198</v>
      </c>
      <c r="Q6001">
        <v>0</v>
      </c>
      <c r="R6001">
        <v>0.63558799357742501</v>
      </c>
      <c r="S6001" t="s">
        <v>12617</v>
      </c>
      <c r="T6001" t="s">
        <v>13232</v>
      </c>
      <c r="U6001" t="s">
        <v>13232</v>
      </c>
      <c r="V6001" t="s">
        <v>13232</v>
      </c>
      <c r="W6001" t="s">
        <v>19160</v>
      </c>
      <c r="X6001">
        <v>51</v>
      </c>
      <c r="Y6001" t="s">
        <v>25543</v>
      </c>
      <c r="Z6001" t="s">
        <v>32132</v>
      </c>
      <c r="AA6001">
        <v>0.9886296845261815</v>
      </c>
      <c r="AB6001" t="str">
        <f>HYPERLINK("Melting_Curves/meltCurve_Q9NYF8_2_BCLAF1.pdf", "Melting_Curves/meltCurve_Q9NYF8_2_BCLAF1.pdf")</f>
        <v>Melting_Curves/meltCurve_Q9NYF8_2_BCLAF1.pdf</v>
      </c>
    </row>
    <row r="6002" spans="1:28" x14ac:dyDescent="0.25">
      <c r="A6002" t="s">
        <v>6005</v>
      </c>
      <c r="B6002">
        <v>0.99930955844802105</v>
      </c>
      <c r="C6002">
        <v>1.1616812769343201</v>
      </c>
      <c r="D6002">
        <v>1.14503337416288</v>
      </c>
      <c r="E6002">
        <v>1.22792160325831</v>
      </c>
      <c r="F6002">
        <v>1.06438354158426</v>
      </c>
      <c r="G6002">
        <v>0.912088440076958</v>
      </c>
      <c r="H6002">
        <v>0.89897936012644297</v>
      </c>
      <c r="I6002">
        <v>0.93295826787743497</v>
      </c>
      <c r="J6002">
        <v>0.90783547764049899</v>
      </c>
      <c r="K6002">
        <v>0.707807298680866</v>
      </c>
      <c r="L6002">
        <v>1120.45705095985</v>
      </c>
      <c r="M6002">
        <v>14.9873802027154</v>
      </c>
      <c r="Q6002">
        <v>0</v>
      </c>
      <c r="R6002">
        <v>0.45858497536267001</v>
      </c>
      <c r="S6002" t="s">
        <v>12618</v>
      </c>
      <c r="T6002" t="s">
        <v>13232</v>
      </c>
      <c r="U6002" t="s">
        <v>13232</v>
      </c>
      <c r="V6002" t="s">
        <v>13232</v>
      </c>
      <c r="W6002" t="s">
        <v>19161</v>
      </c>
      <c r="X6002">
        <v>1</v>
      </c>
      <c r="Y6002" t="s">
        <v>25544</v>
      </c>
      <c r="Z6002" t="s">
        <v>32133</v>
      </c>
      <c r="AA6002">
        <v>0.96018994467590446</v>
      </c>
      <c r="AB6002" t="str">
        <f>HYPERLINK("Melting_Curves/meltCurve_Q9NYG5_ANAPC11.pdf", "Melting_Curves/meltCurve_Q9NYG5_ANAPC11.pdf")</f>
        <v>Melting_Curves/meltCurve_Q9NYG5_ANAPC11.pdf</v>
      </c>
    </row>
    <row r="6003" spans="1:28" x14ac:dyDescent="0.25">
      <c r="A6003" t="s">
        <v>6006</v>
      </c>
      <c r="B6003">
        <v>0.99930955844802105</v>
      </c>
      <c r="C6003">
        <v>0.903826922783035</v>
      </c>
      <c r="D6003">
        <v>0.920085576492507</v>
      </c>
      <c r="E6003">
        <v>0.85999848195193096</v>
      </c>
      <c r="F6003">
        <v>0.70360208105224198</v>
      </c>
      <c r="G6003">
        <v>0.66181159256633904</v>
      </c>
      <c r="H6003">
        <v>0.58407217033051095</v>
      </c>
      <c r="I6003">
        <v>0.53203569157845698</v>
      </c>
      <c r="J6003">
        <v>0.67029134812796998</v>
      </c>
      <c r="K6003">
        <v>0.51142648789658096</v>
      </c>
      <c r="L6003">
        <v>600.88144082631504</v>
      </c>
      <c r="M6003">
        <v>11.608394493288801</v>
      </c>
      <c r="O6003">
        <v>50.298100110655803</v>
      </c>
      <c r="P6003">
        <v>-2.6879316477872599E-2</v>
      </c>
      <c r="Q6003">
        <v>0.53426531297356095</v>
      </c>
      <c r="R6003">
        <v>0.91783866643684797</v>
      </c>
      <c r="S6003" t="s">
        <v>12619</v>
      </c>
      <c r="T6003" t="s">
        <v>13232</v>
      </c>
      <c r="U6003" t="s">
        <v>13232</v>
      </c>
      <c r="V6003" t="s">
        <v>13232</v>
      </c>
      <c r="W6003" t="s">
        <v>19162</v>
      </c>
      <c r="X6003">
        <v>8</v>
      </c>
      <c r="Y6003" t="s">
        <v>25545</v>
      </c>
      <c r="Z6003" t="s">
        <v>32134</v>
      </c>
      <c r="AA6003">
        <v>0.73199247446717197</v>
      </c>
      <c r="AB6003" t="str">
        <f>HYPERLINK("Melting_Curves/meltCurve_Q9NYJ1_COA4.pdf", "Melting_Curves/meltCurve_Q9NYJ1_COA4.pdf")</f>
        <v>Melting_Curves/meltCurve_Q9NYJ1_COA4.pdf</v>
      </c>
    </row>
    <row r="6004" spans="1:28" x14ac:dyDescent="0.25">
      <c r="A6004" t="s">
        <v>6007</v>
      </c>
      <c r="B6004">
        <v>0.99930955844802105</v>
      </c>
      <c r="C6004">
        <v>1.2118218265230201</v>
      </c>
      <c r="D6004">
        <v>1.16636398777336</v>
      </c>
      <c r="E6004">
        <v>1.1267052108262099</v>
      </c>
      <c r="F6004">
        <v>1.07696852856629</v>
      </c>
      <c r="G6004">
        <v>0.87275472743854998</v>
      </c>
      <c r="H6004">
        <v>0.87177575189652001</v>
      </c>
      <c r="I6004">
        <v>0.98589761849717905</v>
      </c>
      <c r="J6004">
        <v>0.94650289073975102</v>
      </c>
      <c r="K6004">
        <v>0.79907167742339402</v>
      </c>
      <c r="L6004">
        <v>793.98389507406603</v>
      </c>
      <c r="M6004">
        <v>9.7497288261773392</v>
      </c>
      <c r="Q6004">
        <v>0</v>
      </c>
      <c r="R6004">
        <v>0.27239917834213201</v>
      </c>
      <c r="S6004" t="s">
        <v>12620</v>
      </c>
      <c r="T6004" t="s">
        <v>13232</v>
      </c>
      <c r="U6004" t="s">
        <v>13232</v>
      </c>
      <c r="V6004" t="s">
        <v>13232</v>
      </c>
      <c r="W6004" t="s">
        <v>19163</v>
      </c>
      <c r="X6004">
        <v>13</v>
      </c>
      <c r="Y6004" t="s">
        <v>25546</v>
      </c>
      <c r="Z6004" t="s">
        <v>32135</v>
      </c>
      <c r="AA6004">
        <v>0.96753154182659573</v>
      </c>
      <c r="AB6004" t="str">
        <f>HYPERLINK("Melting_Curves/meltCurve_Q9NYJ8_TAB2.pdf", "Melting_Curves/meltCurve_Q9NYJ8_TAB2.pdf")</f>
        <v>Melting_Curves/meltCurve_Q9NYJ8_TAB2.pdf</v>
      </c>
    </row>
    <row r="6005" spans="1:28" x14ac:dyDescent="0.25">
      <c r="A6005" t="s">
        <v>6008</v>
      </c>
      <c r="B6005">
        <v>0.99930955844802105</v>
      </c>
      <c r="C6005">
        <v>1.05627944244551</v>
      </c>
      <c r="D6005">
        <v>0.969270563156861</v>
      </c>
      <c r="E6005">
        <v>0.86764416394184196</v>
      </c>
      <c r="F6005">
        <v>0.695171886905537</v>
      </c>
      <c r="G6005">
        <v>0.54510038242101899</v>
      </c>
      <c r="H6005">
        <v>0.47381827489220402</v>
      </c>
      <c r="I6005">
        <v>0.547093394326569</v>
      </c>
      <c r="J6005">
        <v>0.447538982617601</v>
      </c>
      <c r="K6005">
        <v>0.46022541087348801</v>
      </c>
      <c r="L6005">
        <v>1218.9417258649401</v>
      </c>
      <c r="M6005">
        <v>23.305603934314899</v>
      </c>
      <c r="N6005">
        <v>60.0191690383649</v>
      </c>
      <c r="O6005">
        <v>51.921981564341003</v>
      </c>
      <c r="P6005">
        <v>-5.8911793539247199E-2</v>
      </c>
      <c r="Q6005">
        <v>0.475016601791801</v>
      </c>
      <c r="R6005">
        <v>0.98243491080412904</v>
      </c>
      <c r="S6005" t="s">
        <v>12621</v>
      </c>
      <c r="T6005" t="s">
        <v>13232</v>
      </c>
      <c r="U6005" t="s">
        <v>13232</v>
      </c>
      <c r="V6005" t="s">
        <v>13232</v>
      </c>
      <c r="W6005" t="s">
        <v>19164</v>
      </c>
      <c r="X6005">
        <v>1</v>
      </c>
      <c r="Y6005" t="s">
        <v>25547</v>
      </c>
      <c r="Z6005" t="s">
        <v>32136</v>
      </c>
      <c r="AA6005">
        <v>0.695793017016897</v>
      </c>
      <c r="AB6005" t="str">
        <f>HYPERLINK("Melting_Curves/meltCurve_Q9NYK6_3_EURL.pdf", "Melting_Curves/meltCurve_Q9NYK6_3_EURL.pdf")</f>
        <v>Melting_Curves/meltCurve_Q9NYK6_3_EURL.pdf</v>
      </c>
    </row>
    <row r="6006" spans="1:28" x14ac:dyDescent="0.25">
      <c r="A6006" t="s">
        <v>6009</v>
      </c>
      <c r="B6006">
        <v>0.99930955844802105</v>
      </c>
      <c r="C6006">
        <v>1.0964879568236101</v>
      </c>
      <c r="D6006">
        <v>1.04670960508246</v>
      </c>
      <c r="E6006">
        <v>0.89354799602937096</v>
      </c>
      <c r="F6006">
        <v>0.59384129265049901</v>
      </c>
      <c r="G6006">
        <v>0.31826287154257499</v>
      </c>
      <c r="H6006">
        <v>0.20383800572538299</v>
      </c>
      <c r="I6006">
        <v>0.217503138392658</v>
      </c>
      <c r="J6006">
        <v>0.204714155195276</v>
      </c>
      <c r="K6006">
        <v>0.163144342044579</v>
      </c>
      <c r="L6006">
        <v>1530.2017074822099</v>
      </c>
      <c r="M6006">
        <v>28.803465371440499</v>
      </c>
      <c r="N6006">
        <v>54.047674500409002</v>
      </c>
      <c r="O6006">
        <v>52.8715162498791</v>
      </c>
      <c r="P6006">
        <v>-0.109759024709634</v>
      </c>
      <c r="Q6006">
        <v>0.194113469485026</v>
      </c>
      <c r="R6006">
        <v>0.98938395901259202</v>
      </c>
      <c r="S6006" t="s">
        <v>12622</v>
      </c>
      <c r="T6006" t="s">
        <v>13232</v>
      </c>
      <c r="U6006" t="s">
        <v>13232</v>
      </c>
      <c r="V6006" t="s">
        <v>13232</v>
      </c>
      <c r="W6006" t="s">
        <v>19165</v>
      </c>
      <c r="X6006">
        <v>17</v>
      </c>
      <c r="Y6006" t="s">
        <v>25548</v>
      </c>
      <c r="Z6006" t="s">
        <v>32137</v>
      </c>
      <c r="AA6006">
        <v>0.55237264567668942</v>
      </c>
      <c r="AB6006" t="str">
        <f>HYPERLINK("Melting_Curves/meltCurve_Q9NYL2_MLTK.pdf", "Melting_Curves/meltCurve_Q9NYL2_MLTK.pdf")</f>
        <v>Melting_Curves/meltCurve_Q9NYL2_MLTK.pdf</v>
      </c>
    </row>
    <row r="6007" spans="1:28" x14ac:dyDescent="0.25">
      <c r="A6007" t="s">
        <v>6010</v>
      </c>
      <c r="B6007">
        <v>0.99930955844802105</v>
      </c>
      <c r="C6007">
        <v>1.0742449498758899</v>
      </c>
      <c r="D6007">
        <v>1.27199113835611</v>
      </c>
      <c r="E6007">
        <v>1.0156334276055901</v>
      </c>
      <c r="F6007">
        <v>0.75590742981558001</v>
      </c>
      <c r="G6007">
        <v>0.38370425794990998</v>
      </c>
      <c r="H6007">
        <v>0.228753559451325</v>
      </c>
      <c r="I6007">
        <v>0.21552696061995599</v>
      </c>
      <c r="J6007">
        <v>0.18404402287042401</v>
      </c>
      <c r="K6007">
        <v>0.13103812084369301</v>
      </c>
      <c r="L6007">
        <v>1688.9129033946599</v>
      </c>
      <c r="M6007">
        <v>30.804656187084401</v>
      </c>
      <c r="N6007">
        <v>55.623155843118703</v>
      </c>
      <c r="O6007">
        <v>54.597047045204597</v>
      </c>
      <c r="P6007">
        <v>-0.115896989614672</v>
      </c>
      <c r="Q6007">
        <v>0.178358458951238</v>
      </c>
      <c r="R6007">
        <v>0.94954920817926503</v>
      </c>
      <c r="S6007" t="s">
        <v>12623</v>
      </c>
      <c r="T6007" t="s">
        <v>13232</v>
      </c>
      <c r="U6007" t="s">
        <v>13232</v>
      </c>
      <c r="V6007" t="s">
        <v>13232</v>
      </c>
      <c r="W6007" t="s">
        <v>19166</v>
      </c>
      <c r="X6007">
        <v>8</v>
      </c>
      <c r="Y6007" t="s">
        <v>25548</v>
      </c>
      <c r="Z6007" t="s">
        <v>32138</v>
      </c>
      <c r="AA6007">
        <v>0.5896037959284115</v>
      </c>
      <c r="AB6007" t="str">
        <f>HYPERLINK("Melting_Curves/meltCurve_Q9NYL2_2_MLTK.pdf", "Melting_Curves/meltCurve_Q9NYL2_2_MLTK.pdf")</f>
        <v>Melting_Curves/meltCurve_Q9NYL2_2_MLTK.pdf</v>
      </c>
    </row>
    <row r="6008" spans="1:28" x14ac:dyDescent="0.25">
      <c r="A6008" t="s">
        <v>6011</v>
      </c>
      <c r="B6008">
        <v>0.99930955844802105</v>
      </c>
      <c r="C6008">
        <v>0.97099693621194705</v>
      </c>
      <c r="D6008">
        <v>0.87332941259310004</v>
      </c>
      <c r="E6008">
        <v>0.61407020855458605</v>
      </c>
      <c r="F6008">
        <v>0.42238136949077199</v>
      </c>
      <c r="G6008">
        <v>0.30724875153291098</v>
      </c>
      <c r="H6008">
        <v>0.266182869704845</v>
      </c>
      <c r="I6008">
        <v>0.26219427241896998</v>
      </c>
      <c r="J6008">
        <v>0.25124175679983801</v>
      </c>
      <c r="K6008">
        <v>0.22023191970579201</v>
      </c>
      <c r="L6008">
        <v>951.60720801399304</v>
      </c>
      <c r="M6008">
        <v>19.067993676671001</v>
      </c>
      <c r="N6008">
        <v>51.668576330993297</v>
      </c>
      <c r="O6008">
        <v>49.366818611148503</v>
      </c>
      <c r="P6008">
        <v>-7.3477543014383695E-2</v>
      </c>
      <c r="Q6008">
        <v>0.23909985277686599</v>
      </c>
      <c r="R6008">
        <v>0.99916078116949703</v>
      </c>
      <c r="S6008" t="s">
        <v>12624</v>
      </c>
      <c r="T6008" t="s">
        <v>13232</v>
      </c>
      <c r="U6008" t="s">
        <v>13232</v>
      </c>
      <c r="V6008" t="s">
        <v>13232</v>
      </c>
      <c r="W6008" t="s">
        <v>19167</v>
      </c>
      <c r="X6008">
        <v>19</v>
      </c>
      <c r="Y6008" t="s">
        <v>25549</v>
      </c>
      <c r="Z6008" t="s">
        <v>32139</v>
      </c>
      <c r="AA6008">
        <v>0.50197805288254915</v>
      </c>
      <c r="AB6008" t="str">
        <f>HYPERLINK("Melting_Curves/meltCurve_Q9NYL9_TMOD3.pdf", "Melting_Curves/meltCurve_Q9NYL9_TMOD3.pdf")</f>
        <v>Melting_Curves/meltCurve_Q9NYL9_TMOD3.pdf</v>
      </c>
    </row>
    <row r="6009" spans="1:28" x14ac:dyDescent="0.25">
      <c r="A6009" t="s">
        <v>6012</v>
      </c>
      <c r="B6009">
        <v>0.99930955844802105</v>
      </c>
      <c r="C6009">
        <v>1.0922798459057399</v>
      </c>
      <c r="D6009">
        <v>0.99439018433926796</v>
      </c>
      <c r="E6009">
        <v>0.81049666357768102</v>
      </c>
      <c r="F6009">
        <v>0.47807921557890298</v>
      </c>
      <c r="G6009">
        <v>0.24464800762376701</v>
      </c>
      <c r="H6009">
        <v>0.127440226772531</v>
      </c>
      <c r="I6009">
        <v>0.112157987733042</v>
      </c>
      <c r="J6009">
        <v>9.5756375430484306E-2</v>
      </c>
      <c r="K6009">
        <v>7.82034732945978E-2</v>
      </c>
      <c r="L6009">
        <v>1298.5692344378101</v>
      </c>
      <c r="M6009">
        <v>24.702325747899799</v>
      </c>
      <c r="N6009">
        <v>53.0281966511752</v>
      </c>
      <c r="O6009">
        <v>52.227824394504403</v>
      </c>
      <c r="P6009">
        <v>-0.106852582053407</v>
      </c>
      <c r="Q6009">
        <v>9.63443278790726E-2</v>
      </c>
      <c r="R6009">
        <v>0.992793961586801</v>
      </c>
      <c r="S6009" t="s">
        <v>12625</v>
      </c>
      <c r="T6009" t="s">
        <v>13232</v>
      </c>
      <c r="U6009" t="s">
        <v>13232</v>
      </c>
      <c r="V6009" t="s">
        <v>13232</v>
      </c>
      <c r="W6009" t="s">
        <v>19168</v>
      </c>
      <c r="X6009">
        <v>4</v>
      </c>
      <c r="Y6009" t="s">
        <v>25550</v>
      </c>
      <c r="Z6009" t="s">
        <v>32140</v>
      </c>
      <c r="AA6009">
        <v>0.48341980736323109</v>
      </c>
      <c r="AB6009" t="str">
        <f>HYPERLINK("Melting_Curves/meltCurve_Q9NYP9_MIS18A.pdf", "Melting_Curves/meltCurve_Q9NYP9_MIS18A.pdf")</f>
        <v>Melting_Curves/meltCurve_Q9NYP9_MIS18A.pdf</v>
      </c>
    </row>
    <row r="6010" spans="1:28" x14ac:dyDescent="0.25">
      <c r="A6010" t="s">
        <v>6013</v>
      </c>
      <c r="B6010">
        <v>0.99930955844802105</v>
      </c>
      <c r="C6010">
        <v>0.85181423488657904</v>
      </c>
      <c r="D6010">
        <v>0.78575282570657801</v>
      </c>
      <c r="E6010">
        <v>0.68693385247751304</v>
      </c>
      <c r="F6010">
        <v>0.40056622532735198</v>
      </c>
      <c r="G6010">
        <v>0.17231180183682401</v>
      </c>
      <c r="H6010">
        <v>0.101066646335147</v>
      </c>
      <c r="I6010">
        <v>8.8413041895449504E-2</v>
      </c>
      <c r="J6010">
        <v>7.9932399126285095E-2</v>
      </c>
      <c r="K6010">
        <v>6.24532432429067E-2</v>
      </c>
      <c r="L6010">
        <v>673.04267945776303</v>
      </c>
      <c r="M6010">
        <v>13.1003484993782</v>
      </c>
      <c r="N6010">
        <v>51.489520675820103</v>
      </c>
      <c r="O6010">
        <v>50.223024797009003</v>
      </c>
      <c r="P6010">
        <v>-6.4293118458446194E-2</v>
      </c>
      <c r="Q6010">
        <v>1.4242604395665701E-2</v>
      </c>
      <c r="R6010">
        <v>0.98296166569169297</v>
      </c>
      <c r="S6010" t="s">
        <v>12626</v>
      </c>
      <c r="T6010" t="s">
        <v>13232</v>
      </c>
      <c r="U6010" t="s">
        <v>13232</v>
      </c>
      <c r="V6010" t="s">
        <v>13232</v>
      </c>
      <c r="W6010" t="s">
        <v>19169</v>
      </c>
      <c r="X6010">
        <v>40</v>
      </c>
      <c r="Y6010" t="s">
        <v>25551</v>
      </c>
      <c r="Z6010" t="s">
        <v>32141</v>
      </c>
      <c r="AA6010">
        <v>0.41576187087582062</v>
      </c>
      <c r="AB6010" t="str">
        <f>HYPERLINK("Melting_Curves/meltCurve_Q9NYU2_2_UGGT1.pdf", "Melting_Curves/meltCurve_Q9NYU2_2_UGGT1.pdf")</f>
        <v>Melting_Curves/meltCurve_Q9NYU2_2_UGGT1.pdf</v>
      </c>
    </row>
    <row r="6011" spans="1:28" x14ac:dyDescent="0.25">
      <c r="A6011" t="s">
        <v>6014</v>
      </c>
      <c r="B6011">
        <v>0.99930955844802105</v>
      </c>
      <c r="C6011">
        <v>1.0459702996829201</v>
      </c>
      <c r="D6011">
        <v>0.92839428946341296</v>
      </c>
      <c r="E6011">
        <v>0.93143662122347204</v>
      </c>
      <c r="F6011">
        <v>0.74470185569344804</v>
      </c>
      <c r="G6011">
        <v>0.51215234137723697</v>
      </c>
      <c r="H6011">
        <v>0.42367164385275402</v>
      </c>
      <c r="I6011">
        <v>0.38958982507539802</v>
      </c>
      <c r="J6011">
        <v>0.32601343860603799</v>
      </c>
      <c r="K6011">
        <v>0.29351909946563098</v>
      </c>
      <c r="L6011">
        <v>985.44027412098706</v>
      </c>
      <c r="M6011">
        <v>17.997430878985799</v>
      </c>
      <c r="N6011">
        <v>57.832368518077601</v>
      </c>
      <c r="O6011">
        <v>54.091918622860497</v>
      </c>
      <c r="P6011">
        <v>-5.7551793561920701E-2</v>
      </c>
      <c r="Q6011">
        <v>0.308138318103999</v>
      </c>
      <c r="R6011">
        <v>0.98829659822194404</v>
      </c>
      <c r="S6011" t="s">
        <v>12627</v>
      </c>
      <c r="T6011" t="s">
        <v>13232</v>
      </c>
      <c r="U6011" t="s">
        <v>13232</v>
      </c>
      <c r="V6011" t="s">
        <v>13232</v>
      </c>
      <c r="W6011" t="s">
        <v>19170</v>
      </c>
      <c r="X6011">
        <v>38</v>
      </c>
      <c r="Y6011" t="s">
        <v>25552</v>
      </c>
      <c r="Z6011" t="s">
        <v>32142</v>
      </c>
      <c r="AA6011">
        <v>0.65921453511063688</v>
      </c>
      <c r="AB6011" t="str">
        <f>HYPERLINK("Melting_Curves/meltCurve_Q9NYV4_CDK12.pdf", "Melting_Curves/meltCurve_Q9NYV4_CDK12.pdf")</f>
        <v>Melting_Curves/meltCurve_Q9NYV4_CDK12.pdf</v>
      </c>
    </row>
    <row r="6012" spans="1:28" x14ac:dyDescent="0.25">
      <c r="A6012" t="s">
        <v>6015</v>
      </c>
      <c r="B6012">
        <v>0.99930955844802105</v>
      </c>
      <c r="C6012">
        <v>1.0717452661695801</v>
      </c>
      <c r="D6012">
        <v>0.98814382545752399</v>
      </c>
      <c r="E6012">
        <v>0.87375553168266595</v>
      </c>
      <c r="F6012">
        <v>0.64962955861321503</v>
      </c>
      <c r="G6012">
        <v>0.46534524309724001</v>
      </c>
      <c r="H6012">
        <v>0.45265923439471001</v>
      </c>
      <c r="I6012">
        <v>0.48876581128103203</v>
      </c>
      <c r="J6012">
        <v>0.59397197089869802</v>
      </c>
      <c r="K6012">
        <v>0.41491312318597801</v>
      </c>
      <c r="L6012">
        <v>1840.31217623979</v>
      </c>
      <c r="M6012">
        <v>35.5738106058444</v>
      </c>
      <c r="N6012">
        <v>56.926975427401203</v>
      </c>
      <c r="O6012">
        <v>51.569559396700797</v>
      </c>
      <c r="P6012">
        <v>-8.9584118243038399E-2</v>
      </c>
      <c r="Q6012">
        <v>0.48053939923175099</v>
      </c>
      <c r="R6012">
        <v>0.95851748967811101</v>
      </c>
      <c r="S6012" t="s">
        <v>12628</v>
      </c>
      <c r="T6012" t="s">
        <v>13232</v>
      </c>
      <c r="U6012" t="s">
        <v>13232</v>
      </c>
      <c r="V6012" t="s">
        <v>13232</v>
      </c>
      <c r="W6012" t="s">
        <v>19171</v>
      </c>
      <c r="X6012">
        <v>38</v>
      </c>
      <c r="Y6012" t="s">
        <v>25552</v>
      </c>
      <c r="Z6012" t="s">
        <v>32143</v>
      </c>
      <c r="AA6012">
        <v>0.68603746004666066</v>
      </c>
      <c r="AB6012" t="str">
        <f>HYPERLINK("Melting_Curves/meltCurve_Q9NYV4_2_CDK12.pdf", "Melting_Curves/meltCurve_Q9NYV4_2_CDK12.pdf")</f>
        <v>Melting_Curves/meltCurve_Q9NYV4_2_CDK12.pdf</v>
      </c>
    </row>
    <row r="6013" spans="1:28" x14ac:dyDescent="0.25">
      <c r="A6013" t="s">
        <v>6016</v>
      </c>
      <c r="B6013">
        <v>0.99930955844802105</v>
      </c>
      <c r="C6013">
        <v>0.883538911894033</v>
      </c>
      <c r="D6013">
        <v>0.83404325078139596</v>
      </c>
      <c r="E6013">
        <v>0.75057770168452298</v>
      </c>
      <c r="F6013">
        <v>0.66702692497499105</v>
      </c>
      <c r="G6013">
        <v>0.42594449739842399</v>
      </c>
      <c r="H6013">
        <v>0.30728755173571998</v>
      </c>
      <c r="I6013">
        <v>0.30415834050597101</v>
      </c>
      <c r="J6013">
        <v>0.27318154395050698</v>
      </c>
      <c r="K6013">
        <v>0.214312775950358</v>
      </c>
      <c r="L6013">
        <v>508.53698242441601</v>
      </c>
      <c r="M6013">
        <v>9.3667032088044095</v>
      </c>
      <c r="N6013">
        <v>55.933605044032802</v>
      </c>
      <c r="O6013">
        <v>51.989751108909502</v>
      </c>
      <c r="P6013">
        <v>-3.9652865090345303E-2</v>
      </c>
      <c r="Q6013">
        <v>0.120178512589232</v>
      </c>
      <c r="R6013">
        <v>0.98433426989337003</v>
      </c>
      <c r="S6013" t="s">
        <v>12629</v>
      </c>
      <c r="T6013" t="s">
        <v>13232</v>
      </c>
      <c r="U6013" t="s">
        <v>13232</v>
      </c>
      <c r="V6013" t="s">
        <v>13232</v>
      </c>
      <c r="W6013" t="s">
        <v>19172</v>
      </c>
      <c r="X6013">
        <v>1</v>
      </c>
      <c r="Y6013" t="s">
        <v>25553</v>
      </c>
      <c r="Z6013" t="s">
        <v>32144</v>
      </c>
      <c r="AA6013">
        <v>0.56577396464893071</v>
      </c>
      <c r="AB6013" t="str">
        <f>HYPERLINK("Melting_Curves/meltCurve_Q9NYW8_RBAK.pdf", "Melting_Curves/meltCurve_Q9NYW8_RBAK.pdf")</f>
        <v>Melting_Curves/meltCurve_Q9NYW8_RBAK.pdf</v>
      </c>
    </row>
    <row r="6014" spans="1:28" x14ac:dyDescent="0.25">
      <c r="A6014" t="s">
        <v>6017</v>
      </c>
      <c r="B6014">
        <v>0.99930955844802105</v>
      </c>
      <c r="C6014">
        <v>0.95152049178591103</v>
      </c>
      <c r="D6014">
        <v>0.79802261198955005</v>
      </c>
      <c r="E6014">
        <v>0.44955415843344898</v>
      </c>
      <c r="F6014">
        <v>0.259983247289446</v>
      </c>
      <c r="G6014">
        <v>0.187885219203177</v>
      </c>
      <c r="H6014">
        <v>0.11665619721428799</v>
      </c>
      <c r="I6014">
        <v>9.54467965731957E-2</v>
      </c>
      <c r="J6014">
        <v>7.9900459257384995E-2</v>
      </c>
      <c r="K6014">
        <v>5.84244481003156E-2</v>
      </c>
      <c r="L6014">
        <v>904.98907123158494</v>
      </c>
      <c r="M6014">
        <v>18.442800687237401</v>
      </c>
      <c r="N6014">
        <v>49.552105068653297</v>
      </c>
      <c r="O6014">
        <v>48.5040451077979</v>
      </c>
      <c r="P6014">
        <v>-8.7255650236619894E-2</v>
      </c>
      <c r="Q6014">
        <v>8.2121577851119995E-2</v>
      </c>
      <c r="R6014">
        <v>0.99753751444389904</v>
      </c>
      <c r="S6014" t="s">
        <v>12630</v>
      </c>
      <c r="T6014" t="s">
        <v>13232</v>
      </c>
      <c r="U6014" t="s">
        <v>13232</v>
      </c>
      <c r="V6014" t="s">
        <v>13232</v>
      </c>
      <c r="W6014" t="s">
        <v>19173</v>
      </c>
      <c r="X6014">
        <v>7</v>
      </c>
      <c r="Y6014" t="s">
        <v>25554</v>
      </c>
      <c r="Z6014" t="s">
        <v>32145</v>
      </c>
      <c r="AA6014">
        <v>0.37475532912881432</v>
      </c>
      <c r="AB6014" t="str">
        <f>HYPERLINK("Melting_Curves/meltCurve_Q9NYY8_2_FASTKD2.pdf", "Melting_Curves/meltCurve_Q9NYY8_2_FASTKD2.pdf")</f>
        <v>Melting_Curves/meltCurve_Q9NYY8_2_FASTKD2.pdf</v>
      </c>
    </row>
    <row r="6015" spans="1:28" x14ac:dyDescent="0.25">
      <c r="A6015" t="s">
        <v>6018</v>
      </c>
      <c r="B6015">
        <v>0.99930955844802105</v>
      </c>
      <c r="C6015">
        <v>1.2110628215052299</v>
      </c>
      <c r="D6015">
        <v>1.1181700062795099</v>
      </c>
      <c r="E6015">
        <v>1.0526700125369199</v>
      </c>
      <c r="F6015">
        <v>1.0077974540371</v>
      </c>
      <c r="G6015">
        <v>0.97670941583059501</v>
      </c>
      <c r="H6015">
        <v>1.1357440973124799</v>
      </c>
      <c r="I6015">
        <v>1.2953313299385301</v>
      </c>
      <c r="J6015">
        <v>1.3594464462364799</v>
      </c>
      <c r="K6015">
        <v>1.0796995072079001</v>
      </c>
      <c r="L6015">
        <v>205.11724243901301</v>
      </c>
      <c r="M6015">
        <v>2.5623283218936299</v>
      </c>
      <c r="O6015">
        <v>54.677983584397303</v>
      </c>
      <c r="P6015">
        <v>6.13842015105055E-3</v>
      </c>
      <c r="Q6015">
        <v>1.5</v>
      </c>
      <c r="R6015">
        <v>0.16627598786744499</v>
      </c>
      <c r="S6015" t="s">
        <v>12631</v>
      </c>
      <c r="T6015" t="s">
        <v>13232</v>
      </c>
      <c r="U6015" t="s">
        <v>13232</v>
      </c>
      <c r="V6015" t="s">
        <v>13232</v>
      </c>
      <c r="W6015" t="s">
        <v>19174</v>
      </c>
      <c r="X6015">
        <v>5</v>
      </c>
      <c r="Y6015" t="s">
        <v>25555</v>
      </c>
      <c r="Z6015" t="s">
        <v>32146</v>
      </c>
      <c r="AA6015">
        <v>1.118924075915974</v>
      </c>
      <c r="AB6015" t="str">
        <f>HYPERLINK("Melting_Curves/meltCurve_Q9NYZ3_GTSE1.pdf", "Melting_Curves/meltCurve_Q9NYZ3_GTSE1.pdf")</f>
        <v>Melting_Curves/meltCurve_Q9NYZ3_GTSE1.pdf</v>
      </c>
    </row>
    <row r="6016" spans="1:28" x14ac:dyDescent="0.25">
      <c r="A6016" t="s">
        <v>6019</v>
      </c>
      <c r="B6016">
        <v>0.99930955844802105</v>
      </c>
      <c r="C6016">
        <v>0.93773234283779305</v>
      </c>
      <c r="D6016">
        <v>0.91601460365188103</v>
      </c>
      <c r="E6016">
        <v>0.788008244778032</v>
      </c>
      <c r="F6016">
        <v>0.34995370098678502</v>
      </c>
      <c r="G6016">
        <v>0.199411261845754</v>
      </c>
      <c r="H6016">
        <v>0.121240619762801</v>
      </c>
      <c r="I6016">
        <v>9.7368446960204802E-2</v>
      </c>
      <c r="J6016">
        <v>8.0380397309929394E-2</v>
      </c>
      <c r="K6016">
        <v>6.7261278435139099E-2</v>
      </c>
      <c r="L6016">
        <v>1444.46606453903</v>
      </c>
      <c r="M6016">
        <v>27.949616171896299</v>
      </c>
      <c r="N6016">
        <v>52.061486136306897</v>
      </c>
      <c r="O6016">
        <v>51.418675918872999</v>
      </c>
      <c r="P6016">
        <v>-0.12334206368212999</v>
      </c>
      <c r="Q6016">
        <v>9.2362372369688597E-2</v>
      </c>
      <c r="R6016">
        <v>0.99067272711577903</v>
      </c>
      <c r="S6016" t="s">
        <v>12632</v>
      </c>
      <c r="T6016" t="s">
        <v>13232</v>
      </c>
      <c r="U6016" t="s">
        <v>13232</v>
      </c>
      <c r="V6016" t="s">
        <v>13232</v>
      </c>
      <c r="W6016" t="s">
        <v>19175</v>
      </c>
      <c r="X6016">
        <v>27</v>
      </c>
      <c r="Y6016" t="s">
        <v>25556</v>
      </c>
      <c r="Z6016" t="s">
        <v>32147</v>
      </c>
      <c r="AA6016">
        <v>0.45240765297356228</v>
      </c>
      <c r="AB6016" t="str">
        <f>HYPERLINK("Melting_Curves/meltCurve_Q9NZ08_ERAP1.pdf", "Melting_Curves/meltCurve_Q9NZ08_ERAP1.pdf")</f>
        <v>Melting_Curves/meltCurve_Q9NZ08_ERAP1.pdf</v>
      </c>
    </row>
    <row r="6017" spans="1:28" x14ac:dyDescent="0.25">
      <c r="A6017" t="s">
        <v>6020</v>
      </c>
      <c r="B6017">
        <v>0.99930955844802105</v>
      </c>
      <c r="C6017">
        <v>0.92642663991845797</v>
      </c>
      <c r="D6017">
        <v>0.94122455047201203</v>
      </c>
      <c r="E6017">
        <v>0.93935475777819299</v>
      </c>
      <c r="F6017">
        <v>0.85369954643952894</v>
      </c>
      <c r="G6017">
        <v>0.64512476982203204</v>
      </c>
      <c r="H6017">
        <v>0.52430700136622299</v>
      </c>
      <c r="I6017">
        <v>0.52345019685773697</v>
      </c>
      <c r="J6017">
        <v>0.51028024376450998</v>
      </c>
      <c r="K6017">
        <v>0.423874617452629</v>
      </c>
      <c r="L6017">
        <v>951.65362515479501</v>
      </c>
      <c r="M6017">
        <v>17.1305040998711</v>
      </c>
      <c r="N6017">
        <v>63.827189441745901</v>
      </c>
      <c r="O6017">
        <v>54.812693163931002</v>
      </c>
      <c r="P6017">
        <v>-4.3308733587960398E-2</v>
      </c>
      <c r="Q6017">
        <v>0.44573120327335602</v>
      </c>
      <c r="R6017">
        <v>0.97427659003524902</v>
      </c>
      <c r="S6017" t="s">
        <v>12633</v>
      </c>
      <c r="T6017" t="s">
        <v>13232</v>
      </c>
      <c r="U6017" t="s">
        <v>13232</v>
      </c>
      <c r="V6017" t="s">
        <v>13232</v>
      </c>
      <c r="W6017" t="s">
        <v>19176</v>
      </c>
      <c r="X6017">
        <v>10</v>
      </c>
      <c r="Y6017" t="s">
        <v>25557</v>
      </c>
      <c r="Z6017" t="s">
        <v>32148</v>
      </c>
      <c r="AA6017">
        <v>0.74197172022343905</v>
      </c>
      <c r="AB6017" t="str">
        <f>HYPERLINK("Melting_Curves/meltCurve_Q9NZ09_2_UBAP1.pdf", "Melting_Curves/meltCurve_Q9NZ09_2_UBAP1.pdf")</f>
        <v>Melting_Curves/meltCurve_Q9NZ09_2_UBAP1.pdf</v>
      </c>
    </row>
    <row r="6018" spans="1:28" x14ac:dyDescent="0.25">
      <c r="A6018" t="s">
        <v>6021</v>
      </c>
      <c r="B6018">
        <v>0.99930955844802105</v>
      </c>
      <c r="C6018">
        <v>0.72328738927824299</v>
      </c>
      <c r="D6018">
        <v>0.81517088398068804</v>
      </c>
      <c r="E6018">
        <v>1.0038591657373199</v>
      </c>
      <c r="F6018">
        <v>0.86071244173908301</v>
      </c>
      <c r="G6018">
        <v>0.74916122260971096</v>
      </c>
      <c r="H6018">
        <v>0.52642565620885096</v>
      </c>
      <c r="I6018">
        <v>0.35849583418916398</v>
      </c>
      <c r="J6018">
        <v>0.10773953298566299</v>
      </c>
      <c r="K6018">
        <v>6.1972743508834E-2</v>
      </c>
      <c r="L6018">
        <v>1006.19352803808</v>
      </c>
      <c r="M6018">
        <v>16.534798801397599</v>
      </c>
      <c r="N6018">
        <v>60.853085735624397</v>
      </c>
      <c r="O6018">
        <v>59.983861844402</v>
      </c>
      <c r="P6018">
        <v>-6.8918252631343602E-2</v>
      </c>
      <c r="Q6018">
        <v>0</v>
      </c>
      <c r="R6018">
        <v>0.88376061142404005</v>
      </c>
      <c r="S6018" t="s">
        <v>12634</v>
      </c>
      <c r="T6018" t="s">
        <v>13232</v>
      </c>
      <c r="U6018" t="s">
        <v>13232</v>
      </c>
      <c r="V6018" t="s">
        <v>13232</v>
      </c>
      <c r="W6018" t="s">
        <v>19177</v>
      </c>
      <c r="X6018">
        <v>13</v>
      </c>
      <c r="Y6018" t="s">
        <v>25558</v>
      </c>
      <c r="Z6018" t="s">
        <v>32149</v>
      </c>
      <c r="AA6018">
        <v>0.69991490626953357</v>
      </c>
      <c r="AB6018" t="str">
        <f>HYPERLINK("Melting_Curves/meltCurve_Q9NZ32_ACTR10.pdf", "Melting_Curves/meltCurve_Q9NZ32_ACTR10.pdf")</f>
        <v>Melting_Curves/meltCurve_Q9NZ32_ACTR10.pdf</v>
      </c>
    </row>
    <row r="6019" spans="1:28" x14ac:dyDescent="0.25">
      <c r="A6019" t="s">
        <v>6022</v>
      </c>
      <c r="B6019">
        <v>0.99930955844802105</v>
      </c>
      <c r="C6019">
        <v>1.15547632613012</v>
      </c>
      <c r="D6019">
        <v>1.1369836228835</v>
      </c>
      <c r="E6019">
        <v>1.0412902485140101</v>
      </c>
      <c r="F6019">
        <v>0.93563515021878096</v>
      </c>
      <c r="G6019">
        <v>0.82270217605057505</v>
      </c>
      <c r="H6019">
        <v>0.85428212015883898</v>
      </c>
      <c r="I6019">
        <v>0.82174365026626595</v>
      </c>
      <c r="J6019">
        <v>0.70620989852490801</v>
      </c>
      <c r="K6019">
        <v>0.473569559697123</v>
      </c>
      <c r="L6019">
        <v>790.82797889201197</v>
      </c>
      <c r="M6019">
        <v>11.168102253940599</v>
      </c>
      <c r="O6019">
        <v>68.654753450960698</v>
      </c>
      <c r="P6019">
        <v>-4.0680565579905403E-2</v>
      </c>
      <c r="Q6019">
        <v>0</v>
      </c>
      <c r="R6019">
        <v>0.81715959415406703</v>
      </c>
      <c r="S6019" t="s">
        <v>12635</v>
      </c>
      <c r="T6019" t="s">
        <v>13232</v>
      </c>
      <c r="U6019" t="s">
        <v>13232</v>
      </c>
      <c r="V6019" t="s">
        <v>13232</v>
      </c>
      <c r="W6019" t="s">
        <v>19178</v>
      </c>
      <c r="X6019">
        <v>15</v>
      </c>
      <c r="Y6019" t="s">
        <v>25559</v>
      </c>
      <c r="Z6019" t="s">
        <v>32150</v>
      </c>
      <c r="AA6019">
        <v>0.890967809083269</v>
      </c>
      <c r="AB6019" t="str">
        <f>HYPERLINK("Melting_Curves/meltCurve_Q9NZ52_GGA3.pdf", "Melting_Curves/meltCurve_Q9NZ52_GGA3.pdf")</f>
        <v>Melting_Curves/meltCurve_Q9NZ52_GGA3.pdf</v>
      </c>
    </row>
    <row r="6020" spans="1:28" x14ac:dyDescent="0.25">
      <c r="A6020" t="s">
        <v>6023</v>
      </c>
      <c r="B6020">
        <v>0.99930955844802105</v>
      </c>
      <c r="C6020">
        <v>0.96219607606082702</v>
      </c>
      <c r="D6020">
        <v>0.95934851607634597</v>
      </c>
      <c r="E6020">
        <v>0.69651133256938302</v>
      </c>
      <c r="F6020">
        <v>0.63257124521423502</v>
      </c>
      <c r="G6020">
        <v>0.51182822680333895</v>
      </c>
      <c r="H6020">
        <v>0.48045324038488502</v>
      </c>
      <c r="I6020">
        <v>0.51378391485126895</v>
      </c>
      <c r="J6020">
        <v>0.51047562093666898</v>
      </c>
      <c r="K6020">
        <v>0.401676665804102</v>
      </c>
      <c r="L6020">
        <v>978.29084754299197</v>
      </c>
      <c r="M6020">
        <v>19.552236516657899</v>
      </c>
      <c r="N6020">
        <v>58.504487700530497</v>
      </c>
      <c r="O6020">
        <v>49.520170829208297</v>
      </c>
      <c r="P6020">
        <v>-5.2266890010502998E-2</v>
      </c>
      <c r="Q6020">
        <v>0.47051127107979601</v>
      </c>
      <c r="R6020">
        <v>0.97381931419227197</v>
      </c>
      <c r="S6020" t="s">
        <v>12636</v>
      </c>
      <c r="T6020" t="s">
        <v>13232</v>
      </c>
      <c r="U6020" t="s">
        <v>13232</v>
      </c>
      <c r="V6020" t="s">
        <v>13232</v>
      </c>
      <c r="W6020" t="s">
        <v>19179</v>
      </c>
      <c r="X6020">
        <v>2</v>
      </c>
      <c r="Y6020" t="s">
        <v>25560</v>
      </c>
      <c r="Z6020" t="s">
        <v>32151</v>
      </c>
      <c r="AA6020">
        <v>0.65532216569935098</v>
      </c>
      <c r="AB6020" t="str">
        <f>HYPERLINK("Melting_Curves/meltCurve_Q9NZ53_PODXL2.pdf", "Melting_Curves/meltCurve_Q9NZ53_PODXL2.pdf")</f>
        <v>Melting_Curves/meltCurve_Q9NZ53_PODXL2.pdf</v>
      </c>
    </row>
    <row r="6021" spans="1:28" x14ac:dyDescent="0.25">
      <c r="A6021" t="s">
        <v>6024</v>
      </c>
      <c r="B6021">
        <v>0.99930955844802105</v>
      </c>
      <c r="C6021">
        <v>1.10946435794036</v>
      </c>
      <c r="D6021">
        <v>1.1081550136804801</v>
      </c>
      <c r="E6021">
        <v>1.1050669770595301</v>
      </c>
      <c r="F6021">
        <v>1.01790739042034</v>
      </c>
      <c r="G6021">
        <v>0.93705146400481398</v>
      </c>
      <c r="H6021">
        <v>1.0081788517508601</v>
      </c>
      <c r="I6021">
        <v>1.1082670331571001</v>
      </c>
      <c r="J6021">
        <v>1.1712275569669699</v>
      </c>
      <c r="K6021">
        <v>0.93037231934165499</v>
      </c>
      <c r="L6021">
        <v>10262.0659001767</v>
      </c>
      <c r="M6021">
        <v>250</v>
      </c>
      <c r="O6021">
        <v>41.045624612496198</v>
      </c>
      <c r="P6021">
        <v>8.3864964013016699E-2</v>
      </c>
      <c r="Q6021">
        <v>1.0550766536398699</v>
      </c>
      <c r="R6021">
        <v>4.6286299578379798E-2</v>
      </c>
      <c r="S6021" t="s">
        <v>12637</v>
      </c>
      <c r="T6021" t="s">
        <v>13232</v>
      </c>
      <c r="U6021" t="s">
        <v>13232</v>
      </c>
      <c r="V6021" t="s">
        <v>13232</v>
      </c>
      <c r="W6021" t="s">
        <v>19180</v>
      </c>
      <c r="X6021">
        <v>24</v>
      </c>
      <c r="Y6021" t="s">
        <v>25561</v>
      </c>
      <c r="Z6021" t="s">
        <v>32152</v>
      </c>
      <c r="AA6021">
        <v>1.0531477856834479</v>
      </c>
      <c r="AB6021" t="str">
        <f>HYPERLINK("Melting_Curves/meltCurve_Q9NZ63_C9orf78.pdf", "Melting_Curves/meltCurve_Q9NZ63_C9orf78.pdf")</f>
        <v>Melting_Curves/meltCurve_Q9NZ63_C9orf78.pdf</v>
      </c>
    </row>
    <row r="6022" spans="1:28" x14ac:dyDescent="0.25">
      <c r="A6022" t="s">
        <v>6025</v>
      </c>
      <c r="B6022">
        <v>0.99930955844802105</v>
      </c>
      <c r="C6022">
        <v>1.0047608494668001</v>
      </c>
      <c r="D6022">
        <v>1.0262842900937299</v>
      </c>
      <c r="E6022">
        <v>0.93768067541021805</v>
      </c>
      <c r="F6022">
        <v>0.56911523761788496</v>
      </c>
      <c r="G6022">
        <v>0.21362541629833401</v>
      </c>
      <c r="H6022">
        <v>0.156104057197094</v>
      </c>
      <c r="I6022">
        <v>0.15793345733375799</v>
      </c>
      <c r="J6022">
        <v>0.13326625477770301</v>
      </c>
      <c r="K6022">
        <v>0.110078190366822</v>
      </c>
      <c r="L6022">
        <v>2021.8203577290401</v>
      </c>
      <c r="M6022">
        <v>38.109524944048097</v>
      </c>
      <c r="N6022">
        <v>53.515548470991298</v>
      </c>
      <c r="O6022">
        <v>52.907419471276597</v>
      </c>
      <c r="P6022">
        <v>-0.15480350266607901</v>
      </c>
      <c r="Q6022">
        <v>0.140347603591087</v>
      </c>
      <c r="R6022">
        <v>0.99826329364261601</v>
      </c>
      <c r="S6022" t="s">
        <v>12638</v>
      </c>
      <c r="T6022" t="s">
        <v>13232</v>
      </c>
      <c r="U6022" t="s">
        <v>13232</v>
      </c>
      <c r="V6022" t="s">
        <v>13232</v>
      </c>
      <c r="W6022" t="s">
        <v>19181</v>
      </c>
      <c r="X6022">
        <v>2</v>
      </c>
      <c r="Y6022" t="s">
        <v>25562</v>
      </c>
      <c r="Z6022" t="s">
        <v>32153</v>
      </c>
      <c r="AA6022">
        <v>0.51784904427491063</v>
      </c>
      <c r="AB6022" t="str">
        <f>HYPERLINK("Melting_Curves/meltCurve_Q9NZA1_3_CLIC5.pdf", "Melting_Curves/meltCurve_Q9NZA1_3_CLIC5.pdf")</f>
        <v>Melting_Curves/meltCurve_Q9NZA1_3_CLIC5.pdf</v>
      </c>
    </row>
    <row r="6023" spans="1:28" x14ac:dyDescent="0.25">
      <c r="A6023" t="s">
        <v>6026</v>
      </c>
      <c r="B6023">
        <v>0.99930955844802105</v>
      </c>
      <c r="C6023">
        <v>1.06276908583341</v>
      </c>
      <c r="D6023">
        <v>1.0493835833418801</v>
      </c>
      <c r="E6023">
        <v>1.07240914753019</v>
      </c>
      <c r="F6023">
        <v>0.98396395822403804</v>
      </c>
      <c r="G6023">
        <v>0.93114564520705201</v>
      </c>
      <c r="H6023">
        <v>1.04833381857769</v>
      </c>
      <c r="I6023">
        <v>1.2157832741283801</v>
      </c>
      <c r="J6023">
        <v>1.26306268665012</v>
      </c>
      <c r="K6023">
        <v>1.0031863361584801</v>
      </c>
      <c r="L6023">
        <v>15000</v>
      </c>
      <c r="M6023">
        <v>245.05838443998499</v>
      </c>
      <c r="O6023">
        <v>61.205822612700402</v>
      </c>
      <c r="P6023">
        <v>0.160831918549319</v>
      </c>
      <c r="Q6023">
        <v>1.1606776367085501</v>
      </c>
      <c r="R6023">
        <v>0.42239599324277699</v>
      </c>
      <c r="S6023" t="s">
        <v>12639</v>
      </c>
      <c r="T6023" t="s">
        <v>13232</v>
      </c>
      <c r="U6023" t="s">
        <v>13232</v>
      </c>
      <c r="V6023" t="s">
        <v>13232</v>
      </c>
      <c r="W6023" t="s">
        <v>19182</v>
      </c>
      <c r="X6023">
        <v>9</v>
      </c>
      <c r="Y6023" t="s">
        <v>25563</v>
      </c>
      <c r="Z6023" t="s">
        <v>32154</v>
      </c>
      <c r="AA6023">
        <v>1.047061102113132</v>
      </c>
      <c r="AB6023" t="str">
        <f>HYPERLINK("Melting_Curves/meltCurve_Q9NZB2_FAM120A.pdf", "Melting_Curves/meltCurve_Q9NZB2_FAM120A.pdf")</f>
        <v>Melting_Curves/meltCurve_Q9NZB2_FAM120A.pdf</v>
      </c>
    </row>
    <row r="6024" spans="1:28" x14ac:dyDescent="0.25">
      <c r="A6024" t="s">
        <v>6027</v>
      </c>
      <c r="B6024">
        <v>0.99930955844802105</v>
      </c>
      <c r="C6024">
        <v>0.88230725829632395</v>
      </c>
      <c r="D6024">
        <v>0.63596406788858795</v>
      </c>
      <c r="E6024">
        <v>0.53413642604383504</v>
      </c>
      <c r="F6024">
        <v>0.49624600975407301</v>
      </c>
      <c r="G6024">
        <v>0.42612595495257899</v>
      </c>
      <c r="H6024">
        <v>0.40760056200163097</v>
      </c>
      <c r="I6024">
        <v>0.43826759499794798</v>
      </c>
      <c r="J6024">
        <v>0.46638995135869199</v>
      </c>
      <c r="K6024">
        <v>0.345708156625048</v>
      </c>
      <c r="L6024">
        <v>898.87407611123399</v>
      </c>
      <c r="M6024">
        <v>19.763218396203101</v>
      </c>
      <c r="N6024">
        <v>50.215669329579697</v>
      </c>
      <c r="O6024">
        <v>45.0241832214844</v>
      </c>
      <c r="P6024">
        <v>-6.3386867047752996E-2</v>
      </c>
      <c r="Q6024">
        <v>0.42239276057638397</v>
      </c>
      <c r="R6024">
        <v>0.96575289542475196</v>
      </c>
      <c r="S6024" t="s">
        <v>12640</v>
      </c>
      <c r="T6024" t="s">
        <v>13232</v>
      </c>
      <c r="U6024" t="s">
        <v>13232</v>
      </c>
      <c r="V6024" t="s">
        <v>13232</v>
      </c>
      <c r="W6024" t="s">
        <v>19183</v>
      </c>
      <c r="X6024">
        <v>15</v>
      </c>
      <c r="Y6024" t="s">
        <v>25564</v>
      </c>
      <c r="Z6024" t="s">
        <v>32155</v>
      </c>
      <c r="AA6024">
        <v>0.53751417908583765</v>
      </c>
      <c r="AB6024" t="str">
        <f>HYPERLINK("Melting_Curves/meltCurve_Q9NZC9_SMARCAL1.pdf", "Melting_Curves/meltCurve_Q9NZC9_SMARCAL1.pdf")</f>
        <v>Melting_Curves/meltCurve_Q9NZC9_SMARCAL1.pdf</v>
      </c>
    </row>
    <row r="6025" spans="1:28" x14ac:dyDescent="0.25">
      <c r="A6025" t="s">
        <v>6028</v>
      </c>
      <c r="B6025">
        <v>0.99930955844802105</v>
      </c>
      <c r="C6025">
        <v>1.0773335857889701</v>
      </c>
      <c r="D6025">
        <v>1.0882997092390301</v>
      </c>
      <c r="E6025">
        <v>0.98832233227791699</v>
      </c>
      <c r="F6025">
        <v>0.47294253444381701</v>
      </c>
      <c r="G6025">
        <v>0.17261014464855001</v>
      </c>
      <c r="H6025">
        <v>0.10012997523749501</v>
      </c>
      <c r="I6025">
        <v>7.8109488936583704E-2</v>
      </c>
      <c r="J6025">
        <v>6.1156377284570101E-2</v>
      </c>
      <c r="K6025">
        <v>5.3236261150813403E-2</v>
      </c>
      <c r="L6025">
        <v>3001.8501907239402</v>
      </c>
      <c r="M6025">
        <v>56.918485066576103</v>
      </c>
      <c r="N6025">
        <v>52.922785443853599</v>
      </c>
      <c r="O6025">
        <v>52.674478844324803</v>
      </c>
      <c r="P6025">
        <v>-0.24597257807650799</v>
      </c>
      <c r="Q6025">
        <v>8.9471861287239399E-2</v>
      </c>
      <c r="R6025">
        <v>0.98906538882694595</v>
      </c>
      <c r="S6025" t="s">
        <v>12641</v>
      </c>
      <c r="T6025" t="s">
        <v>13232</v>
      </c>
      <c r="U6025" t="s">
        <v>13232</v>
      </c>
      <c r="V6025" t="s">
        <v>13232</v>
      </c>
      <c r="W6025" t="s">
        <v>19184</v>
      </c>
      <c r="X6025">
        <v>6</v>
      </c>
      <c r="Y6025" t="s">
        <v>25565</v>
      </c>
      <c r="Z6025" t="s">
        <v>32156</v>
      </c>
      <c r="AA6025">
        <v>0.47775886591570599</v>
      </c>
      <c r="AB6025" t="str">
        <f>HYPERLINK("Melting_Curves/meltCurve_Q9NZD2_GLTP.pdf", "Melting_Curves/meltCurve_Q9NZD2_GLTP.pdf")</f>
        <v>Melting_Curves/meltCurve_Q9NZD2_GLTP.pdf</v>
      </c>
    </row>
    <row r="6026" spans="1:28" x14ac:dyDescent="0.25">
      <c r="A6026" t="s">
        <v>6029</v>
      </c>
      <c r="B6026">
        <v>0.99930955844802105</v>
      </c>
      <c r="C6026">
        <v>0.99571453162280399</v>
      </c>
      <c r="D6026">
        <v>1.06490471936042</v>
      </c>
      <c r="E6026">
        <v>0.93944596244433198</v>
      </c>
      <c r="F6026">
        <v>0.66753244939131795</v>
      </c>
      <c r="G6026">
        <v>0.50477671441737204</v>
      </c>
      <c r="H6026">
        <v>0.48217610150272</v>
      </c>
      <c r="I6026">
        <v>0.35363714681181702</v>
      </c>
      <c r="J6026">
        <v>0.39197530975863898</v>
      </c>
      <c r="K6026">
        <v>0.30808949228507299</v>
      </c>
      <c r="L6026">
        <v>1269.1745396359499</v>
      </c>
      <c r="M6026">
        <v>23.727434367778901</v>
      </c>
      <c r="N6026">
        <v>56.702138759975398</v>
      </c>
      <c r="O6026">
        <v>53.1141504016895</v>
      </c>
      <c r="P6026">
        <v>-7.0401482463067794E-2</v>
      </c>
      <c r="Q6026">
        <v>0.36963213119226002</v>
      </c>
      <c r="R6026">
        <v>0.97261418249459697</v>
      </c>
      <c r="S6026" t="s">
        <v>12642</v>
      </c>
      <c r="T6026" t="s">
        <v>13232</v>
      </c>
      <c r="U6026" t="s">
        <v>13232</v>
      </c>
      <c r="V6026" t="s">
        <v>13232</v>
      </c>
      <c r="W6026" t="s">
        <v>19185</v>
      </c>
      <c r="X6026">
        <v>1</v>
      </c>
      <c r="Y6026" t="s">
        <v>25566</v>
      </c>
      <c r="Z6026" t="s">
        <v>32157</v>
      </c>
      <c r="AA6026">
        <v>0.65948876010134017</v>
      </c>
      <c r="AB6026" t="str">
        <f>HYPERLINK("Melting_Curves/meltCurve_Q9NZD4_AHSP.pdf", "Melting_Curves/meltCurve_Q9NZD4_AHSP.pdf")</f>
        <v>Melting_Curves/meltCurve_Q9NZD4_AHSP.pdf</v>
      </c>
    </row>
    <row r="6027" spans="1:28" x14ac:dyDescent="0.25">
      <c r="A6027" t="s">
        <v>6030</v>
      </c>
      <c r="B6027">
        <v>0.99930955844802105</v>
      </c>
      <c r="C6027">
        <v>0.94672904034463301</v>
      </c>
      <c r="D6027">
        <v>0.79915959869820397</v>
      </c>
      <c r="E6027">
        <v>0.57554808359702803</v>
      </c>
      <c r="F6027">
        <v>0.371998849932488</v>
      </c>
      <c r="G6027">
        <v>0.284268336839339</v>
      </c>
      <c r="H6027">
        <v>0.223147090054296</v>
      </c>
      <c r="I6027">
        <v>0.233316472275965</v>
      </c>
      <c r="J6027">
        <v>0.22262213635592301</v>
      </c>
      <c r="K6027">
        <v>0.179199335402037</v>
      </c>
      <c r="L6027">
        <v>820.66559423733099</v>
      </c>
      <c r="M6027">
        <v>16.6310178796899</v>
      </c>
      <c r="N6027">
        <v>50.892292584342499</v>
      </c>
      <c r="O6027">
        <v>48.648594963656898</v>
      </c>
      <c r="P6027">
        <v>-6.8514173251643495E-2</v>
      </c>
      <c r="Q6027">
        <v>0.19839093536156899</v>
      </c>
      <c r="R6027">
        <v>0.99719351563265601</v>
      </c>
      <c r="S6027" t="s">
        <v>12643</v>
      </c>
      <c r="T6027" t="s">
        <v>13232</v>
      </c>
      <c r="U6027" t="s">
        <v>13232</v>
      </c>
      <c r="V6027" t="s">
        <v>13232</v>
      </c>
      <c r="W6027" t="s">
        <v>19186</v>
      </c>
      <c r="X6027">
        <v>25</v>
      </c>
      <c r="Y6027" t="s">
        <v>25567</v>
      </c>
      <c r="Z6027" t="s">
        <v>32158</v>
      </c>
      <c r="AA6027">
        <v>0.46419451149047047</v>
      </c>
      <c r="AB6027" t="str">
        <f>HYPERLINK("Melting_Curves/meltCurve_Q9NZI8_IGF2BP1.pdf", "Melting_Curves/meltCurve_Q9NZI8_IGF2BP1.pdf")</f>
        <v>Melting_Curves/meltCurve_Q9NZI8_IGF2BP1.pdf</v>
      </c>
    </row>
    <row r="6028" spans="1:28" x14ac:dyDescent="0.25">
      <c r="A6028" t="s">
        <v>6031</v>
      </c>
      <c r="B6028">
        <v>0.99930955844802105</v>
      </c>
      <c r="C6028">
        <v>0.67418186583983797</v>
      </c>
      <c r="D6028">
        <v>0.55077543463673795</v>
      </c>
      <c r="E6028">
        <v>0.382911941036576</v>
      </c>
      <c r="F6028">
        <v>0.18432496339297</v>
      </c>
      <c r="G6028">
        <v>0.12673291959750799</v>
      </c>
      <c r="H6028">
        <v>6.8814490247411195E-2</v>
      </c>
      <c r="I6028">
        <v>8.3576786455434302E-2</v>
      </c>
      <c r="J6028">
        <v>5.79884823908101E-2</v>
      </c>
      <c r="K6028">
        <v>4.8245318273384803E-2</v>
      </c>
      <c r="L6028">
        <v>589.62391303045797</v>
      </c>
      <c r="M6028">
        <v>12.6489677341598</v>
      </c>
      <c r="N6028">
        <v>46.912783407599598</v>
      </c>
      <c r="O6028">
        <v>45.495345343498499</v>
      </c>
      <c r="P6028">
        <v>-6.6833470662468197E-2</v>
      </c>
      <c r="Q6028">
        <v>3.8652167490467598E-2</v>
      </c>
      <c r="R6028">
        <v>0.97625275316342397</v>
      </c>
      <c r="S6028" t="s">
        <v>12644</v>
      </c>
      <c r="T6028" t="s">
        <v>13232</v>
      </c>
      <c r="U6028" t="s">
        <v>13232</v>
      </c>
      <c r="V6028" t="s">
        <v>13232</v>
      </c>
      <c r="W6028" t="s">
        <v>19187</v>
      </c>
      <c r="X6028">
        <v>1</v>
      </c>
      <c r="Y6028" t="s">
        <v>25568</v>
      </c>
      <c r="Z6028" t="s">
        <v>32159</v>
      </c>
      <c r="AA6028">
        <v>0.28827123223847823</v>
      </c>
      <c r="AB6028" t="str">
        <f>HYPERLINK("Melting_Curves/meltCurve_Q9NZJ6_COQ3.pdf", "Melting_Curves/meltCurve_Q9NZJ6_COQ3.pdf")</f>
        <v>Melting_Curves/meltCurve_Q9NZJ6_COQ3.pdf</v>
      </c>
    </row>
    <row r="6029" spans="1:28" x14ac:dyDescent="0.25">
      <c r="A6029" t="s">
        <v>6032</v>
      </c>
      <c r="B6029">
        <v>0.99930955844802105</v>
      </c>
      <c r="C6029">
        <v>0.96044547901059796</v>
      </c>
      <c r="D6029">
        <v>0.92191858867360399</v>
      </c>
      <c r="E6029">
        <v>0.70747592432576001</v>
      </c>
      <c r="F6029">
        <v>0.25768186955060601</v>
      </c>
      <c r="G6029">
        <v>0.144768595925924</v>
      </c>
      <c r="H6029">
        <v>8.0188976441481694E-2</v>
      </c>
      <c r="I6029">
        <v>7.6785789002370194E-2</v>
      </c>
      <c r="J6029">
        <v>7.0956431140392504E-2</v>
      </c>
      <c r="K6029">
        <v>5.5001808612189701E-2</v>
      </c>
      <c r="L6029">
        <v>1648.1554566412799</v>
      </c>
      <c r="M6029">
        <v>32.309835205810003</v>
      </c>
      <c r="N6029">
        <v>51.268112812964702</v>
      </c>
      <c r="O6029">
        <v>50.816733191649199</v>
      </c>
      <c r="P6029">
        <v>-0.14706258814488499</v>
      </c>
      <c r="Q6029">
        <v>7.4807532680646993E-2</v>
      </c>
      <c r="R6029">
        <v>0.99516523812480795</v>
      </c>
      <c r="S6029" t="s">
        <v>12645</v>
      </c>
      <c r="T6029" t="s">
        <v>13232</v>
      </c>
      <c r="U6029" t="s">
        <v>13232</v>
      </c>
      <c r="V6029" t="s">
        <v>13232</v>
      </c>
      <c r="W6029" t="s">
        <v>19188</v>
      </c>
      <c r="X6029">
        <v>7</v>
      </c>
      <c r="Y6029" t="s">
        <v>25569</v>
      </c>
      <c r="Z6029" t="s">
        <v>32160</v>
      </c>
      <c r="AA6029">
        <v>0.41939616754792108</v>
      </c>
      <c r="AB6029" t="str">
        <f>HYPERLINK("Melting_Curves/meltCurve_Q9NZJ9_NUDT4.pdf", "Melting_Curves/meltCurve_Q9NZJ9_NUDT4.pdf")</f>
        <v>Melting_Curves/meltCurve_Q9NZJ9_NUDT4.pdf</v>
      </c>
    </row>
    <row r="6030" spans="1:28" x14ac:dyDescent="0.25">
      <c r="A6030" t="s">
        <v>6033</v>
      </c>
      <c r="B6030">
        <v>0.99930955844802105</v>
      </c>
      <c r="C6030">
        <v>0.84406866748936304</v>
      </c>
      <c r="D6030">
        <v>0.63267748770102905</v>
      </c>
      <c r="E6030">
        <v>0.33492588036217702</v>
      </c>
      <c r="F6030">
        <v>0.198424444504637</v>
      </c>
      <c r="G6030">
        <v>0.138351566016122</v>
      </c>
      <c r="H6030">
        <v>8.5237410220890597E-2</v>
      </c>
      <c r="I6030">
        <v>7.1835617092666504E-2</v>
      </c>
      <c r="J6030">
        <v>4.8197512253870999E-2</v>
      </c>
      <c r="K6030">
        <v>4.1595786336219499E-2</v>
      </c>
      <c r="L6030">
        <v>765.834965344681</v>
      </c>
      <c r="M6030">
        <v>16.160565242956899</v>
      </c>
      <c r="N6030">
        <v>47.724614167856799</v>
      </c>
      <c r="O6030">
        <v>46.681329413982198</v>
      </c>
      <c r="P6030">
        <v>-8.1906330402660807E-2</v>
      </c>
      <c r="Q6030">
        <v>5.3694964185197501E-2</v>
      </c>
      <c r="R6030">
        <v>0.997039842972681</v>
      </c>
      <c r="S6030" t="s">
        <v>12646</v>
      </c>
      <c r="T6030" t="s">
        <v>13232</v>
      </c>
      <c r="U6030" t="s">
        <v>13232</v>
      </c>
      <c r="V6030" t="s">
        <v>13232</v>
      </c>
      <c r="W6030" t="s">
        <v>19189</v>
      </c>
      <c r="X6030">
        <v>7</v>
      </c>
      <c r="Y6030" t="s">
        <v>25569</v>
      </c>
      <c r="Z6030" t="s">
        <v>32161</v>
      </c>
      <c r="AA6030">
        <v>0.30832692694214031</v>
      </c>
      <c r="AB6030" t="str">
        <f>HYPERLINK("Melting_Curves/meltCurve_Q9NZJ9_2_NUDT4.pdf", "Melting_Curves/meltCurve_Q9NZJ9_2_NUDT4.pdf")</f>
        <v>Melting_Curves/meltCurve_Q9NZJ9_2_NUDT4.pdf</v>
      </c>
    </row>
    <row r="6031" spans="1:28" x14ac:dyDescent="0.25">
      <c r="A6031" t="s">
        <v>6034</v>
      </c>
      <c r="B6031">
        <v>0.99930955844802105</v>
      </c>
      <c r="C6031">
        <v>1.03805480870127</v>
      </c>
      <c r="D6031">
        <v>1.0189921037719201</v>
      </c>
      <c r="E6031">
        <v>0.80661149244236297</v>
      </c>
      <c r="F6031">
        <v>0.42205521980782101</v>
      </c>
      <c r="G6031">
        <v>0.18605988814767699</v>
      </c>
      <c r="H6031">
        <v>9.4683381439073303E-2</v>
      </c>
      <c r="I6031">
        <v>7.5576492675997198E-2</v>
      </c>
      <c r="J6031">
        <v>6.2361155299021101E-2</v>
      </c>
      <c r="K6031">
        <v>5.1593647156232499E-2</v>
      </c>
      <c r="L6031">
        <v>1495.18117594453</v>
      </c>
      <c r="M6031">
        <v>28.616082986669099</v>
      </c>
      <c r="N6031">
        <v>52.532108656239302</v>
      </c>
      <c r="O6031">
        <v>51.9965131476295</v>
      </c>
      <c r="P6031">
        <v>-0.127777791595935</v>
      </c>
      <c r="Q6031">
        <v>7.1298831736127305E-2</v>
      </c>
      <c r="R6031">
        <v>0.99688133376321697</v>
      </c>
      <c r="S6031" t="s">
        <v>12647</v>
      </c>
      <c r="T6031" t="s">
        <v>13232</v>
      </c>
      <c r="U6031" t="s">
        <v>13232</v>
      </c>
      <c r="V6031" t="s">
        <v>13232</v>
      </c>
      <c r="W6031" t="s">
        <v>13515</v>
      </c>
      <c r="X6031">
        <v>17</v>
      </c>
      <c r="Y6031" t="s">
        <v>20054</v>
      </c>
      <c r="Z6031" t="s">
        <v>32162</v>
      </c>
      <c r="AA6031">
        <v>0.45704645004018479</v>
      </c>
      <c r="AB6031" t="str">
        <f>HYPERLINK("Melting_Curves/meltCurve_Q9NZL4_HSPBP1.pdf", "Melting_Curves/meltCurve_Q9NZL4_HSPBP1.pdf")</f>
        <v>Melting_Curves/meltCurve_Q9NZL4_HSPBP1.pdf</v>
      </c>
    </row>
    <row r="6032" spans="1:28" x14ac:dyDescent="0.25">
      <c r="A6032" t="s">
        <v>6035</v>
      </c>
      <c r="B6032">
        <v>0.99930955844802105</v>
      </c>
      <c r="C6032">
        <v>0.88279214322120003</v>
      </c>
      <c r="D6032">
        <v>0.89080632600308596</v>
      </c>
      <c r="E6032">
        <v>0.82744242666346302</v>
      </c>
      <c r="F6032">
        <v>0.74558914598404202</v>
      </c>
      <c r="G6032">
        <v>0.41036863530817402</v>
      </c>
      <c r="H6032">
        <v>0.126352356631316</v>
      </c>
      <c r="I6032">
        <v>0.117106831729606</v>
      </c>
      <c r="J6032">
        <v>9.6669688832156001E-2</v>
      </c>
      <c r="K6032">
        <v>8.0025865840779004E-2</v>
      </c>
      <c r="L6032">
        <v>923.66391313016402</v>
      </c>
      <c r="M6032">
        <v>16.690087859822398</v>
      </c>
      <c r="N6032">
        <v>55.527665140387697</v>
      </c>
      <c r="O6032">
        <v>54.565883243438101</v>
      </c>
      <c r="P6032">
        <v>-7.4397971313556299E-2</v>
      </c>
      <c r="Q6032">
        <v>2.7130029820857701E-2</v>
      </c>
      <c r="R6032">
        <v>0.97852011608239797</v>
      </c>
      <c r="S6032" t="s">
        <v>12648</v>
      </c>
      <c r="T6032" t="s">
        <v>13232</v>
      </c>
      <c r="U6032" t="s">
        <v>13232</v>
      </c>
      <c r="V6032" t="s">
        <v>13232</v>
      </c>
      <c r="W6032" t="s">
        <v>19190</v>
      </c>
      <c r="X6032">
        <v>21</v>
      </c>
      <c r="Y6032" t="s">
        <v>25570</v>
      </c>
      <c r="Z6032" t="s">
        <v>32163</v>
      </c>
      <c r="AA6032">
        <v>0.54094031803478493</v>
      </c>
      <c r="AB6032" t="str">
        <f>HYPERLINK("Melting_Curves/meltCurve_Q9NZL9_MAT2B.pdf", "Melting_Curves/meltCurve_Q9NZL9_MAT2B.pdf")</f>
        <v>Melting_Curves/meltCurve_Q9NZL9_MAT2B.pdf</v>
      </c>
    </row>
    <row r="6033" spans="1:28" x14ac:dyDescent="0.25">
      <c r="A6033" t="s">
        <v>6036</v>
      </c>
      <c r="B6033">
        <v>0.99930955844802105</v>
      </c>
      <c r="C6033">
        <v>0.92476689928338895</v>
      </c>
      <c r="D6033">
        <v>0.745637454865819</v>
      </c>
      <c r="E6033">
        <v>0.58491100730831602</v>
      </c>
      <c r="F6033">
        <v>0.38121902041875599</v>
      </c>
      <c r="G6033">
        <v>0.32032098457748798</v>
      </c>
      <c r="H6033">
        <v>0.16350070813550599</v>
      </c>
      <c r="I6033">
        <v>0.161112659408016</v>
      </c>
      <c r="J6033">
        <v>0.12950164921562901</v>
      </c>
      <c r="K6033">
        <v>0.10173165657508899</v>
      </c>
      <c r="L6033">
        <v>602.44090234776797</v>
      </c>
      <c r="M6033">
        <v>11.9329295992731</v>
      </c>
      <c r="N6033">
        <v>51.261933275527802</v>
      </c>
      <c r="O6033">
        <v>49.1304071377049</v>
      </c>
      <c r="P6033">
        <v>-5.5714871411701297E-2</v>
      </c>
      <c r="Q6033">
        <v>8.26661294395446E-2</v>
      </c>
      <c r="R6033">
        <v>0.99222899172328105</v>
      </c>
      <c r="S6033" t="s">
        <v>12649</v>
      </c>
      <c r="T6033" t="s">
        <v>13232</v>
      </c>
      <c r="U6033" t="s">
        <v>13232</v>
      </c>
      <c r="V6033" t="s">
        <v>13232</v>
      </c>
      <c r="W6033" t="s">
        <v>19191</v>
      </c>
      <c r="X6033">
        <v>18</v>
      </c>
      <c r="Y6033" t="s">
        <v>25570</v>
      </c>
      <c r="Z6033" t="s">
        <v>32164</v>
      </c>
      <c r="AA6033">
        <v>0.43440923374743068</v>
      </c>
      <c r="AB6033" t="str">
        <f>HYPERLINK("Melting_Curves/meltCurve_Q9NZL9_2_MAT2B.pdf", "Melting_Curves/meltCurve_Q9NZL9_2_MAT2B.pdf")</f>
        <v>Melting_Curves/meltCurve_Q9NZL9_2_MAT2B.pdf</v>
      </c>
    </row>
    <row r="6034" spans="1:28" x14ac:dyDescent="0.25">
      <c r="A6034" t="s">
        <v>6037</v>
      </c>
      <c r="B6034">
        <v>0.99930955844802105</v>
      </c>
      <c r="C6034">
        <v>1.07199581844812</v>
      </c>
      <c r="D6034">
        <v>1.0278771319762701</v>
      </c>
      <c r="E6034">
        <v>0.83262507490700199</v>
      </c>
      <c r="F6034">
        <v>0.466072005068422</v>
      </c>
      <c r="G6034">
        <v>0.30941236883585499</v>
      </c>
      <c r="H6034">
        <v>0.208424765063592</v>
      </c>
      <c r="I6034">
        <v>0.19276201273297</v>
      </c>
      <c r="J6034">
        <v>0.15834187200195801</v>
      </c>
      <c r="K6034">
        <v>0.130954963924864</v>
      </c>
      <c r="L6034">
        <v>1458.0235937831701</v>
      </c>
      <c r="M6034">
        <v>27.919181336782501</v>
      </c>
      <c r="N6034">
        <v>53.049444906864203</v>
      </c>
      <c r="O6034">
        <v>51.957292695061902</v>
      </c>
      <c r="P6034">
        <v>-0.110647885676239</v>
      </c>
      <c r="Q6034">
        <v>0.17634917631630401</v>
      </c>
      <c r="R6034">
        <v>0.98868724013424902</v>
      </c>
      <c r="S6034" t="s">
        <v>12650</v>
      </c>
      <c r="T6034" t="s">
        <v>13232</v>
      </c>
      <c r="U6034" t="s">
        <v>13232</v>
      </c>
      <c r="V6034" t="s">
        <v>13232</v>
      </c>
      <c r="W6034" t="s">
        <v>19192</v>
      </c>
      <c r="X6034">
        <v>22</v>
      </c>
      <c r="Y6034" t="s">
        <v>25571</v>
      </c>
      <c r="Z6034" t="s">
        <v>32165</v>
      </c>
      <c r="AA6034">
        <v>0.51801557443841717</v>
      </c>
      <c r="AB6034" t="str">
        <f>HYPERLINK("Melting_Curves/meltCurve_Q9NZM3_2_ITSN2.pdf", "Melting_Curves/meltCurve_Q9NZM3_2_ITSN2.pdf")</f>
        <v>Melting_Curves/meltCurve_Q9NZM3_2_ITSN2.pdf</v>
      </c>
    </row>
    <row r="6035" spans="1:28" x14ac:dyDescent="0.25">
      <c r="A6035" t="s">
        <v>6038</v>
      </c>
      <c r="B6035">
        <v>0.99930955844802105</v>
      </c>
      <c r="C6035">
        <v>1.16895466564035</v>
      </c>
      <c r="D6035">
        <v>1.16231334398857</v>
      </c>
      <c r="E6035">
        <v>1.02426224026818</v>
      </c>
      <c r="F6035">
        <v>0.98911121499738597</v>
      </c>
      <c r="G6035">
        <v>0.83582430138152897</v>
      </c>
      <c r="H6035">
        <v>0.93719149093485898</v>
      </c>
      <c r="I6035">
        <v>0.98195210583332404</v>
      </c>
      <c r="J6035">
        <v>0.99361362011162602</v>
      </c>
      <c r="K6035">
        <v>0.81291775122666998</v>
      </c>
      <c r="L6035">
        <v>643.37523021212303</v>
      </c>
      <c r="M6035">
        <v>7.30767820413823</v>
      </c>
      <c r="Q6035">
        <v>0</v>
      </c>
      <c r="R6035">
        <v>0.25414692133934702</v>
      </c>
      <c r="S6035" t="s">
        <v>12651</v>
      </c>
      <c r="T6035" t="s">
        <v>13232</v>
      </c>
      <c r="U6035" t="s">
        <v>13232</v>
      </c>
      <c r="V6035" t="s">
        <v>13232</v>
      </c>
      <c r="W6035" t="s">
        <v>19193</v>
      </c>
      <c r="X6035">
        <v>8</v>
      </c>
      <c r="Y6035" t="s">
        <v>25572</v>
      </c>
      <c r="Z6035" t="s">
        <v>32166</v>
      </c>
      <c r="AA6035">
        <v>0.97026441612816228</v>
      </c>
      <c r="AB6035" t="str">
        <f>HYPERLINK("Melting_Curves/meltCurve_Q9NZM4_2_GLTSCR1.pdf", "Melting_Curves/meltCurve_Q9NZM4_2_GLTSCR1.pdf")</f>
        <v>Melting_Curves/meltCurve_Q9NZM4_2_GLTSCR1.pdf</v>
      </c>
    </row>
    <row r="6036" spans="1:28" x14ac:dyDescent="0.25">
      <c r="A6036" t="s">
        <v>6039</v>
      </c>
      <c r="B6036">
        <v>0.99930955844802105</v>
      </c>
      <c r="C6036">
        <v>1.0963877679011</v>
      </c>
      <c r="D6036">
        <v>1.11710081354834</v>
      </c>
      <c r="E6036">
        <v>0.99009123200159699</v>
      </c>
      <c r="F6036">
        <v>0.87945656613819001</v>
      </c>
      <c r="G6036">
        <v>0.75852060760762596</v>
      </c>
      <c r="H6036">
        <v>0.78541781584329395</v>
      </c>
      <c r="I6036">
        <v>0.86907383853710496</v>
      </c>
      <c r="J6036">
        <v>0.80991237461565102</v>
      </c>
      <c r="K6036">
        <v>0.68642314503623403</v>
      </c>
      <c r="L6036">
        <v>4364.93443746906</v>
      </c>
      <c r="M6036">
        <v>82.577585181972495</v>
      </c>
      <c r="O6036">
        <v>52.8276108054989</v>
      </c>
      <c r="P6036">
        <v>-8.5263623765750904E-2</v>
      </c>
      <c r="Q6036">
        <v>0.78181619239924605</v>
      </c>
      <c r="R6036">
        <v>0.78558549992752802</v>
      </c>
      <c r="S6036" t="s">
        <v>12652</v>
      </c>
      <c r="T6036" t="s">
        <v>13232</v>
      </c>
      <c r="U6036" t="s">
        <v>13232</v>
      </c>
      <c r="V6036" t="s">
        <v>13232</v>
      </c>
      <c r="W6036" t="s">
        <v>19194</v>
      </c>
      <c r="X6036">
        <v>6</v>
      </c>
      <c r="Y6036" t="s">
        <v>25573</v>
      </c>
      <c r="Z6036" t="s">
        <v>32167</v>
      </c>
      <c r="AA6036">
        <v>0.87551988491989385</v>
      </c>
      <c r="AB6036" t="str">
        <f>HYPERLINK("Melting_Curves/meltCurve_Q9NZM5_GLTSCR2.pdf", "Melting_Curves/meltCurve_Q9NZM5_GLTSCR2.pdf")</f>
        <v>Melting_Curves/meltCurve_Q9NZM5_GLTSCR2.pdf</v>
      </c>
    </row>
    <row r="6037" spans="1:28" x14ac:dyDescent="0.25">
      <c r="A6037" t="s">
        <v>6040</v>
      </c>
      <c r="B6037">
        <v>0.99930955844802105</v>
      </c>
      <c r="C6037">
        <v>0.67784227883526305</v>
      </c>
      <c r="D6037">
        <v>0.43474100760330497</v>
      </c>
      <c r="E6037">
        <v>0.321637421440363</v>
      </c>
      <c r="F6037">
        <v>0.23236328735807699</v>
      </c>
      <c r="G6037">
        <v>0.164018906775977</v>
      </c>
      <c r="H6037">
        <v>0.13950162772432401</v>
      </c>
      <c r="I6037">
        <v>0.131348054975582</v>
      </c>
      <c r="J6037">
        <v>0.121753760768777</v>
      </c>
      <c r="K6037">
        <v>8.8326547349206599E-2</v>
      </c>
      <c r="L6037">
        <v>735.21756789935705</v>
      </c>
      <c r="M6037">
        <v>16.3761210784177</v>
      </c>
      <c r="N6037">
        <v>45.730452925307702</v>
      </c>
      <c r="O6037">
        <v>44.242258619984298</v>
      </c>
      <c r="P6037">
        <v>-8.0587712544494206E-2</v>
      </c>
      <c r="Q6037">
        <v>0.129188999901447</v>
      </c>
      <c r="R6037">
        <v>0.97341658011460797</v>
      </c>
      <c r="S6037" t="s">
        <v>12653</v>
      </c>
      <c r="T6037" t="s">
        <v>13232</v>
      </c>
      <c r="U6037" t="s">
        <v>13232</v>
      </c>
      <c r="V6037" t="s">
        <v>13232</v>
      </c>
      <c r="W6037" t="s">
        <v>19195</v>
      </c>
      <c r="X6037">
        <v>9</v>
      </c>
      <c r="Y6037" t="s">
        <v>25574</v>
      </c>
      <c r="Z6037" t="s">
        <v>32168</v>
      </c>
      <c r="AA6037">
        <v>0.29474649403481867</v>
      </c>
      <c r="AB6037" t="str">
        <f>HYPERLINK("Melting_Curves/meltCurve_Q9NZN4_EHD2.pdf", "Melting_Curves/meltCurve_Q9NZN4_EHD2.pdf")</f>
        <v>Melting_Curves/meltCurve_Q9NZN4_EHD2.pdf</v>
      </c>
    </row>
    <row r="6038" spans="1:28" x14ac:dyDescent="0.25">
      <c r="A6038" t="s">
        <v>6041</v>
      </c>
      <c r="B6038">
        <v>0.99930955844802105</v>
      </c>
      <c r="C6038">
        <v>1.0784549143817499</v>
      </c>
      <c r="D6038">
        <v>0.99260505992805004</v>
      </c>
      <c r="E6038">
        <v>0.72034769109265695</v>
      </c>
      <c r="F6038">
        <v>0.43689763040115098</v>
      </c>
      <c r="G6038">
        <v>0.31351645735553602</v>
      </c>
      <c r="H6038">
        <v>0.23861884622129501</v>
      </c>
      <c r="I6038">
        <v>0.22790795123789501</v>
      </c>
      <c r="J6038">
        <v>0.21080272859937599</v>
      </c>
      <c r="K6038">
        <v>0.17812426074565699</v>
      </c>
      <c r="L6038">
        <v>1332.2249276018499</v>
      </c>
      <c r="M6038">
        <v>25.999227054426299</v>
      </c>
      <c r="N6038">
        <v>52.3864530518847</v>
      </c>
      <c r="O6038">
        <v>50.940681868388701</v>
      </c>
      <c r="P6038">
        <v>-9.9931891474117407E-2</v>
      </c>
      <c r="Q6038">
        <v>0.21681670364014</v>
      </c>
      <c r="R6038">
        <v>0.99033738906699798</v>
      </c>
      <c r="S6038" t="s">
        <v>12654</v>
      </c>
      <c r="T6038" t="s">
        <v>13232</v>
      </c>
      <c r="U6038" t="s">
        <v>13232</v>
      </c>
      <c r="V6038" t="s">
        <v>13232</v>
      </c>
      <c r="W6038" t="s">
        <v>19196</v>
      </c>
      <c r="X6038">
        <v>37</v>
      </c>
      <c r="Y6038" t="s">
        <v>25575</v>
      </c>
      <c r="Z6038" t="s">
        <v>32169</v>
      </c>
      <c r="AA6038">
        <v>0.51684240333809128</v>
      </c>
      <c r="AB6038" t="str">
        <f>HYPERLINK("Melting_Curves/meltCurve_Q9NZN5_2_ARHGEF12.pdf", "Melting_Curves/meltCurve_Q9NZN5_2_ARHGEF12.pdf")</f>
        <v>Melting_Curves/meltCurve_Q9NZN5_2_ARHGEF12.pdf</v>
      </c>
    </row>
    <row r="6039" spans="1:28" x14ac:dyDescent="0.25">
      <c r="A6039" t="s">
        <v>6042</v>
      </c>
      <c r="B6039">
        <v>0.99930955844802105</v>
      </c>
      <c r="C6039">
        <v>1.0273523129847999</v>
      </c>
      <c r="D6039">
        <v>0.89049962385954695</v>
      </c>
      <c r="E6039">
        <v>0.53599880611874096</v>
      </c>
      <c r="F6039">
        <v>0.310919070616055</v>
      </c>
      <c r="G6039">
        <v>0.22438083621542301</v>
      </c>
      <c r="H6039">
        <v>0.18867913931154401</v>
      </c>
      <c r="I6039">
        <v>0.18532882301871501</v>
      </c>
      <c r="J6039">
        <v>0.15287093293287299</v>
      </c>
      <c r="K6039">
        <v>0.123369566004442</v>
      </c>
      <c r="L6039">
        <v>1200.3279287576299</v>
      </c>
      <c r="M6039">
        <v>24.188404046062299</v>
      </c>
      <c r="N6039">
        <v>50.452464503907798</v>
      </c>
      <c r="O6039">
        <v>49.288657965446902</v>
      </c>
      <c r="P6039">
        <v>-0.10258303971144</v>
      </c>
      <c r="Q6039">
        <v>0.16387988387934899</v>
      </c>
      <c r="R6039">
        <v>0.99576778587905801</v>
      </c>
      <c r="S6039" t="s">
        <v>12655</v>
      </c>
      <c r="T6039" t="s">
        <v>13232</v>
      </c>
      <c r="U6039" t="s">
        <v>13232</v>
      </c>
      <c r="V6039" t="s">
        <v>13232</v>
      </c>
      <c r="W6039" t="s">
        <v>19197</v>
      </c>
      <c r="X6039">
        <v>10</v>
      </c>
      <c r="Y6039" t="s">
        <v>25576</v>
      </c>
      <c r="Z6039" t="s">
        <v>32170</v>
      </c>
      <c r="AA6039">
        <v>0.44007115501752653</v>
      </c>
      <c r="AB6039" t="str">
        <f>HYPERLINK("Melting_Curves/meltCurve_Q9NZQ3_3_NCKIPSD.pdf", "Melting_Curves/meltCurve_Q9NZQ3_3_NCKIPSD.pdf")</f>
        <v>Melting_Curves/meltCurve_Q9NZQ3_3_NCKIPSD.pdf</v>
      </c>
    </row>
    <row r="6040" spans="1:28" x14ac:dyDescent="0.25">
      <c r="A6040" t="s">
        <v>6043</v>
      </c>
      <c r="B6040">
        <v>0.99930955844802105</v>
      </c>
      <c r="C6040">
        <v>1.22061671418184</v>
      </c>
      <c r="D6040">
        <v>1.1339187009601299</v>
      </c>
      <c r="E6040">
        <v>0.62115240843733099</v>
      </c>
      <c r="F6040">
        <v>0.22597084877468701</v>
      </c>
      <c r="G6040">
        <v>0.14084974082381499</v>
      </c>
      <c r="H6040">
        <v>7.1238377412686404E-2</v>
      </c>
      <c r="I6040">
        <v>6.9426066026214595E-2</v>
      </c>
      <c r="J6040">
        <v>5.69569380655265E-2</v>
      </c>
      <c r="K6040">
        <v>5.6169100319177899E-2</v>
      </c>
      <c r="L6040">
        <v>2097.1825742129699</v>
      </c>
      <c r="M6040">
        <v>41.473487651303103</v>
      </c>
      <c r="N6040">
        <v>50.780749041192102</v>
      </c>
      <c r="O6040">
        <v>50.449688072367501</v>
      </c>
      <c r="P6040">
        <v>-0.18904740245363399</v>
      </c>
      <c r="Q6040">
        <v>8.01482827953299E-2</v>
      </c>
      <c r="R6040">
        <v>0.96421721945377603</v>
      </c>
      <c r="S6040" t="s">
        <v>12656</v>
      </c>
      <c r="T6040" t="s">
        <v>13232</v>
      </c>
      <c r="U6040" t="s">
        <v>13232</v>
      </c>
      <c r="V6040" t="s">
        <v>13232</v>
      </c>
      <c r="W6040" t="s">
        <v>19198</v>
      </c>
      <c r="X6040">
        <v>3</v>
      </c>
      <c r="Y6040" t="s">
        <v>25577</v>
      </c>
      <c r="Z6040" t="s">
        <v>32171</v>
      </c>
      <c r="AA6040">
        <v>0.40713474601380351</v>
      </c>
      <c r="AB6040" t="str">
        <f>HYPERLINK("Melting_Curves/meltCurve_Q9NZR2_LRP1B.pdf", "Melting_Curves/meltCurve_Q9NZR2_LRP1B.pdf")</f>
        <v>Melting_Curves/meltCurve_Q9NZR2_LRP1B.pdf</v>
      </c>
    </row>
    <row r="6041" spans="1:28" x14ac:dyDescent="0.25">
      <c r="A6041" t="s">
        <v>6044</v>
      </c>
      <c r="B6041">
        <v>0.99930955844802105</v>
      </c>
      <c r="C6041">
        <v>1.02172429433477</v>
      </c>
      <c r="D6041">
        <v>0.96512578548068195</v>
      </c>
      <c r="E6041">
        <v>0.92032681461075805</v>
      </c>
      <c r="F6041">
        <v>0.73590180054621002</v>
      </c>
      <c r="G6041">
        <v>0.71723798673566697</v>
      </c>
      <c r="H6041">
        <v>0.76092997559836095</v>
      </c>
      <c r="I6041">
        <v>0.85184504500865399</v>
      </c>
      <c r="J6041">
        <v>0.89551759327622804</v>
      </c>
      <c r="K6041">
        <v>0.69448957163928904</v>
      </c>
      <c r="L6041">
        <v>12529.711672204599</v>
      </c>
      <c r="M6041">
        <v>250</v>
      </c>
      <c r="O6041">
        <v>50.115639133587599</v>
      </c>
      <c r="P6041">
        <v>-0.27937016465831499</v>
      </c>
      <c r="Q6041">
        <v>0.77598696929697597</v>
      </c>
      <c r="R6041">
        <v>0.74962688889387596</v>
      </c>
      <c r="S6041" t="s">
        <v>12657</v>
      </c>
      <c r="T6041" t="s">
        <v>13232</v>
      </c>
      <c r="U6041" t="s">
        <v>13232</v>
      </c>
      <c r="V6041" t="s">
        <v>13232</v>
      </c>
      <c r="W6041" t="s">
        <v>19199</v>
      </c>
      <c r="X6041">
        <v>17</v>
      </c>
      <c r="Y6041" t="s">
        <v>25578</v>
      </c>
      <c r="Z6041" t="s">
        <v>32172</v>
      </c>
      <c r="AA6041">
        <v>0.85156512345546231</v>
      </c>
      <c r="AB6041" t="str">
        <f>HYPERLINK("Melting_Curves/meltCurve_Q9NZT2_2_OGFR.pdf", "Melting_Curves/meltCurve_Q9NZT2_2_OGFR.pdf")</f>
        <v>Melting_Curves/meltCurve_Q9NZT2_2_OGFR.pdf</v>
      </c>
    </row>
    <row r="6042" spans="1:28" x14ac:dyDescent="0.25">
      <c r="A6042" t="s">
        <v>6045</v>
      </c>
      <c r="B6042">
        <v>0.99930955844802105</v>
      </c>
      <c r="C6042">
        <v>1.1571041569315901</v>
      </c>
      <c r="D6042">
        <v>1.1107066130277701</v>
      </c>
      <c r="E6042">
        <v>1.07772022587417</v>
      </c>
      <c r="F6042">
        <v>1.0395521366789799</v>
      </c>
      <c r="G6042">
        <v>0.687098898417697</v>
      </c>
      <c r="H6042">
        <v>0.48185760338232198</v>
      </c>
      <c r="I6042">
        <v>0.30512161993015202</v>
      </c>
      <c r="J6042">
        <v>0.26211912033762202</v>
      </c>
      <c r="K6042">
        <v>0.22086492046374501</v>
      </c>
      <c r="L6042">
        <v>1518.3064800857701</v>
      </c>
      <c r="M6042">
        <v>25.8861003202489</v>
      </c>
      <c r="N6042">
        <v>60.072149742624902</v>
      </c>
      <c r="O6042">
        <v>58.306663249344503</v>
      </c>
      <c r="P6042">
        <v>-8.5608418603777797E-2</v>
      </c>
      <c r="Q6042">
        <v>0.22870059521892799</v>
      </c>
      <c r="R6042">
        <v>0.95623417603877203</v>
      </c>
      <c r="S6042" t="s">
        <v>12658</v>
      </c>
      <c r="T6042" t="s">
        <v>13232</v>
      </c>
      <c r="U6042" t="s">
        <v>13232</v>
      </c>
      <c r="V6042" t="s">
        <v>13232</v>
      </c>
      <c r="W6042" t="s">
        <v>19200</v>
      </c>
      <c r="X6042">
        <v>1</v>
      </c>
      <c r="Y6042" t="s">
        <v>25579</v>
      </c>
      <c r="Z6042" t="s">
        <v>32173</v>
      </c>
      <c r="AA6042">
        <v>0.71446754707053828</v>
      </c>
      <c r="AB6042" t="str">
        <f>HYPERLINK("Melting_Curves/meltCurve_Q9NZV6_MSRB1.pdf", "Melting_Curves/meltCurve_Q9NZV6_MSRB1.pdf")</f>
        <v>Melting_Curves/meltCurve_Q9NZV6_MSRB1.pdf</v>
      </c>
    </row>
    <row r="6043" spans="1:28" x14ac:dyDescent="0.25">
      <c r="A6043" t="s">
        <v>6046</v>
      </c>
      <c r="B6043">
        <v>0.99930955844802105</v>
      </c>
      <c r="C6043">
        <v>0.87335887504792498</v>
      </c>
      <c r="D6043">
        <v>0.60931075896875297</v>
      </c>
      <c r="E6043">
        <v>0.47727568138326498</v>
      </c>
      <c r="F6043">
        <v>0.27077736770760902</v>
      </c>
      <c r="G6043">
        <v>0.17357958893820299</v>
      </c>
      <c r="H6043">
        <v>0.11209313904309801</v>
      </c>
      <c r="I6043">
        <v>0.108925769895476</v>
      </c>
      <c r="J6043">
        <v>9.5092486400158299E-2</v>
      </c>
      <c r="K6043">
        <v>7.74524746479026E-2</v>
      </c>
      <c r="L6043">
        <v>650.254269591411</v>
      </c>
      <c r="M6043">
        <v>13.491029196781501</v>
      </c>
      <c r="N6043">
        <v>48.748295136428297</v>
      </c>
      <c r="O6043">
        <v>47.176982930196402</v>
      </c>
      <c r="P6043">
        <v>-6.6460942377893295E-2</v>
      </c>
      <c r="Q6043">
        <v>7.0509282240065502E-2</v>
      </c>
      <c r="R6043">
        <v>0.98913779258259904</v>
      </c>
      <c r="S6043" t="s">
        <v>12659</v>
      </c>
      <c r="T6043" t="s">
        <v>13232</v>
      </c>
      <c r="U6043" t="s">
        <v>13232</v>
      </c>
      <c r="V6043" t="s">
        <v>13232</v>
      </c>
      <c r="W6043" t="s">
        <v>19201</v>
      </c>
      <c r="X6043">
        <v>17</v>
      </c>
      <c r="Y6043" t="s">
        <v>25580</v>
      </c>
      <c r="Z6043" t="s">
        <v>32174</v>
      </c>
      <c r="AA6043">
        <v>0.35358126264852469</v>
      </c>
      <c r="AB6043" t="str">
        <f>HYPERLINK("Melting_Curves/meltCurve_Q9NZW5_MPP6.pdf", "Melting_Curves/meltCurve_Q9NZW5_MPP6.pdf")</f>
        <v>Melting_Curves/meltCurve_Q9NZW5_MPP6.pdf</v>
      </c>
    </row>
    <row r="6044" spans="1:28" x14ac:dyDescent="0.25">
      <c r="A6044" t="s">
        <v>6047</v>
      </c>
      <c r="B6044">
        <v>0.99930955844802105</v>
      </c>
      <c r="C6044">
        <v>0.88591271235587798</v>
      </c>
      <c r="D6044">
        <v>0.90602869185124302</v>
      </c>
      <c r="E6044">
        <v>0.75807478360189495</v>
      </c>
      <c r="F6044">
        <v>0.62646366586746205</v>
      </c>
      <c r="G6044">
        <v>0.58862683864955001</v>
      </c>
      <c r="H6044">
        <v>0.48079174328292501</v>
      </c>
      <c r="I6044">
        <v>0.56044630548695895</v>
      </c>
      <c r="J6044">
        <v>0.47252175801809798</v>
      </c>
      <c r="K6044">
        <v>0.40024968253266502</v>
      </c>
      <c r="L6044">
        <v>524.65253647489203</v>
      </c>
      <c r="M6044">
        <v>10.1781203617673</v>
      </c>
      <c r="N6044">
        <v>62.161807696599404</v>
      </c>
      <c r="O6044">
        <v>49.676033665631699</v>
      </c>
      <c r="P6044">
        <v>-3.0129188107599202E-2</v>
      </c>
      <c r="Q6044">
        <v>0.41206494945963301</v>
      </c>
      <c r="R6044">
        <v>0.95895576281977102</v>
      </c>
      <c r="S6044" t="s">
        <v>12660</v>
      </c>
      <c r="T6044" t="s">
        <v>13232</v>
      </c>
      <c r="U6044" t="s">
        <v>13232</v>
      </c>
      <c r="V6044" t="s">
        <v>13232</v>
      </c>
      <c r="W6044" t="s">
        <v>19202</v>
      </c>
      <c r="X6044">
        <v>8</v>
      </c>
      <c r="Y6044" t="s">
        <v>25581</v>
      </c>
      <c r="Z6044" t="s">
        <v>32175</v>
      </c>
      <c r="AA6044">
        <v>0.66118156207937717</v>
      </c>
      <c r="AB6044" t="str">
        <f>HYPERLINK("Melting_Curves/meltCurve_Q9NZZ3_CHMP5.pdf", "Melting_Curves/meltCurve_Q9NZZ3_CHMP5.pdf")</f>
        <v>Melting_Curves/meltCurve_Q9NZZ3_CHMP5.pdf</v>
      </c>
    </row>
    <row r="6045" spans="1:28" x14ac:dyDescent="0.25">
      <c r="A6045" t="s">
        <v>6048</v>
      </c>
      <c r="B6045">
        <v>0.99930955844802105</v>
      </c>
      <c r="C6045">
        <v>0.88547670905125797</v>
      </c>
      <c r="D6045">
        <v>0.90263414710038303</v>
      </c>
      <c r="E6045">
        <v>0.99192340042249405</v>
      </c>
      <c r="F6045">
        <v>0.95753503666456496</v>
      </c>
      <c r="G6045">
        <v>0.51565934601521801</v>
      </c>
      <c r="H6045">
        <v>0.20988135262761501</v>
      </c>
      <c r="I6045">
        <v>0.13300695056262399</v>
      </c>
      <c r="J6045">
        <v>0.103207175307506</v>
      </c>
      <c r="K6045">
        <v>6.9871568674652301E-2</v>
      </c>
      <c r="L6045">
        <v>1873.88996035577</v>
      </c>
      <c r="M6045">
        <v>32.935276263118404</v>
      </c>
      <c r="N6045">
        <v>57.269236839524297</v>
      </c>
      <c r="O6045">
        <v>56.687612163188902</v>
      </c>
      <c r="P6045">
        <v>-0.13122497564218699</v>
      </c>
      <c r="Q6045">
        <v>9.6555719564518805E-2</v>
      </c>
      <c r="R6045">
        <v>0.98317876232282198</v>
      </c>
      <c r="S6045" t="s">
        <v>12661</v>
      </c>
      <c r="T6045" t="s">
        <v>13232</v>
      </c>
      <c r="U6045" t="s">
        <v>13232</v>
      </c>
      <c r="V6045" t="s">
        <v>13232</v>
      </c>
      <c r="W6045" t="s">
        <v>19203</v>
      </c>
      <c r="X6045">
        <v>8</v>
      </c>
      <c r="Y6045" t="s">
        <v>25582</v>
      </c>
      <c r="Z6045" t="s">
        <v>32176</v>
      </c>
      <c r="AA6045">
        <v>0.61046520571104756</v>
      </c>
      <c r="AB6045" t="str">
        <f>HYPERLINK("Melting_Curves/meltCurve_Q9P000_COMMD9.pdf", "Melting_Curves/meltCurve_Q9P000_COMMD9.pdf")</f>
        <v>Melting_Curves/meltCurve_Q9P000_COMMD9.pdf</v>
      </c>
    </row>
    <row r="6046" spans="1:28" x14ac:dyDescent="0.25">
      <c r="A6046" t="s">
        <v>6049</v>
      </c>
      <c r="B6046">
        <v>0.99930955844802105</v>
      </c>
      <c r="C6046">
        <v>1.1450890969996399</v>
      </c>
      <c r="D6046">
        <v>1.1873676599365</v>
      </c>
      <c r="E6046">
        <v>1.16766915631351</v>
      </c>
      <c r="F6046">
        <v>1.1180017881125199</v>
      </c>
      <c r="G6046">
        <v>1.0997078210457401</v>
      </c>
      <c r="H6046">
        <v>1.1779129929776899</v>
      </c>
      <c r="I6046">
        <v>1.33026738504797</v>
      </c>
      <c r="J6046">
        <v>1.35192504996885</v>
      </c>
      <c r="K6046">
        <v>1.0519195867522699</v>
      </c>
      <c r="L6046">
        <v>10670.2653921581</v>
      </c>
      <c r="M6046">
        <v>250</v>
      </c>
      <c r="O6046">
        <v>42.678331718650497</v>
      </c>
      <c r="P6046">
        <v>0.27179547182826502</v>
      </c>
      <c r="Q6046">
        <v>1.1855964303600099</v>
      </c>
      <c r="R6046">
        <v>0.28364843953688001</v>
      </c>
      <c r="S6046" t="s">
        <v>12662</v>
      </c>
      <c r="T6046" t="s">
        <v>13232</v>
      </c>
      <c r="U6046" t="s">
        <v>13232</v>
      </c>
      <c r="V6046" t="s">
        <v>13232</v>
      </c>
      <c r="W6046" t="s">
        <v>19204</v>
      </c>
      <c r="X6046">
        <v>11</v>
      </c>
      <c r="Y6046" t="s">
        <v>25583</v>
      </c>
      <c r="Z6046" t="s">
        <v>32177</v>
      </c>
      <c r="AA6046">
        <v>1.1689960130614481</v>
      </c>
      <c r="AB6046" t="str">
        <f>HYPERLINK("Melting_Curves/meltCurve_Q9P013_CWC15.pdf", "Melting_Curves/meltCurve_Q9P013_CWC15.pdf")</f>
        <v>Melting_Curves/meltCurve_Q9P013_CWC15.pdf</v>
      </c>
    </row>
    <row r="6047" spans="1:28" x14ac:dyDescent="0.25">
      <c r="A6047" t="s">
        <v>6050</v>
      </c>
      <c r="B6047">
        <v>0.99930955844802105</v>
      </c>
      <c r="C6047">
        <v>1.00897849927324</v>
      </c>
      <c r="D6047">
        <v>0.94503792084846305</v>
      </c>
      <c r="E6047">
        <v>0.44750677871279698</v>
      </c>
      <c r="F6047">
        <v>0.162380977341892</v>
      </c>
      <c r="G6047">
        <v>0.12168878797837999</v>
      </c>
      <c r="H6047">
        <v>7.5205176338018306E-2</v>
      </c>
      <c r="I6047">
        <v>7.8738468093167605E-2</v>
      </c>
      <c r="J6047">
        <v>8.5138069250383794E-2</v>
      </c>
      <c r="K6047">
        <v>6.1414911759141502E-2</v>
      </c>
      <c r="L6047">
        <v>1750.12290331192</v>
      </c>
      <c r="M6047">
        <v>35.400807959787301</v>
      </c>
      <c r="N6047">
        <v>49.690412128038702</v>
      </c>
      <c r="O6047">
        <v>49.280412090750097</v>
      </c>
      <c r="P6047">
        <v>-0.16477692839501501</v>
      </c>
      <c r="Q6047">
        <v>8.2478834007051097E-2</v>
      </c>
      <c r="R6047">
        <v>0.99891671577277596</v>
      </c>
      <c r="S6047" t="s">
        <v>12663</v>
      </c>
      <c r="T6047" t="s">
        <v>13232</v>
      </c>
      <c r="U6047" t="s">
        <v>13232</v>
      </c>
      <c r="V6047" t="s">
        <v>13232</v>
      </c>
      <c r="W6047" t="s">
        <v>19205</v>
      </c>
      <c r="X6047">
        <v>15</v>
      </c>
      <c r="Y6047" t="s">
        <v>25584</v>
      </c>
      <c r="Z6047" t="s">
        <v>32178</v>
      </c>
      <c r="AA6047">
        <v>0.37512934320398827</v>
      </c>
      <c r="AB6047" t="str">
        <f>HYPERLINK("Melting_Curves/meltCurve_Q9P016_THYN1.pdf", "Melting_Curves/meltCurve_Q9P016_THYN1.pdf")</f>
        <v>Melting_Curves/meltCurve_Q9P016_THYN1.pdf</v>
      </c>
    </row>
    <row r="6048" spans="1:28" x14ac:dyDescent="0.25">
      <c r="A6048" t="s">
        <v>6051</v>
      </c>
      <c r="B6048">
        <v>0.99930955844802105</v>
      </c>
      <c r="C6048">
        <v>1.0034357859807299</v>
      </c>
      <c r="D6048">
        <v>1.0235020791065499</v>
      </c>
      <c r="E6048">
        <v>1.02946481003815</v>
      </c>
      <c r="F6048">
        <v>0.94472090947044995</v>
      </c>
      <c r="G6048">
        <v>0.83375865348004297</v>
      </c>
      <c r="H6048">
        <v>0.68890062562493304</v>
      </c>
      <c r="I6048">
        <v>0.744204337722006</v>
      </c>
      <c r="J6048">
        <v>0.640223537060155</v>
      </c>
      <c r="K6048">
        <v>0.52561556640590301</v>
      </c>
      <c r="L6048">
        <v>776.61560884252401</v>
      </c>
      <c r="M6048">
        <v>12.6240438265745</v>
      </c>
      <c r="O6048">
        <v>60.036316128444099</v>
      </c>
      <c r="P6048">
        <v>-2.7719023171612501E-2</v>
      </c>
      <c r="Q6048">
        <v>0.47280963840437701</v>
      </c>
      <c r="R6048">
        <v>0.94653667983392498</v>
      </c>
      <c r="S6048" t="s">
        <v>12664</v>
      </c>
      <c r="T6048" t="s">
        <v>13232</v>
      </c>
      <c r="U6048" t="s">
        <v>13232</v>
      </c>
      <c r="V6048" t="s">
        <v>13232</v>
      </c>
      <c r="W6048" t="s">
        <v>19206</v>
      </c>
      <c r="X6048">
        <v>5</v>
      </c>
      <c r="Y6048" t="s">
        <v>25585</v>
      </c>
      <c r="Z6048" t="s">
        <v>32179</v>
      </c>
      <c r="AA6048">
        <v>0.84798096498106301</v>
      </c>
      <c r="AB6048" t="str">
        <f>HYPERLINK("Melting_Curves/meltCurve_Q9P031_CCDC59.pdf", "Melting_Curves/meltCurve_Q9P031_CCDC59.pdf")</f>
        <v>Melting_Curves/meltCurve_Q9P031_CCDC59.pdf</v>
      </c>
    </row>
    <row r="6049" spans="1:28" x14ac:dyDescent="0.25">
      <c r="A6049" t="s">
        <v>6052</v>
      </c>
      <c r="B6049">
        <v>0.99930955844802105</v>
      </c>
      <c r="C6049">
        <v>0.81550355983462497</v>
      </c>
      <c r="D6049">
        <v>0.74550679909092699</v>
      </c>
      <c r="E6049">
        <v>0.645004015279527</v>
      </c>
      <c r="F6049">
        <v>0.460357272234314</v>
      </c>
      <c r="G6049">
        <v>0.43671713617973001</v>
      </c>
      <c r="H6049">
        <v>0.217588873816254</v>
      </c>
      <c r="I6049">
        <v>0.21678105626776201</v>
      </c>
      <c r="J6049">
        <v>0.141032110575046</v>
      </c>
      <c r="K6049">
        <v>0.12509489094729601</v>
      </c>
      <c r="L6049">
        <v>420.16967394581502</v>
      </c>
      <c r="M6049">
        <v>7.9314361093159702</v>
      </c>
      <c r="N6049">
        <v>52.975232121357401</v>
      </c>
      <c r="O6049">
        <v>49.9251769637035</v>
      </c>
      <c r="P6049">
        <v>-3.9762988139246398E-2</v>
      </c>
      <c r="Q6049">
        <v>0</v>
      </c>
      <c r="R6049">
        <v>0.97901204213190796</v>
      </c>
      <c r="S6049" t="s">
        <v>12665</v>
      </c>
      <c r="T6049" t="s">
        <v>13232</v>
      </c>
      <c r="U6049" t="s">
        <v>13232</v>
      </c>
      <c r="V6049" t="s">
        <v>13232</v>
      </c>
      <c r="W6049" t="s">
        <v>19207</v>
      </c>
      <c r="X6049">
        <v>3</v>
      </c>
      <c r="Y6049" t="s">
        <v>25586</v>
      </c>
      <c r="Z6049" t="s">
        <v>32180</v>
      </c>
      <c r="AA6049">
        <v>0.47362591094173973</v>
      </c>
      <c r="AB6049" t="str">
        <f>HYPERLINK("Melting_Curves/meltCurve_Q9P032_NDUFAF4.pdf", "Melting_Curves/meltCurve_Q9P032_NDUFAF4.pdf")</f>
        <v>Melting_Curves/meltCurve_Q9P032_NDUFAF4.pdf</v>
      </c>
    </row>
    <row r="6050" spans="1:28" x14ac:dyDescent="0.25">
      <c r="A6050" t="s">
        <v>6053</v>
      </c>
      <c r="B6050">
        <v>0.99930955844802105</v>
      </c>
      <c r="C6050">
        <v>0.72933965589124905</v>
      </c>
      <c r="D6050">
        <v>0.51503177164994496</v>
      </c>
      <c r="E6050">
        <v>0.56897909027150395</v>
      </c>
      <c r="F6050">
        <v>0.24798237572773699</v>
      </c>
      <c r="G6050">
        <v>6.4117863935943098E-2</v>
      </c>
      <c r="H6050">
        <v>2.6692868557028598E-2</v>
      </c>
      <c r="I6050">
        <v>1.6397674371935799E-2</v>
      </c>
      <c r="J6050">
        <v>5.5580433536462802E-3</v>
      </c>
      <c r="K6050">
        <v>5.8952910992614597E-3</v>
      </c>
      <c r="L6050">
        <v>563.21369358998197</v>
      </c>
      <c r="M6050">
        <v>11.7421019892356</v>
      </c>
      <c r="N6050">
        <v>47.965321657653099</v>
      </c>
      <c r="O6050">
        <v>46.637527917828002</v>
      </c>
      <c r="P6050">
        <v>-6.2959925070577696E-2</v>
      </c>
      <c r="Q6050">
        <v>0</v>
      </c>
      <c r="R6050">
        <v>0.94168594366482605</v>
      </c>
      <c r="S6050" t="s">
        <v>12666</v>
      </c>
      <c r="T6050" t="s">
        <v>13232</v>
      </c>
      <c r="U6050" t="s">
        <v>13232</v>
      </c>
      <c r="V6050" t="s">
        <v>13232</v>
      </c>
      <c r="W6050" t="s">
        <v>19208</v>
      </c>
      <c r="X6050">
        <v>3</v>
      </c>
      <c r="Y6050" t="s">
        <v>25587</v>
      </c>
      <c r="Z6050" t="s">
        <v>32181</v>
      </c>
      <c r="AA6050">
        <v>0.3062587210297823</v>
      </c>
      <c r="AB6050" t="str">
        <f>HYPERLINK("Melting_Curves/meltCurve_Q9P035_PTPLAD1.pdf", "Melting_Curves/meltCurve_Q9P035_PTPLAD1.pdf")</f>
        <v>Melting_Curves/meltCurve_Q9P035_PTPLAD1.pdf</v>
      </c>
    </row>
    <row r="6051" spans="1:28" x14ac:dyDescent="0.25">
      <c r="A6051" t="s">
        <v>6054</v>
      </c>
      <c r="B6051">
        <v>0.99930955844802105</v>
      </c>
      <c r="C6051">
        <v>0.83622280757024903</v>
      </c>
      <c r="D6051">
        <v>0.87911621086523395</v>
      </c>
      <c r="E6051">
        <v>0.93932108884937804</v>
      </c>
      <c r="F6051">
        <v>0.95723634566225602</v>
      </c>
      <c r="G6051">
        <v>0.79925989914595896</v>
      </c>
      <c r="H6051">
        <v>0.790542293274758</v>
      </c>
      <c r="I6051">
        <v>0.800714118123796</v>
      </c>
      <c r="J6051">
        <v>0.81436360891110304</v>
      </c>
      <c r="K6051">
        <v>0.62987809111992799</v>
      </c>
      <c r="L6051">
        <v>217.74395692476901</v>
      </c>
      <c r="M6051">
        <v>2.1836710070135701</v>
      </c>
      <c r="O6051">
        <v>62.416959807373402</v>
      </c>
      <c r="P6051">
        <v>-9.3801681215244393E-3</v>
      </c>
      <c r="Q6051">
        <v>0</v>
      </c>
      <c r="R6051">
        <v>0.60567191203183501</v>
      </c>
      <c r="S6051" t="s">
        <v>12667</v>
      </c>
      <c r="T6051" t="s">
        <v>13232</v>
      </c>
      <c r="U6051" t="s">
        <v>13232</v>
      </c>
      <c r="V6051" t="s">
        <v>13232</v>
      </c>
      <c r="W6051" t="s">
        <v>19209</v>
      </c>
      <c r="X6051">
        <v>5</v>
      </c>
      <c r="Y6051" t="s">
        <v>25588</v>
      </c>
      <c r="Z6051" t="s">
        <v>32182</v>
      </c>
      <c r="AA6051">
        <v>0.8500522093638696</v>
      </c>
      <c r="AB6051" t="str">
        <f>HYPERLINK("Melting_Curves/meltCurve_Q9P0J7_KCMF1.pdf", "Melting_Curves/meltCurve_Q9P0J7_KCMF1.pdf")</f>
        <v>Melting_Curves/meltCurve_Q9P0J7_KCMF1.pdf</v>
      </c>
    </row>
    <row r="6052" spans="1:28" x14ac:dyDescent="0.25">
      <c r="A6052" t="s">
        <v>6055</v>
      </c>
      <c r="B6052">
        <v>0.99930955844802105</v>
      </c>
      <c r="C6052">
        <v>0.93621674292858403</v>
      </c>
      <c r="D6052">
        <v>0.90319234205592602</v>
      </c>
      <c r="E6052">
        <v>0.79766374379913796</v>
      </c>
      <c r="F6052">
        <v>0.49055388125717397</v>
      </c>
      <c r="G6052">
        <v>0.34706694639421198</v>
      </c>
      <c r="H6052">
        <v>0.21794790505195999</v>
      </c>
      <c r="I6052">
        <v>0.17477081312573001</v>
      </c>
      <c r="J6052">
        <v>0.13579447655998</v>
      </c>
      <c r="K6052">
        <v>0.10319841249228601</v>
      </c>
      <c r="L6052">
        <v>786.21235632713604</v>
      </c>
      <c r="M6052">
        <v>14.8311398620883</v>
      </c>
      <c r="N6052">
        <v>53.786296468147199</v>
      </c>
      <c r="O6052">
        <v>52.075154472063502</v>
      </c>
      <c r="P6052">
        <v>-6.4354621796042497E-2</v>
      </c>
      <c r="Q6052">
        <v>9.6246678067875804E-2</v>
      </c>
      <c r="R6052">
        <v>0.99216884824680396</v>
      </c>
      <c r="S6052" t="s">
        <v>12668</v>
      </c>
      <c r="T6052" t="s">
        <v>13232</v>
      </c>
      <c r="U6052" t="s">
        <v>13232</v>
      </c>
      <c r="V6052" t="s">
        <v>13232</v>
      </c>
      <c r="W6052" t="s">
        <v>19210</v>
      </c>
      <c r="X6052">
        <v>24</v>
      </c>
      <c r="Y6052" t="s">
        <v>25589</v>
      </c>
      <c r="Z6052" t="s">
        <v>32183</v>
      </c>
      <c r="AA6052">
        <v>0.5079475528406634</v>
      </c>
      <c r="AB6052" t="str">
        <f>HYPERLINK("Melting_Curves/meltCurve_Q9P0K7_3_RAI14.pdf", "Melting_Curves/meltCurve_Q9P0K7_3_RAI14.pdf")</f>
        <v>Melting_Curves/meltCurve_Q9P0K7_3_RAI14.pdf</v>
      </c>
    </row>
    <row r="6053" spans="1:28" x14ac:dyDescent="0.25">
      <c r="A6053" t="s">
        <v>6056</v>
      </c>
      <c r="B6053">
        <v>0.99930955844802105</v>
      </c>
      <c r="C6053">
        <v>1.0414396081283399</v>
      </c>
      <c r="D6053">
        <v>1.00857326358635</v>
      </c>
      <c r="E6053">
        <v>0.952327066898215</v>
      </c>
      <c r="F6053">
        <v>0.85913751187759302</v>
      </c>
      <c r="G6053">
        <v>0.72739240389460202</v>
      </c>
      <c r="H6053">
        <v>0.65081329262875298</v>
      </c>
      <c r="I6053">
        <v>0.56230410732569602</v>
      </c>
      <c r="J6053">
        <v>0.41883030235164398</v>
      </c>
      <c r="K6053">
        <v>0.31357040782815399</v>
      </c>
      <c r="L6053">
        <v>587.99541454772498</v>
      </c>
      <c r="M6053">
        <v>9.0899386088309608</v>
      </c>
      <c r="N6053">
        <v>64.686395333137497</v>
      </c>
      <c r="O6053">
        <v>61.786198752593997</v>
      </c>
      <c r="P6053">
        <v>-3.6805530822312797E-2</v>
      </c>
      <c r="Q6053">
        <v>0</v>
      </c>
      <c r="R6053">
        <v>0.98573485273198302</v>
      </c>
      <c r="S6053" t="s">
        <v>12669</v>
      </c>
      <c r="T6053" t="s">
        <v>13232</v>
      </c>
      <c r="U6053" t="s">
        <v>13232</v>
      </c>
      <c r="V6053" t="s">
        <v>13232</v>
      </c>
      <c r="W6053" t="s">
        <v>19211</v>
      </c>
      <c r="X6053">
        <v>9</v>
      </c>
      <c r="Y6053" t="s">
        <v>25590</v>
      </c>
      <c r="Z6053" t="s">
        <v>32184</v>
      </c>
      <c r="AA6053">
        <v>0.76403039470251755</v>
      </c>
      <c r="AB6053" t="str">
        <f>HYPERLINK("Melting_Curves/meltCurve_Q9P0L0_VAPA.pdf", "Melting_Curves/meltCurve_Q9P0L0_VAPA.pdf")</f>
        <v>Melting_Curves/meltCurve_Q9P0L0_VAPA.pdf</v>
      </c>
    </row>
    <row r="6054" spans="1:28" x14ac:dyDescent="0.25">
      <c r="A6054" t="s">
        <v>6057</v>
      </c>
      <c r="B6054">
        <v>0.99930955844802105</v>
      </c>
      <c r="C6054">
        <v>0.96797508812280597</v>
      </c>
      <c r="D6054">
        <v>0.79105805871189605</v>
      </c>
      <c r="E6054">
        <v>0.41172727665401498</v>
      </c>
      <c r="F6054">
        <v>0.24221098059259299</v>
      </c>
      <c r="G6054">
        <v>0.15790922730881199</v>
      </c>
      <c r="H6054">
        <v>9.0172395951013604E-2</v>
      </c>
      <c r="I6054">
        <v>7.0252739077865597E-2</v>
      </c>
      <c r="J6054">
        <v>3.9244857022018902E-2</v>
      </c>
      <c r="K6054">
        <v>3.05775971093326E-2</v>
      </c>
      <c r="L6054">
        <v>932.54144596724802</v>
      </c>
      <c r="M6054">
        <v>19.038387600818201</v>
      </c>
      <c r="N6054">
        <v>49.285387012755599</v>
      </c>
      <c r="O6054">
        <v>48.451350485254203</v>
      </c>
      <c r="P6054">
        <v>-9.2809225706549106E-2</v>
      </c>
      <c r="Q6054">
        <v>5.52657127932051E-2</v>
      </c>
      <c r="R6054">
        <v>0.99653197708837304</v>
      </c>
      <c r="S6054" t="s">
        <v>12670</v>
      </c>
      <c r="T6054" t="s">
        <v>13232</v>
      </c>
      <c r="U6054" t="s">
        <v>13232</v>
      </c>
      <c r="V6054" t="s">
        <v>13232</v>
      </c>
      <c r="W6054" t="s">
        <v>19212</v>
      </c>
      <c r="X6054">
        <v>5</v>
      </c>
      <c r="Y6054" t="s">
        <v>25591</v>
      </c>
      <c r="Z6054" t="s">
        <v>32185</v>
      </c>
      <c r="AA6054">
        <v>0.35275031049743072</v>
      </c>
      <c r="AB6054" t="str">
        <f>HYPERLINK("Melting_Curves/meltCurve_Q9P0N9_3_TBC1D7.pdf", "Melting_Curves/meltCurve_Q9P0N9_3_TBC1D7.pdf")</f>
        <v>Melting_Curves/meltCurve_Q9P0N9_3_TBC1D7.pdf</v>
      </c>
    </row>
    <row r="6055" spans="1:28" x14ac:dyDescent="0.25">
      <c r="A6055" t="s">
        <v>6058</v>
      </c>
      <c r="B6055">
        <v>0.99930955844802105</v>
      </c>
      <c r="C6055">
        <v>1.07124818149295</v>
      </c>
      <c r="D6055">
        <v>1.1020095568657899</v>
      </c>
      <c r="E6055">
        <v>1.0768645366468399</v>
      </c>
      <c r="F6055">
        <v>0.95081454819155997</v>
      </c>
      <c r="G6055">
        <v>0.75551112269800402</v>
      </c>
      <c r="H6055">
        <v>0.57114568800877596</v>
      </c>
      <c r="I6055">
        <v>0.43816829845424299</v>
      </c>
      <c r="J6055">
        <v>0.31198032089307498</v>
      </c>
      <c r="K6055">
        <v>0.229263030550097</v>
      </c>
      <c r="L6055">
        <v>1068.5833924599001</v>
      </c>
      <c r="M6055">
        <v>17.6033739010829</v>
      </c>
      <c r="N6055">
        <v>62.219360092474403</v>
      </c>
      <c r="O6055">
        <v>59.936204255430702</v>
      </c>
      <c r="P6055">
        <v>-6.06237841703492E-2</v>
      </c>
      <c r="Q6055">
        <v>0.17439377246607901</v>
      </c>
      <c r="R6055">
        <v>0.97233675065801595</v>
      </c>
      <c r="S6055" t="s">
        <v>12671</v>
      </c>
      <c r="T6055" t="s">
        <v>13232</v>
      </c>
      <c r="U6055" t="s">
        <v>13232</v>
      </c>
      <c r="V6055" t="s">
        <v>13232</v>
      </c>
      <c r="W6055" t="s">
        <v>19213</v>
      </c>
      <c r="X6055">
        <v>4</v>
      </c>
      <c r="Y6055" t="s">
        <v>25592</v>
      </c>
      <c r="Z6055" t="s">
        <v>32186</v>
      </c>
      <c r="AA6055">
        <v>0.74915761172944451</v>
      </c>
      <c r="AB6055" t="str">
        <f>HYPERLINK("Melting_Curves/meltCurve_Q9P0R6_GSKIP.pdf", "Melting_Curves/meltCurve_Q9P0R6_GSKIP.pdf")</f>
        <v>Melting_Curves/meltCurve_Q9P0R6_GSKIP.pdf</v>
      </c>
    </row>
    <row r="6056" spans="1:28" x14ac:dyDescent="0.25">
      <c r="A6056" t="s">
        <v>6059</v>
      </c>
      <c r="B6056">
        <v>0.99930955844802105</v>
      </c>
      <c r="C6056">
        <v>0.80492520056166605</v>
      </c>
      <c r="D6056">
        <v>0.76099880504151896</v>
      </c>
      <c r="E6056">
        <v>0.56668242506492705</v>
      </c>
      <c r="F6056">
        <v>0.45146940769086402</v>
      </c>
      <c r="G6056">
        <v>0.35320198935869901</v>
      </c>
      <c r="H6056">
        <v>0.30596745971073003</v>
      </c>
      <c r="I6056">
        <v>0.27157108437384803</v>
      </c>
      <c r="J6056">
        <v>0.27123326454790198</v>
      </c>
      <c r="K6056">
        <v>0.232298679194128</v>
      </c>
      <c r="L6056">
        <v>540.92543914821294</v>
      </c>
      <c r="M6056">
        <v>11.0515745018117</v>
      </c>
      <c r="N6056">
        <v>51.657248446259601</v>
      </c>
      <c r="O6056">
        <v>47.424925341836797</v>
      </c>
      <c r="P6056">
        <v>-4.5451250959351E-2</v>
      </c>
      <c r="Q6056">
        <v>0.22009007114392101</v>
      </c>
      <c r="R6056">
        <v>0.98783108110837103</v>
      </c>
      <c r="S6056" t="s">
        <v>12672</v>
      </c>
      <c r="T6056" t="s">
        <v>13232</v>
      </c>
      <c r="U6056" t="s">
        <v>13232</v>
      </c>
      <c r="V6056" t="s">
        <v>13232</v>
      </c>
      <c r="W6056" t="s">
        <v>19214</v>
      </c>
      <c r="X6056">
        <v>2</v>
      </c>
      <c r="Y6056" t="s">
        <v>25593</v>
      </c>
      <c r="Z6056" t="s">
        <v>32187</v>
      </c>
      <c r="AA6056">
        <v>0.48553752512202503</v>
      </c>
      <c r="AB6056" t="str">
        <f>HYPERLINK("Melting_Curves/meltCurve_Q9P0U3_2_SENP1.pdf", "Melting_Curves/meltCurve_Q9P0U3_2_SENP1.pdf")</f>
        <v>Melting_Curves/meltCurve_Q9P0U3_2_SENP1.pdf</v>
      </c>
    </row>
    <row r="6057" spans="1:28" x14ac:dyDescent="0.25">
      <c r="A6057" t="s">
        <v>6060</v>
      </c>
      <c r="B6057">
        <v>0.99930955844802105</v>
      </c>
      <c r="C6057">
        <v>1.05005072923156</v>
      </c>
      <c r="D6057">
        <v>0.92565892845436304</v>
      </c>
      <c r="E6057">
        <v>0.88316613918342701</v>
      </c>
      <c r="F6057">
        <v>0.83038584311986396</v>
      </c>
      <c r="G6057">
        <v>0.68282719966254901</v>
      </c>
      <c r="H6057">
        <v>0.31836406698105202</v>
      </c>
      <c r="I6057">
        <v>1.08422582044711</v>
      </c>
      <c r="J6057">
        <v>0.34608708153696699</v>
      </c>
      <c r="K6057">
        <v>0.54771798409590799</v>
      </c>
      <c r="L6057">
        <v>920.89205970676505</v>
      </c>
      <c r="M6057">
        <v>17.2584470060788</v>
      </c>
      <c r="O6057">
        <v>52.6579747644873</v>
      </c>
      <c r="P6057">
        <v>-3.6057781822008701E-2</v>
      </c>
      <c r="Q6057">
        <v>0.55995594611739796</v>
      </c>
      <c r="R6057">
        <v>0.448695307592963</v>
      </c>
      <c r="S6057" t="s">
        <v>12673</v>
      </c>
      <c r="T6057" t="s">
        <v>13232</v>
      </c>
      <c r="U6057" t="s">
        <v>13232</v>
      </c>
      <c r="V6057" t="s">
        <v>13232</v>
      </c>
      <c r="W6057" t="s">
        <v>19215</v>
      </c>
      <c r="X6057">
        <v>14</v>
      </c>
      <c r="Y6057" t="s">
        <v>20727</v>
      </c>
      <c r="Z6057" t="s">
        <v>32188</v>
      </c>
      <c r="AA6057">
        <v>0.76353672706382525</v>
      </c>
      <c r="AB6057" t="str">
        <f>HYPERLINK("Melting_Curves/meltCurve_Q9P0U4_CXXC1.pdf", "Melting_Curves/meltCurve_Q9P0U4_CXXC1.pdf")</f>
        <v>Melting_Curves/meltCurve_Q9P0U4_CXXC1.pdf</v>
      </c>
    </row>
    <row r="6058" spans="1:28" x14ac:dyDescent="0.25">
      <c r="A6058" t="s">
        <v>6061</v>
      </c>
      <c r="B6058">
        <v>0.99930955844802105</v>
      </c>
      <c r="C6058">
        <v>1.01206443003848</v>
      </c>
      <c r="D6058">
        <v>0.89156104256448598</v>
      </c>
      <c r="E6058">
        <v>0.80487806375809501</v>
      </c>
      <c r="F6058">
        <v>0.57129788520418001</v>
      </c>
      <c r="G6058">
        <v>0.30841324975672901</v>
      </c>
      <c r="H6058">
        <v>0.161707760078457</v>
      </c>
      <c r="I6058">
        <v>0.140844595353119</v>
      </c>
      <c r="J6058">
        <v>0.14658200381369499</v>
      </c>
      <c r="K6058">
        <v>0.10710973646597199</v>
      </c>
      <c r="L6058">
        <v>953.081697417339</v>
      </c>
      <c r="M6058">
        <v>17.903772502006898</v>
      </c>
      <c r="N6058">
        <v>53.904121663671297</v>
      </c>
      <c r="O6058">
        <v>52.582772163332301</v>
      </c>
      <c r="P6058">
        <v>-7.6628013960862607E-2</v>
      </c>
      <c r="Q6058">
        <v>9.9829839292934305E-2</v>
      </c>
      <c r="R6058">
        <v>0.995898181290087</v>
      </c>
      <c r="S6058" t="s">
        <v>12674</v>
      </c>
      <c r="T6058" t="s">
        <v>13232</v>
      </c>
      <c r="U6058" t="s">
        <v>13232</v>
      </c>
      <c r="V6058" t="s">
        <v>13232</v>
      </c>
      <c r="W6058" t="s">
        <v>19216</v>
      </c>
      <c r="X6058">
        <v>9</v>
      </c>
      <c r="Y6058" t="s">
        <v>25594</v>
      </c>
      <c r="Z6058" t="s">
        <v>32189</v>
      </c>
      <c r="AA6058">
        <v>0.51170699042056689</v>
      </c>
      <c r="AB6058" t="str">
        <f>HYPERLINK("Melting_Curves/meltCurve_Q9P0W2_HMG20B.pdf", "Melting_Curves/meltCurve_Q9P0W2_HMG20B.pdf")</f>
        <v>Melting_Curves/meltCurve_Q9P0W2_HMG20B.pdf</v>
      </c>
    </row>
    <row r="6059" spans="1:28" x14ac:dyDescent="0.25">
      <c r="A6059" t="s">
        <v>6062</v>
      </c>
      <c r="B6059">
        <v>0.99930955844802105</v>
      </c>
      <c r="C6059">
        <v>0.976470921930643</v>
      </c>
      <c r="D6059">
        <v>0.944311523465311</v>
      </c>
      <c r="E6059">
        <v>0.77838293536060599</v>
      </c>
      <c r="F6059">
        <v>0.44575405617388297</v>
      </c>
      <c r="G6059">
        <v>0.29172958876932698</v>
      </c>
      <c r="H6059">
        <v>0.19680198927647999</v>
      </c>
      <c r="I6059">
        <v>0.187474895598983</v>
      </c>
      <c r="J6059">
        <v>0.17527354716542701</v>
      </c>
      <c r="K6059">
        <v>0.13211348053330499</v>
      </c>
      <c r="L6059">
        <v>1171.6058858952199</v>
      </c>
      <c r="M6059">
        <v>22.5872177456583</v>
      </c>
      <c r="N6059">
        <v>52.801274083228002</v>
      </c>
      <c r="O6059">
        <v>51.4688596016396</v>
      </c>
      <c r="P6059">
        <v>-9.1694262364064597E-2</v>
      </c>
      <c r="Q6059">
        <v>0.16425221701864601</v>
      </c>
      <c r="R6059">
        <v>0.99590815458530102</v>
      </c>
      <c r="S6059" t="s">
        <v>12675</v>
      </c>
      <c r="T6059" t="s">
        <v>13232</v>
      </c>
      <c r="U6059" t="s">
        <v>13232</v>
      </c>
      <c r="V6059" t="s">
        <v>13232</v>
      </c>
      <c r="W6059" t="s">
        <v>19217</v>
      </c>
      <c r="X6059">
        <v>16</v>
      </c>
      <c r="Y6059" t="s">
        <v>25595</v>
      </c>
      <c r="Z6059" t="s">
        <v>32190</v>
      </c>
      <c r="AA6059">
        <v>0.50418516116913115</v>
      </c>
      <c r="AB6059" t="str">
        <f>HYPERLINK("Melting_Curves/meltCurve_Q9P107_GMIP.pdf", "Melting_Curves/meltCurve_Q9P107_GMIP.pdf")</f>
        <v>Melting_Curves/meltCurve_Q9P107_GMIP.pdf</v>
      </c>
    </row>
    <row r="6060" spans="1:28" x14ac:dyDescent="0.25">
      <c r="A6060" t="s">
        <v>6063</v>
      </c>
      <c r="B6060">
        <v>0.99930955844802105</v>
      </c>
      <c r="C6060">
        <v>1.0004012131412801</v>
      </c>
      <c r="D6060">
        <v>1.1806636840424301</v>
      </c>
      <c r="E6060">
        <v>1.02941758266952</v>
      </c>
      <c r="F6060">
        <v>0.88473510029973101</v>
      </c>
      <c r="G6060">
        <v>0.86480644778142901</v>
      </c>
      <c r="H6060">
        <v>0.68315310433787502</v>
      </c>
      <c r="I6060">
        <v>0.61031546925593805</v>
      </c>
      <c r="J6060">
        <v>0.45152579590205499</v>
      </c>
      <c r="K6060">
        <v>0.27890074914068802</v>
      </c>
      <c r="L6060">
        <v>817.59760614876302</v>
      </c>
      <c r="M6060">
        <v>12.4822359985292</v>
      </c>
      <c r="N6060">
        <v>65.500879659751803</v>
      </c>
      <c r="O6060">
        <v>63.887868510414897</v>
      </c>
      <c r="P6060">
        <v>-4.8854411753212902E-2</v>
      </c>
      <c r="Q6060">
        <v>0</v>
      </c>
      <c r="R6060">
        <v>0.93841256691012898</v>
      </c>
      <c r="S6060" t="s">
        <v>12676</v>
      </c>
      <c r="T6060" t="s">
        <v>13232</v>
      </c>
      <c r="U6060" t="s">
        <v>13232</v>
      </c>
      <c r="V6060" t="s">
        <v>13232</v>
      </c>
      <c r="W6060" t="s">
        <v>19218</v>
      </c>
      <c r="X6060">
        <v>5</v>
      </c>
      <c r="Y6060" t="s">
        <v>25596</v>
      </c>
      <c r="Z6060" t="s">
        <v>32191</v>
      </c>
      <c r="AA6060">
        <v>0.8072700272324892</v>
      </c>
      <c r="AB6060" t="str">
        <f>HYPERLINK("Melting_Curves/meltCurve_Q9P1F3_ABRACL.pdf", "Melting_Curves/meltCurve_Q9P1F3_ABRACL.pdf")</f>
        <v>Melting_Curves/meltCurve_Q9P1F3_ABRACL.pdf</v>
      </c>
    </row>
    <row r="6061" spans="1:28" x14ac:dyDescent="0.25">
      <c r="A6061" t="s">
        <v>6064</v>
      </c>
      <c r="B6061">
        <v>0.99930955844802105</v>
      </c>
      <c r="C6061">
        <v>0.70808339833471001</v>
      </c>
      <c r="D6061">
        <v>0.56170327727051905</v>
      </c>
      <c r="E6061">
        <v>0.33714693593384898</v>
      </c>
      <c r="F6061">
        <v>0.19643033618782699</v>
      </c>
      <c r="G6061">
        <v>0.14705883048357499</v>
      </c>
      <c r="H6061">
        <v>0.10647797507801</v>
      </c>
      <c r="I6061">
        <v>8.1624787034436902E-2</v>
      </c>
      <c r="J6061">
        <v>6.6354505335270805E-2</v>
      </c>
      <c r="K6061">
        <v>5.9837379125422002E-2</v>
      </c>
      <c r="L6061">
        <v>642.18247215553697</v>
      </c>
      <c r="M6061">
        <v>13.8325806328565</v>
      </c>
      <c r="N6061">
        <v>46.885086374206303</v>
      </c>
      <c r="O6061">
        <v>45.487339479945398</v>
      </c>
      <c r="P6061">
        <v>-7.1212799613595307E-2</v>
      </c>
      <c r="Q6061">
        <v>6.3419428046085399E-2</v>
      </c>
      <c r="R6061">
        <v>0.98574557642790295</v>
      </c>
      <c r="S6061" t="s">
        <v>12677</v>
      </c>
      <c r="T6061" t="s">
        <v>13232</v>
      </c>
      <c r="U6061" t="s">
        <v>13232</v>
      </c>
      <c r="V6061" t="s">
        <v>13232</v>
      </c>
      <c r="W6061" t="s">
        <v>19219</v>
      </c>
      <c r="X6061">
        <v>3</v>
      </c>
      <c r="Y6061" t="s">
        <v>25597</v>
      </c>
      <c r="Z6061" t="s">
        <v>32192</v>
      </c>
      <c r="AA6061">
        <v>0.29525613123742461</v>
      </c>
      <c r="AB6061" t="str">
        <f>HYPERLINK("Melting_Curves/meltCurve_Q9P1Q0_3_VPS54.pdf", "Melting_Curves/meltCurve_Q9P1Q0_3_VPS54.pdf")</f>
        <v>Melting_Curves/meltCurve_Q9P1Q0_3_VPS54.pdf</v>
      </c>
    </row>
    <row r="6062" spans="1:28" x14ac:dyDescent="0.25">
      <c r="A6062" t="s">
        <v>6065</v>
      </c>
      <c r="B6062">
        <v>0.99930955844802105</v>
      </c>
      <c r="C6062">
        <v>0.81694066694968104</v>
      </c>
      <c r="D6062">
        <v>0.81067065623350398</v>
      </c>
      <c r="E6062">
        <v>0.99395915825637904</v>
      </c>
      <c r="F6062">
        <v>0.95619647790153695</v>
      </c>
      <c r="G6062">
        <v>0.87743077324993202</v>
      </c>
      <c r="H6062">
        <v>0.76391373614217295</v>
      </c>
      <c r="I6062">
        <v>0.78455584857308902</v>
      </c>
      <c r="J6062">
        <v>0.76456188226079402</v>
      </c>
      <c r="K6062">
        <v>0.60622616573738397</v>
      </c>
      <c r="L6062">
        <v>264.059755436942</v>
      </c>
      <c r="M6062">
        <v>2.98855156832817</v>
      </c>
      <c r="O6062">
        <v>64.9477732638059</v>
      </c>
      <c r="P6062">
        <v>-1.18629550153962E-2</v>
      </c>
      <c r="Q6062">
        <v>0</v>
      </c>
      <c r="R6062">
        <v>0.53719676132814198</v>
      </c>
      <c r="S6062" t="s">
        <v>12678</v>
      </c>
      <c r="T6062" t="s">
        <v>13232</v>
      </c>
      <c r="U6062" t="s">
        <v>13232</v>
      </c>
      <c r="V6062" t="s">
        <v>13232</v>
      </c>
      <c r="W6062" t="s">
        <v>19220</v>
      </c>
      <c r="X6062">
        <v>3</v>
      </c>
      <c r="Y6062" t="s">
        <v>25598</v>
      </c>
      <c r="Z6062" t="s">
        <v>32193</v>
      </c>
      <c r="AA6062">
        <v>0.84957233537429167</v>
      </c>
      <c r="AB6062" t="str">
        <f>HYPERLINK("Melting_Curves/meltCurve_Q9P1U0_ZNRD1.pdf", "Melting_Curves/meltCurve_Q9P1U0_ZNRD1.pdf")</f>
        <v>Melting_Curves/meltCurve_Q9P1U0_ZNRD1.pdf</v>
      </c>
    </row>
    <row r="6063" spans="1:28" x14ac:dyDescent="0.25">
      <c r="A6063" t="s">
        <v>6066</v>
      </c>
      <c r="B6063">
        <v>0.99930955844802105</v>
      </c>
      <c r="C6063">
        <v>0.83535527974781199</v>
      </c>
      <c r="D6063">
        <v>0.90449274880581998</v>
      </c>
      <c r="E6063">
        <v>0.91924440840395905</v>
      </c>
      <c r="F6063">
        <v>0.88732360989997205</v>
      </c>
      <c r="G6063">
        <v>0.52361600528184404</v>
      </c>
      <c r="H6063">
        <v>0.16223244368786599</v>
      </c>
      <c r="I6063">
        <v>0.10432582525676699</v>
      </c>
      <c r="J6063">
        <v>7.9161126080656494E-2</v>
      </c>
      <c r="K6063">
        <v>5.6580993119265698E-2</v>
      </c>
      <c r="L6063">
        <v>1472.5808039379599</v>
      </c>
      <c r="M6063">
        <v>25.893398819253001</v>
      </c>
      <c r="N6063">
        <v>57.097863488699602</v>
      </c>
      <c r="O6063">
        <v>56.534941364016703</v>
      </c>
      <c r="P6063">
        <v>-0.10890339180124201</v>
      </c>
      <c r="Q6063">
        <v>4.8904334171179502E-2</v>
      </c>
      <c r="R6063">
        <v>0.97289893133015404</v>
      </c>
      <c r="S6063" t="s">
        <v>12679</v>
      </c>
      <c r="T6063" t="s">
        <v>13232</v>
      </c>
      <c r="U6063" t="s">
        <v>13232</v>
      </c>
      <c r="V6063" t="s">
        <v>13232</v>
      </c>
      <c r="W6063" t="s">
        <v>19221</v>
      </c>
      <c r="X6063">
        <v>7</v>
      </c>
      <c r="Y6063" t="s">
        <v>25599</v>
      </c>
      <c r="Z6063" t="s">
        <v>32194</v>
      </c>
      <c r="AA6063">
        <v>0.59189565537434052</v>
      </c>
      <c r="AB6063" t="str">
        <f>HYPERLINK("Melting_Curves/meltCurve_Q9P1U1_ACTR3B.pdf", "Melting_Curves/meltCurve_Q9P1U1_ACTR3B.pdf")</f>
        <v>Melting_Curves/meltCurve_Q9P1U1_ACTR3B.pdf</v>
      </c>
    </row>
    <row r="6064" spans="1:28" x14ac:dyDescent="0.25">
      <c r="A6064" t="s">
        <v>6067</v>
      </c>
      <c r="B6064">
        <v>0.99930955844802105</v>
      </c>
      <c r="C6064">
        <v>1.0699980568847101</v>
      </c>
      <c r="D6064">
        <v>1.04919479388159</v>
      </c>
      <c r="E6064">
        <v>0.95071366974644</v>
      </c>
      <c r="F6064">
        <v>0.63417292022397498</v>
      </c>
      <c r="G6064">
        <v>0.31581006791808702</v>
      </c>
      <c r="H6064">
        <v>0.185791770894743</v>
      </c>
      <c r="I6064">
        <v>0.16876382859147501</v>
      </c>
      <c r="J6064">
        <v>0.16333306929459099</v>
      </c>
      <c r="K6064">
        <v>0.135388718648842</v>
      </c>
      <c r="L6064">
        <v>1582.1662463964999</v>
      </c>
      <c r="M6064">
        <v>29.4437218188603</v>
      </c>
      <c r="N6064">
        <v>54.437548946872198</v>
      </c>
      <c r="O6064">
        <v>53.489228151424001</v>
      </c>
      <c r="P6064">
        <v>-0.115870920186329</v>
      </c>
      <c r="Q6064">
        <v>0.15801376973643699</v>
      </c>
      <c r="R6064">
        <v>0.99262309832485096</v>
      </c>
      <c r="S6064" t="s">
        <v>12680</v>
      </c>
      <c r="T6064" t="s">
        <v>13232</v>
      </c>
      <c r="U6064" t="s">
        <v>13232</v>
      </c>
      <c r="V6064" t="s">
        <v>13232</v>
      </c>
      <c r="W6064" t="s">
        <v>19222</v>
      </c>
      <c r="X6064">
        <v>20</v>
      </c>
      <c r="Y6064" t="s">
        <v>25600</v>
      </c>
      <c r="Z6064" t="s">
        <v>32195</v>
      </c>
      <c r="AA6064">
        <v>0.54922722563426263</v>
      </c>
      <c r="AB6064" t="str">
        <f>HYPERLINK("Melting_Curves/meltCurve_Q9P1Z2_2_CALCOCO1.pdf", "Melting_Curves/meltCurve_Q9P1Z2_2_CALCOCO1.pdf")</f>
        <v>Melting_Curves/meltCurve_Q9P1Z2_2_CALCOCO1.pdf</v>
      </c>
    </row>
    <row r="6065" spans="1:28" x14ac:dyDescent="0.25">
      <c r="A6065" t="s">
        <v>6068</v>
      </c>
      <c r="B6065">
        <v>0.99930955844802105</v>
      </c>
      <c r="C6065">
        <v>1.0394750151041401</v>
      </c>
      <c r="D6065">
        <v>1.0730810325217801</v>
      </c>
      <c r="E6065">
        <v>1.0176459404523399</v>
      </c>
      <c r="F6065">
        <v>0.91127839968650004</v>
      </c>
      <c r="G6065">
        <v>0.80518007133263003</v>
      </c>
      <c r="H6065">
        <v>0.76864951252671199</v>
      </c>
      <c r="I6065">
        <v>0.78185604365543804</v>
      </c>
      <c r="J6065">
        <v>0.76979452324651398</v>
      </c>
      <c r="K6065">
        <v>0.63298877638531603</v>
      </c>
      <c r="L6065">
        <v>1221.55843228805</v>
      </c>
      <c r="M6065">
        <v>21.957914358943299</v>
      </c>
      <c r="O6065">
        <v>55.176558782015903</v>
      </c>
      <c r="P6065">
        <v>-2.7943813750512199E-2</v>
      </c>
      <c r="Q6065">
        <v>0.71913384614047704</v>
      </c>
      <c r="R6065">
        <v>0.88903372977227502</v>
      </c>
      <c r="S6065" t="s">
        <v>12681</v>
      </c>
      <c r="T6065" t="s">
        <v>13232</v>
      </c>
      <c r="U6065" t="s">
        <v>13232</v>
      </c>
      <c r="V6065" t="s">
        <v>13232</v>
      </c>
      <c r="W6065" t="s">
        <v>19223</v>
      </c>
      <c r="X6065">
        <v>14</v>
      </c>
      <c r="Y6065" t="s">
        <v>25601</v>
      </c>
      <c r="Z6065" t="s">
        <v>32196</v>
      </c>
      <c r="AA6065">
        <v>0.86867723055532986</v>
      </c>
      <c r="AB6065" t="str">
        <f>HYPERLINK("Melting_Curves/meltCurve_Q9P206_2_KIAA1522.pdf", "Melting_Curves/meltCurve_Q9P206_2_KIAA1522.pdf")</f>
        <v>Melting_Curves/meltCurve_Q9P206_2_KIAA1522.pdf</v>
      </c>
    </row>
    <row r="6066" spans="1:28" x14ac:dyDescent="0.25">
      <c r="A6066" t="s">
        <v>6069</v>
      </c>
      <c r="B6066">
        <v>0.99930955844802105</v>
      </c>
      <c r="C6066">
        <v>0.951982190587224</v>
      </c>
      <c r="D6066">
        <v>0.92055052101110901</v>
      </c>
      <c r="E6066">
        <v>0.78888914803227295</v>
      </c>
      <c r="F6066">
        <v>0.53436347327667899</v>
      </c>
      <c r="G6066">
        <v>0.25084533597048397</v>
      </c>
      <c r="H6066">
        <v>0.16114402637563499</v>
      </c>
      <c r="I6066">
        <v>0.13785480356883301</v>
      </c>
      <c r="J6066">
        <v>0.11732144361993101</v>
      </c>
      <c r="K6066">
        <v>0.10518986521116</v>
      </c>
      <c r="L6066">
        <v>1033.9604672736</v>
      </c>
      <c r="M6066">
        <v>19.601974976908998</v>
      </c>
      <c r="N6066">
        <v>53.359921493159398</v>
      </c>
      <c r="O6066">
        <v>52.2079988549471</v>
      </c>
      <c r="P6066">
        <v>-8.4416327536146696E-2</v>
      </c>
      <c r="Q6066">
        <v>0.100692281796723</v>
      </c>
      <c r="R6066">
        <v>0.99755818159860599</v>
      </c>
      <c r="S6066" t="s">
        <v>12682</v>
      </c>
      <c r="T6066" t="s">
        <v>13232</v>
      </c>
      <c r="U6066" t="s">
        <v>13232</v>
      </c>
      <c r="V6066" t="s">
        <v>13232</v>
      </c>
      <c r="W6066" t="s">
        <v>19224</v>
      </c>
      <c r="X6066">
        <v>5</v>
      </c>
      <c r="Y6066" t="s">
        <v>25602</v>
      </c>
      <c r="Z6066" t="s">
        <v>32197</v>
      </c>
      <c r="AA6066">
        <v>0.49566074259170101</v>
      </c>
      <c r="AB6066" t="str">
        <f>HYPERLINK("Melting_Curves/meltCurve_Q9P209_CEP72.pdf", "Melting_Curves/meltCurve_Q9P209_CEP72.pdf")</f>
        <v>Melting_Curves/meltCurve_Q9P209_CEP72.pdf</v>
      </c>
    </row>
    <row r="6067" spans="1:28" x14ac:dyDescent="0.25">
      <c r="A6067" t="s">
        <v>6070</v>
      </c>
      <c r="B6067">
        <v>0.99930955844802105</v>
      </c>
      <c r="C6067">
        <v>0.96644527848059802</v>
      </c>
      <c r="D6067">
        <v>0.84859693806333303</v>
      </c>
      <c r="E6067">
        <v>0.67590791611140599</v>
      </c>
      <c r="F6067">
        <v>0.52438487212803997</v>
      </c>
      <c r="G6067">
        <v>0.41412846792603503</v>
      </c>
      <c r="H6067">
        <v>0.35305203846821598</v>
      </c>
      <c r="I6067">
        <v>0.31894677510038999</v>
      </c>
      <c r="J6067">
        <v>0.29774997572901102</v>
      </c>
      <c r="K6067">
        <v>0.23592499587851701</v>
      </c>
      <c r="L6067">
        <v>666.95264258664099</v>
      </c>
      <c r="M6067">
        <v>13.061734614450399</v>
      </c>
      <c r="N6067">
        <v>53.999542063759499</v>
      </c>
      <c r="O6067">
        <v>49.909158747485201</v>
      </c>
      <c r="P6067">
        <v>-4.8795219464004898E-2</v>
      </c>
      <c r="Q6067">
        <v>0.25433886672116501</v>
      </c>
      <c r="R6067">
        <v>0.99522598498232495</v>
      </c>
      <c r="S6067" t="s">
        <v>12683</v>
      </c>
      <c r="T6067" t="s">
        <v>13232</v>
      </c>
      <c r="U6067" t="s">
        <v>13232</v>
      </c>
      <c r="V6067" t="s">
        <v>13232</v>
      </c>
      <c r="W6067" t="s">
        <v>19225</v>
      </c>
      <c r="X6067">
        <v>9</v>
      </c>
      <c r="Y6067" t="s">
        <v>25603</v>
      </c>
      <c r="Z6067" t="s">
        <v>32198</v>
      </c>
      <c r="AA6067">
        <v>0.55067340037928625</v>
      </c>
      <c r="AB6067" t="str">
        <f>HYPERLINK("Melting_Curves/meltCurve_Q9P219_CCDC88C.pdf", "Melting_Curves/meltCurve_Q9P219_CCDC88C.pdf")</f>
        <v>Melting_Curves/meltCurve_Q9P219_CCDC88C.pdf</v>
      </c>
    </row>
    <row r="6068" spans="1:28" x14ac:dyDescent="0.25">
      <c r="A6068" t="s">
        <v>6071</v>
      </c>
      <c r="B6068">
        <v>0.99930955844802105</v>
      </c>
      <c r="C6068">
        <v>0.85981853435757005</v>
      </c>
      <c r="D6068">
        <v>0.864732604759196</v>
      </c>
      <c r="E6068">
        <v>0.8297423300715</v>
      </c>
      <c r="F6068">
        <v>0.66419786468744502</v>
      </c>
      <c r="G6068">
        <v>0.60508508883015999</v>
      </c>
      <c r="H6068">
        <v>0.52160368569164395</v>
      </c>
      <c r="I6068">
        <v>0.47386299917649799</v>
      </c>
      <c r="J6068">
        <v>0.43634878191068699</v>
      </c>
      <c r="K6068">
        <v>0.36968950471295797</v>
      </c>
      <c r="L6068">
        <v>364.32752146009602</v>
      </c>
      <c r="M6068">
        <v>6.2985732902705696</v>
      </c>
      <c r="N6068">
        <v>62.151688046255899</v>
      </c>
      <c r="O6068">
        <v>52.8334348382987</v>
      </c>
      <c r="P6068">
        <v>-2.4598182109926901E-2</v>
      </c>
      <c r="Q6068">
        <v>0.17690593056846399</v>
      </c>
      <c r="R6068">
        <v>0.97534771458222702</v>
      </c>
      <c r="S6068" t="s">
        <v>12684</v>
      </c>
      <c r="T6068" t="s">
        <v>13232</v>
      </c>
      <c r="U6068" t="s">
        <v>13232</v>
      </c>
      <c r="V6068" t="s">
        <v>13232</v>
      </c>
      <c r="W6068" t="s">
        <v>19226</v>
      </c>
      <c r="X6068">
        <v>1</v>
      </c>
      <c r="Y6068" t="s">
        <v>25604</v>
      </c>
      <c r="Z6068" t="s">
        <v>32199</v>
      </c>
      <c r="AA6068">
        <v>0.6627904303381692</v>
      </c>
      <c r="AB6068" t="str">
        <f>HYPERLINK("Melting_Curves/meltCurve_Q9P244_LRFN1.pdf", "Melting_Curves/meltCurve_Q9P244_LRFN1.pdf")</f>
        <v>Melting_Curves/meltCurve_Q9P244_LRFN1.pdf</v>
      </c>
    </row>
    <row r="6069" spans="1:28" x14ac:dyDescent="0.25">
      <c r="A6069" t="s">
        <v>6072</v>
      </c>
      <c r="B6069">
        <v>0.99930955844802105</v>
      </c>
      <c r="C6069">
        <v>1.0523430401785501</v>
      </c>
      <c r="D6069">
        <v>0.98591468264466597</v>
      </c>
      <c r="E6069">
        <v>0.98853165728380299</v>
      </c>
      <c r="F6069">
        <v>0.88740922077862106</v>
      </c>
      <c r="G6069">
        <v>0.72102737335531097</v>
      </c>
      <c r="H6069">
        <v>0.67726284100177003</v>
      </c>
      <c r="I6069">
        <v>0.79594279271722002</v>
      </c>
      <c r="J6069">
        <v>0.81105039174804705</v>
      </c>
      <c r="K6069">
        <v>0.57829203804743401</v>
      </c>
      <c r="L6069">
        <v>2995.7375620985499</v>
      </c>
      <c r="M6069">
        <v>56.109945904053802</v>
      </c>
      <c r="O6069">
        <v>53.3228035526</v>
      </c>
      <c r="P6069">
        <v>-7.4940167765582502E-2</v>
      </c>
      <c r="Q6069">
        <v>0.71512947092935497</v>
      </c>
      <c r="R6069">
        <v>0.82876976217210596</v>
      </c>
      <c r="S6069" t="s">
        <v>12685</v>
      </c>
      <c r="T6069" t="s">
        <v>13232</v>
      </c>
      <c r="U6069" t="s">
        <v>13232</v>
      </c>
      <c r="V6069" t="s">
        <v>13232</v>
      </c>
      <c r="W6069" t="s">
        <v>19227</v>
      </c>
      <c r="X6069">
        <v>3</v>
      </c>
      <c r="Y6069" t="s">
        <v>25605</v>
      </c>
      <c r="Z6069" t="s">
        <v>32200</v>
      </c>
      <c r="AA6069">
        <v>0.84281343978277057</v>
      </c>
      <c r="AB6069" t="str">
        <f>HYPERLINK("Melting_Curves/meltCurve_Q9P246_STIM2.pdf", "Melting_Curves/meltCurve_Q9P246_STIM2.pdf")</f>
        <v>Melting_Curves/meltCurve_Q9P246_STIM2.pdf</v>
      </c>
    </row>
    <row r="6070" spans="1:28" x14ac:dyDescent="0.25">
      <c r="A6070" t="s">
        <v>6073</v>
      </c>
      <c r="B6070">
        <v>0.99930955844802105</v>
      </c>
      <c r="C6070">
        <v>0.71167748628684202</v>
      </c>
      <c r="D6070">
        <v>0.73789298684332105</v>
      </c>
      <c r="E6070">
        <v>0.53511660787920401</v>
      </c>
      <c r="F6070">
        <v>0.28759801974346999</v>
      </c>
      <c r="G6070">
        <v>0.18424175498770101</v>
      </c>
      <c r="H6070">
        <v>0.111496605473064</v>
      </c>
      <c r="I6070">
        <v>8.4762171954924498E-2</v>
      </c>
      <c r="J6070">
        <v>7.4539103591642106E-2</v>
      </c>
      <c r="K6070">
        <v>5.95135555228E-2</v>
      </c>
      <c r="L6070">
        <v>529.803177866292</v>
      </c>
      <c r="M6070">
        <v>10.7123398813245</v>
      </c>
      <c r="N6070">
        <v>49.515120215254697</v>
      </c>
      <c r="O6070">
        <v>47.827237861520402</v>
      </c>
      <c r="P6070">
        <v>-5.5667596556924499E-2</v>
      </c>
      <c r="Q6070">
        <v>6.2178534406615001E-3</v>
      </c>
      <c r="R6070">
        <v>0.97172226329587597</v>
      </c>
      <c r="S6070" t="s">
        <v>12686</v>
      </c>
      <c r="T6070" t="s">
        <v>13232</v>
      </c>
      <c r="U6070" t="s">
        <v>13232</v>
      </c>
      <c r="V6070" t="s">
        <v>13232</v>
      </c>
      <c r="W6070" t="s">
        <v>19228</v>
      </c>
      <c r="X6070">
        <v>17</v>
      </c>
      <c r="Y6070" t="s">
        <v>25606</v>
      </c>
      <c r="Z6070" t="s">
        <v>32201</v>
      </c>
      <c r="AA6070">
        <v>0.36192270503498192</v>
      </c>
      <c r="AB6070" t="str">
        <f>HYPERLINK("Melting_Curves/meltCurve_Q9P253_VPS18.pdf", "Melting_Curves/meltCurve_Q9P253_VPS18.pdf")</f>
        <v>Melting_Curves/meltCurve_Q9P253_VPS18.pdf</v>
      </c>
    </row>
    <row r="6071" spans="1:28" x14ac:dyDescent="0.25">
      <c r="A6071" t="s">
        <v>6074</v>
      </c>
      <c r="B6071">
        <v>0.99930955844802105</v>
      </c>
      <c r="C6071">
        <v>1.0006030803666699</v>
      </c>
      <c r="D6071">
        <v>1.00345529638978</v>
      </c>
      <c r="E6071">
        <v>0.84313291192273498</v>
      </c>
      <c r="F6071">
        <v>0.30501998568094402</v>
      </c>
      <c r="G6071">
        <v>0.164817733575394</v>
      </c>
      <c r="H6071">
        <v>0.103261871524454</v>
      </c>
      <c r="I6071">
        <v>8.7661023891860701E-2</v>
      </c>
      <c r="J6071">
        <v>8.0001144853777698E-2</v>
      </c>
      <c r="K6071">
        <v>6.1458625883796102E-2</v>
      </c>
      <c r="L6071">
        <v>2349.3696787985</v>
      </c>
      <c r="M6071">
        <v>45.470181468945597</v>
      </c>
      <c r="N6071">
        <v>51.909960056185596</v>
      </c>
      <c r="O6071">
        <v>51.568719652997601</v>
      </c>
      <c r="P6071">
        <v>-0.199413510028183</v>
      </c>
      <c r="Q6071">
        <v>9.5364369660667206E-2</v>
      </c>
      <c r="R6071">
        <v>0.99713498438249104</v>
      </c>
      <c r="S6071" t="s">
        <v>12687</v>
      </c>
      <c r="T6071" t="s">
        <v>13232</v>
      </c>
      <c r="U6071" t="s">
        <v>13232</v>
      </c>
      <c r="V6071" t="s">
        <v>13232</v>
      </c>
      <c r="W6071" t="s">
        <v>19229</v>
      </c>
      <c r="X6071">
        <v>34</v>
      </c>
      <c r="Y6071" t="s">
        <v>25607</v>
      </c>
      <c r="Z6071" t="s">
        <v>32202</v>
      </c>
      <c r="AA6071">
        <v>0.44971371398399812</v>
      </c>
      <c r="AB6071" t="str">
        <f>HYPERLINK("Melting_Curves/meltCurve_Q9P258_RCC2.pdf", "Melting_Curves/meltCurve_Q9P258_RCC2.pdf")</f>
        <v>Melting_Curves/meltCurve_Q9P258_RCC2.pdf</v>
      </c>
    </row>
    <row r="6072" spans="1:28" x14ac:dyDescent="0.25">
      <c r="A6072" t="s">
        <v>6075</v>
      </c>
      <c r="B6072">
        <v>0.99930955844802105</v>
      </c>
      <c r="C6072">
        <v>0.92637087594754397</v>
      </c>
      <c r="D6072">
        <v>0.83489093729173802</v>
      </c>
      <c r="E6072">
        <v>0.62375059279366696</v>
      </c>
      <c r="F6072">
        <v>0.292420520742743</v>
      </c>
      <c r="G6072">
        <v>0.192559881707386</v>
      </c>
      <c r="H6072">
        <v>0.126294334306502</v>
      </c>
      <c r="I6072">
        <v>0.110590421199542</v>
      </c>
      <c r="J6072">
        <v>0.10144232590574601</v>
      </c>
      <c r="K6072">
        <v>8.3515968602065699E-2</v>
      </c>
      <c r="L6072">
        <v>904.3360949616</v>
      </c>
      <c r="M6072">
        <v>17.978426745313101</v>
      </c>
      <c r="N6072">
        <v>50.828125207996301</v>
      </c>
      <c r="O6072">
        <v>49.691242257571901</v>
      </c>
      <c r="P6072">
        <v>-8.27644051511498E-2</v>
      </c>
      <c r="Q6072">
        <v>8.50231327918336E-2</v>
      </c>
      <c r="R6072">
        <v>0.99365620490901096</v>
      </c>
      <c r="S6072" t="s">
        <v>12688</v>
      </c>
      <c r="T6072" t="s">
        <v>13232</v>
      </c>
      <c r="U6072" t="s">
        <v>13232</v>
      </c>
      <c r="V6072" t="s">
        <v>13232</v>
      </c>
      <c r="W6072" t="s">
        <v>19230</v>
      </c>
      <c r="X6072">
        <v>15</v>
      </c>
      <c r="Y6072" t="s">
        <v>25608</v>
      </c>
      <c r="Z6072" t="s">
        <v>32203</v>
      </c>
      <c r="AA6072">
        <v>0.4147805013598122</v>
      </c>
      <c r="AB6072" t="str">
        <f>HYPERLINK("Melting_Curves/meltCurve_Q9P260_KIAA1468.pdf", "Melting_Curves/meltCurve_Q9P260_KIAA1468.pdf")</f>
        <v>Melting_Curves/meltCurve_Q9P260_KIAA1468.pdf</v>
      </c>
    </row>
    <row r="6073" spans="1:28" x14ac:dyDescent="0.25">
      <c r="A6073" t="s">
        <v>6076</v>
      </c>
      <c r="B6073">
        <v>0.99930955844802105</v>
      </c>
      <c r="C6073">
        <v>1.0075079633136099</v>
      </c>
      <c r="D6073">
        <v>1.0124942239185699</v>
      </c>
      <c r="E6073">
        <v>0.94850423490491298</v>
      </c>
      <c r="F6073">
        <v>0.70919843119507997</v>
      </c>
      <c r="G6073">
        <v>0.40630011021635198</v>
      </c>
      <c r="H6073">
        <v>0.28976970155947201</v>
      </c>
      <c r="I6073">
        <v>0.29488387514598302</v>
      </c>
      <c r="J6073">
        <v>0.27615537646525501</v>
      </c>
      <c r="K6073">
        <v>0.22076785831707599</v>
      </c>
      <c r="L6073">
        <v>1502.9358073036101</v>
      </c>
      <c r="M6073">
        <v>27.8376859832203</v>
      </c>
      <c r="N6073">
        <v>55.453920872487402</v>
      </c>
      <c r="O6073">
        <v>53.712947618757603</v>
      </c>
      <c r="P6073">
        <v>-9.5840289093717404E-2</v>
      </c>
      <c r="Q6073">
        <v>0.26030931208087399</v>
      </c>
      <c r="R6073">
        <v>0.99675204898057701</v>
      </c>
      <c r="S6073" t="s">
        <v>12689</v>
      </c>
      <c r="T6073" t="s">
        <v>13232</v>
      </c>
      <c r="U6073" t="s">
        <v>13232</v>
      </c>
      <c r="V6073" t="s">
        <v>13232</v>
      </c>
      <c r="W6073" t="s">
        <v>19231</v>
      </c>
      <c r="X6073">
        <v>46</v>
      </c>
      <c r="Y6073" t="s">
        <v>25609</v>
      </c>
      <c r="Z6073" t="s">
        <v>32204</v>
      </c>
      <c r="AA6073">
        <v>0.61083820095339769</v>
      </c>
      <c r="AB6073" t="str">
        <f>HYPERLINK("Melting_Curves/meltCurve_Q9P265_DIP2B.pdf", "Melting_Curves/meltCurve_Q9P265_DIP2B.pdf")</f>
        <v>Melting_Curves/meltCurve_Q9P265_DIP2B.pdf</v>
      </c>
    </row>
    <row r="6074" spans="1:28" x14ac:dyDescent="0.25">
      <c r="A6074" t="s">
        <v>6077</v>
      </c>
      <c r="B6074">
        <v>0.99930955844802105</v>
      </c>
      <c r="C6074">
        <v>1.0636692904296501</v>
      </c>
      <c r="D6074">
        <v>1.10290812482324</v>
      </c>
      <c r="E6074">
        <v>1.0250933762404699</v>
      </c>
      <c r="F6074">
        <v>0.88582071221184899</v>
      </c>
      <c r="G6074">
        <v>0.67249566164688501</v>
      </c>
      <c r="H6074">
        <v>0.61576505126272896</v>
      </c>
      <c r="I6074">
        <v>0.63930504607289196</v>
      </c>
      <c r="J6074">
        <v>0.60353161788245802</v>
      </c>
      <c r="K6074">
        <v>0.523480221492161</v>
      </c>
      <c r="L6074">
        <v>1917.4458133931801</v>
      </c>
      <c r="M6074">
        <v>35.069626717270701</v>
      </c>
      <c r="O6074">
        <v>54.498533190311697</v>
      </c>
      <c r="P6074">
        <v>-6.5654191065893097E-2</v>
      </c>
      <c r="Q6074">
        <v>0.59189248452461796</v>
      </c>
      <c r="R6074">
        <v>0.94747672226999702</v>
      </c>
      <c r="S6074" t="s">
        <v>12690</v>
      </c>
      <c r="T6074" t="s">
        <v>13232</v>
      </c>
      <c r="U6074" t="s">
        <v>13232</v>
      </c>
      <c r="V6074" t="s">
        <v>13232</v>
      </c>
      <c r="W6074" t="s">
        <v>19232</v>
      </c>
      <c r="X6074">
        <v>20</v>
      </c>
      <c r="Y6074" t="s">
        <v>25610</v>
      </c>
      <c r="Z6074" t="s">
        <v>32205</v>
      </c>
      <c r="AA6074">
        <v>0.7935256312711646</v>
      </c>
      <c r="AB6074" t="str">
        <f>HYPERLINK("Melting_Curves/meltCurve_Q9P270_SLAIN2.pdf", "Melting_Curves/meltCurve_Q9P270_SLAIN2.pdf")</f>
        <v>Melting_Curves/meltCurve_Q9P270_SLAIN2.pdf</v>
      </c>
    </row>
    <row r="6075" spans="1:28" x14ac:dyDescent="0.25">
      <c r="A6075" t="s">
        <v>6078</v>
      </c>
      <c r="B6075">
        <v>0.99930955844802105</v>
      </c>
      <c r="C6075">
        <v>1.1975628978242301</v>
      </c>
      <c r="D6075">
        <v>1.1202270730110899</v>
      </c>
      <c r="E6075">
        <v>1.10269824738943</v>
      </c>
      <c r="F6075">
        <v>1.0403804072864899</v>
      </c>
      <c r="G6075">
        <v>1.0780141593199699</v>
      </c>
      <c r="H6075">
        <v>1.2260069439486101</v>
      </c>
      <c r="I6075">
        <v>1.4393732110298101</v>
      </c>
      <c r="J6075">
        <v>1.65469330848412</v>
      </c>
      <c r="K6075">
        <v>1.26923617551905</v>
      </c>
      <c r="L6075">
        <v>3642.7022895908199</v>
      </c>
      <c r="M6075">
        <v>59.741034909229199</v>
      </c>
      <c r="O6075">
        <v>60.906666665172999</v>
      </c>
      <c r="P6075">
        <v>0.113420050430753</v>
      </c>
      <c r="Q6075">
        <v>1.4625319468329301</v>
      </c>
      <c r="R6075">
        <v>0.59984813962563499</v>
      </c>
      <c r="S6075" t="s">
        <v>12691</v>
      </c>
      <c r="T6075" t="s">
        <v>13232</v>
      </c>
      <c r="U6075" t="s">
        <v>13232</v>
      </c>
      <c r="V6075" t="s">
        <v>13232</v>
      </c>
      <c r="W6075" t="s">
        <v>19233</v>
      </c>
      <c r="X6075">
        <v>19</v>
      </c>
      <c r="Y6075" t="s">
        <v>25611</v>
      </c>
      <c r="Z6075" t="s">
        <v>32206</v>
      </c>
      <c r="AA6075">
        <v>1.138286707502697</v>
      </c>
      <c r="AB6075" t="str">
        <f>HYPERLINK("Melting_Curves/meltCurve_Q9P275_USP36.pdf", "Melting_Curves/meltCurve_Q9P275_USP36.pdf")</f>
        <v>Melting_Curves/meltCurve_Q9P275_USP36.pdf</v>
      </c>
    </row>
    <row r="6076" spans="1:28" x14ac:dyDescent="0.25">
      <c r="A6076" t="s">
        <v>6079</v>
      </c>
      <c r="B6076">
        <v>0.99930955844802105</v>
      </c>
      <c r="C6076">
        <v>1.1101587146237</v>
      </c>
      <c r="D6076">
        <v>1.0294978015888201</v>
      </c>
      <c r="E6076">
        <v>0.74743259814080898</v>
      </c>
      <c r="F6076">
        <v>0.34388575868314503</v>
      </c>
      <c r="G6076">
        <v>0.180635960271912</v>
      </c>
      <c r="H6076">
        <v>9.8348654529173005E-2</v>
      </c>
      <c r="I6076">
        <v>8.2229540616103505E-2</v>
      </c>
      <c r="J6076">
        <v>7.4126778078851902E-2</v>
      </c>
      <c r="K6076">
        <v>6.0296816730518697E-2</v>
      </c>
      <c r="L6076">
        <v>1629.37750349727</v>
      </c>
      <c r="M6076">
        <v>31.605973917078099</v>
      </c>
      <c r="N6076">
        <v>51.864043309221202</v>
      </c>
      <c r="O6076">
        <v>51.3477784885267</v>
      </c>
      <c r="P6076">
        <v>-0.14059090769297999</v>
      </c>
      <c r="Q6076">
        <v>8.6376345879668998E-2</v>
      </c>
      <c r="R6076">
        <v>0.98956950552315603</v>
      </c>
      <c r="S6076" t="s">
        <v>12692</v>
      </c>
      <c r="T6076" t="s">
        <v>13232</v>
      </c>
      <c r="U6076" t="s">
        <v>13232</v>
      </c>
      <c r="V6076" t="s">
        <v>13232</v>
      </c>
      <c r="W6076" t="s">
        <v>19234</v>
      </c>
      <c r="X6076">
        <v>12</v>
      </c>
      <c r="Y6076" t="s">
        <v>25612</v>
      </c>
      <c r="Z6076" t="s">
        <v>32207</v>
      </c>
      <c r="AA6076">
        <v>0.4434310011803293</v>
      </c>
      <c r="AB6076" t="str">
        <f>HYPERLINK("Melting_Curves/meltCurve_Q9P287_BCCIP.pdf", "Melting_Curves/meltCurve_Q9P287_BCCIP.pdf")</f>
        <v>Melting_Curves/meltCurve_Q9P287_BCCIP.pdf</v>
      </c>
    </row>
    <row r="6077" spans="1:28" x14ac:dyDescent="0.25">
      <c r="A6077" t="s">
        <v>6080</v>
      </c>
      <c r="B6077">
        <v>0.99930955844802105</v>
      </c>
      <c r="C6077">
        <v>0.89728064501910698</v>
      </c>
      <c r="D6077">
        <v>0.53964804168186398</v>
      </c>
      <c r="E6077">
        <v>0.39320478606916198</v>
      </c>
      <c r="F6077">
        <v>0.28515979075603198</v>
      </c>
      <c r="G6077">
        <v>0.22240752146934201</v>
      </c>
      <c r="H6077">
        <v>0.183308988483177</v>
      </c>
      <c r="I6077">
        <v>0.17305869788141201</v>
      </c>
      <c r="J6077">
        <v>0.15682354015886599</v>
      </c>
      <c r="K6077">
        <v>0.128889016935963</v>
      </c>
      <c r="L6077">
        <v>803.58088695424101</v>
      </c>
      <c r="M6077">
        <v>17.276803850812399</v>
      </c>
      <c r="N6077">
        <v>47.625860590431998</v>
      </c>
      <c r="O6077">
        <v>45.902402761182003</v>
      </c>
      <c r="P6077">
        <v>-7.8462730460568106E-2</v>
      </c>
      <c r="Q6077">
        <v>0.166184091968544</v>
      </c>
      <c r="R6077">
        <v>0.98166883557965301</v>
      </c>
      <c r="S6077" t="s">
        <v>12693</v>
      </c>
      <c r="T6077" t="s">
        <v>13232</v>
      </c>
      <c r="U6077" t="s">
        <v>13232</v>
      </c>
      <c r="V6077" t="s">
        <v>13232</v>
      </c>
      <c r="W6077" t="s">
        <v>19235</v>
      </c>
      <c r="X6077">
        <v>21</v>
      </c>
      <c r="Y6077" t="s">
        <v>25613</v>
      </c>
      <c r="Z6077" t="s">
        <v>32208</v>
      </c>
      <c r="AA6077">
        <v>0.36447710443637837</v>
      </c>
      <c r="AB6077" t="str">
        <f>HYPERLINK("Melting_Curves/meltCurve_Q9P289_MST4.pdf", "Melting_Curves/meltCurve_Q9P289_MST4.pdf")</f>
        <v>Melting_Curves/meltCurve_Q9P289_MST4.pdf</v>
      </c>
    </row>
    <row r="6078" spans="1:28" x14ac:dyDescent="0.25">
      <c r="A6078" t="s">
        <v>6081</v>
      </c>
      <c r="B6078">
        <v>0.99930955844802105</v>
      </c>
      <c r="C6078">
        <v>0.97494907721873902</v>
      </c>
      <c r="D6078">
        <v>1.0302048133841699</v>
      </c>
      <c r="E6078">
        <v>0.93087674659914998</v>
      </c>
      <c r="F6078">
        <v>0.83834259525675203</v>
      </c>
      <c r="G6078">
        <v>0.76678227437814594</v>
      </c>
      <c r="H6078">
        <v>0.66166106661207402</v>
      </c>
      <c r="I6078">
        <v>0.75067715130472301</v>
      </c>
      <c r="J6078">
        <v>0.72647124990077305</v>
      </c>
      <c r="K6078">
        <v>0.62362250623119297</v>
      </c>
      <c r="L6078">
        <v>1112.7413764872599</v>
      </c>
      <c r="M6078">
        <v>20.906531791073899</v>
      </c>
      <c r="O6078">
        <v>52.744784563862503</v>
      </c>
      <c r="P6078">
        <v>-3.1260684628009697E-2</v>
      </c>
      <c r="Q6078">
        <v>0.68454006619170005</v>
      </c>
      <c r="R6078">
        <v>0.93074724969879796</v>
      </c>
      <c r="S6078" t="s">
        <v>12694</v>
      </c>
      <c r="T6078" t="s">
        <v>13232</v>
      </c>
      <c r="U6078" t="s">
        <v>13232</v>
      </c>
      <c r="V6078" t="s">
        <v>13232</v>
      </c>
      <c r="W6078" t="s">
        <v>19236</v>
      </c>
      <c r="X6078">
        <v>6</v>
      </c>
      <c r="Y6078" t="s">
        <v>25614</v>
      </c>
      <c r="Z6078" t="s">
        <v>32209</v>
      </c>
      <c r="AA6078">
        <v>0.82761509660258037</v>
      </c>
      <c r="AB6078" t="str">
        <f>HYPERLINK("Melting_Curves/meltCurve_Q9P2B4_CTTNBP2NL.pdf", "Melting_Curves/meltCurve_Q9P2B4_CTTNBP2NL.pdf")</f>
        <v>Melting_Curves/meltCurve_Q9P2B4_CTTNBP2NL.pdf</v>
      </c>
    </row>
    <row r="6079" spans="1:28" x14ac:dyDescent="0.25">
      <c r="A6079" t="s">
        <v>6082</v>
      </c>
      <c r="B6079">
        <v>0.99930955844802105</v>
      </c>
      <c r="C6079">
        <v>1.03148331494776</v>
      </c>
      <c r="D6079">
        <v>1.09660767207918</v>
      </c>
      <c r="E6079">
        <v>1.03134684416083</v>
      </c>
      <c r="F6079">
        <v>0.94131979067958205</v>
      </c>
      <c r="G6079">
        <v>0.93996519708211801</v>
      </c>
      <c r="H6079">
        <v>0.91891333393670005</v>
      </c>
      <c r="I6079">
        <v>1.00219651817546</v>
      </c>
      <c r="J6079">
        <v>0.95535873499734603</v>
      </c>
      <c r="K6079">
        <v>0.70476554437384298</v>
      </c>
      <c r="L6079">
        <v>3404.6839424319501</v>
      </c>
      <c r="M6079">
        <v>47.767559417967803</v>
      </c>
      <c r="Q6079">
        <v>0</v>
      </c>
      <c r="R6079">
        <v>0.750160097001627</v>
      </c>
      <c r="S6079" t="s">
        <v>12695</v>
      </c>
      <c r="T6079" t="s">
        <v>13232</v>
      </c>
      <c r="U6079" t="s">
        <v>13232</v>
      </c>
      <c r="V6079" t="s">
        <v>13232</v>
      </c>
      <c r="W6079" t="s">
        <v>19237</v>
      </c>
      <c r="X6079">
        <v>4</v>
      </c>
      <c r="Y6079" t="s">
        <v>25615</v>
      </c>
      <c r="Z6079" t="s">
        <v>32210</v>
      </c>
      <c r="AA6079">
        <v>0.98393201976989864</v>
      </c>
      <c r="AB6079" t="str">
        <f>HYPERLINK("Melting_Curves/meltCurve_Q9P2B7_2_KIAA1430.pdf", "Melting_Curves/meltCurve_Q9P2B7_2_KIAA1430.pdf")</f>
        <v>Melting_Curves/meltCurve_Q9P2B7_2_KIAA1430.pdf</v>
      </c>
    </row>
    <row r="6080" spans="1:28" x14ac:dyDescent="0.25">
      <c r="A6080" t="s">
        <v>6083</v>
      </c>
      <c r="B6080">
        <v>0.99930955844802105</v>
      </c>
      <c r="C6080">
        <v>1.07376026836481</v>
      </c>
      <c r="D6080">
        <v>1.0248787807049899</v>
      </c>
      <c r="E6080">
        <v>0.90617948599352005</v>
      </c>
      <c r="F6080">
        <v>0.74120584867830297</v>
      </c>
      <c r="G6080">
        <v>0.61860570607116605</v>
      </c>
      <c r="H6080">
        <v>0.61369115131899599</v>
      </c>
      <c r="I6080">
        <v>0.65960168565970001</v>
      </c>
      <c r="J6080">
        <v>0.66188915499239698</v>
      </c>
      <c r="K6080">
        <v>0.53548655543633095</v>
      </c>
      <c r="L6080">
        <v>1814.13631363488</v>
      </c>
      <c r="M6080">
        <v>35.027744472591301</v>
      </c>
      <c r="O6080">
        <v>51.6234897181441</v>
      </c>
      <c r="P6080">
        <v>-6.5301738945184706E-2</v>
      </c>
      <c r="Q6080">
        <v>0.61503762901458703</v>
      </c>
      <c r="R6080">
        <v>0.95172235604324296</v>
      </c>
      <c r="S6080" t="s">
        <v>12696</v>
      </c>
      <c r="T6080" t="s">
        <v>13232</v>
      </c>
      <c r="U6080" t="s">
        <v>13232</v>
      </c>
      <c r="V6080" t="s">
        <v>13232</v>
      </c>
      <c r="W6080" t="s">
        <v>19238</v>
      </c>
      <c r="X6080">
        <v>31</v>
      </c>
      <c r="Y6080" t="s">
        <v>25616</v>
      </c>
      <c r="Z6080" t="s">
        <v>32211</v>
      </c>
      <c r="AA6080">
        <v>0.76814475139020988</v>
      </c>
      <c r="AB6080" t="str">
        <f>HYPERLINK("Melting_Curves/meltCurve_Q9P2D1_CHD7.pdf", "Melting_Curves/meltCurve_Q9P2D1_CHD7.pdf")</f>
        <v>Melting_Curves/meltCurve_Q9P2D1_CHD7.pdf</v>
      </c>
    </row>
    <row r="6081" spans="1:28" x14ac:dyDescent="0.25">
      <c r="A6081" t="s">
        <v>6084</v>
      </c>
      <c r="B6081">
        <v>0.99930955844802105</v>
      </c>
      <c r="C6081">
        <v>0.95081785779535699</v>
      </c>
      <c r="D6081">
        <v>0.91037509186802201</v>
      </c>
      <c r="E6081">
        <v>0.717685113407321</v>
      </c>
      <c r="F6081">
        <v>0.317158761061758</v>
      </c>
      <c r="G6081">
        <v>0.23948990290011099</v>
      </c>
      <c r="H6081">
        <v>0.14675952351624599</v>
      </c>
      <c r="I6081">
        <v>0.13020919698849201</v>
      </c>
      <c r="J6081">
        <v>0.12197229187729899</v>
      </c>
      <c r="K6081">
        <v>8.9188296856101898E-2</v>
      </c>
      <c r="L6081">
        <v>1231.7339843966899</v>
      </c>
      <c r="M6081">
        <v>24.122800735567498</v>
      </c>
      <c r="N6081">
        <v>51.651082131042799</v>
      </c>
      <c r="O6081">
        <v>50.713952859745703</v>
      </c>
      <c r="P6081">
        <v>-0.104595490148795</v>
      </c>
      <c r="Q6081">
        <v>0.120438802561456</v>
      </c>
      <c r="R6081">
        <v>0.99056022681896305</v>
      </c>
      <c r="S6081" t="s">
        <v>12697</v>
      </c>
      <c r="T6081" t="s">
        <v>13232</v>
      </c>
      <c r="U6081" t="s">
        <v>13232</v>
      </c>
      <c r="V6081" t="s">
        <v>13232</v>
      </c>
      <c r="W6081" t="s">
        <v>19239</v>
      </c>
      <c r="X6081">
        <v>26</v>
      </c>
      <c r="Y6081" t="s">
        <v>25617</v>
      </c>
      <c r="Z6081" t="s">
        <v>32212</v>
      </c>
      <c r="AA6081">
        <v>0.45326021088712692</v>
      </c>
      <c r="AB6081" t="str">
        <f>HYPERLINK("Melting_Curves/meltCurve_Q9P2D3_HEATR5B.pdf", "Melting_Curves/meltCurve_Q9P2D3_HEATR5B.pdf")</f>
        <v>Melting_Curves/meltCurve_Q9P2D3_HEATR5B.pdf</v>
      </c>
    </row>
    <row r="6082" spans="1:28" x14ac:dyDescent="0.25">
      <c r="A6082" t="s">
        <v>6085</v>
      </c>
      <c r="B6082">
        <v>0.99930955844802105</v>
      </c>
      <c r="C6082">
        <v>1.3603513288773601</v>
      </c>
      <c r="D6082">
        <v>1.3820843607289599</v>
      </c>
      <c r="E6082">
        <v>1.57531616205731</v>
      </c>
      <c r="F6082">
        <v>1.65068795441435</v>
      </c>
      <c r="G6082">
        <v>1.11499486688118</v>
      </c>
      <c r="H6082">
        <v>0.67899606759988296</v>
      </c>
      <c r="I6082">
        <v>0.25318703150486699</v>
      </c>
      <c r="J6082">
        <v>0.251809066476888</v>
      </c>
      <c r="K6082">
        <v>9.4472732951051602E-2</v>
      </c>
      <c r="L6082">
        <v>3752.9339947132999</v>
      </c>
      <c r="M6082">
        <v>61.020679518145101</v>
      </c>
      <c r="N6082">
        <v>61.934371281277699</v>
      </c>
      <c r="O6082">
        <v>61.436730250072699</v>
      </c>
      <c r="P6082">
        <v>-0.205293529453702</v>
      </c>
      <c r="Q6082">
        <v>0.17322759013363001</v>
      </c>
      <c r="R6082">
        <v>0.652703897654341</v>
      </c>
      <c r="S6082" t="s">
        <v>12698</v>
      </c>
      <c r="T6082" t="s">
        <v>13232</v>
      </c>
      <c r="U6082" t="s">
        <v>13232</v>
      </c>
      <c r="V6082" t="s">
        <v>13232</v>
      </c>
      <c r="W6082" t="s">
        <v>19240</v>
      </c>
      <c r="X6082">
        <v>3</v>
      </c>
      <c r="Y6082" t="s">
        <v>25618</v>
      </c>
      <c r="Z6082" t="s">
        <v>32213</v>
      </c>
      <c r="AA6082">
        <v>0.7673015441090415</v>
      </c>
      <c r="AB6082" t="str">
        <f>HYPERLINK("Melting_Curves/meltCurve_Q9P2E3_ZNFX1.pdf", "Melting_Curves/meltCurve_Q9P2E3_ZNFX1.pdf")</f>
        <v>Melting_Curves/meltCurve_Q9P2E3_ZNFX1.pdf</v>
      </c>
    </row>
    <row r="6083" spans="1:28" x14ac:dyDescent="0.25">
      <c r="A6083" t="s">
        <v>6086</v>
      </c>
      <c r="B6083">
        <v>0.99930955844802105</v>
      </c>
      <c r="C6083">
        <v>1.0044868445947199</v>
      </c>
      <c r="D6083">
        <v>0.99252997351877503</v>
      </c>
      <c r="E6083">
        <v>0.97759023129303502</v>
      </c>
      <c r="F6083">
        <v>0.94326967737844203</v>
      </c>
      <c r="G6083">
        <v>0.84672633117246598</v>
      </c>
      <c r="H6083">
        <v>0.77849604730595701</v>
      </c>
      <c r="I6083">
        <v>0.77601514793493498</v>
      </c>
      <c r="J6083">
        <v>0.80406128660026799</v>
      </c>
      <c r="K6083">
        <v>0.62077504625931101</v>
      </c>
      <c r="L6083">
        <v>471.22560647452599</v>
      </c>
      <c r="M6083">
        <v>6.8084615625356504</v>
      </c>
      <c r="O6083">
        <v>63.977372264642902</v>
      </c>
      <c r="P6083">
        <v>-1.68903857500276E-2</v>
      </c>
      <c r="Q6083">
        <v>0.36644150601758102</v>
      </c>
      <c r="R6083">
        <v>0.90961850469577799</v>
      </c>
      <c r="S6083" t="s">
        <v>12699</v>
      </c>
      <c r="T6083" t="s">
        <v>13232</v>
      </c>
      <c r="U6083" t="s">
        <v>13232</v>
      </c>
      <c r="V6083" t="s">
        <v>13232</v>
      </c>
      <c r="W6083" t="s">
        <v>19241</v>
      </c>
      <c r="X6083">
        <v>61</v>
      </c>
      <c r="Y6083" t="s">
        <v>25619</v>
      </c>
      <c r="Z6083" t="s">
        <v>32214</v>
      </c>
      <c r="AA6083">
        <v>0.8790514318758742</v>
      </c>
      <c r="AB6083" t="str">
        <f>HYPERLINK("Melting_Curves/meltCurve_Q9P2E9_RRBP1.pdf", "Melting_Curves/meltCurve_Q9P2E9_RRBP1.pdf")</f>
        <v>Melting_Curves/meltCurve_Q9P2E9_RRBP1.pdf</v>
      </c>
    </row>
    <row r="6084" spans="1:28" x14ac:dyDescent="0.25">
      <c r="A6084" t="s">
        <v>6087</v>
      </c>
      <c r="B6084">
        <v>0.99930955844802105</v>
      </c>
      <c r="C6084">
        <v>0.95107535506920904</v>
      </c>
      <c r="D6084">
        <v>0.701133527568086</v>
      </c>
      <c r="E6084">
        <v>0.61061535928784605</v>
      </c>
      <c r="F6084">
        <v>0.50304784934106495</v>
      </c>
      <c r="G6084">
        <v>0.38806702587185699</v>
      </c>
      <c r="H6084">
        <v>0.33484943713710402</v>
      </c>
      <c r="I6084">
        <v>0.33352448943356999</v>
      </c>
      <c r="J6084">
        <v>0.36706611663984301</v>
      </c>
      <c r="K6084">
        <v>0.32083998415092102</v>
      </c>
      <c r="L6084">
        <v>671.98791335936903</v>
      </c>
      <c r="M6084">
        <v>13.8961236098455</v>
      </c>
      <c r="N6084">
        <v>52.247679168322598</v>
      </c>
      <c r="O6084">
        <v>47.389486544431499</v>
      </c>
      <c r="P6084">
        <v>-4.9687322688362998E-2</v>
      </c>
      <c r="Q6084">
        <v>0.32230410130773501</v>
      </c>
      <c r="R6084">
        <v>0.97897991728067901</v>
      </c>
      <c r="S6084" t="s">
        <v>12700</v>
      </c>
      <c r="T6084" t="s">
        <v>13232</v>
      </c>
      <c r="U6084" t="s">
        <v>13232</v>
      </c>
      <c r="V6084" t="s">
        <v>13232</v>
      </c>
      <c r="W6084" t="s">
        <v>19242</v>
      </c>
      <c r="X6084">
        <v>1</v>
      </c>
      <c r="Y6084" t="s">
        <v>25620</v>
      </c>
      <c r="Z6084" t="s">
        <v>32215</v>
      </c>
      <c r="AA6084">
        <v>0.53097402727134158</v>
      </c>
      <c r="AB6084" t="str">
        <f>HYPERLINK("Melting_Curves/meltCurve_Q9P2F9_ZNF319.pdf", "Melting_Curves/meltCurve_Q9P2F9_ZNF319.pdf")</f>
        <v>Melting_Curves/meltCurve_Q9P2F9_ZNF319.pdf</v>
      </c>
    </row>
    <row r="6085" spans="1:28" x14ac:dyDescent="0.25">
      <c r="A6085" t="s">
        <v>6088</v>
      </c>
      <c r="B6085">
        <v>0.99930955844802105</v>
      </c>
      <c r="C6085">
        <v>0.71729819342308498</v>
      </c>
      <c r="D6085">
        <v>0.80083975410041197</v>
      </c>
      <c r="E6085">
        <v>0.64179450163731699</v>
      </c>
      <c r="F6085">
        <v>0.21543429279440099</v>
      </c>
      <c r="G6085">
        <v>0.131171308047214</v>
      </c>
      <c r="H6085">
        <v>6.3056456118375001E-2</v>
      </c>
      <c r="I6085">
        <v>5.3958979875623703E-2</v>
      </c>
      <c r="J6085">
        <v>4.6762247026801797E-2</v>
      </c>
      <c r="K6085">
        <v>3.6985476200218199E-2</v>
      </c>
      <c r="L6085">
        <v>668.60355688512504</v>
      </c>
      <c r="M6085">
        <v>13.3723948381675</v>
      </c>
      <c r="N6085">
        <v>49.998789276000998</v>
      </c>
      <c r="O6085">
        <v>48.920362880866598</v>
      </c>
      <c r="P6085">
        <v>-6.8348384999505601E-2</v>
      </c>
      <c r="Q6085">
        <v>0</v>
      </c>
      <c r="R6085">
        <v>0.945345808254763</v>
      </c>
      <c r="S6085" t="s">
        <v>12701</v>
      </c>
      <c r="T6085" t="s">
        <v>13232</v>
      </c>
      <c r="U6085" t="s">
        <v>13232</v>
      </c>
      <c r="V6085" t="s">
        <v>13232</v>
      </c>
      <c r="W6085" t="s">
        <v>19243</v>
      </c>
      <c r="X6085">
        <v>27</v>
      </c>
      <c r="Y6085" t="s">
        <v>25621</v>
      </c>
      <c r="Z6085" t="s">
        <v>32216</v>
      </c>
      <c r="AA6085">
        <v>0.36235400553393199</v>
      </c>
      <c r="AB6085" t="str">
        <f>HYPERLINK("Melting_Curves/meltCurve_Q9P2I0_CPSF2.pdf", "Melting_Curves/meltCurve_Q9P2I0_CPSF2.pdf")</f>
        <v>Melting_Curves/meltCurve_Q9P2I0_CPSF2.pdf</v>
      </c>
    </row>
    <row r="6086" spans="1:28" x14ac:dyDescent="0.25">
      <c r="A6086" t="s">
        <v>6089</v>
      </c>
      <c r="B6086">
        <v>0.99930955844802105</v>
      </c>
      <c r="C6086">
        <v>0.47452481706993799</v>
      </c>
      <c r="D6086">
        <v>0.27702006414047098</v>
      </c>
      <c r="E6086">
        <v>0.20540229288155601</v>
      </c>
      <c r="F6086">
        <v>0.13629383333387199</v>
      </c>
      <c r="G6086">
        <v>9.4357858258044894E-2</v>
      </c>
      <c r="H6086">
        <v>5.2842747063083298E-2</v>
      </c>
      <c r="I6086">
        <v>4.48656453636797E-2</v>
      </c>
      <c r="J6086">
        <v>4.0750550455205301E-2</v>
      </c>
      <c r="K6086">
        <v>3.0098516047733798E-2</v>
      </c>
      <c r="L6086">
        <v>1126.0086864881901</v>
      </c>
      <c r="M6086">
        <v>26.1700912113429</v>
      </c>
      <c r="N6086">
        <v>43.3295146894162</v>
      </c>
      <c r="O6086">
        <v>42.7776837417751</v>
      </c>
      <c r="P6086">
        <v>-0.14015638453036799</v>
      </c>
      <c r="Q6086">
        <v>8.3610919884155199E-2</v>
      </c>
      <c r="R6086">
        <v>0.95000722607032095</v>
      </c>
      <c r="S6086" t="s">
        <v>12702</v>
      </c>
      <c r="T6086" t="s">
        <v>13232</v>
      </c>
      <c r="U6086" t="s">
        <v>13232</v>
      </c>
      <c r="V6086" t="s">
        <v>13232</v>
      </c>
      <c r="W6086" t="s">
        <v>19244</v>
      </c>
      <c r="X6086">
        <v>44</v>
      </c>
      <c r="Y6086" t="s">
        <v>25622</v>
      </c>
      <c r="Z6086" t="s">
        <v>32217</v>
      </c>
      <c r="AA6086">
        <v>0.18774180393443959</v>
      </c>
      <c r="AB6086" t="str">
        <f>HYPERLINK("Melting_Curves/meltCurve_Q9P2J5_LARS.pdf", "Melting_Curves/meltCurve_Q9P2J5_LARS.pdf")</f>
        <v>Melting_Curves/meltCurve_Q9P2J5_LARS.pdf</v>
      </c>
    </row>
    <row r="6087" spans="1:28" x14ac:dyDescent="0.25">
      <c r="A6087" t="s">
        <v>6090</v>
      </c>
      <c r="B6087">
        <v>0.99930955844802105</v>
      </c>
      <c r="C6087">
        <v>0.92101357743383305</v>
      </c>
      <c r="D6087">
        <v>0.97191516192431104</v>
      </c>
      <c r="E6087">
        <v>0.86254198228081203</v>
      </c>
      <c r="F6087">
        <v>0.42420271174764401</v>
      </c>
      <c r="G6087">
        <v>0.241657454108539</v>
      </c>
      <c r="H6087">
        <v>0.115961890759645</v>
      </c>
      <c r="I6087">
        <v>9.0237351451934594E-2</v>
      </c>
      <c r="J6087">
        <v>7.8686210529507694E-2</v>
      </c>
      <c r="K6087">
        <v>6.0998686689668603E-2</v>
      </c>
      <c r="L6087">
        <v>1464.5349471643201</v>
      </c>
      <c r="M6087">
        <v>27.926837344252299</v>
      </c>
      <c r="N6087">
        <v>52.812618376880003</v>
      </c>
      <c r="O6087">
        <v>52.1751499522044</v>
      </c>
      <c r="P6087">
        <v>-0.121902236641559</v>
      </c>
      <c r="Q6087">
        <v>8.9017700930671101E-2</v>
      </c>
      <c r="R6087">
        <v>0.98923489185345304</v>
      </c>
      <c r="S6087" t="s">
        <v>12703</v>
      </c>
      <c r="T6087" t="s">
        <v>13232</v>
      </c>
      <c r="U6087" t="s">
        <v>13232</v>
      </c>
      <c r="V6087" t="s">
        <v>13232</v>
      </c>
      <c r="W6087" t="s">
        <v>19245</v>
      </c>
      <c r="X6087">
        <v>11</v>
      </c>
      <c r="Y6087" t="s">
        <v>25623</v>
      </c>
      <c r="Z6087" t="s">
        <v>32218</v>
      </c>
      <c r="AA6087">
        <v>0.47357214211433141</v>
      </c>
      <c r="AB6087" t="str">
        <f>HYPERLINK("Melting_Curves/meltCurve_Q9P2K3_RCOR3.pdf", "Melting_Curves/meltCurve_Q9P2K3_RCOR3.pdf")</f>
        <v>Melting_Curves/meltCurve_Q9P2K3_RCOR3.pdf</v>
      </c>
    </row>
    <row r="6088" spans="1:28" x14ac:dyDescent="0.25">
      <c r="A6088" t="s">
        <v>6091</v>
      </c>
      <c r="B6088">
        <v>0.99930955844802105</v>
      </c>
      <c r="C6088">
        <v>1.1821250633620699</v>
      </c>
      <c r="D6088">
        <v>1.0946853387881099</v>
      </c>
      <c r="E6088">
        <v>1.0169663608586601</v>
      </c>
      <c r="F6088">
        <v>0.83085376390251298</v>
      </c>
      <c r="G6088">
        <v>0.70644869335322302</v>
      </c>
      <c r="H6088">
        <v>0.583862782358886</v>
      </c>
      <c r="I6088">
        <v>0.58772343428368701</v>
      </c>
      <c r="J6088">
        <v>0.54865097894588899</v>
      </c>
      <c r="K6088">
        <v>0.383131221028149</v>
      </c>
      <c r="L6088">
        <v>977.167455348874</v>
      </c>
      <c r="M6088">
        <v>17.146676568705299</v>
      </c>
      <c r="N6088">
        <v>66.188179472615204</v>
      </c>
      <c r="O6088">
        <v>56.230537331187598</v>
      </c>
      <c r="P6088">
        <v>-4.1635863758041097E-2</v>
      </c>
      <c r="Q6088">
        <v>0.45387268157854699</v>
      </c>
      <c r="R6088">
        <v>0.89813875921819097</v>
      </c>
      <c r="S6088" t="s">
        <v>12704</v>
      </c>
      <c r="T6088" t="s">
        <v>13232</v>
      </c>
      <c r="U6088" t="s">
        <v>13232</v>
      </c>
      <c r="V6088" t="s">
        <v>13232</v>
      </c>
      <c r="W6088" t="s">
        <v>19246</v>
      </c>
      <c r="X6088">
        <v>2</v>
      </c>
      <c r="Y6088" t="s">
        <v>25624</v>
      </c>
      <c r="Z6088" t="s">
        <v>32219</v>
      </c>
      <c r="AA6088">
        <v>0.77098798377263678</v>
      </c>
      <c r="AB6088" t="str">
        <f>HYPERLINK("Melting_Curves/meltCurve_Q9P2K5_2_MYEF2.pdf", "Melting_Curves/meltCurve_Q9P2K5_2_MYEF2.pdf")</f>
        <v>Melting_Curves/meltCurve_Q9P2K5_2_MYEF2.pdf</v>
      </c>
    </row>
    <row r="6089" spans="1:28" x14ac:dyDescent="0.25">
      <c r="A6089" t="s">
        <v>6092</v>
      </c>
      <c r="B6089">
        <v>0.99930955844802105</v>
      </c>
      <c r="C6089">
        <v>0.73454048942056405</v>
      </c>
      <c r="D6089">
        <v>0.83229182164216897</v>
      </c>
      <c r="E6089">
        <v>0.77911169466085195</v>
      </c>
      <c r="F6089">
        <v>0.59357371867888697</v>
      </c>
      <c r="G6089">
        <v>0.22793957470117601</v>
      </c>
      <c r="H6089">
        <v>8.1309042781994495E-2</v>
      </c>
      <c r="I6089">
        <v>5.7001626003512197E-2</v>
      </c>
      <c r="J6089">
        <v>5.3384859823250599E-2</v>
      </c>
      <c r="K6089">
        <v>4.0903765278664003E-2</v>
      </c>
      <c r="L6089">
        <v>767.45109555531894</v>
      </c>
      <c r="M6089">
        <v>14.4128999498887</v>
      </c>
      <c r="N6089">
        <v>53.247518380719498</v>
      </c>
      <c r="O6089">
        <v>52.253935733874499</v>
      </c>
      <c r="P6089">
        <v>-6.8964194790378699E-2</v>
      </c>
      <c r="Q6089">
        <v>0</v>
      </c>
      <c r="R6089">
        <v>0.94160554901030902</v>
      </c>
      <c r="S6089" t="s">
        <v>12705</v>
      </c>
      <c r="T6089" t="s">
        <v>13232</v>
      </c>
      <c r="U6089" t="s">
        <v>13232</v>
      </c>
      <c r="V6089" t="s">
        <v>13232</v>
      </c>
      <c r="W6089" t="s">
        <v>19247</v>
      </c>
      <c r="X6089">
        <v>8</v>
      </c>
      <c r="Y6089" t="s">
        <v>25625</v>
      </c>
      <c r="Z6089" t="s">
        <v>32220</v>
      </c>
      <c r="AA6089">
        <v>0.46403441012668711</v>
      </c>
      <c r="AB6089" t="str">
        <f>HYPERLINK("Melting_Curves/meltCurve_Q9P2K6_KLHL42.pdf", "Melting_Curves/meltCurve_Q9P2K6_KLHL42.pdf")</f>
        <v>Melting_Curves/meltCurve_Q9P2K6_KLHL42.pdf</v>
      </c>
    </row>
    <row r="6090" spans="1:28" x14ac:dyDescent="0.25">
      <c r="A6090" t="s">
        <v>6093</v>
      </c>
      <c r="B6090">
        <v>0.99930955844802105</v>
      </c>
      <c r="C6090">
        <v>0.80334022726226395</v>
      </c>
      <c r="D6090">
        <v>0.57436094706790897</v>
      </c>
      <c r="E6090">
        <v>0.479383208939133</v>
      </c>
      <c r="F6090">
        <v>0.27894170732889301</v>
      </c>
      <c r="G6090">
        <v>0.194656385922678</v>
      </c>
      <c r="H6090">
        <v>9.9377877915191107E-2</v>
      </c>
      <c r="I6090">
        <v>0.105577142749831</v>
      </c>
      <c r="J6090">
        <v>0.10024791045834699</v>
      </c>
      <c r="K6090">
        <v>7.2340344411120305E-2</v>
      </c>
      <c r="L6090">
        <v>568.53488864221504</v>
      </c>
      <c r="M6090">
        <v>11.8463025104019</v>
      </c>
      <c r="N6090">
        <v>48.486391242709999</v>
      </c>
      <c r="O6090">
        <v>46.686282170861197</v>
      </c>
      <c r="P6090">
        <v>-5.9846185646927001E-2</v>
      </c>
      <c r="Q6090">
        <v>5.6823658896087301E-2</v>
      </c>
      <c r="R6090">
        <v>0.982972092602312</v>
      </c>
      <c r="S6090" t="s">
        <v>12706</v>
      </c>
      <c r="T6090" t="s">
        <v>13232</v>
      </c>
      <c r="U6090" t="s">
        <v>13232</v>
      </c>
      <c r="V6090" t="s">
        <v>13232</v>
      </c>
      <c r="W6090" t="s">
        <v>19248</v>
      </c>
      <c r="X6090">
        <v>13</v>
      </c>
      <c r="Y6090" t="s">
        <v>25626</v>
      </c>
      <c r="Z6090" t="s">
        <v>32221</v>
      </c>
      <c r="AA6090">
        <v>0.34587856347690649</v>
      </c>
      <c r="AB6090" t="str">
        <f>HYPERLINK("Melting_Curves/meltCurve_Q9P2K8_2_EIF2AK4.pdf", "Melting_Curves/meltCurve_Q9P2K8_2_EIF2AK4.pdf")</f>
        <v>Melting_Curves/meltCurve_Q9P2K8_2_EIF2AK4.pdf</v>
      </c>
    </row>
    <row r="6091" spans="1:28" x14ac:dyDescent="0.25">
      <c r="A6091" t="s">
        <v>6094</v>
      </c>
      <c r="B6091">
        <v>0.99930955844802105</v>
      </c>
      <c r="C6091">
        <v>1.27026427462322</v>
      </c>
      <c r="D6091">
        <v>1.21471434875002</v>
      </c>
      <c r="E6091">
        <v>1.2592421839708099</v>
      </c>
      <c r="F6091">
        <v>1.10028057607503</v>
      </c>
      <c r="G6091">
        <v>1.17597212389651</v>
      </c>
      <c r="H6091">
        <v>1.36416499531878</v>
      </c>
      <c r="I6091">
        <v>1.62775960690527</v>
      </c>
      <c r="J6091">
        <v>1.7838616748597</v>
      </c>
      <c r="K6091">
        <v>1.1956303754367901</v>
      </c>
      <c r="L6091">
        <v>357.00560043397797</v>
      </c>
      <c r="M6091">
        <v>7.0725629185136398</v>
      </c>
      <c r="O6091">
        <v>46.908027139339403</v>
      </c>
      <c r="P6091">
        <v>1.8880540066354399E-2</v>
      </c>
      <c r="Q6091">
        <v>1.5</v>
      </c>
      <c r="R6091">
        <v>0.34735589264238298</v>
      </c>
      <c r="S6091" t="s">
        <v>12707</v>
      </c>
      <c r="T6091" t="s">
        <v>13232</v>
      </c>
      <c r="U6091" t="s">
        <v>13232</v>
      </c>
      <c r="V6091" t="s">
        <v>13232</v>
      </c>
      <c r="W6091" t="s">
        <v>19249</v>
      </c>
      <c r="X6091">
        <v>4</v>
      </c>
      <c r="Y6091" t="s">
        <v>25627</v>
      </c>
      <c r="Z6091" t="s">
        <v>32222</v>
      </c>
      <c r="AA6091">
        <v>1.2933144174720519</v>
      </c>
      <c r="AB6091" t="str">
        <f>HYPERLINK("Melting_Curves/meltCurve_Q9P2M4_TBC1D14.pdf", "Melting_Curves/meltCurve_Q9P2M4_TBC1D14.pdf")</f>
        <v>Melting_Curves/meltCurve_Q9P2M4_TBC1D14.pdf</v>
      </c>
    </row>
    <row r="6092" spans="1:28" x14ac:dyDescent="0.25">
      <c r="A6092" t="s">
        <v>6095</v>
      </c>
      <c r="B6092">
        <v>0.99930955844802105</v>
      </c>
      <c r="C6092">
        <v>1.2191568776086601</v>
      </c>
      <c r="D6092">
        <v>1.1443376817283399</v>
      </c>
      <c r="E6092">
        <v>0.96930561096839496</v>
      </c>
      <c r="F6092">
        <v>0.69242385548266905</v>
      </c>
      <c r="G6092">
        <v>0.63265645353480804</v>
      </c>
      <c r="H6092">
        <v>0.54108508275247102</v>
      </c>
      <c r="I6092">
        <v>0.58640647505172505</v>
      </c>
      <c r="J6092">
        <v>0.56483340403542504</v>
      </c>
      <c r="K6092">
        <v>0.45952201613647198</v>
      </c>
      <c r="L6092">
        <v>2663.94067237025</v>
      </c>
      <c r="M6092">
        <v>50.973257002591602</v>
      </c>
      <c r="O6092">
        <v>52.181298238618403</v>
      </c>
      <c r="P6092">
        <v>-0.10882546882173701</v>
      </c>
      <c r="Q6092">
        <v>0.55438214406063402</v>
      </c>
      <c r="R6092">
        <v>0.87596079488048695</v>
      </c>
      <c r="S6092" t="s">
        <v>12708</v>
      </c>
      <c r="T6092" t="s">
        <v>13232</v>
      </c>
      <c r="U6092" t="s">
        <v>13232</v>
      </c>
      <c r="V6092" t="s">
        <v>13232</v>
      </c>
      <c r="W6092" t="s">
        <v>19250</v>
      </c>
      <c r="X6092">
        <v>3</v>
      </c>
      <c r="Y6092" t="s">
        <v>25628</v>
      </c>
      <c r="Z6092" t="s">
        <v>32223</v>
      </c>
      <c r="AA6092">
        <v>0.73750225335676511</v>
      </c>
      <c r="AB6092" t="str">
        <f>HYPERLINK("Melting_Curves/meltCurve_Q9P2N2_3_ARHGAP28.pdf", "Melting_Curves/meltCurve_Q9P2N2_3_ARHGAP28.pdf")</f>
        <v>Melting_Curves/meltCurve_Q9P2N2_3_ARHGAP28.pdf</v>
      </c>
    </row>
    <row r="6093" spans="1:28" x14ac:dyDescent="0.25">
      <c r="A6093" t="s">
        <v>6096</v>
      </c>
      <c r="B6093">
        <v>0.99930955844802105</v>
      </c>
      <c r="C6093">
        <v>1.0742378037181901</v>
      </c>
      <c r="D6093">
        <v>1.08920575869152</v>
      </c>
      <c r="E6093">
        <v>1.0143730589914799</v>
      </c>
      <c r="F6093">
        <v>0.87613831736844805</v>
      </c>
      <c r="G6093">
        <v>0.75522791003298195</v>
      </c>
      <c r="H6093">
        <v>0.68861538408758505</v>
      </c>
      <c r="I6093">
        <v>0.69280846079571801</v>
      </c>
      <c r="J6093">
        <v>0.70162249616258898</v>
      </c>
      <c r="K6093">
        <v>0.49036268886948697</v>
      </c>
      <c r="L6093">
        <v>944.714155209208</v>
      </c>
      <c r="M6093">
        <v>16.5838292961873</v>
      </c>
      <c r="O6093">
        <v>56.1570136981817</v>
      </c>
      <c r="P6093">
        <v>-3.0751258611600701E-2</v>
      </c>
      <c r="Q6093">
        <v>0.58350253583614697</v>
      </c>
      <c r="R6093">
        <v>0.88420451129657296</v>
      </c>
      <c r="S6093" t="s">
        <v>12709</v>
      </c>
      <c r="T6093" t="s">
        <v>13232</v>
      </c>
      <c r="U6093" t="s">
        <v>13232</v>
      </c>
      <c r="V6093" t="s">
        <v>13232</v>
      </c>
      <c r="W6093" t="s">
        <v>19251</v>
      </c>
      <c r="X6093">
        <v>34</v>
      </c>
      <c r="Y6093" t="s">
        <v>25629</v>
      </c>
      <c r="Z6093" t="s">
        <v>32224</v>
      </c>
      <c r="AA6093">
        <v>0.82521639313843898</v>
      </c>
      <c r="AB6093" t="str">
        <f>HYPERLINK("Melting_Curves/meltCurve_Q9P2N5_RBM27.pdf", "Melting_Curves/meltCurve_Q9P2N5_RBM27.pdf")</f>
        <v>Melting_Curves/meltCurve_Q9P2N5_RBM27.pdf</v>
      </c>
    </row>
    <row r="6094" spans="1:28" x14ac:dyDescent="0.25">
      <c r="A6094" t="s">
        <v>6097</v>
      </c>
      <c r="B6094">
        <v>0.99930955844802105</v>
      </c>
      <c r="C6094">
        <v>0.88441010989395197</v>
      </c>
      <c r="D6094">
        <v>0.88686734311632798</v>
      </c>
      <c r="E6094">
        <v>0.73628425973754896</v>
      </c>
      <c r="F6094">
        <v>0.55136781513595301</v>
      </c>
      <c r="G6094">
        <v>0.437201319429188</v>
      </c>
      <c r="H6094">
        <v>0.41141165815240699</v>
      </c>
      <c r="I6094">
        <v>0.42536084033022697</v>
      </c>
      <c r="J6094">
        <v>0.39435416210125501</v>
      </c>
      <c r="K6094">
        <v>0.33753588420423097</v>
      </c>
      <c r="L6094">
        <v>702.62027486702004</v>
      </c>
      <c r="M6094">
        <v>13.9135219717545</v>
      </c>
      <c r="N6094">
        <v>55.456767624374301</v>
      </c>
      <c r="O6094">
        <v>49.490213235351597</v>
      </c>
      <c r="P6094">
        <v>-4.5278945754981197E-2</v>
      </c>
      <c r="Q6094">
        <v>0.35586083881059</v>
      </c>
      <c r="R6094">
        <v>0.981362940856078</v>
      </c>
      <c r="S6094" t="s">
        <v>12710</v>
      </c>
      <c r="T6094" t="s">
        <v>13232</v>
      </c>
      <c r="U6094" t="s">
        <v>13232</v>
      </c>
      <c r="V6094" t="s">
        <v>13232</v>
      </c>
      <c r="W6094" t="s">
        <v>19252</v>
      </c>
      <c r="X6094">
        <v>7</v>
      </c>
      <c r="Y6094" t="s">
        <v>25630</v>
      </c>
      <c r="Z6094" t="s">
        <v>32225</v>
      </c>
      <c r="AA6094">
        <v>0.59844451524521725</v>
      </c>
      <c r="AB6094" t="str">
        <f>HYPERLINK("Melting_Curves/meltCurve_Q9P2N6_3_KANSL3.pdf", "Melting_Curves/meltCurve_Q9P2N6_3_KANSL3.pdf")</f>
        <v>Melting_Curves/meltCurve_Q9P2N6_3_KANSL3.pdf</v>
      </c>
    </row>
    <row r="6095" spans="1:28" x14ac:dyDescent="0.25">
      <c r="A6095" t="s">
        <v>6098</v>
      </c>
      <c r="B6095">
        <v>0.99930955844802105</v>
      </c>
      <c r="C6095">
        <v>0.62462340710612696</v>
      </c>
      <c r="D6095">
        <v>0.70520723572147703</v>
      </c>
      <c r="E6095">
        <v>0.45631440678810897</v>
      </c>
      <c r="F6095">
        <v>0.32428736309369799</v>
      </c>
      <c r="G6095">
        <v>0.12307522594804</v>
      </c>
      <c r="H6095">
        <v>2.23679220629741E-2</v>
      </c>
      <c r="I6095">
        <v>1.3538732785606101E-2</v>
      </c>
      <c r="J6095">
        <v>1.43025926942864E-2</v>
      </c>
      <c r="K6095">
        <v>1.16004846271986E-2</v>
      </c>
      <c r="L6095">
        <v>547.49678144081304</v>
      </c>
      <c r="M6095">
        <v>11.311299720352499</v>
      </c>
      <c r="N6095">
        <v>48.402641266526402</v>
      </c>
      <c r="O6095">
        <v>46.963813670639098</v>
      </c>
      <c r="P6095">
        <v>-6.0231089580896999E-2</v>
      </c>
      <c r="Q6095">
        <v>0</v>
      </c>
      <c r="R6095">
        <v>0.948201937148479</v>
      </c>
      <c r="S6095" t="s">
        <v>12711</v>
      </c>
      <c r="T6095" t="s">
        <v>13232</v>
      </c>
      <c r="U6095" t="s">
        <v>13232</v>
      </c>
      <c r="V6095" t="s">
        <v>13232</v>
      </c>
      <c r="W6095" t="s">
        <v>19253</v>
      </c>
      <c r="X6095">
        <v>2</v>
      </c>
      <c r="Y6095" t="s">
        <v>25631</v>
      </c>
      <c r="Z6095" t="s">
        <v>32226</v>
      </c>
      <c r="AA6095">
        <v>0.32224007576152119</v>
      </c>
      <c r="AB6095" t="str">
        <f>HYPERLINK("Melting_Curves/meltCurve_Q9P2P1_NYNRIN.pdf", "Melting_Curves/meltCurve_Q9P2P1_NYNRIN.pdf")</f>
        <v>Melting_Curves/meltCurve_Q9P2P1_NYNRIN.pdf</v>
      </c>
    </row>
    <row r="6096" spans="1:28" x14ac:dyDescent="0.25">
      <c r="A6096" t="s">
        <v>6099</v>
      </c>
      <c r="B6096">
        <v>0.99930955844802105</v>
      </c>
      <c r="C6096">
        <v>1.0295141118101601</v>
      </c>
      <c r="D6096">
        <v>0.68973760019653696</v>
      </c>
      <c r="E6096">
        <v>0.296245262298861</v>
      </c>
      <c r="F6096">
        <v>0.163949308926296</v>
      </c>
      <c r="G6096">
        <v>0.12928523724601501</v>
      </c>
      <c r="H6096">
        <v>8.8111136384186703E-2</v>
      </c>
      <c r="I6096">
        <v>7.4802885732863394E-2</v>
      </c>
      <c r="J6096">
        <v>7.2326332280968506E-2</v>
      </c>
      <c r="K6096">
        <v>5.1809513028503902E-2</v>
      </c>
      <c r="L6096">
        <v>1208.33712868098</v>
      </c>
      <c r="M6096">
        <v>25.4094850585033</v>
      </c>
      <c r="N6096">
        <v>47.895985571439503</v>
      </c>
      <c r="O6096">
        <v>47.262937844765602</v>
      </c>
      <c r="P6096">
        <v>-0.12327287822265599</v>
      </c>
      <c r="Q6096">
        <v>8.2835828560593905E-2</v>
      </c>
      <c r="R6096">
        <v>0.99195058339721098</v>
      </c>
      <c r="S6096" t="s">
        <v>12712</v>
      </c>
      <c r="T6096" t="s">
        <v>13232</v>
      </c>
      <c r="U6096" t="s">
        <v>13232</v>
      </c>
      <c r="V6096" t="s">
        <v>13232</v>
      </c>
      <c r="W6096" t="s">
        <v>19254</v>
      </c>
      <c r="X6096">
        <v>19</v>
      </c>
      <c r="Y6096" t="s">
        <v>25632</v>
      </c>
      <c r="Z6096" t="s">
        <v>32227</v>
      </c>
      <c r="AA6096">
        <v>0.321641290611274</v>
      </c>
      <c r="AB6096" t="str">
        <f>HYPERLINK("Melting_Curves/meltCurve_Q9P2R3_ANKFY1.pdf", "Melting_Curves/meltCurve_Q9P2R3_ANKFY1.pdf")</f>
        <v>Melting_Curves/meltCurve_Q9P2R3_ANKFY1.pdf</v>
      </c>
    </row>
    <row r="6097" spans="1:28" x14ac:dyDescent="0.25">
      <c r="A6097" t="s">
        <v>6100</v>
      </c>
      <c r="B6097">
        <v>0.99930955844802105</v>
      </c>
      <c r="C6097">
        <v>0.98918501294124095</v>
      </c>
      <c r="D6097">
        <v>0.93322589224935903</v>
      </c>
      <c r="E6097">
        <v>0.81204897545179999</v>
      </c>
      <c r="F6097">
        <v>0.69376170713460195</v>
      </c>
      <c r="G6097">
        <v>0.57032944984941603</v>
      </c>
      <c r="H6097">
        <v>0.51695353269936595</v>
      </c>
      <c r="I6097">
        <v>0.53221019628075406</v>
      </c>
      <c r="J6097">
        <v>0.51294415708816199</v>
      </c>
      <c r="K6097">
        <v>0.42766320271923097</v>
      </c>
      <c r="L6097">
        <v>778.89914354034499</v>
      </c>
      <c r="M6097">
        <v>14.979263571825401</v>
      </c>
      <c r="N6097">
        <v>63.5286029008684</v>
      </c>
      <c r="O6097">
        <v>51.098147468345601</v>
      </c>
      <c r="P6097">
        <v>-3.9064444339475202E-2</v>
      </c>
      <c r="Q6097">
        <v>0.46701839074447898</v>
      </c>
      <c r="R6097">
        <v>0.98881539429340903</v>
      </c>
      <c r="S6097" t="s">
        <v>12713</v>
      </c>
      <c r="T6097" t="s">
        <v>13232</v>
      </c>
      <c r="U6097" t="s">
        <v>13232</v>
      </c>
      <c r="V6097" t="s">
        <v>13232</v>
      </c>
      <c r="W6097" t="s">
        <v>19255</v>
      </c>
      <c r="X6097">
        <v>12</v>
      </c>
      <c r="Y6097" t="s">
        <v>25633</v>
      </c>
      <c r="Z6097" t="s">
        <v>32228</v>
      </c>
      <c r="AA6097">
        <v>0.69212575707014001</v>
      </c>
      <c r="AB6097" t="str">
        <f>HYPERLINK("Melting_Curves/meltCurve_Q9P2R6_RERE.pdf", "Melting_Curves/meltCurve_Q9P2R6_RERE.pdf")</f>
        <v>Melting_Curves/meltCurve_Q9P2R6_RERE.pdf</v>
      </c>
    </row>
    <row r="6098" spans="1:28" x14ac:dyDescent="0.25">
      <c r="A6098" t="s">
        <v>6101</v>
      </c>
      <c r="B6098">
        <v>0.99930955844802105</v>
      </c>
      <c r="C6098">
        <v>1.2460928612392801</v>
      </c>
      <c r="D6098">
        <v>1.1793728763467299</v>
      </c>
      <c r="E6098">
        <v>1.05159951644477</v>
      </c>
      <c r="F6098">
        <v>1.0662753564070999</v>
      </c>
      <c r="G6098">
        <v>0.90732068950753897</v>
      </c>
      <c r="H6098">
        <v>0.71524222862575204</v>
      </c>
      <c r="I6098">
        <v>0.48840054659059401</v>
      </c>
      <c r="J6098">
        <v>0.38445710835118801</v>
      </c>
      <c r="K6098">
        <v>0.24342033073747599</v>
      </c>
      <c r="L6098">
        <v>1440.4805948737401</v>
      </c>
      <c r="M6098">
        <v>23.0135871159967</v>
      </c>
      <c r="N6098">
        <v>64.037414622656399</v>
      </c>
      <c r="O6098">
        <v>62.125748989017197</v>
      </c>
      <c r="P6098">
        <v>-7.3856023224817796E-2</v>
      </c>
      <c r="Q6098">
        <v>0.20251022951651401</v>
      </c>
      <c r="R6098">
        <v>0.90571861180443802</v>
      </c>
      <c r="S6098" t="s">
        <v>12714</v>
      </c>
      <c r="T6098" t="s">
        <v>13232</v>
      </c>
      <c r="U6098" t="s">
        <v>13232</v>
      </c>
      <c r="V6098" t="s">
        <v>13232</v>
      </c>
      <c r="W6098" t="s">
        <v>19256</v>
      </c>
      <c r="X6098">
        <v>4</v>
      </c>
      <c r="Y6098" t="s">
        <v>25634</v>
      </c>
      <c r="Z6098" t="s">
        <v>32229</v>
      </c>
      <c r="AA6098">
        <v>0.80522798181471722</v>
      </c>
      <c r="AB6098" t="str">
        <f>HYPERLINK("Melting_Curves/meltCurve_Q9P2S5_WRAP73.pdf", "Melting_Curves/meltCurve_Q9P2S5_WRAP73.pdf")</f>
        <v>Melting_Curves/meltCurve_Q9P2S5_WRAP73.pdf</v>
      </c>
    </row>
    <row r="6099" spans="1:28" x14ac:dyDescent="0.25">
      <c r="A6099" t="s">
        <v>6102</v>
      </c>
      <c r="B6099">
        <v>0.99930955844802105</v>
      </c>
      <c r="C6099">
        <v>1.1428062275405499</v>
      </c>
      <c r="D6099">
        <v>0.88278452091232695</v>
      </c>
      <c r="E6099">
        <v>0.55626183866513701</v>
      </c>
      <c r="F6099">
        <v>0.320491385293804</v>
      </c>
      <c r="G6099">
        <v>0.20335189589422201</v>
      </c>
      <c r="H6099">
        <v>0.111961176945181</v>
      </c>
      <c r="I6099">
        <v>9.4215132284583003E-2</v>
      </c>
      <c r="J6099">
        <v>8.4157817970065496E-2</v>
      </c>
      <c r="K6099">
        <v>6.6218602199543203E-2</v>
      </c>
      <c r="L6099">
        <v>1114.64122076485</v>
      </c>
      <c r="M6099">
        <v>22.145325096748799</v>
      </c>
      <c r="N6099">
        <v>50.794777405988697</v>
      </c>
      <c r="O6099">
        <v>49.928005889724197</v>
      </c>
      <c r="P6099">
        <v>-0.10077887463492299</v>
      </c>
      <c r="Q6099">
        <v>9.1171274206683695E-2</v>
      </c>
      <c r="R6099">
        <v>0.98081546663034902</v>
      </c>
      <c r="S6099" t="s">
        <v>12715</v>
      </c>
      <c r="T6099" t="s">
        <v>13232</v>
      </c>
      <c r="U6099" t="s">
        <v>13232</v>
      </c>
      <c r="V6099" t="s">
        <v>13232</v>
      </c>
      <c r="W6099" t="s">
        <v>19257</v>
      </c>
      <c r="X6099">
        <v>6</v>
      </c>
      <c r="Y6099" t="s">
        <v>25635</v>
      </c>
      <c r="Z6099" t="s">
        <v>32230</v>
      </c>
      <c r="AA6099">
        <v>0.41456806640777077</v>
      </c>
      <c r="AB6099" t="str">
        <f>HYPERLINK("Melting_Curves/meltCurve_Q9P2W1_PSMC3IP.pdf", "Melting_Curves/meltCurve_Q9P2W1_PSMC3IP.pdf")</f>
        <v>Melting_Curves/meltCurve_Q9P2W1_PSMC3IP.pdf</v>
      </c>
    </row>
    <row r="6100" spans="1:28" x14ac:dyDescent="0.25">
      <c r="A6100" t="s">
        <v>6103</v>
      </c>
      <c r="B6100">
        <v>0.99930955844802105</v>
      </c>
      <c r="C6100">
        <v>1.0704132679362</v>
      </c>
      <c r="D6100">
        <v>0.95391198078964201</v>
      </c>
      <c r="E6100">
        <v>0.63430511445669402</v>
      </c>
      <c r="F6100">
        <v>0.338956052737591</v>
      </c>
      <c r="G6100">
        <v>0.21263859208094699</v>
      </c>
      <c r="H6100">
        <v>0.111339478286117</v>
      </c>
      <c r="I6100">
        <v>8.4964172014879394E-2</v>
      </c>
      <c r="J6100">
        <v>7.5299430376453994E-2</v>
      </c>
      <c r="K6100">
        <v>6.2608821494987199E-2</v>
      </c>
      <c r="L6100">
        <v>1181.7093006586999</v>
      </c>
      <c r="M6100">
        <v>23.164119808439299</v>
      </c>
      <c r="N6100">
        <v>51.423866313706597</v>
      </c>
      <c r="O6100">
        <v>50.638982032640797</v>
      </c>
      <c r="P6100">
        <v>-0.104735145748172</v>
      </c>
      <c r="Q6100">
        <v>8.4172074157452995E-2</v>
      </c>
      <c r="R6100">
        <v>0.99281134060379395</v>
      </c>
      <c r="S6100" t="s">
        <v>12716</v>
      </c>
      <c r="T6100" t="s">
        <v>13232</v>
      </c>
      <c r="U6100" t="s">
        <v>13232</v>
      </c>
      <c r="V6100" t="s">
        <v>13232</v>
      </c>
      <c r="W6100" t="s">
        <v>19258</v>
      </c>
      <c r="X6100">
        <v>6</v>
      </c>
      <c r="Y6100" t="s">
        <v>25636</v>
      </c>
      <c r="Z6100" t="s">
        <v>32231</v>
      </c>
      <c r="AA6100">
        <v>0.43002791172241539</v>
      </c>
      <c r="AB6100" t="str">
        <f>HYPERLINK("Melting_Curves/meltCurve_Q9P2X3_IMPACT.pdf", "Melting_Curves/meltCurve_Q9P2X3_IMPACT.pdf")</f>
        <v>Melting_Curves/meltCurve_Q9P2X3_IMPACT.pdf</v>
      </c>
    </row>
    <row r="6101" spans="1:28" x14ac:dyDescent="0.25">
      <c r="A6101" t="s">
        <v>6104</v>
      </c>
      <c r="B6101">
        <v>0.99930955844802105</v>
      </c>
      <c r="C6101">
        <v>0.82047404254515499</v>
      </c>
      <c r="D6101">
        <v>0.85118991426865998</v>
      </c>
      <c r="E6101">
        <v>0.75378251062383705</v>
      </c>
      <c r="F6101">
        <v>0.38139511658136699</v>
      </c>
      <c r="G6101">
        <v>0.22696750588050199</v>
      </c>
      <c r="H6101">
        <v>0.180996660666292</v>
      </c>
      <c r="I6101">
        <v>0.198551621548341</v>
      </c>
      <c r="J6101">
        <v>0.178054714272359</v>
      </c>
      <c r="K6101">
        <v>0.142512366798632</v>
      </c>
      <c r="L6101">
        <v>843.85392851434801</v>
      </c>
      <c r="M6101">
        <v>16.534710213275801</v>
      </c>
      <c r="N6101">
        <v>52.054010816558801</v>
      </c>
      <c r="O6101">
        <v>50.3063324315535</v>
      </c>
      <c r="P6101">
        <v>-7.0817026917595394E-2</v>
      </c>
      <c r="Q6101">
        <v>0.138225227520335</v>
      </c>
      <c r="R6101">
        <v>0.96094164061058696</v>
      </c>
      <c r="S6101" t="s">
        <v>12717</v>
      </c>
      <c r="T6101" t="s">
        <v>13232</v>
      </c>
      <c r="U6101" t="s">
        <v>13232</v>
      </c>
      <c r="V6101" t="s">
        <v>13232</v>
      </c>
      <c r="W6101" t="s">
        <v>19259</v>
      </c>
      <c r="X6101">
        <v>10</v>
      </c>
      <c r="Y6101" t="s">
        <v>25637</v>
      </c>
      <c r="Z6101" t="s">
        <v>32232</v>
      </c>
      <c r="AA6101">
        <v>0.47208888445750591</v>
      </c>
      <c r="AB6101" t="str">
        <f>HYPERLINK("Melting_Curves/meltCurve_Q9P2Y5_UVRAG.pdf", "Melting_Curves/meltCurve_Q9P2Y5_UVRAG.pdf")</f>
        <v>Melting_Curves/meltCurve_Q9P2Y5_UVRAG.pdf</v>
      </c>
    </row>
    <row r="6102" spans="1:28" x14ac:dyDescent="0.25">
      <c r="A6102" t="s">
        <v>6105</v>
      </c>
      <c r="B6102">
        <v>0.99930955844802105</v>
      </c>
      <c r="C6102">
        <v>1.00746489936799</v>
      </c>
      <c r="D6102">
        <v>0.87451842600434604</v>
      </c>
      <c r="E6102">
        <v>0.91332095953750603</v>
      </c>
      <c r="F6102">
        <v>0.372840764585464</v>
      </c>
      <c r="G6102">
        <v>0.143469775455841</v>
      </c>
      <c r="H6102">
        <v>7.2764359799383296E-2</v>
      </c>
      <c r="I6102">
        <v>5.4482518110026398E-2</v>
      </c>
      <c r="J6102">
        <v>4.8691565450736003E-2</v>
      </c>
      <c r="K6102">
        <v>3.8061346089875402E-2</v>
      </c>
      <c r="L6102">
        <v>2375.03393054452</v>
      </c>
      <c r="M6102">
        <v>45.459137155840402</v>
      </c>
      <c r="N6102">
        <v>52.4071083566349</v>
      </c>
      <c r="O6102">
        <v>52.144667045252298</v>
      </c>
      <c r="P6102">
        <v>-0.20369107570490599</v>
      </c>
      <c r="Q6102">
        <v>6.5412079921821395E-2</v>
      </c>
      <c r="R6102">
        <v>0.98823952210913402</v>
      </c>
      <c r="S6102" t="s">
        <v>12718</v>
      </c>
      <c r="T6102" t="s">
        <v>13232</v>
      </c>
      <c r="U6102" t="s">
        <v>13232</v>
      </c>
      <c r="V6102" t="s">
        <v>13232</v>
      </c>
      <c r="W6102" t="s">
        <v>19260</v>
      </c>
      <c r="X6102">
        <v>26</v>
      </c>
      <c r="Y6102" t="s">
        <v>25638</v>
      </c>
      <c r="Z6102" t="s">
        <v>32233</v>
      </c>
      <c r="AA6102">
        <v>0.44950235603512412</v>
      </c>
      <c r="AB6102" t="str">
        <f>HYPERLINK("Melting_Curves/meltCurve_Q9UBB4_ATXN10.pdf", "Melting_Curves/meltCurve_Q9UBB4_ATXN10.pdf")</f>
        <v>Melting_Curves/meltCurve_Q9UBB4_ATXN10.pdf</v>
      </c>
    </row>
    <row r="6103" spans="1:28" x14ac:dyDescent="0.25">
      <c r="A6103" t="s">
        <v>6106</v>
      </c>
      <c r="B6103">
        <v>0.99930955844802105</v>
      </c>
      <c r="C6103">
        <v>0.86858355244277696</v>
      </c>
      <c r="D6103">
        <v>0.91511838214605801</v>
      </c>
      <c r="E6103">
        <v>0.92639217557915798</v>
      </c>
      <c r="F6103">
        <v>0.65620507487231705</v>
      </c>
      <c r="G6103">
        <v>0.51994691302454099</v>
      </c>
      <c r="H6103">
        <v>0.44790227619947998</v>
      </c>
      <c r="I6103">
        <v>0.44335014771241399</v>
      </c>
      <c r="J6103">
        <v>0.41596762957338701</v>
      </c>
      <c r="K6103">
        <v>0.35970401646044298</v>
      </c>
      <c r="L6103">
        <v>874.77432084841701</v>
      </c>
      <c r="M6103">
        <v>16.441456929882001</v>
      </c>
      <c r="N6103">
        <v>58.217362595363802</v>
      </c>
      <c r="O6103">
        <v>52.437009136382699</v>
      </c>
      <c r="P6103">
        <v>-4.87135647026566E-2</v>
      </c>
      <c r="Q6103">
        <v>0.37859210682419903</v>
      </c>
      <c r="R6103">
        <v>0.95023565557742196</v>
      </c>
      <c r="S6103" t="s">
        <v>12719</v>
      </c>
      <c r="T6103" t="s">
        <v>13232</v>
      </c>
      <c r="U6103" t="s">
        <v>13232</v>
      </c>
      <c r="V6103" t="s">
        <v>13232</v>
      </c>
      <c r="W6103" t="s">
        <v>19261</v>
      </c>
      <c r="X6103">
        <v>12</v>
      </c>
      <c r="Y6103" t="s">
        <v>25639</v>
      </c>
      <c r="Z6103" t="s">
        <v>32234</v>
      </c>
      <c r="AA6103">
        <v>0.66375975963023592</v>
      </c>
      <c r="AB6103" t="str">
        <f>HYPERLINK("Melting_Curves/meltCurve_Q9UBB5_MBD2.pdf", "Melting_Curves/meltCurve_Q9UBB5_MBD2.pdf")</f>
        <v>Melting_Curves/meltCurve_Q9UBB5_MBD2.pdf</v>
      </c>
    </row>
    <row r="6104" spans="1:28" x14ac:dyDescent="0.25">
      <c r="A6104" t="s">
        <v>6107</v>
      </c>
      <c r="B6104">
        <v>0.99930955844802105</v>
      </c>
      <c r="C6104">
        <v>1.13462906363534</v>
      </c>
      <c r="D6104">
        <v>1.0795337254977599</v>
      </c>
      <c r="E6104">
        <v>0.72673179615568195</v>
      </c>
      <c r="F6104">
        <v>0.27747133567507298</v>
      </c>
      <c r="G6104">
        <v>0.19414063252560401</v>
      </c>
      <c r="H6104">
        <v>0.12007851446428</v>
      </c>
      <c r="I6104">
        <v>9.4264223423390595E-2</v>
      </c>
      <c r="J6104">
        <v>8.8121915263684306E-2</v>
      </c>
      <c r="K6104">
        <v>6.1868408986393703E-2</v>
      </c>
      <c r="L6104">
        <v>2013.1405916993999</v>
      </c>
      <c r="M6104">
        <v>39.399780253194898</v>
      </c>
      <c r="N6104">
        <v>51.410072787375903</v>
      </c>
      <c r="O6104">
        <v>50.964126890504097</v>
      </c>
      <c r="P6104">
        <v>-0.17255417394528</v>
      </c>
      <c r="Q6104">
        <v>0.10719771451731799</v>
      </c>
      <c r="R6104">
        <v>0.98132628282770795</v>
      </c>
      <c r="S6104" t="s">
        <v>12720</v>
      </c>
      <c r="T6104" t="s">
        <v>13232</v>
      </c>
      <c r="U6104" t="s">
        <v>13232</v>
      </c>
      <c r="V6104" t="s">
        <v>13232</v>
      </c>
      <c r="W6104" t="s">
        <v>19262</v>
      </c>
      <c r="X6104">
        <v>23</v>
      </c>
      <c r="Y6104" t="s">
        <v>25640</v>
      </c>
      <c r="Z6104" t="s">
        <v>32235</v>
      </c>
      <c r="AA6104">
        <v>0.44064283668595883</v>
      </c>
      <c r="AB6104" t="str">
        <f>HYPERLINK("Melting_Curves/meltCurve_Q9UBB6_NCDN.pdf", "Melting_Curves/meltCurve_Q9UBB6_NCDN.pdf")</f>
        <v>Melting_Curves/meltCurve_Q9UBB6_NCDN.pdf</v>
      </c>
    </row>
    <row r="6105" spans="1:28" x14ac:dyDescent="0.25">
      <c r="A6105" t="s">
        <v>6108</v>
      </c>
      <c r="B6105">
        <v>0.99930955844802105</v>
      </c>
      <c r="C6105">
        <v>0.93418811936234403</v>
      </c>
      <c r="D6105">
        <v>0.72981694924224005</v>
      </c>
      <c r="E6105">
        <v>0.37540116488782999</v>
      </c>
      <c r="F6105">
        <v>0.24174502246551299</v>
      </c>
      <c r="G6105">
        <v>0.19955048787605401</v>
      </c>
      <c r="H6105">
        <v>0.16697254843511899</v>
      </c>
      <c r="I6105">
        <v>0.16295700947274999</v>
      </c>
      <c r="J6105">
        <v>0.15101215808212901</v>
      </c>
      <c r="K6105">
        <v>0.12337584789611</v>
      </c>
      <c r="L6105">
        <v>1018.70612258323</v>
      </c>
      <c r="M6105">
        <v>21.373053806133999</v>
      </c>
      <c r="N6105">
        <v>48.487263861386097</v>
      </c>
      <c r="O6105">
        <v>47.251737785809503</v>
      </c>
      <c r="P6105">
        <v>-9.5860124636427499E-2</v>
      </c>
      <c r="Q6105">
        <v>0.152307551273558</v>
      </c>
      <c r="R6105">
        <v>0.99836211488139304</v>
      </c>
      <c r="S6105" t="s">
        <v>12721</v>
      </c>
      <c r="T6105" t="s">
        <v>13232</v>
      </c>
      <c r="U6105" t="s">
        <v>13232</v>
      </c>
      <c r="V6105" t="s">
        <v>13232</v>
      </c>
      <c r="W6105" t="s">
        <v>19263</v>
      </c>
      <c r="X6105">
        <v>21</v>
      </c>
      <c r="Y6105" t="s">
        <v>25641</v>
      </c>
      <c r="Z6105" t="s">
        <v>32236</v>
      </c>
      <c r="AA6105">
        <v>0.37936220551282479</v>
      </c>
      <c r="AB6105" t="str">
        <f>HYPERLINK("Melting_Curves/meltCurve_Q9UBB9_TFIP11.pdf", "Melting_Curves/meltCurve_Q9UBB9_TFIP11.pdf")</f>
        <v>Melting_Curves/meltCurve_Q9UBB9_TFIP11.pdf</v>
      </c>
    </row>
    <row r="6106" spans="1:28" x14ac:dyDescent="0.25">
      <c r="A6106" t="s">
        <v>6109</v>
      </c>
      <c r="B6106">
        <v>0.99930955844802105</v>
      </c>
      <c r="C6106">
        <v>1.0846685878756199</v>
      </c>
      <c r="D6106">
        <v>1.0501544696287399</v>
      </c>
      <c r="E6106">
        <v>1.0193796927144301</v>
      </c>
      <c r="F6106">
        <v>0.81973225969146002</v>
      </c>
      <c r="G6106">
        <v>0.53189549618814302</v>
      </c>
      <c r="H6106">
        <v>0.40470617777881801</v>
      </c>
      <c r="I6106">
        <v>0.360730094002299</v>
      </c>
      <c r="J6106">
        <v>0.341533802807308</v>
      </c>
      <c r="K6106">
        <v>0.27313231059681697</v>
      </c>
      <c r="L6106">
        <v>1462.8841500523899</v>
      </c>
      <c r="M6106">
        <v>26.409072679195699</v>
      </c>
      <c r="N6106">
        <v>57.642628014270201</v>
      </c>
      <c r="O6106">
        <v>55.078550490186601</v>
      </c>
      <c r="P6106">
        <v>-8.1321338959934902E-2</v>
      </c>
      <c r="Q6106">
        <v>0.32159480378420602</v>
      </c>
      <c r="R6106">
        <v>0.98248509791437699</v>
      </c>
      <c r="S6106" t="s">
        <v>12722</v>
      </c>
      <c r="T6106" t="s">
        <v>13232</v>
      </c>
      <c r="U6106" t="s">
        <v>13232</v>
      </c>
      <c r="V6106" t="s">
        <v>13232</v>
      </c>
      <c r="W6106" t="s">
        <v>19264</v>
      </c>
      <c r="X6106">
        <v>33</v>
      </c>
      <c r="Y6106" t="s">
        <v>20736</v>
      </c>
      <c r="Z6106" t="s">
        <v>32237</v>
      </c>
      <c r="AA6106">
        <v>0.67538224867934604</v>
      </c>
      <c r="AB6106" t="str">
        <f>HYPERLINK("Melting_Curves/meltCurve_Q9UBC2_2_EPS15L1.pdf", "Melting_Curves/meltCurve_Q9UBC2_2_EPS15L1.pdf")</f>
        <v>Melting_Curves/meltCurve_Q9UBC2_2_EPS15L1.pdf</v>
      </c>
    </row>
    <row r="6107" spans="1:28" x14ac:dyDescent="0.25">
      <c r="A6107" t="s">
        <v>6110</v>
      </c>
      <c r="B6107">
        <v>0.99930955844802105</v>
      </c>
      <c r="C6107">
        <v>1.0883957732246301</v>
      </c>
      <c r="D6107">
        <v>1.01483632923195</v>
      </c>
      <c r="E6107">
        <v>1.02089171830678</v>
      </c>
      <c r="F6107">
        <v>0.66630540579633202</v>
      </c>
      <c r="G6107">
        <v>0.60280989082029501</v>
      </c>
      <c r="H6107">
        <v>0.495590597041911</v>
      </c>
      <c r="I6107">
        <v>0.53513032603308797</v>
      </c>
      <c r="J6107">
        <v>0.421754999528823</v>
      </c>
      <c r="K6107">
        <v>0.318337810794531</v>
      </c>
      <c r="L6107">
        <v>1110.3043664388999</v>
      </c>
      <c r="M6107">
        <v>20.485778474500599</v>
      </c>
      <c r="N6107">
        <v>59.408175447752299</v>
      </c>
      <c r="O6107">
        <v>53.690256797001403</v>
      </c>
      <c r="P6107">
        <v>-5.5608540010621897E-2</v>
      </c>
      <c r="Q6107">
        <v>0.417049535983325</v>
      </c>
      <c r="R6107">
        <v>0.92706575305246497</v>
      </c>
      <c r="S6107" t="s">
        <v>12723</v>
      </c>
      <c r="T6107" t="s">
        <v>13232</v>
      </c>
      <c r="U6107" t="s">
        <v>13232</v>
      </c>
      <c r="V6107" t="s">
        <v>13232</v>
      </c>
      <c r="W6107" t="s">
        <v>19265</v>
      </c>
      <c r="X6107">
        <v>3</v>
      </c>
      <c r="Y6107" t="s">
        <v>25642</v>
      </c>
      <c r="Z6107" t="s">
        <v>32238</v>
      </c>
      <c r="AA6107">
        <v>0.70055487534731209</v>
      </c>
      <c r="AB6107" t="str">
        <f>HYPERLINK("Melting_Curves/meltCurve_Q9UBC3_6_DNMT3B.pdf", "Melting_Curves/meltCurve_Q9UBC3_6_DNMT3B.pdf")</f>
        <v>Melting_Curves/meltCurve_Q9UBC3_6_DNMT3B.pdf</v>
      </c>
    </row>
    <row r="6108" spans="1:28" x14ac:dyDescent="0.25">
      <c r="A6108" t="s">
        <v>6111</v>
      </c>
      <c r="B6108">
        <v>0.99930955844802105</v>
      </c>
      <c r="C6108">
        <v>0.73449175310430503</v>
      </c>
      <c r="D6108">
        <v>0.55815846920452705</v>
      </c>
      <c r="E6108">
        <v>0.40463978097940401</v>
      </c>
      <c r="F6108">
        <v>0.21728195623219099</v>
      </c>
      <c r="G6108">
        <v>0.124949116019005</v>
      </c>
      <c r="H6108">
        <v>6.8988953475043399E-2</v>
      </c>
      <c r="I6108">
        <v>5.1504208675717797E-2</v>
      </c>
      <c r="J6108">
        <v>4.5541199194211103E-2</v>
      </c>
      <c r="K6108">
        <v>3.8911399187310299E-2</v>
      </c>
      <c r="L6108">
        <v>582.45728852063996</v>
      </c>
      <c r="M6108">
        <v>12.3091452116421</v>
      </c>
      <c r="N6108">
        <v>47.464908462342997</v>
      </c>
      <c r="O6108">
        <v>46.122168198183203</v>
      </c>
      <c r="P6108">
        <v>-6.5496542108635203E-2</v>
      </c>
      <c r="Q6108">
        <v>1.85564569943454E-2</v>
      </c>
      <c r="R6108">
        <v>0.98523121640659805</v>
      </c>
      <c r="S6108" t="s">
        <v>12724</v>
      </c>
      <c r="T6108" t="s">
        <v>13232</v>
      </c>
      <c r="U6108" t="s">
        <v>13232</v>
      </c>
      <c r="V6108" t="s">
        <v>13232</v>
      </c>
      <c r="W6108" t="s">
        <v>19266</v>
      </c>
      <c r="X6108">
        <v>14</v>
      </c>
      <c r="Y6108" t="s">
        <v>25643</v>
      </c>
      <c r="Z6108" t="s">
        <v>32239</v>
      </c>
      <c r="AA6108">
        <v>0.29641989729543872</v>
      </c>
      <c r="AB6108" t="str">
        <f>HYPERLINK("Melting_Curves/meltCurve_Q9UBD5_ORC3.pdf", "Melting_Curves/meltCurve_Q9UBD5_ORC3.pdf")</f>
        <v>Melting_Curves/meltCurve_Q9UBD5_ORC3.pdf</v>
      </c>
    </row>
    <row r="6109" spans="1:28" x14ac:dyDescent="0.25">
      <c r="A6109" t="s">
        <v>6112</v>
      </c>
      <c r="B6109">
        <v>0.99930955844802105</v>
      </c>
      <c r="C6109">
        <v>1.1125714866416201</v>
      </c>
      <c r="D6109">
        <v>1.10086742694952</v>
      </c>
      <c r="E6109">
        <v>0.95929925020447104</v>
      </c>
      <c r="F6109">
        <v>0.61141295111365401</v>
      </c>
      <c r="G6109">
        <v>0.25155863277732399</v>
      </c>
      <c r="H6109">
        <v>9.9533868497375805E-2</v>
      </c>
      <c r="I6109">
        <v>7.8541478459410202E-2</v>
      </c>
      <c r="J6109">
        <v>6.6526632845560194E-2</v>
      </c>
      <c r="K6109">
        <v>5.1791839156277102E-2</v>
      </c>
      <c r="L6109">
        <v>1615.30359297063</v>
      </c>
      <c r="M6109">
        <v>29.981091600632599</v>
      </c>
      <c r="N6109">
        <v>54.1443984946904</v>
      </c>
      <c r="O6109">
        <v>53.639416872082002</v>
      </c>
      <c r="P6109">
        <v>-0.13013346524708899</v>
      </c>
      <c r="Q6109">
        <v>6.8714683386341194E-2</v>
      </c>
      <c r="R6109">
        <v>0.98563204222376299</v>
      </c>
      <c r="S6109" t="s">
        <v>12725</v>
      </c>
      <c r="T6109" t="s">
        <v>13232</v>
      </c>
      <c r="U6109" t="s">
        <v>13232</v>
      </c>
      <c r="V6109" t="s">
        <v>13232</v>
      </c>
      <c r="W6109" t="s">
        <v>19267</v>
      </c>
      <c r="X6109">
        <v>30</v>
      </c>
      <c r="Y6109" t="s">
        <v>25644</v>
      </c>
      <c r="Z6109" t="s">
        <v>32240</v>
      </c>
      <c r="AA6109">
        <v>0.50562505658121915</v>
      </c>
      <c r="AB6109" t="str">
        <f>HYPERLINK("Melting_Curves/meltCurve_Q9UBE0_SAE1.pdf", "Melting_Curves/meltCurve_Q9UBE0_SAE1.pdf")</f>
        <v>Melting_Curves/meltCurve_Q9UBE0_SAE1.pdf</v>
      </c>
    </row>
    <row r="6110" spans="1:28" x14ac:dyDescent="0.25">
      <c r="A6110" t="s">
        <v>6113</v>
      </c>
      <c r="B6110">
        <v>0.99930955844802105</v>
      </c>
      <c r="C6110">
        <v>0.97549452426673899</v>
      </c>
      <c r="D6110">
        <v>0.93713005209844502</v>
      </c>
      <c r="E6110">
        <v>0.860148632345348</v>
      </c>
      <c r="F6110">
        <v>0.71198504770543003</v>
      </c>
      <c r="G6110">
        <v>0.54770823426062798</v>
      </c>
      <c r="H6110">
        <v>0.39742246366726303</v>
      </c>
      <c r="I6110">
        <v>0.29936139800248301</v>
      </c>
      <c r="J6110">
        <v>0.150224527488314</v>
      </c>
      <c r="K6110">
        <v>8.2016366329344795E-2</v>
      </c>
      <c r="L6110">
        <v>642.79541726069101</v>
      </c>
      <c r="M6110">
        <v>11.089275076481901</v>
      </c>
      <c r="N6110">
        <v>57.965496911390098</v>
      </c>
      <c r="O6110">
        <v>56.176255585532999</v>
      </c>
      <c r="P6110">
        <v>-4.9366510006835097E-2</v>
      </c>
      <c r="Q6110">
        <v>0</v>
      </c>
      <c r="R6110">
        <v>0.99381626042464</v>
      </c>
      <c r="S6110" t="s">
        <v>12726</v>
      </c>
      <c r="T6110" t="s">
        <v>13232</v>
      </c>
      <c r="U6110" t="s">
        <v>13232</v>
      </c>
      <c r="V6110" t="s">
        <v>13232</v>
      </c>
      <c r="W6110" t="s">
        <v>19268</v>
      </c>
      <c r="X6110">
        <v>10</v>
      </c>
      <c r="Y6110" t="s">
        <v>25645</v>
      </c>
      <c r="Z6110" t="s">
        <v>32241</v>
      </c>
      <c r="AA6110">
        <v>0.61078574976692679</v>
      </c>
      <c r="AB6110" t="str">
        <f>HYPERLINK("Melting_Curves/meltCurve_Q9UBF1_MAGEC2.pdf", "Melting_Curves/meltCurve_Q9UBF1_MAGEC2.pdf")</f>
        <v>Melting_Curves/meltCurve_Q9UBF1_MAGEC2.pdf</v>
      </c>
    </row>
    <row r="6111" spans="1:28" x14ac:dyDescent="0.25">
      <c r="A6111" t="s">
        <v>6114</v>
      </c>
      <c r="B6111">
        <v>0.99930955844802105</v>
      </c>
      <c r="C6111">
        <v>0.71915873790693496</v>
      </c>
      <c r="D6111">
        <v>0.77019271185459304</v>
      </c>
      <c r="E6111">
        <v>0.70575994712165202</v>
      </c>
      <c r="F6111">
        <v>0.37899283775881198</v>
      </c>
      <c r="G6111">
        <v>0.194193777700153</v>
      </c>
      <c r="H6111">
        <v>7.6806437997204893E-2</v>
      </c>
      <c r="I6111">
        <v>4.8612243072729003E-2</v>
      </c>
      <c r="J6111">
        <v>3.8663756456818701E-2</v>
      </c>
      <c r="K6111">
        <v>2.9701764355330298E-2</v>
      </c>
      <c r="L6111">
        <v>610.95889993156004</v>
      </c>
      <c r="M6111">
        <v>11.963813005353799</v>
      </c>
      <c r="N6111">
        <v>51.067239191089698</v>
      </c>
      <c r="O6111">
        <v>49.703211794604101</v>
      </c>
      <c r="P6111">
        <v>-6.0190938990939198E-2</v>
      </c>
      <c r="Q6111">
        <v>0</v>
      </c>
      <c r="R6111">
        <v>0.94971000424408103</v>
      </c>
      <c r="S6111" t="s">
        <v>12727</v>
      </c>
      <c r="T6111" t="s">
        <v>13232</v>
      </c>
      <c r="U6111" t="s">
        <v>13232</v>
      </c>
      <c r="V6111" t="s">
        <v>13232</v>
      </c>
      <c r="W6111" t="s">
        <v>19269</v>
      </c>
      <c r="X6111">
        <v>33</v>
      </c>
      <c r="Y6111" t="s">
        <v>25646</v>
      </c>
      <c r="Z6111" t="s">
        <v>32242</v>
      </c>
      <c r="AA6111">
        <v>0.40152854050890419</v>
      </c>
      <c r="AB6111" t="str">
        <f>HYPERLINK("Melting_Curves/meltCurve_Q9UBF2_COPG2.pdf", "Melting_Curves/meltCurve_Q9UBF2_COPG2.pdf")</f>
        <v>Melting_Curves/meltCurve_Q9UBF2_COPG2.pdf</v>
      </c>
    </row>
    <row r="6112" spans="1:28" x14ac:dyDescent="0.25">
      <c r="A6112" t="s">
        <v>6115</v>
      </c>
      <c r="B6112">
        <v>0.99930955844802105</v>
      </c>
      <c r="C6112">
        <v>1.02206481035681</v>
      </c>
      <c r="D6112">
        <v>0.959266653085597</v>
      </c>
      <c r="E6112">
        <v>0.96005453673573005</v>
      </c>
      <c r="F6112">
        <v>0.99401972844781294</v>
      </c>
      <c r="G6112">
        <v>0.65380281179879796</v>
      </c>
      <c r="H6112">
        <v>0.52926518895596397</v>
      </c>
      <c r="I6112">
        <v>0.50449119123999597</v>
      </c>
      <c r="J6112">
        <v>0.458574334977492</v>
      </c>
      <c r="K6112">
        <v>0.30826835348918502</v>
      </c>
      <c r="L6112">
        <v>1203.2017558536099</v>
      </c>
      <c r="M6112">
        <v>20.914918913960101</v>
      </c>
      <c r="N6112">
        <v>61.7233805704792</v>
      </c>
      <c r="O6112">
        <v>57.010228982287998</v>
      </c>
      <c r="P6112">
        <v>-5.6927653680442898E-2</v>
      </c>
      <c r="Q6112">
        <v>0.37931967038061298</v>
      </c>
      <c r="R6112">
        <v>0.96109745794666501</v>
      </c>
      <c r="S6112" t="s">
        <v>12728</v>
      </c>
      <c r="T6112" t="s">
        <v>13232</v>
      </c>
      <c r="U6112" t="s">
        <v>13232</v>
      </c>
      <c r="V6112" t="s">
        <v>13232</v>
      </c>
      <c r="W6112" t="s">
        <v>19270</v>
      </c>
      <c r="X6112">
        <v>2</v>
      </c>
      <c r="Y6112" t="s">
        <v>25647</v>
      </c>
      <c r="Z6112" t="s">
        <v>32243</v>
      </c>
      <c r="AA6112">
        <v>0.74893637834661864</v>
      </c>
      <c r="AB6112" t="str">
        <f>HYPERLINK("Melting_Curves/meltCurve_Q9UBF6_RNF7.pdf", "Melting_Curves/meltCurve_Q9UBF6_RNF7.pdf")</f>
        <v>Melting_Curves/meltCurve_Q9UBF6_RNF7.pdf</v>
      </c>
    </row>
    <row r="6113" spans="1:28" x14ac:dyDescent="0.25">
      <c r="A6113" t="s">
        <v>6116</v>
      </c>
      <c r="B6113">
        <v>0.99930955844802105</v>
      </c>
      <c r="C6113">
        <v>1.06441617304351</v>
      </c>
      <c r="D6113">
        <v>0.968399791707236</v>
      </c>
      <c r="E6113">
        <v>0.80906125788172001</v>
      </c>
      <c r="F6113">
        <v>0.43552545510211599</v>
      </c>
      <c r="G6113">
        <v>0.27565152552212202</v>
      </c>
      <c r="H6113">
        <v>0.240656475911873</v>
      </c>
      <c r="I6113">
        <v>0.24609741438015001</v>
      </c>
      <c r="J6113">
        <v>0.26309138396015302</v>
      </c>
      <c r="K6113">
        <v>0.16674062621674299</v>
      </c>
      <c r="L6113">
        <v>1782.2413163339299</v>
      </c>
      <c r="M6113">
        <v>34.585254241054201</v>
      </c>
      <c r="N6113">
        <v>52.472468583631297</v>
      </c>
      <c r="O6113">
        <v>51.360435645895301</v>
      </c>
      <c r="P6113">
        <v>-0.12945434261938699</v>
      </c>
      <c r="Q6113">
        <v>0.231023820200077</v>
      </c>
      <c r="R6113">
        <v>0.99137957192263004</v>
      </c>
      <c r="S6113" t="s">
        <v>12729</v>
      </c>
      <c r="T6113" t="s">
        <v>13232</v>
      </c>
      <c r="U6113" t="s">
        <v>13232</v>
      </c>
      <c r="V6113" t="s">
        <v>13232</v>
      </c>
      <c r="W6113" t="s">
        <v>19271</v>
      </c>
      <c r="X6113">
        <v>13</v>
      </c>
      <c r="Y6113" t="s">
        <v>25648</v>
      </c>
      <c r="Z6113" t="s">
        <v>32244</v>
      </c>
      <c r="AA6113">
        <v>0.53028258258593397</v>
      </c>
      <c r="AB6113" t="str">
        <f>HYPERLINK("Melting_Curves/meltCurve_Q9UBF8_2_PI4KB.pdf", "Melting_Curves/meltCurve_Q9UBF8_2_PI4KB.pdf")</f>
        <v>Melting_Curves/meltCurve_Q9UBF8_2_PI4KB.pdf</v>
      </c>
    </row>
    <row r="6114" spans="1:28" x14ac:dyDescent="0.25">
      <c r="A6114" t="s">
        <v>6117</v>
      </c>
      <c r="B6114">
        <v>0.99930955844802105</v>
      </c>
      <c r="C6114">
        <v>0.91739448861327699</v>
      </c>
      <c r="D6114">
        <v>0.87196992516113003</v>
      </c>
      <c r="E6114">
        <v>0.72456908311484403</v>
      </c>
      <c r="F6114">
        <v>0.30732312688194502</v>
      </c>
      <c r="G6114">
        <v>0.150605901494063</v>
      </c>
      <c r="H6114">
        <v>8.4470819235749006E-2</v>
      </c>
      <c r="I6114">
        <v>5.0057446481041198E-2</v>
      </c>
      <c r="J6114">
        <v>4.3933111280722303E-2</v>
      </c>
      <c r="K6114">
        <v>4.04437427053864E-2</v>
      </c>
      <c r="L6114">
        <v>1121.14381007575</v>
      </c>
      <c r="M6114">
        <v>21.837615019764399</v>
      </c>
      <c r="N6114">
        <v>51.5384236427034</v>
      </c>
      <c r="O6114">
        <v>50.915328795982802</v>
      </c>
      <c r="P6114">
        <v>-0.102905002856953</v>
      </c>
      <c r="Q6114">
        <v>4.0312589329108299E-2</v>
      </c>
      <c r="R6114">
        <v>0.98922218973784504</v>
      </c>
      <c r="S6114" t="s">
        <v>12730</v>
      </c>
      <c r="T6114" t="s">
        <v>13232</v>
      </c>
      <c r="U6114" t="s">
        <v>13232</v>
      </c>
      <c r="V6114" t="s">
        <v>13232</v>
      </c>
      <c r="W6114" t="s">
        <v>19272</v>
      </c>
      <c r="X6114">
        <v>7</v>
      </c>
      <c r="Y6114" t="s">
        <v>25649</v>
      </c>
      <c r="Z6114" t="s">
        <v>32245</v>
      </c>
      <c r="AA6114">
        <v>0.41436695901871001</v>
      </c>
      <c r="AB6114" t="str">
        <f>HYPERLINK("Melting_Curves/meltCurve_Q9UBI1_COMMD3.pdf", "Melting_Curves/meltCurve_Q9UBI1_COMMD3.pdf")</f>
        <v>Melting_Curves/meltCurve_Q9UBI1_COMMD3.pdf</v>
      </c>
    </row>
    <row r="6115" spans="1:28" x14ac:dyDescent="0.25">
      <c r="A6115" t="s">
        <v>6118</v>
      </c>
      <c r="B6115">
        <v>0.99930955844802105</v>
      </c>
      <c r="C6115">
        <v>0.94480287193050905</v>
      </c>
      <c r="D6115">
        <v>0.94982557959724501</v>
      </c>
      <c r="E6115">
        <v>0.94158163478853696</v>
      </c>
      <c r="F6115">
        <v>0.83762559944951798</v>
      </c>
      <c r="G6115">
        <v>0.68644523160426996</v>
      </c>
      <c r="H6115">
        <v>0.45788109253756998</v>
      </c>
      <c r="I6115">
        <v>0.47680529900220803</v>
      </c>
      <c r="J6115">
        <v>0.39472605443073899</v>
      </c>
      <c r="K6115">
        <v>0.25606153808052301</v>
      </c>
      <c r="L6115">
        <v>654.73788040219301</v>
      </c>
      <c r="M6115">
        <v>10.982981989349099</v>
      </c>
      <c r="N6115">
        <v>61.749429216560699</v>
      </c>
      <c r="O6115">
        <v>57.739775497490903</v>
      </c>
      <c r="P6115">
        <v>-4.0053166947250501E-2</v>
      </c>
      <c r="Q6115">
        <v>0.15801511357935599</v>
      </c>
      <c r="R6115">
        <v>0.97958087609262801</v>
      </c>
      <c r="S6115" t="s">
        <v>12731</v>
      </c>
      <c r="T6115" t="s">
        <v>13232</v>
      </c>
      <c r="U6115" t="s">
        <v>13232</v>
      </c>
      <c r="V6115" t="s">
        <v>13232</v>
      </c>
      <c r="W6115" t="s">
        <v>19273</v>
      </c>
      <c r="X6115">
        <v>5</v>
      </c>
      <c r="Y6115" t="s">
        <v>25650</v>
      </c>
      <c r="Z6115" t="s">
        <v>32246</v>
      </c>
      <c r="AA6115">
        <v>0.71031733731850077</v>
      </c>
      <c r="AB6115" t="str">
        <f>HYPERLINK("Melting_Curves/meltCurve_Q9UBI9_HECA.pdf", "Melting_Curves/meltCurve_Q9UBI9_HECA.pdf")</f>
        <v>Melting_Curves/meltCurve_Q9UBI9_HECA.pdf</v>
      </c>
    </row>
    <row r="6116" spans="1:28" x14ac:dyDescent="0.25">
      <c r="A6116" t="s">
        <v>6119</v>
      </c>
      <c r="B6116">
        <v>0.99930955844802105</v>
      </c>
      <c r="C6116">
        <v>1.0668664811419399</v>
      </c>
      <c r="D6116">
        <v>0.83796414360309501</v>
      </c>
      <c r="E6116">
        <v>0.45995302960456402</v>
      </c>
      <c r="F6116">
        <v>0.29766116990406699</v>
      </c>
      <c r="G6116">
        <v>0.20606932341088399</v>
      </c>
      <c r="H6116">
        <v>0.140895369755</v>
      </c>
      <c r="I6116">
        <v>0.12659432063506501</v>
      </c>
      <c r="J6116">
        <v>0.116287531337338</v>
      </c>
      <c r="K6116">
        <v>8.0739623019499301E-2</v>
      </c>
      <c r="L6116">
        <v>1096.0726121006801</v>
      </c>
      <c r="M6116">
        <v>22.252215183306799</v>
      </c>
      <c r="N6116">
        <v>49.885986997310901</v>
      </c>
      <c r="O6116">
        <v>48.864154047146201</v>
      </c>
      <c r="P6116">
        <v>-9.9919411053801394E-2</v>
      </c>
      <c r="Q6116">
        <v>0.122357293019312</v>
      </c>
      <c r="R6116">
        <v>0.98894645085664901</v>
      </c>
      <c r="S6116" t="s">
        <v>12732</v>
      </c>
      <c r="T6116" t="s">
        <v>13232</v>
      </c>
      <c r="U6116" t="s">
        <v>13232</v>
      </c>
      <c r="V6116" t="s">
        <v>13232</v>
      </c>
      <c r="W6116" t="s">
        <v>19274</v>
      </c>
      <c r="X6116">
        <v>12</v>
      </c>
      <c r="Y6116" t="s">
        <v>25651</v>
      </c>
      <c r="Z6116" t="s">
        <v>32247</v>
      </c>
      <c r="AA6116">
        <v>0.40304567805491831</v>
      </c>
      <c r="AB6116" t="str">
        <f>HYPERLINK("Melting_Curves/meltCurve_Q9UBK8_2_MTRR.pdf", "Melting_Curves/meltCurve_Q9UBK8_2_MTRR.pdf")</f>
        <v>Melting_Curves/meltCurve_Q9UBK8_2_MTRR.pdf</v>
      </c>
    </row>
    <row r="6117" spans="1:28" x14ac:dyDescent="0.25">
      <c r="A6117" t="s">
        <v>6120</v>
      </c>
      <c r="B6117">
        <v>0.99930955844802105</v>
      </c>
      <c r="C6117">
        <v>0.95606138935428298</v>
      </c>
      <c r="D6117">
        <v>0.88964894276492801</v>
      </c>
      <c r="E6117">
        <v>0.82522514113800904</v>
      </c>
      <c r="F6117">
        <v>0.66556913353165303</v>
      </c>
      <c r="G6117">
        <v>0.244743468958451</v>
      </c>
      <c r="H6117">
        <v>0.101379131624176</v>
      </c>
      <c r="I6117">
        <v>7.7439445163215603E-2</v>
      </c>
      <c r="J6117">
        <v>5.5199299688412397E-2</v>
      </c>
      <c r="K6117">
        <v>4.2358591364869601E-2</v>
      </c>
      <c r="L6117">
        <v>1094.7454867665699</v>
      </c>
      <c r="M6117">
        <v>20.241032603143299</v>
      </c>
      <c r="N6117">
        <v>54.232173855101898</v>
      </c>
      <c r="O6117">
        <v>53.565841118920702</v>
      </c>
      <c r="P6117">
        <v>-9.1953917530198506E-2</v>
      </c>
      <c r="Q6117">
        <v>2.6643334393801399E-2</v>
      </c>
      <c r="R6117">
        <v>0.99135085348569096</v>
      </c>
      <c r="S6117" t="s">
        <v>12733</v>
      </c>
      <c r="T6117" t="s">
        <v>13232</v>
      </c>
      <c r="U6117" t="s">
        <v>13232</v>
      </c>
      <c r="V6117" t="s">
        <v>13232</v>
      </c>
      <c r="W6117" t="s">
        <v>19275</v>
      </c>
      <c r="X6117">
        <v>5</v>
      </c>
      <c r="Y6117" t="s">
        <v>25652</v>
      </c>
      <c r="Z6117" t="s">
        <v>32248</v>
      </c>
      <c r="AA6117">
        <v>0.49660814115781687</v>
      </c>
      <c r="AB6117" t="str">
        <f>HYPERLINK("Melting_Curves/meltCurve_Q9UBK9_UXT.pdf", "Melting_Curves/meltCurve_Q9UBK9_UXT.pdf")</f>
        <v>Melting_Curves/meltCurve_Q9UBK9_UXT.pdf</v>
      </c>
    </row>
    <row r="6118" spans="1:28" x14ac:dyDescent="0.25">
      <c r="A6118" t="s">
        <v>6121</v>
      </c>
      <c r="B6118">
        <v>0.99930955844802105</v>
      </c>
      <c r="C6118">
        <v>0.97732143828919404</v>
      </c>
      <c r="D6118">
        <v>0.90374519412995802</v>
      </c>
      <c r="E6118">
        <v>0.62630340005955398</v>
      </c>
      <c r="F6118">
        <v>0.28683660425070701</v>
      </c>
      <c r="G6118">
        <v>0.16112606788713801</v>
      </c>
      <c r="H6118">
        <v>0.100711325813896</v>
      </c>
      <c r="I6118">
        <v>8.8473738738214902E-2</v>
      </c>
      <c r="J6118">
        <v>7.8439305492640804E-2</v>
      </c>
      <c r="K6118">
        <v>6.9465786251421496E-2</v>
      </c>
      <c r="L6118">
        <v>1189.89747940191</v>
      </c>
      <c r="M6118">
        <v>23.515517597900502</v>
      </c>
      <c r="N6118">
        <v>50.9733085821779</v>
      </c>
      <c r="O6118">
        <v>50.238854073967303</v>
      </c>
      <c r="P6118">
        <v>-0.107775860566252</v>
      </c>
      <c r="Q6118">
        <v>7.9000854995952705E-2</v>
      </c>
      <c r="R6118">
        <v>0.99845990532940498</v>
      </c>
      <c r="S6118" t="s">
        <v>12734</v>
      </c>
      <c r="T6118" t="s">
        <v>13232</v>
      </c>
      <c r="U6118" t="s">
        <v>13232</v>
      </c>
      <c r="V6118" t="s">
        <v>13232</v>
      </c>
      <c r="W6118" t="s">
        <v>19276</v>
      </c>
      <c r="X6118">
        <v>22</v>
      </c>
      <c r="Y6118" t="s">
        <v>25653</v>
      </c>
      <c r="Z6118" t="s">
        <v>32249</v>
      </c>
      <c r="AA6118">
        <v>0.4137862755510282</v>
      </c>
      <c r="AB6118" t="str">
        <f>HYPERLINK("Melting_Curves/meltCurve_Q9UBL3_3_ASH2L.pdf", "Melting_Curves/meltCurve_Q9UBL3_3_ASH2L.pdf")</f>
        <v>Melting_Curves/meltCurve_Q9UBL3_3_ASH2L.pdf</v>
      </c>
    </row>
    <row r="6119" spans="1:28" x14ac:dyDescent="0.25">
      <c r="A6119" t="s">
        <v>6122</v>
      </c>
      <c r="B6119">
        <v>0.99930955844802105</v>
      </c>
      <c r="C6119">
        <v>0.99443616173651805</v>
      </c>
      <c r="D6119">
        <v>0.92686709045595905</v>
      </c>
      <c r="E6119">
        <v>0.68189499887595195</v>
      </c>
      <c r="F6119">
        <v>0.29599198719214898</v>
      </c>
      <c r="G6119">
        <v>0.15041045816749701</v>
      </c>
      <c r="H6119">
        <v>7.8977504912794802E-2</v>
      </c>
      <c r="I6119">
        <v>5.1060677872478498E-2</v>
      </c>
      <c r="J6119">
        <v>3.5987838887527997E-2</v>
      </c>
      <c r="K6119">
        <v>2.5462307714392101E-2</v>
      </c>
      <c r="L6119">
        <v>1265.3261775001899</v>
      </c>
      <c r="M6119">
        <v>24.7242356244045</v>
      </c>
      <c r="N6119">
        <v>51.372128497014501</v>
      </c>
      <c r="O6119">
        <v>50.846288468918502</v>
      </c>
      <c r="P6119">
        <v>-0.11613232559652301</v>
      </c>
      <c r="Q6119">
        <v>4.4692044041290999E-2</v>
      </c>
      <c r="R6119">
        <v>0.99745483388339196</v>
      </c>
      <c r="S6119" t="s">
        <v>12735</v>
      </c>
      <c r="T6119" t="s">
        <v>13232</v>
      </c>
      <c r="U6119" t="s">
        <v>13232</v>
      </c>
      <c r="V6119" t="s">
        <v>13232</v>
      </c>
      <c r="W6119" t="s">
        <v>19277</v>
      </c>
      <c r="X6119">
        <v>13</v>
      </c>
      <c r="Y6119" t="s">
        <v>25654</v>
      </c>
      <c r="Z6119" t="s">
        <v>32250</v>
      </c>
      <c r="AA6119">
        <v>0.40946269636849852</v>
      </c>
      <c r="AB6119" t="str">
        <f>HYPERLINK("Melting_Curves/meltCurve_Q9UBL6_2_CPNE7.pdf", "Melting_Curves/meltCurve_Q9UBL6_2_CPNE7.pdf")</f>
        <v>Melting_Curves/meltCurve_Q9UBL6_2_CPNE7.pdf</v>
      </c>
    </row>
    <row r="6120" spans="1:28" x14ac:dyDescent="0.25">
      <c r="A6120" t="s">
        <v>6123</v>
      </c>
      <c r="B6120">
        <v>0.99930955844802105</v>
      </c>
      <c r="C6120">
        <v>1.00263624676698</v>
      </c>
      <c r="D6120">
        <v>0.54740506713105097</v>
      </c>
      <c r="E6120">
        <v>0.532025809456103</v>
      </c>
      <c r="F6120">
        <v>0.30863209742873898</v>
      </c>
      <c r="G6120">
        <v>0.17433569756704601</v>
      </c>
      <c r="H6120">
        <v>0.100783625761189</v>
      </c>
      <c r="I6120">
        <v>8.3241444125675704E-2</v>
      </c>
      <c r="J6120">
        <v>7.7268245826921697E-2</v>
      </c>
      <c r="K6120">
        <v>5.50175385035203E-2</v>
      </c>
      <c r="L6120">
        <v>647.68691706368395</v>
      </c>
      <c r="M6120">
        <v>13.219220126085</v>
      </c>
      <c r="N6120">
        <v>49.349307234628803</v>
      </c>
      <c r="O6120">
        <v>47.915342021757702</v>
      </c>
      <c r="P6120">
        <v>-6.5867339576678396E-2</v>
      </c>
      <c r="Q6120">
        <v>4.5168429622301803E-2</v>
      </c>
      <c r="R6120">
        <v>0.95714824694844203</v>
      </c>
      <c r="S6120" t="s">
        <v>12736</v>
      </c>
      <c r="T6120" t="s">
        <v>13232</v>
      </c>
      <c r="U6120" t="s">
        <v>13232</v>
      </c>
      <c r="V6120" t="s">
        <v>13232</v>
      </c>
      <c r="W6120" t="s">
        <v>19278</v>
      </c>
      <c r="X6120">
        <v>23</v>
      </c>
      <c r="Y6120" t="s">
        <v>25655</v>
      </c>
      <c r="Z6120" t="s">
        <v>32251</v>
      </c>
      <c r="AA6120">
        <v>0.36118220697511572</v>
      </c>
      <c r="AB6120" t="str">
        <f>HYPERLINK("Melting_Curves/meltCurve_Q9UBP0_3_SPAST.pdf", "Melting_Curves/meltCurve_Q9UBP0_3_SPAST.pdf")</f>
        <v>Melting_Curves/meltCurve_Q9UBP0_3_SPAST.pdf</v>
      </c>
    </row>
    <row r="6121" spans="1:28" x14ac:dyDescent="0.25">
      <c r="A6121" t="s">
        <v>6124</v>
      </c>
      <c r="B6121">
        <v>0.99930955844802105</v>
      </c>
      <c r="C6121">
        <v>1.0271773837323299</v>
      </c>
      <c r="D6121">
        <v>0.99776498442295303</v>
      </c>
      <c r="E6121">
        <v>0.95798666946314204</v>
      </c>
      <c r="F6121">
        <v>0.82203933048663502</v>
      </c>
      <c r="G6121">
        <v>0.30934926358957798</v>
      </c>
      <c r="H6121">
        <v>0.18860659907038399</v>
      </c>
      <c r="I6121">
        <v>0.17247735657187799</v>
      </c>
      <c r="J6121">
        <v>0.17151867878885199</v>
      </c>
      <c r="K6121">
        <v>0.112071327301545</v>
      </c>
      <c r="L6121">
        <v>2035.48444268598</v>
      </c>
      <c r="M6121">
        <v>37.136974234888797</v>
      </c>
      <c r="N6121">
        <v>55.3573158861902</v>
      </c>
      <c r="O6121">
        <v>54.651983198752703</v>
      </c>
      <c r="P6121">
        <v>-0.143783657387936</v>
      </c>
      <c r="Q6121">
        <v>0.15361548411488901</v>
      </c>
      <c r="R6121">
        <v>0.997559596439623</v>
      </c>
      <c r="S6121" t="s">
        <v>12737</v>
      </c>
      <c r="T6121" t="s">
        <v>13232</v>
      </c>
      <c r="U6121" t="s">
        <v>13232</v>
      </c>
      <c r="V6121" t="s">
        <v>13232</v>
      </c>
      <c r="W6121" t="s">
        <v>19279</v>
      </c>
      <c r="X6121">
        <v>12</v>
      </c>
      <c r="Y6121" t="s">
        <v>25656</v>
      </c>
      <c r="Z6121" t="s">
        <v>32252</v>
      </c>
      <c r="AA6121">
        <v>0.57515594991244279</v>
      </c>
      <c r="AB6121" t="str">
        <f>HYPERLINK("Melting_Curves/meltCurve_Q9UBP6_METTL1.pdf", "Melting_Curves/meltCurve_Q9UBP6_METTL1.pdf")</f>
        <v>Melting_Curves/meltCurve_Q9UBP6_METTL1.pdf</v>
      </c>
    </row>
    <row r="6122" spans="1:28" x14ac:dyDescent="0.25">
      <c r="A6122" t="s">
        <v>6125</v>
      </c>
      <c r="B6122">
        <v>0.99930955844802105</v>
      </c>
      <c r="C6122">
        <v>1.0242048264760499</v>
      </c>
      <c r="D6122">
        <v>1.07820097186012</v>
      </c>
      <c r="E6122">
        <v>1.0676946969262699</v>
      </c>
      <c r="F6122">
        <v>0.97970694552210902</v>
      </c>
      <c r="G6122">
        <v>0.63647834002123305</v>
      </c>
      <c r="H6122">
        <v>0.28107503848776</v>
      </c>
      <c r="I6122">
        <v>0.11373706954884399</v>
      </c>
      <c r="J6122">
        <v>6.9988272372147303E-2</v>
      </c>
      <c r="K6122">
        <v>5.3997980831046503E-2</v>
      </c>
      <c r="L6122">
        <v>1662.6134545647401</v>
      </c>
      <c r="M6122">
        <v>28.5619454162055</v>
      </c>
      <c r="N6122">
        <v>58.435177573302497</v>
      </c>
      <c r="O6122">
        <v>57.927680124197202</v>
      </c>
      <c r="P6122">
        <v>-0.116864363385422</v>
      </c>
      <c r="Q6122">
        <v>5.1937430637954002E-2</v>
      </c>
      <c r="R6122">
        <v>0.99164294384519103</v>
      </c>
      <c r="S6122" t="s">
        <v>12738</v>
      </c>
      <c r="T6122" t="s">
        <v>13232</v>
      </c>
      <c r="U6122" t="s">
        <v>13232</v>
      </c>
      <c r="V6122" t="s">
        <v>13232</v>
      </c>
      <c r="W6122" t="s">
        <v>19280</v>
      </c>
      <c r="X6122">
        <v>12</v>
      </c>
      <c r="Y6122" t="s">
        <v>25657</v>
      </c>
      <c r="Z6122" t="s">
        <v>32253</v>
      </c>
      <c r="AA6122">
        <v>0.63415683413874568</v>
      </c>
      <c r="AB6122" t="str">
        <f>HYPERLINK("Melting_Curves/meltCurve_Q9UBQ0_VPS29.pdf", "Melting_Curves/meltCurve_Q9UBQ0_VPS29.pdf")</f>
        <v>Melting_Curves/meltCurve_Q9UBQ0_VPS29.pdf</v>
      </c>
    </row>
    <row r="6123" spans="1:28" x14ac:dyDescent="0.25">
      <c r="A6123" t="s">
        <v>6126</v>
      </c>
      <c r="B6123">
        <v>0.99930955844802105</v>
      </c>
      <c r="C6123">
        <v>1.07884983940354</v>
      </c>
      <c r="D6123">
        <v>0.84867669265071499</v>
      </c>
      <c r="E6123">
        <v>0.83861857595543798</v>
      </c>
      <c r="F6123">
        <v>0.22111920411064301</v>
      </c>
      <c r="G6123">
        <v>0.12645625615075201</v>
      </c>
      <c r="H6123">
        <v>7.5151693558236699E-2</v>
      </c>
      <c r="I6123">
        <v>6.4593226100189693E-2</v>
      </c>
      <c r="J6123">
        <v>5.4717606268100599E-2</v>
      </c>
      <c r="K6123">
        <v>4.0705013361029399E-2</v>
      </c>
      <c r="L6123">
        <v>2731.8442873353401</v>
      </c>
      <c r="M6123">
        <v>53.128098522513604</v>
      </c>
      <c r="N6123">
        <v>51.566739387612401</v>
      </c>
      <c r="O6123">
        <v>51.347265179075301</v>
      </c>
      <c r="P6123">
        <v>-0.24051839992954299</v>
      </c>
      <c r="Q6123">
        <v>7.0175543918801001E-2</v>
      </c>
      <c r="R6123">
        <v>0.981703461639997</v>
      </c>
      <c r="S6123" t="s">
        <v>12739</v>
      </c>
      <c r="T6123" t="s">
        <v>13232</v>
      </c>
      <c r="U6123" t="s">
        <v>13232</v>
      </c>
      <c r="V6123" t="s">
        <v>13232</v>
      </c>
      <c r="W6123" t="s">
        <v>19281</v>
      </c>
      <c r="X6123">
        <v>16</v>
      </c>
      <c r="Y6123" t="s">
        <v>25658</v>
      </c>
      <c r="Z6123" t="s">
        <v>32254</v>
      </c>
      <c r="AA6123">
        <v>0.42599394906385157</v>
      </c>
      <c r="AB6123" t="str">
        <f>HYPERLINK("Melting_Curves/meltCurve_Q9UBQ7_GRHPR.pdf", "Melting_Curves/meltCurve_Q9UBQ7_GRHPR.pdf")</f>
        <v>Melting_Curves/meltCurve_Q9UBQ7_GRHPR.pdf</v>
      </c>
    </row>
    <row r="6124" spans="1:28" x14ac:dyDescent="0.25">
      <c r="A6124" t="s">
        <v>6127</v>
      </c>
      <c r="B6124">
        <v>0.99930955844802105</v>
      </c>
      <c r="C6124">
        <v>0.89636344548204605</v>
      </c>
      <c r="D6124">
        <v>0.77810392322828603</v>
      </c>
      <c r="E6124">
        <v>0.82177777009174002</v>
      </c>
      <c r="F6124">
        <v>0.73193250567149004</v>
      </c>
      <c r="G6124">
        <v>0.61556606520639001</v>
      </c>
      <c r="H6124">
        <v>0.49600186671065699</v>
      </c>
      <c r="I6124">
        <v>0.394383491555583</v>
      </c>
      <c r="J6124">
        <v>0.229068889185577</v>
      </c>
      <c r="K6124">
        <v>7.0740534936187399E-2</v>
      </c>
      <c r="L6124">
        <v>494.59142230850603</v>
      </c>
      <c r="M6124">
        <v>8.3938354465575298</v>
      </c>
      <c r="N6124">
        <v>58.923173486753299</v>
      </c>
      <c r="O6124">
        <v>55.863562771686603</v>
      </c>
      <c r="P6124">
        <v>-3.7599484814396698E-2</v>
      </c>
      <c r="Q6124">
        <v>0</v>
      </c>
      <c r="R6124">
        <v>0.93520705629410406</v>
      </c>
      <c r="S6124" t="s">
        <v>12740</v>
      </c>
      <c r="T6124" t="s">
        <v>13232</v>
      </c>
      <c r="U6124" t="s">
        <v>13232</v>
      </c>
      <c r="V6124" t="s">
        <v>13232</v>
      </c>
      <c r="W6124" t="s">
        <v>19282</v>
      </c>
      <c r="X6124">
        <v>8</v>
      </c>
      <c r="Y6124" t="s">
        <v>25659</v>
      </c>
      <c r="Z6124" t="s">
        <v>32255</v>
      </c>
      <c r="AA6124">
        <v>0.62819111606819622</v>
      </c>
      <c r="AB6124" t="str">
        <f>HYPERLINK("Melting_Curves/meltCurve_Q9UBR2_CTSZ.pdf", "Melting_Curves/meltCurve_Q9UBR2_CTSZ.pdf")</f>
        <v>Melting_Curves/meltCurve_Q9UBR2_CTSZ.pdf</v>
      </c>
    </row>
    <row r="6125" spans="1:28" x14ac:dyDescent="0.25">
      <c r="A6125" t="s">
        <v>6128</v>
      </c>
      <c r="B6125">
        <v>0.99930955844802105</v>
      </c>
      <c r="C6125">
        <v>0.777149505813855</v>
      </c>
      <c r="D6125">
        <v>0.45209287008440602</v>
      </c>
      <c r="E6125">
        <v>0.27448734461472801</v>
      </c>
      <c r="F6125">
        <v>0.18188131271256899</v>
      </c>
      <c r="G6125">
        <v>0.123112789690587</v>
      </c>
      <c r="H6125">
        <v>0.107494585397219</v>
      </c>
      <c r="I6125">
        <v>5.8646109136678601E-2</v>
      </c>
      <c r="J6125">
        <v>5.2300212120414698E-2</v>
      </c>
      <c r="K6125">
        <v>5.1066456085208101E-2</v>
      </c>
      <c r="L6125">
        <v>802.83860578111501</v>
      </c>
      <c r="M6125">
        <v>17.587638962843901</v>
      </c>
      <c r="N6125">
        <v>46.077193944101701</v>
      </c>
      <c r="O6125">
        <v>45.070013995901</v>
      </c>
      <c r="P6125">
        <v>-9.0189590961701094E-2</v>
      </c>
      <c r="Q6125">
        <v>7.5572019018752906E-2</v>
      </c>
      <c r="R6125">
        <v>0.98705511806081403</v>
      </c>
      <c r="S6125" t="s">
        <v>12741</v>
      </c>
      <c r="T6125" t="s">
        <v>13232</v>
      </c>
      <c r="U6125" t="s">
        <v>13232</v>
      </c>
      <c r="V6125" t="s">
        <v>13232</v>
      </c>
      <c r="W6125" t="s">
        <v>19283</v>
      </c>
      <c r="X6125">
        <v>7</v>
      </c>
      <c r="Y6125" t="s">
        <v>25660</v>
      </c>
      <c r="Z6125" t="s">
        <v>32256</v>
      </c>
      <c r="AA6125">
        <v>0.26929011639804551</v>
      </c>
      <c r="AB6125" t="str">
        <f>HYPERLINK("Melting_Curves/meltCurve_Q9UBS0_RPS6KB2.pdf", "Melting_Curves/meltCurve_Q9UBS0_RPS6KB2.pdf")</f>
        <v>Melting_Curves/meltCurve_Q9UBS0_RPS6KB2.pdf</v>
      </c>
    </row>
    <row r="6126" spans="1:28" x14ac:dyDescent="0.25">
      <c r="A6126" t="s">
        <v>6129</v>
      </c>
      <c r="B6126">
        <v>0.99930955844802105</v>
      </c>
      <c r="C6126">
        <v>0.86108061487875898</v>
      </c>
      <c r="D6126">
        <v>0.81927939138232297</v>
      </c>
      <c r="E6126">
        <v>0.84863712498107502</v>
      </c>
      <c r="F6126">
        <v>0.54507220664018796</v>
      </c>
      <c r="G6126">
        <v>0.40513252334657202</v>
      </c>
      <c r="H6126">
        <v>0.187831658016964</v>
      </c>
      <c r="I6126">
        <v>0.14050970543952501</v>
      </c>
      <c r="J6126">
        <v>0.153264344993989</v>
      </c>
      <c r="K6126">
        <v>0.104056768988571</v>
      </c>
      <c r="L6126">
        <v>604.23813199313997</v>
      </c>
      <c r="M6126">
        <v>11.0923861018689</v>
      </c>
      <c r="N6126">
        <v>54.559504712133801</v>
      </c>
      <c r="O6126">
        <v>52.792671346576498</v>
      </c>
      <c r="P6126">
        <v>-5.2088419677502898E-2</v>
      </c>
      <c r="Q6126">
        <v>8.6934201968310101E-3</v>
      </c>
      <c r="R6126">
        <v>0.97009842553668002</v>
      </c>
      <c r="S6126" t="s">
        <v>12742</v>
      </c>
      <c r="T6126" t="s">
        <v>13232</v>
      </c>
      <c r="U6126" t="s">
        <v>13232</v>
      </c>
      <c r="V6126" t="s">
        <v>13232</v>
      </c>
      <c r="W6126" t="s">
        <v>19284</v>
      </c>
      <c r="X6126">
        <v>6</v>
      </c>
      <c r="Y6126" t="s">
        <v>25661</v>
      </c>
      <c r="Z6126" t="s">
        <v>32257</v>
      </c>
      <c r="AA6126">
        <v>0.51314442808206295</v>
      </c>
      <c r="AB6126" t="str">
        <f>HYPERLINK("Melting_Curves/meltCurve_Q9UBS4_DNAJB11.pdf", "Melting_Curves/meltCurve_Q9UBS4_DNAJB11.pdf")</f>
        <v>Melting_Curves/meltCurve_Q9UBS4_DNAJB11.pdf</v>
      </c>
    </row>
    <row r="6127" spans="1:28" x14ac:dyDescent="0.25">
      <c r="A6127" t="s">
        <v>6130</v>
      </c>
      <c r="B6127">
        <v>0.99930955844802105</v>
      </c>
      <c r="C6127">
        <v>1.0245140707960101</v>
      </c>
      <c r="D6127">
        <v>0.92925093147788096</v>
      </c>
      <c r="E6127">
        <v>0.66460472480650501</v>
      </c>
      <c r="F6127">
        <v>0.35803034554341001</v>
      </c>
      <c r="G6127">
        <v>0.20095058926225501</v>
      </c>
      <c r="H6127">
        <v>0.100140047419915</v>
      </c>
      <c r="I6127">
        <v>9.2487821167363302E-2</v>
      </c>
      <c r="J6127">
        <v>7.4736634230318205E-2</v>
      </c>
      <c r="K6127">
        <v>5.8443247069982197E-2</v>
      </c>
      <c r="L6127">
        <v>1110.0854120781601</v>
      </c>
      <c r="M6127">
        <v>21.655708851199499</v>
      </c>
      <c r="N6127">
        <v>51.6410514443048</v>
      </c>
      <c r="O6127">
        <v>50.829528450139001</v>
      </c>
      <c r="P6127">
        <v>-9.8661449273569804E-2</v>
      </c>
      <c r="Q6127">
        <v>7.3723018757614098E-2</v>
      </c>
      <c r="R6127">
        <v>0.99777207242714505</v>
      </c>
      <c r="S6127" t="s">
        <v>12743</v>
      </c>
      <c r="T6127" t="s">
        <v>13232</v>
      </c>
      <c r="U6127" t="s">
        <v>13232</v>
      </c>
      <c r="V6127" t="s">
        <v>13232</v>
      </c>
      <c r="W6127" t="s">
        <v>19285</v>
      </c>
      <c r="X6127">
        <v>14</v>
      </c>
      <c r="Y6127" t="s">
        <v>25662</v>
      </c>
      <c r="Z6127" t="s">
        <v>32258</v>
      </c>
      <c r="AA6127">
        <v>0.4324750605444681</v>
      </c>
      <c r="AB6127" t="str">
        <f>HYPERLINK("Melting_Curves/meltCurve_Q9UBS8_RNF14.pdf", "Melting_Curves/meltCurve_Q9UBS8_RNF14.pdf")</f>
        <v>Melting_Curves/meltCurve_Q9UBS8_RNF14.pdf</v>
      </c>
    </row>
    <row r="6128" spans="1:28" x14ac:dyDescent="0.25">
      <c r="A6128" t="s">
        <v>6131</v>
      </c>
      <c r="B6128">
        <v>0.99930955844802105</v>
      </c>
      <c r="C6128">
        <v>1.0272241481658999</v>
      </c>
      <c r="D6128">
        <v>0.99105191131468695</v>
      </c>
      <c r="E6128">
        <v>0.83791138365223805</v>
      </c>
      <c r="F6128">
        <v>0.53709306839555904</v>
      </c>
      <c r="G6128">
        <v>0.265914435266701</v>
      </c>
      <c r="H6128">
        <v>0.119419106258959</v>
      </c>
      <c r="I6128">
        <v>8.8413565361355195E-2</v>
      </c>
      <c r="J6128">
        <v>7.4002106077643806E-2</v>
      </c>
      <c r="K6128">
        <v>5.5523160670943802E-2</v>
      </c>
      <c r="L6128">
        <v>1178.1541234102301</v>
      </c>
      <c r="M6128">
        <v>22.099785071911199</v>
      </c>
      <c r="N6128">
        <v>53.640604484106802</v>
      </c>
      <c r="O6128">
        <v>52.879913209141797</v>
      </c>
      <c r="P6128">
        <v>-9.7843285385078194E-2</v>
      </c>
      <c r="Q6128">
        <v>6.3550895999971199E-2</v>
      </c>
      <c r="R6128">
        <v>0.99829460283286897</v>
      </c>
      <c r="S6128" t="s">
        <v>12744</v>
      </c>
      <c r="T6128" t="s">
        <v>13232</v>
      </c>
      <c r="U6128" t="s">
        <v>13232</v>
      </c>
      <c r="V6128" t="s">
        <v>13232</v>
      </c>
      <c r="W6128" t="s">
        <v>19286</v>
      </c>
      <c r="X6128">
        <v>37</v>
      </c>
      <c r="Y6128" t="s">
        <v>25663</v>
      </c>
      <c r="Z6128" t="s">
        <v>32259</v>
      </c>
      <c r="AA6128">
        <v>0.4898526655398634</v>
      </c>
      <c r="AB6128" t="str">
        <f>HYPERLINK("Melting_Curves/meltCurve_Q9UBT2_UBA2.pdf", "Melting_Curves/meltCurve_Q9UBT2_UBA2.pdf")</f>
        <v>Melting_Curves/meltCurve_Q9UBT2_UBA2.pdf</v>
      </c>
    </row>
    <row r="6129" spans="1:28" x14ac:dyDescent="0.25">
      <c r="A6129" t="s">
        <v>6132</v>
      </c>
      <c r="B6129">
        <v>0.99930955844802105</v>
      </c>
      <c r="C6129">
        <v>0.90756938579612401</v>
      </c>
      <c r="D6129">
        <v>0.77432146651098799</v>
      </c>
      <c r="E6129">
        <v>0.35960044163070398</v>
      </c>
      <c r="F6129">
        <v>0.20085015176229001</v>
      </c>
      <c r="G6129">
        <v>0.155504230334536</v>
      </c>
      <c r="H6129">
        <v>0.107359975924038</v>
      </c>
      <c r="I6129">
        <v>0.10098704191723</v>
      </c>
      <c r="J6129">
        <v>8.8727343660368496E-2</v>
      </c>
      <c r="K6129">
        <v>7.2465328945203605E-2</v>
      </c>
      <c r="L6129">
        <v>1022.17617686187</v>
      </c>
      <c r="M6129">
        <v>21.240900599590699</v>
      </c>
      <c r="N6129">
        <v>48.592217680090002</v>
      </c>
      <c r="O6129">
        <v>47.702568231810098</v>
      </c>
      <c r="P6129">
        <v>-0.10100045984365701</v>
      </c>
      <c r="Q6129">
        <v>9.2720625618565894E-2</v>
      </c>
      <c r="R6129">
        <v>0.99743470890041697</v>
      </c>
      <c r="S6129" t="s">
        <v>12745</v>
      </c>
      <c r="T6129" t="s">
        <v>13232</v>
      </c>
      <c r="U6129" t="s">
        <v>13232</v>
      </c>
      <c r="V6129" t="s">
        <v>13232</v>
      </c>
      <c r="W6129" t="s">
        <v>19287</v>
      </c>
      <c r="X6129">
        <v>3</v>
      </c>
      <c r="Y6129" t="s">
        <v>25664</v>
      </c>
      <c r="Z6129" t="s">
        <v>32260</v>
      </c>
      <c r="AA6129">
        <v>0.34970716226935922</v>
      </c>
      <c r="AB6129" t="str">
        <f>HYPERLINK("Melting_Curves/meltCurve_Q9UBT7_3_CTNNAL1.pdf", "Melting_Curves/meltCurve_Q9UBT7_3_CTNNAL1.pdf")</f>
        <v>Melting_Curves/meltCurve_Q9UBT7_3_CTNNAL1.pdf</v>
      </c>
    </row>
    <row r="6130" spans="1:28" x14ac:dyDescent="0.25">
      <c r="A6130" t="s">
        <v>6133</v>
      </c>
      <c r="B6130">
        <v>0.99930955844802105</v>
      </c>
      <c r="C6130">
        <v>1.4010757956884199</v>
      </c>
      <c r="D6130">
        <v>1.27803200486946</v>
      </c>
      <c r="E6130">
        <v>1.0514000755506401</v>
      </c>
      <c r="F6130">
        <v>1.0056581473480699</v>
      </c>
      <c r="G6130">
        <v>0.81872820157751802</v>
      </c>
      <c r="H6130">
        <v>0.88199563977981499</v>
      </c>
      <c r="I6130">
        <v>0.97588494659474001</v>
      </c>
      <c r="J6130">
        <v>0.93383781052131498</v>
      </c>
      <c r="K6130">
        <v>0.75791364331574296</v>
      </c>
      <c r="L6130">
        <v>682.44073641504303</v>
      </c>
      <c r="M6130">
        <v>8.3350193741252507</v>
      </c>
      <c r="Q6130">
        <v>0</v>
      </c>
      <c r="R6130">
        <v>0.19370578923221199</v>
      </c>
      <c r="S6130" t="s">
        <v>12746</v>
      </c>
      <c r="T6130" t="s">
        <v>13232</v>
      </c>
      <c r="U6130" t="s">
        <v>13232</v>
      </c>
      <c r="V6130" t="s">
        <v>13232</v>
      </c>
      <c r="W6130" t="s">
        <v>19288</v>
      </c>
      <c r="X6130">
        <v>5</v>
      </c>
      <c r="Y6130" t="s">
        <v>25665</v>
      </c>
      <c r="Z6130" t="s">
        <v>32261</v>
      </c>
      <c r="AA6130">
        <v>0.95663508068678182</v>
      </c>
      <c r="AB6130" t="str">
        <f>HYPERLINK("Melting_Curves/meltCurve_Q9UBU7_DBF4.pdf", "Melting_Curves/meltCurve_Q9UBU7_DBF4.pdf")</f>
        <v>Melting_Curves/meltCurve_Q9UBU7_DBF4.pdf</v>
      </c>
    </row>
    <row r="6131" spans="1:28" x14ac:dyDescent="0.25">
      <c r="A6131" t="s">
        <v>6134</v>
      </c>
      <c r="B6131">
        <v>0.99930955844802105</v>
      </c>
      <c r="C6131">
        <v>1.20667832541253</v>
      </c>
      <c r="D6131">
        <v>1.1697940542345699</v>
      </c>
      <c r="E6131">
        <v>1.0063310763081601</v>
      </c>
      <c r="F6131">
        <v>0.78197409138899698</v>
      </c>
      <c r="G6131">
        <v>0.48119701534430798</v>
      </c>
      <c r="H6131">
        <v>0.21183996105924899</v>
      </c>
      <c r="I6131">
        <v>0.15688522856163301</v>
      </c>
      <c r="J6131">
        <v>0.14274568345732699</v>
      </c>
      <c r="K6131">
        <v>0.104386651312644</v>
      </c>
      <c r="L6131">
        <v>1395.3923957335801</v>
      </c>
      <c r="M6131">
        <v>24.914438231979201</v>
      </c>
      <c r="N6131">
        <v>56.603105568014698</v>
      </c>
      <c r="O6131">
        <v>55.650312827247198</v>
      </c>
      <c r="P6131">
        <v>-9.9017566234635798E-2</v>
      </c>
      <c r="Q6131">
        <v>0.11532716873368699</v>
      </c>
      <c r="R6131">
        <v>0.95790944208295703</v>
      </c>
      <c r="S6131" t="s">
        <v>12747</v>
      </c>
      <c r="T6131" t="s">
        <v>13232</v>
      </c>
      <c r="U6131" t="s">
        <v>13232</v>
      </c>
      <c r="V6131" t="s">
        <v>13232</v>
      </c>
      <c r="W6131" t="s">
        <v>19289</v>
      </c>
      <c r="X6131">
        <v>12</v>
      </c>
      <c r="Y6131" t="s">
        <v>25666</v>
      </c>
      <c r="Z6131" t="s">
        <v>32262</v>
      </c>
      <c r="AA6131">
        <v>0.59553685167859993</v>
      </c>
      <c r="AB6131" t="str">
        <f>HYPERLINK("Melting_Curves/meltCurve_Q9UBU8_2_MORF4L1.pdf", "Melting_Curves/meltCurve_Q9UBU8_2_MORF4L1.pdf")</f>
        <v>Melting_Curves/meltCurve_Q9UBU8_2_MORF4L1.pdf</v>
      </c>
    </row>
    <row r="6132" spans="1:28" x14ac:dyDescent="0.25">
      <c r="A6132" t="s">
        <v>6135</v>
      </c>
      <c r="B6132">
        <v>0.99930955844802105</v>
      </c>
      <c r="C6132">
        <v>0.93646469484624895</v>
      </c>
      <c r="D6132">
        <v>0.746444105206585</v>
      </c>
      <c r="E6132">
        <v>0.33369750511746599</v>
      </c>
      <c r="F6132">
        <v>0.20619858268125399</v>
      </c>
      <c r="G6132">
        <v>0.150300178665141</v>
      </c>
      <c r="H6132">
        <v>9.90897726718417E-2</v>
      </c>
      <c r="I6132">
        <v>8.1314925069834301E-2</v>
      </c>
      <c r="J6132">
        <v>6.9537430834712505E-2</v>
      </c>
      <c r="K6132">
        <v>5.5514213310093402E-2</v>
      </c>
      <c r="L6132">
        <v>1016.15746351086</v>
      </c>
      <c r="M6132">
        <v>21.167317983038501</v>
      </c>
      <c r="N6132">
        <v>48.409702529360501</v>
      </c>
      <c r="O6132">
        <v>47.583659805018897</v>
      </c>
      <c r="P6132">
        <v>-0.10221479208037999</v>
      </c>
      <c r="Q6132">
        <v>8.0917592664794702E-2</v>
      </c>
      <c r="R6132">
        <v>0.99731395365058095</v>
      </c>
      <c r="S6132" t="s">
        <v>12748</v>
      </c>
      <c r="T6132" t="s">
        <v>13232</v>
      </c>
      <c r="U6132" t="s">
        <v>13232</v>
      </c>
      <c r="V6132" t="s">
        <v>13232</v>
      </c>
      <c r="W6132" t="s">
        <v>19290</v>
      </c>
      <c r="X6132">
        <v>20</v>
      </c>
      <c r="Y6132" t="s">
        <v>25667</v>
      </c>
      <c r="Z6132" t="s">
        <v>32263</v>
      </c>
      <c r="AA6132">
        <v>0.33776588678931829</v>
      </c>
      <c r="AB6132" t="str">
        <f>HYPERLINK("Melting_Curves/meltCurve_Q9UBU9_NXF1.pdf", "Melting_Curves/meltCurve_Q9UBU9_NXF1.pdf")</f>
        <v>Melting_Curves/meltCurve_Q9UBU9_NXF1.pdf</v>
      </c>
    </row>
    <row r="6133" spans="1:28" x14ac:dyDescent="0.25">
      <c r="A6133" t="s">
        <v>6136</v>
      </c>
      <c r="B6133">
        <v>0.99930955844802105</v>
      </c>
      <c r="C6133">
        <v>1.09496429003703</v>
      </c>
      <c r="D6133">
        <v>1.02678505105927</v>
      </c>
      <c r="E6133">
        <v>0.97491099007325399</v>
      </c>
      <c r="F6133">
        <v>0.81666030068482598</v>
      </c>
      <c r="G6133">
        <v>0.34761630005623101</v>
      </c>
      <c r="H6133">
        <v>0.14142663896673399</v>
      </c>
      <c r="I6133">
        <v>0.119940677239605</v>
      </c>
      <c r="J6133">
        <v>0.10116293582454</v>
      </c>
      <c r="K6133">
        <v>7.8738295106531395E-2</v>
      </c>
      <c r="L6133">
        <v>1751.1646821002</v>
      </c>
      <c r="M6133">
        <v>31.661432440402699</v>
      </c>
      <c r="N6133">
        <v>55.6776856394033</v>
      </c>
      <c r="O6133">
        <v>55.089839609180402</v>
      </c>
      <c r="P6133">
        <v>-0.13009668161645299</v>
      </c>
      <c r="Q6133">
        <v>9.4549160749624397E-2</v>
      </c>
      <c r="R6133">
        <v>0.99422115579148795</v>
      </c>
      <c r="S6133" t="s">
        <v>12749</v>
      </c>
      <c r="T6133" t="s">
        <v>13232</v>
      </c>
      <c r="U6133" t="s">
        <v>13232</v>
      </c>
      <c r="V6133" t="s">
        <v>13232</v>
      </c>
      <c r="W6133" t="s">
        <v>19291</v>
      </c>
      <c r="X6133">
        <v>6</v>
      </c>
      <c r="Y6133" t="s">
        <v>25668</v>
      </c>
      <c r="Z6133" t="s">
        <v>32264</v>
      </c>
      <c r="AA6133">
        <v>0.56203989563849988</v>
      </c>
      <c r="AB6133" t="str">
        <f>HYPERLINK("Melting_Curves/meltCurve_Q9UBV8_PEF1.pdf", "Melting_Curves/meltCurve_Q9UBV8_PEF1.pdf")</f>
        <v>Melting_Curves/meltCurve_Q9UBV8_PEF1.pdf</v>
      </c>
    </row>
    <row r="6134" spans="1:28" x14ac:dyDescent="0.25">
      <c r="A6134" t="s">
        <v>6137</v>
      </c>
      <c r="B6134">
        <v>0.99930955844802105</v>
      </c>
      <c r="C6134">
        <v>1.3052837844352101</v>
      </c>
      <c r="D6134">
        <v>1.3628483103486899</v>
      </c>
      <c r="E6134">
        <v>1.1963967310555499</v>
      </c>
      <c r="F6134">
        <v>1.13645464623137</v>
      </c>
      <c r="G6134">
        <v>1.17489312654006</v>
      </c>
      <c r="H6134">
        <v>1.2842392012202599</v>
      </c>
      <c r="I6134">
        <v>1.41895307938668</v>
      </c>
      <c r="J6134">
        <v>1.53414718521075</v>
      </c>
      <c r="K6134">
        <v>1.23384817998626</v>
      </c>
      <c r="L6134">
        <v>170.94980006195601</v>
      </c>
      <c r="M6134">
        <v>3.3283997490851598</v>
      </c>
      <c r="Q6134">
        <v>1.5</v>
      </c>
      <c r="R6134">
        <v>0.25698044997976199</v>
      </c>
      <c r="S6134" t="s">
        <v>12750</v>
      </c>
      <c r="T6134" t="s">
        <v>13232</v>
      </c>
      <c r="U6134" t="s">
        <v>13232</v>
      </c>
      <c r="V6134" t="s">
        <v>13232</v>
      </c>
      <c r="W6134" t="s">
        <v>19292</v>
      </c>
      <c r="X6134">
        <v>7</v>
      </c>
      <c r="Y6134" t="s">
        <v>25669</v>
      </c>
      <c r="Z6134" t="s">
        <v>32265</v>
      </c>
      <c r="AA6134">
        <v>1.2668386495214881</v>
      </c>
      <c r="AB6134" t="str">
        <f>HYPERLINK("Melting_Curves/meltCurve_Q9UBW7_ZMYM2.pdf", "Melting_Curves/meltCurve_Q9UBW7_ZMYM2.pdf")</f>
        <v>Melting_Curves/meltCurve_Q9UBW7_ZMYM2.pdf</v>
      </c>
    </row>
    <row r="6135" spans="1:28" x14ac:dyDescent="0.25">
      <c r="A6135" t="s">
        <v>6138</v>
      </c>
      <c r="B6135">
        <v>0.99930955844802105</v>
      </c>
      <c r="C6135">
        <v>0.763592763773147</v>
      </c>
      <c r="D6135">
        <v>0.87326162816055097</v>
      </c>
      <c r="E6135">
        <v>0.96152370512895502</v>
      </c>
      <c r="F6135">
        <v>1.06504293920926</v>
      </c>
      <c r="G6135">
        <v>0.459160425768951</v>
      </c>
      <c r="H6135">
        <v>0.12926247478248401</v>
      </c>
      <c r="I6135">
        <v>9.8505935438812697E-2</v>
      </c>
      <c r="J6135">
        <v>8.5633411652991404E-2</v>
      </c>
      <c r="K6135">
        <v>6.5495541343374902E-2</v>
      </c>
      <c r="L6135">
        <v>9002.5134686515903</v>
      </c>
      <c r="M6135">
        <v>158.33356217961301</v>
      </c>
      <c r="N6135">
        <v>56.933419244922199</v>
      </c>
      <c r="O6135">
        <v>56.848829538742699</v>
      </c>
      <c r="P6135">
        <v>-0.63034029961524696</v>
      </c>
      <c r="Q6135">
        <v>9.4718606074893602E-2</v>
      </c>
      <c r="R6135">
        <v>0.95092214896428495</v>
      </c>
      <c r="S6135" t="s">
        <v>12751</v>
      </c>
      <c r="T6135" t="s">
        <v>13232</v>
      </c>
      <c r="U6135" t="s">
        <v>13232</v>
      </c>
      <c r="V6135" t="s">
        <v>13232</v>
      </c>
      <c r="W6135" t="s">
        <v>19293</v>
      </c>
      <c r="X6135">
        <v>6</v>
      </c>
      <c r="Y6135" t="s">
        <v>25670</v>
      </c>
      <c r="Z6135" t="s">
        <v>32266</v>
      </c>
      <c r="AA6135">
        <v>0.60364858938879151</v>
      </c>
      <c r="AB6135" t="str">
        <f>HYPERLINK("Melting_Curves/meltCurve_Q9UBW8_COPS7A.pdf", "Melting_Curves/meltCurve_Q9UBW8_COPS7A.pdf")</f>
        <v>Melting_Curves/meltCurve_Q9UBW8_COPS7A.pdf</v>
      </c>
    </row>
    <row r="6136" spans="1:28" x14ac:dyDescent="0.25">
      <c r="A6136" t="s">
        <v>6139</v>
      </c>
      <c r="B6136">
        <v>0.99930955844802105</v>
      </c>
      <c r="C6136">
        <v>1.13733933926855</v>
      </c>
      <c r="D6136">
        <v>1.0858118642858301</v>
      </c>
      <c r="E6136">
        <v>1.00103744863865</v>
      </c>
      <c r="F6136">
        <v>0.84725835929322202</v>
      </c>
      <c r="G6136">
        <v>0.67916092186617505</v>
      </c>
      <c r="H6136">
        <v>0.57342719603140202</v>
      </c>
      <c r="I6136">
        <v>0.67398693759929396</v>
      </c>
      <c r="J6136">
        <v>0.488911666125247</v>
      </c>
      <c r="K6136">
        <v>0.40393693979873302</v>
      </c>
      <c r="L6136">
        <v>954.92217083118896</v>
      </c>
      <c r="M6136">
        <v>16.821614403477501</v>
      </c>
      <c r="N6136">
        <v>67.144243428970199</v>
      </c>
      <c r="O6136">
        <v>55.983528137779203</v>
      </c>
      <c r="P6136">
        <v>-4.0352507044460799E-2</v>
      </c>
      <c r="Q6136">
        <v>0.462850691376753</v>
      </c>
      <c r="R6136">
        <v>0.90060617664307296</v>
      </c>
      <c r="S6136" t="s">
        <v>12752</v>
      </c>
      <c r="T6136" t="s">
        <v>13232</v>
      </c>
      <c r="U6136" t="s">
        <v>13232</v>
      </c>
      <c r="V6136" t="s">
        <v>13232</v>
      </c>
      <c r="W6136" t="s">
        <v>19294</v>
      </c>
      <c r="X6136">
        <v>32</v>
      </c>
      <c r="Y6136" t="s">
        <v>25671</v>
      </c>
      <c r="Z6136" t="s">
        <v>32267</v>
      </c>
      <c r="AA6136">
        <v>0.77109184207760018</v>
      </c>
      <c r="AB6136" t="str">
        <f>HYPERLINK("Melting_Curves/meltCurve_Q9UDT6_2_CLIP2.pdf", "Melting_Curves/meltCurve_Q9UDT6_2_CLIP2.pdf")</f>
        <v>Melting_Curves/meltCurve_Q9UDT6_2_CLIP2.pdf</v>
      </c>
    </row>
    <row r="6137" spans="1:28" x14ac:dyDescent="0.25">
      <c r="A6137" t="s">
        <v>6140</v>
      </c>
      <c r="B6137">
        <v>0.99930955844802105</v>
      </c>
      <c r="C6137">
        <v>1.0030925314057699</v>
      </c>
      <c r="D6137">
        <v>1.03248117967083</v>
      </c>
      <c r="E6137">
        <v>0.96982051766994104</v>
      </c>
      <c r="F6137">
        <v>0.84248343394665903</v>
      </c>
      <c r="G6137">
        <v>0.60219148774683195</v>
      </c>
      <c r="H6137">
        <v>0.48699463254833297</v>
      </c>
      <c r="I6137">
        <v>0.45454680240966999</v>
      </c>
      <c r="J6137">
        <v>0.206916235105184</v>
      </c>
      <c r="K6137">
        <v>0.38496880737849698</v>
      </c>
      <c r="L6137">
        <v>1032.5211160236399</v>
      </c>
      <c r="M6137">
        <v>18.210382468974899</v>
      </c>
      <c r="N6137">
        <v>59.788548211347802</v>
      </c>
      <c r="O6137">
        <v>56.029108225092799</v>
      </c>
      <c r="P6137">
        <v>-5.6486518672611598E-2</v>
      </c>
      <c r="Q6137">
        <v>0.30484928227616498</v>
      </c>
      <c r="R6137">
        <v>0.96166304964734095</v>
      </c>
      <c r="S6137" t="s">
        <v>12753</v>
      </c>
      <c r="T6137" t="s">
        <v>13232</v>
      </c>
      <c r="U6137" t="s">
        <v>13232</v>
      </c>
      <c r="V6137" t="s">
        <v>13232</v>
      </c>
      <c r="W6137" t="s">
        <v>19295</v>
      </c>
      <c r="X6137">
        <v>3</v>
      </c>
      <c r="Y6137" t="s">
        <v>25672</v>
      </c>
      <c r="Z6137" t="s">
        <v>32268</v>
      </c>
      <c r="AA6137">
        <v>0.70145973744162349</v>
      </c>
      <c r="AB6137" t="str">
        <f>HYPERLINK("Melting_Curves/meltCurve_Q9UDV7_ZNF282.pdf", "Melting_Curves/meltCurve_Q9UDV7_ZNF282.pdf")</f>
        <v>Melting_Curves/meltCurve_Q9UDV7_ZNF282.pdf</v>
      </c>
    </row>
    <row r="6138" spans="1:28" x14ac:dyDescent="0.25">
      <c r="A6138" t="s">
        <v>6141</v>
      </c>
      <c r="B6138">
        <v>0.99930955844802105</v>
      </c>
      <c r="C6138">
        <v>1.04367580060694</v>
      </c>
      <c r="D6138">
        <v>0.91353870643676405</v>
      </c>
      <c r="E6138">
        <v>0.64814565689051495</v>
      </c>
      <c r="F6138">
        <v>0.480075563216523</v>
      </c>
      <c r="G6138">
        <v>0.39897572549945398</v>
      </c>
      <c r="H6138">
        <v>0.35395673963910301</v>
      </c>
      <c r="I6138">
        <v>0.36811865423138401</v>
      </c>
      <c r="J6138">
        <v>0.353607602370139</v>
      </c>
      <c r="K6138">
        <v>0.28464045799154603</v>
      </c>
      <c r="L6138">
        <v>1141.0235502631699</v>
      </c>
      <c r="M6138">
        <v>22.880793491558599</v>
      </c>
      <c r="N6138">
        <v>52.491475951992399</v>
      </c>
      <c r="O6138">
        <v>49.491948785745201</v>
      </c>
      <c r="P6138">
        <v>-7.6208488000632998E-2</v>
      </c>
      <c r="Q6138">
        <v>0.34064620856609001</v>
      </c>
      <c r="R6138">
        <v>0.98963313133695996</v>
      </c>
      <c r="S6138" t="s">
        <v>12754</v>
      </c>
      <c r="T6138" t="s">
        <v>13232</v>
      </c>
      <c r="U6138" t="s">
        <v>13232</v>
      </c>
      <c r="V6138" t="s">
        <v>13232</v>
      </c>
      <c r="W6138" t="s">
        <v>19296</v>
      </c>
      <c r="X6138">
        <v>25</v>
      </c>
      <c r="Y6138" t="s">
        <v>25673</v>
      </c>
      <c r="Z6138" t="s">
        <v>32269</v>
      </c>
      <c r="AA6138">
        <v>0.56456602205996698</v>
      </c>
      <c r="AB6138" t="str">
        <f>HYPERLINK("Melting_Curves/meltCurve_Q9UDY2_TJP2.pdf", "Melting_Curves/meltCurve_Q9UDY2_TJP2.pdf")</f>
        <v>Melting_Curves/meltCurve_Q9UDY2_TJP2.pdf</v>
      </c>
    </row>
    <row r="6139" spans="1:28" x14ac:dyDescent="0.25">
      <c r="A6139" t="s">
        <v>6142</v>
      </c>
      <c r="B6139">
        <v>0.99930955844802105</v>
      </c>
      <c r="C6139">
        <v>0.91100033654540202</v>
      </c>
      <c r="D6139">
        <v>0.90726351592707999</v>
      </c>
      <c r="E6139">
        <v>0.75863876850266199</v>
      </c>
      <c r="F6139">
        <v>0.56660652707384196</v>
      </c>
      <c r="G6139">
        <v>0.41613461945134</v>
      </c>
      <c r="H6139">
        <v>0.40158344763528298</v>
      </c>
      <c r="I6139">
        <v>0.32776820524012901</v>
      </c>
      <c r="J6139">
        <v>0.34999885128436098</v>
      </c>
      <c r="K6139">
        <v>0.26942861787425099</v>
      </c>
      <c r="L6139">
        <v>719.38831003538701</v>
      </c>
      <c r="M6139">
        <v>13.8951183354582</v>
      </c>
      <c r="N6139">
        <v>55.170972690915399</v>
      </c>
      <c r="O6139">
        <v>50.735761889406803</v>
      </c>
      <c r="P6139">
        <v>-4.8787180690985199E-2</v>
      </c>
      <c r="Q6139">
        <v>0.28754329682656898</v>
      </c>
      <c r="R6139">
        <v>0.98747182985502402</v>
      </c>
      <c r="S6139" t="s">
        <v>12755</v>
      </c>
      <c r="T6139" t="s">
        <v>13232</v>
      </c>
      <c r="U6139" t="s">
        <v>13232</v>
      </c>
      <c r="V6139" t="s">
        <v>13232</v>
      </c>
      <c r="W6139" t="s">
        <v>19297</v>
      </c>
      <c r="X6139">
        <v>7</v>
      </c>
      <c r="Y6139" t="s">
        <v>25674</v>
      </c>
      <c r="Z6139" t="s">
        <v>32270</v>
      </c>
      <c r="AA6139">
        <v>0.58515864800049289</v>
      </c>
      <c r="AB6139" t="str">
        <f>HYPERLINK("Melting_Curves/meltCurve_Q9UDY4_DNAJB4.pdf", "Melting_Curves/meltCurve_Q9UDY4_DNAJB4.pdf")</f>
        <v>Melting_Curves/meltCurve_Q9UDY4_DNAJB4.pdf</v>
      </c>
    </row>
    <row r="6140" spans="1:28" x14ac:dyDescent="0.25">
      <c r="A6140" t="s">
        <v>6143</v>
      </c>
      <c r="B6140">
        <v>0.99930955844802105</v>
      </c>
      <c r="C6140">
        <v>1.0165660543635899</v>
      </c>
      <c r="D6140">
        <v>0.866526400764974</v>
      </c>
      <c r="E6140">
        <v>0.52207635751481196</v>
      </c>
      <c r="F6140">
        <v>0.24372036118454299</v>
      </c>
      <c r="G6140">
        <v>0.14908716050618701</v>
      </c>
      <c r="H6140">
        <v>8.8570592629616904E-2</v>
      </c>
      <c r="I6140">
        <v>8.1656545324415006E-2</v>
      </c>
      <c r="J6140">
        <v>7.1388520053601204E-2</v>
      </c>
      <c r="K6140">
        <v>5.5224951605462501E-2</v>
      </c>
      <c r="L6140">
        <v>1141.6919141783501</v>
      </c>
      <c r="M6140">
        <v>22.9216495653341</v>
      </c>
      <c r="N6140">
        <v>50.151605697687998</v>
      </c>
      <c r="O6140">
        <v>49.4339933375607</v>
      </c>
      <c r="P6140">
        <v>-0.10750925557457799</v>
      </c>
      <c r="Q6140">
        <v>7.2577922046022106E-2</v>
      </c>
      <c r="R6140">
        <v>0.99790062755688602</v>
      </c>
      <c r="S6140" t="s">
        <v>12756</v>
      </c>
      <c r="T6140" t="s">
        <v>13232</v>
      </c>
      <c r="U6140" t="s">
        <v>13232</v>
      </c>
      <c r="V6140" t="s">
        <v>13232</v>
      </c>
      <c r="W6140" t="s">
        <v>19298</v>
      </c>
      <c r="X6140">
        <v>16</v>
      </c>
      <c r="Y6140" t="s">
        <v>25675</v>
      </c>
      <c r="Z6140" t="s">
        <v>32271</v>
      </c>
      <c r="AA6140">
        <v>0.38565032638412627</v>
      </c>
      <c r="AB6140" t="str">
        <f>HYPERLINK("Melting_Curves/meltCurve_Q9UDY8_MALT1.pdf", "Melting_Curves/meltCurve_Q9UDY8_MALT1.pdf")</f>
        <v>Melting_Curves/meltCurve_Q9UDY8_MALT1.pdf</v>
      </c>
    </row>
    <row r="6141" spans="1:28" x14ac:dyDescent="0.25">
      <c r="A6141" t="s">
        <v>6144</v>
      </c>
      <c r="B6141">
        <v>0.99930955844802105</v>
      </c>
      <c r="C6141">
        <v>0.989034770055368</v>
      </c>
      <c r="D6141">
        <v>0.95171119205004095</v>
      </c>
      <c r="E6141">
        <v>0.89098379083234103</v>
      </c>
      <c r="F6141">
        <v>0.71830683497798098</v>
      </c>
      <c r="G6141">
        <v>0.62627922533705904</v>
      </c>
      <c r="H6141">
        <v>0.60884731389060698</v>
      </c>
      <c r="I6141">
        <v>0.65287159714128795</v>
      </c>
      <c r="J6141">
        <v>0.74807876993159905</v>
      </c>
      <c r="K6141">
        <v>0.50565489749950798</v>
      </c>
      <c r="L6141">
        <v>1618.5230008491999</v>
      </c>
      <c r="M6141">
        <v>31.6000068394641</v>
      </c>
      <c r="O6141">
        <v>51.015259782044097</v>
      </c>
      <c r="P6141">
        <v>-5.8097590820112503E-2</v>
      </c>
      <c r="Q6141">
        <v>0.62482945639564802</v>
      </c>
      <c r="R6141">
        <v>0.88536901514440502</v>
      </c>
      <c r="S6141" t="s">
        <v>12757</v>
      </c>
      <c r="T6141" t="s">
        <v>13232</v>
      </c>
      <c r="U6141" t="s">
        <v>13232</v>
      </c>
      <c r="V6141" t="s">
        <v>13232</v>
      </c>
      <c r="W6141" t="s">
        <v>19299</v>
      </c>
      <c r="X6141">
        <v>8</v>
      </c>
      <c r="Y6141" t="s">
        <v>25676</v>
      </c>
      <c r="Z6141" t="s">
        <v>32272</v>
      </c>
      <c r="AA6141">
        <v>0.76726509916333852</v>
      </c>
      <c r="AB6141" t="str">
        <f>HYPERLINK("Melting_Curves/meltCurve_Q9UEE9_CFDP1.pdf", "Melting_Curves/meltCurve_Q9UEE9_CFDP1.pdf")</f>
        <v>Melting_Curves/meltCurve_Q9UEE9_CFDP1.pdf</v>
      </c>
    </row>
    <row r="6142" spans="1:28" x14ac:dyDescent="0.25">
      <c r="A6142" t="s">
        <v>6145</v>
      </c>
      <c r="B6142">
        <v>0.99930955844802105</v>
      </c>
      <c r="C6142">
        <v>1.1722409382855901</v>
      </c>
      <c r="D6142">
        <v>1.1755912274684199</v>
      </c>
      <c r="E6142">
        <v>1.08874664703135</v>
      </c>
      <c r="F6142">
        <v>0.96662342082544805</v>
      </c>
      <c r="G6142">
        <v>0.92196182859141396</v>
      </c>
      <c r="H6142">
        <v>0.90584851969663505</v>
      </c>
      <c r="I6142">
        <v>1.0086963368671999</v>
      </c>
      <c r="J6142">
        <v>0.92844402087719402</v>
      </c>
      <c r="K6142">
        <v>0.81065824859163704</v>
      </c>
      <c r="L6142">
        <v>1129.04068735704</v>
      </c>
      <c r="M6142">
        <v>14.5700937383015</v>
      </c>
      <c r="Q6142">
        <v>0</v>
      </c>
      <c r="R6142">
        <v>0.33105546096652699</v>
      </c>
      <c r="S6142" t="s">
        <v>12758</v>
      </c>
      <c r="T6142" t="s">
        <v>13232</v>
      </c>
      <c r="U6142" t="s">
        <v>13232</v>
      </c>
      <c r="V6142" t="s">
        <v>13232</v>
      </c>
      <c r="W6142" t="s">
        <v>19300</v>
      </c>
      <c r="X6142">
        <v>6</v>
      </c>
      <c r="Y6142" t="s">
        <v>25677</v>
      </c>
      <c r="Z6142" t="s">
        <v>32273</v>
      </c>
      <c r="AA6142">
        <v>0.9754231559458959</v>
      </c>
      <c r="AB6142" t="str">
        <f>HYPERLINK("Melting_Curves/meltCurve_Q9UEG4_ZNF629.pdf", "Melting_Curves/meltCurve_Q9UEG4_ZNF629.pdf")</f>
        <v>Melting_Curves/meltCurve_Q9UEG4_ZNF629.pdf</v>
      </c>
    </row>
    <row r="6143" spans="1:28" x14ac:dyDescent="0.25">
      <c r="A6143" t="s">
        <v>6146</v>
      </c>
      <c r="B6143">
        <v>0.99930955844802105</v>
      </c>
      <c r="C6143">
        <v>0.88122760591097404</v>
      </c>
      <c r="D6143">
        <v>0.79795733212019004</v>
      </c>
      <c r="E6143">
        <v>0.486379919387811</v>
      </c>
      <c r="F6143">
        <v>0.282065663868378</v>
      </c>
      <c r="G6143">
        <v>0.199359095142528</v>
      </c>
      <c r="H6143">
        <v>0.13758602919962601</v>
      </c>
      <c r="I6143">
        <v>0.12747934722529</v>
      </c>
      <c r="J6143">
        <v>0.1090164196868</v>
      </c>
      <c r="K6143">
        <v>8.6600360369079601E-2</v>
      </c>
      <c r="L6143">
        <v>799.59652328161098</v>
      </c>
      <c r="M6143">
        <v>16.284055125978</v>
      </c>
      <c r="N6143">
        <v>49.760847092797498</v>
      </c>
      <c r="O6143">
        <v>48.380430135099999</v>
      </c>
      <c r="P6143">
        <v>-7.6003022878167806E-2</v>
      </c>
      <c r="Q6143">
        <v>9.6836766982693501E-2</v>
      </c>
      <c r="R6143">
        <v>0.99651455546469903</v>
      </c>
      <c r="S6143" t="s">
        <v>12759</v>
      </c>
      <c r="T6143" t="s">
        <v>13232</v>
      </c>
      <c r="U6143" t="s">
        <v>13232</v>
      </c>
      <c r="V6143" t="s">
        <v>13232</v>
      </c>
      <c r="W6143" t="s">
        <v>19301</v>
      </c>
      <c r="X6143">
        <v>9</v>
      </c>
      <c r="Y6143" t="s">
        <v>25678</v>
      </c>
      <c r="Z6143" t="s">
        <v>32274</v>
      </c>
      <c r="AA6143">
        <v>0.38988479417205391</v>
      </c>
      <c r="AB6143" t="str">
        <f>HYPERLINK("Melting_Curves/meltCurve_Q9UER7_DAXX.pdf", "Melting_Curves/meltCurve_Q9UER7_DAXX.pdf")</f>
        <v>Melting_Curves/meltCurve_Q9UER7_DAXX.pdf</v>
      </c>
    </row>
    <row r="6144" spans="1:28" x14ac:dyDescent="0.25">
      <c r="A6144" t="s">
        <v>6147</v>
      </c>
      <c r="B6144">
        <v>0.99930955844802105</v>
      </c>
      <c r="C6144">
        <v>0.80125333379874997</v>
      </c>
      <c r="D6144">
        <v>0.79352739540010997</v>
      </c>
      <c r="E6144">
        <v>0.62276303469031002</v>
      </c>
      <c r="F6144">
        <v>0.30253511083792201</v>
      </c>
      <c r="G6144">
        <v>0.23918542869357901</v>
      </c>
      <c r="H6144">
        <v>0.21661600540281201</v>
      </c>
      <c r="I6144">
        <v>0.22500268757290701</v>
      </c>
      <c r="J6144">
        <v>0.20366325824783399</v>
      </c>
      <c r="K6144">
        <v>0.17305430483321399</v>
      </c>
      <c r="L6144">
        <v>693.55993769986401</v>
      </c>
      <c r="M6144">
        <v>14.1187302973534</v>
      </c>
      <c r="N6144">
        <v>50.5711517893319</v>
      </c>
      <c r="O6144">
        <v>48.169411964865297</v>
      </c>
      <c r="P6144">
        <v>-6.1102613977541499E-2</v>
      </c>
      <c r="Q6144">
        <v>0.166242257295308</v>
      </c>
      <c r="R6144">
        <v>0.96646909550716997</v>
      </c>
      <c r="S6144" t="s">
        <v>12760</v>
      </c>
      <c r="T6144" t="s">
        <v>13232</v>
      </c>
      <c r="U6144" t="s">
        <v>13232</v>
      </c>
      <c r="V6144" t="s">
        <v>13232</v>
      </c>
      <c r="W6144" t="s">
        <v>19302</v>
      </c>
      <c r="X6144">
        <v>6</v>
      </c>
      <c r="Y6144" t="s">
        <v>25679</v>
      </c>
      <c r="Z6144" t="s">
        <v>32275</v>
      </c>
      <c r="AA6144">
        <v>0.44270203115809947</v>
      </c>
      <c r="AB6144" t="str">
        <f>HYPERLINK("Melting_Curves/meltCurve_Q9UET6_2_FTSJ1.pdf", "Melting_Curves/meltCurve_Q9UET6_2_FTSJ1.pdf")</f>
        <v>Melting_Curves/meltCurve_Q9UET6_2_FTSJ1.pdf</v>
      </c>
    </row>
    <row r="6145" spans="1:28" x14ac:dyDescent="0.25">
      <c r="A6145" t="s">
        <v>6148</v>
      </c>
      <c r="B6145">
        <v>0.99930955844802105</v>
      </c>
      <c r="C6145">
        <v>1.1985930554969599</v>
      </c>
      <c r="D6145">
        <v>1.1980808614035099</v>
      </c>
      <c r="E6145">
        <v>1.0344407143691601</v>
      </c>
      <c r="F6145">
        <v>0.99403716153990296</v>
      </c>
      <c r="G6145">
        <v>0.91478809014912399</v>
      </c>
      <c r="H6145">
        <v>0.95449553290439204</v>
      </c>
      <c r="I6145">
        <v>1.0388910499285899</v>
      </c>
      <c r="J6145">
        <v>1.0469635092960901</v>
      </c>
      <c r="K6145">
        <v>0.83850874471234804</v>
      </c>
      <c r="L6145">
        <v>15000</v>
      </c>
      <c r="M6145">
        <v>212.63850668041101</v>
      </c>
      <c r="Q6145">
        <v>0</v>
      </c>
      <c r="R6145">
        <v>0.18658578663273701</v>
      </c>
      <c r="S6145" t="s">
        <v>12761</v>
      </c>
      <c r="T6145" t="s">
        <v>13232</v>
      </c>
      <c r="U6145" t="s">
        <v>13232</v>
      </c>
      <c r="V6145" t="s">
        <v>13232</v>
      </c>
      <c r="W6145" t="s">
        <v>19303</v>
      </c>
      <c r="X6145">
        <v>6</v>
      </c>
      <c r="Y6145" t="s">
        <v>25680</v>
      </c>
      <c r="Z6145" t="s">
        <v>32276</v>
      </c>
      <c r="AA6145">
        <v>0.99810063636888091</v>
      </c>
      <c r="AB6145" t="str">
        <f>HYPERLINK("Melting_Curves/meltCurve_Q9UEU0_VTI1B.pdf", "Melting_Curves/meltCurve_Q9UEU0_VTI1B.pdf")</f>
        <v>Melting_Curves/meltCurve_Q9UEU0_VTI1B.pdf</v>
      </c>
    </row>
    <row r="6146" spans="1:28" x14ac:dyDescent="0.25">
      <c r="A6146" t="s">
        <v>6149</v>
      </c>
      <c r="B6146">
        <v>0.99930955844802105</v>
      </c>
      <c r="C6146">
        <v>0.96033756995860597</v>
      </c>
      <c r="D6146">
        <v>0.92013941913725905</v>
      </c>
      <c r="E6146">
        <v>0.90119770209527905</v>
      </c>
      <c r="F6146">
        <v>0.85736622660685802</v>
      </c>
      <c r="G6146">
        <v>0.68418543926204001</v>
      </c>
      <c r="H6146">
        <v>0.43487521278400099</v>
      </c>
      <c r="I6146">
        <v>0.37638468587956198</v>
      </c>
      <c r="J6146">
        <v>0.28611906713092899</v>
      </c>
      <c r="K6146">
        <v>0.14860021188803399</v>
      </c>
      <c r="L6146">
        <v>671.94101105190703</v>
      </c>
      <c r="M6146">
        <v>11.097884948473</v>
      </c>
      <c r="N6146">
        <v>60.546763138562802</v>
      </c>
      <c r="O6146">
        <v>58.680584608830998</v>
      </c>
      <c r="P6146">
        <v>-4.7296323074264901E-2</v>
      </c>
      <c r="Q6146">
        <v>0</v>
      </c>
      <c r="R6146">
        <v>0.98977333917876897</v>
      </c>
      <c r="S6146" t="s">
        <v>12762</v>
      </c>
      <c r="T6146" t="s">
        <v>13232</v>
      </c>
      <c r="U6146" t="s">
        <v>13232</v>
      </c>
      <c r="V6146" t="s">
        <v>13232</v>
      </c>
      <c r="W6146" t="s">
        <v>19304</v>
      </c>
      <c r="X6146">
        <v>25</v>
      </c>
      <c r="Y6146" t="s">
        <v>25681</v>
      </c>
      <c r="Z6146" t="s">
        <v>32277</v>
      </c>
      <c r="AA6146">
        <v>0.68105102859065847</v>
      </c>
      <c r="AB6146" t="str">
        <f>HYPERLINK("Melting_Curves/meltCurve_Q9UEY8_2_ADD3.pdf", "Melting_Curves/meltCurve_Q9UEY8_2_ADD3.pdf")</f>
        <v>Melting_Curves/meltCurve_Q9UEY8_2_ADD3.pdf</v>
      </c>
    </row>
    <row r="6147" spans="1:28" x14ac:dyDescent="0.25">
      <c r="A6147" t="s">
        <v>6150</v>
      </c>
      <c r="B6147">
        <v>0.99930955844802105</v>
      </c>
      <c r="C6147">
        <v>1.12303661658905</v>
      </c>
      <c r="D6147">
        <v>0.99372130890703203</v>
      </c>
      <c r="E6147">
        <v>0.687263495508322</v>
      </c>
      <c r="F6147">
        <v>0.54787230998404701</v>
      </c>
      <c r="G6147">
        <v>0.31518368113803402</v>
      </c>
      <c r="H6147">
        <v>0.151104205928518</v>
      </c>
      <c r="I6147">
        <v>0.11883964277204</v>
      </c>
      <c r="J6147">
        <v>0.108147405574819</v>
      </c>
      <c r="K6147">
        <v>8.1433449263233898E-2</v>
      </c>
      <c r="L6147">
        <v>929.75815724635197</v>
      </c>
      <c r="M6147">
        <v>17.571258767825501</v>
      </c>
      <c r="N6147">
        <v>53.447081709732799</v>
      </c>
      <c r="O6147">
        <v>52.242498738888003</v>
      </c>
      <c r="P6147">
        <v>-7.7325707381600703E-2</v>
      </c>
      <c r="Q6147">
        <v>8.0437196409592501E-2</v>
      </c>
      <c r="R6147">
        <v>0.98163055838817703</v>
      </c>
      <c r="S6147" t="s">
        <v>12763</v>
      </c>
      <c r="T6147" t="s">
        <v>13232</v>
      </c>
      <c r="U6147" t="s">
        <v>13232</v>
      </c>
      <c r="V6147" t="s">
        <v>13232</v>
      </c>
      <c r="W6147" t="s">
        <v>19305</v>
      </c>
      <c r="X6147">
        <v>19</v>
      </c>
      <c r="Y6147" t="s">
        <v>25682</v>
      </c>
      <c r="Z6147" t="s">
        <v>32278</v>
      </c>
      <c r="AA6147">
        <v>0.49193891440456577</v>
      </c>
      <c r="AB6147" t="str">
        <f>HYPERLINK("Melting_Curves/meltCurve_Q9UFC0_LRWD1.pdf", "Melting_Curves/meltCurve_Q9UFC0_LRWD1.pdf")</f>
        <v>Melting_Curves/meltCurve_Q9UFC0_LRWD1.pdf</v>
      </c>
    </row>
    <row r="6148" spans="1:28" x14ac:dyDescent="0.25">
      <c r="A6148" t="s">
        <v>6151</v>
      </c>
      <c r="B6148">
        <v>0.99930955844802105</v>
      </c>
      <c r="C6148">
        <v>0.73431114406761699</v>
      </c>
      <c r="D6148">
        <v>0.83901613957431398</v>
      </c>
      <c r="E6148">
        <v>0.78947124130326296</v>
      </c>
      <c r="F6148">
        <v>0.45841622194338799</v>
      </c>
      <c r="G6148">
        <v>0.34035859562221499</v>
      </c>
      <c r="H6148">
        <v>0.344471873531838</v>
      </c>
      <c r="I6148">
        <v>0.26270901053019202</v>
      </c>
      <c r="J6148">
        <v>0.199830767051174</v>
      </c>
      <c r="K6148">
        <v>0.22611475727253</v>
      </c>
      <c r="L6148">
        <v>472.32225715978802</v>
      </c>
      <c r="M6148">
        <v>9.0285578447706705</v>
      </c>
      <c r="N6148">
        <v>53.910786877663902</v>
      </c>
      <c r="O6148">
        <v>49.939123053638802</v>
      </c>
      <c r="P6148">
        <v>-3.9924426417828798E-2</v>
      </c>
      <c r="Q6148">
        <v>0.117307004360397</v>
      </c>
      <c r="R6148">
        <v>0.92132944176424902</v>
      </c>
      <c r="S6148" t="s">
        <v>12764</v>
      </c>
      <c r="T6148" t="s">
        <v>13232</v>
      </c>
      <c r="U6148" t="s">
        <v>13232</v>
      </c>
      <c r="V6148" t="s">
        <v>13232</v>
      </c>
      <c r="W6148" t="s">
        <v>19306</v>
      </c>
      <c r="X6148">
        <v>3</v>
      </c>
      <c r="Y6148" t="s">
        <v>25683</v>
      </c>
      <c r="Z6148" t="s">
        <v>32279</v>
      </c>
      <c r="AA6148">
        <v>0.51552043836335315</v>
      </c>
      <c r="AB6148" t="str">
        <f>HYPERLINK("Melting_Curves/meltCurve_Q9UFG5_C19orf25.pdf", "Melting_Curves/meltCurve_Q9UFG5_C19orf25.pdf")</f>
        <v>Melting_Curves/meltCurve_Q9UFG5_C19orf25.pdf</v>
      </c>
    </row>
    <row r="6149" spans="1:28" x14ac:dyDescent="0.25">
      <c r="A6149" t="s">
        <v>6152</v>
      </c>
      <c r="B6149">
        <v>0.99930955844802105</v>
      </c>
      <c r="C6149">
        <v>0.85711215735137303</v>
      </c>
      <c r="D6149">
        <v>0.84739843378307</v>
      </c>
      <c r="E6149">
        <v>0.85045014515965101</v>
      </c>
      <c r="F6149">
        <v>0.67140222714393105</v>
      </c>
      <c r="G6149">
        <v>0.51235181810757102</v>
      </c>
      <c r="H6149">
        <v>0.29592477936865003</v>
      </c>
      <c r="I6149">
        <v>0.31208262136848097</v>
      </c>
      <c r="J6149">
        <v>0.25870530712873102</v>
      </c>
      <c r="K6149">
        <v>0.19992068167132099</v>
      </c>
      <c r="L6149">
        <v>503.85833110815997</v>
      </c>
      <c r="M6149">
        <v>8.9239678333778905</v>
      </c>
      <c r="N6149">
        <v>57.141560068475599</v>
      </c>
      <c r="O6149">
        <v>53.841968154186603</v>
      </c>
      <c r="P6149">
        <v>-3.9377123386032803E-2</v>
      </c>
      <c r="Q6149">
        <v>5.0398690657679601E-2</v>
      </c>
      <c r="R6149">
        <v>0.97122011863055402</v>
      </c>
      <c r="S6149" t="s">
        <v>12765</v>
      </c>
      <c r="T6149" t="s">
        <v>13232</v>
      </c>
      <c r="U6149" t="s">
        <v>13232</v>
      </c>
      <c r="V6149" t="s">
        <v>13232</v>
      </c>
      <c r="W6149" t="s">
        <v>19307</v>
      </c>
      <c r="X6149">
        <v>10</v>
      </c>
      <c r="Y6149" t="s">
        <v>25684</v>
      </c>
      <c r="Z6149" t="s">
        <v>32280</v>
      </c>
      <c r="AA6149">
        <v>0.58835267839675709</v>
      </c>
      <c r="AB6149" t="str">
        <f>HYPERLINK("Melting_Curves/meltCurve_Q9UFN0_NIPSNAP3A.pdf", "Melting_Curves/meltCurve_Q9UFN0_NIPSNAP3A.pdf")</f>
        <v>Melting_Curves/meltCurve_Q9UFN0_NIPSNAP3A.pdf</v>
      </c>
    </row>
    <row r="6150" spans="1:28" x14ac:dyDescent="0.25">
      <c r="A6150" t="s">
        <v>6153</v>
      </c>
      <c r="B6150">
        <v>0.99930955844802105</v>
      </c>
      <c r="C6150">
        <v>1.03504174665099</v>
      </c>
      <c r="D6150">
        <v>1.05998212889937</v>
      </c>
      <c r="E6150">
        <v>1.0180637383853799</v>
      </c>
      <c r="F6150">
        <v>0.83305653768101595</v>
      </c>
      <c r="G6150">
        <v>0.70808941368134004</v>
      </c>
      <c r="H6150">
        <v>0.69261162225155604</v>
      </c>
      <c r="I6150">
        <v>0.71041524208195606</v>
      </c>
      <c r="J6150">
        <v>0.70012513762054596</v>
      </c>
      <c r="K6150">
        <v>0.57287773315354995</v>
      </c>
      <c r="L6150">
        <v>13246.4856639355</v>
      </c>
      <c r="M6150">
        <v>250</v>
      </c>
      <c r="O6150">
        <v>52.982547965917902</v>
      </c>
      <c r="P6150">
        <v>-0.38122948291181702</v>
      </c>
      <c r="Q6150">
        <v>0.67682382648190698</v>
      </c>
      <c r="R6150">
        <v>0.93496028530498199</v>
      </c>
      <c r="S6150" t="s">
        <v>12766</v>
      </c>
      <c r="T6150" t="s">
        <v>13232</v>
      </c>
      <c r="U6150" t="s">
        <v>13232</v>
      </c>
      <c r="V6150" t="s">
        <v>13232</v>
      </c>
      <c r="W6150" t="s">
        <v>19308</v>
      </c>
      <c r="X6150">
        <v>7</v>
      </c>
      <c r="Y6150" t="s">
        <v>25685</v>
      </c>
      <c r="Z6150" t="s">
        <v>32281</v>
      </c>
      <c r="AA6150">
        <v>0.81674545370782181</v>
      </c>
      <c r="AB6150" t="str">
        <f>HYPERLINK("Melting_Curves/meltCurve_Q9UFW8_CGGBP1.pdf", "Melting_Curves/meltCurve_Q9UFW8_CGGBP1.pdf")</f>
        <v>Melting_Curves/meltCurve_Q9UFW8_CGGBP1.pdf</v>
      </c>
    </row>
    <row r="6151" spans="1:28" x14ac:dyDescent="0.25">
      <c r="A6151" t="s">
        <v>6154</v>
      </c>
      <c r="B6151">
        <v>0.99930955844802105</v>
      </c>
      <c r="C6151">
        <v>0.60235042269266703</v>
      </c>
      <c r="D6151">
        <v>0.51234706636152105</v>
      </c>
      <c r="E6151">
        <v>0.31615899891343002</v>
      </c>
      <c r="F6151">
        <v>0.18331154946115599</v>
      </c>
      <c r="G6151">
        <v>0.122091601497802</v>
      </c>
      <c r="H6151">
        <v>6.1879025363022498E-2</v>
      </c>
      <c r="I6151">
        <v>6.0655777505463998E-2</v>
      </c>
      <c r="J6151">
        <v>3.8979826249785299E-2</v>
      </c>
      <c r="K6151">
        <v>2.67793358503477E-2</v>
      </c>
      <c r="L6151">
        <v>577.74114096032099</v>
      </c>
      <c r="M6151">
        <v>12.587074996394501</v>
      </c>
      <c r="N6151">
        <v>46.120415271019901</v>
      </c>
      <c r="O6151">
        <v>44.787252522773997</v>
      </c>
      <c r="P6151">
        <v>-6.8219068918905196E-2</v>
      </c>
      <c r="Q6151">
        <v>2.9247992951604199E-2</v>
      </c>
      <c r="R6151">
        <v>0.96603630102565996</v>
      </c>
      <c r="S6151" t="s">
        <v>12767</v>
      </c>
      <c r="T6151" t="s">
        <v>13232</v>
      </c>
      <c r="U6151" t="s">
        <v>13232</v>
      </c>
      <c r="V6151" t="s">
        <v>13232</v>
      </c>
      <c r="W6151" t="s">
        <v>19309</v>
      </c>
      <c r="X6151">
        <v>2</v>
      </c>
      <c r="Y6151" t="s">
        <v>25686</v>
      </c>
      <c r="Z6151" t="s">
        <v>32282</v>
      </c>
      <c r="AA6151">
        <v>0.26086192368951661</v>
      </c>
      <c r="AB6151" t="str">
        <f>HYPERLINK("Melting_Curves/meltCurve_Q9UG01_IFT172.pdf", "Melting_Curves/meltCurve_Q9UG01_IFT172.pdf")</f>
        <v>Melting_Curves/meltCurve_Q9UG01_IFT172.pdf</v>
      </c>
    </row>
    <row r="6152" spans="1:28" x14ac:dyDescent="0.25">
      <c r="A6152" t="s">
        <v>6155</v>
      </c>
      <c r="B6152">
        <v>0.99930955844802105</v>
      </c>
      <c r="C6152">
        <v>1.0848299588744399</v>
      </c>
      <c r="D6152">
        <v>0.93500805836784695</v>
      </c>
      <c r="E6152">
        <v>0.88569421189608299</v>
      </c>
      <c r="F6152">
        <v>0.84261319314220395</v>
      </c>
      <c r="G6152">
        <v>0.65595108826052295</v>
      </c>
      <c r="H6152">
        <v>0.500708728200013</v>
      </c>
      <c r="I6152">
        <v>0.18565667137045699</v>
      </c>
      <c r="J6152">
        <v>0.100010181766624</v>
      </c>
      <c r="K6152">
        <v>8.7121304402451499E-2</v>
      </c>
      <c r="L6152">
        <v>909.93852164536202</v>
      </c>
      <c r="M6152">
        <v>15.321237690838799</v>
      </c>
      <c r="N6152">
        <v>59.390667045811902</v>
      </c>
      <c r="O6152">
        <v>58.406476499472802</v>
      </c>
      <c r="P6152">
        <v>-6.5586314773027898E-2</v>
      </c>
      <c r="Q6152">
        <v>0</v>
      </c>
      <c r="R6152">
        <v>0.97662615477181303</v>
      </c>
      <c r="S6152" t="s">
        <v>12768</v>
      </c>
      <c r="T6152" t="s">
        <v>13232</v>
      </c>
      <c r="U6152" t="s">
        <v>13232</v>
      </c>
      <c r="V6152" t="s">
        <v>13232</v>
      </c>
      <c r="W6152" t="s">
        <v>19310</v>
      </c>
      <c r="X6152">
        <v>13</v>
      </c>
      <c r="Y6152" t="s">
        <v>25687</v>
      </c>
      <c r="Z6152" t="s">
        <v>32283</v>
      </c>
      <c r="AA6152">
        <v>0.6556684274654665</v>
      </c>
      <c r="AB6152" t="str">
        <f>HYPERLINK("Melting_Curves/meltCurve_Q9UG63_ABCF2.pdf", "Melting_Curves/meltCurve_Q9UG63_ABCF2.pdf")</f>
        <v>Melting_Curves/meltCurve_Q9UG63_ABCF2.pdf</v>
      </c>
    </row>
    <row r="6153" spans="1:28" x14ac:dyDescent="0.25">
      <c r="A6153" t="s">
        <v>6156</v>
      </c>
      <c r="B6153">
        <v>0.99930955844802105</v>
      </c>
      <c r="C6153">
        <v>0.93127629768241305</v>
      </c>
      <c r="D6153">
        <v>0.81757330020838503</v>
      </c>
      <c r="E6153">
        <v>0.66054242251610795</v>
      </c>
      <c r="F6153">
        <v>0.40684767393808002</v>
      </c>
      <c r="G6153">
        <v>0.227516782193594</v>
      </c>
      <c r="H6153">
        <v>0.15155774769758801</v>
      </c>
      <c r="I6153">
        <v>0.13602269394629299</v>
      </c>
      <c r="J6153">
        <v>0.12591414157432099</v>
      </c>
      <c r="K6153">
        <v>9.3517977986488907E-2</v>
      </c>
      <c r="L6153">
        <v>752.14357817451605</v>
      </c>
      <c r="M6153">
        <v>14.7210444919404</v>
      </c>
      <c r="N6153">
        <v>51.725328329620602</v>
      </c>
      <c r="O6153">
        <v>50.1780333245066</v>
      </c>
      <c r="P6153">
        <v>-6.7312352310890194E-2</v>
      </c>
      <c r="Q6153">
        <v>8.2338404767487494E-2</v>
      </c>
      <c r="R6153">
        <v>0.99603835170053101</v>
      </c>
      <c r="S6153" t="s">
        <v>12769</v>
      </c>
      <c r="T6153" t="s">
        <v>13232</v>
      </c>
      <c r="U6153" t="s">
        <v>13232</v>
      </c>
      <c r="V6153" t="s">
        <v>13232</v>
      </c>
      <c r="W6153" t="s">
        <v>19311</v>
      </c>
      <c r="X6153">
        <v>36</v>
      </c>
      <c r="Y6153" t="s">
        <v>25688</v>
      </c>
      <c r="Z6153" t="s">
        <v>32284</v>
      </c>
      <c r="AA6153">
        <v>0.44345999765254968</v>
      </c>
      <c r="AB6153" t="str">
        <f>HYPERLINK("Melting_Curves/meltCurve_Q9UGI8_TES.pdf", "Melting_Curves/meltCurve_Q9UGI8_TES.pdf")</f>
        <v>Melting_Curves/meltCurve_Q9UGI8_TES.pdf</v>
      </c>
    </row>
    <row r="6154" spans="1:28" x14ac:dyDescent="0.25">
      <c r="A6154" t="s">
        <v>6157</v>
      </c>
      <c r="B6154">
        <v>0.99930955844802105</v>
      </c>
      <c r="C6154">
        <v>0.96528853724005503</v>
      </c>
      <c r="D6154">
        <v>0.83106379421059595</v>
      </c>
      <c r="E6154">
        <v>0.629396540607703</v>
      </c>
      <c r="F6154">
        <v>0.36756877494483697</v>
      </c>
      <c r="G6154">
        <v>0.17444271779371801</v>
      </c>
      <c r="H6154">
        <v>0.11069110847493301</v>
      </c>
      <c r="I6154">
        <v>0.10012047283061901</v>
      </c>
      <c r="J6154">
        <v>9.1888564837451905E-2</v>
      </c>
      <c r="K6154">
        <v>7.14455580479708E-2</v>
      </c>
      <c r="L6154">
        <v>865.07091159322204</v>
      </c>
      <c r="M6154">
        <v>17.0207764652056</v>
      </c>
      <c r="N6154">
        <v>51.242524808344101</v>
      </c>
      <c r="O6154">
        <v>50.138406489052599</v>
      </c>
      <c r="P6154">
        <v>-7.9371400796966002E-2</v>
      </c>
      <c r="Q6154">
        <v>6.4834497728151697E-2</v>
      </c>
      <c r="R6154">
        <v>0.99780410496725502</v>
      </c>
      <c r="S6154" t="s">
        <v>12770</v>
      </c>
      <c r="T6154" t="s">
        <v>13232</v>
      </c>
      <c r="U6154" t="s">
        <v>13232</v>
      </c>
      <c r="V6154" t="s">
        <v>13232</v>
      </c>
      <c r="W6154" t="s">
        <v>19312</v>
      </c>
      <c r="X6154">
        <v>36</v>
      </c>
      <c r="Y6154" t="s">
        <v>25688</v>
      </c>
      <c r="Z6154" t="s">
        <v>32285</v>
      </c>
      <c r="AA6154">
        <v>0.41971720466279572</v>
      </c>
      <c r="AB6154" t="str">
        <f>HYPERLINK("Melting_Curves/meltCurve_Q9UGI8_2_TES.pdf", "Melting_Curves/meltCurve_Q9UGI8_2_TES.pdf")</f>
        <v>Melting_Curves/meltCurve_Q9UGI8_2_TES.pdf</v>
      </c>
    </row>
    <row r="6155" spans="1:28" x14ac:dyDescent="0.25">
      <c r="A6155" t="s">
        <v>6158</v>
      </c>
      <c r="B6155">
        <v>0.99930955844802105</v>
      </c>
      <c r="C6155">
        <v>1.1680776527004599</v>
      </c>
      <c r="D6155">
        <v>1.09299405943536</v>
      </c>
      <c r="E6155">
        <v>0.96200523585029896</v>
      </c>
      <c r="F6155">
        <v>0.69528568542289304</v>
      </c>
      <c r="G6155">
        <v>0.50400202424673002</v>
      </c>
      <c r="H6155">
        <v>0.36367340075260701</v>
      </c>
      <c r="I6155">
        <v>0.29515133583136299</v>
      </c>
      <c r="J6155">
        <v>0.26898561828268802</v>
      </c>
      <c r="K6155">
        <v>0.20331751156004499</v>
      </c>
      <c r="L6155">
        <v>1131.22488111603</v>
      </c>
      <c r="M6155">
        <v>20.5706070391712</v>
      </c>
      <c r="N6155">
        <v>56.820710681673603</v>
      </c>
      <c r="O6155">
        <v>54.480524318555098</v>
      </c>
      <c r="P6155">
        <v>-7.1546023082087407E-2</v>
      </c>
      <c r="Q6155">
        <v>0.242073961537872</v>
      </c>
      <c r="R6155">
        <v>0.95968258809432105</v>
      </c>
      <c r="S6155" t="s">
        <v>12771</v>
      </c>
      <c r="T6155" t="s">
        <v>13232</v>
      </c>
      <c r="U6155" t="s">
        <v>13232</v>
      </c>
      <c r="V6155" t="s">
        <v>13232</v>
      </c>
      <c r="W6155" t="s">
        <v>19313</v>
      </c>
      <c r="X6155">
        <v>7</v>
      </c>
      <c r="Y6155" t="s">
        <v>25689</v>
      </c>
      <c r="Z6155" t="s">
        <v>32286</v>
      </c>
      <c r="AA6155">
        <v>0.6305143230087169</v>
      </c>
      <c r="AB6155" t="str">
        <f>HYPERLINK("Melting_Curves/meltCurve_Q9UGK8_SERGEF.pdf", "Melting_Curves/meltCurve_Q9UGK8_SERGEF.pdf")</f>
        <v>Melting_Curves/meltCurve_Q9UGK8_SERGEF.pdf</v>
      </c>
    </row>
    <row r="6156" spans="1:28" x14ac:dyDescent="0.25">
      <c r="A6156" t="s">
        <v>6159</v>
      </c>
      <c r="B6156">
        <v>0.99930955844802105</v>
      </c>
      <c r="C6156">
        <v>0.93729779081023301</v>
      </c>
      <c r="D6156">
        <v>0.85723540896380301</v>
      </c>
      <c r="E6156">
        <v>0.788882488508862</v>
      </c>
      <c r="F6156">
        <v>0.69852412155293397</v>
      </c>
      <c r="G6156">
        <v>0.64380358240725899</v>
      </c>
      <c r="H6156">
        <v>0.62181519150887699</v>
      </c>
      <c r="I6156">
        <v>0.68547486329900098</v>
      </c>
      <c r="J6156">
        <v>0.66882180226760801</v>
      </c>
      <c r="K6156">
        <v>0.53270365224826999</v>
      </c>
      <c r="L6156">
        <v>619.87816954537095</v>
      </c>
      <c r="M6156">
        <v>12.7432879500138</v>
      </c>
      <c r="O6156">
        <v>47.4922982956532</v>
      </c>
      <c r="P6156">
        <v>-2.6366206848422499E-2</v>
      </c>
      <c r="Q6156">
        <v>0.60702363591105502</v>
      </c>
      <c r="R6156">
        <v>0.92621964505867005</v>
      </c>
      <c r="S6156" t="s">
        <v>12772</v>
      </c>
      <c r="T6156" t="s">
        <v>13232</v>
      </c>
      <c r="U6156" t="s">
        <v>13232</v>
      </c>
      <c r="V6156" t="s">
        <v>13232</v>
      </c>
      <c r="W6156" t="s">
        <v>19314</v>
      </c>
      <c r="X6156">
        <v>12</v>
      </c>
      <c r="Y6156" t="s">
        <v>25690</v>
      </c>
      <c r="Z6156" t="s">
        <v>32287</v>
      </c>
      <c r="AA6156">
        <v>0.73353770357619308</v>
      </c>
      <c r="AB6156" t="str">
        <f>HYPERLINK("Melting_Curves/meltCurve_Q9UGP4_LIMD1.pdf", "Melting_Curves/meltCurve_Q9UGP4_LIMD1.pdf")</f>
        <v>Melting_Curves/meltCurve_Q9UGP4_LIMD1.pdf</v>
      </c>
    </row>
    <row r="6157" spans="1:28" x14ac:dyDescent="0.25">
      <c r="A6157" t="s">
        <v>6160</v>
      </c>
      <c r="B6157">
        <v>0.99930955844802105</v>
      </c>
      <c r="C6157">
        <v>0.76575250647840098</v>
      </c>
      <c r="D6157">
        <v>0.532021193647913</v>
      </c>
      <c r="E6157">
        <v>0.70984784915034904</v>
      </c>
      <c r="F6157">
        <v>0.38045429209138598</v>
      </c>
      <c r="G6157">
        <v>0.13910139407643199</v>
      </c>
      <c r="H6157">
        <v>8.9373304574788398E-2</v>
      </c>
      <c r="I6157">
        <v>5.5941735988527003E-2</v>
      </c>
      <c r="J6157">
        <v>5.36594855128208E-2</v>
      </c>
      <c r="K6157">
        <v>5.1115150295818403E-2</v>
      </c>
      <c r="L6157">
        <v>503.34536260618398</v>
      </c>
      <c r="M6157">
        <v>10.1110671528534</v>
      </c>
      <c r="N6157">
        <v>49.781628725771398</v>
      </c>
      <c r="O6157">
        <v>47.952047613516697</v>
      </c>
      <c r="P6157">
        <v>-5.2739049857376902E-2</v>
      </c>
      <c r="Q6157">
        <v>0</v>
      </c>
      <c r="R6157">
        <v>0.91342748587973499</v>
      </c>
      <c r="S6157" t="s">
        <v>12773</v>
      </c>
      <c r="T6157" t="s">
        <v>13232</v>
      </c>
      <c r="U6157" t="s">
        <v>13232</v>
      </c>
      <c r="V6157" t="s">
        <v>13232</v>
      </c>
      <c r="W6157" t="s">
        <v>19315</v>
      </c>
      <c r="X6157">
        <v>5</v>
      </c>
      <c r="Y6157" t="s">
        <v>25691</v>
      </c>
      <c r="Z6157" t="s">
        <v>32288</v>
      </c>
      <c r="AA6157">
        <v>0.37135720716926812</v>
      </c>
      <c r="AB6157" t="str">
        <f>HYPERLINK("Melting_Curves/meltCurve_Q9UGP8_SEC63.pdf", "Melting_Curves/meltCurve_Q9UGP8_SEC63.pdf")</f>
        <v>Melting_Curves/meltCurve_Q9UGP8_SEC63.pdf</v>
      </c>
    </row>
    <row r="6158" spans="1:28" x14ac:dyDescent="0.25">
      <c r="A6158" t="s">
        <v>6161</v>
      </c>
      <c r="B6158">
        <v>0.99930955844802105</v>
      </c>
      <c r="C6158">
        <v>0.85001348091349005</v>
      </c>
      <c r="D6158">
        <v>0.76604793411494798</v>
      </c>
      <c r="E6158">
        <v>0.89457975319202698</v>
      </c>
      <c r="F6158">
        <v>0.83257952637024202</v>
      </c>
      <c r="G6158">
        <v>0.915745340505567</v>
      </c>
      <c r="H6158">
        <v>0.65358219383938398</v>
      </c>
      <c r="I6158">
        <v>0.51493162566332795</v>
      </c>
      <c r="J6158">
        <v>0.37588644006195798</v>
      </c>
      <c r="K6158">
        <v>0.26815610571264298</v>
      </c>
      <c r="L6158">
        <v>649.02869537785898</v>
      </c>
      <c r="M6158">
        <v>10.0905597608125</v>
      </c>
      <c r="N6158">
        <v>64.320368723429596</v>
      </c>
      <c r="O6158">
        <v>61.947432884839202</v>
      </c>
      <c r="P6158">
        <v>-4.0741398974369798E-2</v>
      </c>
      <c r="Q6158">
        <v>0</v>
      </c>
      <c r="R6158">
        <v>0.82834597286790801</v>
      </c>
      <c r="S6158" t="s">
        <v>12774</v>
      </c>
      <c r="T6158" t="s">
        <v>13232</v>
      </c>
      <c r="U6158" t="s">
        <v>13232</v>
      </c>
      <c r="V6158" t="s">
        <v>13232</v>
      </c>
      <c r="W6158" t="s">
        <v>19316</v>
      </c>
      <c r="X6158">
        <v>3</v>
      </c>
      <c r="Y6158" t="s">
        <v>25692</v>
      </c>
      <c r="Z6158" t="s">
        <v>32289</v>
      </c>
      <c r="AA6158">
        <v>0.76537055024679845</v>
      </c>
      <c r="AB6158" t="str">
        <f>HYPERLINK("Melting_Curves/meltCurve_Q9UGR2_2_ZC3H7B.pdf", "Melting_Curves/meltCurve_Q9UGR2_2_ZC3H7B.pdf")</f>
        <v>Melting_Curves/meltCurve_Q9UGR2_2_ZC3H7B.pdf</v>
      </c>
    </row>
    <row r="6159" spans="1:28" x14ac:dyDescent="0.25">
      <c r="A6159" t="s">
        <v>6162</v>
      </c>
      <c r="B6159">
        <v>0.99930955844802105</v>
      </c>
      <c r="C6159">
        <v>1.1297557577294599</v>
      </c>
      <c r="D6159">
        <v>1.1364652968900399</v>
      </c>
      <c r="E6159">
        <v>1.1232214308321899</v>
      </c>
      <c r="F6159">
        <v>1.0187726003572799</v>
      </c>
      <c r="G6159">
        <v>1.0148844488011599</v>
      </c>
      <c r="H6159">
        <v>1.09165025019734</v>
      </c>
      <c r="I6159">
        <v>1.20867060535231</v>
      </c>
      <c r="J6159">
        <v>1.3358896860579299</v>
      </c>
      <c r="K6159">
        <v>1.0200278901486599</v>
      </c>
      <c r="L6159">
        <v>10298.224099679101</v>
      </c>
      <c r="M6159">
        <v>250</v>
      </c>
      <c r="O6159">
        <v>41.190245406518301</v>
      </c>
      <c r="P6159">
        <v>0.18197107724453199</v>
      </c>
      <c r="Q6159">
        <v>1.11992697680333</v>
      </c>
      <c r="R6159">
        <v>0.130882621601217</v>
      </c>
      <c r="S6159" t="s">
        <v>12775</v>
      </c>
      <c r="T6159" t="s">
        <v>13232</v>
      </c>
      <c r="U6159" t="s">
        <v>13232</v>
      </c>
      <c r="V6159" t="s">
        <v>13232</v>
      </c>
      <c r="W6159" t="s">
        <v>19317</v>
      </c>
      <c r="X6159">
        <v>22</v>
      </c>
      <c r="Y6159" t="s">
        <v>25693</v>
      </c>
      <c r="Z6159" t="s">
        <v>32290</v>
      </c>
      <c r="AA6159">
        <v>1.1151492687294891</v>
      </c>
      <c r="AB6159" t="str">
        <f>HYPERLINK("Melting_Curves/meltCurve_Q9UGU0_2_TCF20.pdf", "Melting_Curves/meltCurve_Q9UGU0_2_TCF20.pdf")</f>
        <v>Melting_Curves/meltCurve_Q9UGU0_2_TCF20.pdf</v>
      </c>
    </row>
    <row r="6160" spans="1:28" x14ac:dyDescent="0.25">
      <c r="A6160" t="s">
        <v>6163</v>
      </c>
      <c r="B6160">
        <v>0.99930955844802105</v>
      </c>
      <c r="C6160">
        <v>0.95364627493700804</v>
      </c>
      <c r="D6160">
        <v>1.0729570051320501</v>
      </c>
      <c r="E6160">
        <v>1.04095283841689</v>
      </c>
      <c r="F6160">
        <v>0.99511378666313499</v>
      </c>
      <c r="G6160">
        <v>0.88915109684585603</v>
      </c>
      <c r="H6160">
        <v>0.96208081890677899</v>
      </c>
      <c r="I6160">
        <v>0.99298229805759297</v>
      </c>
      <c r="J6160">
        <v>0.99172137307700003</v>
      </c>
      <c r="K6160">
        <v>0.70556029308642199</v>
      </c>
      <c r="L6160">
        <v>6072.8593288742004</v>
      </c>
      <c r="M6160">
        <v>85.881191543402096</v>
      </c>
      <c r="Q6160">
        <v>0</v>
      </c>
      <c r="R6160">
        <v>0.75586419463105003</v>
      </c>
      <c r="S6160" t="s">
        <v>12776</v>
      </c>
      <c r="T6160" t="s">
        <v>13232</v>
      </c>
      <c r="U6160" t="s">
        <v>13232</v>
      </c>
      <c r="V6160" t="s">
        <v>13232</v>
      </c>
      <c r="W6160" t="s">
        <v>19318</v>
      </c>
      <c r="X6160">
        <v>2</v>
      </c>
      <c r="Y6160" t="s">
        <v>25694</v>
      </c>
      <c r="Z6160" t="s">
        <v>32291</v>
      </c>
      <c r="AA6160">
        <v>0.99084766394770984</v>
      </c>
      <c r="AB6160" t="str">
        <f>HYPERLINK("Melting_Curves/meltCurve_Q9UGU5_HMGXB4.pdf", "Melting_Curves/meltCurve_Q9UGU5_HMGXB4.pdf")</f>
        <v>Melting_Curves/meltCurve_Q9UGU5_HMGXB4.pdf</v>
      </c>
    </row>
    <row r="6161" spans="1:28" x14ac:dyDescent="0.25">
      <c r="A6161" t="s">
        <v>6164</v>
      </c>
      <c r="B6161">
        <v>0.99930955844802105</v>
      </c>
      <c r="C6161">
        <v>1.0228565760749899</v>
      </c>
      <c r="D6161">
        <v>1.0513995327100001</v>
      </c>
      <c r="E6161">
        <v>0.93104798884149698</v>
      </c>
      <c r="F6161">
        <v>0.51441479987148397</v>
      </c>
      <c r="G6161">
        <v>0.247443992728068</v>
      </c>
      <c r="H6161">
        <v>0.143715303815942</v>
      </c>
      <c r="I6161">
        <v>0.13057008652776</v>
      </c>
      <c r="J6161">
        <v>0.112034353951764</v>
      </c>
      <c r="K6161">
        <v>9.4640020724091903E-2</v>
      </c>
      <c r="L6161">
        <v>1831.9129519447399</v>
      </c>
      <c r="M6161">
        <v>34.643415722784802</v>
      </c>
      <c r="N6161">
        <v>53.330065796552397</v>
      </c>
      <c r="O6161">
        <v>52.7038426520417</v>
      </c>
      <c r="P6161">
        <v>-0.14346643085937599</v>
      </c>
      <c r="Q6161">
        <v>0.12696779780946901</v>
      </c>
      <c r="R6161">
        <v>0.99373837261966103</v>
      </c>
      <c r="S6161" t="s">
        <v>12777</v>
      </c>
      <c r="T6161" t="s">
        <v>13232</v>
      </c>
      <c r="U6161" t="s">
        <v>13232</v>
      </c>
      <c r="V6161" t="s">
        <v>13232</v>
      </c>
      <c r="W6161" t="s">
        <v>19319</v>
      </c>
      <c r="X6161">
        <v>7</v>
      </c>
      <c r="Y6161" t="s">
        <v>25695</v>
      </c>
      <c r="Z6161" t="s">
        <v>32292</v>
      </c>
      <c r="AA6161">
        <v>0.50601448254403858</v>
      </c>
      <c r="AB6161" t="str">
        <f>HYPERLINK("Melting_Curves/meltCurve_Q9UGV2_NDRG3.pdf", "Melting_Curves/meltCurve_Q9UGV2_NDRG3.pdf")</f>
        <v>Melting_Curves/meltCurve_Q9UGV2_NDRG3.pdf</v>
      </c>
    </row>
    <row r="6162" spans="1:28" x14ac:dyDescent="0.25">
      <c r="A6162" t="s">
        <v>6165</v>
      </c>
      <c r="B6162">
        <v>0.99930955844802105</v>
      </c>
      <c r="C6162">
        <v>0.82337264032746804</v>
      </c>
      <c r="D6162">
        <v>0.53549705504243506</v>
      </c>
      <c r="E6162">
        <v>0.28217478232883098</v>
      </c>
      <c r="F6162">
        <v>0.15021085091026801</v>
      </c>
      <c r="G6162">
        <v>9.3361732870696504E-2</v>
      </c>
      <c r="H6162">
        <v>6.5514288014633798E-2</v>
      </c>
      <c r="I6162">
        <v>6.4169730263873306E-2</v>
      </c>
      <c r="J6162">
        <v>5.1557516991374397E-2</v>
      </c>
      <c r="K6162">
        <v>4.2648827799295699E-2</v>
      </c>
      <c r="L6162">
        <v>831.38352540169001</v>
      </c>
      <c r="M6162">
        <v>17.914811942379899</v>
      </c>
      <c r="N6162">
        <v>46.705916449417899</v>
      </c>
      <c r="O6162">
        <v>45.840962529684397</v>
      </c>
      <c r="P6162">
        <v>-9.2423938080840803E-2</v>
      </c>
      <c r="Q6162">
        <v>5.4059254034626698E-2</v>
      </c>
      <c r="R6162">
        <v>0.99625376158685497</v>
      </c>
      <c r="S6162" t="s">
        <v>12778</v>
      </c>
      <c r="T6162" t="s">
        <v>13232</v>
      </c>
      <c r="U6162" t="s">
        <v>13232</v>
      </c>
      <c r="V6162" t="s">
        <v>13232</v>
      </c>
      <c r="W6162" t="s">
        <v>19320</v>
      </c>
      <c r="X6162">
        <v>9</v>
      </c>
      <c r="Y6162" t="s">
        <v>25696</v>
      </c>
      <c r="Z6162" t="s">
        <v>32293</v>
      </c>
      <c r="AA6162">
        <v>0.27433662646553802</v>
      </c>
      <c r="AB6162" t="str">
        <f>HYPERLINK("Melting_Curves/meltCurve_Q9UH62_ARMCX3.pdf", "Melting_Curves/meltCurve_Q9UH62_ARMCX3.pdf")</f>
        <v>Melting_Curves/meltCurve_Q9UH62_ARMCX3.pdf</v>
      </c>
    </row>
    <row r="6163" spans="1:28" x14ac:dyDescent="0.25">
      <c r="A6163" t="s">
        <v>6166</v>
      </c>
      <c r="B6163">
        <v>0.99930955844802105</v>
      </c>
      <c r="C6163">
        <v>1.25626633514202</v>
      </c>
      <c r="D6163">
        <v>1.1735391669536701</v>
      </c>
      <c r="E6163">
        <v>1.09093251860846</v>
      </c>
      <c r="F6163">
        <v>0.75116046899030997</v>
      </c>
      <c r="G6163">
        <v>0.25666275440057301</v>
      </c>
      <c r="H6163">
        <v>0.135053367728519</v>
      </c>
      <c r="I6163">
        <v>0.104726132361437</v>
      </c>
      <c r="J6163">
        <v>9.8766747512302799E-2</v>
      </c>
      <c r="K6163">
        <v>7.6987686834904506E-2</v>
      </c>
      <c r="L6163">
        <v>2162.0538255148899</v>
      </c>
      <c r="M6163">
        <v>39.653834361281803</v>
      </c>
      <c r="N6163">
        <v>54.8404494878653</v>
      </c>
      <c r="O6163">
        <v>54.385095042484203</v>
      </c>
      <c r="P6163">
        <v>-0.163599121719531</v>
      </c>
      <c r="Q6163">
        <v>0.102499614568182</v>
      </c>
      <c r="R6163">
        <v>0.95119145914846004</v>
      </c>
      <c r="S6163" t="s">
        <v>12779</v>
      </c>
      <c r="T6163" t="s">
        <v>13232</v>
      </c>
      <c r="U6163" t="s">
        <v>13232</v>
      </c>
      <c r="V6163" t="s">
        <v>13232</v>
      </c>
      <c r="W6163" t="s">
        <v>19321</v>
      </c>
      <c r="X6163">
        <v>10</v>
      </c>
      <c r="Y6163" t="s">
        <v>25697</v>
      </c>
      <c r="Z6163" t="s">
        <v>32294</v>
      </c>
      <c r="AA6163">
        <v>0.54041748402055312</v>
      </c>
      <c r="AB6163" t="str">
        <f>HYPERLINK("Melting_Curves/meltCurve_Q9UH65_SWAP70.pdf", "Melting_Curves/meltCurve_Q9UH65_SWAP70.pdf")</f>
        <v>Melting_Curves/meltCurve_Q9UH65_SWAP70.pdf</v>
      </c>
    </row>
    <row r="6164" spans="1:28" x14ac:dyDescent="0.25">
      <c r="A6164" t="s">
        <v>6167</v>
      </c>
      <c r="B6164">
        <v>0.99930955844802105</v>
      </c>
      <c r="C6164">
        <v>1.31567549172221</v>
      </c>
      <c r="D6164">
        <v>1.11495670818637</v>
      </c>
      <c r="E6164">
        <v>0.83146833155224398</v>
      </c>
      <c r="F6164">
        <v>0.41323629144457202</v>
      </c>
      <c r="G6164">
        <v>0.34082791032237503</v>
      </c>
      <c r="H6164">
        <v>0.29063593611802202</v>
      </c>
      <c r="I6164">
        <v>0.29982933313339</v>
      </c>
      <c r="J6164">
        <v>0.29590971559973001</v>
      </c>
      <c r="K6164">
        <v>0.206356014324825</v>
      </c>
      <c r="L6164">
        <v>2415.2097773256401</v>
      </c>
      <c r="M6164">
        <v>47.086840572005897</v>
      </c>
      <c r="N6164">
        <v>52.229082263642397</v>
      </c>
      <c r="O6164">
        <v>51.200426635840799</v>
      </c>
      <c r="P6164">
        <v>-0.164376338288413</v>
      </c>
      <c r="Q6164">
        <v>0.285054868873652</v>
      </c>
      <c r="R6164">
        <v>0.91953314099918804</v>
      </c>
      <c r="S6164" t="s">
        <v>12780</v>
      </c>
      <c r="T6164" t="s">
        <v>13232</v>
      </c>
      <c r="U6164" t="s">
        <v>13232</v>
      </c>
      <c r="V6164" t="s">
        <v>13232</v>
      </c>
      <c r="W6164" t="s">
        <v>19322</v>
      </c>
      <c r="X6164">
        <v>2</v>
      </c>
      <c r="Y6164" t="s">
        <v>25698</v>
      </c>
      <c r="Z6164" t="s">
        <v>32295</v>
      </c>
      <c r="AA6164">
        <v>0.55600128754806355</v>
      </c>
      <c r="AB6164" t="str">
        <f>HYPERLINK("Melting_Curves/meltCurve_Q9UH90_FBXO40.pdf", "Melting_Curves/meltCurve_Q9UH90_FBXO40.pdf")</f>
        <v>Melting_Curves/meltCurve_Q9UH90_FBXO40.pdf</v>
      </c>
    </row>
    <row r="6165" spans="1:28" x14ac:dyDescent="0.25">
      <c r="A6165" t="s">
        <v>6168</v>
      </c>
      <c r="B6165">
        <v>0.99930955844802105</v>
      </c>
      <c r="C6165">
        <v>1.10177788583147</v>
      </c>
      <c r="D6165">
        <v>1.02184092151601</v>
      </c>
      <c r="E6165">
        <v>1.04165108441558</v>
      </c>
      <c r="F6165">
        <v>0.75158541975203397</v>
      </c>
      <c r="G6165">
        <v>0.33283861292544598</v>
      </c>
      <c r="H6165">
        <v>0.23081771482159699</v>
      </c>
      <c r="I6165">
        <v>0.20569379411398001</v>
      </c>
      <c r="J6165">
        <v>0.23066333561779501</v>
      </c>
      <c r="K6165">
        <v>0.155305904180712</v>
      </c>
      <c r="L6165">
        <v>2051.1985681576798</v>
      </c>
      <c r="M6165">
        <v>37.7735714844057</v>
      </c>
      <c r="N6165">
        <v>55.065993865273803</v>
      </c>
      <c r="O6165">
        <v>54.150950584121397</v>
      </c>
      <c r="P6165">
        <v>-0.138840770185719</v>
      </c>
      <c r="Q6165">
        <v>0.203851744283472</v>
      </c>
      <c r="R6165">
        <v>0.98670865996623003</v>
      </c>
      <c r="S6165" t="s">
        <v>12781</v>
      </c>
      <c r="T6165" t="s">
        <v>13232</v>
      </c>
      <c r="U6165" t="s">
        <v>13232</v>
      </c>
      <c r="V6165" t="s">
        <v>13232</v>
      </c>
      <c r="W6165" t="s">
        <v>19323</v>
      </c>
      <c r="X6165">
        <v>4</v>
      </c>
      <c r="Y6165" t="s">
        <v>25699</v>
      </c>
      <c r="Z6165" t="s">
        <v>32296</v>
      </c>
      <c r="AA6165">
        <v>0.58675623530827004</v>
      </c>
      <c r="AB6165" t="str">
        <f>HYPERLINK("Melting_Curves/meltCurve_Q9UH92_2_MLX.pdf", "Melting_Curves/meltCurve_Q9UH92_2_MLX.pdf")</f>
        <v>Melting_Curves/meltCurve_Q9UH92_2_MLX.pdf</v>
      </c>
    </row>
    <row r="6166" spans="1:28" x14ac:dyDescent="0.25">
      <c r="A6166" t="s">
        <v>6169</v>
      </c>
      <c r="B6166">
        <v>0.99930955844802105</v>
      </c>
      <c r="C6166">
        <v>1.3960005897543399</v>
      </c>
      <c r="D6166">
        <v>1.3741769877580401</v>
      </c>
      <c r="E6166">
        <v>0.98737948765723105</v>
      </c>
      <c r="F6166">
        <v>0.75954989285940699</v>
      </c>
      <c r="G6166">
        <v>0.86857883944323</v>
      </c>
      <c r="H6166">
        <v>0.79237958851165802</v>
      </c>
      <c r="I6166">
        <v>0.90133779916091805</v>
      </c>
      <c r="J6166">
        <v>1.04215541340301</v>
      </c>
      <c r="K6166">
        <v>0.72312946627490304</v>
      </c>
      <c r="L6166">
        <v>12620.113165975001</v>
      </c>
      <c r="M6166">
        <v>250</v>
      </c>
      <c r="O6166">
        <v>50.477221147886802</v>
      </c>
      <c r="P6166">
        <v>-0.18838299200214201</v>
      </c>
      <c r="Q6166">
        <v>0.84785519769131401</v>
      </c>
      <c r="R6166">
        <v>0.27272912145839001</v>
      </c>
      <c r="S6166" t="s">
        <v>12782</v>
      </c>
      <c r="T6166" t="s">
        <v>13232</v>
      </c>
      <c r="U6166" t="s">
        <v>13232</v>
      </c>
      <c r="V6166" t="s">
        <v>13232</v>
      </c>
      <c r="W6166" t="s">
        <v>19324</v>
      </c>
      <c r="X6166">
        <v>1</v>
      </c>
      <c r="Y6166" t="s">
        <v>25700</v>
      </c>
      <c r="Z6166" t="s">
        <v>32297</v>
      </c>
      <c r="AA6166">
        <v>0.90102022318762487</v>
      </c>
      <c r="AB6166" t="str">
        <f>HYPERLINK("Melting_Curves/meltCurve_Q9UHA3_RSL24D1.pdf", "Melting_Curves/meltCurve_Q9UHA3_RSL24D1.pdf")</f>
        <v>Melting_Curves/meltCurve_Q9UHA3_RSL24D1.pdf</v>
      </c>
    </row>
    <row r="6167" spans="1:28" x14ac:dyDescent="0.25">
      <c r="A6167" t="s">
        <v>6170</v>
      </c>
      <c r="B6167">
        <v>0.99930955844802105</v>
      </c>
      <c r="C6167">
        <v>0.98215669832436003</v>
      </c>
      <c r="D6167">
        <v>1.01126371506849</v>
      </c>
      <c r="E6167">
        <v>1.03867326069999</v>
      </c>
      <c r="F6167">
        <v>0.96683060883675698</v>
      </c>
      <c r="G6167">
        <v>0.78091917033331404</v>
      </c>
      <c r="H6167">
        <v>0.51780363715086097</v>
      </c>
      <c r="I6167">
        <v>0.283769871863364</v>
      </c>
      <c r="J6167">
        <v>0.10910519149459801</v>
      </c>
      <c r="K6167">
        <v>4.5627115501103398E-2</v>
      </c>
      <c r="L6167">
        <v>1287.85131255497</v>
      </c>
      <c r="M6167">
        <v>21.118701390492401</v>
      </c>
      <c r="N6167">
        <v>60.9815691051637</v>
      </c>
      <c r="O6167">
        <v>60.4426737814522</v>
      </c>
      <c r="P6167">
        <v>-8.7352420434459704E-2</v>
      </c>
      <c r="Q6167">
        <v>0</v>
      </c>
      <c r="R6167">
        <v>0.99636866458021001</v>
      </c>
      <c r="S6167" t="s">
        <v>12783</v>
      </c>
      <c r="T6167" t="s">
        <v>13232</v>
      </c>
      <c r="U6167" t="s">
        <v>13232</v>
      </c>
      <c r="V6167" t="s">
        <v>13232</v>
      </c>
      <c r="W6167" t="s">
        <v>19325</v>
      </c>
      <c r="X6167">
        <v>4</v>
      </c>
      <c r="Y6167" t="s">
        <v>25701</v>
      </c>
      <c r="Z6167" t="s">
        <v>32298</v>
      </c>
      <c r="AA6167">
        <v>0.70571244656010279</v>
      </c>
      <c r="AB6167" t="str">
        <f>HYPERLINK("Melting_Curves/meltCurve_Q9UHA4_LAMTOR3.pdf", "Melting_Curves/meltCurve_Q9UHA4_LAMTOR3.pdf")</f>
        <v>Melting_Curves/meltCurve_Q9UHA4_LAMTOR3.pdf</v>
      </c>
    </row>
    <row r="6168" spans="1:28" x14ac:dyDescent="0.25">
      <c r="A6168" t="s">
        <v>6171</v>
      </c>
      <c r="B6168">
        <v>0.99930955844802105</v>
      </c>
      <c r="C6168">
        <v>1.1522735766037899</v>
      </c>
      <c r="D6168">
        <v>1.08015612721052</v>
      </c>
      <c r="E6168">
        <v>1.05129621950547</v>
      </c>
      <c r="F6168">
        <v>0.931380115485961</v>
      </c>
      <c r="G6168">
        <v>0.79758696494578396</v>
      </c>
      <c r="H6168">
        <v>0.820209103467196</v>
      </c>
      <c r="I6168">
        <v>0.91526891317949999</v>
      </c>
      <c r="J6168">
        <v>0.92983607986591899</v>
      </c>
      <c r="K6168">
        <v>0.667147714547209</v>
      </c>
      <c r="L6168">
        <v>13272.73170111</v>
      </c>
      <c r="M6168">
        <v>250</v>
      </c>
      <c r="O6168">
        <v>53.0875333971346</v>
      </c>
      <c r="P6168">
        <v>-0.20483888757983501</v>
      </c>
      <c r="Q6168">
        <v>0.82600975292719203</v>
      </c>
      <c r="R6168">
        <v>0.59472961032246596</v>
      </c>
      <c r="S6168" t="s">
        <v>12784</v>
      </c>
      <c r="T6168" t="s">
        <v>13232</v>
      </c>
      <c r="U6168" t="s">
        <v>13232</v>
      </c>
      <c r="V6168" t="s">
        <v>13232</v>
      </c>
      <c r="W6168" t="s">
        <v>19326</v>
      </c>
      <c r="X6168">
        <v>32</v>
      </c>
      <c r="Y6168" t="s">
        <v>25702</v>
      </c>
      <c r="Z6168" t="s">
        <v>32299</v>
      </c>
      <c r="AA6168">
        <v>0.90194908388823991</v>
      </c>
      <c r="AB6168" t="str">
        <f>HYPERLINK("Melting_Curves/meltCurve_Q9UHB6_LIMA1.pdf", "Melting_Curves/meltCurve_Q9UHB6_LIMA1.pdf")</f>
        <v>Melting_Curves/meltCurve_Q9UHB6_LIMA1.pdf</v>
      </c>
    </row>
    <row r="6169" spans="1:28" x14ac:dyDescent="0.25">
      <c r="A6169" t="s">
        <v>6172</v>
      </c>
      <c r="B6169">
        <v>0.99930955844802105</v>
      </c>
      <c r="C6169">
        <v>1.44133632719969</v>
      </c>
      <c r="D6169">
        <v>1.4747472370310899</v>
      </c>
      <c r="E6169">
        <v>1.5546390493123501</v>
      </c>
      <c r="F6169">
        <v>1.5929170712652001</v>
      </c>
      <c r="G6169">
        <v>1.6244739079471</v>
      </c>
      <c r="H6169">
        <v>1.7928073297745399</v>
      </c>
      <c r="I6169">
        <v>2.1268232641167</v>
      </c>
      <c r="J6169">
        <v>2.07403338617743</v>
      </c>
      <c r="K6169">
        <v>1.7268237766410199</v>
      </c>
      <c r="L6169">
        <v>5967.40688061317</v>
      </c>
      <c r="M6169">
        <v>141.11828122894099</v>
      </c>
      <c r="O6169">
        <v>42.278061187434801</v>
      </c>
      <c r="P6169">
        <v>0.41723250615288598</v>
      </c>
      <c r="Q6169">
        <v>1.5</v>
      </c>
      <c r="R6169">
        <v>5.9273267409105303E-2</v>
      </c>
      <c r="S6169" t="s">
        <v>12785</v>
      </c>
      <c r="T6169" t="s">
        <v>13232</v>
      </c>
      <c r="U6169" t="s">
        <v>13232</v>
      </c>
      <c r="V6169" t="s">
        <v>13232</v>
      </c>
      <c r="W6169" t="s">
        <v>19327</v>
      </c>
      <c r="X6169">
        <v>31</v>
      </c>
      <c r="Y6169" t="s">
        <v>25702</v>
      </c>
      <c r="Z6169" t="s">
        <v>32300</v>
      </c>
      <c r="AA6169">
        <v>1.4617727474899731</v>
      </c>
      <c r="AB6169" t="str">
        <f>HYPERLINK("Melting_Curves/meltCurve_Q9UHB6_4_LIMA1.pdf", "Melting_Curves/meltCurve_Q9UHB6_4_LIMA1.pdf")</f>
        <v>Melting_Curves/meltCurve_Q9UHB6_4_LIMA1.pdf</v>
      </c>
    </row>
    <row r="6170" spans="1:28" x14ac:dyDescent="0.25">
      <c r="A6170" t="s">
        <v>6173</v>
      </c>
      <c r="B6170">
        <v>0.99930955844802105</v>
      </c>
      <c r="C6170">
        <v>1.0442126418711299</v>
      </c>
      <c r="D6170">
        <v>0.939377685228721</v>
      </c>
      <c r="E6170">
        <v>0.85904522197344801</v>
      </c>
      <c r="F6170">
        <v>0.70499579910870902</v>
      </c>
      <c r="G6170">
        <v>0.58932339874680395</v>
      </c>
      <c r="H6170">
        <v>0.58313891732249401</v>
      </c>
      <c r="I6170">
        <v>0.65168004514779199</v>
      </c>
      <c r="J6170">
        <v>0.61388293090212898</v>
      </c>
      <c r="K6170">
        <v>0.51845031466795899</v>
      </c>
      <c r="L6170">
        <v>1285.56539599752</v>
      </c>
      <c r="M6170">
        <v>25.1628001847339</v>
      </c>
      <c r="O6170">
        <v>50.7705176799547</v>
      </c>
      <c r="P6170">
        <v>-5.1506500405239103E-2</v>
      </c>
      <c r="Q6170">
        <v>0.58431058746924203</v>
      </c>
      <c r="R6170">
        <v>0.95883642894976195</v>
      </c>
      <c r="S6170" t="s">
        <v>12786</v>
      </c>
      <c r="T6170" t="s">
        <v>13232</v>
      </c>
      <c r="U6170" t="s">
        <v>13232</v>
      </c>
      <c r="V6170" t="s">
        <v>13232</v>
      </c>
      <c r="W6170" t="s">
        <v>19328</v>
      </c>
      <c r="X6170">
        <v>25</v>
      </c>
      <c r="Y6170" t="s">
        <v>25703</v>
      </c>
      <c r="Z6170" t="s">
        <v>32301</v>
      </c>
      <c r="AA6170">
        <v>0.74168733565550582</v>
      </c>
      <c r="AB6170" t="str">
        <f>HYPERLINK("Melting_Curves/meltCurve_Q9UHB7_AFF4.pdf", "Melting_Curves/meltCurve_Q9UHB7_AFF4.pdf")</f>
        <v>Melting_Curves/meltCurve_Q9UHB7_AFF4.pdf</v>
      </c>
    </row>
    <row r="6171" spans="1:28" x14ac:dyDescent="0.25">
      <c r="A6171" t="s">
        <v>6174</v>
      </c>
      <c r="B6171">
        <v>0.99930955844802105</v>
      </c>
      <c r="C6171">
        <v>0.78353877935079796</v>
      </c>
      <c r="D6171">
        <v>0.70860890598517601</v>
      </c>
      <c r="E6171">
        <v>0.40847191998612498</v>
      </c>
      <c r="F6171">
        <v>0.221561305214828</v>
      </c>
      <c r="G6171">
        <v>0.12999967115701999</v>
      </c>
      <c r="H6171">
        <v>7.5281646437859603E-2</v>
      </c>
      <c r="I6171">
        <v>7.0031383378263201E-2</v>
      </c>
      <c r="J6171">
        <v>6.1540868863729503E-2</v>
      </c>
      <c r="K6171">
        <v>4.9764869980813899E-2</v>
      </c>
      <c r="L6171">
        <v>682.73960430499505</v>
      </c>
      <c r="M6171">
        <v>14.1730205063713</v>
      </c>
      <c r="N6171">
        <v>48.427842938896397</v>
      </c>
      <c r="O6171">
        <v>47.243203361564703</v>
      </c>
      <c r="P6171">
        <v>-7.2301898212348698E-2</v>
      </c>
      <c r="Q6171">
        <v>3.6100315469311098E-2</v>
      </c>
      <c r="R6171">
        <v>0.99133529440921297</v>
      </c>
      <c r="S6171" t="s">
        <v>12787</v>
      </c>
      <c r="T6171" t="s">
        <v>13232</v>
      </c>
      <c r="U6171" t="s">
        <v>13232</v>
      </c>
      <c r="V6171" t="s">
        <v>13232</v>
      </c>
      <c r="W6171" t="s">
        <v>19329</v>
      </c>
      <c r="X6171">
        <v>27</v>
      </c>
      <c r="Y6171" t="s">
        <v>25704</v>
      </c>
      <c r="Z6171" t="s">
        <v>32302</v>
      </c>
      <c r="AA6171">
        <v>0.32613094105626078</v>
      </c>
      <c r="AB6171" t="str">
        <f>HYPERLINK("Melting_Curves/meltCurve_Q9UHB9_SRP68.pdf", "Melting_Curves/meltCurve_Q9UHB9_SRP68.pdf")</f>
        <v>Melting_Curves/meltCurve_Q9UHB9_SRP68.pdf</v>
      </c>
    </row>
    <row r="6172" spans="1:28" x14ac:dyDescent="0.25">
      <c r="A6172" t="s">
        <v>6175</v>
      </c>
      <c r="B6172">
        <v>0.99930955844802105</v>
      </c>
      <c r="C6172">
        <v>0.96576021282508195</v>
      </c>
      <c r="D6172">
        <v>0.94894673842815702</v>
      </c>
      <c r="E6172">
        <v>0.86793800507252805</v>
      </c>
      <c r="F6172">
        <v>0.44492423104462597</v>
      </c>
      <c r="G6172">
        <v>0.216768704316389</v>
      </c>
      <c r="H6172">
        <v>0.12910738223731399</v>
      </c>
      <c r="I6172">
        <v>9.3565353787145894E-2</v>
      </c>
      <c r="J6172">
        <v>6.9653636271901395E-2</v>
      </c>
      <c r="K6172">
        <v>5.3486685114658102E-2</v>
      </c>
      <c r="L6172">
        <v>1477.64307470214</v>
      </c>
      <c r="M6172">
        <v>28.122808929563401</v>
      </c>
      <c r="N6172">
        <v>52.892020019236398</v>
      </c>
      <c r="O6172">
        <v>52.278994346979097</v>
      </c>
      <c r="P6172">
        <v>-0.123081877782714</v>
      </c>
      <c r="Q6172">
        <v>8.4793755527857007E-2</v>
      </c>
      <c r="R6172">
        <v>0.99381514182444697</v>
      </c>
      <c r="S6172" t="s">
        <v>12788</v>
      </c>
      <c r="T6172" t="s">
        <v>13232</v>
      </c>
      <c r="U6172" t="s">
        <v>13232</v>
      </c>
      <c r="V6172" t="s">
        <v>13232</v>
      </c>
      <c r="W6172" t="s">
        <v>19330</v>
      </c>
      <c r="X6172">
        <v>16</v>
      </c>
      <c r="Y6172" t="s">
        <v>25705</v>
      </c>
      <c r="Z6172" t="s">
        <v>32303</v>
      </c>
      <c r="AA6172">
        <v>0.47411924155534307</v>
      </c>
      <c r="AB6172" t="str">
        <f>HYPERLINK("Melting_Curves/meltCurve_Q9UHD1_CHORDC1.pdf", "Melting_Curves/meltCurve_Q9UHD1_CHORDC1.pdf")</f>
        <v>Melting_Curves/meltCurve_Q9UHD1_CHORDC1.pdf</v>
      </c>
    </row>
    <row r="6173" spans="1:28" x14ac:dyDescent="0.25">
      <c r="A6173" t="s">
        <v>6176</v>
      </c>
      <c r="B6173">
        <v>0.99930955844802105</v>
      </c>
      <c r="C6173">
        <v>0.68084868339776605</v>
      </c>
      <c r="D6173">
        <v>0.48119373666685999</v>
      </c>
      <c r="E6173">
        <v>0.235262730542732</v>
      </c>
      <c r="F6173">
        <v>0.15999751762620201</v>
      </c>
      <c r="G6173">
        <v>0.117197009563535</v>
      </c>
      <c r="H6173">
        <v>7.5097832009730497E-2</v>
      </c>
      <c r="I6173">
        <v>6.1267018012901402E-2</v>
      </c>
      <c r="J6173">
        <v>6.0872478041664201E-2</v>
      </c>
      <c r="K6173">
        <v>4.74245288139023E-2</v>
      </c>
      <c r="L6173">
        <v>755.06519660865399</v>
      </c>
      <c r="M6173">
        <v>16.648998442483801</v>
      </c>
      <c r="N6173">
        <v>45.729418030616003</v>
      </c>
      <c r="O6173">
        <v>44.712850389734299</v>
      </c>
      <c r="P6173">
        <v>-8.7118450020609903E-2</v>
      </c>
      <c r="Q6173">
        <v>6.4195259274282102E-2</v>
      </c>
      <c r="R6173">
        <v>0.98630326317244499</v>
      </c>
      <c r="S6173" t="s">
        <v>12789</v>
      </c>
      <c r="T6173" t="s">
        <v>13232</v>
      </c>
      <c r="U6173" t="s">
        <v>13232</v>
      </c>
      <c r="V6173" t="s">
        <v>13232</v>
      </c>
      <c r="W6173" t="s">
        <v>19331</v>
      </c>
      <c r="X6173">
        <v>15</v>
      </c>
      <c r="Y6173" t="s">
        <v>25706</v>
      </c>
      <c r="Z6173" t="s">
        <v>32304</v>
      </c>
      <c r="AA6173">
        <v>0.25428909573818792</v>
      </c>
      <c r="AB6173" t="str">
        <f>HYPERLINK("Melting_Curves/meltCurve_Q9UHD2_TBK1.pdf", "Melting_Curves/meltCurve_Q9UHD2_TBK1.pdf")</f>
        <v>Melting_Curves/meltCurve_Q9UHD2_TBK1.pdf</v>
      </c>
    </row>
    <row r="6174" spans="1:28" x14ac:dyDescent="0.25">
      <c r="A6174" t="s">
        <v>6177</v>
      </c>
      <c r="B6174">
        <v>0.99930955844802105</v>
      </c>
      <c r="C6174">
        <v>0.86400358848988401</v>
      </c>
      <c r="D6174">
        <v>0.91290820758784696</v>
      </c>
      <c r="E6174">
        <v>0.94267854325415501</v>
      </c>
      <c r="F6174">
        <v>0.78674950444616198</v>
      </c>
      <c r="G6174">
        <v>0.34265332369842999</v>
      </c>
      <c r="H6174">
        <v>0.275698782917638</v>
      </c>
      <c r="I6174">
        <v>0.28379341006134401</v>
      </c>
      <c r="J6174">
        <v>0.27818644386917002</v>
      </c>
      <c r="K6174">
        <v>0.21444352548672199</v>
      </c>
      <c r="L6174">
        <v>2043.35728448585</v>
      </c>
      <c r="M6174">
        <v>37.722046566351899</v>
      </c>
      <c r="N6174">
        <v>55.226710431274199</v>
      </c>
      <c r="O6174">
        <v>54.017222490952904</v>
      </c>
      <c r="P6174">
        <v>-0.12967138338180501</v>
      </c>
      <c r="Q6174">
        <v>0.25725459179895099</v>
      </c>
      <c r="R6174">
        <v>0.97020025326329595</v>
      </c>
      <c r="S6174" t="s">
        <v>12790</v>
      </c>
      <c r="T6174" t="s">
        <v>13232</v>
      </c>
      <c r="U6174" t="s">
        <v>13232</v>
      </c>
      <c r="V6174" t="s">
        <v>13232</v>
      </c>
      <c r="W6174" t="s">
        <v>19332</v>
      </c>
      <c r="X6174">
        <v>39</v>
      </c>
      <c r="Y6174" t="s">
        <v>25707</v>
      </c>
      <c r="Z6174" t="s">
        <v>32305</v>
      </c>
      <c r="AA6174">
        <v>0.61116672216234014</v>
      </c>
      <c r="AB6174" t="str">
        <f>HYPERLINK("Melting_Curves/meltCurve_Q9UHD8_7_SEPT9.pdf", "Melting_Curves/meltCurve_Q9UHD8_7_SEPT9.pdf")</f>
        <v>Melting_Curves/meltCurve_Q9UHD8_7_SEPT9.pdf</v>
      </c>
    </row>
    <row r="6175" spans="1:28" x14ac:dyDescent="0.25">
      <c r="A6175" t="s">
        <v>6178</v>
      </c>
      <c r="B6175">
        <v>0.99930955844802105</v>
      </c>
      <c r="C6175">
        <v>1.1300334061149999</v>
      </c>
      <c r="D6175">
        <v>1.05552191222822</v>
      </c>
      <c r="E6175">
        <v>1.0981708135452299</v>
      </c>
      <c r="F6175">
        <v>0.92311598211580004</v>
      </c>
      <c r="G6175">
        <v>0.69100593082648998</v>
      </c>
      <c r="H6175">
        <v>0.62703635769839505</v>
      </c>
      <c r="I6175">
        <v>0.55329529116402698</v>
      </c>
      <c r="J6175">
        <v>0.52258596131555302</v>
      </c>
      <c r="K6175">
        <v>0.47222104754194</v>
      </c>
      <c r="L6175">
        <v>1575.40704538661</v>
      </c>
      <c r="M6175">
        <v>27.9412007624728</v>
      </c>
      <c r="O6175">
        <v>56.096502708832197</v>
      </c>
      <c r="P6175">
        <v>-5.9898730653431001E-2</v>
      </c>
      <c r="Q6175">
        <v>0.51897840172833398</v>
      </c>
      <c r="R6175">
        <v>0.93467741298875395</v>
      </c>
      <c r="S6175" t="s">
        <v>12791</v>
      </c>
      <c r="T6175" t="s">
        <v>13232</v>
      </c>
      <c r="U6175" t="s">
        <v>13232</v>
      </c>
      <c r="V6175" t="s">
        <v>13232</v>
      </c>
      <c r="W6175" t="s">
        <v>19333</v>
      </c>
      <c r="X6175">
        <v>11</v>
      </c>
      <c r="Y6175" t="s">
        <v>25708</v>
      </c>
      <c r="Z6175" t="s">
        <v>32306</v>
      </c>
      <c r="AA6175">
        <v>0.78530402851186465</v>
      </c>
      <c r="AB6175" t="str">
        <f>HYPERLINK("Melting_Curves/meltCurve_Q9UHD9_UBQLN2.pdf", "Melting_Curves/meltCurve_Q9UHD9_UBQLN2.pdf")</f>
        <v>Melting_Curves/meltCurve_Q9UHD9_UBQLN2.pdf</v>
      </c>
    </row>
    <row r="6176" spans="1:28" x14ac:dyDescent="0.25">
      <c r="A6176" t="s">
        <v>6179</v>
      </c>
      <c r="B6176">
        <v>0.99930955844802105</v>
      </c>
      <c r="C6176">
        <v>1.1904797484717</v>
      </c>
      <c r="D6176">
        <v>1.2003135879790701</v>
      </c>
      <c r="E6176">
        <v>1.24379090166793</v>
      </c>
      <c r="F6176">
        <v>0.99812392006428197</v>
      </c>
      <c r="G6176">
        <v>0.88669288721846595</v>
      </c>
      <c r="H6176">
        <v>0.931705734618825</v>
      </c>
      <c r="I6176">
        <v>1.0752388538034701</v>
      </c>
      <c r="J6176">
        <v>1.01822506921485</v>
      </c>
      <c r="K6176">
        <v>1.01151177153184</v>
      </c>
      <c r="L6176">
        <v>2593.4298851531798</v>
      </c>
      <c r="M6176">
        <v>41.047328542069799</v>
      </c>
      <c r="O6176">
        <v>63.032048404358697</v>
      </c>
      <c r="P6176">
        <v>4.2888706983596897E-3</v>
      </c>
      <c r="Q6176">
        <v>1.02634381432538</v>
      </c>
      <c r="R6176">
        <v>-0.22678728545171301</v>
      </c>
      <c r="S6176" t="s">
        <v>12792</v>
      </c>
      <c r="T6176" t="s">
        <v>13232</v>
      </c>
      <c r="U6176" t="s">
        <v>13232</v>
      </c>
      <c r="V6176" t="s">
        <v>13232</v>
      </c>
      <c r="W6176" t="s">
        <v>19334</v>
      </c>
      <c r="X6176">
        <v>1</v>
      </c>
      <c r="Y6176" t="s">
        <v>25709</v>
      </c>
      <c r="Z6176" t="s">
        <v>32307</v>
      </c>
      <c r="AA6176">
        <v>1.005910261420583</v>
      </c>
      <c r="AB6176" t="str">
        <f>HYPERLINK("Melting_Curves/meltCurve_Q9UHF1_EGFL7.pdf", "Melting_Curves/meltCurve_Q9UHF1_EGFL7.pdf")</f>
        <v>Melting_Curves/meltCurve_Q9UHF1_EGFL7.pdf</v>
      </c>
    </row>
    <row r="6177" spans="1:28" x14ac:dyDescent="0.25">
      <c r="A6177" t="s">
        <v>6180</v>
      </c>
      <c r="B6177">
        <v>0.99930955844802105</v>
      </c>
      <c r="C6177">
        <v>0.97744496140149295</v>
      </c>
      <c r="D6177">
        <v>0.91688548197443698</v>
      </c>
      <c r="E6177">
        <v>0.67037705044621698</v>
      </c>
      <c r="F6177">
        <v>0.284848815070742</v>
      </c>
      <c r="G6177">
        <v>0.20592616460771401</v>
      </c>
      <c r="H6177">
        <v>0.16079890367115701</v>
      </c>
      <c r="I6177">
        <v>0.156179906067202</v>
      </c>
      <c r="J6177">
        <v>0.13727548848238</v>
      </c>
      <c r="K6177">
        <v>0.11417779565301001</v>
      </c>
      <c r="L6177">
        <v>1481.4494316678099</v>
      </c>
      <c r="M6177">
        <v>29.292942761121999</v>
      </c>
      <c r="N6177">
        <v>51.162175563088503</v>
      </c>
      <c r="O6177">
        <v>50.339657396899703</v>
      </c>
      <c r="P6177">
        <v>-0.12466801510806</v>
      </c>
      <c r="Q6177">
        <v>0.14304271016478801</v>
      </c>
      <c r="R6177">
        <v>0.99534888223138596</v>
      </c>
      <c r="S6177" t="s">
        <v>12793</v>
      </c>
      <c r="T6177" t="s">
        <v>13232</v>
      </c>
      <c r="U6177" t="s">
        <v>13232</v>
      </c>
      <c r="V6177" t="s">
        <v>13232</v>
      </c>
      <c r="W6177" t="s">
        <v>19335</v>
      </c>
      <c r="X6177">
        <v>18</v>
      </c>
      <c r="Y6177" t="s">
        <v>25710</v>
      </c>
      <c r="Z6177" t="s">
        <v>32308</v>
      </c>
      <c r="AA6177">
        <v>0.45069324868116911</v>
      </c>
      <c r="AB6177" t="str">
        <f>HYPERLINK("Melting_Curves/meltCurve_Q9UHI6_DDX20.pdf", "Melting_Curves/meltCurve_Q9UHI6_DDX20.pdf")</f>
        <v>Melting_Curves/meltCurve_Q9UHI6_DDX20.pdf</v>
      </c>
    </row>
    <row r="6178" spans="1:28" x14ac:dyDescent="0.25">
      <c r="A6178" t="s">
        <v>6181</v>
      </c>
      <c r="B6178">
        <v>0.99930955844802105</v>
      </c>
      <c r="C6178">
        <v>0.818014006478883</v>
      </c>
      <c r="D6178">
        <v>0.72302406385539397</v>
      </c>
      <c r="E6178">
        <v>0.52529017442922699</v>
      </c>
      <c r="F6178">
        <v>0.241980663999454</v>
      </c>
      <c r="G6178">
        <v>0.18989520045668901</v>
      </c>
      <c r="H6178">
        <v>7.5877811652938901E-2</v>
      </c>
      <c r="I6178">
        <v>8.5859359157209603E-2</v>
      </c>
      <c r="J6178">
        <v>5.2899852201359801E-2</v>
      </c>
      <c r="K6178">
        <v>5.7538999989505797E-2</v>
      </c>
      <c r="L6178">
        <v>639.33152885631296</v>
      </c>
      <c r="M6178">
        <v>12.9839633635084</v>
      </c>
      <c r="N6178">
        <v>49.446075967591398</v>
      </c>
      <c r="O6178">
        <v>48.115938441489902</v>
      </c>
      <c r="P6178">
        <v>-6.5697474493547806E-2</v>
      </c>
      <c r="Q6178">
        <v>2.63263062901288E-2</v>
      </c>
      <c r="R6178">
        <v>0.98782928543062998</v>
      </c>
      <c r="S6178" t="s">
        <v>12794</v>
      </c>
      <c r="T6178" t="s">
        <v>13232</v>
      </c>
      <c r="U6178" t="s">
        <v>13232</v>
      </c>
      <c r="V6178" t="s">
        <v>13232</v>
      </c>
      <c r="W6178" t="s">
        <v>19336</v>
      </c>
      <c r="X6178">
        <v>2</v>
      </c>
      <c r="Y6178" t="s">
        <v>25711</v>
      </c>
      <c r="Z6178" t="s">
        <v>32309</v>
      </c>
      <c r="AA6178">
        <v>0.35708341546512418</v>
      </c>
      <c r="AB6178" t="str">
        <f>HYPERLINK("Melting_Curves/meltCurve_Q9UHJ3_2_SFMBT1.pdf", "Melting_Curves/meltCurve_Q9UHJ3_2_SFMBT1.pdf")</f>
        <v>Melting_Curves/meltCurve_Q9UHJ3_2_SFMBT1.pdf</v>
      </c>
    </row>
    <row r="6179" spans="1:28" x14ac:dyDescent="0.25">
      <c r="A6179" t="s">
        <v>6182</v>
      </c>
      <c r="B6179">
        <v>0.99930955844802105</v>
      </c>
      <c r="C6179">
        <v>1.0878249377187399</v>
      </c>
      <c r="D6179">
        <v>1.0376823541740601</v>
      </c>
      <c r="E6179">
        <v>0.54801378301288095</v>
      </c>
      <c r="F6179">
        <v>0.215104022745227</v>
      </c>
      <c r="G6179">
        <v>0.15263444926814701</v>
      </c>
      <c r="H6179">
        <v>9.4885274309939302E-2</v>
      </c>
      <c r="I6179">
        <v>8.2523340628908995E-2</v>
      </c>
      <c r="J6179">
        <v>6.9686887552867005E-2</v>
      </c>
      <c r="K6179">
        <v>6.1869981879331203E-2</v>
      </c>
      <c r="L6179">
        <v>1944.4375115979201</v>
      </c>
      <c r="M6179">
        <v>38.7977064552977</v>
      </c>
      <c r="N6179">
        <v>50.385167066524197</v>
      </c>
      <c r="O6179">
        <v>49.984739932843901</v>
      </c>
      <c r="P6179">
        <v>-0.175966634689465</v>
      </c>
      <c r="Q6179">
        <v>9.3180852536830006E-2</v>
      </c>
      <c r="R6179">
        <v>0.99013192032803998</v>
      </c>
      <c r="S6179" t="s">
        <v>12795</v>
      </c>
      <c r="T6179" t="s">
        <v>13232</v>
      </c>
      <c r="U6179" t="s">
        <v>13232</v>
      </c>
      <c r="V6179" t="s">
        <v>13232</v>
      </c>
      <c r="W6179" t="s">
        <v>19337</v>
      </c>
      <c r="X6179">
        <v>13</v>
      </c>
      <c r="Y6179" t="s">
        <v>25712</v>
      </c>
      <c r="Z6179" t="s">
        <v>32310</v>
      </c>
      <c r="AA6179">
        <v>0.40234248042493659</v>
      </c>
      <c r="AB6179" t="str">
        <f>HYPERLINK("Melting_Curves/meltCurve_Q9UHJ6_SHPK.pdf", "Melting_Curves/meltCurve_Q9UHJ6_SHPK.pdf")</f>
        <v>Melting_Curves/meltCurve_Q9UHJ6_SHPK.pdf</v>
      </c>
    </row>
    <row r="6180" spans="1:28" x14ac:dyDescent="0.25">
      <c r="A6180" t="s">
        <v>6183</v>
      </c>
      <c r="B6180">
        <v>0.99930955844802105</v>
      </c>
      <c r="C6180">
        <v>0.96733490182247694</v>
      </c>
      <c r="D6180">
        <v>0.91207801676808298</v>
      </c>
      <c r="E6180">
        <v>0.62092833250622004</v>
      </c>
      <c r="F6180">
        <v>0.35031692511804502</v>
      </c>
      <c r="G6180">
        <v>0.20012461467972201</v>
      </c>
      <c r="H6180">
        <v>0.117964413493975</v>
      </c>
      <c r="I6180">
        <v>0.10738114797704799</v>
      </c>
      <c r="J6180">
        <v>9.7619946050719303E-2</v>
      </c>
      <c r="K6180">
        <v>8.0568093527617804E-2</v>
      </c>
      <c r="L6180">
        <v>1030.6437986619901</v>
      </c>
      <c r="M6180">
        <v>20.286064360435901</v>
      </c>
      <c r="N6180">
        <v>51.307067612724403</v>
      </c>
      <c r="O6180">
        <v>50.319548501640803</v>
      </c>
      <c r="P6180">
        <v>-9.1724146649083904E-2</v>
      </c>
      <c r="Q6180">
        <v>8.9941905067869393E-2</v>
      </c>
      <c r="R6180">
        <v>0.99926246422870502</v>
      </c>
      <c r="S6180" t="s">
        <v>12796</v>
      </c>
      <c r="T6180" t="s">
        <v>13232</v>
      </c>
      <c r="U6180" t="s">
        <v>13232</v>
      </c>
      <c r="V6180" t="s">
        <v>13232</v>
      </c>
      <c r="W6180" t="s">
        <v>19338</v>
      </c>
      <c r="X6180">
        <v>2</v>
      </c>
      <c r="Y6180" t="s">
        <v>25713</v>
      </c>
      <c r="Z6180" t="s">
        <v>32311</v>
      </c>
      <c r="AA6180">
        <v>0.43003404624198432</v>
      </c>
      <c r="AB6180" t="str">
        <f>HYPERLINK("Melting_Curves/meltCurve_Q9UHK0_NUFIP1.pdf", "Melting_Curves/meltCurve_Q9UHK0_NUFIP1.pdf")</f>
        <v>Melting_Curves/meltCurve_Q9UHK0_NUFIP1.pdf</v>
      </c>
    </row>
    <row r="6181" spans="1:28" x14ac:dyDescent="0.25">
      <c r="A6181" t="s">
        <v>6184</v>
      </c>
      <c r="B6181">
        <v>0.99930955844802105</v>
      </c>
      <c r="C6181">
        <v>1.03077706947499</v>
      </c>
      <c r="D6181">
        <v>0.98883095303737001</v>
      </c>
      <c r="E6181">
        <v>0.94560897259133503</v>
      </c>
      <c r="F6181">
        <v>0.886296233545257</v>
      </c>
      <c r="G6181">
        <v>0.74230832375790901</v>
      </c>
      <c r="H6181">
        <v>0.55466655555979705</v>
      </c>
      <c r="I6181">
        <v>0.44668364125172799</v>
      </c>
      <c r="J6181">
        <v>0.235729634701278</v>
      </c>
      <c r="K6181">
        <v>0.101541845616507</v>
      </c>
      <c r="L6181">
        <v>859.34492971496798</v>
      </c>
      <c r="M6181">
        <v>13.9093126326604</v>
      </c>
      <c r="N6181">
        <v>61.781983963101403</v>
      </c>
      <c r="O6181">
        <v>60.546966281741597</v>
      </c>
      <c r="P6181">
        <v>-5.7439704231662003E-2</v>
      </c>
      <c r="Q6181">
        <v>0</v>
      </c>
      <c r="R6181">
        <v>0.98959188851789603</v>
      </c>
      <c r="S6181" t="s">
        <v>12797</v>
      </c>
      <c r="T6181" t="s">
        <v>13232</v>
      </c>
      <c r="U6181" t="s">
        <v>13232</v>
      </c>
      <c r="V6181" t="s">
        <v>13232</v>
      </c>
      <c r="W6181" t="s">
        <v>19339</v>
      </c>
      <c r="X6181">
        <v>14</v>
      </c>
      <c r="Y6181" t="s">
        <v>25714</v>
      </c>
      <c r="Z6181" t="s">
        <v>32312</v>
      </c>
      <c r="AA6181">
        <v>0.72217291958331631</v>
      </c>
      <c r="AB6181" t="str">
        <f>HYPERLINK("Melting_Curves/meltCurve_Q9UHL4_DPP7.pdf", "Melting_Curves/meltCurve_Q9UHL4_DPP7.pdf")</f>
        <v>Melting_Curves/meltCurve_Q9UHL4_DPP7.pdf</v>
      </c>
    </row>
    <row r="6182" spans="1:28" x14ac:dyDescent="0.25">
      <c r="A6182" t="s">
        <v>6185</v>
      </c>
      <c r="B6182">
        <v>0.99930955844802105</v>
      </c>
      <c r="C6182">
        <v>0.93347506574666095</v>
      </c>
      <c r="D6182">
        <v>0.91116703847890901</v>
      </c>
      <c r="E6182">
        <v>0.82285297467548102</v>
      </c>
      <c r="F6182">
        <v>0.66759284756487502</v>
      </c>
      <c r="G6182">
        <v>0.46931966315214801</v>
      </c>
      <c r="H6182">
        <v>0.386495696250647</v>
      </c>
      <c r="I6182">
        <v>0.303723024939068</v>
      </c>
      <c r="J6182">
        <v>0.27991484237346398</v>
      </c>
      <c r="K6182">
        <v>0.22645682646728199</v>
      </c>
      <c r="L6182">
        <v>635.51193398206397</v>
      </c>
      <c r="M6182">
        <v>11.6045249627826</v>
      </c>
      <c r="N6182">
        <v>56.912868464513799</v>
      </c>
      <c r="O6182">
        <v>53.213671541681499</v>
      </c>
      <c r="P6182">
        <v>-4.4860593942543499E-2</v>
      </c>
      <c r="Q6182">
        <v>0.177375405178578</v>
      </c>
      <c r="R6182">
        <v>0.99570120591381694</v>
      </c>
      <c r="S6182" t="s">
        <v>12798</v>
      </c>
      <c r="T6182" t="s">
        <v>13232</v>
      </c>
      <c r="U6182" t="s">
        <v>13232</v>
      </c>
      <c r="V6182" t="s">
        <v>13232</v>
      </c>
      <c r="W6182" t="s">
        <v>19340</v>
      </c>
      <c r="X6182">
        <v>6</v>
      </c>
      <c r="Y6182" t="s">
        <v>25715</v>
      </c>
      <c r="Z6182" t="s">
        <v>32313</v>
      </c>
      <c r="AA6182">
        <v>0.60254285224799109</v>
      </c>
      <c r="AB6182" t="str">
        <f>HYPERLINK("Melting_Curves/meltCurve_Q9UHN1_POLG2.pdf", "Melting_Curves/meltCurve_Q9UHN1_POLG2.pdf")</f>
        <v>Melting_Curves/meltCurve_Q9UHN1_POLG2.pdf</v>
      </c>
    </row>
    <row r="6183" spans="1:28" x14ac:dyDescent="0.25">
      <c r="A6183" t="s">
        <v>6186</v>
      </c>
      <c r="B6183">
        <v>0.99930955844802105</v>
      </c>
      <c r="C6183">
        <v>0.994395729754047</v>
      </c>
      <c r="D6183">
        <v>0.93903661975372299</v>
      </c>
      <c r="E6183">
        <v>0.83854593925587095</v>
      </c>
      <c r="F6183">
        <v>0.45349751441216002</v>
      </c>
      <c r="G6183">
        <v>0.29574934271823999</v>
      </c>
      <c r="H6183">
        <v>0.22704853637938199</v>
      </c>
      <c r="I6183">
        <v>0.21219617377667499</v>
      </c>
      <c r="J6183">
        <v>0.201470137993433</v>
      </c>
      <c r="K6183">
        <v>0.15790244729164099</v>
      </c>
      <c r="L6183">
        <v>1533.2707166499399</v>
      </c>
      <c r="M6183">
        <v>29.520544982824202</v>
      </c>
      <c r="N6183">
        <v>52.864120630228797</v>
      </c>
      <c r="O6183">
        <v>51.702538301121699</v>
      </c>
      <c r="P6183">
        <v>-0.11395051791524199</v>
      </c>
      <c r="Q6183">
        <v>0.20171021927708799</v>
      </c>
      <c r="R6183">
        <v>0.99347371628416703</v>
      </c>
      <c r="S6183" t="s">
        <v>12799</v>
      </c>
      <c r="T6183" t="s">
        <v>13232</v>
      </c>
      <c r="U6183" t="s">
        <v>13232</v>
      </c>
      <c r="V6183" t="s">
        <v>13232</v>
      </c>
      <c r="W6183" t="s">
        <v>19341</v>
      </c>
      <c r="X6183">
        <v>32</v>
      </c>
      <c r="Y6183" t="s">
        <v>25716</v>
      </c>
      <c r="Z6183" t="s">
        <v>32314</v>
      </c>
      <c r="AA6183">
        <v>0.52466680677511357</v>
      </c>
      <c r="AB6183" t="str">
        <f>HYPERLINK("Melting_Curves/meltCurve_Q9UHP3_USP25.pdf", "Melting_Curves/meltCurve_Q9UHP3_USP25.pdf")</f>
        <v>Melting_Curves/meltCurve_Q9UHP3_USP25.pdf</v>
      </c>
    </row>
    <row r="6184" spans="1:28" x14ac:dyDescent="0.25">
      <c r="A6184" t="s">
        <v>6187</v>
      </c>
      <c r="B6184">
        <v>0.99930955844802105</v>
      </c>
      <c r="C6184">
        <v>0.95816051364960997</v>
      </c>
      <c r="D6184">
        <v>0.82040267973766901</v>
      </c>
      <c r="E6184">
        <v>0.57915687199662502</v>
      </c>
      <c r="F6184">
        <v>0.42053713958178301</v>
      </c>
      <c r="G6184">
        <v>0.25610541103418999</v>
      </c>
      <c r="H6184">
        <v>0.15122283389428501</v>
      </c>
      <c r="I6184">
        <v>0.15412145263734001</v>
      </c>
      <c r="J6184">
        <v>0.13030134065086199</v>
      </c>
      <c r="K6184">
        <v>0.14090528383523601</v>
      </c>
      <c r="L6184">
        <v>757.98547610465096</v>
      </c>
      <c r="M6184">
        <v>15.0176525455533</v>
      </c>
      <c r="N6184">
        <v>51.361090038972797</v>
      </c>
      <c r="O6184">
        <v>49.603370029074398</v>
      </c>
      <c r="P6184">
        <v>-6.7040318318799197E-2</v>
      </c>
      <c r="Q6184">
        <v>0.114351242705373</v>
      </c>
      <c r="R6184">
        <v>0.99829165040088097</v>
      </c>
      <c r="S6184" t="s">
        <v>12800</v>
      </c>
      <c r="T6184" t="s">
        <v>13232</v>
      </c>
      <c r="U6184" t="s">
        <v>13232</v>
      </c>
      <c r="V6184" t="s">
        <v>13232</v>
      </c>
      <c r="W6184" t="s">
        <v>19342</v>
      </c>
      <c r="X6184">
        <v>5</v>
      </c>
      <c r="Y6184" t="s">
        <v>25717</v>
      </c>
      <c r="Z6184" t="s">
        <v>32315</v>
      </c>
      <c r="AA6184">
        <v>0.44429271009873589</v>
      </c>
      <c r="AB6184" t="str">
        <f>HYPERLINK("Melting_Curves/meltCurve_Q9UHQ1_4_NARF.pdf", "Melting_Curves/meltCurve_Q9UHQ1_4_NARF.pdf")</f>
        <v>Melting_Curves/meltCurve_Q9UHQ1_4_NARF.pdf</v>
      </c>
    </row>
    <row r="6185" spans="1:28" x14ac:dyDescent="0.25">
      <c r="A6185" t="s">
        <v>6188</v>
      </c>
      <c r="B6185">
        <v>0.99930955844802105</v>
      </c>
      <c r="C6185">
        <v>1.1694329825590299</v>
      </c>
      <c r="D6185">
        <v>1.1370062309048901</v>
      </c>
      <c r="E6185">
        <v>1.0966362997214301</v>
      </c>
      <c r="F6185">
        <v>0.95578151070597805</v>
      </c>
      <c r="G6185">
        <v>0.71369631950463397</v>
      </c>
      <c r="H6185">
        <v>0.55258751723511901</v>
      </c>
      <c r="I6185">
        <v>0.42795864959998198</v>
      </c>
      <c r="J6185">
        <v>0.31391212496028698</v>
      </c>
      <c r="K6185">
        <v>0.231456710540726</v>
      </c>
      <c r="L6185">
        <v>1110.5750827582201</v>
      </c>
      <c r="M6185">
        <v>18.534666921443101</v>
      </c>
      <c r="N6185">
        <v>61.716564411345402</v>
      </c>
      <c r="O6185">
        <v>59.234373340066298</v>
      </c>
      <c r="P6185">
        <v>-6.1911009490376603E-2</v>
      </c>
      <c r="Q6185">
        <v>0.20859682119706</v>
      </c>
      <c r="R6185">
        <v>0.94029846232825298</v>
      </c>
      <c r="S6185" t="s">
        <v>12801</v>
      </c>
      <c r="T6185" t="s">
        <v>13232</v>
      </c>
      <c r="U6185" t="s">
        <v>13232</v>
      </c>
      <c r="V6185" t="s">
        <v>13232</v>
      </c>
      <c r="W6185" t="s">
        <v>19343</v>
      </c>
      <c r="X6185">
        <v>30</v>
      </c>
      <c r="Y6185" t="s">
        <v>25718</v>
      </c>
      <c r="Z6185" t="s">
        <v>32316</v>
      </c>
      <c r="AA6185">
        <v>0.74081085670679458</v>
      </c>
      <c r="AB6185" t="str">
        <f>HYPERLINK("Melting_Curves/meltCurve_Q9UHR4_BAIAP2L1.pdf", "Melting_Curves/meltCurve_Q9UHR4_BAIAP2L1.pdf")</f>
        <v>Melting_Curves/meltCurve_Q9UHR4_BAIAP2L1.pdf</v>
      </c>
    </row>
    <row r="6186" spans="1:28" x14ac:dyDescent="0.25">
      <c r="A6186" t="s">
        <v>6189</v>
      </c>
      <c r="B6186">
        <v>0.99930955844802105</v>
      </c>
      <c r="C6186">
        <v>1.0138320940794401</v>
      </c>
      <c r="D6186">
        <v>0.99783553208252895</v>
      </c>
      <c r="E6186">
        <v>0.94148634193331104</v>
      </c>
      <c r="F6186">
        <v>0.78145719622280296</v>
      </c>
      <c r="G6186">
        <v>0.64583881723929304</v>
      </c>
      <c r="H6186">
        <v>0.59777259847762299</v>
      </c>
      <c r="I6186">
        <v>0.67305998097379705</v>
      </c>
      <c r="J6186">
        <v>0.699386401711804</v>
      </c>
      <c r="K6186">
        <v>0.57001290777006497</v>
      </c>
      <c r="L6186">
        <v>1932.6403078544099</v>
      </c>
      <c r="M6186">
        <v>36.900154589120099</v>
      </c>
      <c r="O6186">
        <v>52.221749351322899</v>
      </c>
      <c r="P6186">
        <v>-6.4720497868820795E-2</v>
      </c>
      <c r="Q6186">
        <v>0.63362671489591305</v>
      </c>
      <c r="R6186">
        <v>0.95984838943955797</v>
      </c>
      <c r="S6186" t="s">
        <v>12802</v>
      </c>
      <c r="T6186" t="s">
        <v>13232</v>
      </c>
      <c r="U6186" t="s">
        <v>13232</v>
      </c>
      <c r="V6186" t="s">
        <v>13232</v>
      </c>
      <c r="W6186" t="s">
        <v>19344</v>
      </c>
      <c r="X6186">
        <v>13</v>
      </c>
      <c r="Y6186" t="s">
        <v>25719</v>
      </c>
      <c r="Z6186" t="s">
        <v>32317</v>
      </c>
      <c r="AA6186">
        <v>0.78631244381290655</v>
      </c>
      <c r="AB6186" t="str">
        <f>HYPERLINK("Melting_Curves/meltCurve_Q9UHR5_SAP30BP.pdf", "Melting_Curves/meltCurve_Q9UHR5_SAP30BP.pdf")</f>
        <v>Melting_Curves/meltCurve_Q9UHR5_SAP30BP.pdf</v>
      </c>
    </row>
    <row r="6187" spans="1:28" x14ac:dyDescent="0.25">
      <c r="A6187" t="s">
        <v>6190</v>
      </c>
      <c r="B6187">
        <v>0.99930955844802105</v>
      </c>
      <c r="C6187">
        <v>0.75125299800843204</v>
      </c>
      <c r="D6187">
        <v>0.31859117733178199</v>
      </c>
      <c r="E6187">
        <v>0.28563956514209099</v>
      </c>
      <c r="F6187">
        <v>0.20366729499108899</v>
      </c>
      <c r="G6187">
        <v>0.15468481638145201</v>
      </c>
      <c r="H6187">
        <v>9.7808019543525401E-2</v>
      </c>
      <c r="I6187">
        <v>9.6512383200864305E-2</v>
      </c>
      <c r="J6187">
        <v>8.3748749645525006E-2</v>
      </c>
      <c r="K6187">
        <v>8.5618099072609199E-2</v>
      </c>
      <c r="L6187">
        <v>1155.7669463126699</v>
      </c>
      <c r="M6187">
        <v>26.079043643468999</v>
      </c>
      <c r="N6187">
        <v>44.835406263317402</v>
      </c>
      <c r="O6187">
        <v>44.059723901580902</v>
      </c>
      <c r="P6187">
        <v>-0.12874335897224201</v>
      </c>
      <c r="Q6187">
        <v>0.12997854147773999</v>
      </c>
      <c r="R6187">
        <v>0.96805526867025404</v>
      </c>
      <c r="S6187" t="s">
        <v>12803</v>
      </c>
      <c r="T6187" t="s">
        <v>13232</v>
      </c>
      <c r="U6187" t="s">
        <v>13232</v>
      </c>
      <c r="V6187" t="s">
        <v>13232</v>
      </c>
      <c r="W6187" t="s">
        <v>19345</v>
      </c>
      <c r="X6187">
        <v>8</v>
      </c>
      <c r="Y6187" t="s">
        <v>25720</v>
      </c>
      <c r="Z6187" t="s">
        <v>32318</v>
      </c>
      <c r="AA6187">
        <v>0.26372539550518781</v>
      </c>
      <c r="AB6187" t="str">
        <f>HYPERLINK("Melting_Curves/meltCurve_Q9UHR6_ZNHIT2.pdf", "Melting_Curves/meltCurve_Q9UHR6_ZNHIT2.pdf")</f>
        <v>Melting_Curves/meltCurve_Q9UHR6_ZNHIT2.pdf</v>
      </c>
    </row>
    <row r="6188" spans="1:28" x14ac:dyDescent="0.25">
      <c r="A6188" t="s">
        <v>6191</v>
      </c>
      <c r="B6188">
        <v>0.99930955844802105</v>
      </c>
      <c r="C6188">
        <v>0.80977167958328899</v>
      </c>
      <c r="D6188">
        <v>0.76410213034900598</v>
      </c>
      <c r="E6188">
        <v>0.73829463897980896</v>
      </c>
      <c r="F6188">
        <v>0.56442869566896703</v>
      </c>
      <c r="G6188">
        <v>0.41412758926911702</v>
      </c>
      <c r="H6188">
        <v>0.28403665747137702</v>
      </c>
      <c r="I6188">
        <v>0.24226139668153199</v>
      </c>
      <c r="J6188">
        <v>0.17191012985267701</v>
      </c>
      <c r="K6188">
        <v>0.14006160051605099</v>
      </c>
      <c r="L6188">
        <v>427.46353127990699</v>
      </c>
      <c r="M6188">
        <v>7.8484282423738501</v>
      </c>
      <c r="N6188">
        <v>54.464858131495099</v>
      </c>
      <c r="O6188">
        <v>51.268702570030399</v>
      </c>
      <c r="P6188">
        <v>-3.8317534304717099E-2</v>
      </c>
      <c r="Q6188">
        <v>0</v>
      </c>
      <c r="R6188">
        <v>0.97898942121329502</v>
      </c>
      <c r="S6188" t="s">
        <v>12804</v>
      </c>
      <c r="T6188" t="s">
        <v>13232</v>
      </c>
      <c r="U6188" t="s">
        <v>13232</v>
      </c>
      <c r="V6188" t="s">
        <v>13232</v>
      </c>
      <c r="W6188" t="s">
        <v>19346</v>
      </c>
      <c r="X6188">
        <v>1</v>
      </c>
      <c r="Y6188" t="s">
        <v>25721</v>
      </c>
      <c r="Z6188" t="s">
        <v>32319</v>
      </c>
      <c r="AA6188">
        <v>0.51323544909278296</v>
      </c>
      <c r="AB6188" t="str">
        <f>HYPERLINK("Melting_Curves/meltCurve_Q9UHV7_MED13.pdf", "Melting_Curves/meltCurve_Q9UHV7_MED13.pdf")</f>
        <v>Melting_Curves/meltCurve_Q9UHV7_MED13.pdf</v>
      </c>
    </row>
    <row r="6189" spans="1:28" x14ac:dyDescent="0.25">
      <c r="A6189" t="s">
        <v>6192</v>
      </c>
      <c r="B6189">
        <v>0.99930955844802105</v>
      </c>
      <c r="C6189">
        <v>1.10040480768828</v>
      </c>
      <c r="D6189">
        <v>1.09207483948969</v>
      </c>
      <c r="E6189">
        <v>0.99842123116913895</v>
      </c>
      <c r="F6189">
        <v>0.93433869722485396</v>
      </c>
      <c r="G6189">
        <v>0.79148015337228195</v>
      </c>
      <c r="H6189">
        <v>0.73099658059107098</v>
      </c>
      <c r="I6189">
        <v>0.80289023079370803</v>
      </c>
      <c r="J6189">
        <v>0.79215491644334302</v>
      </c>
      <c r="K6189">
        <v>0.66922001286748001</v>
      </c>
      <c r="L6189">
        <v>2101.1475368522101</v>
      </c>
      <c r="M6189">
        <v>38.537793281542299</v>
      </c>
      <c r="O6189">
        <v>54.3755586782815</v>
      </c>
      <c r="P6189">
        <v>-4.46185374904043E-2</v>
      </c>
      <c r="Q6189">
        <v>0.74817948274253399</v>
      </c>
      <c r="R6189">
        <v>0.85744909706442496</v>
      </c>
      <c r="S6189" t="s">
        <v>12805</v>
      </c>
      <c r="T6189" t="s">
        <v>13232</v>
      </c>
      <c r="U6189" t="s">
        <v>13232</v>
      </c>
      <c r="V6189" t="s">
        <v>13232</v>
      </c>
      <c r="W6189" t="s">
        <v>19347</v>
      </c>
      <c r="X6189">
        <v>13</v>
      </c>
      <c r="Y6189" t="s">
        <v>25722</v>
      </c>
      <c r="Z6189" t="s">
        <v>32320</v>
      </c>
      <c r="AA6189">
        <v>0.87109445356099424</v>
      </c>
      <c r="AB6189" t="str">
        <f>HYPERLINK("Melting_Curves/meltCurve_Q9UHV9_PFDN2.pdf", "Melting_Curves/meltCurve_Q9UHV9_PFDN2.pdf")</f>
        <v>Melting_Curves/meltCurve_Q9UHV9_PFDN2.pdf</v>
      </c>
    </row>
    <row r="6190" spans="1:28" x14ac:dyDescent="0.25">
      <c r="A6190" t="s">
        <v>6193</v>
      </c>
      <c r="B6190">
        <v>0.99930955844802105</v>
      </c>
      <c r="C6190">
        <v>0.95574951715426804</v>
      </c>
      <c r="D6190">
        <v>0.91115107198338996</v>
      </c>
      <c r="E6190">
        <v>0.88524645069015495</v>
      </c>
      <c r="F6190">
        <v>0.84286287977264895</v>
      </c>
      <c r="G6190">
        <v>0.60620851527835495</v>
      </c>
      <c r="H6190">
        <v>0.40041183388708101</v>
      </c>
      <c r="I6190">
        <v>0.12422985661521201</v>
      </c>
      <c r="J6190">
        <v>5.9331627582815599E-2</v>
      </c>
      <c r="K6190">
        <v>4.1745852601540602E-2</v>
      </c>
      <c r="L6190">
        <v>979.31386363338004</v>
      </c>
      <c r="M6190">
        <v>16.783086450031998</v>
      </c>
      <c r="N6190">
        <v>58.351238233804899</v>
      </c>
      <c r="O6190">
        <v>57.5416809929051</v>
      </c>
      <c r="P6190">
        <v>-7.2921813619017603E-2</v>
      </c>
      <c r="Q6190">
        <v>0</v>
      </c>
      <c r="R6190">
        <v>0.98367577515655102</v>
      </c>
      <c r="S6190" t="s">
        <v>12806</v>
      </c>
      <c r="T6190" t="s">
        <v>13232</v>
      </c>
      <c r="U6190" t="s">
        <v>13232</v>
      </c>
      <c r="V6190" t="s">
        <v>13232</v>
      </c>
      <c r="W6190" t="s">
        <v>19348</v>
      </c>
      <c r="X6190">
        <v>6</v>
      </c>
      <c r="Y6190" t="s">
        <v>25723</v>
      </c>
      <c r="Z6190" t="s">
        <v>32321</v>
      </c>
      <c r="AA6190">
        <v>0.62390978384542273</v>
      </c>
      <c r="AB6190" t="str">
        <f>HYPERLINK("Melting_Curves/meltCurve_Q9UHW5_GPN3.pdf", "Melting_Curves/meltCurve_Q9UHW5_GPN3.pdf")</f>
        <v>Melting_Curves/meltCurve_Q9UHW5_GPN3.pdf</v>
      </c>
    </row>
    <row r="6191" spans="1:28" x14ac:dyDescent="0.25">
      <c r="A6191" t="s">
        <v>6194</v>
      </c>
      <c r="B6191">
        <v>0.99930955844802105</v>
      </c>
      <c r="C6191">
        <v>1.0613642700774799</v>
      </c>
      <c r="D6191">
        <v>1.04683090789697</v>
      </c>
      <c r="E6191">
        <v>1.0259087775415801</v>
      </c>
      <c r="F6191">
        <v>0.83125946648939697</v>
      </c>
      <c r="G6191">
        <v>0.40347462156340602</v>
      </c>
      <c r="H6191">
        <v>0.27080979725412002</v>
      </c>
      <c r="I6191">
        <v>0.20150818412897301</v>
      </c>
      <c r="J6191">
        <v>0.158918725659942</v>
      </c>
      <c r="K6191">
        <v>0.122059690741155</v>
      </c>
      <c r="L6191">
        <v>1679.2797492939201</v>
      </c>
      <c r="M6191">
        <v>30.267992266898801</v>
      </c>
      <c r="N6191">
        <v>56.231987091194902</v>
      </c>
      <c r="O6191">
        <v>55.239917697166902</v>
      </c>
      <c r="P6191">
        <v>-0.11419527888287299</v>
      </c>
      <c r="Q6191">
        <v>0.16636746770156699</v>
      </c>
      <c r="R6191">
        <v>0.990112500381369</v>
      </c>
      <c r="S6191" t="s">
        <v>12807</v>
      </c>
      <c r="T6191" t="s">
        <v>13232</v>
      </c>
      <c r="U6191" t="s">
        <v>13232</v>
      </c>
      <c r="V6191" t="s">
        <v>13232</v>
      </c>
      <c r="W6191" t="s">
        <v>19349</v>
      </c>
      <c r="X6191">
        <v>26</v>
      </c>
      <c r="Y6191" t="s">
        <v>25724</v>
      </c>
      <c r="Z6191" t="s">
        <v>32322</v>
      </c>
      <c r="AA6191">
        <v>0.60198867008221624</v>
      </c>
      <c r="AB6191" t="str">
        <f>HYPERLINK("Melting_Curves/meltCurve_Q9UHX1_2_PUF60.pdf", "Melting_Curves/meltCurve_Q9UHX1_2_PUF60.pdf")</f>
        <v>Melting_Curves/meltCurve_Q9UHX1_2_PUF60.pdf</v>
      </c>
    </row>
    <row r="6192" spans="1:28" x14ac:dyDescent="0.25">
      <c r="A6192" t="s">
        <v>6195</v>
      </c>
      <c r="B6192">
        <v>0.99930955844802105</v>
      </c>
      <c r="C6192">
        <v>1.1301927460978101</v>
      </c>
      <c r="D6192">
        <v>1.12298728045426</v>
      </c>
      <c r="E6192">
        <v>1.0376719688839899</v>
      </c>
      <c r="F6192">
        <v>0.66450169036387097</v>
      </c>
      <c r="G6192">
        <v>0.232943102905736</v>
      </c>
      <c r="H6192">
        <v>9.7971133636918895E-2</v>
      </c>
      <c r="I6192">
        <v>7.5806145848055104E-2</v>
      </c>
      <c r="J6192">
        <v>6.2326473015946897E-2</v>
      </c>
      <c r="K6192">
        <v>4.7029546008740701E-2</v>
      </c>
      <c r="L6192">
        <v>1922.11799695983</v>
      </c>
      <c r="M6192">
        <v>35.5129520907009</v>
      </c>
      <c r="N6192">
        <v>54.354744748929797</v>
      </c>
      <c r="O6192">
        <v>53.953660588031603</v>
      </c>
      <c r="P6192">
        <v>-0.15305871575413099</v>
      </c>
      <c r="Q6192">
        <v>6.9854814283540997E-2</v>
      </c>
      <c r="R6192">
        <v>0.979976640094117</v>
      </c>
      <c r="S6192" t="s">
        <v>12808</v>
      </c>
      <c r="T6192" t="s">
        <v>13232</v>
      </c>
      <c r="U6192" t="s">
        <v>13232</v>
      </c>
      <c r="V6192" t="s">
        <v>13232</v>
      </c>
      <c r="W6192" t="s">
        <v>19350</v>
      </c>
      <c r="X6192">
        <v>12</v>
      </c>
      <c r="Y6192" t="s">
        <v>25725</v>
      </c>
      <c r="Z6192" t="s">
        <v>32323</v>
      </c>
      <c r="AA6192">
        <v>0.51217987465236081</v>
      </c>
      <c r="AB6192" t="str">
        <f>HYPERLINK("Melting_Curves/meltCurve_Q9UHY1_NRBP1.pdf", "Melting_Curves/meltCurve_Q9UHY1_NRBP1.pdf")</f>
        <v>Melting_Curves/meltCurve_Q9UHY1_NRBP1.pdf</v>
      </c>
    </row>
    <row r="6193" spans="1:28" x14ac:dyDescent="0.25">
      <c r="A6193" t="s">
        <v>6196</v>
      </c>
      <c r="B6193">
        <v>0.99930955844802105</v>
      </c>
      <c r="C6193">
        <v>0.97219385299697902</v>
      </c>
      <c r="D6193">
        <v>0.965851325979319</v>
      </c>
      <c r="E6193">
        <v>0.59207818853690497</v>
      </c>
      <c r="F6193">
        <v>0.22188989477652299</v>
      </c>
      <c r="G6193">
        <v>0.17460310064833601</v>
      </c>
      <c r="H6193">
        <v>8.2768607079828097E-2</v>
      </c>
      <c r="I6193">
        <v>6.9372505227845604E-2</v>
      </c>
      <c r="J6193">
        <v>5.9693927131657699E-2</v>
      </c>
      <c r="K6193">
        <v>4.42201765589261E-2</v>
      </c>
      <c r="L6193">
        <v>1516.99492638682</v>
      </c>
      <c r="M6193">
        <v>30.116861054239799</v>
      </c>
      <c r="N6193">
        <v>50.645713837069998</v>
      </c>
      <c r="O6193">
        <v>50.149783120232101</v>
      </c>
      <c r="P6193">
        <v>-0.13879466537673801</v>
      </c>
      <c r="Q6193">
        <v>7.5537636799704003E-2</v>
      </c>
      <c r="R6193">
        <v>0.99502524520243596</v>
      </c>
      <c r="S6193" t="s">
        <v>12809</v>
      </c>
      <c r="T6193" t="s">
        <v>13232</v>
      </c>
      <c r="U6193" t="s">
        <v>13232</v>
      </c>
      <c r="V6193" t="s">
        <v>13232</v>
      </c>
      <c r="W6193" t="s">
        <v>19351</v>
      </c>
      <c r="X6193">
        <v>12</v>
      </c>
      <c r="Y6193" t="s">
        <v>25726</v>
      </c>
      <c r="Z6193" t="s">
        <v>32324</v>
      </c>
      <c r="AA6193">
        <v>0.40080999226748998</v>
      </c>
      <c r="AB6193" t="str">
        <f>HYPERLINK("Melting_Curves/meltCurve_Q9UHY7_ENOPH1.pdf", "Melting_Curves/meltCurve_Q9UHY7_ENOPH1.pdf")</f>
        <v>Melting_Curves/meltCurve_Q9UHY7_ENOPH1.pdf</v>
      </c>
    </row>
    <row r="6194" spans="1:28" x14ac:dyDescent="0.25">
      <c r="A6194" t="s">
        <v>6197</v>
      </c>
      <c r="B6194">
        <v>0.99930955844802105</v>
      </c>
      <c r="C6194">
        <v>1.0919433533828899</v>
      </c>
      <c r="D6194">
        <v>1.1193854230404501</v>
      </c>
      <c r="E6194">
        <v>1.07759461398514</v>
      </c>
      <c r="F6194">
        <v>0.91756154289917602</v>
      </c>
      <c r="G6194">
        <v>0.72208448030855299</v>
      </c>
      <c r="H6194">
        <v>0.56519285658321405</v>
      </c>
      <c r="I6194">
        <v>0.48720488611301099</v>
      </c>
      <c r="J6194">
        <v>0.40154416921854003</v>
      </c>
      <c r="K6194">
        <v>0.31068252101568899</v>
      </c>
      <c r="L6194">
        <v>1084.6341395490799</v>
      </c>
      <c r="M6194">
        <v>18.360719292611002</v>
      </c>
      <c r="N6194">
        <v>62.436273163322198</v>
      </c>
      <c r="O6194">
        <v>58.386242918693398</v>
      </c>
      <c r="P6194">
        <v>-5.3934074883246599E-2</v>
      </c>
      <c r="Q6194">
        <v>0.313999789622601</v>
      </c>
      <c r="R6194">
        <v>0.95429081495035295</v>
      </c>
      <c r="S6194" t="s">
        <v>12810</v>
      </c>
      <c r="T6194" t="s">
        <v>13232</v>
      </c>
      <c r="U6194" t="s">
        <v>13232</v>
      </c>
      <c r="V6194" t="s">
        <v>13232</v>
      </c>
      <c r="W6194" t="s">
        <v>19352</v>
      </c>
      <c r="X6194">
        <v>19</v>
      </c>
      <c r="Y6194" t="s">
        <v>25727</v>
      </c>
      <c r="Z6194" t="s">
        <v>32325</v>
      </c>
      <c r="AA6194">
        <v>0.75726601721716336</v>
      </c>
      <c r="AB6194" t="str">
        <f>HYPERLINK("Melting_Curves/meltCurve_Q9UI08_EVL.pdf", "Melting_Curves/meltCurve_Q9UI08_EVL.pdf")</f>
        <v>Melting_Curves/meltCurve_Q9UI08_EVL.pdf</v>
      </c>
    </row>
    <row r="6195" spans="1:28" x14ac:dyDescent="0.25">
      <c r="A6195" t="s">
        <v>6198</v>
      </c>
      <c r="B6195">
        <v>0.99930955844802105</v>
      </c>
      <c r="C6195">
        <v>1.02661339119267</v>
      </c>
      <c r="D6195">
        <v>1.04839831286373</v>
      </c>
      <c r="E6195">
        <v>1.0633144803613199</v>
      </c>
      <c r="F6195">
        <v>1.0680895295192601</v>
      </c>
      <c r="G6195">
        <v>1.00153259842986</v>
      </c>
      <c r="H6195">
        <v>0.98028418812517903</v>
      </c>
      <c r="I6195">
        <v>1.06488482421414</v>
      </c>
      <c r="J6195">
        <v>1.0717040191357301</v>
      </c>
      <c r="K6195">
        <v>0.95546542980649896</v>
      </c>
      <c r="L6195">
        <v>10654.086219640199</v>
      </c>
      <c r="M6195">
        <v>250</v>
      </c>
      <c r="O6195">
        <v>42.613617739214902</v>
      </c>
      <c r="P6195">
        <v>4.6506806005775302E-2</v>
      </c>
      <c r="Q6195">
        <v>1.0317091719993601</v>
      </c>
      <c r="R6195">
        <v>5.98950589556069E-2</v>
      </c>
      <c r="S6195" t="s">
        <v>12811</v>
      </c>
      <c r="T6195" t="s">
        <v>13232</v>
      </c>
      <c r="U6195" t="s">
        <v>13232</v>
      </c>
      <c r="V6195" t="s">
        <v>13232</v>
      </c>
      <c r="W6195" t="s">
        <v>19353</v>
      </c>
      <c r="X6195">
        <v>19</v>
      </c>
      <c r="Y6195" t="s">
        <v>25728</v>
      </c>
      <c r="Z6195" t="s">
        <v>32326</v>
      </c>
      <c r="AA6195">
        <v>1.028941396100048</v>
      </c>
      <c r="AB6195" t="str">
        <f>HYPERLINK("Melting_Curves/meltCurve_Q9UI10_EIF2B4.pdf", "Melting_Curves/meltCurve_Q9UI10_EIF2B4.pdf")</f>
        <v>Melting_Curves/meltCurve_Q9UI10_EIF2B4.pdf</v>
      </c>
    </row>
    <row r="6196" spans="1:28" x14ac:dyDescent="0.25">
      <c r="A6196" t="s">
        <v>6199</v>
      </c>
      <c r="B6196">
        <v>0.99930955844802105</v>
      </c>
      <c r="C6196">
        <v>0.708703547488159</v>
      </c>
      <c r="D6196">
        <v>0.73580882163407701</v>
      </c>
      <c r="E6196">
        <v>0.57085193081696795</v>
      </c>
      <c r="F6196">
        <v>0.45730472953859402</v>
      </c>
      <c r="G6196">
        <v>0.41177439462245002</v>
      </c>
      <c r="H6196">
        <v>0.37761506608154199</v>
      </c>
      <c r="I6196">
        <v>0.40722633266661501</v>
      </c>
      <c r="J6196">
        <v>0.36579768796485501</v>
      </c>
      <c r="K6196">
        <v>0.30513257389298898</v>
      </c>
      <c r="L6196">
        <v>505.96756172226299</v>
      </c>
      <c r="M6196">
        <v>10.8093425000698</v>
      </c>
      <c r="N6196">
        <v>51.997693320540499</v>
      </c>
      <c r="O6196">
        <v>45.2917208277116</v>
      </c>
      <c r="P6196">
        <v>-3.9990503330803402E-2</v>
      </c>
      <c r="Q6196">
        <v>0.32999243121690602</v>
      </c>
      <c r="R6196">
        <v>0.93916535203707496</v>
      </c>
      <c r="S6196" t="s">
        <v>12812</v>
      </c>
      <c r="T6196" t="s">
        <v>13232</v>
      </c>
      <c r="U6196" t="s">
        <v>13232</v>
      </c>
      <c r="V6196" t="s">
        <v>13232</v>
      </c>
      <c r="W6196" t="s">
        <v>19354</v>
      </c>
      <c r="X6196">
        <v>20</v>
      </c>
      <c r="Y6196" t="s">
        <v>25728</v>
      </c>
      <c r="Z6196" t="s">
        <v>32327</v>
      </c>
      <c r="AA6196">
        <v>0.51640901612387713</v>
      </c>
      <c r="AB6196" t="str">
        <f>HYPERLINK("Melting_Curves/meltCurve_Q9UI10_3_EIF2B4.pdf", "Melting_Curves/meltCurve_Q9UI10_3_EIF2B4.pdf")</f>
        <v>Melting_Curves/meltCurve_Q9UI10_3_EIF2B4.pdf</v>
      </c>
    </row>
    <row r="6197" spans="1:28" x14ac:dyDescent="0.25">
      <c r="A6197" t="s">
        <v>6200</v>
      </c>
      <c r="B6197">
        <v>0.99930955844802105</v>
      </c>
      <c r="C6197">
        <v>0.89141630722216003</v>
      </c>
      <c r="D6197">
        <v>0.88993153339971698</v>
      </c>
      <c r="E6197">
        <v>0.789836697520653</v>
      </c>
      <c r="F6197">
        <v>0.53921484560352695</v>
      </c>
      <c r="G6197">
        <v>0.14944945640027699</v>
      </c>
      <c r="H6197">
        <v>9.0135613102013706E-2</v>
      </c>
      <c r="I6197">
        <v>8.3895081094037996E-2</v>
      </c>
      <c r="J6197">
        <v>7.6004946801506101E-2</v>
      </c>
      <c r="K6197">
        <v>5.4467014383314798E-2</v>
      </c>
      <c r="L6197">
        <v>1155.53022014881</v>
      </c>
      <c r="M6197">
        <v>21.898827479324598</v>
      </c>
      <c r="N6197">
        <v>53.015842832869801</v>
      </c>
      <c r="O6197">
        <v>52.332659159838599</v>
      </c>
      <c r="P6197">
        <v>-9.9502127875204502E-2</v>
      </c>
      <c r="Q6197">
        <v>4.8881990130176599E-2</v>
      </c>
      <c r="R6197">
        <v>0.98558890185294101</v>
      </c>
      <c r="S6197" t="s">
        <v>12813</v>
      </c>
      <c r="T6197" t="s">
        <v>13232</v>
      </c>
      <c r="U6197" t="s">
        <v>13232</v>
      </c>
      <c r="V6197" t="s">
        <v>13232</v>
      </c>
      <c r="W6197" t="s">
        <v>19355</v>
      </c>
      <c r="X6197">
        <v>21</v>
      </c>
      <c r="Y6197" t="s">
        <v>25729</v>
      </c>
      <c r="Z6197" t="s">
        <v>32328</v>
      </c>
      <c r="AA6197">
        <v>0.46480471804872509</v>
      </c>
      <c r="AB6197" t="str">
        <f>HYPERLINK("Melting_Curves/meltCurve_Q9UI12_ATP6V1H.pdf", "Melting_Curves/meltCurve_Q9UI12_ATP6V1H.pdf")</f>
        <v>Melting_Curves/meltCurve_Q9UI12_ATP6V1H.pdf</v>
      </c>
    </row>
    <row r="6198" spans="1:28" x14ac:dyDescent="0.25">
      <c r="A6198" t="s">
        <v>6201</v>
      </c>
      <c r="B6198">
        <v>0.99930955844802105</v>
      </c>
      <c r="C6198">
        <v>1.0366490903126999</v>
      </c>
      <c r="D6198">
        <v>1.01289328044573</v>
      </c>
      <c r="E6198">
        <v>0.99154500860700601</v>
      </c>
      <c r="F6198">
        <v>0.44908707143953103</v>
      </c>
      <c r="G6198">
        <v>0.224708966076303</v>
      </c>
      <c r="H6198">
        <v>0.14176004152979799</v>
      </c>
      <c r="I6198">
        <v>0.12942998945294301</v>
      </c>
      <c r="J6198">
        <v>0.11418574537466999</v>
      </c>
      <c r="K6198">
        <v>7.9502500080349495E-2</v>
      </c>
      <c r="L6198">
        <v>3555.14464728238</v>
      </c>
      <c r="M6198">
        <v>67.624687869558997</v>
      </c>
      <c r="N6198">
        <v>52.820770038234798</v>
      </c>
      <c r="O6198">
        <v>52.525784263877398</v>
      </c>
      <c r="P6198">
        <v>-0.277927352254556</v>
      </c>
      <c r="Q6198">
        <v>0.136507803144504</v>
      </c>
      <c r="R6198">
        <v>0.99258836720418397</v>
      </c>
      <c r="S6198" t="s">
        <v>12814</v>
      </c>
      <c r="T6198" t="s">
        <v>13232</v>
      </c>
      <c r="U6198" t="s">
        <v>13232</v>
      </c>
      <c r="V6198" t="s">
        <v>13232</v>
      </c>
      <c r="W6198" t="s">
        <v>19356</v>
      </c>
      <c r="X6198">
        <v>23</v>
      </c>
      <c r="Y6198" t="s">
        <v>25730</v>
      </c>
      <c r="Z6198" t="s">
        <v>32329</v>
      </c>
      <c r="AA6198">
        <v>0.49945178013927388</v>
      </c>
      <c r="AB6198" t="str">
        <f>HYPERLINK("Melting_Curves/meltCurve_Q9UI26_IPO11.pdf", "Melting_Curves/meltCurve_Q9UI26_IPO11.pdf")</f>
        <v>Melting_Curves/meltCurve_Q9UI26_IPO11.pdf</v>
      </c>
    </row>
    <row r="6199" spans="1:28" x14ac:dyDescent="0.25">
      <c r="A6199" t="s">
        <v>6202</v>
      </c>
      <c r="B6199">
        <v>0.99930955844802105</v>
      </c>
      <c r="C6199">
        <v>0.94125148312628704</v>
      </c>
      <c r="D6199">
        <v>0.90674670592684903</v>
      </c>
      <c r="E6199">
        <v>0.78830814642839597</v>
      </c>
      <c r="F6199">
        <v>0.57374845966544097</v>
      </c>
      <c r="G6199">
        <v>0.34646381778591501</v>
      </c>
      <c r="H6199">
        <v>0.22201719722376301</v>
      </c>
      <c r="I6199">
        <v>0.18907391333805701</v>
      </c>
      <c r="J6199">
        <v>0.137953336388282</v>
      </c>
      <c r="K6199">
        <v>8.4335407722075803E-2</v>
      </c>
      <c r="L6199">
        <v>739.33132776243394</v>
      </c>
      <c r="M6199">
        <v>13.742046050009</v>
      </c>
      <c r="N6199">
        <v>54.395196838464898</v>
      </c>
      <c r="O6199">
        <v>52.6997388210387</v>
      </c>
      <c r="P6199">
        <v>-6.0653284220505803E-2</v>
      </c>
      <c r="Q6199">
        <v>6.9728502532656403E-2</v>
      </c>
      <c r="R6199">
        <v>0.99687848542948798</v>
      </c>
      <c r="S6199" t="s">
        <v>12815</v>
      </c>
      <c r="T6199" t="s">
        <v>13232</v>
      </c>
      <c r="U6199" t="s">
        <v>13232</v>
      </c>
      <c r="V6199" t="s">
        <v>13232</v>
      </c>
      <c r="W6199" t="s">
        <v>19357</v>
      </c>
      <c r="X6199">
        <v>4</v>
      </c>
      <c r="Y6199" t="s">
        <v>25731</v>
      </c>
      <c r="Z6199" t="s">
        <v>32330</v>
      </c>
      <c r="AA6199">
        <v>0.51912143256254872</v>
      </c>
      <c r="AB6199" t="str">
        <f>HYPERLINK("Melting_Curves/meltCurve_Q9UI30_TRMT112.pdf", "Melting_Curves/meltCurve_Q9UI30_TRMT112.pdf")</f>
        <v>Melting_Curves/meltCurve_Q9UI30_TRMT112.pdf</v>
      </c>
    </row>
    <row r="6200" spans="1:28" x14ac:dyDescent="0.25">
      <c r="A6200" t="s">
        <v>6203</v>
      </c>
      <c r="B6200">
        <v>0.99930955844802105</v>
      </c>
      <c r="C6200">
        <v>0.74987965761832098</v>
      </c>
      <c r="D6200">
        <v>0.89558216871351204</v>
      </c>
      <c r="E6200">
        <v>0.585842477678302</v>
      </c>
      <c r="F6200">
        <v>0.45611428375733598</v>
      </c>
      <c r="G6200">
        <v>0.27673062374448198</v>
      </c>
      <c r="H6200">
        <v>0.128891883146589</v>
      </c>
      <c r="I6200">
        <v>0.122366572709019</v>
      </c>
      <c r="J6200">
        <v>3.4384491419445697E-2</v>
      </c>
      <c r="K6200">
        <v>7.4976252680059197E-2</v>
      </c>
      <c r="L6200">
        <v>570.67730626713796</v>
      </c>
      <c r="M6200">
        <v>11.008436339544</v>
      </c>
      <c r="N6200">
        <v>51.839985308461699</v>
      </c>
      <c r="O6200">
        <v>50.217449316459401</v>
      </c>
      <c r="P6200">
        <v>-5.4822279001448801E-2</v>
      </c>
      <c r="Q6200">
        <v>0</v>
      </c>
      <c r="R6200">
        <v>0.96626918559334196</v>
      </c>
      <c r="S6200" t="s">
        <v>12816</v>
      </c>
      <c r="T6200" t="s">
        <v>13232</v>
      </c>
      <c r="U6200" t="s">
        <v>13232</v>
      </c>
      <c r="V6200" t="s">
        <v>13232</v>
      </c>
      <c r="W6200" t="s">
        <v>19358</v>
      </c>
      <c r="X6200">
        <v>3</v>
      </c>
      <c r="Y6200" t="s">
        <v>25732</v>
      </c>
      <c r="Z6200" t="s">
        <v>32331</v>
      </c>
      <c r="AA6200">
        <v>0.42915012766641458</v>
      </c>
      <c r="AB6200" t="str">
        <f>HYPERLINK("Melting_Curves/meltCurve_Q9UI95_MAD2L2.pdf", "Melting_Curves/meltCurve_Q9UI95_MAD2L2.pdf")</f>
        <v>Melting_Curves/meltCurve_Q9UI95_MAD2L2.pdf</v>
      </c>
    </row>
    <row r="6201" spans="1:28" x14ac:dyDescent="0.25">
      <c r="A6201" t="s">
        <v>6204</v>
      </c>
      <c r="B6201">
        <v>0.99930955844802105</v>
      </c>
      <c r="C6201">
        <v>0.91253016060946601</v>
      </c>
      <c r="D6201">
        <v>0.95129552932588202</v>
      </c>
      <c r="E6201">
        <v>1.0854239319283201</v>
      </c>
      <c r="F6201">
        <v>0.78319957709106702</v>
      </c>
      <c r="G6201">
        <v>0.20588205293463199</v>
      </c>
      <c r="H6201">
        <v>0.124586903926426</v>
      </c>
      <c r="I6201">
        <v>0.107241555512282</v>
      </c>
      <c r="J6201">
        <v>8.3964360051563394E-2</v>
      </c>
      <c r="K6201">
        <v>7.3380757962171098E-2</v>
      </c>
      <c r="L6201">
        <v>2538.3619134998999</v>
      </c>
      <c r="M6201">
        <v>46.643314625475803</v>
      </c>
      <c r="N6201">
        <v>54.674912302938303</v>
      </c>
      <c r="O6201">
        <v>54.320951848999698</v>
      </c>
      <c r="P6201">
        <v>-0.19374053656676901</v>
      </c>
      <c r="Q6201">
        <v>9.7477662049821001E-2</v>
      </c>
      <c r="R6201">
        <v>0.98779236053557895</v>
      </c>
      <c r="S6201" t="s">
        <v>12817</v>
      </c>
      <c r="T6201" t="s">
        <v>13232</v>
      </c>
      <c r="U6201" t="s">
        <v>13232</v>
      </c>
      <c r="V6201" t="s">
        <v>13232</v>
      </c>
      <c r="W6201" t="s">
        <v>13622</v>
      </c>
      <c r="X6201">
        <v>47</v>
      </c>
      <c r="Y6201" t="s">
        <v>20161</v>
      </c>
      <c r="Z6201" t="s">
        <v>32332</v>
      </c>
      <c r="AA6201">
        <v>0.53380093775337545</v>
      </c>
      <c r="AB6201" t="str">
        <f>HYPERLINK("Melting_Curves/meltCurve_Q9UIA9_XPO7.pdf", "Melting_Curves/meltCurve_Q9UIA9_XPO7.pdf")</f>
        <v>Melting_Curves/meltCurve_Q9UIA9_XPO7.pdf</v>
      </c>
    </row>
    <row r="6202" spans="1:28" x14ac:dyDescent="0.25">
      <c r="A6202" t="s">
        <v>6205</v>
      </c>
      <c r="B6202">
        <v>0.99930955844802105</v>
      </c>
      <c r="C6202">
        <v>1.08519036534598</v>
      </c>
      <c r="D6202">
        <v>1.07760740659432</v>
      </c>
      <c r="E6202">
        <v>1.01923366746866</v>
      </c>
      <c r="F6202">
        <v>0.43812612195976802</v>
      </c>
      <c r="G6202">
        <v>0.199789938207105</v>
      </c>
      <c r="H6202">
        <v>0.114899196353157</v>
      </c>
      <c r="I6202">
        <v>8.7393840852753701E-2</v>
      </c>
      <c r="J6202">
        <v>6.4973876563952801E-2</v>
      </c>
      <c r="K6202">
        <v>5.0818446503551599E-2</v>
      </c>
      <c r="L6202">
        <v>13222.5201562026</v>
      </c>
      <c r="M6202">
        <v>250</v>
      </c>
      <c r="N6202">
        <v>52.939257016064701</v>
      </c>
      <c r="O6202">
        <v>52.886693392220998</v>
      </c>
      <c r="P6202">
        <v>-1.0593696244017099</v>
      </c>
      <c r="Q6202">
        <v>0.103575052400912</v>
      </c>
      <c r="R6202">
        <v>0.98619094158840903</v>
      </c>
      <c r="S6202" t="s">
        <v>12818</v>
      </c>
      <c r="T6202" t="s">
        <v>13232</v>
      </c>
      <c r="U6202" t="s">
        <v>13232</v>
      </c>
      <c r="V6202" t="s">
        <v>13232</v>
      </c>
      <c r="W6202" t="s">
        <v>19359</v>
      </c>
      <c r="X6202">
        <v>10</v>
      </c>
      <c r="Y6202" t="s">
        <v>25733</v>
      </c>
      <c r="Z6202" t="s">
        <v>32333</v>
      </c>
      <c r="AA6202">
        <v>0.4888245879896474</v>
      </c>
      <c r="AB6202" t="str">
        <f>HYPERLINK("Melting_Curves/meltCurve_Q9UIC8_LCMT1.pdf", "Melting_Curves/meltCurve_Q9UIC8_LCMT1.pdf")</f>
        <v>Melting_Curves/meltCurve_Q9UIC8_LCMT1.pdf</v>
      </c>
    </row>
    <row r="6203" spans="1:28" x14ac:dyDescent="0.25">
      <c r="A6203" t="s">
        <v>6206</v>
      </c>
      <c r="B6203">
        <v>0.99930955844802105</v>
      </c>
      <c r="C6203">
        <v>0.85890798547722602</v>
      </c>
      <c r="D6203">
        <v>0.82617145562796501</v>
      </c>
      <c r="E6203">
        <v>0.55743650487722496</v>
      </c>
      <c r="F6203">
        <v>0.209338757327029</v>
      </c>
      <c r="G6203">
        <v>0.128122923633854</v>
      </c>
      <c r="H6203">
        <v>7.2553919730080907E-2</v>
      </c>
      <c r="I6203">
        <v>6.0693817998146798E-2</v>
      </c>
      <c r="J6203">
        <v>5.4346001472268E-2</v>
      </c>
      <c r="K6203">
        <v>3.9150537182525598E-2</v>
      </c>
      <c r="L6203">
        <v>890.48517686450202</v>
      </c>
      <c r="M6203">
        <v>17.8979037014788</v>
      </c>
      <c r="N6203">
        <v>49.956907332142201</v>
      </c>
      <c r="O6203">
        <v>49.144959575293399</v>
      </c>
      <c r="P6203">
        <v>-8.7852996324036703E-2</v>
      </c>
      <c r="Q6203">
        <v>3.5124073467719098E-2</v>
      </c>
      <c r="R6203">
        <v>0.98779089886505</v>
      </c>
      <c r="S6203" t="s">
        <v>12819</v>
      </c>
      <c r="T6203" t="s">
        <v>13232</v>
      </c>
      <c r="U6203" t="s">
        <v>13232</v>
      </c>
      <c r="V6203" t="s">
        <v>13232</v>
      </c>
      <c r="W6203" t="s">
        <v>19360</v>
      </c>
      <c r="X6203">
        <v>24</v>
      </c>
      <c r="Y6203" t="s">
        <v>25734</v>
      </c>
      <c r="Z6203" t="s">
        <v>32334</v>
      </c>
      <c r="AA6203">
        <v>0.36551548719609511</v>
      </c>
      <c r="AB6203" t="str">
        <f>HYPERLINK("Melting_Curves/meltCurve_Q9UID3_VPS51.pdf", "Melting_Curves/meltCurve_Q9UID3_VPS51.pdf")</f>
        <v>Melting_Curves/meltCurve_Q9UID3_VPS51.pdf</v>
      </c>
    </row>
    <row r="6204" spans="1:28" x14ac:dyDescent="0.25">
      <c r="A6204" t="s">
        <v>6207</v>
      </c>
      <c r="B6204">
        <v>0.99930955844802105</v>
      </c>
      <c r="C6204">
        <v>0.81594499606748705</v>
      </c>
      <c r="D6204">
        <v>0.53704371906522996</v>
      </c>
      <c r="E6204">
        <v>0.32416589450599498</v>
      </c>
      <c r="F6204">
        <v>0.21806102482745099</v>
      </c>
      <c r="G6204">
        <v>0.17282450489720699</v>
      </c>
      <c r="H6204">
        <v>0.122390232838315</v>
      </c>
      <c r="I6204">
        <v>0.120734101026723</v>
      </c>
      <c r="J6204">
        <v>0.110400660535596</v>
      </c>
      <c r="K6204">
        <v>8.85513851716693E-2</v>
      </c>
      <c r="L6204">
        <v>788.53683877198</v>
      </c>
      <c r="M6204">
        <v>17.0604118574274</v>
      </c>
      <c r="N6204">
        <v>46.926940857154001</v>
      </c>
      <c r="O6204">
        <v>45.599241577282598</v>
      </c>
      <c r="P6204">
        <v>-8.2943795218188704E-2</v>
      </c>
      <c r="Q6204">
        <v>0.113281978819592</v>
      </c>
      <c r="R6204">
        <v>0.99282196077901896</v>
      </c>
      <c r="S6204" t="s">
        <v>12820</v>
      </c>
      <c r="T6204" t="s">
        <v>13232</v>
      </c>
      <c r="U6204" t="s">
        <v>13232</v>
      </c>
      <c r="V6204" t="s">
        <v>13232</v>
      </c>
      <c r="W6204" t="s">
        <v>19361</v>
      </c>
      <c r="X6204">
        <v>21</v>
      </c>
      <c r="Y6204" t="s">
        <v>25735</v>
      </c>
      <c r="Z6204" t="s">
        <v>32335</v>
      </c>
      <c r="AA6204">
        <v>0.3164262697561076</v>
      </c>
      <c r="AB6204" t="str">
        <f>HYPERLINK("Melting_Curves/meltCurve_Q9UIG0_2_BAZ1B.pdf", "Melting_Curves/meltCurve_Q9UIG0_2_BAZ1B.pdf")</f>
        <v>Melting_Curves/meltCurve_Q9UIG0_2_BAZ1B.pdf</v>
      </c>
    </row>
    <row r="6205" spans="1:28" x14ac:dyDescent="0.25">
      <c r="A6205" t="s">
        <v>6208</v>
      </c>
      <c r="B6205">
        <v>0.99930955844802105</v>
      </c>
      <c r="C6205">
        <v>1.59579890072084</v>
      </c>
      <c r="D6205">
        <v>1.34257177587688</v>
      </c>
      <c r="E6205">
        <v>1.2341057315988599</v>
      </c>
      <c r="F6205">
        <v>1.0410218428810001</v>
      </c>
      <c r="G6205">
        <v>1.03837065617215</v>
      </c>
      <c r="H6205">
        <v>1.49792854825104</v>
      </c>
      <c r="I6205">
        <v>1.7838942866804499</v>
      </c>
      <c r="J6205">
        <v>2.1637914060267902</v>
      </c>
      <c r="K6205">
        <v>1.41527814087487</v>
      </c>
      <c r="L6205">
        <v>335.59856163416401</v>
      </c>
      <c r="M6205">
        <v>7.6864893066737103</v>
      </c>
      <c r="O6205">
        <v>41.000333881310397</v>
      </c>
      <c r="P6205">
        <v>2.34649804922526E-2</v>
      </c>
      <c r="Q6205">
        <v>1.5</v>
      </c>
      <c r="R6205">
        <v>0.143411215705119</v>
      </c>
      <c r="S6205" t="s">
        <v>12821</v>
      </c>
      <c r="T6205" t="s">
        <v>13232</v>
      </c>
      <c r="U6205" t="s">
        <v>13232</v>
      </c>
      <c r="V6205" t="s">
        <v>13232</v>
      </c>
      <c r="W6205" t="s">
        <v>19362</v>
      </c>
      <c r="X6205">
        <v>10</v>
      </c>
      <c r="Y6205" t="s">
        <v>25736</v>
      </c>
      <c r="Z6205" t="s">
        <v>32336</v>
      </c>
      <c r="AA6205">
        <v>1.3821837290019641</v>
      </c>
      <c r="AB6205" t="str">
        <f>HYPERLINK("Melting_Curves/meltCurve_Q9UII2_ATPIF1.pdf", "Melting_Curves/meltCurve_Q9UII2_ATPIF1.pdf")</f>
        <v>Melting_Curves/meltCurve_Q9UII2_ATPIF1.pdf</v>
      </c>
    </row>
    <row r="6206" spans="1:28" x14ac:dyDescent="0.25">
      <c r="A6206" t="s">
        <v>6209</v>
      </c>
      <c r="B6206">
        <v>0.99930955844802105</v>
      </c>
      <c r="C6206">
        <v>1.0920878919044399</v>
      </c>
      <c r="D6206">
        <v>1.0380624510124601</v>
      </c>
      <c r="E6206">
        <v>0.861248147496956</v>
      </c>
      <c r="F6206">
        <v>0.72012673238659197</v>
      </c>
      <c r="G6206">
        <v>0.66299866654299699</v>
      </c>
      <c r="H6206">
        <v>0.55770645248751405</v>
      </c>
      <c r="I6206">
        <v>0.61162026693731297</v>
      </c>
      <c r="J6206">
        <v>0.569559074913775</v>
      </c>
      <c r="K6206">
        <v>0.43803405831883502</v>
      </c>
      <c r="L6206">
        <v>1004.69238634548</v>
      </c>
      <c r="M6206">
        <v>19.045741738722299</v>
      </c>
      <c r="O6206">
        <v>52.1803184930938</v>
      </c>
      <c r="P6206">
        <v>-4.2697445287212102E-2</v>
      </c>
      <c r="Q6206">
        <v>0.53209943698748097</v>
      </c>
      <c r="R6206">
        <v>0.93260846509497497</v>
      </c>
      <c r="S6206" t="s">
        <v>12822</v>
      </c>
      <c r="T6206" t="s">
        <v>13232</v>
      </c>
      <c r="U6206" t="s">
        <v>13232</v>
      </c>
      <c r="V6206" t="s">
        <v>13232</v>
      </c>
      <c r="W6206" t="s">
        <v>19363</v>
      </c>
      <c r="X6206">
        <v>2</v>
      </c>
      <c r="Y6206" t="s">
        <v>25737</v>
      </c>
      <c r="Z6206" t="s">
        <v>32337</v>
      </c>
      <c r="AA6206">
        <v>0.73799040039091679</v>
      </c>
      <c r="AB6206" t="str">
        <f>HYPERLINK("Melting_Curves/meltCurve_Q9UIL1_3_SCOC.pdf", "Melting_Curves/meltCurve_Q9UIL1_3_SCOC.pdf")</f>
        <v>Melting_Curves/meltCurve_Q9UIL1_3_SCOC.pdf</v>
      </c>
    </row>
    <row r="6207" spans="1:28" x14ac:dyDescent="0.25">
      <c r="A6207" t="s">
        <v>6210</v>
      </c>
      <c r="B6207">
        <v>0.99930955844802105</v>
      </c>
      <c r="C6207">
        <v>1.13993319084676</v>
      </c>
      <c r="D6207">
        <v>1.09519966472547</v>
      </c>
      <c r="E6207">
        <v>0.88727613069934597</v>
      </c>
      <c r="F6207">
        <v>0.52838993273353796</v>
      </c>
      <c r="G6207">
        <v>0.306248026883161</v>
      </c>
      <c r="H6207">
        <v>0.240601372338409</v>
      </c>
      <c r="I6207">
        <v>0.231087899252641</v>
      </c>
      <c r="J6207">
        <v>0.21249309102297001</v>
      </c>
      <c r="K6207">
        <v>0.17591773893031101</v>
      </c>
      <c r="L6207">
        <v>1823.29048725752</v>
      </c>
      <c r="M6207">
        <v>34.743539011547199</v>
      </c>
      <c r="N6207">
        <v>53.371019888333699</v>
      </c>
      <c r="O6207">
        <v>52.305607655143397</v>
      </c>
      <c r="P6207">
        <v>-0.129473430444564</v>
      </c>
      <c r="Q6207">
        <v>0.22032565476086399</v>
      </c>
      <c r="R6207">
        <v>0.97671535964398504</v>
      </c>
      <c r="S6207" t="s">
        <v>12823</v>
      </c>
      <c r="T6207" t="s">
        <v>13232</v>
      </c>
      <c r="U6207" t="s">
        <v>13232</v>
      </c>
      <c r="V6207" t="s">
        <v>13232</v>
      </c>
      <c r="W6207" t="s">
        <v>19364</v>
      </c>
      <c r="X6207">
        <v>15</v>
      </c>
      <c r="Y6207" t="s">
        <v>25738</v>
      </c>
      <c r="Z6207" t="s">
        <v>32338</v>
      </c>
      <c r="AA6207">
        <v>0.54838099112472827</v>
      </c>
      <c r="AB6207" t="str">
        <f>HYPERLINK("Melting_Curves/meltCurve_Q9UIM3_FKBPL.pdf", "Melting_Curves/meltCurve_Q9UIM3_FKBPL.pdf")</f>
        <v>Melting_Curves/meltCurve_Q9UIM3_FKBPL.pdf</v>
      </c>
    </row>
    <row r="6208" spans="1:28" x14ac:dyDescent="0.25">
      <c r="A6208" t="s">
        <v>6211</v>
      </c>
      <c r="B6208">
        <v>0.99930955844802105</v>
      </c>
      <c r="C6208">
        <v>1.1009605809527201</v>
      </c>
      <c r="D6208">
        <v>1.0908068632688199</v>
      </c>
      <c r="E6208">
        <v>1.0881518719835199</v>
      </c>
      <c r="F6208">
        <v>0.89738893153465804</v>
      </c>
      <c r="G6208">
        <v>0.43187244734922697</v>
      </c>
      <c r="H6208">
        <v>0.359601054122416</v>
      </c>
      <c r="I6208">
        <v>0.35068583447990898</v>
      </c>
      <c r="J6208">
        <v>0.29350143733968198</v>
      </c>
      <c r="K6208">
        <v>0.25385781308384298</v>
      </c>
      <c r="L6208">
        <v>2556.34932731053</v>
      </c>
      <c r="M6208">
        <v>46.383191316584401</v>
      </c>
      <c r="N6208">
        <v>56.298126560494801</v>
      </c>
      <c r="O6208">
        <v>55.011549280428099</v>
      </c>
      <c r="P6208">
        <v>-0.145115054229563</v>
      </c>
      <c r="Q6208">
        <v>0.31156143302942102</v>
      </c>
      <c r="R6208">
        <v>0.97302163877116798</v>
      </c>
      <c r="S6208" t="s">
        <v>12824</v>
      </c>
      <c r="T6208" t="s">
        <v>13232</v>
      </c>
      <c r="U6208" t="s">
        <v>13232</v>
      </c>
      <c r="V6208" t="s">
        <v>13232</v>
      </c>
      <c r="W6208" t="s">
        <v>19365</v>
      </c>
      <c r="X6208">
        <v>2</v>
      </c>
      <c r="Y6208" t="s">
        <v>25739</v>
      </c>
      <c r="Z6208" t="s">
        <v>32339</v>
      </c>
      <c r="AA6208">
        <v>0.66033411747037962</v>
      </c>
      <c r="AB6208" t="str">
        <f>HYPERLINK("Melting_Curves/meltCurve_Q9UIQ6_3_LNPEP.pdf", "Melting_Curves/meltCurve_Q9UIQ6_3_LNPEP.pdf")</f>
        <v>Melting_Curves/meltCurve_Q9UIQ6_3_LNPEP.pdf</v>
      </c>
    </row>
    <row r="6209" spans="1:28" x14ac:dyDescent="0.25">
      <c r="A6209" t="s">
        <v>6212</v>
      </c>
      <c r="B6209">
        <v>0.99930955844802105</v>
      </c>
      <c r="C6209">
        <v>1.0511963485470901</v>
      </c>
      <c r="D6209">
        <v>1.1258423184494799</v>
      </c>
      <c r="E6209">
        <v>1.0080846048616401</v>
      </c>
      <c r="F6209">
        <v>0.877966490877227</v>
      </c>
      <c r="G6209">
        <v>0.83406637284852903</v>
      </c>
      <c r="H6209">
        <v>0.804832410584439</v>
      </c>
      <c r="I6209">
        <v>0.82736974302424904</v>
      </c>
      <c r="J6209">
        <v>0.81927661160772702</v>
      </c>
      <c r="K6209">
        <v>0.65316183753314405</v>
      </c>
      <c r="S6209" t="s">
        <v>12825</v>
      </c>
      <c r="T6209" t="s">
        <v>13232</v>
      </c>
      <c r="U6209" t="s">
        <v>13233</v>
      </c>
      <c r="V6209" t="s">
        <v>13232</v>
      </c>
      <c r="W6209" t="s">
        <v>19366</v>
      </c>
      <c r="X6209">
        <v>4</v>
      </c>
      <c r="Y6209" t="s">
        <v>25740</v>
      </c>
      <c r="Z6209" t="s">
        <v>32340</v>
      </c>
      <c r="AB6209" t="str">
        <f>HYPERLINK("Melting_Curves/meltCurve_Q9UIU6_SIX4.pdf", "Melting_Curves/meltCurve_Q9UIU6_SIX4.pdf")</f>
        <v>Melting_Curves/meltCurve_Q9UIU6_SIX4.pdf</v>
      </c>
    </row>
    <row r="6210" spans="1:28" x14ac:dyDescent="0.25">
      <c r="A6210" t="s">
        <v>6213</v>
      </c>
      <c r="B6210">
        <v>0.99930955844802105</v>
      </c>
      <c r="C6210">
        <v>0.78797170053978205</v>
      </c>
      <c r="D6210">
        <v>0.79529142039666301</v>
      </c>
      <c r="E6210">
        <v>0.81841133846900305</v>
      </c>
      <c r="F6210">
        <v>0.55842957676357097</v>
      </c>
      <c r="G6210">
        <v>0.29020174374688401</v>
      </c>
      <c r="H6210">
        <v>0.16825078473993199</v>
      </c>
      <c r="I6210">
        <v>0.150150115682539</v>
      </c>
      <c r="J6210">
        <v>0.12726145955247301</v>
      </c>
      <c r="K6210">
        <v>9.1475595681967004E-2</v>
      </c>
      <c r="L6210">
        <v>574.87203457816497</v>
      </c>
      <c r="M6210">
        <v>10.7101752682672</v>
      </c>
      <c r="N6210">
        <v>53.675314769694999</v>
      </c>
      <c r="O6210">
        <v>51.905576974126802</v>
      </c>
      <c r="P6210">
        <v>-5.1604183710617001E-2</v>
      </c>
      <c r="Q6210">
        <v>0</v>
      </c>
      <c r="R6210">
        <v>0.95405973134204503</v>
      </c>
      <c r="S6210" t="s">
        <v>12826</v>
      </c>
      <c r="T6210" t="s">
        <v>13232</v>
      </c>
      <c r="U6210" t="s">
        <v>13232</v>
      </c>
      <c r="V6210" t="s">
        <v>13232</v>
      </c>
      <c r="W6210" t="s">
        <v>19367</v>
      </c>
      <c r="X6210">
        <v>7</v>
      </c>
      <c r="Y6210" t="s">
        <v>25741</v>
      </c>
      <c r="Z6210" t="s">
        <v>32341</v>
      </c>
      <c r="AA6210">
        <v>0.48570555544631888</v>
      </c>
      <c r="AB6210" t="str">
        <f>HYPERLINK("Melting_Curves/meltCurve_Q9UIV1_CNOT7.pdf", "Melting_Curves/meltCurve_Q9UIV1_CNOT7.pdf")</f>
        <v>Melting_Curves/meltCurve_Q9UIV1_CNOT7.pdf</v>
      </c>
    </row>
    <row r="6211" spans="1:28" x14ac:dyDescent="0.25">
      <c r="A6211" t="s">
        <v>6214</v>
      </c>
      <c r="B6211">
        <v>0.99930955844802105</v>
      </c>
      <c r="C6211">
        <v>1.10347860008621</v>
      </c>
      <c r="D6211">
        <v>1.12304217464043</v>
      </c>
      <c r="E6211">
        <v>1.07093300382646</v>
      </c>
      <c r="F6211">
        <v>0.90726229071286701</v>
      </c>
      <c r="G6211">
        <v>1.0488190110145099</v>
      </c>
      <c r="H6211">
        <v>1.0057049921147501</v>
      </c>
      <c r="I6211">
        <v>1.1396284084243999</v>
      </c>
      <c r="J6211">
        <v>1.1055417892975099</v>
      </c>
      <c r="K6211">
        <v>0.98342198115900603</v>
      </c>
      <c r="L6211">
        <v>1.0000000000000001E-5</v>
      </c>
      <c r="M6211">
        <v>1.0000000000000001E-5</v>
      </c>
      <c r="Q6211">
        <v>1.09742788239287</v>
      </c>
      <c r="R6211">
        <v>-6.4994787329908397E-10</v>
      </c>
      <c r="S6211" t="s">
        <v>12827</v>
      </c>
      <c r="T6211" t="s">
        <v>13232</v>
      </c>
      <c r="U6211" t="s">
        <v>13232</v>
      </c>
      <c r="V6211" t="s">
        <v>13232</v>
      </c>
      <c r="W6211" t="s">
        <v>19368</v>
      </c>
      <c r="X6211">
        <v>1</v>
      </c>
      <c r="Y6211" t="s">
        <v>25742</v>
      </c>
      <c r="Z6211" t="s">
        <v>32342</v>
      </c>
      <c r="AA6211">
        <v>1.0487141802226261</v>
      </c>
      <c r="AB6211" t="str">
        <f>HYPERLINK("Melting_Curves/meltCurve_Q9UJ04_TSPYL4.pdf", "Melting_Curves/meltCurve_Q9UJ04_TSPYL4.pdf")</f>
        <v>Melting_Curves/meltCurve_Q9UJ04_TSPYL4.pdf</v>
      </c>
    </row>
    <row r="6212" spans="1:28" x14ac:dyDescent="0.25">
      <c r="A6212" t="s">
        <v>6215</v>
      </c>
      <c r="B6212">
        <v>0.99930955844802105</v>
      </c>
      <c r="C6212">
        <v>1.0594105724026199</v>
      </c>
      <c r="D6212">
        <v>0.98076168076379699</v>
      </c>
      <c r="E6212">
        <v>0.90175206238537897</v>
      </c>
      <c r="F6212">
        <v>0.69796937867001196</v>
      </c>
      <c r="G6212">
        <v>0.33372512292714002</v>
      </c>
      <c r="H6212">
        <v>0.16370854578599001</v>
      </c>
      <c r="I6212">
        <v>0.12635002941405599</v>
      </c>
      <c r="J6212">
        <v>0.11606584375526099</v>
      </c>
      <c r="K6212">
        <v>8.7088934900482404E-2</v>
      </c>
      <c r="L6212">
        <v>1280.1160166606501</v>
      </c>
      <c r="M6212">
        <v>23.4714777668427</v>
      </c>
      <c r="N6212">
        <v>55.0314070086038</v>
      </c>
      <c r="O6212">
        <v>54.1479501012236</v>
      </c>
      <c r="P6212">
        <v>-9.8109170345268906E-2</v>
      </c>
      <c r="Q6212">
        <v>9.4676745638167498E-2</v>
      </c>
      <c r="R6212">
        <v>0.99740874747411301</v>
      </c>
      <c r="S6212" t="s">
        <v>12828</v>
      </c>
      <c r="T6212" t="s">
        <v>13232</v>
      </c>
      <c r="U6212" t="s">
        <v>13232</v>
      </c>
      <c r="V6212" t="s">
        <v>13232</v>
      </c>
      <c r="W6212" t="s">
        <v>19369</v>
      </c>
      <c r="X6212">
        <v>20</v>
      </c>
      <c r="Y6212" t="s">
        <v>25743</v>
      </c>
      <c r="Z6212" t="s">
        <v>32343</v>
      </c>
      <c r="AA6212">
        <v>0.54279932348829396</v>
      </c>
      <c r="AB6212" t="str">
        <f>HYPERLINK("Melting_Curves/meltCurve_Q9UJ41_2_RABGEF1.pdf", "Melting_Curves/meltCurve_Q9UJ41_2_RABGEF1.pdf")</f>
        <v>Melting_Curves/meltCurve_Q9UJ41_2_RABGEF1.pdf</v>
      </c>
    </row>
    <row r="6213" spans="1:28" x14ac:dyDescent="0.25">
      <c r="A6213" t="s">
        <v>6216</v>
      </c>
      <c r="B6213">
        <v>0.99930955844802105</v>
      </c>
      <c r="C6213">
        <v>1.2898867864177299</v>
      </c>
      <c r="D6213">
        <v>0.717072095900121</v>
      </c>
      <c r="E6213">
        <v>0.42016815537086399</v>
      </c>
      <c r="F6213">
        <v>0.21912232927577799</v>
      </c>
      <c r="G6213">
        <v>0.152616535113658</v>
      </c>
      <c r="H6213">
        <v>0.103894545777042</v>
      </c>
      <c r="I6213">
        <v>0.105152243635146</v>
      </c>
      <c r="J6213">
        <v>9.8285261527637696E-2</v>
      </c>
      <c r="K6213">
        <v>7.1194365359011802E-2</v>
      </c>
      <c r="L6213">
        <v>1241.3704930357201</v>
      </c>
      <c r="M6213">
        <v>25.545135941807999</v>
      </c>
      <c r="N6213">
        <v>49.045776101093303</v>
      </c>
      <c r="O6213">
        <v>48.3003088671949</v>
      </c>
      <c r="P6213">
        <v>-0.118392637306935</v>
      </c>
      <c r="Q6213">
        <v>0.104591857432782</v>
      </c>
      <c r="R6213">
        <v>0.93179058026406203</v>
      </c>
      <c r="S6213" t="s">
        <v>12829</v>
      </c>
      <c r="T6213" t="s">
        <v>13232</v>
      </c>
      <c r="U6213" t="s">
        <v>13232</v>
      </c>
      <c r="V6213" t="s">
        <v>13232</v>
      </c>
      <c r="W6213" t="s">
        <v>19370</v>
      </c>
      <c r="X6213">
        <v>5</v>
      </c>
      <c r="Y6213" t="s">
        <v>25744</v>
      </c>
      <c r="Z6213" t="s">
        <v>32344</v>
      </c>
      <c r="AA6213">
        <v>0.36870193828869868</v>
      </c>
      <c r="AB6213" t="str">
        <f>HYPERLINK("Melting_Curves/meltCurve_Q9UJ68_2_MSRA.pdf", "Melting_Curves/meltCurve_Q9UJ68_2_MSRA.pdf")</f>
        <v>Melting_Curves/meltCurve_Q9UJ68_2_MSRA.pdf</v>
      </c>
    </row>
    <row r="6214" spans="1:28" x14ac:dyDescent="0.25">
      <c r="A6214" t="s">
        <v>6217</v>
      </c>
      <c r="B6214">
        <v>0.99930955844802105</v>
      </c>
      <c r="C6214">
        <v>1.0114538387307701</v>
      </c>
      <c r="D6214">
        <v>0.99695496354424895</v>
      </c>
      <c r="E6214">
        <v>0.93980151238542398</v>
      </c>
      <c r="F6214">
        <v>0.83179327835855199</v>
      </c>
      <c r="G6214">
        <v>0.53089534151086004</v>
      </c>
      <c r="H6214">
        <v>0.20470407536981899</v>
      </c>
      <c r="I6214">
        <v>0.129913882659488</v>
      </c>
      <c r="J6214">
        <v>0.109418735589455</v>
      </c>
      <c r="K6214">
        <v>8.3401889040787505E-2</v>
      </c>
      <c r="L6214">
        <v>1271.3743652512901</v>
      </c>
      <c r="M6214">
        <v>22.407676007446099</v>
      </c>
      <c r="N6214">
        <v>57.106011293276403</v>
      </c>
      <c r="O6214">
        <v>56.292247321521799</v>
      </c>
      <c r="P6214">
        <v>-9.2832172850330893E-2</v>
      </c>
      <c r="Q6214">
        <v>6.7172663361870805E-2</v>
      </c>
      <c r="R6214">
        <v>0.99887469703524301</v>
      </c>
      <c r="S6214" t="s">
        <v>12830</v>
      </c>
      <c r="T6214" t="s">
        <v>13232</v>
      </c>
      <c r="U6214" t="s">
        <v>13232</v>
      </c>
      <c r="V6214" t="s">
        <v>13232</v>
      </c>
      <c r="W6214" t="s">
        <v>19371</v>
      </c>
      <c r="X6214">
        <v>15</v>
      </c>
      <c r="Y6214" t="s">
        <v>25745</v>
      </c>
      <c r="Z6214" t="s">
        <v>32345</v>
      </c>
      <c r="AA6214">
        <v>0.597607101512594</v>
      </c>
      <c r="AB6214" t="str">
        <f>HYPERLINK("Melting_Curves/meltCurve_Q9UJ70_NAGK.pdf", "Melting_Curves/meltCurve_Q9UJ70_NAGK.pdf")</f>
        <v>Melting_Curves/meltCurve_Q9UJ70_NAGK.pdf</v>
      </c>
    </row>
    <row r="6215" spans="1:28" x14ac:dyDescent="0.25">
      <c r="A6215" t="s">
        <v>6218</v>
      </c>
      <c r="B6215">
        <v>0.99930955844802105</v>
      </c>
      <c r="C6215">
        <v>0.83055699433312802</v>
      </c>
      <c r="D6215">
        <v>0.88496683397778697</v>
      </c>
      <c r="E6215">
        <v>0.95722757223019606</v>
      </c>
      <c r="F6215">
        <v>1.0092930391216299</v>
      </c>
      <c r="G6215">
        <v>0.65528334777981001</v>
      </c>
      <c r="H6215">
        <v>0.20447200476403199</v>
      </c>
      <c r="I6215">
        <v>0.13008188546859001</v>
      </c>
      <c r="J6215">
        <v>0.110679874193106</v>
      </c>
      <c r="K6215">
        <v>8.7975160083593601E-2</v>
      </c>
      <c r="L6215">
        <v>2295.0998949367599</v>
      </c>
      <c r="M6215">
        <v>39.7615742744266</v>
      </c>
      <c r="N6215">
        <v>58.059992371092697</v>
      </c>
      <c r="O6215">
        <v>57.576143857671497</v>
      </c>
      <c r="P6215">
        <v>-0.15478992729065999</v>
      </c>
      <c r="Q6215">
        <v>0.103437331375446</v>
      </c>
      <c r="R6215">
        <v>0.96920602080876295</v>
      </c>
      <c r="S6215" t="s">
        <v>12831</v>
      </c>
      <c r="T6215" t="s">
        <v>13232</v>
      </c>
      <c r="U6215" t="s">
        <v>13232</v>
      </c>
      <c r="V6215" t="s">
        <v>13232</v>
      </c>
      <c r="W6215" t="s">
        <v>19372</v>
      </c>
      <c r="X6215">
        <v>14</v>
      </c>
      <c r="Y6215" t="s">
        <v>25746</v>
      </c>
      <c r="Z6215" t="s">
        <v>32346</v>
      </c>
      <c r="AA6215">
        <v>0.63661144060848707</v>
      </c>
      <c r="AB6215" t="str">
        <f>HYPERLINK("Melting_Curves/meltCurve_Q9UJA5_TRMT6.pdf", "Melting_Curves/meltCurve_Q9UJA5_TRMT6.pdf")</f>
        <v>Melting_Curves/meltCurve_Q9UJA5_TRMT6.pdf</v>
      </c>
    </row>
    <row r="6216" spans="1:28" x14ac:dyDescent="0.25">
      <c r="A6216" t="s">
        <v>6219</v>
      </c>
      <c r="B6216">
        <v>0.99930955844802105</v>
      </c>
      <c r="C6216">
        <v>1.0147597359257301</v>
      </c>
      <c r="D6216">
        <v>1.06921690043318</v>
      </c>
      <c r="E6216">
        <v>1.0795993614649699</v>
      </c>
      <c r="F6216">
        <v>0.856123617931281</v>
      </c>
      <c r="G6216">
        <v>0.58299575318899699</v>
      </c>
      <c r="H6216">
        <v>0.28335123553085101</v>
      </c>
      <c r="I6216">
        <v>0.14138354844601</v>
      </c>
      <c r="J6216">
        <v>9.3118110747991797E-2</v>
      </c>
      <c r="K6216">
        <v>8.1616386392561899E-2</v>
      </c>
      <c r="L6216">
        <v>1364.93956562467</v>
      </c>
      <c r="M6216">
        <v>23.703014066700302</v>
      </c>
      <c r="N6216">
        <v>57.940656892606</v>
      </c>
      <c r="O6216">
        <v>57.179882442368402</v>
      </c>
      <c r="P6216">
        <v>-9.6619857853710203E-2</v>
      </c>
      <c r="Q6216">
        <v>6.7693191586845503E-2</v>
      </c>
      <c r="R6216">
        <v>0.98915111964929703</v>
      </c>
      <c r="S6216" t="s">
        <v>12832</v>
      </c>
      <c r="T6216" t="s">
        <v>13232</v>
      </c>
      <c r="U6216" t="s">
        <v>13232</v>
      </c>
      <c r="V6216" t="s">
        <v>13232</v>
      </c>
      <c r="W6216" t="s">
        <v>19373</v>
      </c>
      <c r="X6216">
        <v>4</v>
      </c>
      <c r="Y6216" t="s">
        <v>25747</v>
      </c>
      <c r="Z6216" t="s">
        <v>32347</v>
      </c>
      <c r="AA6216">
        <v>0.62307795476307126</v>
      </c>
      <c r="AB6216" t="str">
        <f>HYPERLINK("Melting_Curves/meltCurve_Q9UJC5_SH3BGRL2.pdf", "Melting_Curves/meltCurve_Q9UJC5_SH3BGRL2.pdf")</f>
        <v>Melting_Curves/meltCurve_Q9UJC5_SH3BGRL2.pdf</v>
      </c>
    </row>
    <row r="6217" spans="1:28" x14ac:dyDescent="0.25">
      <c r="A6217" t="s">
        <v>6220</v>
      </c>
      <c r="B6217">
        <v>0.99930955844802105</v>
      </c>
      <c r="C6217">
        <v>1.1359772657095599</v>
      </c>
      <c r="D6217">
        <v>1.0760460844861099</v>
      </c>
      <c r="E6217">
        <v>1.02031224444935</v>
      </c>
      <c r="F6217">
        <v>0.53791024987962699</v>
      </c>
      <c r="G6217">
        <v>0.84984270737593803</v>
      </c>
      <c r="H6217">
        <v>0.98616482424362495</v>
      </c>
      <c r="I6217">
        <v>1.13654595199542</v>
      </c>
      <c r="J6217">
        <v>1.18401020337767</v>
      </c>
      <c r="K6217">
        <v>0.91519349209559298</v>
      </c>
      <c r="L6217">
        <v>1850.8031533061301</v>
      </c>
      <c r="M6217">
        <v>29.9034851785756</v>
      </c>
      <c r="O6217">
        <v>61.6177472548395</v>
      </c>
      <c r="P6217">
        <v>7.9426405050723407E-3</v>
      </c>
      <c r="Q6217">
        <v>1.0654645273834999</v>
      </c>
      <c r="R6217">
        <v>2.6937320349575501E-2</v>
      </c>
      <c r="S6217" t="s">
        <v>12833</v>
      </c>
      <c r="T6217" t="s">
        <v>13232</v>
      </c>
      <c r="U6217" t="s">
        <v>13232</v>
      </c>
      <c r="V6217" t="s">
        <v>13232</v>
      </c>
      <c r="W6217" t="s">
        <v>19374</v>
      </c>
      <c r="X6217">
        <v>7</v>
      </c>
      <c r="Y6217" t="s">
        <v>25748</v>
      </c>
      <c r="Z6217" t="s">
        <v>32348</v>
      </c>
      <c r="AA6217">
        <v>1.017380411900745</v>
      </c>
      <c r="AB6217" t="str">
        <f>HYPERLINK("Melting_Curves/meltCurve_Q9UJJ2_ZNF280C.pdf", "Melting_Curves/meltCurve_Q9UJJ2_ZNF280C.pdf")</f>
        <v>Melting_Curves/meltCurve_Q9UJJ2_ZNF280C.pdf</v>
      </c>
    </row>
    <row r="6218" spans="1:28" x14ac:dyDescent="0.25">
      <c r="A6218" t="s">
        <v>6221</v>
      </c>
      <c r="B6218">
        <v>0.99930955844802105</v>
      </c>
      <c r="C6218">
        <v>1.08884004818973</v>
      </c>
      <c r="D6218">
        <v>1.1154844218520099</v>
      </c>
      <c r="E6218">
        <v>0.98863037222255801</v>
      </c>
      <c r="F6218">
        <v>0.91372090396780703</v>
      </c>
      <c r="G6218">
        <v>0.64014137792688297</v>
      </c>
      <c r="H6218">
        <v>0.38454186689042302</v>
      </c>
      <c r="I6218">
        <v>0.35357896668121302</v>
      </c>
      <c r="J6218">
        <v>0.299703947538978</v>
      </c>
      <c r="K6218">
        <v>0.22419620569547699</v>
      </c>
      <c r="L6218">
        <v>1392.69805774154</v>
      </c>
      <c r="M6218">
        <v>24.328424621413799</v>
      </c>
      <c r="N6218">
        <v>59.027927125125998</v>
      </c>
      <c r="O6218">
        <v>56.863137899433603</v>
      </c>
      <c r="P6218">
        <v>-7.9137253491634807E-2</v>
      </c>
      <c r="Q6218">
        <v>0.26013702718242798</v>
      </c>
      <c r="R6218">
        <v>0.97738575673514905</v>
      </c>
      <c r="S6218" t="s">
        <v>12834</v>
      </c>
      <c r="T6218" t="s">
        <v>13232</v>
      </c>
      <c r="U6218" t="s">
        <v>13232</v>
      </c>
      <c r="V6218" t="s">
        <v>13232</v>
      </c>
      <c r="W6218" t="s">
        <v>19375</v>
      </c>
      <c r="X6218">
        <v>6</v>
      </c>
      <c r="Y6218" t="s">
        <v>25749</v>
      </c>
      <c r="Z6218" t="s">
        <v>32349</v>
      </c>
      <c r="AA6218">
        <v>0.69234646518189702</v>
      </c>
      <c r="AB6218" t="str">
        <f>HYPERLINK("Melting_Curves/meltCurve_Q9UJK0_TSR3.pdf", "Melting_Curves/meltCurve_Q9UJK0_TSR3.pdf")</f>
        <v>Melting_Curves/meltCurve_Q9UJK0_TSR3.pdf</v>
      </c>
    </row>
    <row r="6219" spans="1:28" x14ac:dyDescent="0.25">
      <c r="A6219" t="s">
        <v>6222</v>
      </c>
      <c r="B6219">
        <v>0.99930955844802105</v>
      </c>
      <c r="C6219">
        <v>1.17719240449161</v>
      </c>
      <c r="D6219">
        <v>1.0591536012743099</v>
      </c>
      <c r="E6219">
        <v>0.96227302247183399</v>
      </c>
      <c r="F6219">
        <v>1.1847250467480099</v>
      </c>
      <c r="G6219">
        <v>0.98705414761351595</v>
      </c>
      <c r="H6219">
        <v>1.437014257068</v>
      </c>
      <c r="I6219">
        <v>1.66336837080894</v>
      </c>
      <c r="J6219">
        <v>1.87535113738228</v>
      </c>
      <c r="K6219">
        <v>1.30098670559826</v>
      </c>
      <c r="L6219">
        <v>15000</v>
      </c>
      <c r="M6219">
        <v>247.83873461543999</v>
      </c>
      <c r="O6219">
        <v>60.519285667655801</v>
      </c>
      <c r="P6219">
        <v>0.51190031907425304</v>
      </c>
      <c r="Q6219">
        <v>1.5</v>
      </c>
      <c r="R6219">
        <v>0.67627625293252402</v>
      </c>
      <c r="S6219" t="s">
        <v>12835</v>
      </c>
      <c r="T6219" t="s">
        <v>13232</v>
      </c>
      <c r="U6219" t="s">
        <v>13232</v>
      </c>
      <c r="V6219" t="s">
        <v>13232</v>
      </c>
      <c r="W6219" t="s">
        <v>19376</v>
      </c>
      <c r="X6219">
        <v>2</v>
      </c>
      <c r="Y6219" t="s">
        <v>25750</v>
      </c>
      <c r="Z6219" t="s">
        <v>32350</v>
      </c>
      <c r="AA6219">
        <v>1.157892177126582</v>
      </c>
      <c r="AB6219" t="str">
        <f>HYPERLINK("Melting_Curves/meltCurve_Q9UJM3_ERRFI1.pdf", "Melting_Curves/meltCurve_Q9UJM3_ERRFI1.pdf")</f>
        <v>Melting_Curves/meltCurve_Q9UJM3_ERRFI1.pdf</v>
      </c>
    </row>
    <row r="6220" spans="1:28" x14ac:dyDescent="0.25">
      <c r="A6220" t="s">
        <v>6223</v>
      </c>
      <c r="B6220">
        <v>0.99930955844802105</v>
      </c>
      <c r="C6220">
        <v>0.92495161115943703</v>
      </c>
      <c r="D6220">
        <v>0.91578911019460196</v>
      </c>
      <c r="E6220">
        <v>1.0576799325708499</v>
      </c>
      <c r="F6220">
        <v>0.94163201675944097</v>
      </c>
      <c r="G6220">
        <v>0.82461976150774796</v>
      </c>
      <c r="H6220">
        <v>0.95142405839777699</v>
      </c>
      <c r="I6220">
        <v>1.10340153355149</v>
      </c>
      <c r="J6220">
        <v>0.96968143019044595</v>
      </c>
      <c r="K6220">
        <v>0.76024219593647602</v>
      </c>
      <c r="L6220">
        <v>171.43417046600899</v>
      </c>
      <c r="M6220">
        <v>0.18963073319677301</v>
      </c>
      <c r="O6220">
        <v>69.676120387718996</v>
      </c>
      <c r="P6220">
        <v>-2.9950026028446402E-3</v>
      </c>
      <c r="Q6220">
        <v>0</v>
      </c>
      <c r="R6220">
        <v>5.15788685604135E-2</v>
      </c>
      <c r="S6220" t="s">
        <v>12836</v>
      </c>
      <c r="T6220" t="s">
        <v>13232</v>
      </c>
      <c r="U6220" t="s">
        <v>13232</v>
      </c>
      <c r="V6220" t="s">
        <v>13232</v>
      </c>
      <c r="W6220" t="s">
        <v>19377</v>
      </c>
      <c r="X6220">
        <v>3</v>
      </c>
      <c r="Y6220" t="s">
        <v>25751</v>
      </c>
      <c r="Z6220" t="s">
        <v>32351</v>
      </c>
      <c r="AA6220">
        <v>0.94765731228489014</v>
      </c>
      <c r="AB6220" t="str">
        <f>HYPERLINK("Melting_Curves/meltCurve_Q9UJN7_ZNF391.pdf", "Melting_Curves/meltCurve_Q9UJN7_ZNF391.pdf")</f>
        <v>Melting_Curves/meltCurve_Q9UJN7_ZNF391.pdf</v>
      </c>
    </row>
    <row r="6221" spans="1:28" x14ac:dyDescent="0.25">
      <c r="A6221" t="s">
        <v>6224</v>
      </c>
      <c r="B6221">
        <v>0.99930955844802105</v>
      </c>
      <c r="C6221">
        <v>0.88867570698118503</v>
      </c>
      <c r="D6221">
        <v>0.86903414559279402</v>
      </c>
      <c r="E6221">
        <v>0.79627045776073402</v>
      </c>
      <c r="F6221">
        <v>0.59679758287798601</v>
      </c>
      <c r="G6221">
        <v>0.27191116383796299</v>
      </c>
      <c r="H6221">
        <v>0.109650906942471</v>
      </c>
      <c r="I6221">
        <v>8.8053618118678206E-2</v>
      </c>
      <c r="J6221">
        <v>6.3253978219505694E-2</v>
      </c>
      <c r="K6221">
        <v>5.4764006393659199E-2</v>
      </c>
      <c r="L6221">
        <v>835.34358319025603</v>
      </c>
      <c r="M6221">
        <v>15.532771592311001</v>
      </c>
      <c r="N6221">
        <v>53.838176611837198</v>
      </c>
      <c r="O6221">
        <v>52.911690368805601</v>
      </c>
      <c r="P6221">
        <v>-7.27797888468001E-2</v>
      </c>
      <c r="Q6221">
        <v>8.4030086206775701E-3</v>
      </c>
      <c r="R6221">
        <v>0.98748296193928098</v>
      </c>
      <c r="S6221" t="s">
        <v>12837</v>
      </c>
      <c r="T6221" t="s">
        <v>13232</v>
      </c>
      <c r="U6221" t="s">
        <v>13232</v>
      </c>
      <c r="V6221" t="s">
        <v>13232</v>
      </c>
      <c r="W6221" t="s">
        <v>19378</v>
      </c>
      <c r="X6221">
        <v>3</v>
      </c>
      <c r="Y6221" t="s">
        <v>25752</v>
      </c>
      <c r="Z6221" t="s">
        <v>32352</v>
      </c>
      <c r="AA6221">
        <v>0.48352734773038841</v>
      </c>
      <c r="AB6221" t="str">
        <f>HYPERLINK("Melting_Curves/meltCurve_Q9UJT0_TUBE1.pdf", "Melting_Curves/meltCurve_Q9UJT0_TUBE1.pdf")</f>
        <v>Melting_Curves/meltCurve_Q9UJT0_TUBE1.pdf</v>
      </c>
    </row>
    <row r="6222" spans="1:28" x14ac:dyDescent="0.25">
      <c r="A6222" t="s">
        <v>6225</v>
      </c>
      <c r="B6222">
        <v>0.99930955844802105</v>
      </c>
      <c r="C6222">
        <v>0.91190826503271305</v>
      </c>
      <c r="D6222">
        <v>0.80803949872798098</v>
      </c>
      <c r="E6222">
        <v>0.67896608867973995</v>
      </c>
      <c r="F6222">
        <v>0.57376429098628201</v>
      </c>
      <c r="G6222">
        <v>0.34844352213823199</v>
      </c>
      <c r="H6222">
        <v>0.17614699353181301</v>
      </c>
      <c r="I6222">
        <v>9.1191476879893305E-2</v>
      </c>
      <c r="J6222">
        <v>9.4384079210173596E-2</v>
      </c>
      <c r="K6222">
        <v>5.3778795190987001E-2</v>
      </c>
      <c r="L6222">
        <v>599.468769920206</v>
      </c>
      <c r="M6222">
        <v>11.2251912302207</v>
      </c>
      <c r="N6222">
        <v>53.403879351776403</v>
      </c>
      <c r="O6222">
        <v>51.793146753759899</v>
      </c>
      <c r="P6222">
        <v>-5.4199708725616497E-2</v>
      </c>
      <c r="Q6222">
        <v>0</v>
      </c>
      <c r="R6222">
        <v>0.99211781128702603</v>
      </c>
      <c r="S6222" t="s">
        <v>12838</v>
      </c>
      <c r="T6222" t="s">
        <v>13232</v>
      </c>
      <c r="U6222" t="s">
        <v>13232</v>
      </c>
      <c r="V6222" t="s">
        <v>13232</v>
      </c>
      <c r="W6222" t="s">
        <v>19379</v>
      </c>
      <c r="X6222">
        <v>2</v>
      </c>
      <c r="Y6222" t="s">
        <v>25753</v>
      </c>
      <c r="Z6222" t="s">
        <v>32353</v>
      </c>
      <c r="AA6222">
        <v>0.47624957689663538</v>
      </c>
      <c r="AB6222" t="str">
        <f>HYPERLINK("Melting_Curves/meltCurve_Q9UJT2_2_TSKS.pdf", "Melting_Curves/meltCurve_Q9UJT2_2_TSKS.pdf")</f>
        <v>Melting_Curves/meltCurve_Q9UJT2_2_TSKS.pdf</v>
      </c>
    </row>
    <row r="6223" spans="1:28" x14ac:dyDescent="0.25">
      <c r="A6223" t="s">
        <v>6226</v>
      </c>
      <c r="B6223">
        <v>0.99930955844802105</v>
      </c>
      <c r="C6223">
        <v>1.07686820697295</v>
      </c>
      <c r="D6223">
        <v>1.0666651039747901</v>
      </c>
      <c r="E6223">
        <v>0.92681230196664</v>
      </c>
      <c r="F6223">
        <v>0.70579730768558302</v>
      </c>
      <c r="G6223">
        <v>0.57451089667398303</v>
      </c>
      <c r="H6223">
        <v>0.58545234295352799</v>
      </c>
      <c r="I6223">
        <v>0.62929673680906395</v>
      </c>
      <c r="J6223">
        <v>0.67449377248265496</v>
      </c>
      <c r="K6223">
        <v>0.52767085709728501</v>
      </c>
      <c r="L6223">
        <v>2399.50656310049</v>
      </c>
      <c r="M6223">
        <v>46.359218155409003</v>
      </c>
      <c r="O6223">
        <v>51.662961272411401</v>
      </c>
      <c r="P6223">
        <v>-9.0201358706951798E-2</v>
      </c>
      <c r="Q6223">
        <v>0.597916956650834</v>
      </c>
      <c r="R6223">
        <v>0.94467700822999301</v>
      </c>
      <c r="S6223" t="s">
        <v>12839</v>
      </c>
      <c r="T6223" t="s">
        <v>13232</v>
      </c>
      <c r="U6223" t="s">
        <v>13232</v>
      </c>
      <c r="V6223" t="s">
        <v>13232</v>
      </c>
      <c r="W6223" t="s">
        <v>19380</v>
      </c>
      <c r="X6223">
        <v>28</v>
      </c>
      <c r="Y6223" t="s">
        <v>25754</v>
      </c>
      <c r="Z6223" t="s">
        <v>32354</v>
      </c>
      <c r="AA6223">
        <v>0.75658872811537259</v>
      </c>
      <c r="AB6223" t="str">
        <f>HYPERLINK("Melting_Curves/meltCurve_Q9UJU6_DBNL.pdf", "Melting_Curves/meltCurve_Q9UJU6_DBNL.pdf")</f>
        <v>Melting_Curves/meltCurve_Q9UJU6_DBNL.pdf</v>
      </c>
    </row>
    <row r="6224" spans="1:28" x14ac:dyDescent="0.25">
      <c r="A6224" t="s">
        <v>6227</v>
      </c>
      <c r="B6224">
        <v>0.99930955844802105</v>
      </c>
      <c r="C6224">
        <v>2.0896366127463102</v>
      </c>
      <c r="D6224">
        <v>1.8020210085969</v>
      </c>
      <c r="E6224">
        <v>1.91894712684223</v>
      </c>
      <c r="F6224">
        <v>2.0747609142791501</v>
      </c>
      <c r="G6224">
        <v>2.34610012861735</v>
      </c>
      <c r="H6224">
        <v>3.09328066195271</v>
      </c>
      <c r="I6224">
        <v>3.65729447199953</v>
      </c>
      <c r="J6224">
        <v>3.9594091274454999</v>
      </c>
      <c r="K6224">
        <v>2.8966585255545398</v>
      </c>
      <c r="S6224" t="s">
        <v>12840</v>
      </c>
      <c r="T6224" t="s">
        <v>13232</v>
      </c>
      <c r="U6224" t="s">
        <v>13233</v>
      </c>
      <c r="V6224" t="s">
        <v>13232</v>
      </c>
      <c r="W6224" t="s">
        <v>19381</v>
      </c>
      <c r="X6224">
        <v>28</v>
      </c>
      <c r="Y6224" t="s">
        <v>25754</v>
      </c>
      <c r="Z6224" t="s">
        <v>32355</v>
      </c>
      <c r="AB6224" t="str">
        <f>HYPERLINK("Melting_Curves/meltCurve_Q9UJU6_2_DBNL.pdf", "Melting_Curves/meltCurve_Q9UJU6_2_DBNL.pdf")</f>
        <v>Melting_Curves/meltCurve_Q9UJU6_2_DBNL.pdf</v>
      </c>
    </row>
    <row r="6225" spans="1:28" x14ac:dyDescent="0.25">
      <c r="A6225" t="s">
        <v>6228</v>
      </c>
      <c r="B6225">
        <v>0.99930955844802105</v>
      </c>
      <c r="C6225">
        <v>0.78020239556002902</v>
      </c>
      <c r="D6225">
        <v>0.533785115274658</v>
      </c>
      <c r="E6225">
        <v>0.423770637142804</v>
      </c>
      <c r="F6225">
        <v>0.33871377567272198</v>
      </c>
      <c r="G6225">
        <v>0.250996360347223</v>
      </c>
      <c r="H6225">
        <v>0.15043223204330999</v>
      </c>
      <c r="I6225">
        <v>0.12227963624722001</v>
      </c>
      <c r="J6225">
        <v>0.118378527926844</v>
      </c>
      <c r="K6225">
        <v>8.1870305707857804E-2</v>
      </c>
      <c r="L6225">
        <v>528.53147249216499</v>
      </c>
      <c r="M6225">
        <v>11.1439832888928</v>
      </c>
      <c r="N6225">
        <v>48.241221663054802</v>
      </c>
      <c r="O6225">
        <v>45.9771706655145</v>
      </c>
      <c r="P6225">
        <v>-5.5421153902720399E-2</v>
      </c>
      <c r="Q6225">
        <v>8.5680546629426702E-2</v>
      </c>
      <c r="R6225">
        <v>0.97420330980547198</v>
      </c>
      <c r="S6225" t="s">
        <v>12841</v>
      </c>
      <c r="T6225" t="s">
        <v>13232</v>
      </c>
      <c r="U6225" t="s">
        <v>13232</v>
      </c>
      <c r="V6225" t="s">
        <v>13232</v>
      </c>
      <c r="W6225" t="s">
        <v>19382</v>
      </c>
      <c r="X6225">
        <v>29</v>
      </c>
      <c r="Y6225" t="s">
        <v>25755</v>
      </c>
      <c r="Z6225" t="s">
        <v>32356</v>
      </c>
      <c r="AA6225">
        <v>0.35444687062285779</v>
      </c>
      <c r="AB6225" t="str">
        <f>HYPERLINK("Melting_Curves/meltCurve_Q9UJV9_DDX41.pdf", "Melting_Curves/meltCurve_Q9UJV9_DDX41.pdf")</f>
        <v>Melting_Curves/meltCurve_Q9UJV9_DDX41.pdf</v>
      </c>
    </row>
    <row r="6226" spans="1:28" x14ac:dyDescent="0.25">
      <c r="A6226" t="s">
        <v>6229</v>
      </c>
      <c r="B6226">
        <v>0.99930955844802105</v>
      </c>
      <c r="C6226">
        <v>0.63519647761174303</v>
      </c>
      <c r="D6226">
        <v>0.63715468788290597</v>
      </c>
      <c r="E6226">
        <v>0.78033129837124005</v>
      </c>
      <c r="F6226">
        <v>0.62384515033586496</v>
      </c>
      <c r="G6226">
        <v>0.48738345541183398</v>
      </c>
      <c r="H6226">
        <v>0.31844920239847602</v>
      </c>
      <c r="I6226">
        <v>0.22903917068714</v>
      </c>
      <c r="J6226">
        <v>9.1431275700729397E-2</v>
      </c>
      <c r="K6226">
        <v>6.5139192518189198E-2</v>
      </c>
      <c r="L6226">
        <v>378.24758463393698</v>
      </c>
      <c r="M6226">
        <v>7.0188106599947799</v>
      </c>
      <c r="N6226">
        <v>53.8905524282182</v>
      </c>
      <c r="O6226">
        <v>50.027835579997102</v>
      </c>
      <c r="P6226">
        <v>-3.51389249770378E-2</v>
      </c>
      <c r="Q6226">
        <v>0</v>
      </c>
      <c r="R6226">
        <v>0.84120908964252905</v>
      </c>
      <c r="S6226" t="s">
        <v>12842</v>
      </c>
      <c r="T6226" t="s">
        <v>13232</v>
      </c>
      <c r="U6226" t="s">
        <v>13232</v>
      </c>
      <c r="V6226" t="s">
        <v>13232</v>
      </c>
      <c r="W6226" t="s">
        <v>19383</v>
      </c>
      <c r="X6226">
        <v>13</v>
      </c>
      <c r="Y6226" t="s">
        <v>25756</v>
      </c>
      <c r="Z6226" t="s">
        <v>32357</v>
      </c>
      <c r="AA6226">
        <v>0.49966580402099531</v>
      </c>
      <c r="AB6226" t="str">
        <f>HYPERLINK("Melting_Curves/meltCurve_Q9UJW0_DCTN4.pdf", "Melting_Curves/meltCurve_Q9UJW0_DCTN4.pdf")</f>
        <v>Melting_Curves/meltCurve_Q9UJW0_DCTN4.pdf</v>
      </c>
    </row>
    <row r="6227" spans="1:28" x14ac:dyDescent="0.25">
      <c r="A6227" t="s">
        <v>6230</v>
      </c>
      <c r="B6227">
        <v>0.99930955844802105</v>
      </c>
      <c r="C6227">
        <v>0.59627403635360199</v>
      </c>
      <c r="D6227">
        <v>0.64264655574498197</v>
      </c>
      <c r="E6227">
        <v>0.88819483176359604</v>
      </c>
      <c r="F6227">
        <v>0.60462203132237602</v>
      </c>
      <c r="G6227">
        <v>0.223545103708364</v>
      </c>
      <c r="H6227">
        <v>0.13602935816478601</v>
      </c>
      <c r="I6227">
        <v>0.116852991093276</v>
      </c>
      <c r="J6227">
        <v>0.10307705346410199</v>
      </c>
      <c r="K6227">
        <v>8.1307403415900897E-2</v>
      </c>
      <c r="L6227">
        <v>468.823577653634</v>
      </c>
      <c r="M6227">
        <v>8.9391168851303604</v>
      </c>
      <c r="N6227">
        <v>52.4462944993044</v>
      </c>
      <c r="O6227">
        <v>50.020874551170103</v>
      </c>
      <c r="P6227">
        <v>-4.4710207230959802E-2</v>
      </c>
      <c r="Q6227">
        <v>0</v>
      </c>
      <c r="R6227">
        <v>0.79986289950284595</v>
      </c>
      <c r="S6227" t="s">
        <v>12843</v>
      </c>
      <c r="T6227" t="s">
        <v>13232</v>
      </c>
      <c r="U6227" t="s">
        <v>13232</v>
      </c>
      <c r="V6227" t="s">
        <v>13232</v>
      </c>
      <c r="W6227" t="s">
        <v>19384</v>
      </c>
      <c r="X6227">
        <v>14</v>
      </c>
      <c r="Y6227" t="s">
        <v>25757</v>
      </c>
      <c r="Z6227" t="s">
        <v>32358</v>
      </c>
      <c r="AA6227">
        <v>0.45525165686900249</v>
      </c>
      <c r="AB6227" t="str">
        <f>HYPERLINK("Melting_Curves/meltCurve_Q9UJX2_3_CDC23.pdf", "Melting_Curves/meltCurve_Q9UJX2_3_CDC23.pdf")</f>
        <v>Melting_Curves/meltCurve_Q9UJX2_3_CDC23.pdf</v>
      </c>
    </row>
    <row r="6228" spans="1:28" x14ac:dyDescent="0.25">
      <c r="A6228" t="s">
        <v>6231</v>
      </c>
      <c r="B6228">
        <v>0.99930955844802105</v>
      </c>
      <c r="C6228">
        <v>0.49712254659795402</v>
      </c>
      <c r="D6228">
        <v>0.44863071456918002</v>
      </c>
      <c r="E6228">
        <v>0.60582226114240301</v>
      </c>
      <c r="F6228">
        <v>0.44757221374335798</v>
      </c>
      <c r="G6228">
        <v>0.14869944039635699</v>
      </c>
      <c r="H6228">
        <v>5.4090568915704199E-2</v>
      </c>
      <c r="I6228">
        <v>4.2402814469201598E-2</v>
      </c>
      <c r="J6228">
        <v>3.1501070622756901E-2</v>
      </c>
      <c r="K6228">
        <v>2.76799162048821E-2</v>
      </c>
      <c r="L6228">
        <v>397.29000259176598</v>
      </c>
      <c r="M6228">
        <v>8.3493165355403303</v>
      </c>
      <c r="N6228">
        <v>47.583536485454403</v>
      </c>
      <c r="O6228">
        <v>45.088545647872103</v>
      </c>
      <c r="P6228">
        <v>-4.6338589014656401E-2</v>
      </c>
      <c r="Q6228">
        <v>0</v>
      </c>
      <c r="R6228">
        <v>0.81889451396407797</v>
      </c>
      <c r="S6228" t="s">
        <v>12844</v>
      </c>
      <c r="T6228" t="s">
        <v>13232</v>
      </c>
      <c r="U6228" t="s">
        <v>13232</v>
      </c>
      <c r="V6228" t="s">
        <v>13232</v>
      </c>
      <c r="W6228" t="s">
        <v>19385</v>
      </c>
      <c r="X6228">
        <v>11</v>
      </c>
      <c r="Y6228" t="s">
        <v>25758</v>
      </c>
      <c r="Z6228" t="s">
        <v>32359</v>
      </c>
      <c r="AA6228">
        <v>0.32412198188045138</v>
      </c>
      <c r="AB6228" t="str">
        <f>HYPERLINK("Melting_Curves/meltCurve_Q9UJX3_2_ANAPC7.pdf", "Melting_Curves/meltCurve_Q9UJX3_2_ANAPC7.pdf")</f>
        <v>Melting_Curves/meltCurve_Q9UJX3_2_ANAPC7.pdf</v>
      </c>
    </row>
    <row r="6229" spans="1:28" x14ac:dyDescent="0.25">
      <c r="A6229" t="s">
        <v>6232</v>
      </c>
      <c r="B6229">
        <v>0.99930955844802105</v>
      </c>
      <c r="C6229">
        <v>0.48501559459351501</v>
      </c>
      <c r="D6229">
        <v>0.56157530509095999</v>
      </c>
      <c r="E6229">
        <v>0.79429153863103996</v>
      </c>
      <c r="F6229">
        <v>0.45874021497727102</v>
      </c>
      <c r="G6229">
        <v>0.164353293399226</v>
      </c>
      <c r="H6229">
        <v>6.8781040692357701E-2</v>
      </c>
      <c r="I6229">
        <v>4.4294224552358499E-2</v>
      </c>
      <c r="J6229">
        <v>3.2839719219979802E-2</v>
      </c>
      <c r="K6229">
        <v>3.14521422609811E-2</v>
      </c>
      <c r="L6229">
        <v>420.481991891127</v>
      </c>
      <c r="M6229">
        <v>8.5173589588220704</v>
      </c>
      <c r="N6229">
        <v>49.367649606859601</v>
      </c>
      <c r="O6229">
        <v>46.871962874772102</v>
      </c>
      <c r="P6229">
        <v>-4.5469474406097901E-2</v>
      </c>
      <c r="Q6229">
        <v>0</v>
      </c>
      <c r="R6229">
        <v>0.77109073372835202</v>
      </c>
      <c r="S6229" t="s">
        <v>12845</v>
      </c>
      <c r="T6229" t="s">
        <v>13232</v>
      </c>
      <c r="U6229" t="s">
        <v>13232</v>
      </c>
      <c r="V6229" t="s">
        <v>13232</v>
      </c>
      <c r="W6229" t="s">
        <v>19386</v>
      </c>
      <c r="X6229">
        <v>9</v>
      </c>
      <c r="Y6229" t="s">
        <v>25759</v>
      </c>
      <c r="Z6229" t="s">
        <v>32360</v>
      </c>
      <c r="AA6229">
        <v>0.37123387974864502</v>
      </c>
      <c r="AB6229" t="str">
        <f>HYPERLINK("Melting_Curves/meltCurve_Q9UJX6_ANAPC2.pdf", "Melting_Curves/meltCurve_Q9UJX6_ANAPC2.pdf")</f>
        <v>Melting_Curves/meltCurve_Q9UJX6_ANAPC2.pdf</v>
      </c>
    </row>
    <row r="6230" spans="1:28" x14ac:dyDescent="0.25">
      <c r="A6230" t="s">
        <v>6233</v>
      </c>
      <c r="B6230">
        <v>0.99930955844802105</v>
      </c>
      <c r="C6230">
        <v>1.01656911754164</v>
      </c>
      <c r="D6230">
        <v>0.91482786894420498</v>
      </c>
      <c r="E6230">
        <v>0.615582343440358</v>
      </c>
      <c r="F6230">
        <v>0.39695359551109499</v>
      </c>
      <c r="G6230">
        <v>0.273872349641686</v>
      </c>
      <c r="H6230">
        <v>0.20599618746585499</v>
      </c>
      <c r="I6230">
        <v>0.190901751493605</v>
      </c>
      <c r="J6230">
        <v>0.184234509212755</v>
      </c>
      <c r="K6230">
        <v>0.13300475293722999</v>
      </c>
      <c r="L6230">
        <v>1035.6345909414599</v>
      </c>
      <c r="M6230">
        <v>20.496217194760099</v>
      </c>
      <c r="N6230">
        <v>51.590404096782898</v>
      </c>
      <c r="O6230">
        <v>50.054472065531399</v>
      </c>
      <c r="P6230">
        <v>-8.4749336145102494E-2</v>
      </c>
      <c r="Q6230">
        <v>0.172148139602045</v>
      </c>
      <c r="R6230">
        <v>0.99611643656949</v>
      </c>
      <c r="S6230" t="s">
        <v>12846</v>
      </c>
      <c r="T6230" t="s">
        <v>13232</v>
      </c>
      <c r="U6230" t="s">
        <v>13232</v>
      </c>
      <c r="V6230" t="s">
        <v>13232</v>
      </c>
      <c r="W6230" t="s">
        <v>19387</v>
      </c>
      <c r="X6230">
        <v>14</v>
      </c>
      <c r="Y6230" t="s">
        <v>25760</v>
      </c>
      <c r="Z6230" t="s">
        <v>32361</v>
      </c>
      <c r="AA6230">
        <v>0.47364930097468128</v>
      </c>
      <c r="AB6230" t="str">
        <f>HYPERLINK("Melting_Curves/meltCurve_Q9UJY4_GGA2.pdf", "Melting_Curves/meltCurve_Q9UJY4_GGA2.pdf")</f>
        <v>Melting_Curves/meltCurve_Q9UJY4_GGA2.pdf</v>
      </c>
    </row>
    <row r="6231" spans="1:28" x14ac:dyDescent="0.25">
      <c r="A6231" t="s">
        <v>6234</v>
      </c>
      <c r="B6231">
        <v>0.99930955844802105</v>
      </c>
      <c r="C6231">
        <v>0.98271365880333506</v>
      </c>
      <c r="D6231">
        <v>1.01594155243276</v>
      </c>
      <c r="E6231">
        <v>0.88125990828765499</v>
      </c>
      <c r="F6231">
        <v>0.72352728522263099</v>
      </c>
      <c r="G6231">
        <v>0.51373092648850904</v>
      </c>
      <c r="H6231">
        <v>0.36631011980141498</v>
      </c>
      <c r="I6231">
        <v>0.38353183739263103</v>
      </c>
      <c r="J6231">
        <v>0.377291866806645</v>
      </c>
      <c r="K6231">
        <v>0.284877211443962</v>
      </c>
      <c r="L6231">
        <v>1064.1770308909599</v>
      </c>
      <c r="M6231">
        <v>19.678373852481599</v>
      </c>
      <c r="N6231">
        <v>57.119680768780803</v>
      </c>
      <c r="O6231">
        <v>53.529327922940602</v>
      </c>
      <c r="P6231">
        <v>-6.2071653016013403E-2</v>
      </c>
      <c r="Q6231">
        <v>0.32463147922000701</v>
      </c>
      <c r="R6231">
        <v>0.99166440823728497</v>
      </c>
      <c r="S6231" t="s">
        <v>12847</v>
      </c>
      <c r="T6231" t="s">
        <v>13232</v>
      </c>
      <c r="U6231" t="s">
        <v>13232</v>
      </c>
      <c r="V6231" t="s">
        <v>13232</v>
      </c>
      <c r="W6231" t="s">
        <v>19388</v>
      </c>
      <c r="X6231">
        <v>17</v>
      </c>
      <c r="Y6231" t="s">
        <v>25761</v>
      </c>
      <c r="Z6231" t="s">
        <v>32362</v>
      </c>
      <c r="AA6231">
        <v>0.65097823339546101</v>
      </c>
      <c r="AB6231" t="str">
        <f>HYPERLINK("Melting_Curves/meltCurve_Q9UJY5_4_GGA1.pdf", "Melting_Curves/meltCurve_Q9UJY5_4_GGA1.pdf")</f>
        <v>Melting_Curves/meltCurve_Q9UJY5_4_GGA1.pdf</v>
      </c>
    </row>
    <row r="6232" spans="1:28" x14ac:dyDescent="0.25">
      <c r="A6232" t="s">
        <v>6235</v>
      </c>
      <c r="B6232">
        <v>0.99930955844802105</v>
      </c>
      <c r="C6232">
        <v>1.1020341529211799</v>
      </c>
      <c r="D6232">
        <v>1.0008830625682701</v>
      </c>
      <c r="E6232">
        <v>0.93703898790681595</v>
      </c>
      <c r="F6232">
        <v>0.84583843120661895</v>
      </c>
      <c r="G6232">
        <v>0.69632703786749905</v>
      </c>
      <c r="H6232">
        <v>0.66682416017848001</v>
      </c>
      <c r="I6232">
        <v>0.68337060904289704</v>
      </c>
      <c r="J6232">
        <v>0.77646367493905799</v>
      </c>
      <c r="K6232">
        <v>0.58887323031471706</v>
      </c>
      <c r="L6232">
        <v>1590.54329801323</v>
      </c>
      <c r="M6232">
        <v>30.056052099914702</v>
      </c>
      <c r="O6232">
        <v>52.686639571633599</v>
      </c>
      <c r="P6232">
        <v>-4.6351730181894597E-2</v>
      </c>
      <c r="Q6232">
        <v>0.67499382081614101</v>
      </c>
      <c r="R6232">
        <v>0.89322055187149596</v>
      </c>
      <c r="S6232" t="s">
        <v>12848</v>
      </c>
      <c r="T6232" t="s">
        <v>13232</v>
      </c>
      <c r="U6232" t="s">
        <v>13232</v>
      </c>
      <c r="V6232" t="s">
        <v>13232</v>
      </c>
      <c r="W6232" t="s">
        <v>19389</v>
      </c>
      <c r="X6232">
        <v>4</v>
      </c>
      <c r="Y6232" t="s">
        <v>25762</v>
      </c>
      <c r="Z6232" t="s">
        <v>32363</v>
      </c>
      <c r="AA6232">
        <v>0.81705244528786258</v>
      </c>
      <c r="AB6232" t="str">
        <f>HYPERLINK("Melting_Curves/meltCurve_Q9UK33_ZNF580.pdf", "Melting_Curves/meltCurve_Q9UK33_ZNF580.pdf")</f>
        <v>Melting_Curves/meltCurve_Q9UK33_ZNF580.pdf</v>
      </c>
    </row>
    <row r="6233" spans="1:28" x14ac:dyDescent="0.25">
      <c r="A6233" t="s">
        <v>6236</v>
      </c>
      <c r="B6233">
        <v>0.99930955844802105</v>
      </c>
      <c r="C6233">
        <v>0.974950928215912</v>
      </c>
      <c r="D6233">
        <v>0.93633850593052204</v>
      </c>
      <c r="E6233">
        <v>0.79938553184106798</v>
      </c>
      <c r="F6233">
        <v>0.37328584662825198</v>
      </c>
      <c r="G6233">
        <v>0.180010876351854</v>
      </c>
      <c r="H6233">
        <v>9.4332170669330598E-2</v>
      </c>
      <c r="I6233">
        <v>7.5969215414874003E-2</v>
      </c>
      <c r="J6233">
        <v>6.0428204081808101E-2</v>
      </c>
      <c r="K6233">
        <v>4.8458355256905103E-2</v>
      </c>
      <c r="L6233">
        <v>1458.5955584743499</v>
      </c>
      <c r="M6233">
        <v>28.0799119832785</v>
      </c>
      <c r="N6233">
        <v>52.2238973819154</v>
      </c>
      <c r="O6233">
        <v>51.683138803522297</v>
      </c>
      <c r="P6233">
        <v>-0.126353864568156</v>
      </c>
      <c r="Q6233">
        <v>6.9753632284553294E-2</v>
      </c>
      <c r="R6233">
        <v>0.99584284981889803</v>
      </c>
      <c r="S6233" t="s">
        <v>12849</v>
      </c>
      <c r="T6233" t="s">
        <v>13232</v>
      </c>
      <c r="U6233" t="s">
        <v>13232</v>
      </c>
      <c r="V6233" t="s">
        <v>13232</v>
      </c>
      <c r="W6233" t="s">
        <v>19390</v>
      </c>
      <c r="X6233">
        <v>17</v>
      </c>
      <c r="Y6233" t="s">
        <v>25763</v>
      </c>
      <c r="Z6233" t="s">
        <v>32364</v>
      </c>
      <c r="AA6233">
        <v>0.44689742034391111</v>
      </c>
      <c r="AB6233" t="str">
        <f>HYPERLINK("Melting_Curves/meltCurve_Q9UK41_VPS28.pdf", "Melting_Curves/meltCurve_Q9UK41_VPS28.pdf")</f>
        <v>Melting_Curves/meltCurve_Q9UK41_VPS28.pdf</v>
      </c>
    </row>
    <row r="6234" spans="1:28" x14ac:dyDescent="0.25">
      <c r="A6234" t="s">
        <v>6237</v>
      </c>
      <c r="B6234">
        <v>0.99930955844802105</v>
      </c>
      <c r="C6234">
        <v>1.6713381843261099</v>
      </c>
      <c r="D6234">
        <v>1.6951590376639101</v>
      </c>
      <c r="E6234">
        <v>1.6868716747691801</v>
      </c>
      <c r="F6234">
        <v>1.56551664164432</v>
      </c>
      <c r="G6234">
        <v>1.3099876280523</v>
      </c>
      <c r="H6234">
        <v>1.0097710237830499</v>
      </c>
      <c r="I6234">
        <v>0.95457234345443198</v>
      </c>
      <c r="J6234">
        <v>0.78640680357299497</v>
      </c>
      <c r="K6234">
        <v>0.55947665608304797</v>
      </c>
      <c r="L6234">
        <v>3109.4359088199899</v>
      </c>
      <c r="M6234">
        <v>46.035520662386901</v>
      </c>
      <c r="O6234">
        <v>67.417192477549193</v>
      </c>
      <c r="P6234">
        <v>-9.0096196250349606E-2</v>
      </c>
      <c r="Q6234">
        <v>0.472231436144256</v>
      </c>
      <c r="R6234">
        <v>-0.16609394449460099</v>
      </c>
      <c r="S6234" t="s">
        <v>12850</v>
      </c>
      <c r="T6234" t="s">
        <v>13232</v>
      </c>
      <c r="U6234" t="s">
        <v>13232</v>
      </c>
      <c r="V6234" t="s">
        <v>13232</v>
      </c>
      <c r="W6234" t="s">
        <v>19391</v>
      </c>
      <c r="X6234">
        <v>5</v>
      </c>
      <c r="Y6234" t="s">
        <v>25764</v>
      </c>
      <c r="Z6234" t="s">
        <v>32365</v>
      </c>
      <c r="AA6234">
        <v>0.95337127717704251</v>
      </c>
      <c r="AB6234" t="str">
        <f>HYPERLINK("Melting_Curves/meltCurve_Q9UK45_LSM7.pdf", "Melting_Curves/meltCurve_Q9UK45_LSM7.pdf")</f>
        <v>Melting_Curves/meltCurve_Q9UK45_LSM7.pdf</v>
      </c>
    </row>
    <row r="6235" spans="1:28" x14ac:dyDescent="0.25">
      <c r="A6235" t="s">
        <v>6238</v>
      </c>
      <c r="B6235">
        <v>0.99930955844802105</v>
      </c>
      <c r="C6235">
        <v>0.957105582715151</v>
      </c>
      <c r="D6235">
        <v>0.87991141245161597</v>
      </c>
      <c r="E6235">
        <v>0.76304078577834999</v>
      </c>
      <c r="F6235">
        <v>0.61143195897037195</v>
      </c>
      <c r="G6235">
        <v>0.38057467510780801</v>
      </c>
      <c r="H6235">
        <v>0.184737768438652</v>
      </c>
      <c r="I6235">
        <v>0.127231298711908</v>
      </c>
      <c r="J6235">
        <v>0.113475414098722</v>
      </c>
      <c r="K6235">
        <v>9.1043905697824501E-2</v>
      </c>
      <c r="L6235">
        <v>695.47628047308501</v>
      </c>
      <c r="M6235">
        <v>12.7894598831714</v>
      </c>
      <c r="N6235">
        <v>54.555979617532799</v>
      </c>
      <c r="O6235">
        <v>53.100844348688298</v>
      </c>
      <c r="P6235">
        <v>-5.89997158662608E-2</v>
      </c>
      <c r="Q6235">
        <v>2.0335549526338099E-2</v>
      </c>
      <c r="R6235">
        <v>0.99710305109039099</v>
      </c>
      <c r="S6235" t="s">
        <v>12851</v>
      </c>
      <c r="T6235" t="s">
        <v>13232</v>
      </c>
      <c r="U6235" t="s">
        <v>13232</v>
      </c>
      <c r="V6235" t="s">
        <v>13232</v>
      </c>
      <c r="W6235" t="s">
        <v>19392</v>
      </c>
      <c r="X6235">
        <v>18</v>
      </c>
      <c r="Y6235" t="s">
        <v>25765</v>
      </c>
      <c r="Z6235" t="s">
        <v>32366</v>
      </c>
      <c r="AA6235">
        <v>0.51316593519923215</v>
      </c>
      <c r="AB6235" t="str">
        <f>HYPERLINK("Melting_Curves/meltCurve_Q9UK59_DBR1.pdf", "Melting_Curves/meltCurve_Q9UK59_DBR1.pdf")</f>
        <v>Melting_Curves/meltCurve_Q9UK59_DBR1.pdf</v>
      </c>
    </row>
    <row r="6236" spans="1:28" x14ac:dyDescent="0.25">
      <c r="A6236" t="s">
        <v>6239</v>
      </c>
      <c r="B6236">
        <v>0.99930955844802105</v>
      </c>
      <c r="C6236">
        <v>1.20671273877503</v>
      </c>
      <c r="D6236">
        <v>1.1276444331759301</v>
      </c>
      <c r="E6236">
        <v>1.0187953485087</v>
      </c>
      <c r="F6236">
        <v>0.93521007843434401</v>
      </c>
      <c r="G6236">
        <v>0.59354382318587395</v>
      </c>
      <c r="H6236">
        <v>0.42276409914445801</v>
      </c>
      <c r="I6236">
        <v>0.39092346024828101</v>
      </c>
      <c r="J6236">
        <v>0.37519850160979301</v>
      </c>
      <c r="K6236">
        <v>0.29458506487147001</v>
      </c>
      <c r="L6236">
        <v>1872.81880351361</v>
      </c>
      <c r="M6236">
        <v>33.287739229240501</v>
      </c>
      <c r="N6236">
        <v>58.413924234089002</v>
      </c>
      <c r="O6236">
        <v>56.059636738724897</v>
      </c>
      <c r="P6236">
        <v>-9.5993983263401195E-2</v>
      </c>
      <c r="Q6236">
        <v>0.35335174081359</v>
      </c>
      <c r="R6236">
        <v>0.94191701587118604</v>
      </c>
      <c r="S6236" t="s">
        <v>12852</v>
      </c>
      <c r="T6236" t="s">
        <v>13232</v>
      </c>
      <c r="U6236" t="s">
        <v>13232</v>
      </c>
      <c r="V6236" t="s">
        <v>13232</v>
      </c>
      <c r="W6236" t="s">
        <v>19393</v>
      </c>
      <c r="X6236">
        <v>27</v>
      </c>
      <c r="Y6236" t="s">
        <v>25766</v>
      </c>
      <c r="Z6236" t="s">
        <v>32367</v>
      </c>
      <c r="AA6236">
        <v>0.70742575573200095</v>
      </c>
      <c r="AB6236" t="str">
        <f>HYPERLINK("Melting_Curves/meltCurve_Q9UK61_3_FAM208A.pdf", "Melting_Curves/meltCurve_Q9UK61_3_FAM208A.pdf")</f>
        <v>Melting_Curves/meltCurve_Q9UK61_3_FAM208A.pdf</v>
      </c>
    </row>
    <row r="6237" spans="1:28" x14ac:dyDescent="0.25">
      <c r="A6237" t="s">
        <v>6240</v>
      </c>
      <c r="B6237">
        <v>0.99930955844802105</v>
      </c>
      <c r="C6237">
        <v>0.72954434252657496</v>
      </c>
      <c r="D6237">
        <v>0.71317971211227804</v>
      </c>
      <c r="E6237">
        <v>0.66592331303430496</v>
      </c>
      <c r="F6237">
        <v>0.50874690980005699</v>
      </c>
      <c r="G6237">
        <v>0.24306131788937699</v>
      </c>
      <c r="H6237">
        <v>0.15536710184793001</v>
      </c>
      <c r="I6237">
        <v>0.15372297702875901</v>
      </c>
      <c r="J6237">
        <v>0.13464719758652299</v>
      </c>
      <c r="K6237">
        <v>0.103996279900683</v>
      </c>
      <c r="L6237">
        <v>450.30762235688798</v>
      </c>
      <c r="M6237">
        <v>8.7101193089424296</v>
      </c>
      <c r="N6237">
        <v>51.699358021518698</v>
      </c>
      <c r="O6237">
        <v>49.191186374039901</v>
      </c>
      <c r="P6237">
        <v>-4.4303048735370297E-2</v>
      </c>
      <c r="Q6237">
        <v>0</v>
      </c>
      <c r="R6237">
        <v>0.95480927518819902</v>
      </c>
      <c r="S6237" t="s">
        <v>12853</v>
      </c>
      <c r="T6237" t="s">
        <v>13232</v>
      </c>
      <c r="U6237" t="s">
        <v>13232</v>
      </c>
      <c r="V6237" t="s">
        <v>13232</v>
      </c>
      <c r="W6237" t="s">
        <v>19394</v>
      </c>
      <c r="X6237">
        <v>5</v>
      </c>
      <c r="Y6237" t="s">
        <v>25767</v>
      </c>
      <c r="Z6237" t="s">
        <v>32368</v>
      </c>
      <c r="AA6237">
        <v>0.43519596169335367</v>
      </c>
      <c r="AB6237" t="str">
        <f>HYPERLINK("Melting_Curves/meltCurve_Q9UK73_FEM1B.pdf", "Melting_Curves/meltCurve_Q9UK73_FEM1B.pdf")</f>
        <v>Melting_Curves/meltCurve_Q9UK73_FEM1B.pdf</v>
      </c>
    </row>
    <row r="6238" spans="1:28" x14ac:dyDescent="0.25">
      <c r="A6238" t="s">
        <v>6241</v>
      </c>
      <c r="B6238">
        <v>0.99930955844802105</v>
      </c>
      <c r="C6238">
        <v>1.03925971648437</v>
      </c>
      <c r="D6238">
        <v>1.0003869777034</v>
      </c>
      <c r="E6238">
        <v>0.91123990197986604</v>
      </c>
      <c r="F6238">
        <v>0.77433859666312899</v>
      </c>
      <c r="G6238">
        <v>0.72722339394520197</v>
      </c>
      <c r="H6238">
        <v>0.60908139078262602</v>
      </c>
      <c r="I6238">
        <v>0.70311330924647797</v>
      </c>
      <c r="J6238">
        <v>0.68949559677820504</v>
      </c>
      <c r="K6238">
        <v>0.57857040435823903</v>
      </c>
      <c r="L6238">
        <v>1208.04409131847</v>
      </c>
      <c r="M6238">
        <v>23.122059803503401</v>
      </c>
      <c r="O6238">
        <v>51.860314105386699</v>
      </c>
      <c r="P6238">
        <v>-3.9487695826721701E-2</v>
      </c>
      <c r="Q6238">
        <v>0.64573986357843804</v>
      </c>
      <c r="R6238">
        <v>0.94202609738976095</v>
      </c>
      <c r="S6238" t="s">
        <v>12854</v>
      </c>
      <c r="T6238" t="s">
        <v>13232</v>
      </c>
      <c r="U6238" t="s">
        <v>13232</v>
      </c>
      <c r="V6238" t="s">
        <v>13232</v>
      </c>
      <c r="W6238" t="s">
        <v>19395</v>
      </c>
      <c r="X6238">
        <v>1</v>
      </c>
      <c r="Y6238" t="s">
        <v>25768</v>
      </c>
      <c r="Z6238" t="s">
        <v>32369</v>
      </c>
      <c r="AA6238">
        <v>0.79411168109667263</v>
      </c>
      <c r="AB6238" t="str">
        <f>HYPERLINK("Melting_Curves/meltCurve_Q9UK80_2_USP21.pdf", "Melting_Curves/meltCurve_Q9UK80_2_USP21.pdf")</f>
        <v>Melting_Curves/meltCurve_Q9UK80_2_USP21.pdf</v>
      </c>
    </row>
    <row r="6239" spans="1:28" x14ac:dyDescent="0.25">
      <c r="A6239" t="s">
        <v>6242</v>
      </c>
      <c r="B6239">
        <v>0.99930955844802105</v>
      </c>
      <c r="C6239">
        <v>0.93227914113033705</v>
      </c>
      <c r="D6239">
        <v>0.88630741125215196</v>
      </c>
      <c r="E6239">
        <v>0.66028166213330297</v>
      </c>
      <c r="F6239">
        <v>0.33300531509614401</v>
      </c>
      <c r="G6239">
        <v>0.223954500385664</v>
      </c>
      <c r="H6239">
        <v>0.117174699804743</v>
      </c>
      <c r="I6239">
        <v>0.105221439614489</v>
      </c>
      <c r="J6239">
        <v>5.8197288032269902E-2</v>
      </c>
      <c r="K6239">
        <v>2.4458045447823502E-2</v>
      </c>
      <c r="L6239">
        <v>870.24180153670898</v>
      </c>
      <c r="M6239">
        <v>16.984880339622599</v>
      </c>
      <c r="N6239">
        <v>51.539431365377801</v>
      </c>
      <c r="O6239">
        <v>50.541840005454297</v>
      </c>
      <c r="P6239">
        <v>-8.0024889835319593E-2</v>
      </c>
      <c r="Q6239">
        <v>4.7540100780922898E-2</v>
      </c>
      <c r="R6239">
        <v>0.99341844559149395</v>
      </c>
      <c r="S6239" t="s">
        <v>12855</v>
      </c>
      <c r="T6239" t="s">
        <v>13232</v>
      </c>
      <c r="U6239" t="s">
        <v>13232</v>
      </c>
      <c r="V6239" t="s">
        <v>13232</v>
      </c>
      <c r="W6239" t="s">
        <v>19396</v>
      </c>
      <c r="X6239">
        <v>5</v>
      </c>
      <c r="Y6239" t="s">
        <v>25769</v>
      </c>
      <c r="Z6239" t="s">
        <v>32370</v>
      </c>
      <c r="AA6239">
        <v>0.42200002593696517</v>
      </c>
      <c r="AB6239" t="str">
        <f>HYPERLINK("Melting_Curves/meltCurve_Q9UK97_3_FBXO9.pdf", "Melting_Curves/meltCurve_Q9UK97_3_FBXO9.pdf")</f>
        <v>Melting_Curves/meltCurve_Q9UK97_3_FBXO9.pdf</v>
      </c>
    </row>
    <row r="6240" spans="1:28" x14ac:dyDescent="0.25">
      <c r="A6240" t="s">
        <v>6243</v>
      </c>
      <c r="B6240">
        <v>0.99930955844802105</v>
      </c>
      <c r="C6240">
        <v>0.96315377165340599</v>
      </c>
      <c r="D6240">
        <v>0.93987180402056303</v>
      </c>
      <c r="E6240">
        <v>0.84303260272695701</v>
      </c>
      <c r="F6240">
        <v>0.58550473629453503</v>
      </c>
      <c r="G6240">
        <v>0.26410436258807402</v>
      </c>
      <c r="H6240">
        <v>0.106347538357002</v>
      </c>
      <c r="I6240">
        <v>6.9086959788953198E-2</v>
      </c>
      <c r="J6240">
        <v>5.0375524678189301E-2</v>
      </c>
      <c r="K6240">
        <v>3.6817659808416003E-2</v>
      </c>
      <c r="L6240">
        <v>1083.9281334213499</v>
      </c>
      <c r="M6240">
        <v>20.145562571102101</v>
      </c>
      <c r="N6240">
        <v>53.962913079246803</v>
      </c>
      <c r="O6240">
        <v>53.283055981180397</v>
      </c>
      <c r="P6240">
        <v>-9.1815558644468998E-2</v>
      </c>
      <c r="Q6240">
        <v>2.8657771660220301E-2</v>
      </c>
      <c r="R6240">
        <v>0.99866913547765301</v>
      </c>
      <c r="S6240" t="s">
        <v>12856</v>
      </c>
      <c r="T6240" t="s">
        <v>13232</v>
      </c>
      <c r="U6240" t="s">
        <v>13232</v>
      </c>
      <c r="V6240" t="s">
        <v>13232</v>
      </c>
      <c r="W6240" t="s">
        <v>19397</v>
      </c>
      <c r="X6240">
        <v>14</v>
      </c>
      <c r="Y6240" t="s">
        <v>25770</v>
      </c>
      <c r="Z6240" t="s">
        <v>32371</v>
      </c>
      <c r="AA6240">
        <v>0.48871513856371962</v>
      </c>
      <c r="AB6240" t="str">
        <f>HYPERLINK("Melting_Curves/meltCurve_Q9UK99_2_FBXO3.pdf", "Melting_Curves/meltCurve_Q9UK99_2_FBXO3.pdf")</f>
        <v>Melting_Curves/meltCurve_Q9UK99_2_FBXO3.pdf</v>
      </c>
    </row>
    <row r="6241" spans="1:28" x14ac:dyDescent="0.25">
      <c r="A6241" t="s">
        <v>6244</v>
      </c>
      <c r="B6241">
        <v>0.99930955844802105</v>
      </c>
      <c r="C6241">
        <v>1.1174986508176199</v>
      </c>
      <c r="D6241">
        <v>1.12317437698833</v>
      </c>
      <c r="E6241">
        <v>1.0542325513084401</v>
      </c>
      <c r="F6241">
        <v>0.90550325955676803</v>
      </c>
      <c r="G6241">
        <v>0.80140474526565197</v>
      </c>
      <c r="H6241">
        <v>0.762930823792904</v>
      </c>
      <c r="I6241">
        <v>0.80821262690515505</v>
      </c>
      <c r="J6241">
        <v>0.78153230983642596</v>
      </c>
      <c r="K6241">
        <v>0.67842119718303395</v>
      </c>
      <c r="S6241" t="s">
        <v>12857</v>
      </c>
      <c r="T6241" t="s">
        <v>13232</v>
      </c>
      <c r="U6241" t="s">
        <v>13233</v>
      </c>
      <c r="V6241" t="s">
        <v>13232</v>
      </c>
      <c r="W6241" t="s">
        <v>19398</v>
      </c>
      <c r="X6241">
        <v>14</v>
      </c>
      <c r="Y6241" t="s">
        <v>25771</v>
      </c>
      <c r="Z6241" t="s">
        <v>32372</v>
      </c>
      <c r="AB6241" t="str">
        <f>HYPERLINK("Melting_Curves/meltCurve_Q9UKA4_AKAP11.pdf", "Melting_Curves/meltCurve_Q9UKA4_AKAP11.pdf")</f>
        <v>Melting_Curves/meltCurve_Q9UKA4_AKAP11.pdf</v>
      </c>
    </row>
    <row r="6242" spans="1:28" x14ac:dyDescent="0.25">
      <c r="A6242" t="s">
        <v>6245</v>
      </c>
      <c r="B6242">
        <v>0.99930955844802105</v>
      </c>
      <c r="C6242">
        <v>1.10630687647124</v>
      </c>
      <c r="D6242">
        <v>0.92273445897462603</v>
      </c>
      <c r="E6242">
        <v>0.59494726724775604</v>
      </c>
      <c r="F6242">
        <v>0.398031817380397</v>
      </c>
      <c r="G6242">
        <v>0.33955068545642603</v>
      </c>
      <c r="H6242">
        <v>0.23209770374627001</v>
      </c>
      <c r="I6242">
        <v>0.21039739329025101</v>
      </c>
      <c r="J6242">
        <v>0.170822186725752</v>
      </c>
      <c r="K6242">
        <v>0.14150513426389499</v>
      </c>
      <c r="L6242">
        <v>1057.87785589277</v>
      </c>
      <c r="M6242">
        <v>20.978977963287399</v>
      </c>
      <c r="N6242">
        <v>51.627835639344703</v>
      </c>
      <c r="O6242">
        <v>49.974151531132499</v>
      </c>
      <c r="P6242">
        <v>-8.4671700370639993E-2</v>
      </c>
      <c r="Q6242">
        <v>0.19323394069871</v>
      </c>
      <c r="R6242">
        <v>0.977094765018099</v>
      </c>
      <c r="S6242" t="s">
        <v>12858</v>
      </c>
      <c r="T6242" t="s">
        <v>13232</v>
      </c>
      <c r="U6242" t="s">
        <v>13232</v>
      </c>
      <c r="V6242" t="s">
        <v>13232</v>
      </c>
      <c r="W6242" t="s">
        <v>19399</v>
      </c>
      <c r="X6242">
        <v>4</v>
      </c>
      <c r="Y6242" t="s">
        <v>25772</v>
      </c>
      <c r="Z6242" t="s">
        <v>32373</v>
      </c>
      <c r="AA6242">
        <v>0.48383011428495382</v>
      </c>
      <c r="AB6242" t="str">
        <f>HYPERLINK("Melting_Curves/meltCurve_Q9UKA9_PTBP2.pdf", "Melting_Curves/meltCurve_Q9UKA9_PTBP2.pdf")</f>
        <v>Melting_Curves/meltCurve_Q9UKA9_PTBP2.pdf</v>
      </c>
    </row>
    <row r="6243" spans="1:28" x14ac:dyDescent="0.25">
      <c r="A6243" t="s">
        <v>6246</v>
      </c>
      <c r="B6243">
        <v>0.99930955844802105</v>
      </c>
      <c r="C6243">
        <v>0.93871970951098005</v>
      </c>
      <c r="D6243">
        <v>0.88866124099951505</v>
      </c>
      <c r="E6243">
        <v>0.85307647765272998</v>
      </c>
      <c r="F6243">
        <v>0.54800182370989203</v>
      </c>
      <c r="G6243">
        <v>0.242520618552305</v>
      </c>
      <c r="H6243">
        <v>0.112360710310258</v>
      </c>
      <c r="I6243">
        <v>9.1280502147279202E-2</v>
      </c>
      <c r="J6243">
        <v>6.1674038958791998E-2</v>
      </c>
      <c r="K6243">
        <v>4.9581062502083599E-2</v>
      </c>
      <c r="L6243">
        <v>1089.73399048125</v>
      </c>
      <c r="M6243">
        <v>20.411351691464901</v>
      </c>
      <c r="N6243">
        <v>53.644305660929398</v>
      </c>
      <c r="O6243">
        <v>52.884114726002601</v>
      </c>
      <c r="P6243">
        <v>-9.2021303361917398E-2</v>
      </c>
      <c r="Q6243">
        <v>4.6350834750948103E-2</v>
      </c>
      <c r="R6243">
        <v>0.99245857685782102</v>
      </c>
      <c r="S6243" t="s">
        <v>12859</v>
      </c>
      <c r="T6243" t="s">
        <v>13232</v>
      </c>
      <c r="U6243" t="s">
        <v>13232</v>
      </c>
      <c r="V6243" t="s">
        <v>13232</v>
      </c>
      <c r="W6243" t="s">
        <v>19400</v>
      </c>
      <c r="X6243">
        <v>8</v>
      </c>
      <c r="Y6243" t="s">
        <v>25773</v>
      </c>
      <c r="Z6243" t="s">
        <v>32374</v>
      </c>
      <c r="AA6243">
        <v>0.48457966869496638</v>
      </c>
      <c r="AB6243" t="str">
        <f>HYPERLINK("Melting_Curves/meltCurve_Q9UKB1_2_FBXW11.pdf", "Melting_Curves/meltCurve_Q9UKB1_2_FBXW11.pdf")</f>
        <v>Melting_Curves/meltCurve_Q9UKB1_2_FBXW11.pdf</v>
      </c>
    </row>
    <row r="6244" spans="1:28" x14ac:dyDescent="0.25">
      <c r="A6244" t="s">
        <v>6247</v>
      </c>
      <c r="B6244">
        <v>0.99930955844802105</v>
      </c>
      <c r="C6244">
        <v>1.19850237419473</v>
      </c>
      <c r="D6244">
        <v>1.13017110827738</v>
      </c>
      <c r="E6244">
        <v>1.0482350338905</v>
      </c>
      <c r="F6244">
        <v>1.09116348922907</v>
      </c>
      <c r="G6244">
        <v>1.1803660154677</v>
      </c>
      <c r="H6244">
        <v>1.5272875992470201</v>
      </c>
      <c r="I6244">
        <v>1.80808374785647</v>
      </c>
      <c r="J6244">
        <v>2.0854233523660599</v>
      </c>
      <c r="K6244">
        <v>1.48231189824487</v>
      </c>
      <c r="L6244">
        <v>14282.6147274167</v>
      </c>
      <c r="M6244">
        <v>250</v>
      </c>
      <c r="O6244">
        <v>57.126785506922097</v>
      </c>
      <c r="P6244">
        <v>0.54702868676790495</v>
      </c>
      <c r="Q6244">
        <v>1.5</v>
      </c>
      <c r="R6244">
        <v>0.57162573265622796</v>
      </c>
      <c r="S6244" t="s">
        <v>12860</v>
      </c>
      <c r="T6244" t="s">
        <v>13232</v>
      </c>
      <c r="U6244" t="s">
        <v>13232</v>
      </c>
      <c r="V6244" t="s">
        <v>13232</v>
      </c>
      <c r="W6244" t="s">
        <v>19401</v>
      </c>
      <c r="X6244">
        <v>11</v>
      </c>
      <c r="Y6244" t="s">
        <v>25774</v>
      </c>
      <c r="Z6244" t="s">
        <v>32375</v>
      </c>
      <c r="AA6244">
        <v>1.214442219972433</v>
      </c>
      <c r="AB6244" t="str">
        <f>HYPERLINK("Melting_Curves/meltCurve_Q9UKB3_DNAJC12.pdf", "Melting_Curves/meltCurve_Q9UKB3_DNAJC12.pdf")</f>
        <v>Melting_Curves/meltCurve_Q9UKB3_DNAJC12.pdf</v>
      </c>
    </row>
    <row r="6245" spans="1:28" x14ac:dyDescent="0.25">
      <c r="A6245" t="s">
        <v>6248</v>
      </c>
      <c r="B6245">
        <v>0.99930955844802105</v>
      </c>
      <c r="C6245">
        <v>0.93803955914367698</v>
      </c>
      <c r="D6245">
        <v>0.807738794140062</v>
      </c>
      <c r="E6245">
        <v>0.40312414446661599</v>
      </c>
      <c r="F6245">
        <v>0.190559347612164</v>
      </c>
      <c r="G6245">
        <v>0.134949279106818</v>
      </c>
      <c r="H6245">
        <v>6.4732704868696006E-2</v>
      </c>
      <c r="I6245">
        <v>6.1793344392393597E-2</v>
      </c>
      <c r="J6245">
        <v>5.5332952821482997E-2</v>
      </c>
      <c r="K6245">
        <v>4.1345453915399302E-2</v>
      </c>
      <c r="L6245">
        <v>1037.8787878964599</v>
      </c>
      <c r="M6245">
        <v>21.274096162860602</v>
      </c>
      <c r="N6245">
        <v>49.059138591625299</v>
      </c>
      <c r="O6245">
        <v>48.361105807666</v>
      </c>
      <c r="P6245">
        <v>-0.103836571725949</v>
      </c>
      <c r="Q6245">
        <v>5.5842693255341497E-2</v>
      </c>
      <c r="R6245">
        <v>0.99840377453423002</v>
      </c>
      <c r="S6245" t="s">
        <v>12861</v>
      </c>
      <c r="T6245" t="s">
        <v>13232</v>
      </c>
      <c r="U6245" t="s">
        <v>13232</v>
      </c>
      <c r="V6245" t="s">
        <v>13232</v>
      </c>
      <c r="W6245" t="s">
        <v>19402</v>
      </c>
      <c r="X6245">
        <v>1</v>
      </c>
      <c r="Y6245" t="s">
        <v>25775</v>
      </c>
      <c r="Z6245" t="s">
        <v>32376</v>
      </c>
      <c r="AA6245">
        <v>0.34402848573629008</v>
      </c>
      <c r="AB6245" t="str">
        <f>HYPERLINK("Melting_Curves/meltCurve_Q9UKB5_AJAP1.pdf", "Melting_Curves/meltCurve_Q9UKB5_AJAP1.pdf")</f>
        <v>Melting_Curves/meltCurve_Q9UKB5_AJAP1.pdf</v>
      </c>
    </row>
    <row r="6246" spans="1:28" x14ac:dyDescent="0.25">
      <c r="A6246" t="s">
        <v>6249</v>
      </c>
      <c r="B6246">
        <v>0.99930955844802105</v>
      </c>
      <c r="C6246">
        <v>1.02111160373178</v>
      </c>
      <c r="D6246">
        <v>0.98297436278710304</v>
      </c>
      <c r="E6246">
        <v>0.56727705916494697</v>
      </c>
      <c r="F6246">
        <v>0.21139945880523001</v>
      </c>
      <c r="G6246">
        <v>0.15304935721037599</v>
      </c>
      <c r="H6246">
        <v>9.3122315806781597E-2</v>
      </c>
      <c r="I6246">
        <v>7.8195433180587498E-2</v>
      </c>
      <c r="J6246">
        <v>7.73154666366168E-2</v>
      </c>
      <c r="K6246">
        <v>5.8472578127993599E-2</v>
      </c>
      <c r="L6246">
        <v>1732.6903162316701</v>
      </c>
      <c r="M6246">
        <v>34.525619287284798</v>
      </c>
      <c r="N6246">
        <v>50.467628633409802</v>
      </c>
      <c r="O6246">
        <v>50.0181708205372</v>
      </c>
      <c r="P6246">
        <v>-0.157429215130241</v>
      </c>
      <c r="Q6246">
        <v>8.7716055800317896E-2</v>
      </c>
      <c r="R6246">
        <v>0.99710257610356201</v>
      </c>
      <c r="S6246" t="s">
        <v>12862</v>
      </c>
      <c r="T6246" t="s">
        <v>13232</v>
      </c>
      <c r="U6246" t="s">
        <v>13232</v>
      </c>
      <c r="V6246" t="s">
        <v>13232</v>
      </c>
      <c r="W6246" t="s">
        <v>19403</v>
      </c>
      <c r="X6246">
        <v>17</v>
      </c>
      <c r="Y6246" t="s">
        <v>25776</v>
      </c>
      <c r="Z6246" t="s">
        <v>32377</v>
      </c>
      <c r="AA6246">
        <v>0.40171678474535188</v>
      </c>
      <c r="AB6246" t="str">
        <f>HYPERLINK("Melting_Curves/meltCurve_Q9UKD2_MRTO4.pdf", "Melting_Curves/meltCurve_Q9UKD2_MRTO4.pdf")</f>
        <v>Melting_Curves/meltCurve_Q9UKD2_MRTO4.pdf</v>
      </c>
    </row>
    <row r="6247" spans="1:28" x14ac:dyDescent="0.25">
      <c r="A6247" t="s">
        <v>6250</v>
      </c>
      <c r="B6247">
        <v>0.99930955844802105</v>
      </c>
      <c r="C6247">
        <v>1.0229553935998701</v>
      </c>
      <c r="D6247">
        <v>1.0106241760228201</v>
      </c>
      <c r="E6247">
        <v>0.94335167768545303</v>
      </c>
      <c r="F6247">
        <v>0.82924121466263501</v>
      </c>
      <c r="G6247">
        <v>0.68509789287699896</v>
      </c>
      <c r="H6247">
        <v>0.59740343432491005</v>
      </c>
      <c r="I6247">
        <v>0.60205868961157305</v>
      </c>
      <c r="J6247">
        <v>0.59653751850051295</v>
      </c>
      <c r="K6247">
        <v>0.46970766114613499</v>
      </c>
      <c r="L6247">
        <v>965.25394128608502</v>
      </c>
      <c r="M6247">
        <v>17.538021437653001</v>
      </c>
      <c r="O6247">
        <v>54.337181016018199</v>
      </c>
      <c r="P6247">
        <v>-3.8019414721647098E-2</v>
      </c>
      <c r="Q6247">
        <v>0.52885111539821605</v>
      </c>
      <c r="R6247">
        <v>0.97401330745372205</v>
      </c>
      <c r="S6247" t="s">
        <v>12863</v>
      </c>
      <c r="T6247" t="s">
        <v>13232</v>
      </c>
      <c r="U6247" t="s">
        <v>13232</v>
      </c>
      <c r="V6247" t="s">
        <v>13232</v>
      </c>
      <c r="W6247" t="s">
        <v>19404</v>
      </c>
      <c r="X6247">
        <v>25</v>
      </c>
      <c r="Y6247" t="s">
        <v>25777</v>
      </c>
      <c r="Z6247" t="s">
        <v>32378</v>
      </c>
      <c r="AA6247">
        <v>0.77255138628740216</v>
      </c>
      <c r="AB6247" t="str">
        <f>HYPERLINK("Melting_Curves/meltCurve_Q9UKE5_TNIK.pdf", "Melting_Curves/meltCurve_Q9UKE5_TNIK.pdf")</f>
        <v>Melting_Curves/meltCurve_Q9UKE5_TNIK.pdf</v>
      </c>
    </row>
    <row r="6248" spans="1:28" x14ac:dyDescent="0.25">
      <c r="A6248" t="s">
        <v>6251</v>
      </c>
      <c r="B6248">
        <v>0.99930955844802105</v>
      </c>
      <c r="C6248">
        <v>0.85372752370241201</v>
      </c>
      <c r="D6248">
        <v>0.94186089904650006</v>
      </c>
      <c r="E6248">
        <v>0.84802969606273104</v>
      </c>
      <c r="F6248">
        <v>0.62887915509729697</v>
      </c>
      <c r="G6248">
        <v>0.38249686708435798</v>
      </c>
      <c r="H6248">
        <v>0.21639162848874499</v>
      </c>
      <c r="I6248">
        <v>0.123502687801415</v>
      </c>
      <c r="J6248">
        <v>8.5901833477921796E-2</v>
      </c>
      <c r="K6248">
        <v>6.9073846851141998E-2</v>
      </c>
      <c r="L6248">
        <v>771.60459669131797</v>
      </c>
      <c r="M6248">
        <v>14.011909249982599</v>
      </c>
      <c r="N6248">
        <v>55.158985630907303</v>
      </c>
      <c r="O6248">
        <v>53.982502863370698</v>
      </c>
      <c r="P6248">
        <v>-6.4156440859286096E-2</v>
      </c>
      <c r="Q6248">
        <v>1.1449729478999301E-2</v>
      </c>
      <c r="R6248">
        <v>0.98581732427979496</v>
      </c>
      <c r="S6248" t="s">
        <v>12864</v>
      </c>
      <c r="T6248" t="s">
        <v>13232</v>
      </c>
      <c r="U6248" t="s">
        <v>13232</v>
      </c>
      <c r="V6248" t="s">
        <v>13232</v>
      </c>
      <c r="W6248" t="s">
        <v>19405</v>
      </c>
      <c r="X6248">
        <v>28</v>
      </c>
      <c r="Y6248" t="s">
        <v>25778</v>
      </c>
      <c r="Z6248" t="s">
        <v>32379</v>
      </c>
      <c r="AA6248">
        <v>0.52825484678925938</v>
      </c>
      <c r="AB6248" t="str">
        <f>HYPERLINK("Melting_Curves/meltCurve_Q9UKF6_CPSF3.pdf", "Melting_Curves/meltCurve_Q9UKF6_CPSF3.pdf")</f>
        <v>Melting_Curves/meltCurve_Q9UKF6_CPSF3.pdf</v>
      </c>
    </row>
    <row r="6249" spans="1:28" x14ac:dyDescent="0.25">
      <c r="A6249" t="s">
        <v>6252</v>
      </c>
      <c r="B6249">
        <v>0.99930955844802105</v>
      </c>
      <c r="C6249">
        <v>1.0612813908912799</v>
      </c>
      <c r="D6249">
        <v>1.0084933707761801</v>
      </c>
      <c r="E6249">
        <v>0.861963904546311</v>
      </c>
      <c r="F6249">
        <v>0.59136805687552896</v>
      </c>
      <c r="G6249">
        <v>0.33845205786552601</v>
      </c>
      <c r="H6249">
        <v>0.199704488021413</v>
      </c>
      <c r="I6249">
        <v>0.16790951102111801</v>
      </c>
      <c r="J6249">
        <v>0.14062388244274901</v>
      </c>
      <c r="K6249">
        <v>0.10184705373428</v>
      </c>
      <c r="L6249">
        <v>1141.50657820681</v>
      </c>
      <c r="M6249">
        <v>21.2731328054839</v>
      </c>
      <c r="N6249">
        <v>54.4036455793279</v>
      </c>
      <c r="O6249">
        <v>53.192121758555302</v>
      </c>
      <c r="P6249">
        <v>-8.7364168034799905E-2</v>
      </c>
      <c r="Q6249">
        <v>0.126227974642977</v>
      </c>
      <c r="R6249">
        <v>0.99451176176204203</v>
      </c>
      <c r="S6249" t="s">
        <v>12865</v>
      </c>
      <c r="T6249" t="s">
        <v>13232</v>
      </c>
      <c r="U6249" t="s">
        <v>13232</v>
      </c>
      <c r="V6249" t="s">
        <v>13232</v>
      </c>
      <c r="W6249" t="s">
        <v>19406</v>
      </c>
      <c r="X6249">
        <v>28</v>
      </c>
      <c r="Y6249" t="s">
        <v>25779</v>
      </c>
      <c r="Z6249" t="s">
        <v>32380</v>
      </c>
      <c r="AA6249">
        <v>0.5348329209586361</v>
      </c>
      <c r="AB6249" t="str">
        <f>HYPERLINK("Melting_Curves/meltCurve_Q9UKG1_APPL1.pdf", "Melting_Curves/meltCurve_Q9UKG1_APPL1.pdf")</f>
        <v>Melting_Curves/meltCurve_Q9UKG1_APPL1.pdf</v>
      </c>
    </row>
    <row r="6250" spans="1:28" x14ac:dyDescent="0.25">
      <c r="A6250" t="s">
        <v>6253</v>
      </c>
      <c r="B6250">
        <v>0.99930955844802105</v>
      </c>
      <c r="C6250">
        <v>0.99590120081120104</v>
      </c>
      <c r="D6250">
        <v>0.86678247067768399</v>
      </c>
      <c r="E6250">
        <v>0.60413915138668695</v>
      </c>
      <c r="F6250">
        <v>0.37558494076879101</v>
      </c>
      <c r="G6250">
        <v>0.307398758225707</v>
      </c>
      <c r="H6250">
        <v>0.25853711866025397</v>
      </c>
      <c r="I6250">
        <v>0.27597369527726701</v>
      </c>
      <c r="J6250">
        <v>0.28309362460336701</v>
      </c>
      <c r="K6250">
        <v>0.213802003214143</v>
      </c>
      <c r="L6250">
        <v>1090.3544836595199</v>
      </c>
      <c r="M6250">
        <v>22.016320830659499</v>
      </c>
      <c r="N6250">
        <v>51.1706071117177</v>
      </c>
      <c r="O6250">
        <v>49.121664331228203</v>
      </c>
      <c r="P6250">
        <v>-8.3623505379196605E-2</v>
      </c>
      <c r="Q6250">
        <v>0.253710930602846</v>
      </c>
      <c r="R6250">
        <v>0.99531890622299501</v>
      </c>
      <c r="S6250" t="s">
        <v>12866</v>
      </c>
      <c r="T6250" t="s">
        <v>13232</v>
      </c>
      <c r="U6250" t="s">
        <v>13232</v>
      </c>
      <c r="V6250" t="s">
        <v>13232</v>
      </c>
      <c r="W6250" t="s">
        <v>19407</v>
      </c>
      <c r="X6250">
        <v>14</v>
      </c>
      <c r="Y6250" t="s">
        <v>25780</v>
      </c>
      <c r="Z6250" t="s">
        <v>32381</v>
      </c>
      <c r="AA6250">
        <v>0.49924340911604531</v>
      </c>
      <c r="AB6250" t="str">
        <f>HYPERLINK("Melting_Curves/meltCurve_Q9UKI8_TLK1.pdf", "Melting_Curves/meltCurve_Q9UKI8_TLK1.pdf")</f>
        <v>Melting_Curves/meltCurve_Q9UKI8_TLK1.pdf</v>
      </c>
    </row>
    <row r="6251" spans="1:28" x14ac:dyDescent="0.25">
      <c r="A6251" t="s">
        <v>6254</v>
      </c>
      <c r="B6251">
        <v>0.99930955844802105</v>
      </c>
      <c r="C6251">
        <v>1.0862829573719299</v>
      </c>
      <c r="D6251">
        <v>1.0750083100266199</v>
      </c>
      <c r="E6251">
        <v>1.0825630905906101</v>
      </c>
      <c r="F6251">
        <v>0.97689567013266798</v>
      </c>
      <c r="G6251">
        <v>0.83218206914875903</v>
      </c>
      <c r="H6251">
        <v>0.82777026376014096</v>
      </c>
      <c r="I6251">
        <v>0.86802324928652297</v>
      </c>
      <c r="J6251">
        <v>0.86030764390663095</v>
      </c>
      <c r="K6251">
        <v>0.71024752920468104</v>
      </c>
      <c r="L6251">
        <v>3507.4325087049301</v>
      </c>
      <c r="M6251">
        <v>64.060992137479801</v>
      </c>
      <c r="O6251">
        <v>54.698174796619298</v>
      </c>
      <c r="P6251">
        <v>-5.3617728603917399E-2</v>
      </c>
      <c r="Q6251">
        <v>0.81687508321456703</v>
      </c>
      <c r="R6251">
        <v>0.76454487572664998</v>
      </c>
      <c r="S6251" t="s">
        <v>12867</v>
      </c>
      <c r="T6251" t="s">
        <v>13232</v>
      </c>
      <c r="U6251" t="s">
        <v>13232</v>
      </c>
      <c r="V6251" t="s">
        <v>13232</v>
      </c>
      <c r="W6251" t="s">
        <v>19408</v>
      </c>
      <c r="X6251">
        <v>32</v>
      </c>
      <c r="Y6251" t="s">
        <v>25781</v>
      </c>
      <c r="Z6251" t="s">
        <v>32382</v>
      </c>
      <c r="AA6251">
        <v>0.90718920651452828</v>
      </c>
      <c r="AB6251" t="str">
        <f>HYPERLINK("Melting_Curves/meltCurve_Q9UKJ3_GPATCH8.pdf", "Melting_Curves/meltCurve_Q9UKJ3_GPATCH8.pdf")</f>
        <v>Melting_Curves/meltCurve_Q9UKJ3_GPATCH8.pdf</v>
      </c>
    </row>
    <row r="6252" spans="1:28" x14ac:dyDescent="0.25">
      <c r="A6252" t="s">
        <v>6255</v>
      </c>
      <c r="B6252">
        <v>0.99930955844802105</v>
      </c>
      <c r="C6252">
        <v>0.96898719964244395</v>
      </c>
      <c r="D6252">
        <v>0.86366408403597705</v>
      </c>
      <c r="E6252">
        <v>0.91117003063097901</v>
      </c>
      <c r="F6252">
        <v>0.65002010960910706</v>
      </c>
      <c r="G6252">
        <v>0.543247653454072</v>
      </c>
      <c r="H6252">
        <v>0.34514544730739299</v>
      </c>
      <c r="I6252">
        <v>0.16767913529394801</v>
      </c>
      <c r="J6252">
        <v>8.1102100761049095E-2</v>
      </c>
      <c r="K6252">
        <v>7.7568502306936196E-2</v>
      </c>
      <c r="L6252">
        <v>713.50245147430701</v>
      </c>
      <c r="M6252">
        <v>12.5385048026702</v>
      </c>
      <c r="N6252">
        <v>56.904903926959101</v>
      </c>
      <c r="O6252">
        <v>55.515608191033003</v>
      </c>
      <c r="P6252">
        <v>-5.6475340762385903E-2</v>
      </c>
      <c r="Q6252">
        <v>0</v>
      </c>
      <c r="R6252">
        <v>0.98078902970951898</v>
      </c>
      <c r="S6252" t="s">
        <v>12868</v>
      </c>
      <c r="T6252" t="s">
        <v>13232</v>
      </c>
      <c r="U6252" t="s">
        <v>13232</v>
      </c>
      <c r="V6252" t="s">
        <v>13232</v>
      </c>
      <c r="W6252" t="s">
        <v>19409</v>
      </c>
      <c r="X6252">
        <v>3</v>
      </c>
      <c r="Y6252" t="s">
        <v>25782</v>
      </c>
      <c r="Z6252" t="s">
        <v>32383</v>
      </c>
      <c r="AA6252">
        <v>0.58063271309487663</v>
      </c>
      <c r="AB6252" t="str">
        <f>HYPERLINK("Melting_Curves/meltCurve_Q9UKK3_PARP4.pdf", "Melting_Curves/meltCurve_Q9UKK3_PARP4.pdf")</f>
        <v>Melting_Curves/meltCurve_Q9UKK3_PARP4.pdf</v>
      </c>
    </row>
    <row r="6253" spans="1:28" x14ac:dyDescent="0.25">
      <c r="A6253" t="s">
        <v>6256</v>
      </c>
      <c r="B6253">
        <v>0.99930955844802105</v>
      </c>
      <c r="C6253">
        <v>0.87907350363513503</v>
      </c>
      <c r="D6253">
        <v>0.83444892232640799</v>
      </c>
      <c r="E6253">
        <v>0.53361460043560005</v>
      </c>
      <c r="F6253">
        <v>0.30163034945159201</v>
      </c>
      <c r="G6253">
        <v>0.14560007387282001</v>
      </c>
      <c r="H6253">
        <v>6.2801252673636801E-2</v>
      </c>
      <c r="I6253">
        <v>4.1130725149082698E-2</v>
      </c>
      <c r="J6253">
        <v>3.5704143820009401E-2</v>
      </c>
      <c r="K6253">
        <v>2.55888878844805E-2</v>
      </c>
      <c r="L6253">
        <v>784.31409533648105</v>
      </c>
      <c r="M6253">
        <v>15.608032205834</v>
      </c>
      <c r="N6253">
        <v>50.313576195812502</v>
      </c>
      <c r="O6253">
        <v>49.447464284858</v>
      </c>
      <c r="P6253">
        <v>-7.8156273572566506E-2</v>
      </c>
      <c r="Q6253">
        <v>9.6649186415047293E-3</v>
      </c>
      <c r="R6253">
        <v>0.99676479774821802</v>
      </c>
      <c r="S6253" t="s">
        <v>12869</v>
      </c>
      <c r="T6253" t="s">
        <v>13232</v>
      </c>
      <c r="U6253" t="s">
        <v>13232</v>
      </c>
      <c r="V6253" t="s">
        <v>13232</v>
      </c>
      <c r="W6253" t="s">
        <v>19410</v>
      </c>
      <c r="X6253">
        <v>16</v>
      </c>
      <c r="Y6253" t="s">
        <v>25783</v>
      </c>
      <c r="Z6253" t="s">
        <v>32384</v>
      </c>
      <c r="AA6253">
        <v>0.36989747551586472</v>
      </c>
      <c r="AB6253" t="str">
        <f>HYPERLINK("Melting_Curves/meltCurve_Q9UKL0_RCOR1.pdf", "Melting_Curves/meltCurve_Q9UKL0_RCOR1.pdf")</f>
        <v>Melting_Curves/meltCurve_Q9UKL0_RCOR1.pdf</v>
      </c>
    </row>
    <row r="6254" spans="1:28" x14ac:dyDescent="0.25">
      <c r="A6254" t="s">
        <v>6257</v>
      </c>
      <c r="B6254">
        <v>0.99930955844802105</v>
      </c>
      <c r="C6254">
        <v>1.0228157243642999</v>
      </c>
      <c r="D6254">
        <v>1.0278090632805601</v>
      </c>
      <c r="E6254">
        <v>0.96587627740848903</v>
      </c>
      <c r="F6254">
        <v>0.82716837769294105</v>
      </c>
      <c r="G6254">
        <v>0.64710324093323202</v>
      </c>
      <c r="H6254">
        <v>0.59138695479237602</v>
      </c>
      <c r="I6254">
        <v>0.58730982363602902</v>
      </c>
      <c r="J6254">
        <v>0.54185463615715102</v>
      </c>
      <c r="K6254">
        <v>0.439935466014299</v>
      </c>
      <c r="L6254">
        <v>1081.44915312751</v>
      </c>
      <c r="M6254">
        <v>19.6559131916793</v>
      </c>
      <c r="O6254">
        <v>54.4590537760999</v>
      </c>
      <c r="P6254">
        <v>-4.4568590877870601E-2</v>
      </c>
      <c r="Q6254">
        <v>0.50608694146792699</v>
      </c>
      <c r="R6254">
        <v>0.972951052825207</v>
      </c>
      <c r="S6254" t="s">
        <v>12870</v>
      </c>
      <c r="T6254" t="s">
        <v>13232</v>
      </c>
      <c r="U6254" t="s">
        <v>13232</v>
      </c>
      <c r="V6254" t="s">
        <v>13232</v>
      </c>
      <c r="W6254" t="s">
        <v>19411</v>
      </c>
      <c r="X6254">
        <v>16</v>
      </c>
      <c r="Y6254" t="s">
        <v>25784</v>
      </c>
      <c r="Z6254" t="s">
        <v>32385</v>
      </c>
      <c r="AA6254">
        <v>0.76010101086857695</v>
      </c>
      <c r="AB6254" t="str">
        <f>HYPERLINK("Melting_Curves/meltCurve_Q9UKL3_CASP8AP2.pdf", "Melting_Curves/meltCurve_Q9UKL3_CASP8AP2.pdf")</f>
        <v>Melting_Curves/meltCurve_Q9UKL3_CASP8AP2.pdf</v>
      </c>
    </row>
    <row r="6255" spans="1:28" x14ac:dyDescent="0.25">
      <c r="A6255" t="s">
        <v>6258</v>
      </c>
      <c r="B6255">
        <v>0.99930955844802105</v>
      </c>
      <c r="C6255">
        <v>1.1854814478476301</v>
      </c>
      <c r="D6255">
        <v>1.13213347429753</v>
      </c>
      <c r="E6255">
        <v>1.08810559537923</v>
      </c>
      <c r="F6255">
        <v>0.88696979851143898</v>
      </c>
      <c r="G6255">
        <v>0.65543845468401596</v>
      </c>
      <c r="H6255">
        <v>0.34398521045334401</v>
      </c>
      <c r="I6255">
        <v>0.17194634128255201</v>
      </c>
      <c r="J6255">
        <v>0.13521766690133499</v>
      </c>
      <c r="K6255">
        <v>9.0380956777141905E-2</v>
      </c>
      <c r="L6255">
        <v>1371.61791290989</v>
      </c>
      <c r="M6255">
        <v>23.506441627896901</v>
      </c>
      <c r="N6255">
        <v>58.7980419181646</v>
      </c>
      <c r="O6255">
        <v>57.933343514676601</v>
      </c>
      <c r="P6255">
        <v>-9.3133775007560704E-2</v>
      </c>
      <c r="Q6255">
        <v>8.1875782570515504E-2</v>
      </c>
      <c r="R6255">
        <v>0.96325904372206295</v>
      </c>
      <c r="S6255" t="s">
        <v>12871</v>
      </c>
      <c r="T6255" t="s">
        <v>13232</v>
      </c>
      <c r="U6255" t="s">
        <v>13232</v>
      </c>
      <c r="V6255" t="s">
        <v>13232</v>
      </c>
      <c r="W6255" t="s">
        <v>19412</v>
      </c>
      <c r="X6255">
        <v>13</v>
      </c>
      <c r="Y6255" t="s">
        <v>25785</v>
      </c>
      <c r="Z6255" t="s">
        <v>32386</v>
      </c>
      <c r="AA6255">
        <v>0.65196868621566328</v>
      </c>
      <c r="AB6255" t="str">
        <f>HYPERLINK("Melting_Curves/meltCurve_Q9UKL6_PCTP.pdf", "Melting_Curves/meltCurve_Q9UKL6_PCTP.pdf")</f>
        <v>Melting_Curves/meltCurve_Q9UKL6_PCTP.pdf</v>
      </c>
    </row>
    <row r="6256" spans="1:28" x14ac:dyDescent="0.25">
      <c r="A6256" t="s">
        <v>6259</v>
      </c>
      <c r="B6256">
        <v>0.99930955844802105</v>
      </c>
      <c r="C6256">
        <v>0.86962288648103403</v>
      </c>
      <c r="D6256">
        <v>0.77725910057379399</v>
      </c>
      <c r="E6256">
        <v>0.60961920589336505</v>
      </c>
      <c r="F6256">
        <v>0.28785048318675299</v>
      </c>
      <c r="G6256">
        <v>0.18054382021649101</v>
      </c>
      <c r="H6256">
        <v>0.11241486004238101</v>
      </c>
      <c r="I6256">
        <v>0.10795140049089499</v>
      </c>
      <c r="J6256">
        <v>9.5419046241573505E-2</v>
      </c>
      <c r="K6256">
        <v>7.6410101742112504E-2</v>
      </c>
      <c r="L6256">
        <v>733.51651593265694</v>
      </c>
      <c r="M6256">
        <v>14.6696752321971</v>
      </c>
      <c r="N6256">
        <v>50.4388159338097</v>
      </c>
      <c r="O6256">
        <v>49.100637731164198</v>
      </c>
      <c r="P6256">
        <v>-7.0246309766309606E-2</v>
      </c>
      <c r="Q6256">
        <v>5.9622698139629199E-2</v>
      </c>
      <c r="R6256">
        <v>0.98826681243143499</v>
      </c>
      <c r="S6256" t="s">
        <v>12872</v>
      </c>
      <c r="T6256" t="s">
        <v>13232</v>
      </c>
      <c r="U6256" t="s">
        <v>13232</v>
      </c>
      <c r="V6256" t="s">
        <v>13232</v>
      </c>
      <c r="W6256" t="s">
        <v>19413</v>
      </c>
      <c r="X6256">
        <v>24</v>
      </c>
      <c r="Y6256" t="s">
        <v>25786</v>
      </c>
      <c r="Z6256" t="s">
        <v>32387</v>
      </c>
      <c r="AA6256">
        <v>0.39647179096896051</v>
      </c>
      <c r="AB6256" t="str">
        <f>HYPERLINK("Melting_Curves/meltCurve_Q9UKN8_GTF3C4.pdf", "Melting_Curves/meltCurve_Q9UKN8_GTF3C4.pdf")</f>
        <v>Melting_Curves/meltCurve_Q9UKN8_GTF3C4.pdf</v>
      </c>
    </row>
    <row r="6257" spans="1:28" x14ac:dyDescent="0.25">
      <c r="A6257" t="s">
        <v>6260</v>
      </c>
      <c r="B6257">
        <v>0.99930955844802105</v>
      </c>
      <c r="C6257">
        <v>1.2756973179953499</v>
      </c>
      <c r="D6257">
        <v>0.71281181656372605</v>
      </c>
      <c r="E6257">
        <v>0.71456871246466103</v>
      </c>
      <c r="F6257">
        <v>0.52455212728856404</v>
      </c>
      <c r="G6257">
        <v>0.45025961493401201</v>
      </c>
      <c r="H6257">
        <v>0.432423228065411</v>
      </c>
      <c r="I6257">
        <v>0.37619061788587999</v>
      </c>
      <c r="J6257">
        <v>0.35104891457737403</v>
      </c>
      <c r="K6257">
        <v>0.30513799399841202</v>
      </c>
      <c r="L6257">
        <v>861.63533485265998</v>
      </c>
      <c r="M6257">
        <v>17.200275026997101</v>
      </c>
      <c r="N6257">
        <v>53.983771110515598</v>
      </c>
      <c r="O6257">
        <v>49.431854666107398</v>
      </c>
      <c r="P6257">
        <v>-5.6094090771400297E-2</v>
      </c>
      <c r="Q6257">
        <v>0.355202970394767</v>
      </c>
      <c r="R6257">
        <v>0.85131184436170804</v>
      </c>
      <c r="S6257" t="s">
        <v>12873</v>
      </c>
      <c r="T6257" t="s">
        <v>13232</v>
      </c>
      <c r="U6257" t="s">
        <v>13232</v>
      </c>
      <c r="V6257" t="s">
        <v>13232</v>
      </c>
      <c r="W6257" t="s">
        <v>19414</v>
      </c>
      <c r="X6257">
        <v>4</v>
      </c>
      <c r="Y6257" t="s">
        <v>25787</v>
      </c>
      <c r="Z6257" t="s">
        <v>32388</v>
      </c>
      <c r="AA6257">
        <v>0.58412183246791594</v>
      </c>
      <c r="AB6257" t="str">
        <f>HYPERLINK("Melting_Curves/meltCurve_Q9UKS6_PACSIN3.pdf", "Melting_Curves/meltCurve_Q9UKS6_PACSIN3.pdf")</f>
        <v>Melting_Curves/meltCurve_Q9UKS6_PACSIN3.pdf</v>
      </c>
    </row>
    <row r="6258" spans="1:28" x14ac:dyDescent="0.25">
      <c r="A6258" t="s">
        <v>6261</v>
      </c>
      <c r="B6258">
        <v>0.99930955844802105</v>
      </c>
      <c r="C6258">
        <v>1.0517416370155801</v>
      </c>
      <c r="D6258">
        <v>0.90093677405363803</v>
      </c>
      <c r="E6258">
        <v>0.747942456541282</v>
      </c>
      <c r="F6258">
        <v>0.33373924892692902</v>
      </c>
      <c r="G6258">
        <v>0.208204559099853</v>
      </c>
      <c r="H6258">
        <v>0.12706744535949799</v>
      </c>
      <c r="I6258">
        <v>0.108744064375438</v>
      </c>
      <c r="J6258">
        <v>9.1538158849744394E-2</v>
      </c>
      <c r="K6258">
        <v>6.8417380915631501E-2</v>
      </c>
      <c r="L6258">
        <v>1340.71120901941</v>
      </c>
      <c r="M6258">
        <v>26.0837775025485</v>
      </c>
      <c r="N6258">
        <v>51.835818471226297</v>
      </c>
      <c r="O6258">
        <v>51.100929137372397</v>
      </c>
      <c r="P6258">
        <v>-0.115050870293047</v>
      </c>
      <c r="Q6258">
        <v>9.8422066935789698E-2</v>
      </c>
      <c r="R6258">
        <v>0.99089499765351396</v>
      </c>
      <c r="S6258" t="s">
        <v>12874</v>
      </c>
      <c r="T6258" t="s">
        <v>13232</v>
      </c>
      <c r="U6258" t="s">
        <v>13232</v>
      </c>
      <c r="V6258" t="s">
        <v>13232</v>
      </c>
      <c r="W6258" t="s">
        <v>19415</v>
      </c>
      <c r="X6258">
        <v>11</v>
      </c>
      <c r="Y6258" t="s">
        <v>25788</v>
      </c>
      <c r="Z6258" t="s">
        <v>32389</v>
      </c>
      <c r="AA6258">
        <v>0.44855546456117518</v>
      </c>
      <c r="AB6258" t="str">
        <f>HYPERLINK("Melting_Curves/meltCurve_Q9UKT5_FBXO4.pdf", "Melting_Curves/meltCurve_Q9UKT5_FBXO4.pdf")</f>
        <v>Melting_Curves/meltCurve_Q9UKT5_FBXO4.pdf</v>
      </c>
    </row>
    <row r="6259" spans="1:28" x14ac:dyDescent="0.25">
      <c r="A6259" t="s">
        <v>6262</v>
      </c>
      <c r="B6259">
        <v>0.99930955844802105</v>
      </c>
      <c r="C6259">
        <v>1.0013136372629801</v>
      </c>
      <c r="D6259">
        <v>0.91783838025706099</v>
      </c>
      <c r="E6259">
        <v>0.827406818414959</v>
      </c>
      <c r="F6259">
        <v>0.71885269892216297</v>
      </c>
      <c r="G6259">
        <v>0.59500673017299599</v>
      </c>
      <c r="H6259">
        <v>0.602580162797001</v>
      </c>
      <c r="I6259">
        <v>0.64419161467379704</v>
      </c>
      <c r="J6259">
        <v>0.66082784483567003</v>
      </c>
      <c r="K6259">
        <v>0.51336733563746395</v>
      </c>
      <c r="L6259">
        <v>939.49055961788895</v>
      </c>
      <c r="M6259">
        <v>18.614339531789099</v>
      </c>
      <c r="O6259">
        <v>49.8996514988863</v>
      </c>
      <c r="P6259">
        <v>-3.81362987622752E-2</v>
      </c>
      <c r="Q6259">
        <v>0.59108821317263305</v>
      </c>
      <c r="R6259">
        <v>0.94501904724138597</v>
      </c>
      <c r="S6259" t="s">
        <v>12875</v>
      </c>
      <c r="T6259" t="s">
        <v>13232</v>
      </c>
      <c r="U6259" t="s">
        <v>13232</v>
      </c>
      <c r="V6259" t="s">
        <v>13232</v>
      </c>
      <c r="W6259" t="s">
        <v>19416</v>
      </c>
      <c r="X6259">
        <v>9</v>
      </c>
      <c r="Y6259" t="s">
        <v>25789</v>
      </c>
      <c r="Z6259" t="s">
        <v>32390</v>
      </c>
      <c r="AA6259">
        <v>0.74032879952157959</v>
      </c>
      <c r="AB6259" t="str">
        <f>HYPERLINK("Melting_Curves/meltCurve_Q9UKT9_7_IKZF3.pdf", "Melting_Curves/meltCurve_Q9UKT9_7_IKZF3.pdf")</f>
        <v>Melting_Curves/meltCurve_Q9UKT9_7_IKZF3.pdf</v>
      </c>
    </row>
    <row r="6260" spans="1:28" x14ac:dyDescent="0.25">
      <c r="A6260" t="s">
        <v>6263</v>
      </c>
      <c r="B6260">
        <v>0.99930955844802105</v>
      </c>
      <c r="C6260">
        <v>0.99069578467391906</v>
      </c>
      <c r="D6260">
        <v>0.94735480108296799</v>
      </c>
      <c r="E6260">
        <v>0.75725760781104301</v>
      </c>
      <c r="F6260">
        <v>0.42959204870124001</v>
      </c>
      <c r="G6260">
        <v>0.188304627792753</v>
      </c>
      <c r="H6260">
        <v>0.117193927686695</v>
      </c>
      <c r="I6260">
        <v>0.100540250205819</v>
      </c>
      <c r="J6260">
        <v>9.1979666147845904E-2</v>
      </c>
      <c r="K6260">
        <v>6.7540046011643304E-2</v>
      </c>
      <c r="L6260">
        <v>1237.9120559471501</v>
      </c>
      <c r="M6260">
        <v>23.805858380806601</v>
      </c>
      <c r="N6260">
        <v>52.401587895110602</v>
      </c>
      <c r="O6260">
        <v>51.6375563884814</v>
      </c>
      <c r="P6260">
        <v>-0.10565310899022599</v>
      </c>
      <c r="Q6260">
        <v>8.33217716642463E-2</v>
      </c>
      <c r="R6260">
        <v>0.99939526833488601</v>
      </c>
      <c r="S6260" t="s">
        <v>12876</v>
      </c>
      <c r="T6260" t="s">
        <v>13232</v>
      </c>
      <c r="U6260" t="s">
        <v>13232</v>
      </c>
      <c r="V6260" t="s">
        <v>13232</v>
      </c>
      <c r="W6260" t="s">
        <v>19417</v>
      </c>
      <c r="X6260">
        <v>9</v>
      </c>
      <c r="Y6260" t="s">
        <v>25790</v>
      </c>
      <c r="Z6260" t="s">
        <v>32391</v>
      </c>
      <c r="AA6260">
        <v>0.45919259736794532</v>
      </c>
      <c r="AB6260" t="str">
        <f>HYPERLINK("Melting_Curves/meltCurve_Q9UKU7_ACAD8.pdf", "Melting_Curves/meltCurve_Q9UKU7_ACAD8.pdf")</f>
        <v>Melting_Curves/meltCurve_Q9UKU7_ACAD8.pdf</v>
      </c>
    </row>
    <row r="6261" spans="1:28" x14ac:dyDescent="0.25">
      <c r="A6261" t="s">
        <v>6264</v>
      </c>
      <c r="B6261">
        <v>0.99930955844802105</v>
      </c>
      <c r="C6261">
        <v>1.0970848351243401</v>
      </c>
      <c r="D6261">
        <v>1.1475298428745</v>
      </c>
      <c r="E6261">
        <v>1.0743589788111301</v>
      </c>
      <c r="F6261">
        <v>0.99094756401821404</v>
      </c>
      <c r="G6261">
        <v>0.99357171221088403</v>
      </c>
      <c r="H6261">
        <v>1.05653983272185</v>
      </c>
      <c r="I6261">
        <v>1.1645292295594001</v>
      </c>
      <c r="J6261">
        <v>1.18243996884533</v>
      </c>
      <c r="K6261">
        <v>0.96199435714528803</v>
      </c>
      <c r="L6261">
        <v>10280.776609967401</v>
      </c>
      <c r="M6261">
        <v>250</v>
      </c>
      <c r="O6261">
        <v>41.120474847109897</v>
      </c>
      <c r="P6261">
        <v>0.11298056546419399</v>
      </c>
      <c r="Q6261">
        <v>1.07433303189497</v>
      </c>
      <c r="R6261">
        <v>8.8586229959064705E-2</v>
      </c>
      <c r="S6261" t="s">
        <v>12877</v>
      </c>
      <c r="T6261" t="s">
        <v>13232</v>
      </c>
      <c r="U6261" t="s">
        <v>13232</v>
      </c>
      <c r="V6261" t="s">
        <v>13232</v>
      </c>
      <c r="W6261" t="s">
        <v>19418</v>
      </c>
      <c r="X6261">
        <v>34</v>
      </c>
      <c r="Y6261" t="s">
        <v>25791</v>
      </c>
      <c r="Z6261" t="s">
        <v>32392</v>
      </c>
      <c r="AA6261">
        <v>1.0715445282871989</v>
      </c>
      <c r="AB6261" t="str">
        <f>HYPERLINK("Melting_Curves/meltCurve_Q9UKV3_ACIN1.pdf", "Melting_Curves/meltCurve_Q9UKV3_ACIN1.pdf")</f>
        <v>Melting_Curves/meltCurve_Q9UKV3_ACIN1.pdf</v>
      </c>
    </row>
    <row r="6262" spans="1:28" x14ac:dyDescent="0.25">
      <c r="A6262" t="s">
        <v>6265</v>
      </c>
      <c r="B6262">
        <v>0.99930955844802105</v>
      </c>
      <c r="C6262">
        <v>1.0208937123803301</v>
      </c>
      <c r="D6262">
        <v>0.98516656183935103</v>
      </c>
      <c r="E6262">
        <v>0.91814072467199104</v>
      </c>
      <c r="F6262">
        <v>0.83167634150117198</v>
      </c>
      <c r="G6262">
        <v>0.75454919267985499</v>
      </c>
      <c r="H6262">
        <v>0.69701508050673899</v>
      </c>
      <c r="I6262">
        <v>0.79054409446226104</v>
      </c>
      <c r="J6262">
        <v>0.747337651714579</v>
      </c>
      <c r="K6262">
        <v>0.51325449873859996</v>
      </c>
      <c r="L6262">
        <v>356.24773979188399</v>
      </c>
      <c r="M6262">
        <v>5.02748966288513</v>
      </c>
      <c r="O6262">
        <v>61.923698085581499</v>
      </c>
      <c r="P6262">
        <v>-1.6667979728298699E-2</v>
      </c>
      <c r="Q6262">
        <v>0.18370974986522901</v>
      </c>
      <c r="R6262">
        <v>0.83317327047664502</v>
      </c>
      <c r="S6262" t="s">
        <v>12878</v>
      </c>
      <c r="T6262" t="s">
        <v>13232</v>
      </c>
      <c r="U6262" t="s">
        <v>13232</v>
      </c>
      <c r="V6262" t="s">
        <v>13232</v>
      </c>
      <c r="W6262" t="s">
        <v>19419</v>
      </c>
      <c r="X6262">
        <v>32</v>
      </c>
      <c r="Y6262" t="s">
        <v>25791</v>
      </c>
      <c r="Z6262" t="s">
        <v>32393</v>
      </c>
      <c r="AA6262">
        <v>0.82662769707241501</v>
      </c>
      <c r="AB6262" t="str">
        <f>HYPERLINK("Melting_Curves/meltCurve_Q9UKV3_5_ACIN1.pdf", "Melting_Curves/meltCurve_Q9UKV3_5_ACIN1.pdf")</f>
        <v>Melting_Curves/meltCurve_Q9UKV3_5_ACIN1.pdf</v>
      </c>
    </row>
    <row r="6263" spans="1:28" x14ac:dyDescent="0.25">
      <c r="A6263" t="s">
        <v>6266</v>
      </c>
      <c r="B6263">
        <v>0.99930955844802105</v>
      </c>
      <c r="C6263">
        <v>0.81273775971737205</v>
      </c>
      <c r="D6263">
        <v>0.84279159724280805</v>
      </c>
      <c r="E6263">
        <v>0.93434909180549597</v>
      </c>
      <c r="F6263">
        <v>0.93105954837675198</v>
      </c>
      <c r="G6263">
        <v>0.75889833137008</v>
      </c>
      <c r="H6263">
        <v>0.38122454955705198</v>
      </c>
      <c r="I6263">
        <v>0.34803736688216402</v>
      </c>
      <c r="J6263">
        <v>0.24290886184639701</v>
      </c>
      <c r="K6263">
        <v>0.100961258676773</v>
      </c>
      <c r="L6263">
        <v>878.27059661748206</v>
      </c>
      <c r="M6263">
        <v>14.529850998518</v>
      </c>
      <c r="N6263">
        <v>60.522277329769302</v>
      </c>
      <c r="O6263">
        <v>59.335583003540599</v>
      </c>
      <c r="P6263">
        <v>-6.0670091996512202E-2</v>
      </c>
      <c r="Q6263">
        <v>9.0790714967643894E-3</v>
      </c>
      <c r="R6263">
        <v>0.92654663354381706</v>
      </c>
      <c r="S6263" t="s">
        <v>12879</v>
      </c>
      <c r="T6263" t="s">
        <v>13232</v>
      </c>
      <c r="U6263" t="s">
        <v>13232</v>
      </c>
      <c r="V6263" t="s">
        <v>13232</v>
      </c>
      <c r="W6263" t="s">
        <v>19420</v>
      </c>
      <c r="X6263">
        <v>32</v>
      </c>
      <c r="Y6263" t="s">
        <v>25792</v>
      </c>
      <c r="Z6263" t="s">
        <v>32394</v>
      </c>
      <c r="AA6263">
        <v>0.68884311013827104</v>
      </c>
      <c r="AB6263" t="str">
        <f>HYPERLINK("Melting_Curves/meltCurve_Q9UKV8_AGO2.pdf", "Melting_Curves/meltCurve_Q9UKV8_AGO2.pdf")</f>
        <v>Melting_Curves/meltCurve_Q9UKV8_AGO2.pdf</v>
      </c>
    </row>
    <row r="6264" spans="1:28" x14ac:dyDescent="0.25">
      <c r="A6264" t="s">
        <v>6267</v>
      </c>
      <c r="B6264">
        <v>0.99930955844802105</v>
      </c>
      <c r="C6264">
        <v>1.1338537252783201</v>
      </c>
      <c r="D6264">
        <v>1.15564764436593</v>
      </c>
      <c r="E6264">
        <v>1.1468344476519401</v>
      </c>
      <c r="F6264">
        <v>1.0485491988910201</v>
      </c>
      <c r="G6264">
        <v>0.90316712057462301</v>
      </c>
      <c r="H6264">
        <v>0.841062776787595</v>
      </c>
      <c r="I6264">
        <v>0.71870870039058199</v>
      </c>
      <c r="J6264">
        <v>0.65206927053782804</v>
      </c>
      <c r="K6264">
        <v>0.50645209043228701</v>
      </c>
      <c r="L6264">
        <v>1111.53731409173</v>
      </c>
      <c r="M6264">
        <v>17.131386861358799</v>
      </c>
      <c r="O6264">
        <v>64.018355077887307</v>
      </c>
      <c r="P6264">
        <v>-4.07751939345075E-2</v>
      </c>
      <c r="Q6264">
        <v>0.39054455840947599</v>
      </c>
      <c r="R6264">
        <v>0.84343942319617704</v>
      </c>
      <c r="S6264" t="s">
        <v>12880</v>
      </c>
      <c r="T6264" t="s">
        <v>13232</v>
      </c>
      <c r="U6264" t="s">
        <v>13232</v>
      </c>
      <c r="V6264" t="s">
        <v>13232</v>
      </c>
      <c r="W6264" t="s">
        <v>19421</v>
      </c>
      <c r="X6264">
        <v>22</v>
      </c>
      <c r="Y6264" t="s">
        <v>25793</v>
      </c>
      <c r="Z6264" t="s">
        <v>32395</v>
      </c>
      <c r="AA6264">
        <v>0.88525710035473681</v>
      </c>
      <c r="AB6264" t="str">
        <f>HYPERLINK("Melting_Curves/meltCurve_Q9UKX7_NUP50.pdf", "Melting_Curves/meltCurve_Q9UKX7_NUP50.pdf")</f>
        <v>Melting_Curves/meltCurve_Q9UKX7_NUP50.pdf</v>
      </c>
    </row>
    <row r="6265" spans="1:28" x14ac:dyDescent="0.25">
      <c r="A6265" t="s">
        <v>6268</v>
      </c>
      <c r="B6265">
        <v>0.99930955844802105</v>
      </c>
      <c r="C6265">
        <v>1.1699118011899301</v>
      </c>
      <c r="D6265">
        <v>1.1750521419533899</v>
      </c>
      <c r="E6265">
        <v>1.1331253221219599</v>
      </c>
      <c r="F6265">
        <v>0.95215072740680795</v>
      </c>
      <c r="G6265">
        <v>0.876560215262284</v>
      </c>
      <c r="H6265">
        <v>0.73737284451339702</v>
      </c>
      <c r="I6265">
        <v>0.71117262208234899</v>
      </c>
      <c r="J6265">
        <v>0.75058047316939203</v>
      </c>
      <c r="K6265">
        <v>0.63523996255120696</v>
      </c>
      <c r="L6265">
        <v>1757.31566080472</v>
      </c>
      <c r="M6265">
        <v>30.428995942881699</v>
      </c>
      <c r="O6265">
        <v>57.503649429465199</v>
      </c>
      <c r="P6265">
        <v>-4.0952824192117501E-2</v>
      </c>
      <c r="Q6265">
        <v>0.69043707348948402</v>
      </c>
      <c r="R6265">
        <v>0.76879588150988398</v>
      </c>
      <c r="S6265" t="s">
        <v>12881</v>
      </c>
      <c r="T6265" t="s">
        <v>13232</v>
      </c>
      <c r="U6265" t="s">
        <v>13232</v>
      </c>
      <c r="V6265" t="s">
        <v>13232</v>
      </c>
      <c r="W6265" t="s">
        <v>19422</v>
      </c>
      <c r="X6265">
        <v>5</v>
      </c>
      <c r="Y6265" t="s">
        <v>25794</v>
      </c>
      <c r="Z6265" t="s">
        <v>32396</v>
      </c>
      <c r="AA6265">
        <v>0.87560663120394533</v>
      </c>
      <c r="AB6265" t="str">
        <f>HYPERLINK("Melting_Curves/meltCurve_Q9UKY1_ZHX1.pdf", "Melting_Curves/meltCurve_Q9UKY1_ZHX1.pdf")</f>
        <v>Melting_Curves/meltCurve_Q9UKY1_ZHX1.pdf</v>
      </c>
    </row>
    <row r="6266" spans="1:28" x14ac:dyDescent="0.25">
      <c r="A6266" t="s">
        <v>6269</v>
      </c>
      <c r="B6266">
        <v>0.99930955844802105</v>
      </c>
      <c r="C6266">
        <v>0.98013013990419195</v>
      </c>
      <c r="D6266">
        <v>0.99767812417261303</v>
      </c>
      <c r="E6266">
        <v>1.01264442939234</v>
      </c>
      <c r="F6266">
        <v>0.88577387181660405</v>
      </c>
      <c r="G6266">
        <v>0.85781929757488795</v>
      </c>
      <c r="H6266">
        <v>0.871589273483524</v>
      </c>
      <c r="I6266">
        <v>0.91579513955721703</v>
      </c>
      <c r="J6266">
        <v>0.91346563981953699</v>
      </c>
      <c r="K6266">
        <v>0.75087290728924805</v>
      </c>
      <c r="L6266">
        <v>13167.015727402801</v>
      </c>
      <c r="M6266">
        <v>250</v>
      </c>
      <c r="O6266">
        <v>52.664686362379797</v>
      </c>
      <c r="P6266">
        <v>-0.16388063215155699</v>
      </c>
      <c r="Q6266">
        <v>0.86190843054128197</v>
      </c>
      <c r="R6266">
        <v>0.69342658264048396</v>
      </c>
      <c r="S6266" t="s">
        <v>12882</v>
      </c>
      <c r="T6266" t="s">
        <v>13232</v>
      </c>
      <c r="U6266" t="s">
        <v>13232</v>
      </c>
      <c r="V6266" t="s">
        <v>13232</v>
      </c>
      <c r="W6266" t="s">
        <v>19423</v>
      </c>
      <c r="X6266">
        <v>17</v>
      </c>
      <c r="Y6266" t="s">
        <v>25795</v>
      </c>
      <c r="Z6266" t="s">
        <v>32397</v>
      </c>
      <c r="AA6266">
        <v>0.92023295087656687</v>
      </c>
      <c r="AB6266" t="str">
        <f>HYPERLINK("Melting_Curves/meltCurve_Q9UKY7_CDV3.pdf", "Melting_Curves/meltCurve_Q9UKY7_CDV3.pdf")</f>
        <v>Melting_Curves/meltCurve_Q9UKY7_CDV3.pdf</v>
      </c>
    </row>
    <row r="6267" spans="1:28" x14ac:dyDescent="0.25">
      <c r="A6267" t="s">
        <v>6270</v>
      </c>
      <c r="B6267">
        <v>0.99930955844802105</v>
      </c>
      <c r="C6267">
        <v>1.1913736639909001</v>
      </c>
      <c r="D6267">
        <v>1.1057769241832101</v>
      </c>
      <c r="E6267">
        <v>0.85537952628210701</v>
      </c>
      <c r="F6267">
        <v>0.41945282059324002</v>
      </c>
      <c r="G6267">
        <v>0.261465966508801</v>
      </c>
      <c r="H6267">
        <v>0.184720034282538</v>
      </c>
      <c r="I6267">
        <v>0.17924379029089499</v>
      </c>
      <c r="J6267">
        <v>0.16219276681495001</v>
      </c>
      <c r="K6267">
        <v>0.115296206584499</v>
      </c>
      <c r="L6267">
        <v>2044.40653356691</v>
      </c>
      <c r="M6267">
        <v>39.354261517464799</v>
      </c>
      <c r="N6267">
        <v>52.515704627260803</v>
      </c>
      <c r="O6267">
        <v>51.815197932500602</v>
      </c>
      <c r="P6267">
        <v>-0.157018134681502</v>
      </c>
      <c r="Q6267">
        <v>0.173059469895575</v>
      </c>
      <c r="R6267">
        <v>0.96707030114685899</v>
      </c>
      <c r="S6267" t="s">
        <v>12883</v>
      </c>
      <c r="T6267" t="s">
        <v>13232</v>
      </c>
      <c r="U6267" t="s">
        <v>13232</v>
      </c>
      <c r="V6267" t="s">
        <v>13232</v>
      </c>
      <c r="W6267" t="s">
        <v>19424</v>
      </c>
      <c r="X6267">
        <v>8</v>
      </c>
      <c r="Y6267" t="s">
        <v>25796</v>
      </c>
      <c r="Z6267" t="s">
        <v>32398</v>
      </c>
      <c r="AA6267">
        <v>0.50549111549353754</v>
      </c>
      <c r="AB6267" t="str">
        <f>HYPERLINK("Melting_Curves/meltCurve_Q9UKZ1_CNOT11.pdf", "Melting_Curves/meltCurve_Q9UKZ1_CNOT11.pdf")</f>
        <v>Melting_Curves/meltCurve_Q9UKZ1_CNOT11.pdf</v>
      </c>
    </row>
    <row r="6268" spans="1:28" x14ac:dyDescent="0.25">
      <c r="A6268" t="s">
        <v>6271</v>
      </c>
      <c r="B6268">
        <v>0.99930955844802105</v>
      </c>
      <c r="C6268">
        <v>1.0641979737165499</v>
      </c>
      <c r="D6268">
        <v>1.04278985922085</v>
      </c>
      <c r="E6268">
        <v>1.0938792208732799</v>
      </c>
      <c r="F6268">
        <v>0.89048773589876495</v>
      </c>
      <c r="G6268">
        <v>0.70680450505787695</v>
      </c>
      <c r="H6268">
        <v>0.75802401235389305</v>
      </c>
      <c r="I6268">
        <v>0.77140345247372299</v>
      </c>
      <c r="J6268">
        <v>0.77329368047288305</v>
      </c>
      <c r="K6268">
        <v>0.64557011259973096</v>
      </c>
      <c r="L6268">
        <v>13269.9180186018</v>
      </c>
      <c r="M6268">
        <v>250</v>
      </c>
      <c r="O6268">
        <v>53.076275354893902</v>
      </c>
      <c r="P6268">
        <v>-0.31673856463493699</v>
      </c>
      <c r="Q6268">
        <v>0.73101914810104696</v>
      </c>
      <c r="R6268">
        <v>0.88981347671567901</v>
      </c>
      <c r="S6268" t="s">
        <v>12884</v>
      </c>
      <c r="T6268" t="s">
        <v>13232</v>
      </c>
      <c r="U6268" t="s">
        <v>13232</v>
      </c>
      <c r="V6268" t="s">
        <v>13232</v>
      </c>
      <c r="W6268" t="s">
        <v>19425</v>
      </c>
      <c r="X6268">
        <v>5</v>
      </c>
      <c r="Y6268" t="s">
        <v>25797</v>
      </c>
      <c r="Z6268" t="s">
        <v>32399</v>
      </c>
      <c r="AA6268">
        <v>0.84831691598065773</v>
      </c>
      <c r="AB6268" t="str">
        <f>HYPERLINK("Melting_Curves/meltCurve_Q9UL03_3_INTS6.pdf", "Melting_Curves/meltCurve_Q9UL03_3_INTS6.pdf")</f>
        <v>Melting_Curves/meltCurve_Q9UL03_3_INTS6.pdf</v>
      </c>
    </row>
    <row r="6269" spans="1:28" x14ac:dyDescent="0.25">
      <c r="A6269" t="s">
        <v>6272</v>
      </c>
      <c r="B6269">
        <v>0.99930955844802105</v>
      </c>
      <c r="C6269">
        <v>1.04849278780461</v>
      </c>
      <c r="D6269">
        <v>1.0294935136814201</v>
      </c>
      <c r="E6269">
        <v>0.85853680678507904</v>
      </c>
      <c r="F6269">
        <v>0.428455858769696</v>
      </c>
      <c r="G6269">
        <v>0.223679333977683</v>
      </c>
      <c r="H6269">
        <v>0.139697148689503</v>
      </c>
      <c r="I6269">
        <v>0.12152972587403101</v>
      </c>
      <c r="J6269">
        <v>0.11298606445211901</v>
      </c>
      <c r="K6269">
        <v>8.8567303384724405E-2</v>
      </c>
      <c r="L6269">
        <v>1802.85779337692</v>
      </c>
      <c r="M6269">
        <v>34.532364181176902</v>
      </c>
      <c r="N6269">
        <v>52.641261734729802</v>
      </c>
      <c r="O6269">
        <v>52.033621989107701</v>
      </c>
      <c r="P6269">
        <v>-0.145381623916606</v>
      </c>
      <c r="Q6269">
        <v>0.12375483176338301</v>
      </c>
      <c r="R6269">
        <v>0.99447874491266497</v>
      </c>
      <c r="S6269" t="s">
        <v>12885</v>
      </c>
      <c r="T6269" t="s">
        <v>13232</v>
      </c>
      <c r="U6269" t="s">
        <v>13232</v>
      </c>
      <c r="V6269" t="s">
        <v>13232</v>
      </c>
      <c r="W6269" t="s">
        <v>19426</v>
      </c>
      <c r="X6269">
        <v>12</v>
      </c>
      <c r="Y6269" t="s">
        <v>25798</v>
      </c>
      <c r="Z6269" t="s">
        <v>32400</v>
      </c>
      <c r="AA6269">
        <v>0.4845658913166303</v>
      </c>
      <c r="AB6269" t="str">
        <f>HYPERLINK("Melting_Curves/meltCurve_Q9UL15_BAG5.pdf", "Melting_Curves/meltCurve_Q9UL15_BAG5.pdf")</f>
        <v>Melting_Curves/meltCurve_Q9UL15_BAG5.pdf</v>
      </c>
    </row>
    <row r="6270" spans="1:28" x14ac:dyDescent="0.25">
      <c r="A6270" t="s">
        <v>6273</v>
      </c>
      <c r="B6270">
        <v>0.99930955844802105</v>
      </c>
      <c r="C6270">
        <v>1.0256179446117499</v>
      </c>
      <c r="D6270">
        <v>1.0013218646854101</v>
      </c>
      <c r="E6270">
        <v>0.99196657467788796</v>
      </c>
      <c r="F6270">
        <v>0.88680110608359397</v>
      </c>
      <c r="G6270">
        <v>0.57442443642768803</v>
      </c>
      <c r="H6270">
        <v>0.18421672812623699</v>
      </c>
      <c r="I6270">
        <v>0.11725307269035801</v>
      </c>
      <c r="J6270">
        <v>8.4866794006834695E-2</v>
      </c>
      <c r="K6270">
        <v>6.1307669252520798E-2</v>
      </c>
      <c r="L6270">
        <v>1581.9569371601999</v>
      </c>
      <c r="M6270">
        <v>27.6305871409274</v>
      </c>
      <c r="N6270">
        <v>57.518775098769503</v>
      </c>
      <c r="O6270">
        <v>56.956459065404196</v>
      </c>
      <c r="P6270">
        <v>-0.114033433254029</v>
      </c>
      <c r="Q6270">
        <v>5.9754947161549901E-2</v>
      </c>
      <c r="R6270">
        <v>0.99879480470366899</v>
      </c>
      <c r="S6270" t="s">
        <v>12886</v>
      </c>
      <c r="T6270" t="s">
        <v>13232</v>
      </c>
      <c r="U6270" t="s">
        <v>13232</v>
      </c>
      <c r="V6270" t="s">
        <v>13232</v>
      </c>
      <c r="W6270" t="s">
        <v>19427</v>
      </c>
      <c r="X6270">
        <v>9</v>
      </c>
      <c r="Y6270" t="s">
        <v>25799</v>
      </c>
      <c r="Z6270" t="s">
        <v>32401</v>
      </c>
      <c r="AA6270">
        <v>0.60769765938725628</v>
      </c>
      <c r="AB6270" t="str">
        <f>HYPERLINK("Melting_Curves/meltCurve_Q9UL25_RAB21.pdf", "Melting_Curves/meltCurve_Q9UL25_RAB21.pdf")</f>
        <v>Melting_Curves/meltCurve_Q9UL25_RAB21.pdf</v>
      </c>
    </row>
    <row r="6271" spans="1:28" x14ac:dyDescent="0.25">
      <c r="A6271" t="s">
        <v>6274</v>
      </c>
      <c r="B6271">
        <v>0.99930955844802105</v>
      </c>
      <c r="C6271">
        <v>1.06220370725628</v>
      </c>
      <c r="D6271">
        <v>1.09200581910242</v>
      </c>
      <c r="E6271">
        <v>0.99093862251411702</v>
      </c>
      <c r="F6271">
        <v>0.79465992458414803</v>
      </c>
      <c r="G6271">
        <v>0.39899822514862698</v>
      </c>
      <c r="H6271">
        <v>0.15715975379510899</v>
      </c>
      <c r="I6271">
        <v>0.145693436741168</v>
      </c>
      <c r="J6271">
        <v>0.12824246935743</v>
      </c>
      <c r="K6271">
        <v>0.10250692321591801</v>
      </c>
      <c r="L6271">
        <v>1610.1473279091099</v>
      </c>
      <c r="M6271">
        <v>29.055082106499199</v>
      </c>
      <c r="N6271">
        <v>55.915240411719502</v>
      </c>
      <c r="O6271">
        <v>55.156548382874099</v>
      </c>
      <c r="P6271">
        <v>-0.116676655360059</v>
      </c>
      <c r="Q6271">
        <v>0.114036857465784</v>
      </c>
      <c r="R6271">
        <v>0.99142830704987805</v>
      </c>
      <c r="S6271" t="s">
        <v>12887</v>
      </c>
      <c r="T6271" t="s">
        <v>13232</v>
      </c>
      <c r="U6271" t="s">
        <v>13232</v>
      </c>
      <c r="V6271" t="s">
        <v>13232</v>
      </c>
      <c r="W6271" t="s">
        <v>19428</v>
      </c>
      <c r="X6271">
        <v>6</v>
      </c>
      <c r="Y6271" t="s">
        <v>25800</v>
      </c>
      <c r="Z6271" t="s">
        <v>32402</v>
      </c>
      <c r="AA6271">
        <v>0.57558960874899223</v>
      </c>
      <c r="AB6271" t="str">
        <f>HYPERLINK("Melting_Curves/meltCurve_Q9UL26_RAB22A.pdf", "Melting_Curves/meltCurve_Q9UL26_RAB22A.pdf")</f>
        <v>Melting_Curves/meltCurve_Q9UL26_RAB22A.pdf</v>
      </c>
    </row>
    <row r="6272" spans="1:28" x14ac:dyDescent="0.25">
      <c r="A6272" t="s">
        <v>6275</v>
      </c>
      <c r="B6272">
        <v>0.99930955844802105</v>
      </c>
      <c r="C6272">
        <v>0.957626039520588</v>
      </c>
      <c r="D6272">
        <v>1.00622813769001</v>
      </c>
      <c r="E6272">
        <v>0.85471657096511999</v>
      </c>
      <c r="F6272">
        <v>0.92707286282359402</v>
      </c>
      <c r="G6272">
        <v>0.67777556796133198</v>
      </c>
      <c r="H6272">
        <v>0.26744264854198602</v>
      </c>
      <c r="I6272">
        <v>0.135886937310008</v>
      </c>
      <c r="J6272">
        <v>8.7342300371894693E-2</v>
      </c>
      <c r="K6272">
        <v>6.9070765778311297E-2</v>
      </c>
      <c r="L6272">
        <v>1403.0786952170199</v>
      </c>
      <c r="M6272">
        <v>24.059402640283</v>
      </c>
      <c r="N6272">
        <v>58.5307895190167</v>
      </c>
      <c r="O6272">
        <v>57.918867502405497</v>
      </c>
      <c r="P6272">
        <v>-9.9487968397069096E-2</v>
      </c>
      <c r="Q6272">
        <v>4.2014415037267799E-2</v>
      </c>
      <c r="R6272">
        <v>0.98691257749637096</v>
      </c>
      <c r="S6272" t="s">
        <v>12888</v>
      </c>
      <c r="T6272" t="s">
        <v>13232</v>
      </c>
      <c r="U6272" t="s">
        <v>13232</v>
      </c>
      <c r="V6272" t="s">
        <v>13232</v>
      </c>
      <c r="W6272" t="s">
        <v>19429</v>
      </c>
      <c r="X6272">
        <v>13</v>
      </c>
      <c r="Y6272" t="s">
        <v>25801</v>
      </c>
      <c r="Z6272" t="s">
        <v>32403</v>
      </c>
      <c r="AA6272">
        <v>0.63555807209657367</v>
      </c>
      <c r="AB6272" t="str">
        <f>HYPERLINK("Melting_Curves/meltCurve_Q9UL46_PSME2.pdf", "Melting_Curves/meltCurve_Q9UL46_PSME2.pdf")</f>
        <v>Melting_Curves/meltCurve_Q9UL46_PSME2.pdf</v>
      </c>
    </row>
    <row r="6273" spans="1:28" x14ac:dyDescent="0.25">
      <c r="A6273" t="s">
        <v>6276</v>
      </c>
      <c r="B6273">
        <v>0.99930955844802105</v>
      </c>
      <c r="C6273">
        <v>0.72289641385566095</v>
      </c>
      <c r="D6273">
        <v>0.32067597018584898</v>
      </c>
      <c r="E6273">
        <v>0.215157554329683</v>
      </c>
      <c r="F6273">
        <v>0.13132119165669301</v>
      </c>
      <c r="G6273">
        <v>9.9661126684250798E-2</v>
      </c>
      <c r="H6273">
        <v>5.2823737803835501E-2</v>
      </c>
      <c r="I6273">
        <v>5.1457166838190099E-2</v>
      </c>
      <c r="J6273">
        <v>4.5160096664353999E-2</v>
      </c>
      <c r="K6273">
        <v>3.5676792760083002E-2</v>
      </c>
      <c r="L6273">
        <v>1054.1348036061199</v>
      </c>
      <c r="M6273">
        <v>23.7036559823419</v>
      </c>
      <c r="N6273">
        <v>44.768041059471898</v>
      </c>
      <c r="O6273">
        <v>44.158509571650697</v>
      </c>
      <c r="P6273">
        <v>-0.124446486924532</v>
      </c>
      <c r="Q6273">
        <v>7.2669646862436002E-2</v>
      </c>
      <c r="R6273">
        <v>0.98301614882000699</v>
      </c>
      <c r="S6273" t="s">
        <v>12889</v>
      </c>
      <c r="T6273" t="s">
        <v>13232</v>
      </c>
      <c r="U6273" t="s">
        <v>13232</v>
      </c>
      <c r="V6273" t="s">
        <v>13232</v>
      </c>
      <c r="W6273" t="s">
        <v>19430</v>
      </c>
      <c r="X6273">
        <v>9</v>
      </c>
      <c r="Y6273" t="s">
        <v>25802</v>
      </c>
      <c r="Z6273" t="s">
        <v>32404</v>
      </c>
      <c r="AA6273">
        <v>0.22209611167717239</v>
      </c>
      <c r="AB6273" t="str">
        <f>HYPERLINK("Melting_Curves/meltCurve_Q9UL54_2_TAOK2.pdf", "Melting_Curves/meltCurve_Q9UL54_2_TAOK2.pdf")</f>
        <v>Melting_Curves/meltCurve_Q9UL54_2_TAOK2.pdf</v>
      </c>
    </row>
    <row r="6274" spans="1:28" x14ac:dyDescent="0.25">
      <c r="A6274" t="s">
        <v>6277</v>
      </c>
      <c r="B6274">
        <v>0.99930955844802105</v>
      </c>
      <c r="C6274">
        <v>0.61132815928647599</v>
      </c>
      <c r="D6274">
        <v>0.65537299534964799</v>
      </c>
      <c r="E6274">
        <v>0.636386906150187</v>
      </c>
      <c r="F6274">
        <v>0.64589327944216102</v>
      </c>
      <c r="G6274">
        <v>0.34415365218122801</v>
      </c>
      <c r="H6274">
        <v>0.14351951018783601</v>
      </c>
      <c r="I6274">
        <v>0.12502903232273899</v>
      </c>
      <c r="J6274">
        <v>0.10828101907819999</v>
      </c>
      <c r="K6274">
        <v>9.2499826835900398E-2</v>
      </c>
      <c r="L6274">
        <v>394.00031130922002</v>
      </c>
      <c r="M6274">
        <v>7.6263650055296504</v>
      </c>
      <c r="N6274">
        <v>51.6629210568791</v>
      </c>
      <c r="O6274">
        <v>48.469963716553799</v>
      </c>
      <c r="P6274">
        <v>-3.9388680003235303E-2</v>
      </c>
      <c r="Q6274">
        <v>0</v>
      </c>
      <c r="R6274">
        <v>0.86870249579437397</v>
      </c>
      <c r="S6274" t="s">
        <v>12890</v>
      </c>
      <c r="T6274" t="s">
        <v>13232</v>
      </c>
      <c r="U6274" t="s">
        <v>13232</v>
      </c>
      <c r="V6274" t="s">
        <v>13232</v>
      </c>
      <c r="W6274" t="s">
        <v>19431</v>
      </c>
      <c r="X6274">
        <v>8</v>
      </c>
      <c r="Y6274" t="s">
        <v>25803</v>
      </c>
      <c r="Z6274" t="s">
        <v>32405</v>
      </c>
      <c r="AA6274">
        <v>0.44013384482486501</v>
      </c>
      <c r="AB6274" t="str">
        <f>HYPERLINK("Melting_Curves/meltCurve_Q9UL63_MKLN1.pdf", "Melting_Curves/meltCurve_Q9UL63_MKLN1.pdf")</f>
        <v>Melting_Curves/meltCurve_Q9UL63_MKLN1.pdf</v>
      </c>
    </row>
    <row r="6275" spans="1:28" x14ac:dyDescent="0.25">
      <c r="A6275" t="s">
        <v>6278</v>
      </c>
      <c r="B6275">
        <v>0.99930955844802105</v>
      </c>
      <c r="C6275">
        <v>0.74618020649863404</v>
      </c>
      <c r="D6275">
        <v>0.78201131785794997</v>
      </c>
      <c r="E6275">
        <v>0.91905565520084798</v>
      </c>
      <c r="F6275">
        <v>1.0459299665670401</v>
      </c>
      <c r="G6275">
        <v>0.74638360971274198</v>
      </c>
      <c r="H6275">
        <v>0.25620254194386199</v>
      </c>
      <c r="I6275">
        <v>0.26250966964980799</v>
      </c>
      <c r="J6275">
        <v>0.21670674339071</v>
      </c>
      <c r="K6275">
        <v>0.124886457179059</v>
      </c>
      <c r="L6275">
        <v>2800.5024057342998</v>
      </c>
      <c r="M6275">
        <v>48.336704022186602</v>
      </c>
      <c r="N6275">
        <v>58.540860629932197</v>
      </c>
      <c r="O6275">
        <v>57.838465840047903</v>
      </c>
      <c r="P6275">
        <v>-0.16793598218360201</v>
      </c>
      <c r="Q6275">
        <v>0.19620893228075301</v>
      </c>
      <c r="R6275">
        <v>0.88564645321088598</v>
      </c>
      <c r="S6275" t="s">
        <v>12891</v>
      </c>
      <c r="T6275" t="s">
        <v>13232</v>
      </c>
      <c r="U6275" t="s">
        <v>13232</v>
      </c>
      <c r="V6275" t="s">
        <v>13232</v>
      </c>
      <c r="W6275" t="s">
        <v>19432</v>
      </c>
      <c r="X6275">
        <v>16</v>
      </c>
      <c r="Y6275" t="s">
        <v>20003</v>
      </c>
      <c r="Z6275" t="s">
        <v>32406</v>
      </c>
      <c r="AA6275">
        <v>0.67899297895723842</v>
      </c>
      <c r="AB6275" t="str">
        <f>HYPERLINK("Melting_Curves/meltCurve_Q9ULA0_DNPEP.pdf", "Melting_Curves/meltCurve_Q9ULA0_DNPEP.pdf")</f>
        <v>Melting_Curves/meltCurve_Q9ULA0_DNPEP.pdf</v>
      </c>
    </row>
    <row r="6276" spans="1:28" x14ac:dyDescent="0.25">
      <c r="A6276" t="s">
        <v>6279</v>
      </c>
      <c r="B6276">
        <v>0.99930955844802105</v>
      </c>
      <c r="C6276">
        <v>1.0268065577155501</v>
      </c>
      <c r="D6276">
        <v>0.88885114587341096</v>
      </c>
      <c r="E6276">
        <v>0.60596150813224803</v>
      </c>
      <c r="F6276">
        <v>0.39050693046760598</v>
      </c>
      <c r="G6276">
        <v>0.201849138474305</v>
      </c>
      <c r="H6276">
        <v>0.129752787836214</v>
      </c>
      <c r="I6276">
        <v>0.123391675218919</v>
      </c>
      <c r="J6276">
        <v>0.116382470305952</v>
      </c>
      <c r="K6276">
        <v>9.0316835239230994E-2</v>
      </c>
      <c r="L6276">
        <v>985.74668742089295</v>
      </c>
      <c r="M6276">
        <v>19.402177757729099</v>
      </c>
      <c r="N6276">
        <v>51.402577351152999</v>
      </c>
      <c r="O6276">
        <v>50.275523929251101</v>
      </c>
      <c r="P6276">
        <v>-8.6755734966176404E-2</v>
      </c>
      <c r="Q6276">
        <v>0.100816830572306</v>
      </c>
      <c r="R6276">
        <v>0.99752679121610099</v>
      </c>
      <c r="S6276" t="s">
        <v>12892</v>
      </c>
      <c r="T6276" t="s">
        <v>13232</v>
      </c>
      <c r="U6276" t="s">
        <v>13232</v>
      </c>
      <c r="V6276" t="s">
        <v>13232</v>
      </c>
      <c r="W6276" t="s">
        <v>19433</v>
      </c>
      <c r="X6276">
        <v>4</v>
      </c>
      <c r="Y6276" t="s">
        <v>25804</v>
      </c>
      <c r="Z6276" t="s">
        <v>32407</v>
      </c>
      <c r="AA6276">
        <v>0.43792267407167629</v>
      </c>
      <c r="AB6276" t="str">
        <f>HYPERLINK("Melting_Curves/meltCurve_Q9ULC3_RAB23.pdf", "Melting_Curves/meltCurve_Q9ULC3_RAB23.pdf")</f>
        <v>Melting_Curves/meltCurve_Q9ULC3_RAB23.pdf</v>
      </c>
    </row>
    <row r="6277" spans="1:28" x14ac:dyDescent="0.25">
      <c r="A6277" t="s">
        <v>6280</v>
      </c>
      <c r="B6277">
        <v>0.99930955844802105</v>
      </c>
      <c r="C6277">
        <v>0.99696180870552598</v>
      </c>
      <c r="D6277">
        <v>0.99041160164175102</v>
      </c>
      <c r="E6277">
        <v>0.81308200853701096</v>
      </c>
      <c r="F6277">
        <v>0.56968637453875604</v>
      </c>
      <c r="G6277">
        <v>0.258723335688126</v>
      </c>
      <c r="H6277">
        <v>9.0681943707884405E-2</v>
      </c>
      <c r="I6277">
        <v>5.8733874433495599E-2</v>
      </c>
      <c r="J6277">
        <v>4.6910457890344003E-2</v>
      </c>
      <c r="K6277">
        <v>3.7049685240445697E-2</v>
      </c>
      <c r="L6277">
        <v>1105.07076849173</v>
      </c>
      <c r="M6277">
        <v>20.610774817065899</v>
      </c>
      <c r="N6277">
        <v>53.763430292426101</v>
      </c>
      <c r="O6277">
        <v>53.119095674004598</v>
      </c>
      <c r="P6277">
        <v>-9.4343342022789295E-2</v>
      </c>
      <c r="Q6277">
        <v>2.74430401535283E-2</v>
      </c>
      <c r="R6277">
        <v>0.99953420976541396</v>
      </c>
      <c r="S6277" t="s">
        <v>12893</v>
      </c>
      <c r="T6277" t="s">
        <v>13232</v>
      </c>
      <c r="U6277" t="s">
        <v>13232</v>
      </c>
      <c r="V6277" t="s">
        <v>13232</v>
      </c>
      <c r="W6277" t="s">
        <v>19434</v>
      </c>
      <c r="X6277">
        <v>13</v>
      </c>
      <c r="Y6277" t="s">
        <v>25805</v>
      </c>
      <c r="Z6277" t="s">
        <v>32408</v>
      </c>
      <c r="AA6277">
        <v>0.48150075776373769</v>
      </c>
      <c r="AB6277" t="str">
        <f>HYPERLINK("Melting_Curves/meltCurve_Q9ULC4_MCTS1.pdf", "Melting_Curves/meltCurve_Q9ULC4_MCTS1.pdf")</f>
        <v>Melting_Curves/meltCurve_Q9ULC4_MCTS1.pdf</v>
      </c>
    </row>
    <row r="6278" spans="1:28" x14ac:dyDescent="0.25">
      <c r="A6278" t="s">
        <v>6281</v>
      </c>
      <c r="B6278">
        <v>0.99930955844802105</v>
      </c>
      <c r="C6278">
        <v>1.1137045107907999</v>
      </c>
      <c r="D6278">
        <v>1.1092604925989</v>
      </c>
      <c r="E6278">
        <v>1.07405860885266</v>
      </c>
      <c r="F6278">
        <v>0.76295920416720597</v>
      </c>
      <c r="G6278">
        <v>0.29048521449501802</v>
      </c>
      <c r="H6278">
        <v>0.15529390352411501</v>
      </c>
      <c r="I6278">
        <v>0.121424678275675</v>
      </c>
      <c r="J6278">
        <v>9.8488162809562296E-2</v>
      </c>
      <c r="K6278">
        <v>7.2912600785194903E-2</v>
      </c>
      <c r="L6278">
        <v>1978.9506541256601</v>
      </c>
      <c r="M6278">
        <v>36.135150276621097</v>
      </c>
      <c r="N6278">
        <v>55.128353865518598</v>
      </c>
      <c r="O6278">
        <v>54.598340412080802</v>
      </c>
      <c r="P6278">
        <v>-0.14793707984323201</v>
      </c>
      <c r="Q6278">
        <v>0.10590175230092901</v>
      </c>
      <c r="R6278">
        <v>0.98055693541737199</v>
      </c>
      <c r="S6278" t="s">
        <v>12894</v>
      </c>
      <c r="T6278" t="s">
        <v>13232</v>
      </c>
      <c r="U6278" t="s">
        <v>13232</v>
      </c>
      <c r="V6278" t="s">
        <v>13232</v>
      </c>
      <c r="W6278" t="s">
        <v>19435</v>
      </c>
      <c r="X6278">
        <v>1</v>
      </c>
      <c r="Y6278" t="s">
        <v>25806</v>
      </c>
      <c r="Z6278" t="s">
        <v>32409</v>
      </c>
      <c r="AA6278">
        <v>0.55008102524443581</v>
      </c>
      <c r="AB6278" t="str">
        <f>HYPERLINK("Melting_Curves/meltCurve_Q9ULD2_4_MTUS1.pdf", "Melting_Curves/meltCurve_Q9ULD2_4_MTUS1.pdf")</f>
        <v>Melting_Curves/meltCurve_Q9ULD2_4_MTUS1.pdf</v>
      </c>
    </row>
    <row r="6279" spans="1:28" x14ac:dyDescent="0.25">
      <c r="A6279" t="s">
        <v>6282</v>
      </c>
      <c r="B6279">
        <v>0.99930955844802105</v>
      </c>
      <c r="C6279">
        <v>1.20769389583562</v>
      </c>
      <c r="D6279">
        <v>1.33467171930527</v>
      </c>
      <c r="E6279">
        <v>1.24762470092463</v>
      </c>
      <c r="F6279">
        <v>1.2766041767288701</v>
      </c>
      <c r="G6279">
        <v>1.2392861922434499</v>
      </c>
      <c r="H6279">
        <v>1.3565845138037</v>
      </c>
      <c r="I6279">
        <v>1.4655798617864699</v>
      </c>
      <c r="J6279">
        <v>1.45087151426272</v>
      </c>
      <c r="K6279">
        <v>1.1656291011894899</v>
      </c>
      <c r="L6279">
        <v>10697.503694812</v>
      </c>
      <c r="M6279">
        <v>250</v>
      </c>
      <c r="O6279">
        <v>42.787276520080603</v>
      </c>
      <c r="P6279">
        <v>0.46320205981095802</v>
      </c>
      <c r="Q6279">
        <v>1.3171064733800499</v>
      </c>
      <c r="R6279">
        <v>0.550701465742923</v>
      </c>
      <c r="S6279" t="s">
        <v>12895</v>
      </c>
      <c r="T6279" t="s">
        <v>13232</v>
      </c>
      <c r="U6279" t="s">
        <v>13232</v>
      </c>
      <c r="V6279" t="s">
        <v>13232</v>
      </c>
      <c r="W6279" t="s">
        <v>19436</v>
      </c>
      <c r="X6279">
        <v>4</v>
      </c>
      <c r="Y6279" t="s">
        <v>25807</v>
      </c>
      <c r="Z6279" t="s">
        <v>32410</v>
      </c>
      <c r="AA6279">
        <v>1.287591601726455</v>
      </c>
      <c r="AB6279" t="str">
        <f>HYPERLINK("Melting_Curves/meltCurve_Q9ULD5_ZNF777.pdf", "Melting_Curves/meltCurve_Q9ULD5_ZNF777.pdf")</f>
        <v>Melting_Curves/meltCurve_Q9ULD5_ZNF777.pdf</v>
      </c>
    </row>
    <row r="6280" spans="1:28" x14ac:dyDescent="0.25">
      <c r="A6280" t="s">
        <v>6283</v>
      </c>
      <c r="B6280">
        <v>0.99930955844802105</v>
      </c>
      <c r="C6280">
        <v>1.12760761603991</v>
      </c>
      <c r="D6280">
        <v>1.1369318359876399</v>
      </c>
      <c r="E6280">
        <v>1.10808470457383</v>
      </c>
      <c r="F6280">
        <v>0.797573226386871</v>
      </c>
      <c r="G6280">
        <v>0.70740328518620599</v>
      </c>
      <c r="H6280">
        <v>0.72270471087441102</v>
      </c>
      <c r="I6280">
        <v>0.68187037263748096</v>
      </c>
      <c r="J6280">
        <v>0.749994420348707</v>
      </c>
      <c r="K6280">
        <v>0.60826667888775598</v>
      </c>
      <c r="L6280">
        <v>13214.4604918925</v>
      </c>
      <c r="M6280">
        <v>250</v>
      </c>
      <c r="O6280">
        <v>52.8544425532735</v>
      </c>
      <c r="P6280">
        <v>-0.36178609630056702</v>
      </c>
      <c r="Q6280">
        <v>0.69404786316265998</v>
      </c>
      <c r="R6280">
        <v>0.84737657022409496</v>
      </c>
      <c r="S6280" t="s">
        <v>12896</v>
      </c>
      <c r="T6280" t="s">
        <v>13232</v>
      </c>
      <c r="U6280" t="s">
        <v>13232</v>
      </c>
      <c r="V6280" t="s">
        <v>13232</v>
      </c>
      <c r="W6280" t="s">
        <v>19437</v>
      </c>
      <c r="X6280">
        <v>5</v>
      </c>
      <c r="Y6280" t="s">
        <v>25808</v>
      </c>
      <c r="Z6280" t="s">
        <v>32411</v>
      </c>
      <c r="AA6280">
        <v>0.82520571888761762</v>
      </c>
      <c r="AB6280" t="str">
        <f>HYPERLINK("Melting_Curves/meltCurve_Q9ULD9_ZNF608.pdf", "Melting_Curves/meltCurve_Q9ULD9_ZNF608.pdf")</f>
        <v>Melting_Curves/meltCurve_Q9ULD9_ZNF608.pdf</v>
      </c>
    </row>
    <row r="6281" spans="1:28" x14ac:dyDescent="0.25">
      <c r="A6281" t="s">
        <v>6284</v>
      </c>
      <c r="B6281">
        <v>0.99930955844802105</v>
      </c>
      <c r="C6281">
        <v>1.0037252187519099</v>
      </c>
      <c r="D6281">
        <v>1.07959130750426</v>
      </c>
      <c r="E6281">
        <v>0.87981832337044896</v>
      </c>
      <c r="F6281">
        <v>0.62104172879425801</v>
      </c>
      <c r="G6281">
        <v>0.52030829803460399</v>
      </c>
      <c r="H6281">
        <v>0.37782621763406299</v>
      </c>
      <c r="I6281">
        <v>0.297034970765717</v>
      </c>
      <c r="J6281">
        <v>0.24140791048163901</v>
      </c>
      <c r="K6281">
        <v>0.149891344883815</v>
      </c>
      <c r="L6281">
        <v>789.99173747896998</v>
      </c>
      <c r="M6281">
        <v>14.2376770815625</v>
      </c>
      <c r="N6281">
        <v>57.051016091733104</v>
      </c>
      <c r="O6281">
        <v>54.425819152701898</v>
      </c>
      <c r="P6281">
        <v>-5.4833629682116102E-2</v>
      </c>
      <c r="Q6281">
        <v>0.16166226857511601</v>
      </c>
      <c r="R6281">
        <v>0.972951616513127</v>
      </c>
      <c r="S6281" t="s">
        <v>12897</v>
      </c>
      <c r="T6281" t="s">
        <v>13232</v>
      </c>
      <c r="U6281" t="s">
        <v>13232</v>
      </c>
      <c r="V6281" t="s">
        <v>13232</v>
      </c>
      <c r="W6281" t="s">
        <v>19438</v>
      </c>
      <c r="X6281">
        <v>4</v>
      </c>
      <c r="Y6281" t="s">
        <v>25809</v>
      </c>
      <c r="Z6281" t="s">
        <v>32412</v>
      </c>
      <c r="AA6281">
        <v>0.61074933047052837</v>
      </c>
      <c r="AB6281" t="str">
        <f>HYPERLINK("Melting_Curves/meltCurve_Q9ULE0_WWC3.pdf", "Melting_Curves/meltCurve_Q9ULE0_WWC3.pdf")</f>
        <v>Melting_Curves/meltCurve_Q9ULE0_WWC3.pdf</v>
      </c>
    </row>
    <row r="6282" spans="1:28" x14ac:dyDescent="0.25">
      <c r="A6282" t="s">
        <v>6285</v>
      </c>
      <c r="B6282">
        <v>0.99930955844802105</v>
      </c>
      <c r="C6282">
        <v>0.79441537495546799</v>
      </c>
      <c r="D6282">
        <v>0.72337375850224706</v>
      </c>
      <c r="E6282">
        <v>0.71519700789783602</v>
      </c>
      <c r="F6282">
        <v>0.69257228424980899</v>
      </c>
      <c r="G6282">
        <v>0.32652210474799898</v>
      </c>
      <c r="H6282">
        <v>0.121127995403173</v>
      </c>
      <c r="I6282">
        <v>0.106071640744118</v>
      </c>
      <c r="J6282">
        <v>8.5347608205282796E-2</v>
      </c>
      <c r="K6282">
        <v>7.3748000799581506E-2</v>
      </c>
      <c r="L6282">
        <v>563.19785128099397</v>
      </c>
      <c r="M6282">
        <v>10.5335422579273</v>
      </c>
      <c r="N6282">
        <v>53.467089133229997</v>
      </c>
      <c r="O6282">
        <v>51.647912822964301</v>
      </c>
      <c r="P6282">
        <v>-5.10075712231019E-2</v>
      </c>
      <c r="Q6282">
        <v>0</v>
      </c>
      <c r="R6282">
        <v>0.93316374874282104</v>
      </c>
      <c r="S6282" t="s">
        <v>12898</v>
      </c>
      <c r="T6282" t="s">
        <v>13232</v>
      </c>
      <c r="U6282" t="s">
        <v>13232</v>
      </c>
      <c r="V6282" t="s">
        <v>13232</v>
      </c>
      <c r="W6282" t="s">
        <v>19439</v>
      </c>
      <c r="X6282">
        <v>8</v>
      </c>
      <c r="Y6282" t="s">
        <v>25810</v>
      </c>
      <c r="Z6282" t="s">
        <v>32413</v>
      </c>
      <c r="AA6282">
        <v>0.47990815243960988</v>
      </c>
      <c r="AB6282" t="str">
        <f>HYPERLINK("Melting_Curves/meltCurve_Q9ULE6_PALD1.pdf", "Melting_Curves/meltCurve_Q9ULE6_PALD1.pdf")</f>
        <v>Melting_Curves/meltCurve_Q9ULE6_PALD1.pdf</v>
      </c>
    </row>
    <row r="6283" spans="1:28" x14ac:dyDescent="0.25">
      <c r="A6283" t="s">
        <v>6286</v>
      </c>
      <c r="B6283">
        <v>0.99930955844802105</v>
      </c>
      <c r="C6283">
        <v>1.2973019481136101</v>
      </c>
      <c r="D6283">
        <v>1.28460131415182</v>
      </c>
      <c r="E6283">
        <v>1.2307604323239401</v>
      </c>
      <c r="F6283">
        <v>1.1801261145011499</v>
      </c>
      <c r="G6283">
        <v>0.85504876465979895</v>
      </c>
      <c r="H6283">
        <v>0.66760513818613498</v>
      </c>
      <c r="I6283">
        <v>0.682824858939443</v>
      </c>
      <c r="J6283">
        <v>0.60236195288865702</v>
      </c>
      <c r="K6283">
        <v>0.487454664270567</v>
      </c>
      <c r="L6283">
        <v>1939.3535059083499</v>
      </c>
      <c r="M6283">
        <v>32.8460179107987</v>
      </c>
      <c r="O6283">
        <v>58.826201153195001</v>
      </c>
      <c r="P6283">
        <v>-6.00634432880102E-2</v>
      </c>
      <c r="Q6283">
        <v>0.56971470834806504</v>
      </c>
      <c r="R6283">
        <v>0.67821736992831105</v>
      </c>
      <c r="S6283" t="s">
        <v>12899</v>
      </c>
      <c r="T6283" t="s">
        <v>13232</v>
      </c>
      <c r="U6283" t="s">
        <v>13232</v>
      </c>
      <c r="V6283" t="s">
        <v>13232</v>
      </c>
      <c r="W6283" t="s">
        <v>19440</v>
      </c>
      <c r="X6283">
        <v>3</v>
      </c>
      <c r="Y6283" t="s">
        <v>25811</v>
      </c>
      <c r="Z6283" t="s">
        <v>32414</v>
      </c>
      <c r="AA6283">
        <v>0.8452446438483957</v>
      </c>
      <c r="AB6283" t="str">
        <f>HYPERLINK("Melting_Curves/meltCurve_Q9ULF5_SLC39A10.pdf", "Melting_Curves/meltCurve_Q9ULF5_SLC39A10.pdf")</f>
        <v>Melting_Curves/meltCurve_Q9ULF5_SLC39A10.pdf</v>
      </c>
    </row>
    <row r="6284" spans="1:28" x14ac:dyDescent="0.25">
      <c r="A6284" t="s">
        <v>6287</v>
      </c>
      <c r="B6284">
        <v>0.99930955844802105</v>
      </c>
      <c r="C6284">
        <v>0.95542705413269102</v>
      </c>
      <c r="D6284">
        <v>0.93335682961720801</v>
      </c>
      <c r="E6284">
        <v>0.92329364324484497</v>
      </c>
      <c r="F6284">
        <v>0.78159284573020205</v>
      </c>
      <c r="G6284">
        <v>0.74849028235902104</v>
      </c>
      <c r="H6284">
        <v>0.67186158556282105</v>
      </c>
      <c r="I6284">
        <v>0.71565156450582501</v>
      </c>
      <c r="J6284">
        <v>0.647563406814334</v>
      </c>
      <c r="K6284">
        <v>0.52704170236138703</v>
      </c>
      <c r="L6284">
        <v>366.64975406779803</v>
      </c>
      <c r="M6284">
        <v>5.8395081331779997</v>
      </c>
      <c r="O6284">
        <v>56.6007549504343</v>
      </c>
      <c r="P6284">
        <v>-1.70152831717598E-2</v>
      </c>
      <c r="Q6284">
        <v>0.34264638406222497</v>
      </c>
      <c r="R6284">
        <v>0.93787123606692002</v>
      </c>
      <c r="S6284" t="s">
        <v>12900</v>
      </c>
      <c r="T6284" t="s">
        <v>13232</v>
      </c>
      <c r="U6284" t="s">
        <v>13232</v>
      </c>
      <c r="V6284" t="s">
        <v>13232</v>
      </c>
      <c r="W6284" t="s">
        <v>19441</v>
      </c>
      <c r="X6284">
        <v>6</v>
      </c>
      <c r="Y6284" t="s">
        <v>25812</v>
      </c>
      <c r="Z6284" t="s">
        <v>32415</v>
      </c>
      <c r="AA6284">
        <v>0.79220431068914088</v>
      </c>
      <c r="AB6284" t="str">
        <f>HYPERLINK("Melting_Curves/meltCurve_Q9ULH0_5_KIDINS220.pdf", "Melting_Curves/meltCurve_Q9ULH0_5_KIDINS220.pdf")</f>
        <v>Melting_Curves/meltCurve_Q9ULH0_5_KIDINS220.pdf</v>
      </c>
    </row>
    <row r="6285" spans="1:28" x14ac:dyDescent="0.25">
      <c r="A6285" t="s">
        <v>6288</v>
      </c>
      <c r="B6285">
        <v>0.99930955844802105</v>
      </c>
      <c r="C6285">
        <v>0.95226679276568105</v>
      </c>
      <c r="D6285">
        <v>0.935215418217473</v>
      </c>
      <c r="E6285">
        <v>0.91950048230394499</v>
      </c>
      <c r="F6285">
        <v>0.47389302878103901</v>
      </c>
      <c r="G6285">
        <v>0.354586783442364</v>
      </c>
      <c r="H6285">
        <v>0.30772127902035001</v>
      </c>
      <c r="I6285">
        <v>0.32286673982153702</v>
      </c>
      <c r="J6285">
        <v>0.32520280563832299</v>
      </c>
      <c r="K6285">
        <v>0.25474776680920402</v>
      </c>
      <c r="L6285">
        <v>2728.1473596864098</v>
      </c>
      <c r="M6285">
        <v>52.612630237052898</v>
      </c>
      <c r="N6285">
        <v>52.831229774702301</v>
      </c>
      <c r="O6285">
        <v>51.778714649566801</v>
      </c>
      <c r="P6285">
        <v>-0.174982168779026</v>
      </c>
      <c r="Q6285">
        <v>0.31116569922305798</v>
      </c>
      <c r="R6285">
        <v>0.98777830212905304</v>
      </c>
      <c r="S6285" t="s">
        <v>12901</v>
      </c>
      <c r="T6285" t="s">
        <v>13232</v>
      </c>
      <c r="U6285" t="s">
        <v>13232</v>
      </c>
      <c r="V6285" t="s">
        <v>13232</v>
      </c>
      <c r="W6285" t="s">
        <v>19442</v>
      </c>
      <c r="X6285">
        <v>26</v>
      </c>
      <c r="Y6285" t="s">
        <v>25813</v>
      </c>
      <c r="Z6285" t="s">
        <v>32416</v>
      </c>
      <c r="AA6285">
        <v>0.58475702513663641</v>
      </c>
      <c r="AB6285" t="str">
        <f>HYPERLINK("Melting_Curves/meltCurve_Q9ULH1_ASAP1.pdf", "Melting_Curves/meltCurve_Q9ULH1_ASAP1.pdf")</f>
        <v>Melting_Curves/meltCurve_Q9ULH1_ASAP1.pdf</v>
      </c>
    </row>
    <row r="6286" spans="1:28" x14ac:dyDescent="0.25">
      <c r="A6286" t="s">
        <v>6289</v>
      </c>
      <c r="B6286">
        <v>0.99930955844802105</v>
      </c>
      <c r="C6286">
        <v>1.0985212544693801</v>
      </c>
      <c r="D6286">
        <v>1.0946160796510001</v>
      </c>
      <c r="E6286">
        <v>0.99740254769887005</v>
      </c>
      <c r="F6286">
        <v>0.89634101778632902</v>
      </c>
      <c r="G6286">
        <v>0.78787454948181102</v>
      </c>
      <c r="H6286">
        <v>0.78840636694710498</v>
      </c>
      <c r="I6286">
        <v>0.83091706332313098</v>
      </c>
      <c r="J6286">
        <v>0.79608728747947799</v>
      </c>
      <c r="K6286">
        <v>0.65663516783521902</v>
      </c>
      <c r="L6286">
        <v>2355.2993512931398</v>
      </c>
      <c r="M6286">
        <v>44.165127519171797</v>
      </c>
      <c r="O6286">
        <v>53.220412429501501</v>
      </c>
      <c r="P6286">
        <v>-4.7942769775493402E-2</v>
      </c>
      <c r="Q6286">
        <v>0.76890999623820599</v>
      </c>
      <c r="R6286">
        <v>0.81470850759610303</v>
      </c>
      <c r="S6286" t="s">
        <v>12902</v>
      </c>
      <c r="T6286" t="s">
        <v>13232</v>
      </c>
      <c r="U6286" t="s">
        <v>13232</v>
      </c>
      <c r="V6286" t="s">
        <v>13232</v>
      </c>
      <c r="W6286" t="s">
        <v>19443</v>
      </c>
      <c r="X6286">
        <v>23</v>
      </c>
      <c r="Y6286" t="s">
        <v>25814</v>
      </c>
      <c r="Z6286" t="s">
        <v>32417</v>
      </c>
      <c r="AA6286">
        <v>0.87228368651792487</v>
      </c>
      <c r="AB6286" t="str">
        <f>HYPERLINK("Melting_Curves/meltCurve_Q9ULH7_4_MKL2.pdf", "Melting_Curves/meltCurve_Q9ULH7_4_MKL2.pdf")</f>
        <v>Melting_Curves/meltCurve_Q9ULH7_4_MKL2.pdf</v>
      </c>
    </row>
    <row r="6287" spans="1:28" x14ac:dyDescent="0.25">
      <c r="A6287" t="s">
        <v>6290</v>
      </c>
      <c r="B6287">
        <v>0.99930955844802105</v>
      </c>
      <c r="C6287">
        <v>1.0816789739570201</v>
      </c>
      <c r="D6287">
        <v>1.0961652969429201</v>
      </c>
      <c r="E6287">
        <v>1.08423156110302</v>
      </c>
      <c r="F6287">
        <v>0.96451220324585296</v>
      </c>
      <c r="G6287">
        <v>0.90870916824815995</v>
      </c>
      <c r="H6287">
        <v>0.88163394500838199</v>
      </c>
      <c r="I6287">
        <v>0.91892192017508401</v>
      </c>
      <c r="J6287">
        <v>0.90681382038844405</v>
      </c>
      <c r="K6287">
        <v>0.68782757160778196</v>
      </c>
      <c r="L6287">
        <v>820.93851725604998</v>
      </c>
      <c r="M6287">
        <v>10.699865102220601</v>
      </c>
      <c r="Q6287">
        <v>0</v>
      </c>
      <c r="R6287">
        <v>0.69299699551564498</v>
      </c>
      <c r="S6287" t="s">
        <v>12903</v>
      </c>
      <c r="T6287" t="s">
        <v>13232</v>
      </c>
      <c r="U6287" t="s">
        <v>13232</v>
      </c>
      <c r="V6287" t="s">
        <v>13232</v>
      </c>
      <c r="W6287" t="s">
        <v>19444</v>
      </c>
      <c r="X6287">
        <v>10</v>
      </c>
      <c r="Y6287" t="s">
        <v>25815</v>
      </c>
      <c r="Z6287" t="s">
        <v>32418</v>
      </c>
      <c r="AA6287">
        <v>0.94810624013398437</v>
      </c>
      <c r="AB6287" t="str">
        <f>HYPERLINK("Melting_Curves/meltCurve_Q9ULJ3_2_ZBTB21.pdf", "Melting_Curves/meltCurve_Q9ULJ3_2_ZBTB21.pdf")</f>
        <v>Melting_Curves/meltCurve_Q9ULJ3_2_ZBTB21.pdf</v>
      </c>
    </row>
    <row r="6288" spans="1:28" x14ac:dyDescent="0.25">
      <c r="A6288" t="s">
        <v>6291</v>
      </c>
      <c r="B6288">
        <v>0.99930955844802105</v>
      </c>
      <c r="C6288">
        <v>0.96130831307630304</v>
      </c>
      <c r="D6288">
        <v>0.96777293368067197</v>
      </c>
      <c r="E6288">
        <v>0.88029791224980103</v>
      </c>
      <c r="F6288">
        <v>0.72096753777488498</v>
      </c>
      <c r="G6288">
        <v>0.45367289405228001</v>
      </c>
      <c r="H6288">
        <v>0.206240250050856</v>
      </c>
      <c r="I6288">
        <v>0.129603814885349</v>
      </c>
      <c r="J6288">
        <v>8.1482638972218094E-2</v>
      </c>
      <c r="K6288">
        <v>6.4461584603475494E-2</v>
      </c>
      <c r="L6288">
        <v>922.71302775527602</v>
      </c>
      <c r="M6288">
        <v>16.478981886414399</v>
      </c>
      <c r="N6288">
        <v>56.139758543139102</v>
      </c>
      <c r="O6288">
        <v>55.188246127106602</v>
      </c>
      <c r="P6288">
        <v>-7.3083856977566294E-2</v>
      </c>
      <c r="Q6288">
        <v>2.10346507120516E-2</v>
      </c>
      <c r="R6288">
        <v>0.99888704443885701</v>
      </c>
      <c r="S6288" t="s">
        <v>12904</v>
      </c>
      <c r="T6288" t="s">
        <v>13232</v>
      </c>
      <c r="U6288" t="s">
        <v>13232</v>
      </c>
      <c r="V6288" t="s">
        <v>13232</v>
      </c>
      <c r="W6288" t="s">
        <v>19445</v>
      </c>
      <c r="X6288">
        <v>11</v>
      </c>
      <c r="Y6288" t="s">
        <v>25816</v>
      </c>
      <c r="Z6288" t="s">
        <v>32419</v>
      </c>
      <c r="AA6288">
        <v>0.55884177845211225</v>
      </c>
      <c r="AB6288" t="str">
        <f>HYPERLINK("Melting_Curves/meltCurve_Q9ULJ6_ZMIZ1.pdf", "Melting_Curves/meltCurve_Q9ULJ6_ZMIZ1.pdf")</f>
        <v>Melting_Curves/meltCurve_Q9ULJ6_ZMIZ1.pdf</v>
      </c>
    </row>
    <row r="6289" spans="1:28" x14ac:dyDescent="0.25">
      <c r="A6289" t="s">
        <v>6292</v>
      </c>
      <c r="B6289">
        <v>0.99930955844802105</v>
      </c>
      <c r="C6289">
        <v>0.68527848200182295</v>
      </c>
      <c r="D6289">
        <v>0.66142185429490497</v>
      </c>
      <c r="E6289">
        <v>0.59292617570776995</v>
      </c>
      <c r="F6289">
        <v>0.322256954298277</v>
      </c>
      <c r="G6289">
        <v>0.187727790577254</v>
      </c>
      <c r="H6289">
        <v>0.109083123854121</v>
      </c>
      <c r="I6289">
        <v>0.11490004802869901</v>
      </c>
      <c r="J6289">
        <v>9.0850681330710406E-2</v>
      </c>
      <c r="K6289">
        <v>6.9623082240745093E-2</v>
      </c>
      <c r="L6289">
        <v>467.559245194423</v>
      </c>
      <c r="M6289">
        <v>9.4401300250338593</v>
      </c>
      <c r="N6289">
        <v>49.528884667922902</v>
      </c>
      <c r="O6289">
        <v>47.458961685342899</v>
      </c>
      <c r="P6289">
        <v>-4.9757987603947701E-2</v>
      </c>
      <c r="Q6289">
        <v>0</v>
      </c>
      <c r="R6289">
        <v>0.95642433743767097</v>
      </c>
      <c r="S6289" t="s">
        <v>12905</v>
      </c>
      <c r="T6289" t="s">
        <v>13232</v>
      </c>
      <c r="U6289" t="s">
        <v>13232</v>
      </c>
      <c r="V6289" t="s">
        <v>13232</v>
      </c>
      <c r="W6289" t="s">
        <v>19446</v>
      </c>
      <c r="X6289">
        <v>11</v>
      </c>
      <c r="Y6289" t="s">
        <v>25817</v>
      </c>
      <c r="Z6289" t="s">
        <v>32420</v>
      </c>
      <c r="AA6289">
        <v>0.3684720541087072</v>
      </c>
      <c r="AB6289" t="str">
        <f>HYPERLINK("Melting_Curves/meltCurve_Q9ULK4_4_MED23.pdf", "Melting_Curves/meltCurve_Q9ULK4_4_MED23.pdf")</f>
        <v>Melting_Curves/meltCurve_Q9ULK4_4_MED23.pdf</v>
      </c>
    </row>
    <row r="6290" spans="1:28" x14ac:dyDescent="0.25">
      <c r="A6290" t="s">
        <v>6293</v>
      </c>
      <c r="B6290">
        <v>0.99930955844802105</v>
      </c>
      <c r="C6290">
        <v>1.1668814108418399</v>
      </c>
      <c r="D6290">
        <v>1.1128198456382701</v>
      </c>
      <c r="E6290">
        <v>1.0396000845371201</v>
      </c>
      <c r="F6290">
        <v>0.93922527376560305</v>
      </c>
      <c r="G6290">
        <v>0.81954013971536699</v>
      </c>
      <c r="H6290">
        <v>0.85584237205543401</v>
      </c>
      <c r="I6290">
        <v>0.968851239036573</v>
      </c>
      <c r="J6290">
        <v>1.0523074574059399</v>
      </c>
      <c r="K6290">
        <v>0.82024957402217102</v>
      </c>
      <c r="L6290">
        <v>13222.0505114442</v>
      </c>
      <c r="M6290">
        <v>250</v>
      </c>
      <c r="O6290">
        <v>52.884817348376799</v>
      </c>
      <c r="P6290">
        <v>-0.114212659924747</v>
      </c>
      <c r="Q6290">
        <v>0.90335814919791801</v>
      </c>
      <c r="R6290">
        <v>0.34822454754910998</v>
      </c>
      <c r="S6290" t="s">
        <v>12906</v>
      </c>
      <c r="T6290" t="s">
        <v>13232</v>
      </c>
      <c r="U6290" t="s">
        <v>13232</v>
      </c>
      <c r="V6290" t="s">
        <v>13232</v>
      </c>
      <c r="W6290" t="s">
        <v>19447</v>
      </c>
      <c r="X6290">
        <v>22</v>
      </c>
      <c r="Y6290" t="s">
        <v>25818</v>
      </c>
      <c r="Z6290" t="s">
        <v>32421</v>
      </c>
      <c r="AA6290">
        <v>0.94488510927230351</v>
      </c>
      <c r="AB6290" t="str">
        <f>HYPERLINK("Melting_Curves/meltCurve_Q9ULL5_3_PRR12.pdf", "Melting_Curves/meltCurve_Q9ULL5_3_PRR12.pdf")</f>
        <v>Melting_Curves/meltCurve_Q9ULL5_3_PRR12.pdf</v>
      </c>
    </row>
    <row r="6291" spans="1:28" x14ac:dyDescent="0.25">
      <c r="A6291" t="s">
        <v>6294</v>
      </c>
      <c r="B6291">
        <v>0.99930955844802105</v>
      </c>
      <c r="C6291">
        <v>1.11546802461107</v>
      </c>
      <c r="D6291">
        <v>1.1139990421793899</v>
      </c>
      <c r="E6291">
        <v>1.0408318902963001</v>
      </c>
      <c r="F6291">
        <v>0.88557148875839198</v>
      </c>
      <c r="G6291">
        <v>0.76150453262460605</v>
      </c>
      <c r="H6291">
        <v>0.73114742684535905</v>
      </c>
      <c r="I6291">
        <v>0.78109106184024002</v>
      </c>
      <c r="J6291">
        <v>0.73647663427198795</v>
      </c>
      <c r="K6291">
        <v>0.631454326019804</v>
      </c>
      <c r="L6291">
        <v>13266.8435412076</v>
      </c>
      <c r="M6291">
        <v>250</v>
      </c>
      <c r="O6291">
        <v>53.063975222371198</v>
      </c>
      <c r="P6291">
        <v>-0.31997366305174801</v>
      </c>
      <c r="Q6291">
        <v>0.72833479258794898</v>
      </c>
      <c r="R6291">
        <v>0.851662400559967</v>
      </c>
      <c r="S6291" t="s">
        <v>12907</v>
      </c>
      <c r="T6291" t="s">
        <v>13232</v>
      </c>
      <c r="U6291" t="s">
        <v>13232</v>
      </c>
      <c r="V6291" t="s">
        <v>13232</v>
      </c>
      <c r="W6291" t="s">
        <v>19448</v>
      </c>
      <c r="X6291">
        <v>14</v>
      </c>
      <c r="Y6291" t="s">
        <v>25819</v>
      </c>
      <c r="Z6291" t="s">
        <v>32422</v>
      </c>
      <c r="AA6291">
        <v>0.84669179051897414</v>
      </c>
      <c r="AB6291" t="str">
        <f>HYPERLINK("Melting_Curves/meltCurve_Q9ULM3_YEATS2.pdf", "Melting_Curves/meltCurve_Q9ULM3_YEATS2.pdf")</f>
        <v>Melting_Curves/meltCurve_Q9ULM3_YEATS2.pdf</v>
      </c>
    </row>
    <row r="6292" spans="1:28" x14ac:dyDescent="0.25">
      <c r="A6292" t="s">
        <v>6295</v>
      </c>
      <c r="B6292">
        <v>0.99930955844802105</v>
      </c>
      <c r="C6292">
        <v>0.70320275685558198</v>
      </c>
      <c r="D6292">
        <v>0.61051590239714504</v>
      </c>
      <c r="E6292">
        <v>0.428892399049565</v>
      </c>
      <c r="F6292">
        <v>0.25747145587061798</v>
      </c>
      <c r="G6292">
        <v>0.16742099767337401</v>
      </c>
      <c r="H6292">
        <v>0.12634965656883701</v>
      </c>
      <c r="I6292">
        <v>9.1789631966450999E-2</v>
      </c>
      <c r="J6292">
        <v>0.104787918847889</v>
      </c>
      <c r="K6292">
        <v>8.26803861085883E-2</v>
      </c>
      <c r="L6292">
        <v>559.52985288647699</v>
      </c>
      <c r="M6292">
        <v>11.821969807553399</v>
      </c>
      <c r="N6292">
        <v>47.882396126026698</v>
      </c>
      <c r="O6292">
        <v>46.0363206767557</v>
      </c>
      <c r="P6292">
        <v>-6.0119669654134102E-2</v>
      </c>
      <c r="Q6292">
        <v>6.3783289950183605E-2</v>
      </c>
      <c r="R6292">
        <v>0.97993642392344404</v>
      </c>
      <c r="S6292" t="s">
        <v>12908</v>
      </c>
      <c r="T6292" t="s">
        <v>13232</v>
      </c>
      <c r="U6292" t="s">
        <v>13232</v>
      </c>
      <c r="V6292" t="s">
        <v>13232</v>
      </c>
      <c r="W6292" t="s">
        <v>19449</v>
      </c>
      <c r="X6292">
        <v>6</v>
      </c>
      <c r="Y6292" t="s">
        <v>25820</v>
      </c>
      <c r="Z6292" t="s">
        <v>32423</v>
      </c>
      <c r="AA6292">
        <v>0.33193613564581947</v>
      </c>
      <c r="AB6292" t="str">
        <f>HYPERLINK("Melting_Curves/meltCurve_Q9ULM6_CNOT6.pdf", "Melting_Curves/meltCurve_Q9ULM6_CNOT6.pdf")</f>
        <v>Melting_Curves/meltCurve_Q9ULM6_CNOT6.pdf</v>
      </c>
    </row>
    <row r="6293" spans="1:28" x14ac:dyDescent="0.25">
      <c r="A6293" t="s">
        <v>6296</v>
      </c>
      <c r="B6293">
        <v>0.99930955844802105</v>
      </c>
      <c r="C6293">
        <v>1.1479860283025201</v>
      </c>
      <c r="D6293">
        <v>1.0469692151896</v>
      </c>
      <c r="E6293">
        <v>0.74311071822965002</v>
      </c>
      <c r="F6293">
        <v>0.26385497974363398</v>
      </c>
      <c r="G6293">
        <v>0.185421714310087</v>
      </c>
      <c r="H6293">
        <v>0.113266338994747</v>
      </c>
      <c r="I6293">
        <v>9.8626192184993397E-2</v>
      </c>
      <c r="J6293">
        <v>9.3575140437722401E-2</v>
      </c>
      <c r="K6293">
        <v>7.1730662281491303E-2</v>
      </c>
      <c r="L6293">
        <v>2149.8185673447701</v>
      </c>
      <c r="M6293">
        <v>42.077895264271298</v>
      </c>
      <c r="N6293">
        <v>51.391461015222397</v>
      </c>
      <c r="O6293">
        <v>50.976407569112801</v>
      </c>
      <c r="P6293">
        <v>-0.18388356731679101</v>
      </c>
      <c r="Q6293">
        <v>0.108918567242745</v>
      </c>
      <c r="R6293">
        <v>0.98306483309762005</v>
      </c>
      <c r="S6293" t="s">
        <v>12909</v>
      </c>
      <c r="T6293" t="s">
        <v>13232</v>
      </c>
      <c r="U6293" t="s">
        <v>13232</v>
      </c>
      <c r="V6293" t="s">
        <v>13232</v>
      </c>
      <c r="W6293" t="s">
        <v>19450</v>
      </c>
      <c r="X6293">
        <v>14</v>
      </c>
      <c r="Y6293" t="s">
        <v>25821</v>
      </c>
      <c r="Z6293" t="s">
        <v>32424</v>
      </c>
      <c r="AA6293">
        <v>0.44120476981935031</v>
      </c>
      <c r="AB6293" t="str">
        <f>HYPERLINK("Melting_Curves/meltCurve_Q9ULP9_2_TBC1D24.pdf", "Melting_Curves/meltCurve_Q9ULP9_2_TBC1D24.pdf")</f>
        <v>Melting_Curves/meltCurve_Q9ULP9_2_TBC1D24.pdf</v>
      </c>
    </row>
    <row r="6294" spans="1:28" x14ac:dyDescent="0.25">
      <c r="A6294" t="s">
        <v>6297</v>
      </c>
      <c r="B6294">
        <v>0.99930955844802105</v>
      </c>
      <c r="C6294">
        <v>0.87049826647242801</v>
      </c>
      <c r="D6294">
        <v>0.82211909980806797</v>
      </c>
      <c r="E6294">
        <v>0.87512209916332395</v>
      </c>
      <c r="F6294">
        <v>1.03861078010906</v>
      </c>
      <c r="G6294">
        <v>0.96669808799170698</v>
      </c>
      <c r="H6294">
        <v>1.00583335295514</v>
      </c>
      <c r="I6294">
        <v>1.08407684704383</v>
      </c>
      <c r="J6294">
        <v>1.1236133005973099</v>
      </c>
      <c r="K6294">
        <v>0.91231670575695201</v>
      </c>
      <c r="L6294">
        <v>15000</v>
      </c>
      <c r="M6294">
        <v>244.138014163733</v>
      </c>
      <c r="O6294">
        <v>61.436534207747997</v>
      </c>
      <c r="P6294">
        <v>3.9739454250736203E-2</v>
      </c>
      <c r="Q6294">
        <v>1.04000121562536</v>
      </c>
      <c r="R6294">
        <v>-4.8807307046369902E-2</v>
      </c>
      <c r="S6294" t="s">
        <v>12910</v>
      </c>
      <c r="T6294" t="s">
        <v>13232</v>
      </c>
      <c r="U6294" t="s">
        <v>13232</v>
      </c>
      <c r="V6294" t="s">
        <v>13232</v>
      </c>
      <c r="W6294" t="s">
        <v>19451</v>
      </c>
      <c r="X6294">
        <v>10</v>
      </c>
      <c r="Y6294" t="s">
        <v>25822</v>
      </c>
      <c r="Z6294" t="s">
        <v>32425</v>
      </c>
      <c r="AA6294">
        <v>1.011408281212864</v>
      </c>
      <c r="AB6294" t="str">
        <f>HYPERLINK("Melting_Curves/meltCurve_Q9ULR0_ISY1.pdf", "Melting_Curves/meltCurve_Q9ULR0_ISY1.pdf")</f>
        <v>Melting_Curves/meltCurve_Q9ULR0_ISY1.pdf</v>
      </c>
    </row>
    <row r="6295" spans="1:28" x14ac:dyDescent="0.25">
      <c r="A6295" t="s">
        <v>6298</v>
      </c>
      <c r="B6295">
        <v>0.99930955844802105</v>
      </c>
      <c r="C6295">
        <v>0.98739563425569199</v>
      </c>
      <c r="D6295">
        <v>0.95039657625387397</v>
      </c>
      <c r="E6295">
        <v>0.86677140485908299</v>
      </c>
      <c r="F6295">
        <v>0.72467478810493402</v>
      </c>
      <c r="G6295">
        <v>0.45590674471259801</v>
      </c>
      <c r="H6295">
        <v>0.17054858028206399</v>
      </c>
      <c r="I6295">
        <v>0.168679127405474</v>
      </c>
      <c r="J6295">
        <v>0.16323591274930399</v>
      </c>
      <c r="K6295">
        <v>0.118440280824788</v>
      </c>
      <c r="L6295">
        <v>1021.41402696317</v>
      </c>
      <c r="M6295">
        <v>18.497011626870599</v>
      </c>
      <c r="N6295">
        <v>55.892620305052397</v>
      </c>
      <c r="O6295">
        <v>54.587203565764497</v>
      </c>
      <c r="P6295">
        <v>-7.6269272643678901E-2</v>
      </c>
      <c r="Q6295">
        <v>9.9715823420422595E-2</v>
      </c>
      <c r="R6295">
        <v>0.99458791671765001</v>
      </c>
      <c r="S6295" t="s">
        <v>12911</v>
      </c>
      <c r="T6295" t="s">
        <v>13232</v>
      </c>
      <c r="U6295" t="s">
        <v>13232</v>
      </c>
      <c r="V6295" t="s">
        <v>13232</v>
      </c>
      <c r="W6295" t="s">
        <v>19452</v>
      </c>
      <c r="X6295">
        <v>15</v>
      </c>
      <c r="Y6295" t="s">
        <v>25823</v>
      </c>
      <c r="Z6295" t="s">
        <v>32426</v>
      </c>
      <c r="AA6295">
        <v>0.56978030441339222</v>
      </c>
      <c r="AB6295" t="str">
        <f>HYPERLINK("Melting_Curves/meltCurve_Q9ULR3_PPM1H.pdf", "Melting_Curves/meltCurve_Q9ULR3_PPM1H.pdf")</f>
        <v>Melting_Curves/meltCurve_Q9ULR3_PPM1H.pdf</v>
      </c>
    </row>
    <row r="6296" spans="1:28" x14ac:dyDescent="0.25">
      <c r="A6296" t="s">
        <v>6299</v>
      </c>
      <c r="B6296">
        <v>0.99930955844802105</v>
      </c>
      <c r="C6296">
        <v>1.0107753871748999</v>
      </c>
      <c r="D6296">
        <v>0.985430048006117</v>
      </c>
      <c r="E6296">
        <v>0.82682698769988505</v>
      </c>
      <c r="F6296">
        <v>0.67246959400653294</v>
      </c>
      <c r="G6296">
        <v>0.64625586405372604</v>
      </c>
      <c r="H6296">
        <v>0.73117175797001299</v>
      </c>
      <c r="I6296">
        <v>0.84418453351497402</v>
      </c>
      <c r="J6296">
        <v>0.84091702785482403</v>
      </c>
      <c r="K6296">
        <v>0.68081401845544898</v>
      </c>
      <c r="L6296">
        <v>12467.7503520173</v>
      </c>
      <c r="M6296">
        <v>250</v>
      </c>
      <c r="O6296">
        <v>49.867810505024103</v>
      </c>
      <c r="P6296">
        <v>-0.33091387344650203</v>
      </c>
      <c r="Q6296">
        <v>0.73596879765846901</v>
      </c>
      <c r="R6296">
        <v>0.78302416350619197</v>
      </c>
      <c r="S6296" t="s">
        <v>12912</v>
      </c>
      <c r="T6296" t="s">
        <v>13232</v>
      </c>
      <c r="U6296" t="s">
        <v>13232</v>
      </c>
      <c r="V6296" t="s">
        <v>13232</v>
      </c>
      <c r="W6296" t="s">
        <v>19453</v>
      </c>
      <c r="X6296">
        <v>8</v>
      </c>
      <c r="Y6296" t="s">
        <v>25824</v>
      </c>
      <c r="Z6296" t="s">
        <v>32427</v>
      </c>
      <c r="AA6296">
        <v>0.82286698541976655</v>
      </c>
      <c r="AB6296" t="str">
        <f>HYPERLINK("Melting_Curves/meltCurve_Q9ULT8_HECTD1.pdf", "Melting_Curves/meltCurve_Q9ULT8_HECTD1.pdf")</f>
        <v>Melting_Curves/meltCurve_Q9ULT8_HECTD1.pdf</v>
      </c>
    </row>
    <row r="6297" spans="1:28" x14ac:dyDescent="0.25">
      <c r="A6297" t="s">
        <v>6300</v>
      </c>
      <c r="B6297">
        <v>0.99930955844802105</v>
      </c>
      <c r="C6297">
        <v>0.99238593492726301</v>
      </c>
      <c r="D6297">
        <v>0.981944957012855</v>
      </c>
      <c r="E6297">
        <v>0.90145935969391799</v>
      </c>
      <c r="F6297">
        <v>0.75120625301772603</v>
      </c>
      <c r="G6297">
        <v>0.71910073098393601</v>
      </c>
      <c r="H6297">
        <v>0.72650419746263595</v>
      </c>
      <c r="I6297">
        <v>0.81147799607290705</v>
      </c>
      <c r="J6297">
        <v>0.86758239839685702</v>
      </c>
      <c r="K6297">
        <v>0.64284542792413002</v>
      </c>
      <c r="L6297">
        <v>12520.4518541503</v>
      </c>
      <c r="M6297">
        <v>250</v>
      </c>
      <c r="O6297">
        <v>50.078602520484999</v>
      </c>
      <c r="P6297">
        <v>-0.30811630325574502</v>
      </c>
      <c r="Q6297">
        <v>0.75311945823251503</v>
      </c>
      <c r="R6297">
        <v>0.79156227598642603</v>
      </c>
      <c r="S6297" t="s">
        <v>12913</v>
      </c>
      <c r="T6297" t="s">
        <v>13232</v>
      </c>
      <c r="U6297" t="s">
        <v>13232</v>
      </c>
      <c r="V6297" t="s">
        <v>13232</v>
      </c>
      <c r="W6297" t="s">
        <v>19454</v>
      </c>
      <c r="X6297">
        <v>24</v>
      </c>
      <c r="Y6297" t="s">
        <v>25825</v>
      </c>
      <c r="Z6297" t="s">
        <v>32428</v>
      </c>
      <c r="AA6297">
        <v>0.83610789315296086</v>
      </c>
      <c r="AB6297" t="str">
        <f>HYPERLINK("Melting_Curves/meltCurve_Q9ULU4_12_ZMYND8.pdf", "Melting_Curves/meltCurve_Q9ULU4_12_ZMYND8.pdf")</f>
        <v>Melting_Curves/meltCurve_Q9ULU4_12_ZMYND8.pdf</v>
      </c>
    </row>
    <row r="6298" spans="1:28" x14ac:dyDescent="0.25">
      <c r="A6298" t="s">
        <v>6301</v>
      </c>
      <c r="B6298">
        <v>0.99930955844802105</v>
      </c>
      <c r="C6298">
        <v>1.0635764017701801</v>
      </c>
      <c r="D6298">
        <v>1.0453386484771301</v>
      </c>
      <c r="E6298">
        <v>1.04606292197879</v>
      </c>
      <c r="F6298">
        <v>0.93484807180487495</v>
      </c>
      <c r="G6298">
        <v>0.88612973646373205</v>
      </c>
      <c r="H6298">
        <v>0.88091530958924003</v>
      </c>
      <c r="I6298">
        <v>0.95808600701297397</v>
      </c>
      <c r="J6298">
        <v>0.95969941301463502</v>
      </c>
      <c r="K6298">
        <v>0.78026994575684905</v>
      </c>
      <c r="L6298">
        <v>461.95641133304201</v>
      </c>
      <c r="M6298">
        <v>4.9491361699521104</v>
      </c>
      <c r="Q6298">
        <v>0</v>
      </c>
      <c r="R6298">
        <v>0.52784806827749398</v>
      </c>
      <c r="S6298" t="s">
        <v>12914</v>
      </c>
      <c r="T6298" t="s">
        <v>13232</v>
      </c>
      <c r="U6298" t="s">
        <v>13232</v>
      </c>
      <c r="V6298" t="s">
        <v>13232</v>
      </c>
      <c r="W6298" t="s">
        <v>19455</v>
      </c>
      <c r="X6298">
        <v>23</v>
      </c>
      <c r="Y6298" t="s">
        <v>25826</v>
      </c>
      <c r="Z6298" t="s">
        <v>32429</v>
      </c>
      <c r="AA6298">
        <v>0.95184806754430928</v>
      </c>
      <c r="AB6298" t="str">
        <f>HYPERLINK("Melting_Curves/meltCurve_Q9ULV3_5_CIZ1.pdf", "Melting_Curves/meltCurve_Q9ULV3_5_CIZ1.pdf")</f>
        <v>Melting_Curves/meltCurve_Q9ULV3_5_CIZ1.pdf</v>
      </c>
    </row>
    <row r="6299" spans="1:28" x14ac:dyDescent="0.25">
      <c r="A6299" t="s">
        <v>6302</v>
      </c>
      <c r="B6299">
        <v>0.99930955844802105</v>
      </c>
      <c r="C6299">
        <v>1.02061479470153</v>
      </c>
      <c r="D6299">
        <v>1.0346071932960701</v>
      </c>
      <c r="E6299">
        <v>0.94380433905002503</v>
      </c>
      <c r="F6299">
        <v>0.81081828335723205</v>
      </c>
      <c r="G6299">
        <v>0.45890145946976402</v>
      </c>
      <c r="H6299">
        <v>0.28926632408821601</v>
      </c>
      <c r="I6299">
        <v>0.31648142887109598</v>
      </c>
      <c r="J6299">
        <v>0.31439767443546701</v>
      </c>
      <c r="K6299">
        <v>0.24832088624791299</v>
      </c>
      <c r="L6299">
        <v>1616.4299228755201</v>
      </c>
      <c r="M6299">
        <v>29.496857855677799</v>
      </c>
      <c r="N6299">
        <v>56.376515904158097</v>
      </c>
      <c r="O6299">
        <v>54.550049584570999</v>
      </c>
      <c r="P6299">
        <v>-9.7218382630772704E-2</v>
      </c>
      <c r="Q6299">
        <v>0.28084128071380599</v>
      </c>
      <c r="R6299">
        <v>0.99489827839893097</v>
      </c>
      <c r="S6299" t="s">
        <v>12915</v>
      </c>
      <c r="T6299" t="s">
        <v>13232</v>
      </c>
      <c r="U6299" t="s">
        <v>13232</v>
      </c>
      <c r="V6299" t="s">
        <v>13232</v>
      </c>
      <c r="W6299" t="s">
        <v>19456</v>
      </c>
      <c r="X6299">
        <v>29</v>
      </c>
      <c r="Y6299" t="s">
        <v>25827</v>
      </c>
      <c r="Z6299" t="s">
        <v>32430</v>
      </c>
      <c r="AA6299">
        <v>0.64054540121684567</v>
      </c>
      <c r="AB6299" t="str">
        <f>HYPERLINK("Melting_Curves/meltCurve_Q9ULV4_CORO1C.pdf", "Melting_Curves/meltCurve_Q9ULV4_CORO1C.pdf")</f>
        <v>Melting_Curves/meltCurve_Q9ULV4_CORO1C.pdf</v>
      </c>
    </row>
    <row r="6300" spans="1:28" x14ac:dyDescent="0.25">
      <c r="A6300" t="s">
        <v>6303</v>
      </c>
      <c r="B6300">
        <v>0.99930955844802105</v>
      </c>
      <c r="C6300">
        <v>1.0983453543688899</v>
      </c>
      <c r="D6300">
        <v>1.0962962595726</v>
      </c>
      <c r="E6300">
        <v>1.0797742981590599</v>
      </c>
      <c r="F6300">
        <v>0.93360740395568698</v>
      </c>
      <c r="G6300">
        <v>0.930215963745327</v>
      </c>
      <c r="H6300">
        <v>0.93009894647852498</v>
      </c>
      <c r="I6300">
        <v>1.04659732470279</v>
      </c>
      <c r="J6300">
        <v>1.07412258444019</v>
      </c>
      <c r="K6300">
        <v>0.80661297451610303</v>
      </c>
      <c r="L6300">
        <v>15000</v>
      </c>
      <c r="M6300">
        <v>212.85751408334801</v>
      </c>
      <c r="Q6300">
        <v>0</v>
      </c>
      <c r="R6300">
        <v>0.44234655668387701</v>
      </c>
      <c r="S6300" t="s">
        <v>12916</v>
      </c>
      <c r="T6300" t="s">
        <v>13232</v>
      </c>
      <c r="U6300" t="s">
        <v>13232</v>
      </c>
      <c r="V6300" t="s">
        <v>13232</v>
      </c>
      <c r="W6300" t="s">
        <v>19457</v>
      </c>
      <c r="X6300">
        <v>39</v>
      </c>
      <c r="Y6300" t="s">
        <v>25828</v>
      </c>
      <c r="Z6300" t="s">
        <v>32431</v>
      </c>
      <c r="AA6300">
        <v>0.99768267568346714</v>
      </c>
      <c r="AB6300" t="str">
        <f>HYPERLINK("Melting_Curves/meltCurve_Q9ULW0_TPX2.pdf", "Melting_Curves/meltCurve_Q9ULW0_TPX2.pdf")</f>
        <v>Melting_Curves/meltCurve_Q9ULW0_TPX2.pdf</v>
      </c>
    </row>
    <row r="6301" spans="1:28" x14ac:dyDescent="0.25">
      <c r="A6301" t="s">
        <v>6304</v>
      </c>
      <c r="B6301">
        <v>0.99930955844802105</v>
      </c>
      <c r="C6301">
        <v>0.81320311139298296</v>
      </c>
      <c r="D6301">
        <v>0.76513024555223996</v>
      </c>
      <c r="E6301">
        <v>0.64102164436415898</v>
      </c>
      <c r="F6301">
        <v>0.489420497658827</v>
      </c>
      <c r="G6301">
        <v>0.49667845995924598</v>
      </c>
      <c r="H6301">
        <v>0.466252261102648</v>
      </c>
      <c r="I6301">
        <v>0.44259758679435701</v>
      </c>
      <c r="J6301">
        <v>0.35635640271728802</v>
      </c>
      <c r="K6301">
        <v>0.33384257945092999</v>
      </c>
      <c r="L6301">
        <v>482.28771275646602</v>
      </c>
      <c r="M6301">
        <v>9.9347803247583499</v>
      </c>
      <c r="N6301">
        <v>55.0978150653903</v>
      </c>
      <c r="O6301">
        <v>46.701326865419503</v>
      </c>
      <c r="P6301">
        <v>-3.4767444619333697E-2</v>
      </c>
      <c r="Q6301">
        <v>0.34658787136680502</v>
      </c>
      <c r="R6301">
        <v>0.95902791230997297</v>
      </c>
      <c r="S6301" t="s">
        <v>12917</v>
      </c>
      <c r="T6301" t="s">
        <v>13232</v>
      </c>
      <c r="U6301" t="s">
        <v>13232</v>
      </c>
      <c r="V6301" t="s">
        <v>13232</v>
      </c>
      <c r="W6301" t="s">
        <v>19458</v>
      </c>
      <c r="X6301">
        <v>5</v>
      </c>
      <c r="Y6301" t="s">
        <v>25829</v>
      </c>
      <c r="Z6301" t="s">
        <v>32432</v>
      </c>
      <c r="AA6301">
        <v>0.56618591927150064</v>
      </c>
      <c r="AB6301" t="str">
        <f>HYPERLINK("Melting_Curves/meltCurve_Q9ULW3_ABT1.pdf", "Melting_Curves/meltCurve_Q9ULW3_ABT1.pdf")</f>
        <v>Melting_Curves/meltCurve_Q9ULW3_ABT1.pdf</v>
      </c>
    </row>
    <row r="6302" spans="1:28" x14ac:dyDescent="0.25">
      <c r="A6302" t="s">
        <v>6305</v>
      </c>
      <c r="B6302">
        <v>0.99930955844802105</v>
      </c>
      <c r="C6302">
        <v>0.96556637411291002</v>
      </c>
      <c r="D6302">
        <v>0.70071104375105497</v>
      </c>
      <c r="E6302">
        <v>0.45788470823136201</v>
      </c>
      <c r="F6302">
        <v>0.26522958345636899</v>
      </c>
      <c r="G6302">
        <v>0.20193479687082699</v>
      </c>
      <c r="H6302">
        <v>0.20002108322145301</v>
      </c>
      <c r="I6302">
        <v>0.22997241491300799</v>
      </c>
      <c r="J6302">
        <v>0.30867397519557599</v>
      </c>
      <c r="K6302">
        <v>0.21066601948803099</v>
      </c>
      <c r="L6302">
        <v>1057.52771050048</v>
      </c>
      <c r="M6302">
        <v>22.314876553828899</v>
      </c>
      <c r="N6302">
        <v>48.700110925834998</v>
      </c>
      <c r="O6302">
        <v>47.015476501456597</v>
      </c>
      <c r="P6302">
        <v>-9.1897563191305501E-2</v>
      </c>
      <c r="Q6302">
        <v>0.225535976299476</v>
      </c>
      <c r="R6302">
        <v>0.98317029068260298</v>
      </c>
      <c r="S6302" t="s">
        <v>12918</v>
      </c>
      <c r="T6302" t="s">
        <v>13232</v>
      </c>
      <c r="U6302" t="s">
        <v>13232</v>
      </c>
      <c r="V6302" t="s">
        <v>13232</v>
      </c>
      <c r="W6302" t="s">
        <v>19459</v>
      </c>
      <c r="X6302">
        <v>11</v>
      </c>
      <c r="Y6302" t="s">
        <v>25830</v>
      </c>
      <c r="Z6302" t="s">
        <v>32433</v>
      </c>
      <c r="AA6302">
        <v>0.42514600100756461</v>
      </c>
      <c r="AB6302" t="str">
        <f>HYPERLINK("Melting_Curves/meltCurve_Q9ULX3_NOB1.pdf", "Melting_Curves/meltCurve_Q9ULX3_NOB1.pdf")</f>
        <v>Melting_Curves/meltCurve_Q9ULX3_NOB1.pdf</v>
      </c>
    </row>
    <row r="6303" spans="1:28" x14ac:dyDescent="0.25">
      <c r="A6303" t="s">
        <v>6306</v>
      </c>
      <c r="B6303">
        <v>0.99930955844802105</v>
      </c>
      <c r="C6303">
        <v>0.9407000213758</v>
      </c>
      <c r="D6303">
        <v>0.93867915330643503</v>
      </c>
      <c r="E6303">
        <v>0.77174360023055499</v>
      </c>
      <c r="F6303">
        <v>0.50121783515877105</v>
      </c>
      <c r="G6303">
        <v>0.35226735172796098</v>
      </c>
      <c r="H6303">
        <v>0.21981194931798501</v>
      </c>
      <c r="I6303">
        <v>0.18760257519374399</v>
      </c>
      <c r="J6303">
        <v>0.192481398231242</v>
      </c>
      <c r="K6303">
        <v>0.148815987860592</v>
      </c>
      <c r="L6303">
        <v>898.96609677361801</v>
      </c>
      <c r="M6303">
        <v>17.142807019822801</v>
      </c>
      <c r="N6303">
        <v>53.599460039238103</v>
      </c>
      <c r="O6303">
        <v>51.741854634109004</v>
      </c>
      <c r="P6303">
        <v>-6.9999355912111594E-2</v>
      </c>
      <c r="Q6303">
        <v>0.15493888903597799</v>
      </c>
      <c r="R6303">
        <v>0.99525424324999101</v>
      </c>
      <c r="S6303" t="s">
        <v>12919</v>
      </c>
      <c r="T6303" t="s">
        <v>13232</v>
      </c>
      <c r="U6303" t="s">
        <v>13232</v>
      </c>
      <c r="V6303" t="s">
        <v>13232</v>
      </c>
      <c r="W6303" t="s">
        <v>19460</v>
      </c>
      <c r="X6303">
        <v>10</v>
      </c>
      <c r="Y6303" t="s">
        <v>25831</v>
      </c>
      <c r="Z6303" t="s">
        <v>32434</v>
      </c>
      <c r="AA6303">
        <v>0.52048672270997121</v>
      </c>
      <c r="AB6303" t="str">
        <f>HYPERLINK("Melting_Curves/meltCurve_Q9ULX6_AKAP8L.pdf", "Melting_Curves/meltCurve_Q9ULX6_AKAP8L.pdf")</f>
        <v>Melting_Curves/meltCurve_Q9ULX6_AKAP8L.pdf</v>
      </c>
    </row>
    <row r="6304" spans="1:28" x14ac:dyDescent="0.25">
      <c r="A6304" t="s">
        <v>6307</v>
      </c>
      <c r="B6304">
        <v>0.99930955844802105</v>
      </c>
      <c r="C6304">
        <v>1.1656321618963399</v>
      </c>
      <c r="D6304">
        <v>0.67719648661311105</v>
      </c>
      <c r="E6304">
        <v>0.35677217990222898</v>
      </c>
      <c r="F6304">
        <v>0.23094694441662</v>
      </c>
      <c r="G6304">
        <v>0.181460433997229</v>
      </c>
      <c r="H6304">
        <v>0.118611971760841</v>
      </c>
      <c r="I6304">
        <v>0.11607992753398499</v>
      </c>
      <c r="J6304">
        <v>0.111583145313547</v>
      </c>
      <c r="K6304">
        <v>7.9794245030012895E-2</v>
      </c>
      <c r="L6304">
        <v>1223.7657321506499</v>
      </c>
      <c r="M6304">
        <v>25.6093115645441</v>
      </c>
      <c r="N6304">
        <v>48.330498567411198</v>
      </c>
      <c r="O6304">
        <v>47.497449647217501</v>
      </c>
      <c r="P6304">
        <v>-0.11790215743439</v>
      </c>
      <c r="Q6304">
        <v>0.12532082552757401</v>
      </c>
      <c r="R6304">
        <v>0.959784113411142</v>
      </c>
      <c r="S6304" t="s">
        <v>12920</v>
      </c>
      <c r="T6304" t="s">
        <v>13232</v>
      </c>
      <c r="U6304" t="s">
        <v>13232</v>
      </c>
      <c r="V6304" t="s">
        <v>13232</v>
      </c>
      <c r="W6304" t="s">
        <v>19461</v>
      </c>
      <c r="X6304">
        <v>13</v>
      </c>
      <c r="Y6304" t="s">
        <v>25832</v>
      </c>
      <c r="Z6304" t="s">
        <v>32435</v>
      </c>
      <c r="AA6304">
        <v>0.35967718968021101</v>
      </c>
      <c r="AB6304" t="str">
        <f>HYPERLINK("Melting_Curves/meltCurve_Q9ULZ2_STAP1.pdf", "Melting_Curves/meltCurve_Q9ULZ2_STAP1.pdf")</f>
        <v>Melting_Curves/meltCurve_Q9ULZ2_STAP1.pdf</v>
      </c>
    </row>
    <row r="6305" spans="1:28" x14ac:dyDescent="0.25">
      <c r="A6305" t="s">
        <v>6308</v>
      </c>
      <c r="B6305">
        <v>0.99930955844802105</v>
      </c>
      <c r="C6305">
        <v>0.97120077402341898</v>
      </c>
      <c r="D6305">
        <v>0.97360742856934002</v>
      </c>
      <c r="E6305">
        <v>0.89642864509687203</v>
      </c>
      <c r="F6305">
        <v>0.69976537737775502</v>
      </c>
      <c r="G6305">
        <v>0.45636671774005499</v>
      </c>
      <c r="H6305">
        <v>0.257594524615192</v>
      </c>
      <c r="I6305">
        <v>0.18153181573041199</v>
      </c>
      <c r="J6305">
        <v>0.15669443665077001</v>
      </c>
      <c r="K6305">
        <v>0.116449241314224</v>
      </c>
      <c r="L6305">
        <v>934.43542914539796</v>
      </c>
      <c r="M6305">
        <v>16.8464507234015</v>
      </c>
      <c r="N6305">
        <v>56.198772280609496</v>
      </c>
      <c r="O6305">
        <v>54.703894580253099</v>
      </c>
      <c r="P6305">
        <v>-6.9418867121405201E-2</v>
      </c>
      <c r="Q6305">
        <v>9.8388318563037494E-2</v>
      </c>
      <c r="R6305">
        <v>0.99884049195086599</v>
      </c>
      <c r="S6305" t="s">
        <v>12921</v>
      </c>
      <c r="T6305" t="s">
        <v>13232</v>
      </c>
      <c r="U6305" t="s">
        <v>13232</v>
      </c>
      <c r="V6305" t="s">
        <v>13232</v>
      </c>
      <c r="W6305" t="s">
        <v>19462</v>
      </c>
      <c r="X6305">
        <v>9</v>
      </c>
      <c r="Y6305" t="s">
        <v>25833</v>
      </c>
      <c r="Z6305" t="s">
        <v>32436</v>
      </c>
      <c r="AA6305">
        <v>0.57806873543695114</v>
      </c>
      <c r="AB6305" t="str">
        <f>HYPERLINK("Melting_Curves/meltCurve_Q9ULZ3_PYCARD.pdf", "Melting_Curves/meltCurve_Q9ULZ3_PYCARD.pdf")</f>
        <v>Melting_Curves/meltCurve_Q9ULZ3_PYCARD.pdf</v>
      </c>
    </row>
    <row r="6306" spans="1:28" x14ac:dyDescent="0.25">
      <c r="A6306" t="s">
        <v>6309</v>
      </c>
      <c r="B6306">
        <v>0.99930955844802105</v>
      </c>
      <c r="C6306">
        <v>0.83445166457439601</v>
      </c>
      <c r="D6306">
        <v>0.76732535498654697</v>
      </c>
      <c r="E6306">
        <v>0.79578863790801602</v>
      </c>
      <c r="F6306">
        <v>0.49398200018796101</v>
      </c>
      <c r="G6306">
        <v>0.25268857279318702</v>
      </c>
      <c r="H6306">
        <v>0.14201194242183299</v>
      </c>
      <c r="I6306">
        <v>6.4755984978970102E-2</v>
      </c>
      <c r="J6306">
        <v>0</v>
      </c>
      <c r="K6306">
        <v>4.6687763006695499E-2</v>
      </c>
      <c r="L6306">
        <v>692.93063917960797</v>
      </c>
      <c r="M6306">
        <v>13.1192561551841</v>
      </c>
      <c r="N6306">
        <v>52.8178398115897</v>
      </c>
      <c r="O6306">
        <v>51.635848802294603</v>
      </c>
      <c r="P6306">
        <v>-6.3528988361671299E-2</v>
      </c>
      <c r="Q6306">
        <v>0</v>
      </c>
      <c r="R6306">
        <v>0.96582501187082404</v>
      </c>
      <c r="S6306" t="s">
        <v>12922</v>
      </c>
      <c r="T6306" t="s">
        <v>13232</v>
      </c>
      <c r="U6306" t="s">
        <v>13232</v>
      </c>
      <c r="V6306" t="s">
        <v>13232</v>
      </c>
      <c r="W6306" t="s">
        <v>19463</v>
      </c>
      <c r="X6306">
        <v>9</v>
      </c>
      <c r="Y6306" t="s">
        <v>25833</v>
      </c>
      <c r="Z6306" t="s">
        <v>32437</v>
      </c>
      <c r="AA6306">
        <v>0.45319759443235658</v>
      </c>
      <c r="AB6306" t="str">
        <f>HYPERLINK("Melting_Curves/meltCurve_Q9ULZ3_2_PYCARD.pdf", "Melting_Curves/meltCurve_Q9ULZ3_2_PYCARD.pdf")</f>
        <v>Melting_Curves/meltCurve_Q9ULZ3_2_PYCARD.pdf</v>
      </c>
    </row>
    <row r="6307" spans="1:28" x14ac:dyDescent="0.25">
      <c r="A6307" t="s">
        <v>6310</v>
      </c>
      <c r="B6307">
        <v>0.99930955844802105</v>
      </c>
      <c r="C6307">
        <v>0.91547339407863404</v>
      </c>
      <c r="D6307">
        <v>0.94592548720177105</v>
      </c>
      <c r="E6307">
        <v>0.85316453781238899</v>
      </c>
      <c r="F6307">
        <v>0.62382540549738996</v>
      </c>
      <c r="G6307">
        <v>0.26313911644893101</v>
      </c>
      <c r="H6307">
        <v>0.126507960176658</v>
      </c>
      <c r="I6307">
        <v>9.3603578143683405E-2</v>
      </c>
      <c r="J6307">
        <v>8.6817401220292106E-2</v>
      </c>
      <c r="K6307">
        <v>6.7016795939925794E-2</v>
      </c>
      <c r="L6307">
        <v>1176.0012457744101</v>
      </c>
      <c r="M6307">
        <v>21.851843017005301</v>
      </c>
      <c r="N6307">
        <v>54.1553981747481</v>
      </c>
      <c r="O6307">
        <v>53.372402353519803</v>
      </c>
      <c r="P6307">
        <v>-9.5826337033711406E-2</v>
      </c>
      <c r="Q6307">
        <v>6.38108607184011E-2</v>
      </c>
      <c r="R6307">
        <v>0.99453591096903005</v>
      </c>
      <c r="S6307" t="s">
        <v>12923</v>
      </c>
      <c r="T6307" t="s">
        <v>13232</v>
      </c>
      <c r="U6307" t="s">
        <v>13232</v>
      </c>
      <c r="V6307" t="s">
        <v>13232</v>
      </c>
      <c r="W6307" t="s">
        <v>19464</v>
      </c>
      <c r="X6307">
        <v>2</v>
      </c>
      <c r="Y6307" t="s">
        <v>25834</v>
      </c>
      <c r="Z6307" t="s">
        <v>32438</v>
      </c>
      <c r="AA6307">
        <v>0.50598902518824262</v>
      </c>
      <c r="AB6307" t="str">
        <f>HYPERLINK("Melting_Curves/meltCurve_Q9UM13_ANAPC10.pdf", "Melting_Curves/meltCurve_Q9UM13_ANAPC10.pdf")</f>
        <v>Melting_Curves/meltCurve_Q9UM13_ANAPC10.pdf</v>
      </c>
    </row>
    <row r="6308" spans="1:28" x14ac:dyDescent="0.25">
      <c r="A6308" t="s">
        <v>6311</v>
      </c>
      <c r="B6308">
        <v>0.99930955844802105</v>
      </c>
      <c r="C6308">
        <v>0.90227182167796305</v>
      </c>
      <c r="D6308">
        <v>0.87056582553389195</v>
      </c>
      <c r="E6308">
        <v>0.877993231507326</v>
      </c>
      <c r="F6308">
        <v>0.24332934502044901</v>
      </c>
      <c r="G6308">
        <v>0.155234717898561</v>
      </c>
      <c r="H6308">
        <v>8.8652525565934004E-2</v>
      </c>
      <c r="I6308">
        <v>7.7348339179700201E-2</v>
      </c>
      <c r="J6308">
        <v>6.8180989160429195E-2</v>
      </c>
      <c r="K6308">
        <v>5.0415116110839202E-2</v>
      </c>
      <c r="L6308">
        <v>2961.8397421311001</v>
      </c>
      <c r="M6308">
        <v>57.415686091822202</v>
      </c>
      <c r="N6308">
        <v>51.756788856020201</v>
      </c>
      <c r="O6308">
        <v>51.523441186504002</v>
      </c>
      <c r="P6308">
        <v>-0.254536658756365</v>
      </c>
      <c r="Q6308">
        <v>8.6340584384546101E-2</v>
      </c>
      <c r="R6308">
        <v>0.97954796025396396</v>
      </c>
      <c r="S6308" t="s">
        <v>12924</v>
      </c>
      <c r="T6308" t="s">
        <v>13232</v>
      </c>
      <c r="U6308" t="s">
        <v>13232</v>
      </c>
      <c r="V6308" t="s">
        <v>13232</v>
      </c>
      <c r="W6308" t="s">
        <v>19465</v>
      </c>
      <c r="X6308">
        <v>58</v>
      </c>
      <c r="Y6308" t="s">
        <v>25835</v>
      </c>
      <c r="Z6308" t="s">
        <v>32439</v>
      </c>
      <c r="AA6308">
        <v>0.44076724908556741</v>
      </c>
      <c r="AB6308" t="str">
        <f>HYPERLINK("Melting_Curves/meltCurve_Q9UM54_6_MYO6.pdf", "Melting_Curves/meltCurve_Q9UM54_6_MYO6.pdf")</f>
        <v>Melting_Curves/meltCurve_Q9UM54_6_MYO6.pdf</v>
      </c>
    </row>
    <row r="6309" spans="1:28" x14ac:dyDescent="0.25">
      <c r="A6309" t="s">
        <v>6312</v>
      </c>
      <c r="B6309">
        <v>0.99930955844802105</v>
      </c>
      <c r="C6309">
        <v>1.0107956946332901</v>
      </c>
      <c r="D6309">
        <v>0.88551191936893503</v>
      </c>
      <c r="E6309">
        <v>0.86455401919140096</v>
      </c>
      <c r="F6309">
        <v>0.71243503197483105</v>
      </c>
      <c r="G6309">
        <v>0.68409242126521397</v>
      </c>
      <c r="H6309">
        <v>0.63030930091659598</v>
      </c>
      <c r="I6309">
        <v>0.76759391506802399</v>
      </c>
      <c r="J6309">
        <v>0.82311452747312897</v>
      </c>
      <c r="K6309">
        <v>0.59714673515188998</v>
      </c>
      <c r="L6309">
        <v>994.64820173306703</v>
      </c>
      <c r="M6309">
        <v>20.3844087486784</v>
      </c>
      <c r="O6309">
        <v>48.3322461528914</v>
      </c>
      <c r="P6309">
        <v>-3.21363915477101E-2</v>
      </c>
      <c r="Q6309">
        <v>0.69522256890228595</v>
      </c>
      <c r="R6309">
        <v>0.77046116405450804</v>
      </c>
      <c r="S6309" t="s">
        <v>12925</v>
      </c>
      <c r="T6309" t="s">
        <v>13232</v>
      </c>
      <c r="U6309" t="s">
        <v>13232</v>
      </c>
      <c r="V6309" t="s">
        <v>13232</v>
      </c>
      <c r="W6309" t="s">
        <v>19466</v>
      </c>
      <c r="X6309">
        <v>7</v>
      </c>
      <c r="Y6309" t="s">
        <v>25836</v>
      </c>
      <c r="Z6309" t="s">
        <v>32440</v>
      </c>
      <c r="AA6309">
        <v>0.78868288436730583</v>
      </c>
      <c r="AB6309" t="str">
        <f>HYPERLINK("Melting_Curves/meltCurve_Q9UMF0_ICAM5.pdf", "Melting_Curves/meltCurve_Q9UMF0_ICAM5.pdf")</f>
        <v>Melting_Curves/meltCurve_Q9UMF0_ICAM5.pdf</v>
      </c>
    </row>
    <row r="6310" spans="1:28" x14ac:dyDescent="0.25">
      <c r="A6310" t="s">
        <v>6313</v>
      </c>
      <c r="B6310">
        <v>0.99930955844802105</v>
      </c>
      <c r="C6310">
        <v>1.18352997196738</v>
      </c>
      <c r="D6310">
        <v>1.14935237266183</v>
      </c>
      <c r="E6310">
        <v>1.13841946308249</v>
      </c>
      <c r="F6310">
        <v>1.02954372108643</v>
      </c>
      <c r="G6310">
        <v>0.96212244562817095</v>
      </c>
      <c r="H6310">
        <v>1.0448811451742599</v>
      </c>
      <c r="I6310">
        <v>1.1379559631303</v>
      </c>
      <c r="J6310">
        <v>1.16225119394113</v>
      </c>
      <c r="K6310">
        <v>0.92743220273135596</v>
      </c>
      <c r="L6310">
        <v>10251.9002176719</v>
      </c>
      <c r="M6310">
        <v>250</v>
      </c>
      <c r="O6310">
        <v>41.004976922659601</v>
      </c>
      <c r="P6310">
        <v>0.124559170981118</v>
      </c>
      <c r="Q6310">
        <v>1.0817207342786599</v>
      </c>
      <c r="R6310">
        <v>8.0306392852882796E-2</v>
      </c>
      <c r="S6310" t="s">
        <v>12926</v>
      </c>
      <c r="T6310" t="s">
        <v>13232</v>
      </c>
      <c r="U6310" t="s">
        <v>13232</v>
      </c>
      <c r="V6310" t="s">
        <v>13232</v>
      </c>
      <c r="W6310" t="s">
        <v>19467</v>
      </c>
      <c r="X6310">
        <v>22</v>
      </c>
      <c r="Y6310" t="s">
        <v>25837</v>
      </c>
      <c r="Z6310" t="s">
        <v>32441</v>
      </c>
      <c r="AA6310">
        <v>1.0789693477181219</v>
      </c>
      <c r="AB6310" t="str">
        <f>HYPERLINK("Melting_Curves/meltCurve_Q9UMN6_WBP7.pdf", "Melting_Curves/meltCurve_Q9UMN6_WBP7.pdf")</f>
        <v>Melting_Curves/meltCurve_Q9UMN6_WBP7.pdf</v>
      </c>
    </row>
    <row r="6311" spans="1:28" x14ac:dyDescent="0.25">
      <c r="A6311" t="s">
        <v>6314</v>
      </c>
      <c r="B6311">
        <v>0.99930955844802105</v>
      </c>
      <c r="C6311">
        <v>0.84184443173635903</v>
      </c>
      <c r="D6311">
        <v>0.44254847182028401</v>
      </c>
      <c r="E6311">
        <v>0.272893689480736</v>
      </c>
      <c r="F6311">
        <v>0.14615425728002801</v>
      </c>
      <c r="G6311">
        <v>0.156426999055406</v>
      </c>
      <c r="H6311">
        <v>8.9114076262239897E-2</v>
      </c>
      <c r="I6311">
        <v>2.73885142836491E-2</v>
      </c>
      <c r="J6311">
        <v>4.1393320771571103E-2</v>
      </c>
      <c r="K6311">
        <v>8.5327230165100104E-2</v>
      </c>
      <c r="L6311">
        <v>926.47776314571297</v>
      </c>
      <c r="M6311">
        <v>20.274451923164602</v>
      </c>
      <c r="N6311">
        <v>46.098237939493998</v>
      </c>
      <c r="O6311">
        <v>45.259209847364403</v>
      </c>
      <c r="P6311">
        <v>-0.102930889373842</v>
      </c>
      <c r="Q6311">
        <v>8.0926677363539298E-2</v>
      </c>
      <c r="R6311">
        <v>0.98177946778123404</v>
      </c>
      <c r="S6311" t="s">
        <v>12927</v>
      </c>
      <c r="T6311" t="s">
        <v>13232</v>
      </c>
      <c r="U6311" t="s">
        <v>13232</v>
      </c>
      <c r="V6311" t="s">
        <v>13232</v>
      </c>
      <c r="W6311" t="s">
        <v>19468</v>
      </c>
      <c r="X6311">
        <v>21</v>
      </c>
      <c r="Y6311" t="s">
        <v>25838</v>
      </c>
      <c r="Z6311" t="s">
        <v>32442</v>
      </c>
      <c r="AA6311">
        <v>0.26954254209309603</v>
      </c>
      <c r="AB6311" t="str">
        <f>HYPERLINK("Melting_Curves/meltCurve_Q9UMR2_DDX19B.pdf", "Melting_Curves/meltCurve_Q9UMR2_DDX19B.pdf")</f>
        <v>Melting_Curves/meltCurve_Q9UMR2_DDX19B.pdf</v>
      </c>
    </row>
    <row r="6312" spans="1:28" x14ac:dyDescent="0.25">
      <c r="A6312" t="s">
        <v>6315</v>
      </c>
      <c r="B6312">
        <v>0.99930955844802105</v>
      </c>
      <c r="C6312">
        <v>0.97800168191789705</v>
      </c>
      <c r="D6312">
        <v>0.99637832834422502</v>
      </c>
      <c r="E6312">
        <v>0.972931071040537</v>
      </c>
      <c r="F6312">
        <v>0.90382985402787197</v>
      </c>
      <c r="G6312">
        <v>0.83544616075636702</v>
      </c>
      <c r="H6312">
        <v>0.77064191414929795</v>
      </c>
      <c r="I6312">
        <v>0.74867044027427998</v>
      </c>
      <c r="J6312">
        <v>0.59658549611206702</v>
      </c>
      <c r="K6312">
        <v>0.462244505945896</v>
      </c>
      <c r="L6312">
        <v>577.50403720815905</v>
      </c>
      <c r="M6312">
        <v>8.2484323742362395</v>
      </c>
      <c r="O6312">
        <v>66.260230053005898</v>
      </c>
      <c r="P6312">
        <v>-3.1152739672037699E-2</v>
      </c>
      <c r="Q6312">
        <v>0</v>
      </c>
      <c r="R6312">
        <v>0.97371474382164702</v>
      </c>
      <c r="S6312" t="s">
        <v>12928</v>
      </c>
      <c r="T6312" t="s">
        <v>13232</v>
      </c>
      <c r="U6312" t="s">
        <v>13232</v>
      </c>
      <c r="V6312" t="s">
        <v>13232</v>
      </c>
      <c r="W6312" t="s">
        <v>19469</v>
      </c>
      <c r="X6312">
        <v>6</v>
      </c>
      <c r="Y6312" t="s">
        <v>25839</v>
      </c>
      <c r="Z6312" t="s">
        <v>32443</v>
      </c>
      <c r="AA6312">
        <v>0.8454531847766531</v>
      </c>
      <c r="AB6312" t="str">
        <f>HYPERLINK("Melting_Curves/meltCurve_Q9UMS0_3_NFU1.pdf", "Melting_Curves/meltCurve_Q9UMS0_3_NFU1.pdf")</f>
        <v>Melting_Curves/meltCurve_Q9UMS0_3_NFU1.pdf</v>
      </c>
    </row>
    <row r="6313" spans="1:28" x14ac:dyDescent="0.25">
      <c r="A6313" t="s">
        <v>6316</v>
      </c>
      <c r="B6313">
        <v>0.99930955844802105</v>
      </c>
      <c r="C6313">
        <v>0.84390547006823902</v>
      </c>
      <c r="D6313">
        <v>0.86289394216799598</v>
      </c>
      <c r="E6313">
        <v>0.81205570825736595</v>
      </c>
      <c r="F6313">
        <v>0.65895681683933505</v>
      </c>
      <c r="G6313">
        <v>0.41123432994645998</v>
      </c>
      <c r="H6313">
        <v>0.17460059281252999</v>
      </c>
      <c r="I6313">
        <v>0.13303333424526201</v>
      </c>
      <c r="J6313">
        <v>0.101285030100916</v>
      </c>
      <c r="K6313">
        <v>7.7029213041063804E-2</v>
      </c>
      <c r="L6313">
        <v>687.823565984026</v>
      </c>
      <c r="M6313">
        <v>12.4890014919309</v>
      </c>
      <c r="N6313">
        <v>55.074344123979103</v>
      </c>
      <c r="O6313">
        <v>53.7194788821255</v>
      </c>
      <c r="P6313">
        <v>-5.8133359325989703E-2</v>
      </c>
      <c r="Q6313">
        <v>0</v>
      </c>
      <c r="R6313">
        <v>0.97842859281227001</v>
      </c>
      <c r="S6313" t="s">
        <v>12929</v>
      </c>
      <c r="T6313" t="s">
        <v>13232</v>
      </c>
      <c r="U6313" t="s">
        <v>13232</v>
      </c>
      <c r="V6313" t="s">
        <v>13232</v>
      </c>
      <c r="W6313" t="s">
        <v>19470</v>
      </c>
      <c r="X6313">
        <v>18</v>
      </c>
      <c r="Y6313" t="s">
        <v>25840</v>
      </c>
      <c r="Z6313" t="s">
        <v>32444</v>
      </c>
      <c r="AA6313">
        <v>0.52507164674256668</v>
      </c>
      <c r="AB6313" t="str">
        <f>HYPERLINK("Melting_Curves/meltCurve_Q9UMS4_PRPF19.pdf", "Melting_Curves/meltCurve_Q9UMS4_PRPF19.pdf")</f>
        <v>Melting_Curves/meltCurve_Q9UMS4_PRPF19.pdf</v>
      </c>
    </row>
    <row r="6314" spans="1:28" x14ac:dyDescent="0.25">
      <c r="A6314" t="s">
        <v>6317</v>
      </c>
      <c r="B6314">
        <v>0.99930955844802105</v>
      </c>
      <c r="C6314">
        <v>1.0608084478656601</v>
      </c>
      <c r="D6314">
        <v>1.03585344170537</v>
      </c>
      <c r="E6314">
        <v>1.0536130904858501</v>
      </c>
      <c r="F6314">
        <v>0.96559129204319905</v>
      </c>
      <c r="G6314">
        <v>0.74347610879556403</v>
      </c>
      <c r="H6314">
        <v>0.75565040940240702</v>
      </c>
      <c r="I6314">
        <v>0.693786562212656</v>
      </c>
      <c r="J6314">
        <v>0.71477942011520001</v>
      </c>
      <c r="K6314">
        <v>0.62645953229857498</v>
      </c>
      <c r="L6314">
        <v>2780.10767294777</v>
      </c>
      <c r="M6314">
        <v>50.352212649458998</v>
      </c>
      <c r="O6314">
        <v>55.126322323762302</v>
      </c>
      <c r="P6314">
        <v>-6.9432289058382196E-2</v>
      </c>
      <c r="Q6314">
        <v>0.69593832276101397</v>
      </c>
      <c r="R6314">
        <v>0.93811323774778499</v>
      </c>
      <c r="S6314" t="s">
        <v>12930</v>
      </c>
      <c r="T6314" t="s">
        <v>13232</v>
      </c>
      <c r="U6314" t="s">
        <v>13232</v>
      </c>
      <c r="V6314" t="s">
        <v>13232</v>
      </c>
      <c r="W6314" t="s">
        <v>19471</v>
      </c>
      <c r="X6314">
        <v>12</v>
      </c>
      <c r="Y6314" t="s">
        <v>25841</v>
      </c>
      <c r="Z6314" t="s">
        <v>32445</v>
      </c>
      <c r="AA6314">
        <v>0.85085990684897439</v>
      </c>
      <c r="AB6314" t="str">
        <f>HYPERLINK("Melting_Curves/meltCurve_Q9UMX0_UBQLN1.pdf", "Melting_Curves/meltCurve_Q9UMX0_UBQLN1.pdf")</f>
        <v>Melting_Curves/meltCurve_Q9UMX0_UBQLN1.pdf</v>
      </c>
    </row>
    <row r="6315" spans="1:28" x14ac:dyDescent="0.25">
      <c r="A6315" t="s">
        <v>6318</v>
      </c>
      <c r="B6315">
        <v>0.99930955844802105</v>
      </c>
      <c r="C6315">
        <v>0.97755186423090001</v>
      </c>
      <c r="D6315">
        <v>1.01178993080087</v>
      </c>
      <c r="E6315">
        <v>0.90657259897240905</v>
      </c>
      <c r="F6315">
        <v>0.77074625519399198</v>
      </c>
      <c r="G6315">
        <v>0.62261013315582803</v>
      </c>
      <c r="H6315">
        <v>0.56922576156960503</v>
      </c>
      <c r="I6315">
        <v>0.60413574368939205</v>
      </c>
      <c r="J6315">
        <v>0.56670850516194005</v>
      </c>
      <c r="K6315">
        <v>0.47243488343488499</v>
      </c>
      <c r="L6315">
        <v>1120.8999118641</v>
      </c>
      <c r="M6315">
        <v>21.0783957955651</v>
      </c>
      <c r="O6315">
        <v>52.705973087792202</v>
      </c>
      <c r="P6315">
        <v>-4.6146581979218997E-2</v>
      </c>
      <c r="Q6315">
        <v>0.53845896060883103</v>
      </c>
      <c r="R6315">
        <v>0.97596222878168604</v>
      </c>
      <c r="S6315" t="s">
        <v>12931</v>
      </c>
      <c r="T6315" t="s">
        <v>13232</v>
      </c>
      <c r="U6315" t="s">
        <v>13232</v>
      </c>
      <c r="V6315" t="s">
        <v>13232</v>
      </c>
      <c r="W6315" t="s">
        <v>19472</v>
      </c>
      <c r="X6315">
        <v>11</v>
      </c>
      <c r="Y6315" t="s">
        <v>25842</v>
      </c>
      <c r="Z6315" t="s">
        <v>32446</v>
      </c>
      <c r="AA6315">
        <v>0.7469852147698679</v>
      </c>
      <c r="AB6315" t="str">
        <f>HYPERLINK("Melting_Curves/meltCurve_Q9UMX5_NENF.pdf", "Melting_Curves/meltCurve_Q9UMX5_NENF.pdf")</f>
        <v>Melting_Curves/meltCurve_Q9UMX5_NENF.pdf</v>
      </c>
    </row>
    <row r="6316" spans="1:28" x14ac:dyDescent="0.25">
      <c r="A6316" t="s">
        <v>6319</v>
      </c>
      <c r="B6316">
        <v>0.99930955844802105</v>
      </c>
      <c r="C6316">
        <v>1.0642836510953499</v>
      </c>
      <c r="D6316">
        <v>1.0262493453958601</v>
      </c>
      <c r="E6316">
        <v>0.91195690419520203</v>
      </c>
      <c r="F6316">
        <v>0.77213043624086797</v>
      </c>
      <c r="G6316">
        <v>0.69129476714899896</v>
      </c>
      <c r="H6316">
        <v>0.72969500601045101</v>
      </c>
      <c r="I6316">
        <v>0.86231489738865896</v>
      </c>
      <c r="J6316">
        <v>0.96275708415853101</v>
      </c>
      <c r="K6316">
        <v>0.73005071326478599</v>
      </c>
      <c r="L6316">
        <v>12515.725570820399</v>
      </c>
      <c r="M6316">
        <v>250</v>
      </c>
      <c r="O6316">
        <v>50.059700928672697</v>
      </c>
      <c r="P6316">
        <v>-0.26047176431651198</v>
      </c>
      <c r="Q6316">
        <v>0.79137379203292402</v>
      </c>
      <c r="R6316">
        <v>0.66334215987212897</v>
      </c>
      <c r="S6316" t="s">
        <v>12932</v>
      </c>
      <c r="T6316" t="s">
        <v>13232</v>
      </c>
      <c r="U6316" t="s">
        <v>13232</v>
      </c>
      <c r="V6316" t="s">
        <v>13232</v>
      </c>
      <c r="W6316" t="s">
        <v>19473</v>
      </c>
      <c r="X6316">
        <v>8</v>
      </c>
      <c r="Y6316" t="s">
        <v>25843</v>
      </c>
      <c r="Z6316" t="s">
        <v>32447</v>
      </c>
      <c r="AA6316">
        <v>0.86137162666790956</v>
      </c>
      <c r="AB6316" t="str">
        <f>HYPERLINK("Melting_Curves/meltCurve_Q9UMY1_NOL7.pdf", "Melting_Curves/meltCurve_Q9UMY1_NOL7.pdf")</f>
        <v>Melting_Curves/meltCurve_Q9UMY1_NOL7.pdf</v>
      </c>
    </row>
    <row r="6317" spans="1:28" x14ac:dyDescent="0.25">
      <c r="A6317" t="s">
        <v>6320</v>
      </c>
      <c r="B6317">
        <v>0.99930955844802105</v>
      </c>
      <c r="C6317">
        <v>1.07185862482188</v>
      </c>
      <c r="D6317">
        <v>1.07263483148223</v>
      </c>
      <c r="E6317">
        <v>0.87023022329215105</v>
      </c>
      <c r="F6317">
        <v>0.44427574403875297</v>
      </c>
      <c r="G6317">
        <v>0.26061984160420898</v>
      </c>
      <c r="H6317">
        <v>0.181816943722406</v>
      </c>
      <c r="I6317">
        <v>0.15675352878841201</v>
      </c>
      <c r="J6317">
        <v>0.14204985813673199</v>
      </c>
      <c r="K6317">
        <v>0.123866398110759</v>
      </c>
      <c r="L6317">
        <v>1911.70227275823</v>
      </c>
      <c r="M6317">
        <v>36.637359304810801</v>
      </c>
      <c r="N6317">
        <v>52.742633540255902</v>
      </c>
      <c r="O6317">
        <v>52.0243278241947</v>
      </c>
      <c r="P6317">
        <v>-0.14754165494472801</v>
      </c>
      <c r="Q6317">
        <v>0.16197767425474099</v>
      </c>
      <c r="R6317">
        <v>0.988594164651171</v>
      </c>
      <c r="S6317" t="s">
        <v>12933</v>
      </c>
      <c r="T6317" t="s">
        <v>13232</v>
      </c>
      <c r="U6317" t="s">
        <v>13232</v>
      </c>
      <c r="V6317" t="s">
        <v>13232</v>
      </c>
      <c r="W6317" t="s">
        <v>19474</v>
      </c>
      <c r="X6317">
        <v>11</v>
      </c>
      <c r="Y6317" t="s">
        <v>25844</v>
      </c>
      <c r="Z6317" t="s">
        <v>32448</v>
      </c>
      <c r="AA6317">
        <v>0.50579144652000474</v>
      </c>
      <c r="AB6317" t="str">
        <f>HYPERLINK("Melting_Curves/meltCurve_Q9UMY4_2_SNX12.pdf", "Melting_Curves/meltCurve_Q9UMY4_2_SNX12.pdf")</f>
        <v>Melting_Curves/meltCurve_Q9UMY4_2_SNX12.pdf</v>
      </c>
    </row>
    <row r="6318" spans="1:28" x14ac:dyDescent="0.25">
      <c r="A6318" t="s">
        <v>6321</v>
      </c>
      <c r="B6318">
        <v>0.99930955844802105</v>
      </c>
      <c r="C6318">
        <v>1.0334903186615401</v>
      </c>
      <c r="D6318">
        <v>0.99564577228537499</v>
      </c>
      <c r="E6318">
        <v>0.90473036705898602</v>
      </c>
      <c r="F6318">
        <v>0.75015708270340098</v>
      </c>
      <c r="G6318">
        <v>0.64004648467158698</v>
      </c>
      <c r="H6318">
        <v>0.61882744074967699</v>
      </c>
      <c r="I6318">
        <v>0.61460948560800199</v>
      </c>
      <c r="J6318">
        <v>0.59289654832836802</v>
      </c>
      <c r="K6318">
        <v>0.474054215744449</v>
      </c>
      <c r="L6318">
        <v>1039.1674317939601</v>
      </c>
      <c r="M6318">
        <v>19.651954623472601</v>
      </c>
      <c r="O6318">
        <v>52.340157097118002</v>
      </c>
      <c r="P6318">
        <v>-4.1499796237399203E-2</v>
      </c>
      <c r="Q6318">
        <v>0.55790036471211502</v>
      </c>
      <c r="R6318">
        <v>0.96332782977182496</v>
      </c>
      <c r="S6318" t="s">
        <v>12934</v>
      </c>
      <c r="T6318" t="s">
        <v>13232</v>
      </c>
      <c r="U6318" t="s">
        <v>13232</v>
      </c>
      <c r="V6318" t="s">
        <v>13232</v>
      </c>
      <c r="W6318" t="s">
        <v>19475</v>
      </c>
      <c r="X6318">
        <v>35</v>
      </c>
      <c r="Y6318" t="s">
        <v>25845</v>
      </c>
      <c r="Z6318" t="s">
        <v>32449</v>
      </c>
      <c r="AA6318">
        <v>0.75395960080724034</v>
      </c>
      <c r="AB6318" t="str">
        <f>HYPERLINK("Melting_Curves/meltCurve_Q9UMZ2_5_SYNRG.pdf", "Melting_Curves/meltCurve_Q9UMZ2_5_SYNRG.pdf")</f>
        <v>Melting_Curves/meltCurve_Q9UMZ2_5_SYNRG.pdf</v>
      </c>
    </row>
    <row r="6319" spans="1:28" x14ac:dyDescent="0.25">
      <c r="A6319" t="s">
        <v>6322</v>
      </c>
      <c r="B6319">
        <v>0.99930955844802105</v>
      </c>
      <c r="C6319">
        <v>1.08058713524151</v>
      </c>
      <c r="D6319">
        <v>1.07867298141554</v>
      </c>
      <c r="E6319">
        <v>1.0131616738025799</v>
      </c>
      <c r="F6319">
        <v>0.785928285073479</v>
      </c>
      <c r="G6319">
        <v>0.26946237893422498</v>
      </c>
      <c r="H6319">
        <v>9.9344741118708293E-2</v>
      </c>
      <c r="I6319">
        <v>7.3875801247533096E-2</v>
      </c>
      <c r="J6319">
        <v>5.4594494037549103E-2</v>
      </c>
      <c r="K6319">
        <v>4.6715376006032497E-2</v>
      </c>
      <c r="L6319">
        <v>1937.02202990611</v>
      </c>
      <c r="M6319">
        <v>35.248016089462403</v>
      </c>
      <c r="N6319">
        <v>55.152928380953398</v>
      </c>
      <c r="O6319">
        <v>54.778091129394198</v>
      </c>
      <c r="P6319">
        <v>-0.15126934341926099</v>
      </c>
      <c r="Q6319">
        <v>5.9667092296231801E-2</v>
      </c>
      <c r="R6319">
        <v>0.99258963524859201</v>
      </c>
      <c r="S6319" t="s">
        <v>12935</v>
      </c>
      <c r="T6319" t="s">
        <v>13232</v>
      </c>
      <c r="U6319" t="s">
        <v>13232</v>
      </c>
      <c r="V6319" t="s">
        <v>13232</v>
      </c>
      <c r="W6319" t="s">
        <v>19476</v>
      </c>
      <c r="X6319">
        <v>9</v>
      </c>
      <c r="Y6319" t="s">
        <v>25846</v>
      </c>
      <c r="Z6319" t="s">
        <v>32450</v>
      </c>
      <c r="AA6319">
        <v>0.5329632463117272</v>
      </c>
      <c r="AB6319" t="str">
        <f>HYPERLINK("Melting_Curves/meltCurve_Q9UN36_2_NDRG2.pdf", "Melting_Curves/meltCurve_Q9UN36_2_NDRG2.pdf")</f>
        <v>Melting_Curves/meltCurve_Q9UN36_2_NDRG2.pdf</v>
      </c>
    </row>
    <row r="6320" spans="1:28" x14ac:dyDescent="0.25">
      <c r="A6320" t="s">
        <v>6323</v>
      </c>
      <c r="B6320">
        <v>0.99930955844802105</v>
      </c>
      <c r="C6320">
        <v>0.71577525175533196</v>
      </c>
      <c r="D6320">
        <v>0.41501520135535702</v>
      </c>
      <c r="E6320">
        <v>0.35684705788280702</v>
      </c>
      <c r="F6320">
        <v>0.30801115544929902</v>
      </c>
      <c r="G6320">
        <v>0.23276500080931101</v>
      </c>
      <c r="H6320">
        <v>0.20694524352062299</v>
      </c>
      <c r="I6320">
        <v>0.18917277904834801</v>
      </c>
      <c r="J6320">
        <v>0.17505344588892399</v>
      </c>
      <c r="K6320">
        <v>0.146257311627116</v>
      </c>
      <c r="L6320">
        <v>864.78225991377701</v>
      </c>
      <c r="M6320">
        <v>19.474179872798999</v>
      </c>
      <c r="N6320">
        <v>45.6459264845533</v>
      </c>
      <c r="O6320">
        <v>43.946322455750497</v>
      </c>
      <c r="P6320">
        <v>-8.8040329505364306E-2</v>
      </c>
      <c r="Q6320">
        <v>0.20532572012504699</v>
      </c>
      <c r="R6320">
        <v>0.96268469071485496</v>
      </c>
      <c r="S6320" t="s">
        <v>12936</v>
      </c>
      <c r="T6320" t="s">
        <v>13232</v>
      </c>
      <c r="U6320" t="s">
        <v>13232</v>
      </c>
      <c r="V6320" t="s">
        <v>13232</v>
      </c>
      <c r="W6320" t="s">
        <v>19477</v>
      </c>
      <c r="X6320">
        <v>11</v>
      </c>
      <c r="Y6320" t="s">
        <v>25847</v>
      </c>
      <c r="Z6320" t="s">
        <v>32451</v>
      </c>
      <c r="AA6320">
        <v>0.33748670706761541</v>
      </c>
      <c r="AB6320" t="str">
        <f>HYPERLINK("Melting_Curves/meltCurve_Q9UN37_VPS4A.pdf", "Melting_Curves/meltCurve_Q9UN37_VPS4A.pdf")</f>
        <v>Melting_Curves/meltCurve_Q9UN37_VPS4A.pdf</v>
      </c>
    </row>
    <row r="6321" spans="1:28" x14ac:dyDescent="0.25">
      <c r="A6321" t="s">
        <v>6324</v>
      </c>
      <c r="B6321">
        <v>0.99930955844802105</v>
      </c>
      <c r="C6321">
        <v>1.0811939398349399</v>
      </c>
      <c r="D6321">
        <v>1.03132884551088</v>
      </c>
      <c r="E6321">
        <v>0.93685027569783197</v>
      </c>
      <c r="F6321">
        <v>0.69943831165255099</v>
      </c>
      <c r="G6321">
        <v>0.40429798740774597</v>
      </c>
      <c r="H6321">
        <v>0.22723418619778599</v>
      </c>
      <c r="I6321">
        <v>0.18727263131076399</v>
      </c>
      <c r="J6321">
        <v>0.17205137624561101</v>
      </c>
      <c r="K6321">
        <v>0.14634551468040599</v>
      </c>
      <c r="L6321">
        <v>1276.3778749605001</v>
      </c>
      <c r="M6321">
        <v>23.350879449586198</v>
      </c>
      <c r="N6321">
        <v>55.552721226439999</v>
      </c>
      <c r="O6321">
        <v>54.264654469013998</v>
      </c>
      <c r="P6321">
        <v>-9.07630009953556E-2</v>
      </c>
      <c r="Q6321">
        <v>0.15632539630946801</v>
      </c>
      <c r="R6321">
        <v>0.99286774221998397</v>
      </c>
      <c r="S6321" t="s">
        <v>12937</v>
      </c>
      <c r="T6321" t="s">
        <v>13232</v>
      </c>
      <c r="U6321" t="s">
        <v>13232</v>
      </c>
      <c r="V6321" t="s">
        <v>13232</v>
      </c>
      <c r="W6321" t="s">
        <v>19478</v>
      </c>
      <c r="X6321">
        <v>18</v>
      </c>
      <c r="Y6321" t="s">
        <v>25848</v>
      </c>
      <c r="Z6321" t="s">
        <v>32452</v>
      </c>
      <c r="AA6321">
        <v>0.57742355251697275</v>
      </c>
      <c r="AB6321" t="str">
        <f>HYPERLINK("Melting_Curves/meltCurve_Q9UN86_2_G3BP2.pdf", "Melting_Curves/meltCurve_Q9UN86_2_G3BP2.pdf")</f>
        <v>Melting_Curves/meltCurve_Q9UN86_2_G3BP2.pdf</v>
      </c>
    </row>
    <row r="6322" spans="1:28" x14ac:dyDescent="0.25">
      <c r="A6322" t="s">
        <v>6325</v>
      </c>
      <c r="B6322">
        <v>0.99930955844802105</v>
      </c>
      <c r="C6322">
        <v>0.73781407934648702</v>
      </c>
      <c r="D6322">
        <v>0.37756122901441103</v>
      </c>
      <c r="E6322">
        <v>0.24673933155929401</v>
      </c>
      <c r="F6322">
        <v>0.15165425509379399</v>
      </c>
      <c r="G6322">
        <v>0.11928303392003201</v>
      </c>
      <c r="H6322">
        <v>7.8619216238692502E-2</v>
      </c>
      <c r="I6322">
        <v>6.7607549156142199E-2</v>
      </c>
      <c r="J6322">
        <v>6.6972469424503106E-2</v>
      </c>
      <c r="K6322">
        <v>4.8526139657535397E-2</v>
      </c>
      <c r="L6322">
        <v>923.83090973913602</v>
      </c>
      <c r="M6322">
        <v>20.599173498315601</v>
      </c>
      <c r="N6322">
        <v>45.254312820879797</v>
      </c>
      <c r="O6322">
        <v>44.4317167989987</v>
      </c>
      <c r="P6322">
        <v>-0.10612094218962199</v>
      </c>
      <c r="Q6322">
        <v>8.4429494042342401E-2</v>
      </c>
      <c r="R6322">
        <v>0.98450821418051804</v>
      </c>
      <c r="S6322" t="s">
        <v>12938</v>
      </c>
      <c r="T6322" t="s">
        <v>13232</v>
      </c>
      <c r="U6322" t="s">
        <v>13232</v>
      </c>
      <c r="V6322" t="s">
        <v>13232</v>
      </c>
      <c r="W6322" t="s">
        <v>19479</v>
      </c>
      <c r="X6322">
        <v>13</v>
      </c>
      <c r="Y6322" t="s">
        <v>25849</v>
      </c>
      <c r="Z6322" t="s">
        <v>32453</v>
      </c>
      <c r="AA6322">
        <v>0.24710836062373751</v>
      </c>
      <c r="AB6322" t="str">
        <f>HYPERLINK("Melting_Curves/meltCurve_Q9UNE7_STUB1.pdf", "Melting_Curves/meltCurve_Q9UNE7_STUB1.pdf")</f>
        <v>Melting_Curves/meltCurve_Q9UNE7_STUB1.pdf</v>
      </c>
    </row>
    <row r="6323" spans="1:28" x14ac:dyDescent="0.25">
      <c r="A6323" t="s">
        <v>6326</v>
      </c>
      <c r="B6323">
        <v>0.99930955844802105</v>
      </c>
      <c r="C6323">
        <v>0.91179167995231503</v>
      </c>
      <c r="D6323">
        <v>0.876881211187167</v>
      </c>
      <c r="E6323">
        <v>0.42180279385257002</v>
      </c>
      <c r="F6323">
        <v>0.30221934854516103</v>
      </c>
      <c r="G6323">
        <v>0.24705990182391899</v>
      </c>
      <c r="H6323">
        <v>0.20196843142395099</v>
      </c>
      <c r="I6323">
        <v>0.21393779982775099</v>
      </c>
      <c r="J6323">
        <v>0.19519011888744001</v>
      </c>
      <c r="K6323">
        <v>0.165237787031038</v>
      </c>
      <c r="L6323">
        <v>1247.4330047414001</v>
      </c>
      <c r="M6323">
        <v>25.731263079959302</v>
      </c>
      <c r="N6323">
        <v>49.465995445791997</v>
      </c>
      <c r="O6323">
        <v>48.189290887027497</v>
      </c>
      <c r="P6323">
        <v>-0.106696137230624</v>
      </c>
      <c r="Q6323">
        <v>0.20073081671552001</v>
      </c>
      <c r="R6323">
        <v>0.99145152915360901</v>
      </c>
      <c r="S6323" t="s">
        <v>12939</v>
      </c>
      <c r="T6323" t="s">
        <v>13232</v>
      </c>
      <c r="U6323" t="s">
        <v>13232</v>
      </c>
      <c r="V6323" t="s">
        <v>13232</v>
      </c>
      <c r="W6323" t="s">
        <v>19480</v>
      </c>
      <c r="X6323">
        <v>20</v>
      </c>
      <c r="Y6323" t="s">
        <v>25850</v>
      </c>
      <c r="Z6323" t="s">
        <v>32454</v>
      </c>
      <c r="AA6323">
        <v>0.43329056776446617</v>
      </c>
      <c r="AB6323" t="str">
        <f>HYPERLINK("Melting_Curves/meltCurve_Q9UNF0_2_PACSIN2.pdf", "Melting_Curves/meltCurve_Q9UNF0_2_PACSIN2.pdf")</f>
        <v>Melting_Curves/meltCurve_Q9UNF0_2_PACSIN2.pdf</v>
      </c>
    </row>
    <row r="6324" spans="1:28" x14ac:dyDescent="0.25">
      <c r="A6324" t="s">
        <v>6327</v>
      </c>
      <c r="B6324">
        <v>0.99930955844802105</v>
      </c>
      <c r="C6324">
        <v>0.84975806378697905</v>
      </c>
      <c r="D6324">
        <v>0.61722653834711305</v>
      </c>
      <c r="E6324">
        <v>0.54520692276884797</v>
      </c>
      <c r="F6324">
        <v>0.45601745107303698</v>
      </c>
      <c r="G6324">
        <v>0.40011304291100203</v>
      </c>
      <c r="H6324">
        <v>0.34613434480062799</v>
      </c>
      <c r="I6324">
        <v>0.34568256899865202</v>
      </c>
      <c r="J6324">
        <v>0.35698881983767899</v>
      </c>
      <c r="K6324">
        <v>0.28338999804360299</v>
      </c>
      <c r="L6324">
        <v>632.98211223233</v>
      </c>
      <c r="M6324">
        <v>13.607057180267701</v>
      </c>
      <c r="N6324">
        <v>50.462786229026101</v>
      </c>
      <c r="O6324">
        <v>45.548428759967699</v>
      </c>
      <c r="P6324">
        <v>-5.0241697508104498E-2</v>
      </c>
      <c r="Q6324">
        <v>0.32738079316150098</v>
      </c>
      <c r="R6324">
        <v>0.971630055703393</v>
      </c>
      <c r="S6324" t="s">
        <v>12940</v>
      </c>
      <c r="T6324" t="s">
        <v>13232</v>
      </c>
      <c r="U6324" t="s">
        <v>13232</v>
      </c>
      <c r="V6324" t="s">
        <v>13232</v>
      </c>
      <c r="W6324" t="s">
        <v>19481</v>
      </c>
      <c r="X6324">
        <v>19</v>
      </c>
      <c r="Y6324" t="s">
        <v>25851</v>
      </c>
      <c r="Z6324" t="s">
        <v>32455</v>
      </c>
      <c r="AA6324">
        <v>0.49655550909290058</v>
      </c>
      <c r="AB6324" t="str">
        <f>HYPERLINK("Melting_Curves/meltCurve_Q9UNF1_MAGED2.pdf", "Melting_Curves/meltCurve_Q9UNF1_MAGED2.pdf")</f>
        <v>Melting_Curves/meltCurve_Q9UNF1_MAGED2.pdf</v>
      </c>
    </row>
    <row r="6325" spans="1:28" x14ac:dyDescent="0.25">
      <c r="A6325" t="s">
        <v>6328</v>
      </c>
      <c r="B6325">
        <v>0.99930955844802105</v>
      </c>
      <c r="C6325">
        <v>0.82123663815644299</v>
      </c>
      <c r="D6325">
        <v>0.27972807028876201</v>
      </c>
      <c r="E6325">
        <v>0.22177651439030699</v>
      </c>
      <c r="F6325">
        <v>0.12373887071296</v>
      </c>
      <c r="G6325">
        <v>8.9139536673613698E-2</v>
      </c>
      <c r="H6325">
        <v>4.0406237310330897E-2</v>
      </c>
      <c r="I6325">
        <v>2.31895685108814E-2</v>
      </c>
      <c r="J6325">
        <v>1.8206044715580301E-2</v>
      </c>
      <c r="K6325">
        <v>1.42821620161485E-2</v>
      </c>
      <c r="L6325">
        <v>1460.5389191459899</v>
      </c>
      <c r="M6325">
        <v>32.744465358758497</v>
      </c>
      <c r="N6325">
        <v>44.801580833263898</v>
      </c>
      <c r="O6325">
        <v>44.438771233782902</v>
      </c>
      <c r="P6325">
        <v>-0.17183547317510101</v>
      </c>
      <c r="Q6325">
        <v>6.7186216742555399E-2</v>
      </c>
      <c r="R6325">
        <v>0.973743453382795</v>
      </c>
      <c r="S6325" t="s">
        <v>12941</v>
      </c>
      <c r="T6325" t="s">
        <v>13232</v>
      </c>
      <c r="U6325" t="s">
        <v>13232</v>
      </c>
      <c r="V6325" t="s">
        <v>13232</v>
      </c>
      <c r="W6325" t="s">
        <v>19482</v>
      </c>
      <c r="X6325">
        <v>22</v>
      </c>
      <c r="Y6325" t="s">
        <v>25852</v>
      </c>
      <c r="Z6325" t="s">
        <v>32456</v>
      </c>
      <c r="AA6325">
        <v>0.2153952647209573</v>
      </c>
      <c r="AB6325" t="str">
        <f>HYPERLINK("Melting_Curves/meltCurve_Q9UNH7_SNX6.pdf", "Melting_Curves/meltCurve_Q9UNH7_SNX6.pdf")</f>
        <v>Melting_Curves/meltCurve_Q9UNH7_SNX6.pdf</v>
      </c>
    </row>
    <row r="6326" spans="1:28" x14ac:dyDescent="0.25">
      <c r="A6326" t="s">
        <v>6329</v>
      </c>
      <c r="B6326">
        <v>0.99930955844802105</v>
      </c>
      <c r="C6326">
        <v>1.2597514023001199</v>
      </c>
      <c r="D6326">
        <v>1.12931032761398</v>
      </c>
      <c r="E6326">
        <v>1.1693135609960199</v>
      </c>
      <c r="F6326">
        <v>1.06804965682771</v>
      </c>
      <c r="G6326">
        <v>1.0245703768661201</v>
      </c>
      <c r="H6326">
        <v>1.08062652752803</v>
      </c>
      <c r="I6326">
        <v>1.23156751779485</v>
      </c>
      <c r="J6326">
        <v>1.1484971216065201</v>
      </c>
      <c r="K6326">
        <v>0.93415897133979198</v>
      </c>
      <c r="L6326">
        <v>10246.840326543601</v>
      </c>
      <c r="M6326">
        <v>250</v>
      </c>
      <c r="O6326">
        <v>40.984738400299598</v>
      </c>
      <c r="P6326">
        <v>0.177207413577741</v>
      </c>
      <c r="Q6326">
        <v>1.1162047916350799</v>
      </c>
      <c r="R6326">
        <v>0.12893775294162699</v>
      </c>
      <c r="S6326" t="s">
        <v>12942</v>
      </c>
      <c r="T6326" t="s">
        <v>13232</v>
      </c>
      <c r="U6326" t="s">
        <v>13232</v>
      </c>
      <c r="V6326" t="s">
        <v>13232</v>
      </c>
      <c r="W6326" t="s">
        <v>19483</v>
      </c>
      <c r="X6326">
        <v>3</v>
      </c>
      <c r="Y6326" t="s">
        <v>25853</v>
      </c>
      <c r="Z6326" t="s">
        <v>32457</v>
      </c>
      <c r="AA6326">
        <v>1.1123706431071809</v>
      </c>
      <c r="AB6326" t="str">
        <f>HYPERLINK("Melting_Curves/meltCurve_Q9UNL4_8_ING4.pdf", "Melting_Curves/meltCurve_Q9UNL4_8_ING4.pdf")</f>
        <v>Melting_Curves/meltCurve_Q9UNL4_8_ING4.pdf</v>
      </c>
    </row>
    <row r="6327" spans="1:28" x14ac:dyDescent="0.25">
      <c r="A6327" t="s">
        <v>6330</v>
      </c>
      <c r="B6327">
        <v>0.99930955844802105</v>
      </c>
      <c r="C6327">
        <v>0.6471376466687</v>
      </c>
      <c r="D6327">
        <v>0.73471006798174199</v>
      </c>
      <c r="E6327">
        <v>0.67069306236732995</v>
      </c>
      <c r="F6327">
        <v>0.25893672299696402</v>
      </c>
      <c r="G6327">
        <v>0.158031857378815</v>
      </c>
      <c r="H6327">
        <v>6.7724165160214303E-2</v>
      </c>
      <c r="I6327">
        <v>4.8867507443865303E-2</v>
      </c>
      <c r="J6327">
        <v>3.9720706675159298E-2</v>
      </c>
      <c r="K6327">
        <v>2.8626204781560801E-2</v>
      </c>
      <c r="L6327">
        <v>558.88528013711095</v>
      </c>
      <c r="M6327">
        <v>11.240537880940099</v>
      </c>
      <c r="N6327">
        <v>49.720510355321899</v>
      </c>
      <c r="O6327">
        <v>48.224764022562297</v>
      </c>
      <c r="P6327">
        <v>-5.8289695804237998E-2</v>
      </c>
      <c r="Q6327">
        <v>0</v>
      </c>
      <c r="R6327">
        <v>0.92144314399014904</v>
      </c>
      <c r="S6327" t="s">
        <v>12943</v>
      </c>
      <c r="T6327" t="s">
        <v>13232</v>
      </c>
      <c r="U6327" t="s">
        <v>13232</v>
      </c>
      <c r="V6327" t="s">
        <v>13232</v>
      </c>
      <c r="W6327" t="s">
        <v>19484</v>
      </c>
      <c r="X6327">
        <v>26</v>
      </c>
      <c r="Y6327" t="s">
        <v>25854</v>
      </c>
      <c r="Z6327" t="s">
        <v>32458</v>
      </c>
      <c r="AA6327">
        <v>0.36298719897431397</v>
      </c>
      <c r="AB6327" t="str">
        <f>HYPERLINK("Melting_Curves/meltCurve_Q9UNM6_PSMD13.pdf", "Melting_Curves/meltCurve_Q9UNM6_PSMD13.pdf")</f>
        <v>Melting_Curves/meltCurve_Q9UNM6_PSMD13.pdf</v>
      </c>
    </row>
    <row r="6328" spans="1:28" x14ac:dyDescent="0.25">
      <c r="A6328" t="s">
        <v>6331</v>
      </c>
      <c r="B6328">
        <v>0.99930955844802105</v>
      </c>
      <c r="C6328">
        <v>1.0357102540073699</v>
      </c>
      <c r="D6328">
        <v>1.05374529389226</v>
      </c>
      <c r="E6328">
        <v>1.0062845202346999</v>
      </c>
      <c r="F6328">
        <v>0.94577304171562704</v>
      </c>
      <c r="G6328">
        <v>0.718778100828528</v>
      </c>
      <c r="H6328">
        <v>0.296947649502734</v>
      </c>
      <c r="I6328">
        <v>0.15627272041380499</v>
      </c>
      <c r="J6328">
        <v>0.12638384307744599</v>
      </c>
      <c r="K6328">
        <v>9.6036769148626994E-2</v>
      </c>
      <c r="L6328">
        <v>1741.62405090111</v>
      </c>
      <c r="M6328">
        <v>29.783779310479801</v>
      </c>
      <c r="N6328">
        <v>58.895028825717802</v>
      </c>
      <c r="O6328">
        <v>58.213875471641103</v>
      </c>
      <c r="P6328">
        <v>-0.115684709105056</v>
      </c>
      <c r="Q6328">
        <v>9.5560033760275706E-2</v>
      </c>
      <c r="R6328">
        <v>0.99703712903678599</v>
      </c>
      <c r="S6328" t="s">
        <v>12944</v>
      </c>
      <c r="T6328" t="s">
        <v>13232</v>
      </c>
      <c r="U6328" t="s">
        <v>13232</v>
      </c>
      <c r="V6328" t="s">
        <v>13232</v>
      </c>
      <c r="W6328" t="s">
        <v>19485</v>
      </c>
      <c r="X6328">
        <v>35</v>
      </c>
      <c r="Y6328" t="s">
        <v>25855</v>
      </c>
      <c r="Z6328" t="s">
        <v>32459</v>
      </c>
      <c r="AA6328">
        <v>0.65852092158610709</v>
      </c>
      <c r="AB6328" t="str">
        <f>HYPERLINK("Melting_Curves/meltCurve_Q9UNN5_FAF1.pdf", "Melting_Curves/meltCurve_Q9UNN5_FAF1.pdf")</f>
        <v>Melting_Curves/meltCurve_Q9UNN5_FAF1.pdf</v>
      </c>
    </row>
    <row r="6329" spans="1:28" x14ac:dyDescent="0.25">
      <c r="A6329" t="s">
        <v>6332</v>
      </c>
      <c r="B6329">
        <v>0.99930955844802105</v>
      </c>
      <c r="C6329">
        <v>0.94463347818227095</v>
      </c>
      <c r="D6329">
        <v>0.94736812737892295</v>
      </c>
      <c r="E6329">
        <v>0.89800692389058401</v>
      </c>
      <c r="F6329">
        <v>0.79169932034072199</v>
      </c>
      <c r="G6329">
        <v>0.66601715500140102</v>
      </c>
      <c r="H6329">
        <v>0.60554799227160505</v>
      </c>
      <c r="I6329">
        <v>0.55807642832029203</v>
      </c>
      <c r="J6329">
        <v>0.40548164610656801</v>
      </c>
      <c r="K6329">
        <v>0.243959548031561</v>
      </c>
      <c r="L6329">
        <v>489.08352490166902</v>
      </c>
      <c r="M6329">
        <v>7.7189306778722804</v>
      </c>
      <c r="N6329">
        <v>63.361563478188202</v>
      </c>
      <c r="O6329">
        <v>59.529821593601802</v>
      </c>
      <c r="P6329">
        <v>-3.24581233132911E-2</v>
      </c>
      <c r="Q6329">
        <v>0</v>
      </c>
      <c r="R6329">
        <v>0.97109771043756299</v>
      </c>
      <c r="S6329" t="s">
        <v>12945</v>
      </c>
      <c r="T6329" t="s">
        <v>13232</v>
      </c>
      <c r="U6329" t="s">
        <v>13232</v>
      </c>
      <c r="V6329" t="s">
        <v>13232</v>
      </c>
      <c r="W6329" t="s">
        <v>19486</v>
      </c>
      <c r="X6329">
        <v>4</v>
      </c>
      <c r="Y6329" t="s">
        <v>25856</v>
      </c>
      <c r="Z6329" t="s">
        <v>32460</v>
      </c>
      <c r="AA6329">
        <v>0.72209415719872638</v>
      </c>
      <c r="AB6329" t="str">
        <f>HYPERLINK("Melting_Curves/meltCurve_Q9UNN8_PROCR.pdf", "Melting_Curves/meltCurve_Q9UNN8_PROCR.pdf")</f>
        <v>Melting_Curves/meltCurve_Q9UNN8_PROCR.pdf</v>
      </c>
    </row>
    <row r="6330" spans="1:28" x14ac:dyDescent="0.25">
      <c r="A6330" t="s">
        <v>6333</v>
      </c>
      <c r="B6330">
        <v>0.99930955844802105</v>
      </c>
      <c r="C6330">
        <v>1.02567521328303</v>
      </c>
      <c r="D6330">
        <v>1.0208335433001601</v>
      </c>
      <c r="E6330">
        <v>0.93286929957933495</v>
      </c>
      <c r="F6330">
        <v>0.74817016749973997</v>
      </c>
      <c r="G6330">
        <v>0.533433605098802</v>
      </c>
      <c r="H6330">
        <v>0.30609817413708701</v>
      </c>
      <c r="I6330">
        <v>0.24851396449038601</v>
      </c>
      <c r="J6330">
        <v>0.21568161235769201</v>
      </c>
      <c r="K6330">
        <v>0.18056771521165299</v>
      </c>
      <c r="L6330">
        <v>1030.3843908496499</v>
      </c>
      <c r="M6330">
        <v>18.425207737275102</v>
      </c>
      <c r="N6330">
        <v>57.211352996136597</v>
      </c>
      <c r="O6330">
        <v>55.276288933409603</v>
      </c>
      <c r="P6330">
        <v>-6.9181347521960701E-2</v>
      </c>
      <c r="Q6330">
        <v>0.16985120204804599</v>
      </c>
      <c r="R6330">
        <v>0.99654323575876103</v>
      </c>
      <c r="S6330" t="s">
        <v>12946</v>
      </c>
      <c r="T6330" t="s">
        <v>13232</v>
      </c>
      <c r="U6330" t="s">
        <v>13232</v>
      </c>
      <c r="V6330" t="s">
        <v>13232</v>
      </c>
      <c r="W6330" t="s">
        <v>19487</v>
      </c>
      <c r="X6330">
        <v>12</v>
      </c>
      <c r="Y6330" t="s">
        <v>25857</v>
      </c>
      <c r="Z6330" t="s">
        <v>32461</v>
      </c>
      <c r="AA6330">
        <v>0.6223930401847918</v>
      </c>
      <c r="AB6330" t="str">
        <f>HYPERLINK("Melting_Curves/meltCurve_Q9UNP9_PPIE.pdf", "Melting_Curves/meltCurve_Q9UNP9_PPIE.pdf")</f>
        <v>Melting_Curves/meltCurve_Q9UNP9_PPIE.pdf</v>
      </c>
    </row>
    <row r="6331" spans="1:28" x14ac:dyDescent="0.25">
      <c r="A6331" t="s">
        <v>6334</v>
      </c>
      <c r="B6331">
        <v>0.99930955844802105</v>
      </c>
      <c r="C6331">
        <v>1.1931815850226</v>
      </c>
      <c r="D6331">
        <v>1.0376684247383099</v>
      </c>
      <c r="E6331">
        <v>0.85567848002443303</v>
      </c>
      <c r="F6331">
        <v>0.534121264093259</v>
      </c>
      <c r="G6331">
        <v>0.25872342468687898</v>
      </c>
      <c r="H6331">
        <v>9.7582043866236298E-2</v>
      </c>
      <c r="I6331">
        <v>6.6030005733463598E-2</v>
      </c>
      <c r="J6331">
        <v>5.3885107751391E-2</v>
      </c>
      <c r="K6331">
        <v>5.0379543961315401E-2</v>
      </c>
      <c r="L6331">
        <v>1300.169465209</v>
      </c>
      <c r="M6331">
        <v>24.361993598789901</v>
      </c>
      <c r="N6331">
        <v>53.624388650431897</v>
      </c>
      <c r="O6331">
        <v>53.0130797723277</v>
      </c>
      <c r="P6331">
        <v>-0.10859009245208701</v>
      </c>
      <c r="Q6331">
        <v>5.4821502617288201E-2</v>
      </c>
      <c r="R6331">
        <v>0.97734113254766397</v>
      </c>
      <c r="S6331" t="s">
        <v>12947</v>
      </c>
      <c r="T6331" t="s">
        <v>13232</v>
      </c>
      <c r="U6331" t="s">
        <v>13232</v>
      </c>
      <c r="V6331" t="s">
        <v>13232</v>
      </c>
      <c r="W6331" t="s">
        <v>19488</v>
      </c>
      <c r="X6331">
        <v>11</v>
      </c>
      <c r="Y6331" t="s">
        <v>25858</v>
      </c>
      <c r="Z6331" t="s">
        <v>32462</v>
      </c>
      <c r="AA6331">
        <v>0.48516718175867662</v>
      </c>
      <c r="AB6331" t="str">
        <f>HYPERLINK("Melting_Curves/meltCurve_Q9UNQ2_DIMT1.pdf", "Melting_Curves/meltCurve_Q9UNQ2_DIMT1.pdf")</f>
        <v>Melting_Curves/meltCurve_Q9UNQ2_DIMT1.pdf</v>
      </c>
    </row>
    <row r="6332" spans="1:28" x14ac:dyDescent="0.25">
      <c r="A6332" t="s">
        <v>6335</v>
      </c>
      <c r="B6332">
        <v>0.99930955844802105</v>
      </c>
      <c r="C6332">
        <v>0.93983774602582104</v>
      </c>
      <c r="D6332">
        <v>0.70601328313322098</v>
      </c>
      <c r="E6332">
        <v>0.66435862020926595</v>
      </c>
      <c r="F6332">
        <v>0.51234312361982803</v>
      </c>
      <c r="G6332">
        <v>0.41940481417584702</v>
      </c>
      <c r="H6332">
        <v>0.43059229017856598</v>
      </c>
      <c r="I6332">
        <v>0.409933510520327</v>
      </c>
      <c r="J6332">
        <v>0.39928233921538397</v>
      </c>
      <c r="K6332">
        <v>0.34560495136998498</v>
      </c>
      <c r="L6332">
        <v>642.401250613912</v>
      </c>
      <c r="M6332">
        <v>13.317129974392699</v>
      </c>
      <c r="N6332">
        <v>53.732200897025599</v>
      </c>
      <c r="O6332">
        <v>47.189890335027002</v>
      </c>
      <c r="P6332">
        <v>-4.4322546259875098E-2</v>
      </c>
      <c r="Q6332">
        <v>0.37186448582334403</v>
      </c>
      <c r="R6332">
        <v>0.97076732845371205</v>
      </c>
      <c r="S6332" t="s">
        <v>12948</v>
      </c>
      <c r="T6332" t="s">
        <v>13232</v>
      </c>
      <c r="U6332" t="s">
        <v>13232</v>
      </c>
      <c r="V6332" t="s">
        <v>13232</v>
      </c>
      <c r="W6332" t="s">
        <v>19489</v>
      </c>
      <c r="X6332">
        <v>13</v>
      </c>
      <c r="Y6332" t="s">
        <v>25859</v>
      </c>
      <c r="Z6332" t="s">
        <v>32463</v>
      </c>
      <c r="AA6332">
        <v>0.56442738470784592</v>
      </c>
      <c r="AB6332" t="str">
        <f>HYPERLINK("Melting_Curves/meltCurve_Q9UNS1_2_TIMELESS.pdf", "Melting_Curves/meltCurve_Q9UNS1_2_TIMELESS.pdf")</f>
        <v>Melting_Curves/meltCurve_Q9UNS1_2_TIMELESS.pdf</v>
      </c>
    </row>
    <row r="6333" spans="1:28" x14ac:dyDescent="0.25">
      <c r="A6333" t="s">
        <v>6336</v>
      </c>
      <c r="B6333">
        <v>0.99930955844802105</v>
      </c>
      <c r="C6333">
        <v>0.81639774562904999</v>
      </c>
      <c r="D6333">
        <v>0.84987482210615395</v>
      </c>
      <c r="E6333">
        <v>0.96222383906753695</v>
      </c>
      <c r="F6333">
        <v>0.99442110911914205</v>
      </c>
      <c r="G6333">
        <v>0.51066479478163296</v>
      </c>
      <c r="H6333">
        <v>0.46971864026417698</v>
      </c>
      <c r="I6333">
        <v>0.35434917691679602</v>
      </c>
      <c r="J6333">
        <v>0.12596789090476401</v>
      </c>
      <c r="K6333">
        <v>7.4504227638117801E-2</v>
      </c>
      <c r="L6333">
        <v>842.65634411211101</v>
      </c>
      <c r="M6333">
        <v>14.130746222435301</v>
      </c>
      <c r="N6333">
        <v>59.632827146205798</v>
      </c>
      <c r="O6333">
        <v>58.476640599757197</v>
      </c>
      <c r="P6333">
        <v>-6.0419619415536502E-2</v>
      </c>
      <c r="Q6333">
        <v>0</v>
      </c>
      <c r="R6333">
        <v>0.90835609715732402</v>
      </c>
      <c r="S6333" t="s">
        <v>12949</v>
      </c>
      <c r="T6333" t="s">
        <v>13232</v>
      </c>
      <c r="U6333" t="s">
        <v>13232</v>
      </c>
      <c r="V6333" t="s">
        <v>13232</v>
      </c>
      <c r="W6333" t="s">
        <v>19490</v>
      </c>
      <c r="X6333">
        <v>22</v>
      </c>
      <c r="Y6333" t="s">
        <v>25860</v>
      </c>
      <c r="Z6333" t="s">
        <v>32464</v>
      </c>
      <c r="AA6333">
        <v>0.66201650865403772</v>
      </c>
      <c r="AB6333" t="str">
        <f>HYPERLINK("Melting_Curves/meltCurve_Q9UNS2_COPS3.pdf", "Melting_Curves/meltCurve_Q9UNS2_COPS3.pdf")</f>
        <v>Melting_Curves/meltCurve_Q9UNS2_COPS3.pdf</v>
      </c>
    </row>
    <row r="6334" spans="1:28" x14ac:dyDescent="0.25">
      <c r="A6334" t="s">
        <v>6337</v>
      </c>
      <c r="B6334">
        <v>0.99930955844802105</v>
      </c>
      <c r="C6334">
        <v>1.10853528173529</v>
      </c>
      <c r="D6334">
        <v>1.0615907541921299</v>
      </c>
      <c r="E6334">
        <v>1.05493994704784</v>
      </c>
      <c r="F6334">
        <v>1.0033487888996899</v>
      </c>
      <c r="G6334">
        <v>0.79167733443170696</v>
      </c>
      <c r="H6334">
        <v>0.67103646802639005</v>
      </c>
      <c r="I6334">
        <v>0.535085034067461</v>
      </c>
      <c r="J6334">
        <v>0.34398179501471499</v>
      </c>
      <c r="K6334">
        <v>0.124199756670561</v>
      </c>
      <c r="L6334">
        <v>1033.36262730217</v>
      </c>
      <c r="M6334">
        <v>16.2012095272034</v>
      </c>
      <c r="N6334">
        <v>63.783055438344597</v>
      </c>
      <c r="O6334">
        <v>62.8350319787545</v>
      </c>
      <c r="P6334">
        <v>-6.4464116295461102E-2</v>
      </c>
      <c r="Q6334">
        <v>0</v>
      </c>
      <c r="R6334">
        <v>0.96552843737030403</v>
      </c>
      <c r="S6334" t="s">
        <v>12950</v>
      </c>
      <c r="T6334" t="s">
        <v>13232</v>
      </c>
      <c r="U6334" t="s">
        <v>13232</v>
      </c>
      <c r="V6334" t="s">
        <v>13232</v>
      </c>
      <c r="W6334" t="s">
        <v>19491</v>
      </c>
      <c r="X6334">
        <v>9</v>
      </c>
      <c r="Y6334" t="s">
        <v>25861</v>
      </c>
      <c r="Z6334" t="s">
        <v>32465</v>
      </c>
      <c r="AA6334">
        <v>0.78114236106255197</v>
      </c>
      <c r="AB6334" t="str">
        <f>HYPERLINK("Melting_Curves/meltCurve_Q9UNW1_MINPP1.pdf", "Melting_Curves/meltCurve_Q9UNW1_MINPP1.pdf")</f>
        <v>Melting_Curves/meltCurve_Q9UNW1_MINPP1.pdf</v>
      </c>
    </row>
    <row r="6335" spans="1:28" x14ac:dyDescent="0.25">
      <c r="A6335" t="s">
        <v>6338</v>
      </c>
      <c r="B6335">
        <v>0.99930955844802105</v>
      </c>
      <c r="C6335">
        <v>1.09790750476161</v>
      </c>
      <c r="D6335">
        <v>1.0757825764398099</v>
      </c>
      <c r="E6335">
        <v>1.05426536523838</v>
      </c>
      <c r="F6335">
        <v>0.89033386445659501</v>
      </c>
      <c r="G6335">
        <v>0.89583363967449303</v>
      </c>
      <c r="H6335">
        <v>0.97808094986147498</v>
      </c>
      <c r="I6335">
        <v>1.17350647650226</v>
      </c>
      <c r="J6335">
        <v>1.15079610449545</v>
      </c>
      <c r="K6335">
        <v>0.94855926272578295</v>
      </c>
      <c r="L6335">
        <v>15000</v>
      </c>
      <c r="M6335">
        <v>240.794793575185</v>
      </c>
      <c r="O6335">
        <v>62.289408517344299</v>
      </c>
      <c r="P6335">
        <v>8.7861850324092994E-2</v>
      </c>
      <c r="Q6335">
        <v>1.09091330616924</v>
      </c>
      <c r="R6335">
        <v>0.197261734145361</v>
      </c>
      <c r="S6335" t="s">
        <v>12951</v>
      </c>
      <c r="T6335" t="s">
        <v>13232</v>
      </c>
      <c r="U6335" t="s">
        <v>13232</v>
      </c>
      <c r="V6335" t="s">
        <v>13232</v>
      </c>
      <c r="W6335" t="s">
        <v>19492</v>
      </c>
      <c r="X6335">
        <v>15</v>
      </c>
      <c r="Y6335" t="s">
        <v>25862</v>
      </c>
      <c r="Z6335" t="s">
        <v>32466</v>
      </c>
      <c r="AA6335">
        <v>1.023342776166043</v>
      </c>
      <c r="AB6335" t="str">
        <f>HYPERLINK("Melting_Curves/meltCurve_Q9UNY4_2_TTF2.pdf", "Melting_Curves/meltCurve_Q9UNY4_2_TTF2.pdf")</f>
        <v>Melting_Curves/meltCurve_Q9UNY4_2_TTF2.pdf</v>
      </c>
    </row>
    <row r="6336" spans="1:28" x14ac:dyDescent="0.25">
      <c r="A6336" t="s">
        <v>6339</v>
      </c>
      <c r="B6336">
        <v>0.99930955844802105</v>
      </c>
      <c r="C6336">
        <v>1.0562681817277999</v>
      </c>
      <c r="D6336">
        <v>1.05561309946544</v>
      </c>
      <c r="E6336">
        <v>1.0409049576965299</v>
      </c>
      <c r="F6336">
        <v>0.90547237527239499</v>
      </c>
      <c r="G6336">
        <v>0.77927762972041703</v>
      </c>
      <c r="H6336">
        <v>0.73151895358942398</v>
      </c>
      <c r="I6336">
        <v>0.74845125398125201</v>
      </c>
      <c r="J6336">
        <v>0.71268334954037205</v>
      </c>
      <c r="K6336">
        <v>0.55769279636520597</v>
      </c>
      <c r="L6336">
        <v>930.14492034578598</v>
      </c>
      <c r="M6336">
        <v>16.1515773665894</v>
      </c>
      <c r="O6336">
        <v>56.727399015744098</v>
      </c>
      <c r="P6336">
        <v>-2.67988872430443E-2</v>
      </c>
      <c r="Q6336">
        <v>0.62353738037724704</v>
      </c>
      <c r="R6336">
        <v>0.89573790140125598</v>
      </c>
      <c r="S6336" t="s">
        <v>12952</v>
      </c>
      <c r="T6336" t="s">
        <v>13232</v>
      </c>
      <c r="U6336" t="s">
        <v>13232</v>
      </c>
      <c r="V6336" t="s">
        <v>13232</v>
      </c>
      <c r="W6336" t="s">
        <v>19493</v>
      </c>
      <c r="X6336">
        <v>28</v>
      </c>
      <c r="Y6336" t="s">
        <v>25863</v>
      </c>
      <c r="Z6336" t="s">
        <v>32467</v>
      </c>
      <c r="AA6336">
        <v>0.84951817449547229</v>
      </c>
      <c r="AB6336" t="str">
        <f>HYPERLINK("Melting_Curves/meltCurve_Q9UNZ2_NSFL1C.pdf", "Melting_Curves/meltCurve_Q9UNZ2_NSFL1C.pdf")</f>
        <v>Melting_Curves/meltCurve_Q9UNZ2_NSFL1C.pdf</v>
      </c>
    </row>
    <row r="6337" spans="1:28" x14ac:dyDescent="0.25">
      <c r="A6337" t="s">
        <v>6340</v>
      </c>
      <c r="B6337">
        <v>0.99930955844802105</v>
      </c>
      <c r="C6337">
        <v>1.3383332663668099</v>
      </c>
      <c r="D6337">
        <v>1.1626231864369101</v>
      </c>
      <c r="E6337">
        <v>1.0647520397429699</v>
      </c>
      <c r="F6337">
        <v>0.95730370396578102</v>
      </c>
      <c r="G6337">
        <v>0.84214726580515697</v>
      </c>
      <c r="H6337">
        <v>0.94403113158752106</v>
      </c>
      <c r="I6337">
        <v>1.2349309932359001</v>
      </c>
      <c r="J6337">
        <v>1.25957799843158</v>
      </c>
      <c r="K6337">
        <v>1.0146216110650199</v>
      </c>
      <c r="L6337">
        <v>1.0000000000000001E-5</v>
      </c>
      <c r="M6337">
        <v>1.0000000000000001E-5</v>
      </c>
      <c r="Q6337">
        <v>1.16352534743029</v>
      </c>
      <c r="R6337">
        <v>-2.1775412584190698E-9</v>
      </c>
      <c r="S6337" t="s">
        <v>12953</v>
      </c>
      <c r="T6337" t="s">
        <v>13232</v>
      </c>
      <c r="U6337" t="s">
        <v>13232</v>
      </c>
      <c r="V6337" t="s">
        <v>13232</v>
      </c>
      <c r="W6337" t="s">
        <v>19494</v>
      </c>
      <c r="X6337">
        <v>3</v>
      </c>
      <c r="Y6337" t="s">
        <v>25864</v>
      </c>
      <c r="Z6337" t="s">
        <v>32468</v>
      </c>
      <c r="AA6337">
        <v>1.081763074902566</v>
      </c>
      <c r="AB6337" t="str">
        <f>HYPERLINK("Melting_Curves/meltCurve_Q9UNZ5_C19orf53.pdf", "Melting_Curves/meltCurve_Q9UNZ5_C19orf53.pdf")</f>
        <v>Melting_Curves/meltCurve_Q9UNZ5_C19orf53.pdf</v>
      </c>
    </row>
    <row r="6338" spans="1:28" x14ac:dyDescent="0.25">
      <c r="A6338" t="s">
        <v>6341</v>
      </c>
      <c r="B6338">
        <v>0.99930955844802105</v>
      </c>
      <c r="C6338">
        <v>0.70527068771937196</v>
      </c>
      <c r="D6338">
        <v>0.47466833380148599</v>
      </c>
      <c r="E6338">
        <v>0.217920861742813</v>
      </c>
      <c r="F6338">
        <v>0.135569005064714</v>
      </c>
      <c r="G6338">
        <v>9.4266783614494601E-2</v>
      </c>
      <c r="H6338">
        <v>5.7258716102811198E-2</v>
      </c>
      <c r="I6338">
        <v>5.0053560322867799E-2</v>
      </c>
      <c r="J6338">
        <v>3.9545766940952201E-2</v>
      </c>
      <c r="K6338">
        <v>3.4970473137835502E-2</v>
      </c>
      <c r="L6338">
        <v>793.90984470102001</v>
      </c>
      <c r="M6338">
        <v>17.468348699177799</v>
      </c>
      <c r="N6338">
        <v>45.714376190107401</v>
      </c>
      <c r="O6338">
        <v>44.865383286507402</v>
      </c>
      <c r="P6338">
        <v>-9.2640552932847703E-2</v>
      </c>
      <c r="Q6338">
        <v>4.8307194790465802E-2</v>
      </c>
      <c r="R6338">
        <v>0.99060617011569296</v>
      </c>
      <c r="S6338" t="s">
        <v>12954</v>
      </c>
      <c r="T6338" t="s">
        <v>13232</v>
      </c>
      <c r="U6338" t="s">
        <v>13232</v>
      </c>
      <c r="V6338" t="s">
        <v>13232</v>
      </c>
      <c r="W6338" t="s">
        <v>19495</v>
      </c>
      <c r="X6338">
        <v>20</v>
      </c>
      <c r="Y6338" t="s">
        <v>25865</v>
      </c>
      <c r="Z6338" t="s">
        <v>32469</v>
      </c>
      <c r="AA6338">
        <v>0.2421072222215348</v>
      </c>
      <c r="AB6338" t="str">
        <f>HYPERLINK("Melting_Curves/meltCurve_Q9UP83_COG5.pdf", "Melting_Curves/meltCurve_Q9UP83_COG5.pdf")</f>
        <v>Melting_Curves/meltCurve_Q9UP83_COG5.pdf</v>
      </c>
    </row>
    <row r="6339" spans="1:28" x14ac:dyDescent="0.25">
      <c r="A6339" t="s">
        <v>6342</v>
      </c>
      <c r="B6339">
        <v>0.99930955844802105</v>
      </c>
      <c r="C6339">
        <v>1.03939784495403</v>
      </c>
      <c r="D6339">
        <v>1.0514701691066299</v>
      </c>
      <c r="E6339">
        <v>0.94606568779658895</v>
      </c>
      <c r="F6339">
        <v>0.723607171548596</v>
      </c>
      <c r="G6339">
        <v>0.66217390410142796</v>
      </c>
      <c r="H6339">
        <v>0.67788621796593795</v>
      </c>
      <c r="I6339">
        <v>0.74721476755981997</v>
      </c>
      <c r="J6339">
        <v>0.710849006604933</v>
      </c>
      <c r="K6339">
        <v>0.60070201843647297</v>
      </c>
      <c r="L6339">
        <v>3098.4693668270802</v>
      </c>
      <c r="M6339">
        <v>60.344633544812403</v>
      </c>
      <c r="O6339">
        <v>51.289931068782998</v>
      </c>
      <c r="P6339">
        <v>-9.4171412700288407E-2</v>
      </c>
      <c r="Q6339">
        <v>0.67983610283676499</v>
      </c>
      <c r="R6339">
        <v>0.93930663989705698</v>
      </c>
      <c r="S6339" t="s">
        <v>12955</v>
      </c>
      <c r="T6339" t="s">
        <v>13232</v>
      </c>
      <c r="U6339" t="s">
        <v>13232</v>
      </c>
      <c r="V6339" t="s">
        <v>13232</v>
      </c>
      <c r="W6339" t="s">
        <v>19496</v>
      </c>
      <c r="X6339">
        <v>3</v>
      </c>
      <c r="Y6339" t="s">
        <v>25866</v>
      </c>
      <c r="Z6339" t="s">
        <v>32470</v>
      </c>
      <c r="AA6339">
        <v>0.80142148822879633</v>
      </c>
      <c r="AB6339" t="str">
        <f>HYPERLINK("Melting_Curves/meltCurve_Q9UPA5_BSN.pdf", "Melting_Curves/meltCurve_Q9UPA5_BSN.pdf")</f>
        <v>Melting_Curves/meltCurve_Q9UPA5_BSN.pdf</v>
      </c>
    </row>
    <row r="6340" spans="1:28" x14ac:dyDescent="0.25">
      <c r="A6340" t="s">
        <v>6343</v>
      </c>
      <c r="B6340">
        <v>0.99930955844802105</v>
      </c>
      <c r="C6340">
        <v>0.99237914722131304</v>
      </c>
      <c r="D6340">
        <v>0.92043256861558698</v>
      </c>
      <c r="E6340">
        <v>0.78195749454826302</v>
      </c>
      <c r="F6340">
        <v>0.57731836871307696</v>
      </c>
      <c r="G6340">
        <v>0.372365614841695</v>
      </c>
      <c r="H6340">
        <v>0.22858073875707399</v>
      </c>
      <c r="I6340">
        <v>0.21117185669872299</v>
      </c>
      <c r="J6340">
        <v>0.191378593453226</v>
      </c>
      <c r="K6340">
        <v>0.14216017167869199</v>
      </c>
      <c r="L6340">
        <v>835.91818384664498</v>
      </c>
      <c r="M6340">
        <v>15.702594851346401</v>
      </c>
      <c r="N6340">
        <v>54.383970918805304</v>
      </c>
      <c r="O6340">
        <v>52.393453704558603</v>
      </c>
      <c r="P6340">
        <v>-6.4350037920428496E-2</v>
      </c>
      <c r="Q6340">
        <v>0.14122834260480199</v>
      </c>
      <c r="R6340">
        <v>0.99862403179551795</v>
      </c>
      <c r="S6340" t="s">
        <v>12956</v>
      </c>
      <c r="T6340" t="s">
        <v>13232</v>
      </c>
      <c r="U6340" t="s">
        <v>13232</v>
      </c>
      <c r="V6340" t="s">
        <v>13232</v>
      </c>
      <c r="W6340" t="s">
        <v>19497</v>
      </c>
      <c r="X6340">
        <v>12</v>
      </c>
      <c r="Y6340" t="s">
        <v>25867</v>
      </c>
      <c r="Z6340" t="s">
        <v>32471</v>
      </c>
      <c r="AA6340">
        <v>0.53724070874253271</v>
      </c>
      <c r="AB6340" t="str">
        <f>HYPERLINK("Melting_Curves/meltCurve_Q9UPM8_AP4E1.pdf", "Melting_Curves/meltCurve_Q9UPM8_AP4E1.pdf")</f>
        <v>Melting_Curves/meltCurve_Q9UPM8_AP4E1.pdf</v>
      </c>
    </row>
    <row r="6341" spans="1:28" x14ac:dyDescent="0.25">
      <c r="A6341" t="s">
        <v>6344</v>
      </c>
      <c r="B6341">
        <v>0.99930955844802105</v>
      </c>
      <c r="C6341">
        <v>1.08281183115511</v>
      </c>
      <c r="D6341">
        <v>1.0551947741518399</v>
      </c>
      <c r="E6341">
        <v>0.955602496201723</v>
      </c>
      <c r="F6341">
        <v>0.844113058602594</v>
      </c>
      <c r="G6341">
        <v>0.73472122864471201</v>
      </c>
      <c r="H6341">
        <v>0.67024651530679002</v>
      </c>
      <c r="I6341">
        <v>0.74714820524694303</v>
      </c>
      <c r="J6341">
        <v>0.74247679340379702</v>
      </c>
      <c r="K6341">
        <v>0.60083636711299304</v>
      </c>
      <c r="L6341">
        <v>1620.8006446327299</v>
      </c>
      <c r="M6341">
        <v>30.535686668032898</v>
      </c>
      <c r="O6341">
        <v>52.852789625458598</v>
      </c>
      <c r="P6341">
        <v>-4.4765226574728E-2</v>
      </c>
      <c r="Q6341">
        <v>0.69007361339797002</v>
      </c>
      <c r="R6341">
        <v>0.90423637111661204</v>
      </c>
      <c r="S6341" t="s">
        <v>12957</v>
      </c>
      <c r="T6341" t="s">
        <v>13232</v>
      </c>
      <c r="U6341" t="s">
        <v>13232</v>
      </c>
      <c r="V6341" t="s">
        <v>13232</v>
      </c>
      <c r="W6341" t="s">
        <v>19498</v>
      </c>
      <c r="X6341">
        <v>29</v>
      </c>
      <c r="Y6341" t="s">
        <v>25868</v>
      </c>
      <c r="Z6341" t="s">
        <v>32472</v>
      </c>
      <c r="AA6341">
        <v>0.82713364226256281</v>
      </c>
      <c r="AB6341" t="str">
        <f>HYPERLINK("Melting_Curves/meltCurve_Q9UPN4_3_AZI1.pdf", "Melting_Curves/meltCurve_Q9UPN4_3_AZI1.pdf")</f>
        <v>Melting_Curves/meltCurve_Q9UPN4_3_AZI1.pdf</v>
      </c>
    </row>
    <row r="6342" spans="1:28" x14ac:dyDescent="0.25">
      <c r="A6342" t="s">
        <v>6345</v>
      </c>
      <c r="B6342">
        <v>0.99930955844802105</v>
      </c>
      <c r="C6342">
        <v>1.0244867778159701</v>
      </c>
      <c r="D6342">
        <v>0.93874196872720195</v>
      </c>
      <c r="E6342">
        <v>0.85264527916177202</v>
      </c>
      <c r="F6342">
        <v>0.73537392850601502</v>
      </c>
      <c r="G6342">
        <v>0.63743599793236405</v>
      </c>
      <c r="H6342">
        <v>0.61312588085111397</v>
      </c>
      <c r="I6342">
        <v>0.66916258750366298</v>
      </c>
      <c r="J6342">
        <v>0.64172126743495295</v>
      </c>
      <c r="K6342">
        <v>0.52006816751385798</v>
      </c>
      <c r="L6342">
        <v>956.27459876839396</v>
      </c>
      <c r="M6342">
        <v>18.6709321252841</v>
      </c>
      <c r="O6342">
        <v>50.640604756305599</v>
      </c>
      <c r="P6342">
        <v>-3.6983000434716702E-2</v>
      </c>
      <c r="Q6342">
        <v>0.59878563901706305</v>
      </c>
      <c r="R6342">
        <v>0.95209786379279304</v>
      </c>
      <c r="S6342" t="s">
        <v>12958</v>
      </c>
      <c r="T6342" t="s">
        <v>13232</v>
      </c>
      <c r="U6342" t="s">
        <v>13232</v>
      </c>
      <c r="V6342" t="s">
        <v>13232</v>
      </c>
      <c r="W6342" t="s">
        <v>19499</v>
      </c>
      <c r="X6342">
        <v>31</v>
      </c>
      <c r="Y6342" t="s">
        <v>25869</v>
      </c>
      <c r="Z6342" t="s">
        <v>32473</v>
      </c>
      <c r="AA6342">
        <v>0.75511760793768989</v>
      </c>
      <c r="AB6342" t="str">
        <f>HYPERLINK("Melting_Curves/meltCurve_Q9UPN6_SCAF8.pdf", "Melting_Curves/meltCurve_Q9UPN6_SCAF8.pdf")</f>
        <v>Melting_Curves/meltCurve_Q9UPN6_SCAF8.pdf</v>
      </c>
    </row>
    <row r="6343" spans="1:28" x14ac:dyDescent="0.25">
      <c r="A6343" t="s">
        <v>6346</v>
      </c>
      <c r="B6343">
        <v>0.99930955844802105</v>
      </c>
      <c r="C6343">
        <v>0.86219114232442295</v>
      </c>
      <c r="D6343">
        <v>0.88669557491206397</v>
      </c>
      <c r="E6343">
        <v>0.95339471753443905</v>
      </c>
      <c r="F6343">
        <v>0.84025490772953404</v>
      </c>
      <c r="G6343">
        <v>0.472829650934461</v>
      </c>
      <c r="H6343">
        <v>0.23492101227461501</v>
      </c>
      <c r="I6343">
        <v>0.16725263639076399</v>
      </c>
      <c r="J6343">
        <v>0.14306992978216601</v>
      </c>
      <c r="K6343">
        <v>0.11877166106161501</v>
      </c>
      <c r="L6343">
        <v>1314.44030179072</v>
      </c>
      <c r="M6343">
        <v>23.4119388917462</v>
      </c>
      <c r="N6343">
        <v>56.789940304365601</v>
      </c>
      <c r="O6343">
        <v>55.739214191796798</v>
      </c>
      <c r="P6343">
        <v>-9.2734148263756297E-2</v>
      </c>
      <c r="Q6343">
        <v>0.116888516065561</v>
      </c>
      <c r="R6343">
        <v>0.975400999842163</v>
      </c>
      <c r="S6343" t="s">
        <v>12959</v>
      </c>
      <c r="T6343" t="s">
        <v>13232</v>
      </c>
      <c r="U6343" t="s">
        <v>13232</v>
      </c>
      <c r="V6343" t="s">
        <v>13232</v>
      </c>
      <c r="W6343" t="s">
        <v>19500</v>
      </c>
      <c r="X6343">
        <v>15</v>
      </c>
      <c r="Y6343" t="s">
        <v>25870</v>
      </c>
      <c r="Z6343" t="s">
        <v>32474</v>
      </c>
      <c r="AA6343">
        <v>0.60111167388876008</v>
      </c>
      <c r="AB6343" t="str">
        <f>HYPERLINK("Melting_Curves/meltCurve_Q9UPN7_PPP6R1.pdf", "Melting_Curves/meltCurve_Q9UPN7_PPP6R1.pdf")</f>
        <v>Melting_Curves/meltCurve_Q9UPN7_PPP6R1.pdf</v>
      </c>
    </row>
    <row r="6344" spans="1:28" x14ac:dyDescent="0.25">
      <c r="A6344" t="s">
        <v>6347</v>
      </c>
      <c r="B6344">
        <v>0.99930955844802105</v>
      </c>
      <c r="C6344">
        <v>0.91360253410324899</v>
      </c>
      <c r="D6344">
        <v>0.67565025676558799</v>
      </c>
      <c r="E6344">
        <v>0.59599121687135403</v>
      </c>
      <c r="F6344">
        <v>0.352829128050272</v>
      </c>
      <c r="G6344">
        <v>0.25556344102051098</v>
      </c>
      <c r="H6344">
        <v>0.16014167507631999</v>
      </c>
      <c r="I6344">
        <v>0.15559243195098199</v>
      </c>
      <c r="J6344">
        <v>0.14114997968855</v>
      </c>
      <c r="K6344">
        <v>0.11481281457259999</v>
      </c>
      <c r="L6344">
        <v>611.512877667064</v>
      </c>
      <c r="M6344">
        <v>12.309340048726099</v>
      </c>
      <c r="N6344">
        <v>50.541202229442398</v>
      </c>
      <c r="O6344">
        <v>48.422220089508599</v>
      </c>
      <c r="P6344">
        <v>-5.75446268117E-2</v>
      </c>
      <c r="Q6344">
        <v>9.4726410752030199E-2</v>
      </c>
      <c r="R6344">
        <v>0.98573841167408705</v>
      </c>
      <c r="S6344" t="s">
        <v>12960</v>
      </c>
      <c r="T6344" t="s">
        <v>13232</v>
      </c>
      <c r="U6344" t="s">
        <v>13232</v>
      </c>
      <c r="V6344" t="s">
        <v>13232</v>
      </c>
      <c r="W6344" t="s">
        <v>19501</v>
      </c>
      <c r="X6344">
        <v>26</v>
      </c>
      <c r="Y6344" t="s">
        <v>25871</v>
      </c>
      <c r="Z6344" t="s">
        <v>32475</v>
      </c>
      <c r="AA6344">
        <v>0.4174428874802299</v>
      </c>
      <c r="AB6344" t="str">
        <f>HYPERLINK("Melting_Curves/meltCurve_Q9UPN9_TRIM33.pdf", "Melting_Curves/meltCurve_Q9UPN9_TRIM33.pdf")</f>
        <v>Melting_Curves/meltCurve_Q9UPN9_TRIM33.pdf</v>
      </c>
    </row>
    <row r="6345" spans="1:28" x14ac:dyDescent="0.25">
      <c r="A6345" t="s">
        <v>6348</v>
      </c>
      <c r="B6345">
        <v>0.99930955844802105</v>
      </c>
      <c r="C6345">
        <v>1.0569221398367801</v>
      </c>
      <c r="D6345">
        <v>1.11437847774619</v>
      </c>
      <c r="E6345">
        <v>1.0885015051131599</v>
      </c>
      <c r="F6345">
        <v>0.98037466176929999</v>
      </c>
      <c r="G6345">
        <v>1.1068543018032599</v>
      </c>
      <c r="H6345">
        <v>1.1461056280686901</v>
      </c>
      <c r="I6345">
        <v>1.3430381067875801</v>
      </c>
      <c r="J6345">
        <v>1.44046989849415</v>
      </c>
      <c r="K6345">
        <v>1.1430549758323101</v>
      </c>
      <c r="L6345">
        <v>1825.1512943999501</v>
      </c>
      <c r="M6345">
        <v>30.782450597318</v>
      </c>
      <c r="O6345">
        <v>59.043398641274798</v>
      </c>
      <c r="P6345">
        <v>3.98659851855672E-2</v>
      </c>
      <c r="Q6345">
        <v>1.3058637979967</v>
      </c>
      <c r="R6345">
        <v>0.567216532990102</v>
      </c>
      <c r="S6345" t="s">
        <v>12961</v>
      </c>
      <c r="T6345" t="s">
        <v>13232</v>
      </c>
      <c r="U6345" t="s">
        <v>13232</v>
      </c>
      <c r="V6345" t="s">
        <v>13232</v>
      </c>
      <c r="W6345" t="s">
        <v>19502</v>
      </c>
      <c r="X6345">
        <v>2</v>
      </c>
      <c r="Y6345" t="s">
        <v>25872</v>
      </c>
      <c r="Z6345" t="s">
        <v>32476</v>
      </c>
      <c r="AA6345">
        <v>1.1073102011704139</v>
      </c>
      <c r="AB6345" t="str">
        <f>HYPERLINK("Melting_Curves/meltCurve_Q9UPP5_2_KIAA1107.pdf", "Melting_Curves/meltCurve_Q9UPP5_2_KIAA1107.pdf")</f>
        <v>Melting_Curves/meltCurve_Q9UPP5_2_KIAA1107.pdf</v>
      </c>
    </row>
    <row r="6346" spans="1:28" x14ac:dyDescent="0.25">
      <c r="A6346" t="s">
        <v>6349</v>
      </c>
      <c r="B6346">
        <v>0.99930955844802105</v>
      </c>
      <c r="C6346">
        <v>1.0518940762796001</v>
      </c>
      <c r="D6346">
        <v>1.02935722675691</v>
      </c>
      <c r="E6346">
        <v>0.95285836759479703</v>
      </c>
      <c r="F6346">
        <v>0.77681634488215601</v>
      </c>
      <c r="G6346">
        <v>0.33331627155390298</v>
      </c>
      <c r="H6346">
        <v>0.145048188253982</v>
      </c>
      <c r="I6346">
        <v>0.13092345613291101</v>
      </c>
      <c r="J6346">
        <v>0.10686922804294099</v>
      </c>
      <c r="K6346">
        <v>8.4067913494632093E-2</v>
      </c>
      <c r="L6346">
        <v>1622.21053710101</v>
      </c>
      <c r="M6346">
        <v>29.500641518227798</v>
      </c>
      <c r="N6346">
        <v>55.407043278737902</v>
      </c>
      <c r="O6346">
        <v>54.7381716413825</v>
      </c>
      <c r="P6346">
        <v>-0.121292391925228</v>
      </c>
      <c r="Q6346">
        <v>9.9778555114956494E-2</v>
      </c>
      <c r="R6346">
        <v>0.99742761925421397</v>
      </c>
      <c r="S6346" t="s">
        <v>12962</v>
      </c>
      <c r="T6346" t="s">
        <v>13232</v>
      </c>
      <c r="U6346" t="s">
        <v>13232</v>
      </c>
      <c r="V6346" t="s">
        <v>13232</v>
      </c>
      <c r="W6346" t="s">
        <v>19503</v>
      </c>
      <c r="X6346">
        <v>16</v>
      </c>
      <c r="Y6346" t="s">
        <v>25873</v>
      </c>
      <c r="Z6346" t="s">
        <v>32477</v>
      </c>
      <c r="AA6346">
        <v>0.55572167813076534</v>
      </c>
      <c r="AB6346" t="str">
        <f>HYPERLINK("Melting_Curves/meltCurve_Q9UPQ3_2_AGAP1.pdf", "Melting_Curves/meltCurve_Q9UPQ3_2_AGAP1.pdf")</f>
        <v>Melting_Curves/meltCurve_Q9UPQ3_2_AGAP1.pdf</v>
      </c>
    </row>
    <row r="6347" spans="1:28" x14ac:dyDescent="0.25">
      <c r="A6347" t="s">
        <v>6350</v>
      </c>
      <c r="B6347">
        <v>0.99930955844802105</v>
      </c>
      <c r="C6347">
        <v>1.0110384867565101</v>
      </c>
      <c r="D6347">
        <v>1.0108738429672</v>
      </c>
      <c r="E6347">
        <v>1.0023451357719799</v>
      </c>
      <c r="F6347">
        <v>0.91646025710424395</v>
      </c>
      <c r="G6347">
        <v>0.80537452544966603</v>
      </c>
      <c r="H6347">
        <v>0.751511161389809</v>
      </c>
      <c r="I6347">
        <v>0.830878438418724</v>
      </c>
      <c r="J6347">
        <v>0.91610986391053295</v>
      </c>
      <c r="K6347">
        <v>0.76315982482864198</v>
      </c>
      <c r="L6347">
        <v>13261.1260662776</v>
      </c>
      <c r="M6347">
        <v>250</v>
      </c>
      <c r="O6347">
        <v>53.041110537508303</v>
      </c>
      <c r="P6347">
        <v>-0.21986865389436799</v>
      </c>
      <c r="Q6347">
        <v>0.81340676172368798</v>
      </c>
      <c r="R6347">
        <v>0.82478815180422205</v>
      </c>
      <c r="S6347" t="s">
        <v>12963</v>
      </c>
      <c r="T6347" t="s">
        <v>13232</v>
      </c>
      <c r="U6347" t="s">
        <v>13232</v>
      </c>
      <c r="V6347" t="s">
        <v>13232</v>
      </c>
      <c r="W6347" t="s">
        <v>19504</v>
      </c>
      <c r="X6347">
        <v>22</v>
      </c>
      <c r="Y6347" t="s">
        <v>25874</v>
      </c>
      <c r="Z6347" t="s">
        <v>32478</v>
      </c>
      <c r="AA6347">
        <v>0.89455800853143574</v>
      </c>
      <c r="AB6347" t="str">
        <f>HYPERLINK("Melting_Curves/meltCurve_Q9UPQ9_1_TNRC6B.pdf", "Melting_Curves/meltCurve_Q9UPQ9_1_TNRC6B.pdf")</f>
        <v>Melting_Curves/meltCurve_Q9UPQ9_1_TNRC6B.pdf</v>
      </c>
    </row>
    <row r="6348" spans="1:28" x14ac:dyDescent="0.25">
      <c r="A6348" t="s">
        <v>6351</v>
      </c>
      <c r="B6348">
        <v>0.99930955844802105</v>
      </c>
      <c r="C6348">
        <v>0.95491669600624196</v>
      </c>
      <c r="D6348">
        <v>0.86438619059431099</v>
      </c>
      <c r="E6348">
        <v>0.50919413114658896</v>
      </c>
      <c r="F6348">
        <v>0.27992023202837901</v>
      </c>
      <c r="G6348">
        <v>0.223687190890898</v>
      </c>
      <c r="H6348">
        <v>0.18269543192079701</v>
      </c>
      <c r="I6348">
        <v>0.175713357817323</v>
      </c>
      <c r="J6348">
        <v>0.16596141164519401</v>
      </c>
      <c r="K6348">
        <v>0.13039098860388099</v>
      </c>
      <c r="L6348">
        <v>1120.0737303553501</v>
      </c>
      <c r="M6348">
        <v>22.7673193005607</v>
      </c>
      <c r="N6348">
        <v>50.059169720688999</v>
      </c>
      <c r="O6348">
        <v>48.8217285006561</v>
      </c>
      <c r="P6348">
        <v>-9.7669476301838407E-2</v>
      </c>
      <c r="Q6348">
        <v>0.16225537364560599</v>
      </c>
      <c r="R6348">
        <v>0.99766959940074795</v>
      </c>
      <c r="S6348" t="s">
        <v>12964</v>
      </c>
      <c r="T6348" t="s">
        <v>13232</v>
      </c>
      <c r="U6348" t="s">
        <v>13232</v>
      </c>
      <c r="V6348" t="s">
        <v>13232</v>
      </c>
      <c r="W6348" t="s">
        <v>19505</v>
      </c>
      <c r="X6348">
        <v>19</v>
      </c>
      <c r="Y6348" t="s">
        <v>25875</v>
      </c>
      <c r="Z6348" t="s">
        <v>32479</v>
      </c>
      <c r="AA6348">
        <v>0.42807066799790078</v>
      </c>
      <c r="AB6348" t="str">
        <f>HYPERLINK("Melting_Curves/meltCurve_Q9UPR0_PLCL2.pdf", "Melting_Curves/meltCurve_Q9UPR0_PLCL2.pdf")</f>
        <v>Melting_Curves/meltCurve_Q9UPR0_PLCL2.pdf</v>
      </c>
    </row>
    <row r="6349" spans="1:28" x14ac:dyDescent="0.25">
      <c r="A6349" t="s">
        <v>6352</v>
      </c>
      <c r="B6349">
        <v>0.99930955844802105</v>
      </c>
      <c r="C6349">
        <v>0.89820427458754903</v>
      </c>
      <c r="D6349">
        <v>0.80751793461589605</v>
      </c>
      <c r="E6349">
        <v>0.62502014425726304</v>
      </c>
      <c r="F6349">
        <v>0.33262938938317299</v>
      </c>
      <c r="G6349">
        <v>0.15293105049701999</v>
      </c>
      <c r="H6349">
        <v>8.0944104679791906E-2</v>
      </c>
      <c r="I6349">
        <v>6.4260594118345005E-2</v>
      </c>
      <c r="J6349">
        <v>5.2445854057564502E-2</v>
      </c>
      <c r="K6349">
        <v>4.0431790492994397E-2</v>
      </c>
      <c r="L6349">
        <v>770.44667773240405</v>
      </c>
      <c r="M6349">
        <v>15.171021164834601</v>
      </c>
      <c r="N6349">
        <v>50.903226608824397</v>
      </c>
      <c r="O6349">
        <v>49.926254033929801</v>
      </c>
      <c r="P6349">
        <v>-7.4649498513556803E-2</v>
      </c>
      <c r="Q6349">
        <v>1.7439986738249199E-2</v>
      </c>
      <c r="R6349">
        <v>0.99436061903977802</v>
      </c>
      <c r="S6349" t="s">
        <v>12965</v>
      </c>
      <c r="T6349" t="s">
        <v>13232</v>
      </c>
      <c r="U6349" t="s">
        <v>13232</v>
      </c>
      <c r="V6349" t="s">
        <v>13232</v>
      </c>
      <c r="W6349" t="s">
        <v>19506</v>
      </c>
      <c r="X6349">
        <v>16</v>
      </c>
      <c r="Y6349" t="s">
        <v>25876</v>
      </c>
      <c r="Z6349" t="s">
        <v>32480</v>
      </c>
      <c r="AA6349">
        <v>0.39306516312819112</v>
      </c>
      <c r="AB6349" t="str">
        <f>HYPERLINK("Melting_Curves/meltCurve_Q9UPR3_SMG5.pdf", "Melting_Curves/meltCurve_Q9UPR3_SMG5.pdf")</f>
        <v>Melting_Curves/meltCurve_Q9UPR3_SMG5.pdf</v>
      </c>
    </row>
    <row r="6350" spans="1:28" x14ac:dyDescent="0.25">
      <c r="A6350" t="s">
        <v>6353</v>
      </c>
      <c r="B6350">
        <v>0.99930955844802105</v>
      </c>
      <c r="C6350">
        <v>0.84635104315066501</v>
      </c>
      <c r="D6350">
        <v>0.77358344540869395</v>
      </c>
      <c r="E6350">
        <v>0.68031945677630301</v>
      </c>
      <c r="F6350">
        <v>0.56824636086286395</v>
      </c>
      <c r="G6350">
        <v>0.46001150333117802</v>
      </c>
      <c r="H6350">
        <v>0.34954048167009</v>
      </c>
      <c r="I6350">
        <v>0.34331696063843697</v>
      </c>
      <c r="J6350">
        <v>0.32909080743255498</v>
      </c>
      <c r="K6350">
        <v>0.26786539976421597</v>
      </c>
      <c r="L6350">
        <v>440.823545725663</v>
      </c>
      <c r="M6350">
        <v>8.5178423483202792</v>
      </c>
      <c r="N6350">
        <v>55.179355665997001</v>
      </c>
      <c r="O6350">
        <v>49.1369663320935</v>
      </c>
      <c r="P6350">
        <v>-3.4467447444890102E-2</v>
      </c>
      <c r="Q6350">
        <v>0.205379493885299</v>
      </c>
      <c r="R6350">
        <v>0.98711199571679498</v>
      </c>
      <c r="S6350" t="s">
        <v>12966</v>
      </c>
      <c r="T6350" t="s">
        <v>13232</v>
      </c>
      <c r="U6350" t="s">
        <v>13232</v>
      </c>
      <c r="V6350" t="s">
        <v>13232</v>
      </c>
      <c r="W6350" t="s">
        <v>19507</v>
      </c>
      <c r="X6350">
        <v>5</v>
      </c>
      <c r="Y6350" t="s">
        <v>25877</v>
      </c>
      <c r="Z6350" t="s">
        <v>32481</v>
      </c>
      <c r="AA6350">
        <v>0.55317367674612006</v>
      </c>
      <c r="AB6350" t="str">
        <f>HYPERLINK("Melting_Curves/meltCurve_Q9UPS6_SETD1B.pdf", "Melting_Curves/meltCurve_Q9UPS6_SETD1B.pdf")</f>
        <v>Melting_Curves/meltCurve_Q9UPS6_SETD1B.pdf</v>
      </c>
    </row>
    <row r="6351" spans="1:28" x14ac:dyDescent="0.25">
      <c r="A6351" t="s">
        <v>6354</v>
      </c>
      <c r="B6351">
        <v>0.99930955844802105</v>
      </c>
      <c r="C6351">
        <v>0.66245437958750397</v>
      </c>
      <c r="D6351">
        <v>0.46390013116505102</v>
      </c>
      <c r="E6351">
        <v>0.27173246988191901</v>
      </c>
      <c r="F6351">
        <v>0.151963109343379</v>
      </c>
      <c r="G6351">
        <v>0.10641930064692701</v>
      </c>
      <c r="H6351">
        <v>7.2511477267947197E-2</v>
      </c>
      <c r="I6351">
        <v>6.4516953485164202E-2</v>
      </c>
      <c r="J6351">
        <v>5.9265040455469903E-2</v>
      </c>
      <c r="K6351">
        <v>4.6442258992720697E-2</v>
      </c>
      <c r="L6351">
        <v>715.85146700308906</v>
      </c>
      <c r="M6351">
        <v>15.7946725947359</v>
      </c>
      <c r="N6351">
        <v>45.692073005584902</v>
      </c>
      <c r="O6351">
        <v>44.614484198357999</v>
      </c>
      <c r="P6351">
        <v>-8.3203828457796003E-2</v>
      </c>
      <c r="Q6351">
        <v>5.9989475423983897E-2</v>
      </c>
      <c r="R6351">
        <v>0.98236716231237597</v>
      </c>
      <c r="S6351" t="s">
        <v>12967</v>
      </c>
      <c r="T6351" t="s">
        <v>13232</v>
      </c>
      <c r="U6351" t="s">
        <v>13232</v>
      </c>
      <c r="V6351" t="s">
        <v>13232</v>
      </c>
      <c r="W6351" t="s">
        <v>19508</v>
      </c>
      <c r="X6351">
        <v>20</v>
      </c>
      <c r="Y6351" t="s">
        <v>25878</v>
      </c>
      <c r="Z6351" t="s">
        <v>32482</v>
      </c>
      <c r="AA6351">
        <v>0.25291578753847133</v>
      </c>
      <c r="AB6351" t="str">
        <f>HYPERLINK("Melting_Curves/meltCurve_Q9UPT5_2_EXOC7.pdf", "Melting_Curves/meltCurve_Q9UPT5_2_EXOC7.pdf")</f>
        <v>Melting_Curves/meltCurve_Q9UPT5_2_EXOC7.pdf</v>
      </c>
    </row>
    <row r="6352" spans="1:28" x14ac:dyDescent="0.25">
      <c r="A6352" t="s">
        <v>6355</v>
      </c>
      <c r="B6352">
        <v>0.99930955844802105</v>
      </c>
      <c r="C6352">
        <v>1.14900351442514</v>
      </c>
      <c r="D6352">
        <v>1.0718263496217799</v>
      </c>
      <c r="E6352">
        <v>1.0998738073557599</v>
      </c>
      <c r="F6352">
        <v>1.06836866252775</v>
      </c>
      <c r="G6352">
        <v>1.0604360045971899</v>
      </c>
      <c r="H6352">
        <v>1.29662620502292</v>
      </c>
      <c r="I6352">
        <v>1.61088094747814</v>
      </c>
      <c r="J6352">
        <v>1.78196063449288</v>
      </c>
      <c r="K6352">
        <v>1.3321442947033</v>
      </c>
      <c r="L6352">
        <v>15000</v>
      </c>
      <c r="M6352">
        <v>246.27909233698199</v>
      </c>
      <c r="O6352">
        <v>60.902493788097601</v>
      </c>
      <c r="P6352">
        <v>0.50547826028669096</v>
      </c>
      <c r="Q6352">
        <v>1.5</v>
      </c>
      <c r="R6352">
        <v>0.73211340313541196</v>
      </c>
      <c r="S6352" t="s">
        <v>12968</v>
      </c>
      <c r="T6352" t="s">
        <v>13232</v>
      </c>
      <c r="U6352" t="s">
        <v>13232</v>
      </c>
      <c r="V6352" t="s">
        <v>13232</v>
      </c>
      <c r="W6352" t="s">
        <v>19509</v>
      </c>
      <c r="X6352">
        <v>26</v>
      </c>
      <c r="Y6352" t="s">
        <v>25879</v>
      </c>
      <c r="Z6352" t="s">
        <v>32483</v>
      </c>
      <c r="AA6352">
        <v>1.151503094174628</v>
      </c>
      <c r="AB6352" t="str">
        <f>HYPERLINK("Melting_Curves/meltCurve_Q9UPT8_ZC3H4.pdf", "Melting_Curves/meltCurve_Q9UPT8_ZC3H4.pdf")</f>
        <v>Melting_Curves/meltCurve_Q9UPT8_ZC3H4.pdf</v>
      </c>
    </row>
    <row r="6353" spans="1:28" x14ac:dyDescent="0.25">
      <c r="A6353" t="s">
        <v>6356</v>
      </c>
      <c r="B6353">
        <v>0.99930955844802105</v>
      </c>
      <c r="C6353">
        <v>0.92626065860196605</v>
      </c>
      <c r="D6353">
        <v>0.82052745185391696</v>
      </c>
      <c r="E6353">
        <v>0.69950633701354903</v>
      </c>
      <c r="F6353">
        <v>0.51976218098528104</v>
      </c>
      <c r="G6353">
        <v>0.35243114930836</v>
      </c>
      <c r="H6353">
        <v>0.29360592805681401</v>
      </c>
      <c r="I6353">
        <v>0.287403999764137</v>
      </c>
      <c r="J6353">
        <v>0.249557016240185</v>
      </c>
      <c r="K6353">
        <v>0.18112719692046</v>
      </c>
      <c r="L6353">
        <v>615.85578196728795</v>
      </c>
      <c r="M6353">
        <v>11.9359929950748</v>
      </c>
      <c r="N6353">
        <v>53.611399501621896</v>
      </c>
      <c r="O6353">
        <v>50.212213482055297</v>
      </c>
      <c r="P6353">
        <v>-4.86990829420774E-2</v>
      </c>
      <c r="Q6353">
        <v>0.18073447097950701</v>
      </c>
      <c r="R6353">
        <v>0.99323730945335797</v>
      </c>
      <c r="S6353" t="s">
        <v>12969</v>
      </c>
      <c r="T6353" t="s">
        <v>13232</v>
      </c>
      <c r="U6353" t="s">
        <v>13232</v>
      </c>
      <c r="V6353" t="s">
        <v>13232</v>
      </c>
      <c r="W6353" t="s">
        <v>19510</v>
      </c>
      <c r="X6353">
        <v>9</v>
      </c>
      <c r="Y6353" t="s">
        <v>25880</v>
      </c>
      <c r="Z6353" t="s">
        <v>32484</v>
      </c>
      <c r="AA6353">
        <v>0.52335195292828407</v>
      </c>
      <c r="AB6353" t="str">
        <f>HYPERLINK("Melting_Curves/meltCurve_Q9UPT9_USP22.pdf", "Melting_Curves/meltCurve_Q9UPT9_USP22.pdf")</f>
        <v>Melting_Curves/meltCurve_Q9UPT9_USP22.pdf</v>
      </c>
    </row>
    <row r="6354" spans="1:28" x14ac:dyDescent="0.25">
      <c r="A6354" t="s">
        <v>6357</v>
      </c>
      <c r="B6354">
        <v>0.99930955844802105</v>
      </c>
      <c r="C6354">
        <v>0.99874318156479303</v>
      </c>
      <c r="D6354">
        <v>0.96279442603374299</v>
      </c>
      <c r="E6354">
        <v>0.94534696636099103</v>
      </c>
      <c r="F6354">
        <v>0.78300142345261803</v>
      </c>
      <c r="G6354">
        <v>0.57590732037519499</v>
      </c>
      <c r="H6354">
        <v>0.34157500725800799</v>
      </c>
      <c r="I6354">
        <v>0.228801903040324</v>
      </c>
      <c r="J6354">
        <v>0.122776267501696</v>
      </c>
      <c r="K6354">
        <v>9.39415987105994E-2</v>
      </c>
      <c r="L6354">
        <v>842.95196225695997</v>
      </c>
      <c r="M6354">
        <v>14.5110824027979</v>
      </c>
      <c r="N6354">
        <v>58.188361616301599</v>
      </c>
      <c r="O6354">
        <v>57.0204490787049</v>
      </c>
      <c r="P6354">
        <v>-6.2860380790748502E-2</v>
      </c>
      <c r="Q6354">
        <v>1.2088836767024999E-2</v>
      </c>
      <c r="R6354">
        <v>0.99840140133976196</v>
      </c>
      <c r="S6354" t="s">
        <v>12970</v>
      </c>
      <c r="T6354" t="s">
        <v>13232</v>
      </c>
      <c r="U6354" t="s">
        <v>13232</v>
      </c>
      <c r="V6354" t="s">
        <v>13232</v>
      </c>
      <c r="W6354" t="s">
        <v>19511</v>
      </c>
      <c r="X6354">
        <v>1</v>
      </c>
      <c r="Y6354" t="s">
        <v>25881</v>
      </c>
      <c r="Z6354" t="s">
        <v>32485</v>
      </c>
      <c r="AA6354">
        <v>0.62086887727476703</v>
      </c>
      <c r="AB6354" t="str">
        <f>HYPERLINK("Melting_Curves/meltCurve_Q9UPU3_SORCS3.pdf", "Melting_Curves/meltCurve_Q9UPU3_SORCS3.pdf")</f>
        <v>Melting_Curves/meltCurve_Q9UPU3_SORCS3.pdf</v>
      </c>
    </row>
    <row r="6355" spans="1:28" x14ac:dyDescent="0.25">
      <c r="A6355" t="s">
        <v>6358</v>
      </c>
      <c r="B6355">
        <v>0.99930955844802105</v>
      </c>
      <c r="C6355">
        <v>0.73831336454240704</v>
      </c>
      <c r="D6355">
        <v>0.67280236660361104</v>
      </c>
      <c r="E6355">
        <v>0.42372262016059298</v>
      </c>
      <c r="F6355">
        <v>0.23851163267435199</v>
      </c>
      <c r="G6355">
        <v>0.15434878984786399</v>
      </c>
      <c r="H6355">
        <v>9.9869700257627994E-2</v>
      </c>
      <c r="I6355">
        <v>8.7673182633621602E-2</v>
      </c>
      <c r="J6355">
        <v>7.7693368217844699E-2</v>
      </c>
      <c r="K6355">
        <v>5.99634332023396E-2</v>
      </c>
      <c r="L6355">
        <v>604.00016535780605</v>
      </c>
      <c r="M6355">
        <v>12.605773408761999</v>
      </c>
      <c r="N6355">
        <v>48.269357685194699</v>
      </c>
      <c r="O6355">
        <v>46.756727034403603</v>
      </c>
      <c r="P6355">
        <v>-6.4431520374720594E-2</v>
      </c>
      <c r="Q6355">
        <v>4.42451735908699E-2</v>
      </c>
      <c r="R6355">
        <v>0.98597789517541801</v>
      </c>
      <c r="S6355" t="s">
        <v>12971</v>
      </c>
      <c r="T6355" t="s">
        <v>13232</v>
      </c>
      <c r="U6355" t="s">
        <v>13232</v>
      </c>
      <c r="V6355" t="s">
        <v>13232</v>
      </c>
      <c r="W6355" t="s">
        <v>19512</v>
      </c>
      <c r="X6355">
        <v>58</v>
      </c>
      <c r="Y6355" t="s">
        <v>25882</v>
      </c>
      <c r="Z6355" t="s">
        <v>32486</v>
      </c>
      <c r="AA6355">
        <v>0.33081588027779552</v>
      </c>
      <c r="AB6355" t="str">
        <f>HYPERLINK("Melting_Curves/meltCurve_Q9UPU5_USP24.pdf", "Melting_Curves/meltCurve_Q9UPU5_USP24.pdf")</f>
        <v>Melting_Curves/meltCurve_Q9UPU5_USP24.pdf</v>
      </c>
    </row>
    <row r="6356" spans="1:28" x14ac:dyDescent="0.25">
      <c r="A6356" t="s">
        <v>6359</v>
      </c>
      <c r="B6356">
        <v>0.99930955844802105</v>
      </c>
      <c r="C6356">
        <v>0.96919161590709602</v>
      </c>
      <c r="D6356">
        <v>0.84244057959660901</v>
      </c>
      <c r="E6356">
        <v>0.61706586902458904</v>
      </c>
      <c r="F6356">
        <v>0.34931718206904799</v>
      </c>
      <c r="G6356">
        <v>0.19989878578477599</v>
      </c>
      <c r="H6356">
        <v>0.122670323108187</v>
      </c>
      <c r="I6356">
        <v>0.102696281416454</v>
      </c>
      <c r="J6356">
        <v>9.4228864912609303E-2</v>
      </c>
      <c r="K6356">
        <v>7.6540581879864705E-2</v>
      </c>
      <c r="L6356">
        <v>875.97678126947699</v>
      </c>
      <c r="M6356">
        <v>17.2846106251198</v>
      </c>
      <c r="N6356">
        <v>51.1639696022702</v>
      </c>
      <c r="O6356">
        <v>50.015804239050901</v>
      </c>
      <c r="P6356">
        <v>-7.9879522876390399E-2</v>
      </c>
      <c r="Q6356">
        <v>7.5476481225059996E-2</v>
      </c>
      <c r="R6356">
        <v>0.99862688034820102</v>
      </c>
      <c r="S6356" t="s">
        <v>12972</v>
      </c>
      <c r="T6356" t="s">
        <v>13232</v>
      </c>
      <c r="U6356" t="s">
        <v>13232</v>
      </c>
      <c r="V6356" t="s">
        <v>13232</v>
      </c>
      <c r="W6356" t="s">
        <v>19513</v>
      </c>
      <c r="X6356">
        <v>14</v>
      </c>
      <c r="Y6356" t="s">
        <v>25883</v>
      </c>
      <c r="Z6356" t="s">
        <v>32487</v>
      </c>
      <c r="AA6356">
        <v>0.42142777442715751</v>
      </c>
      <c r="AB6356" t="str">
        <f>HYPERLINK("Melting_Curves/meltCurve_Q9UPU7_TBC1D2B.pdf", "Melting_Curves/meltCurve_Q9UPU7_TBC1D2B.pdf")</f>
        <v>Melting_Curves/meltCurve_Q9UPU7_TBC1D2B.pdf</v>
      </c>
    </row>
    <row r="6357" spans="1:28" x14ac:dyDescent="0.25">
      <c r="A6357" t="s">
        <v>6360</v>
      </c>
      <c r="B6357">
        <v>0.99930955844802105</v>
      </c>
      <c r="C6357">
        <v>1.0250425845997999</v>
      </c>
      <c r="D6357">
        <v>1.035398347171</v>
      </c>
      <c r="E6357">
        <v>1.11651116452758</v>
      </c>
      <c r="F6357">
        <v>1.02992178805802</v>
      </c>
      <c r="G6357">
        <v>0.96082306127906902</v>
      </c>
      <c r="H6357">
        <v>1.0745300900302599</v>
      </c>
      <c r="I6357">
        <v>1.0931892914439401</v>
      </c>
      <c r="J6357">
        <v>1.0838086387302901</v>
      </c>
      <c r="K6357">
        <v>0.931050333596258</v>
      </c>
      <c r="L6357">
        <v>2529.3332304957898</v>
      </c>
      <c r="M6357">
        <v>59.3918197683101</v>
      </c>
      <c r="O6357">
        <v>42.539031129933001</v>
      </c>
      <c r="P6357">
        <v>1.42210752110259E-2</v>
      </c>
      <c r="Q6357">
        <v>1.04074301762707</v>
      </c>
      <c r="R6357">
        <v>5.1456330435529003E-2</v>
      </c>
      <c r="S6357" t="s">
        <v>12973</v>
      </c>
      <c r="T6357" t="s">
        <v>13232</v>
      </c>
      <c r="U6357" t="s">
        <v>13232</v>
      </c>
      <c r="V6357" t="s">
        <v>13232</v>
      </c>
      <c r="W6357" t="s">
        <v>19514</v>
      </c>
      <c r="X6357">
        <v>5</v>
      </c>
      <c r="Y6357" t="s">
        <v>25884</v>
      </c>
      <c r="Z6357" t="s">
        <v>32488</v>
      </c>
      <c r="AA6357">
        <v>1.0371574511836199</v>
      </c>
      <c r="AB6357" t="str">
        <f>HYPERLINK("Melting_Curves/meltCurve_Q9UPV0_2_CEP164.pdf", "Melting_Curves/meltCurve_Q9UPV0_2_CEP164.pdf")</f>
        <v>Melting_Curves/meltCurve_Q9UPV0_2_CEP164.pdf</v>
      </c>
    </row>
    <row r="6358" spans="1:28" x14ac:dyDescent="0.25">
      <c r="A6358" t="s">
        <v>6361</v>
      </c>
      <c r="B6358">
        <v>0.99930955844802105</v>
      </c>
      <c r="C6358">
        <v>0.92788467979574396</v>
      </c>
      <c r="D6358">
        <v>0.84417338168664102</v>
      </c>
      <c r="E6358">
        <v>0.73758008401987396</v>
      </c>
      <c r="F6358">
        <v>0.43171651086247598</v>
      </c>
      <c r="G6358">
        <v>0.443812562882132</v>
      </c>
      <c r="H6358">
        <v>0.57775888695635802</v>
      </c>
      <c r="I6358">
        <v>0.71625394429136202</v>
      </c>
      <c r="J6358">
        <v>0.84200583034556797</v>
      </c>
      <c r="K6358">
        <v>0.63811182202366101</v>
      </c>
      <c r="L6358">
        <v>1356.17271808327</v>
      </c>
      <c r="M6358">
        <v>29.169260997974401</v>
      </c>
      <c r="O6358">
        <v>46.276337952150399</v>
      </c>
      <c r="P6358">
        <v>-6.01670588356428E-2</v>
      </c>
      <c r="Q6358">
        <v>0.61818835669191097</v>
      </c>
      <c r="R6358">
        <v>0.58883795761232105</v>
      </c>
      <c r="S6358" t="s">
        <v>12974</v>
      </c>
      <c r="T6358" t="s">
        <v>13232</v>
      </c>
      <c r="U6358" t="s">
        <v>13232</v>
      </c>
      <c r="V6358" t="s">
        <v>13232</v>
      </c>
      <c r="W6358" t="s">
        <v>19515</v>
      </c>
      <c r="X6358">
        <v>5</v>
      </c>
      <c r="Y6358" t="s">
        <v>25885</v>
      </c>
      <c r="Z6358" t="s">
        <v>32489</v>
      </c>
      <c r="AA6358">
        <v>0.70327568501804361</v>
      </c>
      <c r="AB6358" t="str">
        <f>HYPERLINK("Melting_Curves/meltCurve_Q9UPW5_AGTPBP1.pdf", "Melting_Curves/meltCurve_Q9UPW5_AGTPBP1.pdf")</f>
        <v>Melting_Curves/meltCurve_Q9UPW5_AGTPBP1.pdf</v>
      </c>
    </row>
    <row r="6359" spans="1:28" x14ac:dyDescent="0.25">
      <c r="A6359" t="s">
        <v>6362</v>
      </c>
      <c r="B6359">
        <v>0.99930955844802105</v>
      </c>
      <c r="C6359">
        <v>0.92660984587712103</v>
      </c>
      <c r="D6359">
        <v>0.94266122371124705</v>
      </c>
      <c r="E6359">
        <v>0.79176965951751999</v>
      </c>
      <c r="F6359">
        <v>0.46502104770092501</v>
      </c>
      <c r="G6359">
        <v>0.37162008184504303</v>
      </c>
      <c r="H6359">
        <v>0.304708456737315</v>
      </c>
      <c r="I6359">
        <v>0.27032219770717603</v>
      </c>
      <c r="J6359">
        <v>0.22425098904759799</v>
      </c>
      <c r="K6359">
        <v>0.17399928627655101</v>
      </c>
      <c r="L6359">
        <v>955.21401390983499</v>
      </c>
      <c r="M6359">
        <v>18.4082452912841</v>
      </c>
      <c r="N6359">
        <v>53.574563071404697</v>
      </c>
      <c r="O6359">
        <v>51.289801293743999</v>
      </c>
      <c r="P6359">
        <v>-7.0019873132203703E-2</v>
      </c>
      <c r="Q6359">
        <v>0.219666219774689</v>
      </c>
      <c r="R6359">
        <v>0.98299243059968699</v>
      </c>
      <c r="S6359" t="s">
        <v>12975</v>
      </c>
      <c r="T6359" t="s">
        <v>13232</v>
      </c>
      <c r="U6359" t="s">
        <v>13232</v>
      </c>
      <c r="V6359" t="s">
        <v>13232</v>
      </c>
      <c r="W6359" t="s">
        <v>19516</v>
      </c>
      <c r="X6359">
        <v>17</v>
      </c>
      <c r="Y6359" t="s">
        <v>25886</v>
      </c>
      <c r="Z6359" t="s">
        <v>32490</v>
      </c>
      <c r="AA6359">
        <v>0.54146376601198887</v>
      </c>
      <c r="AB6359" t="str">
        <f>HYPERLINK("Melting_Curves/meltCurve_Q9UPY3_DICER1.pdf", "Melting_Curves/meltCurve_Q9UPY3_DICER1.pdf")</f>
        <v>Melting_Curves/meltCurve_Q9UPY3_DICER1.pdf</v>
      </c>
    </row>
    <row r="6360" spans="1:28" x14ac:dyDescent="0.25">
      <c r="A6360" t="s">
        <v>6363</v>
      </c>
      <c r="B6360">
        <v>0.99930955844802105</v>
      </c>
      <c r="C6360">
        <v>1.06235235154417</v>
      </c>
      <c r="D6360">
        <v>1.1823914974501499</v>
      </c>
      <c r="E6360">
        <v>1.1405334222821799</v>
      </c>
      <c r="F6360">
        <v>0.63956198446744705</v>
      </c>
      <c r="G6360">
        <v>0.13861873900414601</v>
      </c>
      <c r="H6360">
        <v>8.4769530211851005E-2</v>
      </c>
      <c r="I6360">
        <v>6.77970157465803E-2</v>
      </c>
      <c r="J6360">
        <v>3.88742150482543E-2</v>
      </c>
      <c r="K6360">
        <v>2.9389760979423901E-2</v>
      </c>
      <c r="L6360">
        <v>13274.0739048428</v>
      </c>
      <c r="M6360">
        <v>250</v>
      </c>
      <c r="N6360">
        <v>53.1292860432672</v>
      </c>
      <c r="O6360">
        <v>53.092900211809898</v>
      </c>
      <c r="P6360">
        <v>-1.09255451130821</v>
      </c>
      <c r="Q6360">
        <v>7.1889840750472597E-2</v>
      </c>
      <c r="R6360">
        <v>0.97281371829975005</v>
      </c>
      <c r="S6360" t="s">
        <v>12976</v>
      </c>
      <c r="T6360" t="s">
        <v>13232</v>
      </c>
      <c r="U6360" t="s">
        <v>13232</v>
      </c>
      <c r="V6360" t="s">
        <v>13232</v>
      </c>
      <c r="W6360" t="s">
        <v>19517</v>
      </c>
      <c r="X6360">
        <v>14</v>
      </c>
      <c r="Y6360" t="s">
        <v>25887</v>
      </c>
      <c r="Z6360" t="s">
        <v>32491</v>
      </c>
      <c r="AA6360">
        <v>0.47713649209527847</v>
      </c>
      <c r="AB6360" t="str">
        <f>HYPERLINK("Melting_Curves/meltCurve_Q9UPY8_MAPRE3.pdf", "Melting_Curves/meltCurve_Q9UPY8_MAPRE3.pdf")</f>
        <v>Melting_Curves/meltCurve_Q9UPY8_MAPRE3.pdf</v>
      </c>
    </row>
    <row r="6361" spans="1:28" x14ac:dyDescent="0.25">
      <c r="A6361" t="s">
        <v>6364</v>
      </c>
      <c r="B6361">
        <v>0.99930955844802105</v>
      </c>
      <c r="C6361">
        <v>1.0629482482802399</v>
      </c>
      <c r="D6361">
        <v>1.08026261065277</v>
      </c>
      <c r="E6361">
        <v>0.95595893421939504</v>
      </c>
      <c r="F6361">
        <v>0.65315101373102602</v>
      </c>
      <c r="G6361">
        <v>0.34868441449819798</v>
      </c>
      <c r="H6361">
        <v>0.28210323307125701</v>
      </c>
      <c r="I6361">
        <v>0.289538414428471</v>
      </c>
      <c r="J6361">
        <v>0.27727521161964003</v>
      </c>
      <c r="K6361">
        <v>0.23175467754715401</v>
      </c>
      <c r="L6361">
        <v>1985.6626624759899</v>
      </c>
      <c r="M6361">
        <v>37.304704952330603</v>
      </c>
      <c r="N6361">
        <v>54.371339065090297</v>
      </c>
      <c r="O6361">
        <v>53.075920245743902</v>
      </c>
      <c r="P6361">
        <v>-0.12795815051588899</v>
      </c>
      <c r="Q6361">
        <v>0.271782886690283</v>
      </c>
      <c r="R6361">
        <v>0.98905348234650403</v>
      </c>
      <c r="S6361" t="s">
        <v>12977</v>
      </c>
      <c r="T6361" t="s">
        <v>13232</v>
      </c>
      <c r="U6361" t="s">
        <v>13232</v>
      </c>
      <c r="V6361" t="s">
        <v>13232</v>
      </c>
      <c r="W6361" t="s">
        <v>19518</v>
      </c>
      <c r="X6361">
        <v>14</v>
      </c>
      <c r="Y6361" t="s">
        <v>25887</v>
      </c>
      <c r="Z6361" t="s">
        <v>32492</v>
      </c>
      <c r="AA6361">
        <v>0.59596025988878742</v>
      </c>
      <c r="AB6361" t="str">
        <f>HYPERLINK("Melting_Curves/meltCurve_Q9UPY8_2_MAPRE3.pdf", "Melting_Curves/meltCurve_Q9UPY8_2_MAPRE3.pdf")</f>
        <v>Melting_Curves/meltCurve_Q9UPY8_2_MAPRE3.pdf</v>
      </c>
    </row>
    <row r="6362" spans="1:28" x14ac:dyDescent="0.25">
      <c r="A6362" t="s">
        <v>6365</v>
      </c>
      <c r="B6362">
        <v>0.99930955844802105</v>
      </c>
      <c r="C6362">
        <v>0.79040861622236402</v>
      </c>
      <c r="D6362">
        <v>0.55099616051131495</v>
      </c>
      <c r="E6362">
        <v>0.364311224186397</v>
      </c>
      <c r="F6362">
        <v>0.219802083663588</v>
      </c>
      <c r="G6362">
        <v>0.18802116699898699</v>
      </c>
      <c r="H6362">
        <v>0.13340290791283699</v>
      </c>
      <c r="I6362">
        <v>0.15069878368814399</v>
      </c>
      <c r="J6362">
        <v>0.123699270990638</v>
      </c>
      <c r="K6362">
        <v>9.2453198831493999E-2</v>
      </c>
      <c r="L6362">
        <v>727.51223293853195</v>
      </c>
      <c r="M6362">
        <v>15.7053871255124</v>
      </c>
      <c r="N6362">
        <v>47.154432430610697</v>
      </c>
      <c r="O6362">
        <v>45.590957869745402</v>
      </c>
      <c r="P6362">
        <v>-7.5706056355122606E-2</v>
      </c>
      <c r="Q6362">
        <v>0.121009775274317</v>
      </c>
      <c r="R6362">
        <v>0.990038949173907</v>
      </c>
      <c r="S6362" t="s">
        <v>12978</v>
      </c>
      <c r="T6362" t="s">
        <v>13232</v>
      </c>
      <c r="U6362" t="s">
        <v>13232</v>
      </c>
      <c r="V6362" t="s">
        <v>13232</v>
      </c>
      <c r="W6362" t="s">
        <v>19519</v>
      </c>
      <c r="X6362">
        <v>5</v>
      </c>
      <c r="Y6362" t="s">
        <v>25888</v>
      </c>
      <c r="Z6362" t="s">
        <v>32493</v>
      </c>
      <c r="AA6362">
        <v>0.32896279751699609</v>
      </c>
      <c r="AB6362" t="str">
        <f>HYPERLINK("Melting_Curves/meltCurve_Q9UPZ3_2_HPS5.pdf", "Melting_Curves/meltCurve_Q9UPZ3_2_HPS5.pdf")</f>
        <v>Melting_Curves/meltCurve_Q9UPZ3_2_HPS5.pdf</v>
      </c>
    </row>
    <row r="6363" spans="1:28" x14ac:dyDescent="0.25">
      <c r="A6363" t="s">
        <v>6366</v>
      </c>
      <c r="B6363">
        <v>0.99930955844802105</v>
      </c>
      <c r="C6363">
        <v>1.00369574548883</v>
      </c>
      <c r="D6363">
        <v>0.95604726815115704</v>
      </c>
      <c r="E6363">
        <v>0.843428030744657</v>
      </c>
      <c r="F6363">
        <v>0.39959544776121703</v>
      </c>
      <c r="G6363">
        <v>0.190112913164036</v>
      </c>
      <c r="H6363">
        <v>0.12613502448251601</v>
      </c>
      <c r="I6363">
        <v>0.114616571605024</v>
      </c>
      <c r="J6363">
        <v>9.5258812747594401E-2</v>
      </c>
      <c r="K6363">
        <v>6.9771294896646505E-2</v>
      </c>
      <c r="L6363">
        <v>1770.8165645070601</v>
      </c>
      <c r="M6363">
        <v>34.020753331181098</v>
      </c>
      <c r="N6363">
        <v>52.419118669539301</v>
      </c>
      <c r="O6363">
        <v>51.872210367975001</v>
      </c>
      <c r="P6363">
        <v>-0.146545059520159</v>
      </c>
      <c r="Q6363">
        <v>0.106241296649979</v>
      </c>
      <c r="R6363">
        <v>0.99659441292775297</v>
      </c>
      <c r="S6363" t="s">
        <v>12979</v>
      </c>
      <c r="T6363" t="s">
        <v>13232</v>
      </c>
      <c r="U6363" t="s">
        <v>13232</v>
      </c>
      <c r="V6363" t="s">
        <v>13232</v>
      </c>
      <c r="W6363" t="s">
        <v>19520</v>
      </c>
      <c r="X6363">
        <v>6</v>
      </c>
      <c r="Y6363" t="s">
        <v>25889</v>
      </c>
      <c r="Z6363" t="s">
        <v>32494</v>
      </c>
      <c r="AA6363">
        <v>0.46971438643524421</v>
      </c>
      <c r="AB6363" t="str">
        <f>HYPERLINK("Melting_Curves/meltCurve_Q9UQ13_2_SHOC2.pdf", "Melting_Curves/meltCurve_Q9UQ13_2_SHOC2.pdf")</f>
        <v>Melting_Curves/meltCurve_Q9UQ13_2_SHOC2.pdf</v>
      </c>
    </row>
    <row r="6364" spans="1:28" x14ac:dyDescent="0.25">
      <c r="A6364" t="s">
        <v>6367</v>
      </c>
      <c r="B6364">
        <v>0.99930955844802105</v>
      </c>
      <c r="C6364">
        <v>1.0972352693551799</v>
      </c>
      <c r="D6364">
        <v>1.0808363462317701</v>
      </c>
      <c r="E6364">
        <v>1.04554652723909</v>
      </c>
      <c r="F6364">
        <v>0.98921583472347097</v>
      </c>
      <c r="G6364">
        <v>0.92655731500075</v>
      </c>
      <c r="H6364">
        <v>1.00038305332172</v>
      </c>
      <c r="I6364">
        <v>1.12975222780393</v>
      </c>
      <c r="J6364">
        <v>1.1562911109160201</v>
      </c>
      <c r="K6364">
        <v>0.917184461698759</v>
      </c>
      <c r="L6364">
        <v>1.0000000000000001E-5</v>
      </c>
      <c r="M6364">
        <v>1.0000000000000001E-5</v>
      </c>
      <c r="Q6364">
        <v>1.06846200448243</v>
      </c>
      <c r="R6364">
        <v>-1.05021347174272E-9</v>
      </c>
      <c r="S6364" t="s">
        <v>12980</v>
      </c>
      <c r="T6364" t="s">
        <v>13232</v>
      </c>
      <c r="U6364" t="s">
        <v>13232</v>
      </c>
      <c r="V6364" t="s">
        <v>13232</v>
      </c>
      <c r="W6364" t="s">
        <v>19521</v>
      </c>
      <c r="X6364">
        <v>83</v>
      </c>
      <c r="Y6364" t="s">
        <v>25890</v>
      </c>
      <c r="Z6364" t="s">
        <v>32495</v>
      </c>
      <c r="AA6364">
        <v>1.034231170203525</v>
      </c>
      <c r="AB6364" t="str">
        <f>HYPERLINK("Melting_Curves/meltCurve_Q9UQ35_SRRM2.pdf", "Melting_Curves/meltCurve_Q9UQ35_SRRM2.pdf")</f>
        <v>Melting_Curves/meltCurve_Q9UQ35_SRRM2.pdf</v>
      </c>
    </row>
    <row r="6365" spans="1:28" x14ac:dyDescent="0.25">
      <c r="A6365" t="s">
        <v>6368</v>
      </c>
      <c r="B6365">
        <v>0.99930955844802105</v>
      </c>
      <c r="C6365">
        <v>0.97917375695134801</v>
      </c>
      <c r="D6365">
        <v>0.70445169094732096</v>
      </c>
      <c r="E6365">
        <v>0.36078512922855999</v>
      </c>
      <c r="F6365">
        <v>0.21016427980875199</v>
      </c>
      <c r="G6365">
        <v>0.14425810276354101</v>
      </c>
      <c r="H6365">
        <v>7.6190007356506897E-2</v>
      </c>
      <c r="I6365">
        <v>6.1480516313597397E-2</v>
      </c>
      <c r="J6365">
        <v>5.3210498641610003E-2</v>
      </c>
      <c r="K6365">
        <v>4.0405808274458603E-2</v>
      </c>
      <c r="L6365">
        <v>941.78524509317106</v>
      </c>
      <c r="M6365">
        <v>19.547913077170598</v>
      </c>
      <c r="N6365">
        <v>48.500112911146601</v>
      </c>
      <c r="O6365">
        <v>47.682601805943499</v>
      </c>
      <c r="P6365">
        <v>-9.6259717724071894E-2</v>
      </c>
      <c r="Q6365">
        <v>6.0820410730723001E-2</v>
      </c>
      <c r="R6365">
        <v>0.994874673946466</v>
      </c>
      <c r="S6365" t="s">
        <v>12981</v>
      </c>
      <c r="T6365" t="s">
        <v>13232</v>
      </c>
      <c r="U6365" t="s">
        <v>13232</v>
      </c>
      <c r="V6365" t="s">
        <v>13232</v>
      </c>
      <c r="W6365" t="s">
        <v>19522</v>
      </c>
      <c r="X6365">
        <v>28</v>
      </c>
      <c r="Y6365" t="s">
        <v>25891</v>
      </c>
      <c r="Z6365" t="s">
        <v>32496</v>
      </c>
      <c r="AA6365">
        <v>0.33080599004309058</v>
      </c>
      <c r="AB6365" t="str">
        <f>HYPERLINK("Melting_Curves/meltCurve_Q9UQ80_PA2G4.pdf", "Melting_Curves/meltCurve_Q9UQ80_PA2G4.pdf")</f>
        <v>Melting_Curves/meltCurve_Q9UQ80_PA2G4.pdf</v>
      </c>
    </row>
    <row r="6366" spans="1:28" x14ac:dyDescent="0.25">
      <c r="A6366" t="s">
        <v>6369</v>
      </c>
      <c r="B6366">
        <v>0.99930955844802105</v>
      </c>
      <c r="C6366">
        <v>0.99030547390601897</v>
      </c>
      <c r="D6366">
        <v>0.927124975758715</v>
      </c>
      <c r="E6366">
        <v>0.88595417392796605</v>
      </c>
      <c r="F6366">
        <v>0.75623759902031795</v>
      </c>
      <c r="G6366">
        <v>0.64302749551035898</v>
      </c>
      <c r="H6366">
        <v>0.601417232117061</v>
      </c>
      <c r="I6366">
        <v>0.67964309107995402</v>
      </c>
      <c r="J6366">
        <v>0.65044967362503803</v>
      </c>
      <c r="K6366">
        <v>0.56512251055464202</v>
      </c>
      <c r="L6366">
        <v>976.76979714369202</v>
      </c>
      <c r="M6366">
        <v>18.952442114286299</v>
      </c>
      <c r="O6366">
        <v>50.974440382665001</v>
      </c>
      <c r="P6366">
        <v>-3.6109084646924701E-2</v>
      </c>
      <c r="Q6366">
        <v>0.61154002375212102</v>
      </c>
      <c r="R6366">
        <v>0.95814351402013598</v>
      </c>
      <c r="S6366" t="s">
        <v>12982</v>
      </c>
      <c r="T6366" t="s">
        <v>13232</v>
      </c>
      <c r="U6366" t="s">
        <v>13232</v>
      </c>
      <c r="V6366" t="s">
        <v>13232</v>
      </c>
      <c r="W6366" t="s">
        <v>19523</v>
      </c>
      <c r="X6366">
        <v>2</v>
      </c>
      <c r="Y6366" t="s">
        <v>25892</v>
      </c>
      <c r="Z6366" t="s">
        <v>32497</v>
      </c>
      <c r="AA6366">
        <v>0.76687652860387512</v>
      </c>
      <c r="AB6366" t="str">
        <f>HYPERLINK("Melting_Curves/meltCurve_Q9UQ84_4_EXO1.pdf", "Melting_Curves/meltCurve_Q9UQ84_4_EXO1.pdf")</f>
        <v>Melting_Curves/meltCurve_Q9UQ84_4_EXO1.pdf</v>
      </c>
    </row>
    <row r="6367" spans="1:28" x14ac:dyDescent="0.25">
      <c r="A6367" t="s">
        <v>6370</v>
      </c>
      <c r="B6367">
        <v>0.99930955844802105</v>
      </c>
      <c r="C6367">
        <v>1.00013733109122</v>
      </c>
      <c r="D6367">
        <v>0.952804450645376</v>
      </c>
      <c r="E6367">
        <v>0.86433896322950199</v>
      </c>
      <c r="F6367">
        <v>0.70211159347997698</v>
      </c>
      <c r="G6367">
        <v>0.386096261891819</v>
      </c>
      <c r="H6367">
        <v>0.16219824194133101</v>
      </c>
      <c r="I6367">
        <v>0.13906945104922799</v>
      </c>
      <c r="J6367">
        <v>0.11695475702538401</v>
      </c>
      <c r="K6367">
        <v>9.1646864296870106E-2</v>
      </c>
      <c r="L6367">
        <v>1058.7137217954801</v>
      </c>
      <c r="M6367">
        <v>19.2989696216043</v>
      </c>
      <c r="N6367">
        <v>55.338861121554999</v>
      </c>
      <c r="O6367">
        <v>54.279730323187103</v>
      </c>
      <c r="P6367">
        <v>-8.2035523217054304E-2</v>
      </c>
      <c r="Q6367">
        <v>7.7111506561153703E-2</v>
      </c>
      <c r="R6367">
        <v>0.99846053134036905</v>
      </c>
      <c r="S6367" t="s">
        <v>12983</v>
      </c>
      <c r="T6367" t="s">
        <v>13232</v>
      </c>
      <c r="U6367" t="s">
        <v>13232</v>
      </c>
      <c r="V6367" t="s">
        <v>13232</v>
      </c>
      <c r="W6367" t="s">
        <v>19524</v>
      </c>
      <c r="X6367">
        <v>19</v>
      </c>
      <c r="Y6367" t="s">
        <v>25893</v>
      </c>
      <c r="Z6367" t="s">
        <v>32498</v>
      </c>
      <c r="AA6367">
        <v>0.5472102307764295</v>
      </c>
      <c r="AB6367" t="str">
        <f>HYPERLINK("Melting_Curves/meltCurve_Q9UQB8_3_BAIAP2.pdf", "Melting_Curves/meltCurve_Q9UQB8_3_BAIAP2.pdf")</f>
        <v>Melting_Curves/meltCurve_Q9UQB8_3_BAIAP2.pdf</v>
      </c>
    </row>
    <row r="6368" spans="1:28" x14ac:dyDescent="0.25">
      <c r="A6368" t="s">
        <v>6371</v>
      </c>
      <c r="B6368">
        <v>0.99930955844802105</v>
      </c>
      <c r="C6368">
        <v>1.09703798157966</v>
      </c>
      <c r="D6368">
        <v>1.09952563581197</v>
      </c>
      <c r="E6368">
        <v>1.08870970492703</v>
      </c>
      <c r="F6368">
        <v>0.93929208572138301</v>
      </c>
      <c r="G6368">
        <v>0.874487244910095</v>
      </c>
      <c r="H6368">
        <v>0.86233535956956298</v>
      </c>
      <c r="I6368">
        <v>0.90664192117184095</v>
      </c>
      <c r="J6368">
        <v>0.88717717150949804</v>
      </c>
      <c r="K6368">
        <v>0.75070698828573701</v>
      </c>
      <c r="L6368">
        <v>13266.591029409101</v>
      </c>
      <c r="M6368">
        <v>250</v>
      </c>
      <c r="O6368">
        <v>53.062968482419897</v>
      </c>
      <c r="P6368">
        <v>-0.16929210759350399</v>
      </c>
      <c r="Q6368">
        <v>0.85626973256005801</v>
      </c>
      <c r="R6368">
        <v>0.66159880543323102</v>
      </c>
      <c r="S6368" t="s">
        <v>12984</v>
      </c>
      <c r="T6368" t="s">
        <v>13232</v>
      </c>
      <c r="U6368" t="s">
        <v>13232</v>
      </c>
      <c r="V6368" t="s">
        <v>13232</v>
      </c>
      <c r="W6368" t="s">
        <v>19525</v>
      </c>
      <c r="X6368">
        <v>16</v>
      </c>
      <c r="Y6368" t="s">
        <v>25894</v>
      </c>
      <c r="Z6368" t="s">
        <v>32499</v>
      </c>
      <c r="AA6368">
        <v>0.91888418522215354</v>
      </c>
      <c r="AB6368" t="str">
        <f>HYPERLINK("Melting_Curves/meltCurve_Q9UQC2_2_GAB2.pdf", "Melting_Curves/meltCurve_Q9UQC2_2_GAB2.pdf")</f>
        <v>Melting_Curves/meltCurve_Q9UQC2_2_GAB2.pdf</v>
      </c>
    </row>
    <row r="6369" spans="1:28" x14ac:dyDescent="0.25">
      <c r="A6369" t="s">
        <v>6372</v>
      </c>
      <c r="B6369">
        <v>0.99930955844802105</v>
      </c>
      <c r="C6369">
        <v>0.67801267655188202</v>
      </c>
      <c r="D6369">
        <v>0.74774156144165005</v>
      </c>
      <c r="E6369">
        <v>0.78091383552105498</v>
      </c>
      <c r="F6369">
        <v>0.31688089085606802</v>
      </c>
      <c r="G6369">
        <v>0.176382713560433</v>
      </c>
      <c r="H6369">
        <v>9.7503545306877507E-2</v>
      </c>
      <c r="I6369">
        <v>7.3349793197552499E-2</v>
      </c>
      <c r="J6369">
        <v>6.4932709860413607E-2</v>
      </c>
      <c r="K6369">
        <v>4.7213465892053698E-2</v>
      </c>
      <c r="L6369">
        <v>573.35289225415795</v>
      </c>
      <c r="M6369">
        <v>11.2551562777762</v>
      </c>
      <c r="N6369">
        <v>50.941329532657498</v>
      </c>
      <c r="O6369">
        <v>49.412672161808203</v>
      </c>
      <c r="P6369">
        <v>-5.6962285549210699E-2</v>
      </c>
      <c r="Q6369">
        <v>0</v>
      </c>
      <c r="R6369">
        <v>0.90729721048191703</v>
      </c>
      <c r="S6369" t="s">
        <v>12985</v>
      </c>
      <c r="T6369" t="s">
        <v>13232</v>
      </c>
      <c r="U6369" t="s">
        <v>13232</v>
      </c>
      <c r="V6369" t="s">
        <v>13232</v>
      </c>
      <c r="W6369" t="s">
        <v>19526</v>
      </c>
      <c r="X6369">
        <v>60</v>
      </c>
      <c r="Y6369" t="s">
        <v>25895</v>
      </c>
      <c r="Z6369" t="s">
        <v>32500</v>
      </c>
      <c r="AA6369">
        <v>0.40052650443697679</v>
      </c>
      <c r="AB6369" t="str">
        <f>HYPERLINK("Melting_Curves/meltCurve_Q9UQE7_SMC3.pdf", "Melting_Curves/meltCurve_Q9UQE7_SMC3.pdf")</f>
        <v>Melting_Curves/meltCurve_Q9UQE7_SMC3.pdf</v>
      </c>
    </row>
    <row r="6370" spans="1:28" x14ac:dyDescent="0.25">
      <c r="A6370" t="s">
        <v>6373</v>
      </c>
      <c r="B6370">
        <v>0.99930955844802105</v>
      </c>
      <c r="C6370">
        <v>0.91959041668261898</v>
      </c>
      <c r="D6370">
        <v>0.86571240413355999</v>
      </c>
      <c r="E6370">
        <v>0.68336534621261102</v>
      </c>
      <c r="F6370">
        <v>0.471085789027893</v>
      </c>
      <c r="G6370">
        <v>0.336989011905729</v>
      </c>
      <c r="H6370">
        <v>0.26316167350442599</v>
      </c>
      <c r="I6370">
        <v>0.29113234278143302</v>
      </c>
      <c r="J6370">
        <v>0.28735391028847301</v>
      </c>
      <c r="K6370">
        <v>0.21438775153226799</v>
      </c>
      <c r="L6370">
        <v>796.55809205740695</v>
      </c>
      <c r="M6370">
        <v>15.7426921662368</v>
      </c>
      <c r="N6370">
        <v>52.742370273618498</v>
      </c>
      <c r="O6370">
        <v>49.803244949742101</v>
      </c>
      <c r="P6370">
        <v>-6.0354244337710299E-2</v>
      </c>
      <c r="Q6370">
        <v>0.236322238477155</v>
      </c>
      <c r="R6370">
        <v>0.99250440413250496</v>
      </c>
      <c r="S6370" t="s">
        <v>12986</v>
      </c>
      <c r="T6370" t="s">
        <v>13232</v>
      </c>
      <c r="U6370" t="s">
        <v>13232</v>
      </c>
      <c r="V6370" t="s">
        <v>13232</v>
      </c>
      <c r="W6370" t="s">
        <v>19527</v>
      </c>
      <c r="X6370">
        <v>15</v>
      </c>
      <c r="Y6370" t="s">
        <v>25896</v>
      </c>
      <c r="Z6370" t="s">
        <v>32501</v>
      </c>
      <c r="AA6370">
        <v>0.52256074999305513</v>
      </c>
      <c r="AB6370" t="str">
        <f>HYPERLINK("Melting_Curves/meltCurve_Q9UQL6_HDAC5.pdf", "Melting_Curves/meltCurve_Q9UQL6_HDAC5.pdf")</f>
        <v>Melting_Curves/meltCurve_Q9UQL6_HDAC5.pdf</v>
      </c>
    </row>
    <row r="6371" spans="1:28" x14ac:dyDescent="0.25">
      <c r="A6371" t="s">
        <v>6374</v>
      </c>
      <c r="B6371">
        <v>0.99930955844802105</v>
      </c>
      <c r="C6371">
        <v>0.88871141498646999</v>
      </c>
      <c r="D6371">
        <v>0.74678905948359497</v>
      </c>
      <c r="E6371">
        <v>0.579113357533935</v>
      </c>
      <c r="F6371">
        <v>0.45103594510245998</v>
      </c>
      <c r="G6371">
        <v>0.27604710698558399</v>
      </c>
      <c r="H6371">
        <v>0.173832592977575</v>
      </c>
      <c r="I6371">
        <v>0.15419695511797599</v>
      </c>
      <c r="J6371">
        <v>0.112104064230396</v>
      </c>
      <c r="K6371">
        <v>0.122451326776098</v>
      </c>
      <c r="L6371">
        <v>562.66511934433197</v>
      </c>
      <c r="M6371">
        <v>11.066431233786201</v>
      </c>
      <c r="N6371">
        <v>51.470229625966297</v>
      </c>
      <c r="O6371">
        <v>49.268736871441803</v>
      </c>
      <c r="P6371">
        <v>-5.26355510436931E-2</v>
      </c>
      <c r="Q6371">
        <v>6.2956597586749194E-2</v>
      </c>
      <c r="R6371">
        <v>0.99590650029079697</v>
      </c>
      <c r="S6371" t="s">
        <v>12987</v>
      </c>
      <c r="T6371" t="s">
        <v>13232</v>
      </c>
      <c r="U6371" t="s">
        <v>13232</v>
      </c>
      <c r="V6371" t="s">
        <v>13232</v>
      </c>
      <c r="W6371" t="s">
        <v>19528</v>
      </c>
      <c r="X6371">
        <v>8</v>
      </c>
      <c r="Y6371" t="s">
        <v>25897</v>
      </c>
      <c r="Z6371" t="s">
        <v>32502</v>
      </c>
      <c r="AA6371">
        <v>0.43625784611387458</v>
      </c>
      <c r="AB6371" t="str">
        <f>HYPERLINK("Melting_Curves/meltCurve_Q9UQQ2_SH2B3.pdf", "Melting_Curves/meltCurve_Q9UQQ2_SH2B3.pdf")</f>
        <v>Melting_Curves/meltCurve_Q9UQQ2_SH2B3.pdf</v>
      </c>
    </row>
    <row r="6372" spans="1:28" x14ac:dyDescent="0.25">
      <c r="A6372" t="s">
        <v>6375</v>
      </c>
      <c r="B6372">
        <v>0.99930955844802105</v>
      </c>
      <c r="C6372">
        <v>0.99024963388577203</v>
      </c>
      <c r="D6372">
        <v>0.84151001439907003</v>
      </c>
      <c r="E6372">
        <v>0.69365848245408701</v>
      </c>
      <c r="F6372">
        <v>0.41107248578235001</v>
      </c>
      <c r="G6372">
        <v>0.240282589664643</v>
      </c>
      <c r="H6372">
        <v>0.19470207281167801</v>
      </c>
      <c r="I6372">
        <v>0.20056054762282699</v>
      </c>
      <c r="J6372">
        <v>0.16641949532410699</v>
      </c>
      <c r="K6372">
        <v>0.14131911849269199</v>
      </c>
      <c r="L6372">
        <v>919.76072637001596</v>
      </c>
      <c r="M6372">
        <v>18.055394709378898</v>
      </c>
      <c r="N6372">
        <v>51.978396426992603</v>
      </c>
      <c r="O6372">
        <v>50.328495083935302</v>
      </c>
      <c r="P6372">
        <v>-7.6123719034325701E-2</v>
      </c>
      <c r="Q6372">
        <v>0.151277506099254</v>
      </c>
      <c r="R6372">
        <v>0.99372912320652995</v>
      </c>
      <c r="S6372" t="s">
        <v>12988</v>
      </c>
      <c r="T6372" t="s">
        <v>13232</v>
      </c>
      <c r="U6372" t="s">
        <v>13232</v>
      </c>
      <c r="V6372" t="s">
        <v>13232</v>
      </c>
      <c r="W6372" t="s">
        <v>19529</v>
      </c>
      <c r="X6372">
        <v>12</v>
      </c>
      <c r="Y6372" t="s">
        <v>25898</v>
      </c>
      <c r="Z6372" t="s">
        <v>32503</v>
      </c>
      <c r="AA6372">
        <v>0.47503883098057292</v>
      </c>
      <c r="AB6372" t="str">
        <f>HYPERLINK("Melting_Curves/meltCurve_Q9UQR0_SCML2.pdf", "Melting_Curves/meltCurve_Q9UQR0_SCML2.pdf")</f>
        <v>Melting_Curves/meltCurve_Q9UQR0_SCML2.pdf</v>
      </c>
    </row>
    <row r="6373" spans="1:28" x14ac:dyDescent="0.25">
      <c r="A6373" t="s">
        <v>6376</v>
      </c>
      <c r="B6373">
        <v>0.99930955844802105</v>
      </c>
      <c r="C6373">
        <v>1.0208406023549501</v>
      </c>
      <c r="D6373">
        <v>0.99842569962319505</v>
      </c>
      <c r="E6373">
        <v>0.96973600216824296</v>
      </c>
      <c r="F6373">
        <v>0.86222861603635503</v>
      </c>
      <c r="G6373">
        <v>0.71021910037344804</v>
      </c>
      <c r="H6373">
        <v>0.68104498016958404</v>
      </c>
      <c r="I6373">
        <v>0.73222559040401902</v>
      </c>
      <c r="J6373">
        <v>0.70157571366863503</v>
      </c>
      <c r="K6373">
        <v>0.59692785705636398</v>
      </c>
      <c r="L6373">
        <v>1692.92901236182</v>
      </c>
      <c r="M6373">
        <v>31.638861202395098</v>
      </c>
      <c r="O6373">
        <v>53.295498762735498</v>
      </c>
      <c r="P6373">
        <v>-4.8303584382988402E-2</v>
      </c>
      <c r="Q6373">
        <v>0.67453315889745302</v>
      </c>
      <c r="R6373">
        <v>0.95517791342290703</v>
      </c>
      <c r="S6373" t="s">
        <v>12989</v>
      </c>
      <c r="T6373" t="s">
        <v>13232</v>
      </c>
      <c r="U6373" t="s">
        <v>13232</v>
      </c>
      <c r="V6373" t="s">
        <v>13232</v>
      </c>
      <c r="W6373" t="s">
        <v>19530</v>
      </c>
      <c r="X6373">
        <v>10</v>
      </c>
      <c r="Y6373" t="s">
        <v>25899</v>
      </c>
      <c r="Z6373" t="s">
        <v>32504</v>
      </c>
      <c r="AA6373">
        <v>0.82299429842420124</v>
      </c>
      <c r="AB6373" t="str">
        <f>HYPERLINK("Melting_Curves/meltCurve_Q9UQR1_ZNF148.pdf", "Melting_Curves/meltCurve_Q9UQR1_ZNF148.pdf")</f>
        <v>Melting_Curves/meltCurve_Q9UQR1_ZNF148.pdf</v>
      </c>
    </row>
    <row r="6374" spans="1:28" x14ac:dyDescent="0.25">
      <c r="A6374" t="s">
        <v>6377</v>
      </c>
      <c r="B6374">
        <v>0.99930955844802105</v>
      </c>
      <c r="C6374">
        <v>1.0169867225168701</v>
      </c>
      <c r="D6374">
        <v>0.96190088521670103</v>
      </c>
      <c r="E6374">
        <v>0.56243966039322901</v>
      </c>
      <c r="F6374">
        <v>0.24775748058052999</v>
      </c>
      <c r="G6374">
        <v>0.16957545657294201</v>
      </c>
      <c r="H6374">
        <v>0.120042171041854</v>
      </c>
      <c r="I6374">
        <v>0.117912768762343</v>
      </c>
      <c r="J6374">
        <v>0.111696488723962</v>
      </c>
      <c r="K6374">
        <v>8.2896721700472395E-2</v>
      </c>
      <c r="L6374">
        <v>1567.0165611945899</v>
      </c>
      <c r="M6374">
        <v>31.290540378887599</v>
      </c>
      <c r="N6374">
        <v>50.500859921104301</v>
      </c>
      <c r="O6374">
        <v>49.876346669912103</v>
      </c>
      <c r="P6374">
        <v>-0.138824416128665</v>
      </c>
      <c r="Q6374">
        <v>0.114874094005565</v>
      </c>
      <c r="R6374">
        <v>0.997981757501751</v>
      </c>
      <c r="S6374" t="s">
        <v>12990</v>
      </c>
      <c r="T6374" t="s">
        <v>13232</v>
      </c>
      <c r="U6374" t="s">
        <v>13232</v>
      </c>
      <c r="V6374" t="s">
        <v>13232</v>
      </c>
      <c r="W6374" t="s">
        <v>19531</v>
      </c>
      <c r="X6374">
        <v>16</v>
      </c>
      <c r="Y6374" t="s">
        <v>25900</v>
      </c>
      <c r="Z6374" t="s">
        <v>32505</v>
      </c>
      <c r="AA6374">
        <v>0.41729763293217381</v>
      </c>
      <c r="AB6374" t="str">
        <f>HYPERLINK("Melting_Curves/meltCurve_Q9Y217_MTMR6.pdf", "Melting_Curves/meltCurve_Q9Y217_MTMR6.pdf")</f>
        <v>Melting_Curves/meltCurve_Q9Y217_MTMR6.pdf</v>
      </c>
    </row>
    <row r="6375" spans="1:28" x14ac:dyDescent="0.25">
      <c r="A6375" t="s">
        <v>6378</v>
      </c>
      <c r="B6375">
        <v>0.99930955844802105</v>
      </c>
      <c r="C6375">
        <v>1.0751973898921401</v>
      </c>
      <c r="D6375">
        <v>1.0162518982975299</v>
      </c>
      <c r="E6375">
        <v>0.98061604457763296</v>
      </c>
      <c r="F6375">
        <v>0.68210160298813804</v>
      </c>
      <c r="G6375">
        <v>0.30674879423059098</v>
      </c>
      <c r="H6375">
        <v>0.174120284205629</v>
      </c>
      <c r="I6375">
        <v>0.162720677256941</v>
      </c>
      <c r="J6375">
        <v>0.13328114628112001</v>
      </c>
      <c r="K6375">
        <v>8.7226784202260793E-2</v>
      </c>
      <c r="L6375">
        <v>1606.7771341037201</v>
      </c>
      <c r="M6375">
        <v>29.631236165304699</v>
      </c>
      <c r="N6375">
        <v>54.777290220119099</v>
      </c>
      <c r="O6375">
        <v>53.980608169422297</v>
      </c>
      <c r="P6375">
        <v>-0.119532833036471</v>
      </c>
      <c r="Q6375">
        <v>0.12897176074046199</v>
      </c>
      <c r="R6375">
        <v>0.99283320036745404</v>
      </c>
      <c r="S6375" t="s">
        <v>12991</v>
      </c>
      <c r="T6375" t="s">
        <v>13232</v>
      </c>
      <c r="U6375" t="s">
        <v>13232</v>
      </c>
      <c r="V6375" t="s">
        <v>13232</v>
      </c>
      <c r="W6375" t="s">
        <v>19532</v>
      </c>
      <c r="X6375">
        <v>4</v>
      </c>
      <c r="Y6375" t="s">
        <v>25901</v>
      </c>
      <c r="Z6375" t="s">
        <v>32506</v>
      </c>
      <c r="AA6375">
        <v>0.54788085325823888</v>
      </c>
      <c r="AB6375" t="str">
        <f>HYPERLINK("Melting_Curves/meltCurve_Q9Y221_2_NIP7.pdf", "Melting_Curves/meltCurve_Q9Y221_2_NIP7.pdf")</f>
        <v>Melting_Curves/meltCurve_Q9Y221_2_NIP7.pdf</v>
      </c>
    </row>
    <row r="6376" spans="1:28" x14ac:dyDescent="0.25">
      <c r="A6376" t="s">
        <v>6379</v>
      </c>
      <c r="B6376">
        <v>0.99930955844802105</v>
      </c>
      <c r="C6376">
        <v>0.85468494724305999</v>
      </c>
      <c r="D6376">
        <v>0.81358587263471704</v>
      </c>
      <c r="E6376">
        <v>0.92821524202979699</v>
      </c>
      <c r="F6376">
        <v>0.66942317100654103</v>
      </c>
      <c r="G6376">
        <v>0.528493122935353</v>
      </c>
      <c r="H6376">
        <v>0.72792987115242003</v>
      </c>
      <c r="I6376">
        <v>0.57183367882095204</v>
      </c>
      <c r="J6376">
        <v>0.527788843926289</v>
      </c>
      <c r="K6376">
        <v>0.42332804426936799</v>
      </c>
      <c r="L6376">
        <v>266.85194980409398</v>
      </c>
      <c r="M6376">
        <v>4.0742925359203301</v>
      </c>
      <c r="N6376">
        <v>67.676521709544403</v>
      </c>
      <c r="O6376">
        <v>54.080987824159699</v>
      </c>
      <c r="P6376">
        <v>-1.7890109163004202E-2</v>
      </c>
      <c r="Q6376">
        <v>6.14972131696103E-2</v>
      </c>
      <c r="R6376">
        <v>0.78794446355254699</v>
      </c>
      <c r="S6376" t="s">
        <v>12992</v>
      </c>
      <c r="T6376" t="s">
        <v>13232</v>
      </c>
      <c r="U6376" t="s">
        <v>13232</v>
      </c>
      <c r="V6376" t="s">
        <v>13232</v>
      </c>
      <c r="W6376" t="s">
        <v>19533</v>
      </c>
      <c r="X6376">
        <v>3</v>
      </c>
      <c r="Y6376" t="s">
        <v>25902</v>
      </c>
      <c r="Z6376" t="s">
        <v>32507</v>
      </c>
      <c r="AA6376">
        <v>0.704891042922698</v>
      </c>
      <c r="AB6376" t="str">
        <f>HYPERLINK("Melting_Curves/meltCurve_Q9Y222_5_DMTF1.pdf", "Melting_Curves/meltCurve_Q9Y222_5_DMTF1.pdf")</f>
        <v>Melting_Curves/meltCurve_Q9Y222_5_DMTF1.pdf</v>
      </c>
    </row>
    <row r="6377" spans="1:28" x14ac:dyDescent="0.25">
      <c r="A6377" t="s">
        <v>6380</v>
      </c>
      <c r="B6377">
        <v>0.99930955844802105</v>
      </c>
      <c r="C6377">
        <v>0.83705337277543801</v>
      </c>
      <c r="D6377">
        <v>0.86879161627258294</v>
      </c>
      <c r="E6377">
        <v>0.82165697207257604</v>
      </c>
      <c r="F6377">
        <v>0.29511190140485499</v>
      </c>
      <c r="G6377">
        <v>0.149870836344941</v>
      </c>
      <c r="H6377">
        <v>9.2260273762739903E-2</v>
      </c>
      <c r="I6377">
        <v>8.3601743190812705E-2</v>
      </c>
      <c r="J6377">
        <v>7.4458289418336002E-2</v>
      </c>
      <c r="K6377">
        <v>5.8848803254227797E-2</v>
      </c>
      <c r="L6377">
        <v>2105.2863236980702</v>
      </c>
      <c r="M6377">
        <v>40.824101153281902</v>
      </c>
      <c r="N6377">
        <v>51.8075810271677</v>
      </c>
      <c r="O6377">
        <v>51.446435558338898</v>
      </c>
      <c r="P6377">
        <v>-0.18142690880925499</v>
      </c>
      <c r="Q6377">
        <v>8.5467100934622994E-2</v>
      </c>
      <c r="R6377">
        <v>0.96800408703568097</v>
      </c>
      <c r="S6377" t="s">
        <v>12993</v>
      </c>
      <c r="T6377" t="s">
        <v>13232</v>
      </c>
      <c r="U6377" t="s">
        <v>13232</v>
      </c>
      <c r="V6377" t="s">
        <v>13232</v>
      </c>
      <c r="W6377" t="s">
        <v>19534</v>
      </c>
      <c r="X6377">
        <v>22</v>
      </c>
      <c r="Y6377" t="s">
        <v>25903</v>
      </c>
      <c r="Z6377" t="s">
        <v>32508</v>
      </c>
      <c r="AA6377">
        <v>0.44129058211422439</v>
      </c>
      <c r="AB6377" t="str">
        <f>HYPERLINK("Melting_Curves/meltCurve_Q9Y223_GNE.pdf", "Melting_Curves/meltCurve_Q9Y223_GNE.pdf")</f>
        <v>Melting_Curves/meltCurve_Q9Y223_GNE.pdf</v>
      </c>
    </row>
    <row r="6378" spans="1:28" x14ac:dyDescent="0.25">
      <c r="A6378" t="s">
        <v>6381</v>
      </c>
      <c r="B6378">
        <v>0.99930955844802105</v>
      </c>
      <c r="C6378">
        <v>1.0041990868734101</v>
      </c>
      <c r="D6378">
        <v>0.94940450483397199</v>
      </c>
      <c r="E6378">
        <v>0.79059899180087201</v>
      </c>
      <c r="F6378">
        <v>0.461018940674914</v>
      </c>
      <c r="G6378">
        <v>0.37414612504553202</v>
      </c>
      <c r="H6378">
        <v>0.19381339882910401</v>
      </c>
      <c r="I6378">
        <v>0.120378211643643</v>
      </c>
      <c r="J6378">
        <v>9.1557794694885106E-2</v>
      </c>
      <c r="K6378">
        <v>6.4391995721179193E-2</v>
      </c>
      <c r="L6378">
        <v>821.87252607538505</v>
      </c>
      <c r="M6378">
        <v>15.4112268662305</v>
      </c>
      <c r="N6378">
        <v>53.766145967405301</v>
      </c>
      <c r="O6378">
        <v>52.455744247438901</v>
      </c>
      <c r="P6378">
        <v>-6.9134337320265901E-2</v>
      </c>
      <c r="Q6378">
        <v>5.8825663827171797E-2</v>
      </c>
      <c r="R6378">
        <v>0.98901796918153195</v>
      </c>
      <c r="S6378" t="s">
        <v>12994</v>
      </c>
      <c r="T6378" t="s">
        <v>13232</v>
      </c>
      <c r="U6378" t="s">
        <v>13232</v>
      </c>
      <c r="V6378" t="s">
        <v>13232</v>
      </c>
      <c r="W6378" t="s">
        <v>19535</v>
      </c>
      <c r="X6378">
        <v>17</v>
      </c>
      <c r="Y6378" t="s">
        <v>25904</v>
      </c>
      <c r="Z6378" t="s">
        <v>32509</v>
      </c>
      <c r="AA6378">
        <v>0.49624535508070611</v>
      </c>
      <c r="AB6378" t="str">
        <f>HYPERLINK("Melting_Curves/meltCurve_Q9Y224_C14orf166.pdf", "Melting_Curves/meltCurve_Q9Y224_C14orf166.pdf")</f>
        <v>Melting_Curves/meltCurve_Q9Y224_C14orf166.pdf</v>
      </c>
    </row>
    <row r="6379" spans="1:28" x14ac:dyDescent="0.25">
      <c r="A6379" t="s">
        <v>6382</v>
      </c>
      <c r="B6379">
        <v>0.99930955844802105</v>
      </c>
      <c r="C6379">
        <v>0.66178289280045299</v>
      </c>
      <c r="D6379">
        <v>0.75417294858998496</v>
      </c>
      <c r="E6379">
        <v>0.83691270869627998</v>
      </c>
      <c r="F6379">
        <v>0.77629204587776701</v>
      </c>
      <c r="G6379">
        <v>0.63368848303755798</v>
      </c>
      <c r="H6379">
        <v>0.14040062913027099</v>
      </c>
      <c r="I6379">
        <v>0.10375756560822</v>
      </c>
      <c r="J6379">
        <v>8.0503430460167599E-2</v>
      </c>
      <c r="K6379">
        <v>6.4000848169587995E-2</v>
      </c>
      <c r="L6379">
        <v>822.82094464547401</v>
      </c>
      <c r="M6379">
        <v>14.5143345355158</v>
      </c>
      <c r="N6379">
        <v>56.690252813252599</v>
      </c>
      <c r="O6379">
        <v>55.646699623878902</v>
      </c>
      <c r="P6379">
        <v>-6.5215024207673097E-2</v>
      </c>
      <c r="Q6379">
        <v>0</v>
      </c>
      <c r="R6379">
        <v>0.83420800685131402</v>
      </c>
      <c r="S6379" t="s">
        <v>12995</v>
      </c>
      <c r="T6379" t="s">
        <v>13232</v>
      </c>
      <c r="U6379" t="s">
        <v>13232</v>
      </c>
      <c r="V6379" t="s">
        <v>13232</v>
      </c>
      <c r="W6379" t="s">
        <v>19536</v>
      </c>
      <c r="X6379">
        <v>32</v>
      </c>
      <c r="Y6379" t="s">
        <v>25905</v>
      </c>
      <c r="Z6379" t="s">
        <v>32510</v>
      </c>
      <c r="AA6379">
        <v>0.57314553753183428</v>
      </c>
      <c r="AB6379" t="str">
        <f>HYPERLINK("Melting_Curves/meltCurve_Q9Y230_RUVBL2.pdf", "Melting_Curves/meltCurve_Q9Y230_RUVBL2.pdf")</f>
        <v>Melting_Curves/meltCurve_Q9Y230_RUVBL2.pdf</v>
      </c>
    </row>
    <row r="6380" spans="1:28" x14ac:dyDescent="0.25">
      <c r="A6380" t="s">
        <v>6383</v>
      </c>
      <c r="B6380">
        <v>0.99930955844802105</v>
      </c>
      <c r="C6380">
        <v>0.96200372501584397</v>
      </c>
      <c r="D6380">
        <v>0.95110808809716196</v>
      </c>
      <c r="E6380">
        <v>0.97727407359741902</v>
      </c>
      <c r="F6380">
        <v>0.97485640661267903</v>
      </c>
      <c r="G6380">
        <v>0.71277645861566796</v>
      </c>
      <c r="H6380">
        <v>0.59916609921567598</v>
      </c>
      <c r="I6380">
        <v>0.60964937043480605</v>
      </c>
      <c r="J6380">
        <v>0.62242266746011299</v>
      </c>
      <c r="K6380">
        <v>0.45972689933135902</v>
      </c>
      <c r="L6380">
        <v>2061.9460901942998</v>
      </c>
      <c r="M6380">
        <v>36.7172580517828</v>
      </c>
      <c r="O6380">
        <v>55.991609145596399</v>
      </c>
      <c r="P6380">
        <v>-7.1495394501234599E-2</v>
      </c>
      <c r="Q6380">
        <v>0.56389657501766499</v>
      </c>
      <c r="R6380">
        <v>0.94565199874276096</v>
      </c>
      <c r="S6380" t="s">
        <v>12996</v>
      </c>
      <c r="T6380" t="s">
        <v>13232</v>
      </c>
      <c r="U6380" t="s">
        <v>13232</v>
      </c>
      <c r="V6380" t="s">
        <v>13232</v>
      </c>
      <c r="W6380" t="s">
        <v>19537</v>
      </c>
      <c r="X6380">
        <v>13</v>
      </c>
      <c r="Y6380" t="s">
        <v>25906</v>
      </c>
      <c r="Z6380" t="s">
        <v>32511</v>
      </c>
      <c r="AA6380">
        <v>0.80076021703060196</v>
      </c>
      <c r="AB6380" t="str">
        <f>HYPERLINK("Melting_Curves/meltCurve_Q9Y232_2_CDYL.pdf", "Melting_Curves/meltCurve_Q9Y232_2_CDYL.pdf")</f>
        <v>Melting_Curves/meltCurve_Q9Y232_2_CDYL.pdf</v>
      </c>
    </row>
    <row r="6381" spans="1:28" x14ac:dyDescent="0.25">
      <c r="A6381" t="s">
        <v>6384</v>
      </c>
      <c r="B6381">
        <v>0.99930955844802105</v>
      </c>
      <c r="C6381">
        <v>1.1494648433046799</v>
      </c>
      <c r="D6381">
        <v>1.1703497910098399</v>
      </c>
      <c r="E6381">
        <v>1.4674305810096</v>
      </c>
      <c r="F6381">
        <v>1.4152463839334</v>
      </c>
      <c r="G6381">
        <v>1.70041078563828</v>
      </c>
      <c r="H6381">
        <v>2.6089945217194099</v>
      </c>
      <c r="I6381">
        <v>3.2717772950471602</v>
      </c>
      <c r="J6381">
        <v>4.5164505499237499</v>
      </c>
      <c r="K6381">
        <v>3.0906406279110801</v>
      </c>
      <c r="L6381">
        <v>1385.13432719087</v>
      </c>
      <c r="M6381">
        <v>29.824967320850298</v>
      </c>
      <c r="O6381">
        <v>46.234819639853598</v>
      </c>
      <c r="P6381">
        <v>8.0635023495612801E-2</v>
      </c>
      <c r="Q6381">
        <v>1.5</v>
      </c>
      <c r="R6381">
        <v>-0.29048403493821601</v>
      </c>
      <c r="S6381" t="s">
        <v>12997</v>
      </c>
      <c r="T6381" t="s">
        <v>13232</v>
      </c>
      <c r="U6381" t="s">
        <v>13232</v>
      </c>
      <c r="V6381" t="s">
        <v>13232</v>
      </c>
      <c r="W6381" t="s">
        <v>19538</v>
      </c>
      <c r="X6381">
        <v>2</v>
      </c>
      <c r="Y6381" t="s">
        <v>25906</v>
      </c>
      <c r="Z6381" t="s">
        <v>32512</v>
      </c>
      <c r="AA6381">
        <v>1.389576708403506</v>
      </c>
      <c r="AB6381" t="str">
        <f>HYPERLINK("Melting_Curves/meltCurve_Q9Y232_3_CDYL.pdf", "Melting_Curves/meltCurve_Q9Y232_3_CDYL.pdf")</f>
        <v>Melting_Curves/meltCurve_Q9Y232_3_CDYL.pdf</v>
      </c>
    </row>
    <row r="6382" spans="1:28" x14ac:dyDescent="0.25">
      <c r="A6382" t="s">
        <v>6385</v>
      </c>
      <c r="B6382">
        <v>0.99930955844802105</v>
      </c>
      <c r="C6382">
        <v>1.2021478013393501</v>
      </c>
      <c r="D6382">
        <v>1.2491502006420101</v>
      </c>
      <c r="E6382">
        <v>1.1334440704194999</v>
      </c>
      <c r="F6382">
        <v>0.98475060120624203</v>
      </c>
      <c r="G6382">
        <v>0.79006129913091006</v>
      </c>
      <c r="H6382">
        <v>0.58021482422738002</v>
      </c>
      <c r="I6382">
        <v>0.50831026058610296</v>
      </c>
      <c r="J6382">
        <v>0.45653203599127801</v>
      </c>
      <c r="K6382">
        <v>0.37870285589623398</v>
      </c>
      <c r="L6382">
        <v>1501.1950863700699</v>
      </c>
      <c r="M6382">
        <v>25.526050093209498</v>
      </c>
      <c r="N6382">
        <v>63.082774316272697</v>
      </c>
      <c r="O6382">
        <v>58.452934989883701</v>
      </c>
      <c r="P6382">
        <v>-6.4276330221632996E-2</v>
      </c>
      <c r="Q6382">
        <v>0.41125342504625401</v>
      </c>
      <c r="R6382">
        <v>0.868872117516162</v>
      </c>
      <c r="S6382" t="s">
        <v>12998</v>
      </c>
      <c r="T6382" t="s">
        <v>13232</v>
      </c>
      <c r="U6382" t="s">
        <v>13232</v>
      </c>
      <c r="V6382" t="s">
        <v>13232</v>
      </c>
      <c r="W6382" t="s">
        <v>19539</v>
      </c>
      <c r="X6382">
        <v>6</v>
      </c>
      <c r="Y6382" t="s">
        <v>25907</v>
      </c>
      <c r="Z6382" t="s">
        <v>32513</v>
      </c>
      <c r="AA6382">
        <v>0.78516962680574975</v>
      </c>
      <c r="AB6382" t="str">
        <f>HYPERLINK("Melting_Curves/meltCurve_Q9Y237_PIN4.pdf", "Melting_Curves/meltCurve_Q9Y237_PIN4.pdf")</f>
        <v>Melting_Curves/meltCurve_Q9Y237_PIN4.pdf</v>
      </c>
    </row>
    <row r="6383" spans="1:28" x14ac:dyDescent="0.25">
      <c r="A6383" t="s">
        <v>6386</v>
      </c>
      <c r="B6383">
        <v>0.99930955844802105</v>
      </c>
      <c r="C6383">
        <v>0.79057301688133796</v>
      </c>
      <c r="D6383">
        <v>0.90605337310853096</v>
      </c>
      <c r="E6383">
        <v>0.85917006943722196</v>
      </c>
      <c r="F6383">
        <v>0.60408079184893204</v>
      </c>
      <c r="G6383">
        <v>0.34611912733650202</v>
      </c>
      <c r="H6383">
        <v>0.20241120282873701</v>
      </c>
      <c r="I6383">
        <v>0.15952191756829801</v>
      </c>
      <c r="J6383">
        <v>0.154231195076698</v>
      </c>
      <c r="K6383">
        <v>0.144134134600366</v>
      </c>
      <c r="L6383">
        <v>870.49265282295801</v>
      </c>
      <c r="M6383">
        <v>16.186791451689398</v>
      </c>
      <c r="N6383">
        <v>54.585594749443203</v>
      </c>
      <c r="O6383">
        <v>52.977249365773801</v>
      </c>
      <c r="P6383">
        <v>-6.8256576537949906E-2</v>
      </c>
      <c r="Q6383">
        <v>0.106487447261044</v>
      </c>
      <c r="R6383">
        <v>0.95981608716429301</v>
      </c>
      <c r="S6383" t="s">
        <v>12999</v>
      </c>
      <c r="T6383" t="s">
        <v>13232</v>
      </c>
      <c r="U6383" t="s">
        <v>13232</v>
      </c>
      <c r="V6383" t="s">
        <v>13232</v>
      </c>
      <c r="W6383" t="s">
        <v>19540</v>
      </c>
      <c r="X6383">
        <v>9</v>
      </c>
      <c r="Y6383" t="s">
        <v>25908</v>
      </c>
      <c r="Z6383" t="s">
        <v>32514</v>
      </c>
      <c r="AA6383">
        <v>0.53361236470766482</v>
      </c>
      <c r="AB6383" t="str">
        <f>HYPERLINK("Melting_Curves/meltCurve_Q9Y244_POMP.pdf", "Melting_Curves/meltCurve_Q9Y244_POMP.pdf")</f>
        <v>Melting_Curves/meltCurve_Q9Y244_POMP.pdf</v>
      </c>
    </row>
    <row r="6384" spans="1:28" x14ac:dyDescent="0.25">
      <c r="A6384" t="s">
        <v>6387</v>
      </c>
      <c r="B6384">
        <v>0.99930955844802105</v>
      </c>
      <c r="C6384">
        <v>1.0236221264968699</v>
      </c>
      <c r="D6384">
        <v>0.955854189785596</v>
      </c>
      <c r="E6384">
        <v>0.72173203292342603</v>
      </c>
      <c r="F6384">
        <v>0.22869363647531701</v>
      </c>
      <c r="G6384">
        <v>0.13404251768365999</v>
      </c>
      <c r="H6384">
        <v>8.4515198205143305E-2</v>
      </c>
      <c r="I6384">
        <v>7.6744279014597294E-2</v>
      </c>
      <c r="J6384">
        <v>6.53920710008489E-2</v>
      </c>
      <c r="K6384">
        <v>5.8211890895658501E-2</v>
      </c>
      <c r="L6384">
        <v>2068.6416252726599</v>
      </c>
      <c r="M6384">
        <v>40.5748952200167</v>
      </c>
      <c r="N6384">
        <v>51.200873493991203</v>
      </c>
      <c r="O6384">
        <v>50.859916840628799</v>
      </c>
      <c r="P6384">
        <v>-0.18365055767319199</v>
      </c>
      <c r="Q6384">
        <v>7.9190840138577495E-2</v>
      </c>
      <c r="R6384">
        <v>0.99742677134334901</v>
      </c>
      <c r="S6384" t="s">
        <v>13000</v>
      </c>
      <c r="T6384" t="s">
        <v>13232</v>
      </c>
      <c r="U6384" t="s">
        <v>13232</v>
      </c>
      <c r="V6384" t="s">
        <v>13232</v>
      </c>
      <c r="W6384" t="s">
        <v>19541</v>
      </c>
      <c r="X6384">
        <v>5</v>
      </c>
      <c r="Y6384" t="s">
        <v>25909</v>
      </c>
      <c r="Z6384" t="s">
        <v>32515</v>
      </c>
      <c r="AA6384">
        <v>0.41946085909883418</v>
      </c>
      <c r="AB6384" t="str">
        <f>HYPERLINK("Melting_Curves/meltCurve_Q9Y248_GINS2.pdf", "Melting_Curves/meltCurve_Q9Y248_GINS2.pdf")</f>
        <v>Melting_Curves/meltCurve_Q9Y248_GINS2.pdf</v>
      </c>
    </row>
    <row r="6385" spans="1:28" x14ac:dyDescent="0.25">
      <c r="A6385" t="s">
        <v>6388</v>
      </c>
      <c r="B6385">
        <v>0.99930955844802105</v>
      </c>
      <c r="C6385">
        <v>1.0768069057649301</v>
      </c>
      <c r="D6385">
        <v>0.95819829932759204</v>
      </c>
      <c r="E6385">
        <v>1.0072781572722</v>
      </c>
      <c r="F6385">
        <v>0.76090918283627695</v>
      </c>
      <c r="G6385">
        <v>0.71422455307148303</v>
      </c>
      <c r="H6385">
        <v>0.44784805398827998</v>
      </c>
      <c r="I6385">
        <v>0.25527200822997798</v>
      </c>
      <c r="J6385">
        <v>0.206783549541114</v>
      </c>
      <c r="K6385">
        <v>0.164049244960948</v>
      </c>
      <c r="L6385">
        <v>860.77292569971598</v>
      </c>
      <c r="M6385">
        <v>14.5116445893629</v>
      </c>
      <c r="N6385">
        <v>59.7963992512706</v>
      </c>
      <c r="O6385">
        <v>58.223755381070298</v>
      </c>
      <c r="P6385">
        <v>-5.8888217797792797E-2</v>
      </c>
      <c r="Q6385">
        <v>5.5021258949726398E-2</v>
      </c>
      <c r="R6385">
        <v>0.97787543181909198</v>
      </c>
      <c r="S6385" t="s">
        <v>13001</v>
      </c>
      <c r="T6385" t="s">
        <v>13232</v>
      </c>
      <c r="U6385" t="s">
        <v>13232</v>
      </c>
      <c r="V6385" t="s">
        <v>13232</v>
      </c>
      <c r="W6385" t="s">
        <v>19542</v>
      </c>
      <c r="X6385">
        <v>7</v>
      </c>
      <c r="Y6385" t="s">
        <v>25910</v>
      </c>
      <c r="Z6385" t="s">
        <v>32516</v>
      </c>
      <c r="AA6385">
        <v>0.67210426271717139</v>
      </c>
      <c r="AB6385" t="str">
        <f>HYPERLINK("Melting_Curves/meltCurve_Q9Y259_CHKB.pdf", "Melting_Curves/meltCurve_Q9Y259_CHKB.pdf")</f>
        <v>Melting_Curves/meltCurve_Q9Y259_CHKB.pdf</v>
      </c>
    </row>
    <row r="6386" spans="1:28" x14ac:dyDescent="0.25">
      <c r="A6386" t="s">
        <v>6389</v>
      </c>
      <c r="B6386">
        <v>0.99930955844802105</v>
      </c>
      <c r="C6386">
        <v>0.72093409627571303</v>
      </c>
      <c r="D6386">
        <v>0.85991864210275504</v>
      </c>
      <c r="E6386">
        <v>0.97011180189659096</v>
      </c>
      <c r="F6386">
        <v>0.42379073017524599</v>
      </c>
      <c r="G6386">
        <v>0.17091343806704601</v>
      </c>
      <c r="H6386">
        <v>8.9909636543029497E-2</v>
      </c>
      <c r="I6386">
        <v>7.0020681974912402E-2</v>
      </c>
      <c r="J6386">
        <v>5.74367772107841E-2</v>
      </c>
      <c r="K6386">
        <v>4.7331301816780601E-2</v>
      </c>
      <c r="L6386">
        <v>2873.8336940252102</v>
      </c>
      <c r="M6386">
        <v>54.704791140084097</v>
      </c>
      <c r="N6386">
        <v>52.709304904121801</v>
      </c>
      <c r="O6386">
        <v>52.463430374606503</v>
      </c>
      <c r="P6386">
        <v>-0.23893865434676201</v>
      </c>
      <c r="Q6386">
        <v>8.3405038359415706E-2</v>
      </c>
      <c r="R6386">
        <v>0.92853585679400197</v>
      </c>
      <c r="S6386" t="s">
        <v>13002</v>
      </c>
      <c r="T6386" t="s">
        <v>13232</v>
      </c>
      <c r="U6386" t="s">
        <v>13232</v>
      </c>
      <c r="V6386" t="s">
        <v>13232</v>
      </c>
      <c r="W6386" t="s">
        <v>19543</v>
      </c>
      <c r="X6386">
        <v>18</v>
      </c>
      <c r="Y6386" t="s">
        <v>25911</v>
      </c>
      <c r="Z6386" t="s">
        <v>32517</v>
      </c>
      <c r="AA6386">
        <v>0.46811554843224817</v>
      </c>
      <c r="AB6386" t="str">
        <f>HYPERLINK("Melting_Curves/meltCurve_Q9Y262_EIF3L.pdf", "Melting_Curves/meltCurve_Q9Y262_EIF3L.pdf")</f>
        <v>Melting_Curves/meltCurve_Q9Y262_EIF3L.pdf</v>
      </c>
    </row>
    <row r="6387" spans="1:28" x14ac:dyDescent="0.25">
      <c r="A6387" t="s">
        <v>6390</v>
      </c>
      <c r="B6387">
        <v>0.99930955844802105</v>
      </c>
      <c r="C6387">
        <v>1.04569679559534</v>
      </c>
      <c r="D6387">
        <v>1.0228093034667101</v>
      </c>
      <c r="E6387">
        <v>0.87111859442349604</v>
      </c>
      <c r="F6387">
        <v>0.41193400415868903</v>
      </c>
      <c r="G6387">
        <v>0.218763350645583</v>
      </c>
      <c r="H6387">
        <v>9.7317155977968695E-2</v>
      </c>
      <c r="I6387">
        <v>8.3944393549762603E-2</v>
      </c>
      <c r="J6387">
        <v>7.3089178546790506E-2</v>
      </c>
      <c r="K6387">
        <v>5.5293938003917999E-2</v>
      </c>
      <c r="L6387">
        <v>1766.97191506171</v>
      </c>
      <c r="M6387">
        <v>33.769806213111998</v>
      </c>
      <c r="N6387">
        <v>52.628462714370698</v>
      </c>
      <c r="O6387">
        <v>52.141554097411301</v>
      </c>
      <c r="P6387">
        <v>-0.147549198004466</v>
      </c>
      <c r="Q6387">
        <v>8.8722849159950004E-2</v>
      </c>
      <c r="R6387">
        <v>0.992912851735264</v>
      </c>
      <c r="S6387" t="s">
        <v>13003</v>
      </c>
      <c r="T6387" t="s">
        <v>13232</v>
      </c>
      <c r="U6387" t="s">
        <v>13232</v>
      </c>
      <c r="V6387" t="s">
        <v>13232</v>
      </c>
      <c r="W6387" t="s">
        <v>19544</v>
      </c>
      <c r="X6387">
        <v>38</v>
      </c>
      <c r="Y6387" t="s">
        <v>25912</v>
      </c>
      <c r="Z6387" t="s">
        <v>32518</v>
      </c>
      <c r="AA6387">
        <v>0.46770092079795672</v>
      </c>
      <c r="AB6387" t="str">
        <f>HYPERLINK("Melting_Curves/meltCurve_Q9Y263_PLAA.pdf", "Melting_Curves/meltCurve_Q9Y263_PLAA.pdf")</f>
        <v>Melting_Curves/meltCurve_Q9Y263_PLAA.pdf</v>
      </c>
    </row>
    <row r="6388" spans="1:28" x14ac:dyDescent="0.25">
      <c r="A6388" t="s">
        <v>6391</v>
      </c>
      <c r="B6388">
        <v>0.99930955844802105</v>
      </c>
      <c r="C6388">
        <v>0.67587128020745302</v>
      </c>
      <c r="D6388">
        <v>0.73233748019682898</v>
      </c>
      <c r="E6388">
        <v>0.87850564564552902</v>
      </c>
      <c r="F6388">
        <v>0.79920835882762098</v>
      </c>
      <c r="G6388">
        <v>0.65019424726115105</v>
      </c>
      <c r="H6388">
        <v>0.137268965991029</v>
      </c>
      <c r="I6388">
        <v>8.5899893544870098E-2</v>
      </c>
      <c r="J6388">
        <v>5.8956770455922999E-2</v>
      </c>
      <c r="K6388">
        <v>4.5099559889856498E-2</v>
      </c>
      <c r="L6388">
        <v>1096.71068147187</v>
      </c>
      <c r="M6388">
        <v>19.1417692567308</v>
      </c>
      <c r="N6388">
        <v>57.294113861388198</v>
      </c>
      <c r="O6388">
        <v>56.6797904053536</v>
      </c>
      <c r="P6388">
        <v>-8.4432696878652805E-2</v>
      </c>
      <c r="Q6388">
        <v>0</v>
      </c>
      <c r="R6388">
        <v>0.84318509526233398</v>
      </c>
      <c r="S6388" t="s">
        <v>13004</v>
      </c>
      <c r="T6388" t="s">
        <v>13232</v>
      </c>
      <c r="U6388" t="s">
        <v>13232</v>
      </c>
      <c r="V6388" t="s">
        <v>13232</v>
      </c>
      <c r="W6388" t="s">
        <v>19545</v>
      </c>
      <c r="X6388">
        <v>27</v>
      </c>
      <c r="Y6388" t="s">
        <v>25913</v>
      </c>
      <c r="Z6388" t="s">
        <v>32519</v>
      </c>
      <c r="AA6388">
        <v>0.58905787473797644</v>
      </c>
      <c r="AB6388" t="str">
        <f>HYPERLINK("Melting_Curves/meltCurve_Q9Y265_RUVBL1.pdf", "Melting_Curves/meltCurve_Q9Y265_RUVBL1.pdf")</f>
        <v>Melting_Curves/meltCurve_Q9Y265_RUVBL1.pdf</v>
      </c>
    </row>
    <row r="6389" spans="1:28" x14ac:dyDescent="0.25">
      <c r="A6389" t="s">
        <v>6392</v>
      </c>
      <c r="B6389">
        <v>0.99930955844802105</v>
      </c>
      <c r="C6389">
        <v>1.09829588758999</v>
      </c>
      <c r="D6389">
        <v>1.1001927463729899</v>
      </c>
      <c r="E6389">
        <v>1.04771328181629</v>
      </c>
      <c r="F6389">
        <v>0.66792447804540001</v>
      </c>
      <c r="G6389">
        <v>0.25515689892499399</v>
      </c>
      <c r="H6389">
        <v>0.15153724516349901</v>
      </c>
      <c r="I6389">
        <v>0.12549656490001701</v>
      </c>
      <c r="J6389">
        <v>0.12021746084672499</v>
      </c>
      <c r="K6389">
        <v>9.10171955060812E-2</v>
      </c>
      <c r="L6389">
        <v>2080.6783220089801</v>
      </c>
      <c r="M6389">
        <v>38.5977291555498</v>
      </c>
      <c r="N6389">
        <v>54.310757435065497</v>
      </c>
      <c r="O6389">
        <v>53.7626621492929</v>
      </c>
      <c r="P6389">
        <v>-0.157084802065903</v>
      </c>
      <c r="Q6389">
        <v>0.124790275215762</v>
      </c>
      <c r="R6389">
        <v>0.98324594830336498</v>
      </c>
      <c r="S6389" t="s">
        <v>13005</v>
      </c>
      <c r="T6389" t="s">
        <v>13232</v>
      </c>
      <c r="U6389" t="s">
        <v>13232</v>
      </c>
      <c r="V6389" t="s">
        <v>13232</v>
      </c>
      <c r="W6389" t="s">
        <v>19546</v>
      </c>
      <c r="X6389">
        <v>31</v>
      </c>
      <c r="Y6389" t="s">
        <v>25914</v>
      </c>
      <c r="Z6389" t="s">
        <v>32520</v>
      </c>
      <c r="AA6389">
        <v>0.53399665366913984</v>
      </c>
      <c r="AB6389" t="str">
        <f>HYPERLINK("Melting_Curves/meltCurve_Q9Y266_NUDC.pdf", "Melting_Curves/meltCurve_Q9Y266_NUDC.pdf")</f>
        <v>Melting_Curves/meltCurve_Q9Y266_NUDC.pdf</v>
      </c>
    </row>
    <row r="6390" spans="1:28" x14ac:dyDescent="0.25">
      <c r="A6390" t="s">
        <v>6393</v>
      </c>
      <c r="B6390">
        <v>0.99930955844802105</v>
      </c>
      <c r="C6390">
        <v>0.71853057152309996</v>
      </c>
      <c r="D6390">
        <v>0.56960044743334104</v>
      </c>
      <c r="E6390">
        <v>0.66903309672393296</v>
      </c>
      <c r="F6390">
        <v>0.30248994195265799</v>
      </c>
      <c r="G6390">
        <v>0.14424587223615501</v>
      </c>
      <c r="H6390">
        <v>9.7427780859793006E-2</v>
      </c>
      <c r="I6390">
        <v>8.6937734827369495E-2</v>
      </c>
      <c r="J6390">
        <v>9.2883235436295494E-2</v>
      </c>
      <c r="K6390">
        <v>6.4916503162133807E-2</v>
      </c>
      <c r="L6390">
        <v>479.87598500876402</v>
      </c>
      <c r="M6390">
        <v>9.7306811730877705</v>
      </c>
      <c r="N6390">
        <v>49.315757676906998</v>
      </c>
      <c r="O6390">
        <v>47.368161724145899</v>
      </c>
      <c r="P6390">
        <v>-5.1384377600391301E-2</v>
      </c>
      <c r="Q6390">
        <v>0</v>
      </c>
      <c r="R6390">
        <v>0.92616924992346095</v>
      </c>
      <c r="S6390" t="s">
        <v>13006</v>
      </c>
      <c r="T6390" t="s">
        <v>13232</v>
      </c>
      <c r="U6390" t="s">
        <v>13232</v>
      </c>
      <c r="V6390" t="s">
        <v>13232</v>
      </c>
      <c r="W6390" t="s">
        <v>19547</v>
      </c>
      <c r="X6390">
        <v>6</v>
      </c>
      <c r="Y6390" t="s">
        <v>25915</v>
      </c>
      <c r="Z6390" t="s">
        <v>32521</v>
      </c>
      <c r="AA6390">
        <v>0.3601607636014742</v>
      </c>
      <c r="AB6390" t="str">
        <f>HYPERLINK("Melting_Curves/meltCurve_Q9Y277_VDAC3.pdf", "Melting_Curves/meltCurve_Q9Y277_VDAC3.pdf")</f>
        <v>Melting_Curves/meltCurve_Q9Y277_VDAC3.pdf</v>
      </c>
    </row>
    <row r="6391" spans="1:28" x14ac:dyDescent="0.25">
      <c r="A6391" t="s">
        <v>6394</v>
      </c>
      <c r="B6391">
        <v>0.99930955844802105</v>
      </c>
      <c r="C6391">
        <v>0.94457752303326104</v>
      </c>
      <c r="D6391">
        <v>1.02765797557636</v>
      </c>
      <c r="E6391">
        <v>0.96033341649449599</v>
      </c>
      <c r="F6391">
        <v>0.81743853968479896</v>
      </c>
      <c r="G6391">
        <v>0.35057794495806999</v>
      </c>
      <c r="H6391">
        <v>0.12785558722704901</v>
      </c>
      <c r="I6391">
        <v>9.3718891467255497E-2</v>
      </c>
      <c r="J6391">
        <v>7.5082211419242706E-2</v>
      </c>
      <c r="K6391">
        <v>6.1295440792513901E-2</v>
      </c>
      <c r="L6391">
        <v>1669.32674207535</v>
      </c>
      <c r="M6391">
        <v>30.107661775615298</v>
      </c>
      <c r="N6391">
        <v>55.720593596960803</v>
      </c>
      <c r="O6391">
        <v>55.2023671314616</v>
      </c>
      <c r="P6391">
        <v>-0.126927509932352</v>
      </c>
      <c r="Q6391">
        <v>6.9120139302435199E-2</v>
      </c>
      <c r="R6391">
        <v>0.99758081489495898</v>
      </c>
      <c r="S6391" t="s">
        <v>13007</v>
      </c>
      <c r="T6391" t="s">
        <v>13232</v>
      </c>
      <c r="U6391" t="s">
        <v>13232</v>
      </c>
      <c r="V6391" t="s">
        <v>13232</v>
      </c>
      <c r="W6391" t="s">
        <v>19548</v>
      </c>
      <c r="X6391">
        <v>7</v>
      </c>
      <c r="Y6391" t="s">
        <v>25916</v>
      </c>
      <c r="Z6391" t="s">
        <v>32522</v>
      </c>
      <c r="AA6391">
        <v>0.55452798615874321</v>
      </c>
      <c r="AB6391" t="str">
        <f>HYPERLINK("Melting_Curves/meltCurve_Q9Y281_3_CFL2.pdf", "Melting_Curves/meltCurve_Q9Y281_3_CFL2.pdf")</f>
        <v>Melting_Curves/meltCurve_Q9Y281_3_CFL2.pdf</v>
      </c>
    </row>
    <row r="6392" spans="1:28" x14ac:dyDescent="0.25">
      <c r="A6392" t="s">
        <v>6395</v>
      </c>
      <c r="B6392">
        <v>0.99930955844802105</v>
      </c>
      <c r="C6392">
        <v>0.75525766932748795</v>
      </c>
      <c r="D6392">
        <v>0.60419407646873602</v>
      </c>
      <c r="E6392">
        <v>0.39479780909219703</v>
      </c>
      <c r="F6392">
        <v>0.24671572884734499</v>
      </c>
      <c r="G6392">
        <v>0.16450480127177999</v>
      </c>
      <c r="H6392">
        <v>0.103576911683878</v>
      </c>
      <c r="I6392">
        <v>9.1115111311002001E-2</v>
      </c>
      <c r="J6392">
        <v>8.3572232112080702E-2</v>
      </c>
      <c r="K6392">
        <v>6.0786778176647703E-2</v>
      </c>
      <c r="L6392">
        <v>607.43287256629799</v>
      </c>
      <c r="M6392">
        <v>12.827983759218901</v>
      </c>
      <c r="N6392">
        <v>47.812471958699902</v>
      </c>
      <c r="O6392">
        <v>46.245707883572798</v>
      </c>
      <c r="P6392">
        <v>-6.5330801501145494E-2</v>
      </c>
      <c r="Q6392">
        <v>5.8088263705181803E-2</v>
      </c>
      <c r="R6392">
        <v>0.99014208635404999</v>
      </c>
      <c r="S6392" t="s">
        <v>13008</v>
      </c>
      <c r="T6392" t="s">
        <v>13232</v>
      </c>
      <c r="U6392" t="s">
        <v>13232</v>
      </c>
      <c r="V6392" t="s">
        <v>13232</v>
      </c>
      <c r="W6392" t="s">
        <v>19549</v>
      </c>
      <c r="X6392">
        <v>16</v>
      </c>
      <c r="Y6392" t="s">
        <v>25917</v>
      </c>
      <c r="Z6392" t="s">
        <v>32523</v>
      </c>
      <c r="AA6392">
        <v>0.32299053350505258</v>
      </c>
      <c r="AB6392" t="str">
        <f>HYPERLINK("Melting_Curves/meltCurve_Q9Y285_FARSA.pdf", "Melting_Curves/meltCurve_Q9Y285_FARSA.pdf")</f>
        <v>Melting_Curves/meltCurve_Q9Y285_FARSA.pdf</v>
      </c>
    </row>
    <row r="6393" spans="1:28" x14ac:dyDescent="0.25">
      <c r="A6393" t="s">
        <v>6396</v>
      </c>
      <c r="B6393">
        <v>0.99930955844802105</v>
      </c>
      <c r="C6393">
        <v>0.87807112179959301</v>
      </c>
      <c r="D6393">
        <v>0.86582457337993801</v>
      </c>
      <c r="E6393">
        <v>0.84140681676977802</v>
      </c>
      <c r="F6393">
        <v>0.75179035193574095</v>
      </c>
      <c r="G6393">
        <v>0.43500147579773502</v>
      </c>
      <c r="H6393">
        <v>0.22809411318990999</v>
      </c>
      <c r="I6393">
        <v>0.24040813557563601</v>
      </c>
      <c r="J6393">
        <v>0.26783704319061702</v>
      </c>
      <c r="K6393">
        <v>0.22607776458814899</v>
      </c>
      <c r="L6393">
        <v>912.65293311068001</v>
      </c>
      <c r="M6393">
        <v>16.779337873068101</v>
      </c>
      <c r="N6393">
        <v>55.981293377408399</v>
      </c>
      <c r="O6393">
        <v>53.636533781465701</v>
      </c>
      <c r="P6393">
        <v>-6.3389887100684605E-2</v>
      </c>
      <c r="Q6393">
        <v>0.189528774274382</v>
      </c>
      <c r="R6393">
        <v>0.96185053158355005</v>
      </c>
      <c r="S6393" t="s">
        <v>13009</v>
      </c>
      <c r="T6393" t="s">
        <v>13232</v>
      </c>
      <c r="U6393" t="s">
        <v>13232</v>
      </c>
      <c r="V6393" t="s">
        <v>13232</v>
      </c>
      <c r="W6393" t="s">
        <v>19550</v>
      </c>
      <c r="X6393">
        <v>1</v>
      </c>
      <c r="Y6393" t="s">
        <v>25918</v>
      </c>
      <c r="Z6393" t="s">
        <v>32524</v>
      </c>
      <c r="AA6393">
        <v>0.59245132723436145</v>
      </c>
      <c r="AB6393" t="str">
        <f>HYPERLINK("Melting_Curves/meltCurve_Q9Y289_SLC5A6.pdf", "Melting_Curves/meltCurve_Q9Y289_SLC5A6.pdf")</f>
        <v>Melting_Curves/meltCurve_Q9Y289_SLC5A6.pdf</v>
      </c>
    </row>
    <row r="6394" spans="1:28" x14ac:dyDescent="0.25">
      <c r="A6394" t="s">
        <v>6397</v>
      </c>
      <c r="B6394">
        <v>0.99930955844802105</v>
      </c>
      <c r="C6394">
        <v>0.94532135299550801</v>
      </c>
      <c r="D6394">
        <v>0.96384498028849497</v>
      </c>
      <c r="E6394">
        <v>0.84717342142769703</v>
      </c>
      <c r="F6394">
        <v>0.65559933009928995</v>
      </c>
      <c r="G6394">
        <v>0.399645311216069</v>
      </c>
      <c r="H6394">
        <v>0.156021105861054</v>
      </c>
      <c r="I6394">
        <v>0.120965500927762</v>
      </c>
      <c r="J6394">
        <v>0.101442318730375</v>
      </c>
      <c r="K6394">
        <v>7.9448505716340503E-2</v>
      </c>
      <c r="L6394">
        <v>937.58536781238001</v>
      </c>
      <c r="M6394">
        <v>17.101642126209001</v>
      </c>
      <c r="N6394">
        <v>55.1556529335286</v>
      </c>
      <c r="O6394">
        <v>54.091122786175703</v>
      </c>
      <c r="P6394">
        <v>-7.5186601231777395E-2</v>
      </c>
      <c r="Q6394">
        <v>4.8820641298508403E-2</v>
      </c>
      <c r="R6394">
        <v>0.99692535611337896</v>
      </c>
      <c r="S6394" t="s">
        <v>13010</v>
      </c>
      <c r="T6394" t="s">
        <v>13232</v>
      </c>
      <c r="U6394" t="s">
        <v>13232</v>
      </c>
      <c r="V6394" t="s">
        <v>13232</v>
      </c>
      <c r="W6394" t="s">
        <v>19551</v>
      </c>
      <c r="X6394">
        <v>4</v>
      </c>
      <c r="Y6394" t="s">
        <v>25919</v>
      </c>
      <c r="Z6394" t="s">
        <v>32525</v>
      </c>
      <c r="AA6394">
        <v>0.53470514991590068</v>
      </c>
      <c r="AB6394" t="str">
        <f>HYPERLINK("Melting_Curves/meltCurve_Q9Y294_ASF1A.pdf", "Melting_Curves/meltCurve_Q9Y294_ASF1A.pdf")</f>
        <v>Melting_Curves/meltCurve_Q9Y294_ASF1A.pdf</v>
      </c>
    </row>
    <row r="6395" spans="1:28" x14ac:dyDescent="0.25">
      <c r="A6395" t="s">
        <v>6398</v>
      </c>
      <c r="B6395">
        <v>0.99930955844802105</v>
      </c>
      <c r="C6395">
        <v>1.0335329555611299</v>
      </c>
      <c r="D6395">
        <v>0.99831428783293097</v>
      </c>
      <c r="E6395">
        <v>0.878863222858978</v>
      </c>
      <c r="F6395">
        <v>0.58304958209465296</v>
      </c>
      <c r="G6395">
        <v>0.20776477306882599</v>
      </c>
      <c r="H6395">
        <v>7.7286524015190206E-2</v>
      </c>
      <c r="I6395">
        <v>5.4165711447223201E-2</v>
      </c>
      <c r="J6395">
        <v>4.31658071684516E-2</v>
      </c>
      <c r="K6395">
        <v>3.11639337435889E-2</v>
      </c>
      <c r="L6395">
        <v>1411.7625328404499</v>
      </c>
      <c r="M6395">
        <v>26.341506898960699</v>
      </c>
      <c r="N6395">
        <v>53.7538235424745</v>
      </c>
      <c r="O6395">
        <v>53.288589489331201</v>
      </c>
      <c r="P6395">
        <v>-0.118942911428694</v>
      </c>
      <c r="Q6395">
        <v>3.7529723128163203E-2</v>
      </c>
      <c r="R6395">
        <v>0.99917514805602403</v>
      </c>
      <c r="S6395" t="s">
        <v>13011</v>
      </c>
      <c r="T6395" t="s">
        <v>13232</v>
      </c>
      <c r="U6395" t="s">
        <v>13232</v>
      </c>
      <c r="V6395" t="s">
        <v>13232</v>
      </c>
      <c r="W6395" t="s">
        <v>19552</v>
      </c>
      <c r="X6395">
        <v>20</v>
      </c>
      <c r="Y6395" t="s">
        <v>25920</v>
      </c>
      <c r="Z6395" t="s">
        <v>32526</v>
      </c>
      <c r="AA6395">
        <v>0.48174435744599409</v>
      </c>
      <c r="AB6395" t="str">
        <f>HYPERLINK("Melting_Curves/meltCurve_Q9Y295_DRG1.pdf", "Melting_Curves/meltCurve_Q9Y295_DRG1.pdf")</f>
        <v>Melting_Curves/meltCurve_Q9Y295_DRG1.pdf</v>
      </c>
    </row>
    <row r="6396" spans="1:28" x14ac:dyDescent="0.25">
      <c r="A6396" t="s">
        <v>6399</v>
      </c>
      <c r="B6396">
        <v>0.99930955844802105</v>
      </c>
      <c r="C6396">
        <v>0.82787788753397795</v>
      </c>
      <c r="D6396">
        <v>0.74297612415180803</v>
      </c>
      <c r="E6396">
        <v>0.58046042640488005</v>
      </c>
      <c r="F6396">
        <v>0.44935946979202701</v>
      </c>
      <c r="G6396">
        <v>0.21877488428983399</v>
      </c>
      <c r="H6396">
        <v>9.5620926394959602E-2</v>
      </c>
      <c r="I6396">
        <v>7.4179391443281506E-2</v>
      </c>
      <c r="J6396">
        <v>5.8561029618659201E-2</v>
      </c>
      <c r="K6396">
        <v>4.33781911787708E-2</v>
      </c>
      <c r="L6396">
        <v>570.603494062609</v>
      </c>
      <c r="M6396">
        <v>11.191040113046199</v>
      </c>
      <c r="N6396">
        <v>50.987506683759698</v>
      </c>
      <c r="O6396">
        <v>49.440753965828499</v>
      </c>
      <c r="P6396">
        <v>-5.6606011266484201E-2</v>
      </c>
      <c r="Q6396">
        <v>0</v>
      </c>
      <c r="R6396">
        <v>0.98910627988524602</v>
      </c>
      <c r="S6396" t="s">
        <v>13012</v>
      </c>
      <c r="T6396" t="s">
        <v>13232</v>
      </c>
      <c r="U6396" t="s">
        <v>13232</v>
      </c>
      <c r="V6396" t="s">
        <v>13232</v>
      </c>
      <c r="W6396" t="s">
        <v>19553</v>
      </c>
      <c r="X6396">
        <v>12</v>
      </c>
      <c r="Y6396" t="s">
        <v>25921</v>
      </c>
      <c r="Z6396" t="s">
        <v>32527</v>
      </c>
      <c r="AA6396">
        <v>0.40222941563538939</v>
      </c>
      <c r="AB6396" t="str">
        <f>HYPERLINK("Melting_Curves/meltCurve_Q9Y296_TRAPPC4.pdf", "Melting_Curves/meltCurve_Q9Y296_TRAPPC4.pdf")</f>
        <v>Melting_Curves/meltCurve_Q9Y296_TRAPPC4.pdf</v>
      </c>
    </row>
    <row r="6397" spans="1:28" x14ac:dyDescent="0.25">
      <c r="A6397" t="s">
        <v>6400</v>
      </c>
      <c r="B6397">
        <v>0.99930955844802105</v>
      </c>
      <c r="C6397">
        <v>0.86779950337619904</v>
      </c>
      <c r="D6397">
        <v>0.93865826563371402</v>
      </c>
      <c r="E6397">
        <v>1.0101343914557199</v>
      </c>
      <c r="F6397">
        <v>0.43132696566172402</v>
      </c>
      <c r="G6397">
        <v>0.14687035915311</v>
      </c>
      <c r="H6397">
        <v>8.17651579732218E-2</v>
      </c>
      <c r="I6397">
        <v>6.5796166113651702E-2</v>
      </c>
      <c r="J6397">
        <v>5.9805181136451203E-2</v>
      </c>
      <c r="K6397">
        <v>4.4906184705377598E-2</v>
      </c>
      <c r="L6397">
        <v>13224.501675464</v>
      </c>
      <c r="M6397">
        <v>250</v>
      </c>
      <c r="N6397">
        <v>52.934837532804899</v>
      </c>
      <c r="O6397">
        <v>52.894643035566901</v>
      </c>
      <c r="P6397">
        <v>-1.0872695637841401</v>
      </c>
      <c r="Q6397">
        <v>7.9828604600856903E-2</v>
      </c>
      <c r="R6397">
        <v>0.983905218491824</v>
      </c>
      <c r="S6397" t="s">
        <v>13013</v>
      </c>
      <c r="T6397" t="s">
        <v>13232</v>
      </c>
      <c r="U6397" t="s">
        <v>13232</v>
      </c>
      <c r="V6397" t="s">
        <v>13232</v>
      </c>
      <c r="W6397" t="s">
        <v>19554</v>
      </c>
      <c r="X6397">
        <v>30</v>
      </c>
      <c r="Y6397" t="s">
        <v>25922</v>
      </c>
      <c r="Z6397" t="s">
        <v>32528</v>
      </c>
      <c r="AA6397">
        <v>0.47552658970039968</v>
      </c>
      <c r="AB6397" t="str">
        <f>HYPERLINK("Melting_Curves/meltCurve_Q9Y2A7_NCKAP1.pdf", "Melting_Curves/meltCurve_Q9Y2A7_NCKAP1.pdf")</f>
        <v>Melting_Curves/meltCurve_Q9Y2A7_NCKAP1.pdf</v>
      </c>
    </row>
    <row r="6398" spans="1:28" x14ac:dyDescent="0.25">
      <c r="A6398" t="s">
        <v>6401</v>
      </c>
      <c r="B6398">
        <v>0.99930955844802105</v>
      </c>
      <c r="C6398">
        <v>1.0478861983174601</v>
      </c>
      <c r="D6398">
        <v>1.03348273511247</v>
      </c>
      <c r="E6398">
        <v>0.95232173022546096</v>
      </c>
      <c r="F6398">
        <v>0.83753754306836803</v>
      </c>
      <c r="G6398">
        <v>0.73384181772920798</v>
      </c>
      <c r="H6398">
        <v>0.67239643810623995</v>
      </c>
      <c r="I6398">
        <v>0.62534253434595</v>
      </c>
      <c r="J6398">
        <v>0.55932475270021897</v>
      </c>
      <c r="K6398">
        <v>0.42330290242521601</v>
      </c>
      <c r="L6398">
        <v>576.23983311440998</v>
      </c>
      <c r="M6398">
        <v>9.3116075033053107</v>
      </c>
      <c r="N6398">
        <v>68.128007136739896</v>
      </c>
      <c r="O6398">
        <v>59.230885111037701</v>
      </c>
      <c r="P6398">
        <v>-2.80395086110313E-2</v>
      </c>
      <c r="Q6398">
        <v>0.28702084541152401</v>
      </c>
      <c r="R6398">
        <v>0.96280823975372098</v>
      </c>
      <c r="S6398" t="s">
        <v>13014</v>
      </c>
      <c r="T6398" t="s">
        <v>13232</v>
      </c>
      <c r="U6398" t="s">
        <v>13232</v>
      </c>
      <c r="V6398" t="s">
        <v>13232</v>
      </c>
      <c r="W6398" t="s">
        <v>19555</v>
      </c>
      <c r="X6398">
        <v>15</v>
      </c>
      <c r="Y6398" t="s">
        <v>25923</v>
      </c>
      <c r="Z6398" t="s">
        <v>32529</v>
      </c>
      <c r="AA6398">
        <v>0.78957443177904396</v>
      </c>
      <c r="AB6398" t="str">
        <f>HYPERLINK("Melting_Curves/meltCurve_Q9Y2B0_CNPY2.pdf", "Melting_Curves/meltCurve_Q9Y2B0_CNPY2.pdf")</f>
        <v>Melting_Curves/meltCurve_Q9Y2B0_CNPY2.pdf</v>
      </c>
    </row>
    <row r="6399" spans="1:28" x14ac:dyDescent="0.25">
      <c r="A6399" t="s">
        <v>6402</v>
      </c>
      <c r="B6399">
        <v>0.99930955844802105</v>
      </c>
      <c r="C6399">
        <v>1.16272301636697</v>
      </c>
      <c r="D6399">
        <v>1.1533472295278899</v>
      </c>
      <c r="E6399">
        <v>1.1117426625837601</v>
      </c>
      <c r="F6399">
        <v>0.93439198067249596</v>
      </c>
      <c r="G6399">
        <v>0.92778981057401499</v>
      </c>
      <c r="H6399">
        <v>0.87427381972922802</v>
      </c>
      <c r="I6399">
        <v>0.97557785820621601</v>
      </c>
      <c r="J6399">
        <v>0.93810465576324897</v>
      </c>
      <c r="K6399">
        <v>0.75287974365478005</v>
      </c>
      <c r="L6399">
        <v>904.04917641515601</v>
      </c>
      <c r="M6399">
        <v>11.5728628614768</v>
      </c>
      <c r="Q6399">
        <v>0</v>
      </c>
      <c r="R6399">
        <v>0.42704276545577102</v>
      </c>
      <c r="S6399" t="s">
        <v>13015</v>
      </c>
      <c r="T6399" t="s">
        <v>13232</v>
      </c>
      <c r="U6399" t="s">
        <v>13232</v>
      </c>
      <c r="V6399" t="s">
        <v>13232</v>
      </c>
      <c r="W6399" t="s">
        <v>19556</v>
      </c>
      <c r="X6399">
        <v>9</v>
      </c>
      <c r="Y6399" t="s">
        <v>25924</v>
      </c>
      <c r="Z6399" t="s">
        <v>32530</v>
      </c>
      <c r="AA6399">
        <v>0.96367403059910905</v>
      </c>
      <c r="AB6399" t="str">
        <f>HYPERLINK("Melting_Curves/meltCurve_Q9Y2F5_KIAA0947.pdf", "Melting_Curves/meltCurve_Q9Y2F5_KIAA0947.pdf")</f>
        <v>Melting_Curves/meltCurve_Q9Y2F5_KIAA0947.pdf</v>
      </c>
    </row>
    <row r="6400" spans="1:28" x14ac:dyDescent="0.25">
      <c r="A6400" t="s">
        <v>6403</v>
      </c>
      <c r="B6400">
        <v>0.99930955844802105</v>
      </c>
      <c r="C6400">
        <v>1.17655304599772</v>
      </c>
      <c r="D6400">
        <v>1.09021014571352</v>
      </c>
      <c r="E6400">
        <v>1.0363423862488299</v>
      </c>
      <c r="F6400">
        <v>0.85703965568740303</v>
      </c>
      <c r="G6400">
        <v>0.81726213911994405</v>
      </c>
      <c r="H6400">
        <v>0.80466177713495002</v>
      </c>
      <c r="I6400">
        <v>0.84243304559072296</v>
      </c>
      <c r="J6400">
        <v>0.83868211907243995</v>
      </c>
      <c r="K6400">
        <v>0.66388837806775702</v>
      </c>
      <c r="L6400">
        <v>13207.1177350039</v>
      </c>
      <c r="M6400">
        <v>250</v>
      </c>
      <c r="O6400">
        <v>52.825103036809701</v>
      </c>
      <c r="P6400">
        <v>-0.24445594978177099</v>
      </c>
      <c r="Q6400">
        <v>0.79338547823240102</v>
      </c>
      <c r="R6400">
        <v>0.71581588590302003</v>
      </c>
      <c r="S6400" t="s">
        <v>13016</v>
      </c>
      <c r="T6400" t="s">
        <v>13232</v>
      </c>
      <c r="U6400" t="s">
        <v>13232</v>
      </c>
      <c r="V6400" t="s">
        <v>13232</v>
      </c>
      <c r="W6400" t="s">
        <v>19557</v>
      </c>
      <c r="X6400">
        <v>6</v>
      </c>
      <c r="Y6400" t="s">
        <v>25925</v>
      </c>
      <c r="Z6400" t="s">
        <v>32531</v>
      </c>
      <c r="AA6400">
        <v>0.88175624705706768</v>
      </c>
      <c r="AB6400" t="str">
        <f>HYPERLINK("Melting_Curves/meltCurve_Q9Y2G2_4_CARD8.pdf", "Melting_Curves/meltCurve_Q9Y2G2_4_CARD8.pdf")</f>
        <v>Melting_Curves/meltCurve_Q9Y2G2_4_CARD8.pdf</v>
      </c>
    </row>
    <row r="6401" spans="1:28" x14ac:dyDescent="0.25">
      <c r="A6401" t="s">
        <v>6404</v>
      </c>
      <c r="B6401">
        <v>0.99930955844802105</v>
      </c>
      <c r="C6401">
        <v>1.0225735738347299</v>
      </c>
      <c r="D6401">
        <v>0.99512931542380201</v>
      </c>
      <c r="E6401">
        <v>0.91529656725633302</v>
      </c>
      <c r="F6401">
        <v>0.71215694570102095</v>
      </c>
      <c r="G6401">
        <v>0.50255088679677296</v>
      </c>
      <c r="H6401">
        <v>0.27846575118717398</v>
      </c>
      <c r="I6401">
        <v>0.169470824054713</v>
      </c>
      <c r="J6401">
        <v>0.11679294124323</v>
      </c>
      <c r="K6401">
        <v>8.8266248187714794E-2</v>
      </c>
      <c r="L6401">
        <v>891.29014354012395</v>
      </c>
      <c r="M6401">
        <v>15.780912451555499</v>
      </c>
      <c r="N6401">
        <v>56.820476024923401</v>
      </c>
      <c r="O6401">
        <v>55.595392175604701</v>
      </c>
      <c r="P6401">
        <v>-6.7758250128076195E-2</v>
      </c>
      <c r="Q6401">
        <v>4.5242730622545503E-2</v>
      </c>
      <c r="R6401">
        <v>0.99743071685984097</v>
      </c>
      <c r="S6401" t="s">
        <v>13017</v>
      </c>
      <c r="T6401" t="s">
        <v>13232</v>
      </c>
      <c r="U6401" t="s">
        <v>13232</v>
      </c>
      <c r="V6401" t="s">
        <v>13232</v>
      </c>
      <c r="W6401" t="s">
        <v>19558</v>
      </c>
      <c r="X6401">
        <v>10</v>
      </c>
      <c r="Y6401" t="s">
        <v>25926</v>
      </c>
      <c r="Z6401" t="s">
        <v>32532</v>
      </c>
      <c r="AA6401">
        <v>0.58517685073350612</v>
      </c>
      <c r="AB6401" t="str">
        <f>HYPERLINK("Melting_Curves/meltCurve_Q9Y2H0_3_DLGAP4.pdf", "Melting_Curves/meltCurve_Q9Y2H0_3_DLGAP4.pdf")</f>
        <v>Melting_Curves/meltCurve_Q9Y2H0_3_DLGAP4.pdf</v>
      </c>
    </row>
    <row r="6402" spans="1:28" x14ac:dyDescent="0.25">
      <c r="A6402" t="s">
        <v>6405</v>
      </c>
      <c r="B6402">
        <v>0.99930955844802105</v>
      </c>
      <c r="C6402">
        <v>0.92055164091485298</v>
      </c>
      <c r="D6402">
        <v>0.71160799759437399</v>
      </c>
      <c r="E6402">
        <v>0.396840853140699</v>
      </c>
      <c r="F6402">
        <v>0.222765615435632</v>
      </c>
      <c r="G6402">
        <v>0.17995780802699499</v>
      </c>
      <c r="H6402">
        <v>0.11430088544068</v>
      </c>
      <c r="I6402">
        <v>0.109279193146725</v>
      </c>
      <c r="J6402">
        <v>0.107282376880354</v>
      </c>
      <c r="K6402">
        <v>7.8415007364216596E-2</v>
      </c>
      <c r="L6402">
        <v>882.45001858602598</v>
      </c>
      <c r="M6402">
        <v>18.3751128487967</v>
      </c>
      <c r="N6402">
        <v>48.609180263453901</v>
      </c>
      <c r="O6402">
        <v>47.466248163248601</v>
      </c>
      <c r="P6402">
        <v>-8.7183562629237696E-2</v>
      </c>
      <c r="Q6402">
        <v>9.9197175087836501E-2</v>
      </c>
      <c r="R6402">
        <v>0.99779272805210195</v>
      </c>
      <c r="S6402" t="s">
        <v>13018</v>
      </c>
      <c r="T6402" t="s">
        <v>13232</v>
      </c>
      <c r="U6402" t="s">
        <v>13232</v>
      </c>
      <c r="V6402" t="s">
        <v>13232</v>
      </c>
      <c r="W6402" t="s">
        <v>19559</v>
      </c>
      <c r="X6402">
        <v>15</v>
      </c>
      <c r="Y6402" t="s">
        <v>25927</v>
      </c>
      <c r="Z6402" t="s">
        <v>32533</v>
      </c>
      <c r="AA6402">
        <v>0.35543473870963088</v>
      </c>
      <c r="AB6402" t="str">
        <f>HYPERLINK("Melting_Curves/meltCurve_Q9Y2H1_STK38L.pdf", "Melting_Curves/meltCurve_Q9Y2H1_STK38L.pdf")</f>
        <v>Melting_Curves/meltCurve_Q9Y2H1_STK38L.pdf</v>
      </c>
    </row>
    <row r="6403" spans="1:28" x14ac:dyDescent="0.25">
      <c r="A6403" t="s">
        <v>6406</v>
      </c>
      <c r="B6403">
        <v>0.99930955844802105</v>
      </c>
      <c r="C6403">
        <v>1.2306250547997699</v>
      </c>
      <c r="D6403">
        <v>1.25178262882641</v>
      </c>
      <c r="E6403">
        <v>1.17451030799406</v>
      </c>
      <c r="F6403">
        <v>1.1648688812759</v>
      </c>
      <c r="G6403">
        <v>0.97250935295920804</v>
      </c>
      <c r="H6403">
        <v>0.90498214955977496</v>
      </c>
      <c r="I6403">
        <v>0.95276592031400398</v>
      </c>
      <c r="J6403">
        <v>1.0608820303713999</v>
      </c>
      <c r="K6403">
        <v>0.81776809930480698</v>
      </c>
      <c r="L6403">
        <v>15000</v>
      </c>
      <c r="M6403">
        <v>212.784373945895</v>
      </c>
      <c r="Q6403">
        <v>0</v>
      </c>
      <c r="R6403">
        <v>2.6229056748846201E-2</v>
      </c>
      <c r="S6403" t="s">
        <v>13019</v>
      </c>
      <c r="T6403" t="s">
        <v>13232</v>
      </c>
      <c r="U6403" t="s">
        <v>13232</v>
      </c>
      <c r="V6403" t="s">
        <v>13232</v>
      </c>
      <c r="W6403" t="s">
        <v>19560</v>
      </c>
      <c r="X6403">
        <v>3</v>
      </c>
      <c r="Y6403" t="s">
        <v>25928</v>
      </c>
      <c r="Z6403" t="s">
        <v>32534</v>
      </c>
      <c r="AA6403">
        <v>0.99783068706298683</v>
      </c>
      <c r="AB6403" t="str">
        <f>HYPERLINK("Melting_Curves/meltCurve_Q9Y2H5_PLEKHA6.pdf", "Melting_Curves/meltCurve_Q9Y2H5_PLEKHA6.pdf")</f>
        <v>Melting_Curves/meltCurve_Q9Y2H5_PLEKHA6.pdf</v>
      </c>
    </row>
    <row r="6404" spans="1:28" x14ac:dyDescent="0.25">
      <c r="A6404" t="s">
        <v>6407</v>
      </c>
      <c r="B6404">
        <v>0.99930955844802105</v>
      </c>
      <c r="C6404">
        <v>1.5355185853911499</v>
      </c>
      <c r="D6404">
        <v>1.36357849831623</v>
      </c>
      <c r="E6404">
        <v>0.92756997663955598</v>
      </c>
      <c r="F6404">
        <v>0.37956284941381502</v>
      </c>
      <c r="G6404">
        <v>0.28333820967711598</v>
      </c>
      <c r="H6404">
        <v>0.19805190781562901</v>
      </c>
      <c r="I6404">
        <v>0.18255823291353199</v>
      </c>
      <c r="J6404">
        <v>0.165595348124736</v>
      </c>
      <c r="K6404">
        <v>0.12921877351990099</v>
      </c>
      <c r="L6404">
        <v>3055.6899625681799</v>
      </c>
      <c r="M6404">
        <v>58.812158393328403</v>
      </c>
      <c r="N6404">
        <v>52.383001369098203</v>
      </c>
      <c r="O6404">
        <v>51.896803325499199</v>
      </c>
      <c r="P6404">
        <v>-0.229439308600832</v>
      </c>
      <c r="Q6404">
        <v>0.19015647813116501</v>
      </c>
      <c r="R6404">
        <v>0.83510076711964298</v>
      </c>
      <c r="S6404" t="s">
        <v>13020</v>
      </c>
      <c r="T6404" t="s">
        <v>13232</v>
      </c>
      <c r="U6404" t="s">
        <v>13232</v>
      </c>
      <c r="V6404" t="s">
        <v>13232</v>
      </c>
      <c r="W6404" t="s">
        <v>19561</v>
      </c>
      <c r="X6404">
        <v>20</v>
      </c>
      <c r="Y6404" t="s">
        <v>25929</v>
      </c>
      <c r="Z6404" t="s">
        <v>32535</v>
      </c>
      <c r="AA6404">
        <v>0.51426638168118521</v>
      </c>
      <c r="AB6404" t="str">
        <f>HYPERLINK("Melting_Curves/meltCurve_Q9Y2I1_NISCH.pdf", "Melting_Curves/meltCurve_Q9Y2I1_NISCH.pdf")</f>
        <v>Melting_Curves/meltCurve_Q9Y2I1_NISCH.pdf</v>
      </c>
    </row>
    <row r="6405" spans="1:28" x14ac:dyDescent="0.25">
      <c r="A6405" t="s">
        <v>6408</v>
      </c>
      <c r="B6405">
        <v>0.99930955844802105</v>
      </c>
      <c r="C6405">
        <v>0.88868775538973799</v>
      </c>
      <c r="D6405">
        <v>0.79966384722386297</v>
      </c>
      <c r="E6405">
        <v>0.71843635060942002</v>
      </c>
      <c r="F6405">
        <v>0.47623127673968502</v>
      </c>
      <c r="G6405">
        <v>0.41292174355453598</v>
      </c>
      <c r="H6405">
        <v>0.36896917804538198</v>
      </c>
      <c r="I6405">
        <v>0.40615435986085202</v>
      </c>
      <c r="J6405">
        <v>0.38469181109908901</v>
      </c>
      <c r="K6405">
        <v>0.31176614839175598</v>
      </c>
      <c r="L6405">
        <v>654.608363937131</v>
      </c>
      <c r="M6405">
        <v>13.232445795476099</v>
      </c>
      <c r="N6405">
        <v>53.947912114274899</v>
      </c>
      <c r="O6405">
        <v>48.381058697283898</v>
      </c>
      <c r="P6405">
        <v>-4.5594458067567997E-2</v>
      </c>
      <c r="Q6405">
        <v>0.33329196439387698</v>
      </c>
      <c r="R6405">
        <v>0.972979382609508</v>
      </c>
      <c r="S6405" t="s">
        <v>13021</v>
      </c>
      <c r="T6405" t="s">
        <v>13232</v>
      </c>
      <c r="U6405" t="s">
        <v>13232</v>
      </c>
      <c r="V6405" t="s">
        <v>13232</v>
      </c>
      <c r="W6405" t="s">
        <v>19562</v>
      </c>
      <c r="X6405">
        <v>15</v>
      </c>
      <c r="Y6405" t="s">
        <v>25930</v>
      </c>
      <c r="Z6405" t="s">
        <v>32536</v>
      </c>
      <c r="AA6405">
        <v>0.56396819336195336</v>
      </c>
      <c r="AB6405" t="str">
        <f>HYPERLINK("Melting_Curves/meltCurve_Q9Y2I7_PIKFYVE.pdf", "Melting_Curves/meltCurve_Q9Y2I7_PIKFYVE.pdf")</f>
        <v>Melting_Curves/meltCurve_Q9Y2I7_PIKFYVE.pdf</v>
      </c>
    </row>
    <row r="6406" spans="1:28" x14ac:dyDescent="0.25">
      <c r="A6406" t="s">
        <v>6409</v>
      </c>
      <c r="B6406">
        <v>0.99930955844802105</v>
      </c>
      <c r="C6406">
        <v>0.97522711098796599</v>
      </c>
      <c r="D6406">
        <v>0.86371775183357302</v>
      </c>
      <c r="E6406">
        <v>0.67830419560758004</v>
      </c>
      <c r="F6406">
        <v>0.473404296760009</v>
      </c>
      <c r="G6406">
        <v>0.35146317672847799</v>
      </c>
      <c r="H6406">
        <v>0.27566858610529599</v>
      </c>
      <c r="I6406">
        <v>0.23282927927237401</v>
      </c>
      <c r="J6406">
        <v>0.21816210785503501</v>
      </c>
      <c r="K6406">
        <v>0.14142607793404699</v>
      </c>
      <c r="L6406">
        <v>718.44463769084803</v>
      </c>
      <c r="M6406">
        <v>13.9494770349423</v>
      </c>
      <c r="N6406">
        <v>53.062095086192301</v>
      </c>
      <c r="O6406">
        <v>50.479520848554301</v>
      </c>
      <c r="P6406">
        <v>-5.7479180859048899E-2</v>
      </c>
      <c r="Q6406">
        <v>0.168102968731875</v>
      </c>
      <c r="R6406">
        <v>0.99486941024065001</v>
      </c>
      <c r="S6406" t="s">
        <v>13022</v>
      </c>
      <c r="T6406" t="s">
        <v>13232</v>
      </c>
      <c r="U6406" t="s">
        <v>13232</v>
      </c>
      <c r="V6406" t="s">
        <v>13232</v>
      </c>
      <c r="W6406" t="s">
        <v>19563</v>
      </c>
      <c r="X6406">
        <v>10</v>
      </c>
      <c r="Y6406" t="s">
        <v>25931</v>
      </c>
      <c r="Z6406" t="s">
        <v>32537</v>
      </c>
      <c r="AA6406">
        <v>0.50826331828023008</v>
      </c>
      <c r="AB6406" t="str">
        <f>HYPERLINK("Melting_Curves/meltCurve_Q9Y2I8_WDR37.pdf", "Melting_Curves/meltCurve_Q9Y2I8_WDR37.pdf")</f>
        <v>Melting_Curves/meltCurve_Q9Y2I8_WDR37.pdf</v>
      </c>
    </row>
    <row r="6407" spans="1:28" x14ac:dyDescent="0.25">
      <c r="A6407" t="s">
        <v>6410</v>
      </c>
      <c r="B6407">
        <v>0.99930955844802105</v>
      </c>
      <c r="C6407">
        <v>1.01320853812165</v>
      </c>
      <c r="D6407">
        <v>0.99014461013549104</v>
      </c>
      <c r="E6407">
        <v>0.96795089959442604</v>
      </c>
      <c r="F6407">
        <v>0.79916986657496403</v>
      </c>
      <c r="G6407">
        <v>0.669921211941513</v>
      </c>
      <c r="H6407">
        <v>0.673685257953065</v>
      </c>
      <c r="I6407">
        <v>0.72274768822096103</v>
      </c>
      <c r="J6407">
        <v>0.71368035825530396</v>
      </c>
      <c r="K6407">
        <v>0.57419640031159502</v>
      </c>
      <c r="L6407">
        <v>2419.48419148727</v>
      </c>
      <c r="M6407">
        <v>46.102509702469298</v>
      </c>
      <c r="O6407">
        <v>52.382075054109002</v>
      </c>
      <c r="P6407">
        <v>-7.2782501544400705E-2</v>
      </c>
      <c r="Q6407">
        <v>0.66921593827861603</v>
      </c>
      <c r="R6407">
        <v>0.94209881626844705</v>
      </c>
      <c r="S6407" t="s">
        <v>13023</v>
      </c>
      <c r="T6407" t="s">
        <v>13232</v>
      </c>
      <c r="U6407" t="s">
        <v>13232</v>
      </c>
      <c r="V6407" t="s">
        <v>13232</v>
      </c>
      <c r="W6407" t="s">
        <v>19564</v>
      </c>
      <c r="X6407">
        <v>27</v>
      </c>
      <c r="Y6407" t="s">
        <v>25932</v>
      </c>
      <c r="Z6407" t="s">
        <v>32538</v>
      </c>
      <c r="AA6407">
        <v>0.80772932235955919</v>
      </c>
      <c r="AB6407" t="str">
        <f>HYPERLINK("Melting_Curves/meltCurve_Q9Y2J2_2_EPB41L3.pdf", "Melting_Curves/meltCurve_Q9Y2J2_2_EPB41L3.pdf")</f>
        <v>Melting_Curves/meltCurve_Q9Y2J2_2_EPB41L3.pdf</v>
      </c>
    </row>
    <row r="6408" spans="1:28" x14ac:dyDescent="0.25">
      <c r="A6408" t="s">
        <v>6411</v>
      </c>
      <c r="B6408">
        <v>0.99930955844802105</v>
      </c>
      <c r="C6408">
        <v>1.0774288099249101</v>
      </c>
      <c r="D6408">
        <v>0.80751466261809501</v>
      </c>
      <c r="E6408">
        <v>0.86369271893491395</v>
      </c>
      <c r="F6408">
        <v>0.60636601785898703</v>
      </c>
      <c r="G6408">
        <v>0.57805287908293101</v>
      </c>
      <c r="H6408">
        <v>0.52508605846396395</v>
      </c>
      <c r="I6408">
        <v>0.52111652169517497</v>
      </c>
      <c r="J6408">
        <v>0.83379731683778402</v>
      </c>
      <c r="K6408">
        <v>0.44551869577801101</v>
      </c>
      <c r="L6408">
        <v>985.36235745433601</v>
      </c>
      <c r="M6408">
        <v>19.8941028773908</v>
      </c>
      <c r="O6408">
        <v>49.0380536391757</v>
      </c>
      <c r="P6408">
        <v>-4.3580372041539001E-2</v>
      </c>
      <c r="Q6408">
        <v>0.57031977463745098</v>
      </c>
      <c r="R6408">
        <v>0.70868825874950503</v>
      </c>
      <c r="S6408" t="s">
        <v>13024</v>
      </c>
      <c r="T6408" t="s">
        <v>13232</v>
      </c>
      <c r="U6408" t="s">
        <v>13232</v>
      </c>
      <c r="V6408" t="s">
        <v>13232</v>
      </c>
      <c r="W6408" t="s">
        <v>19565</v>
      </c>
      <c r="X6408">
        <v>2</v>
      </c>
      <c r="Y6408" t="s">
        <v>25933</v>
      </c>
      <c r="Z6408" t="s">
        <v>32539</v>
      </c>
      <c r="AA6408">
        <v>0.71287889324103004</v>
      </c>
      <c r="AB6408" t="str">
        <f>HYPERLINK("Melting_Curves/meltCurve_Q9Y2K1_2_ZBTB1.pdf", "Melting_Curves/meltCurve_Q9Y2K1_2_ZBTB1.pdf")</f>
        <v>Melting_Curves/meltCurve_Q9Y2K1_2_ZBTB1.pdf</v>
      </c>
    </row>
    <row r="6409" spans="1:28" x14ac:dyDescent="0.25">
      <c r="A6409" t="s">
        <v>6412</v>
      </c>
      <c r="B6409">
        <v>0.99930955844802105</v>
      </c>
      <c r="C6409">
        <v>0.94082618537162999</v>
      </c>
      <c r="D6409">
        <v>0.97178890126475403</v>
      </c>
      <c r="E6409">
        <v>0.88982133143948905</v>
      </c>
      <c r="F6409">
        <v>0.71530712491946002</v>
      </c>
      <c r="G6409">
        <v>0.57125491659402095</v>
      </c>
      <c r="H6409">
        <v>0.63323575044341796</v>
      </c>
      <c r="I6409">
        <v>0.63841662969248902</v>
      </c>
      <c r="J6409">
        <v>0.66223214916006001</v>
      </c>
      <c r="K6409">
        <v>0.55796237403054605</v>
      </c>
      <c r="L6409">
        <v>1850.27824700983</v>
      </c>
      <c r="M6409">
        <v>36.063633290418501</v>
      </c>
      <c r="O6409">
        <v>51.148940686965901</v>
      </c>
      <c r="P6409">
        <v>-6.8411619071770596E-2</v>
      </c>
      <c r="Q6409">
        <v>0.61188925415374495</v>
      </c>
      <c r="R6409">
        <v>0.95124618605839795</v>
      </c>
      <c r="S6409" t="s">
        <v>13025</v>
      </c>
      <c r="T6409" t="s">
        <v>13232</v>
      </c>
      <c r="U6409" t="s">
        <v>13232</v>
      </c>
      <c r="V6409" t="s">
        <v>13232</v>
      </c>
      <c r="W6409" t="s">
        <v>19566</v>
      </c>
      <c r="X6409">
        <v>7</v>
      </c>
      <c r="Y6409" t="s">
        <v>25934</v>
      </c>
      <c r="Z6409" t="s">
        <v>32540</v>
      </c>
      <c r="AA6409">
        <v>0.75984956152725402</v>
      </c>
      <c r="AB6409" t="str">
        <f>HYPERLINK("Melting_Curves/meltCurve_Q9Y2K2_SIK3.pdf", "Melting_Curves/meltCurve_Q9Y2K2_SIK3.pdf")</f>
        <v>Melting_Curves/meltCurve_Q9Y2K2_SIK3.pdf</v>
      </c>
    </row>
    <row r="6410" spans="1:28" x14ac:dyDescent="0.25">
      <c r="A6410" t="s">
        <v>6413</v>
      </c>
      <c r="B6410">
        <v>0.99930955844802105</v>
      </c>
      <c r="C6410">
        <v>1.0155340773822801</v>
      </c>
      <c r="D6410">
        <v>0.95084710062647604</v>
      </c>
      <c r="E6410">
        <v>0.66895571247095797</v>
      </c>
      <c r="F6410">
        <v>0.27388769826801901</v>
      </c>
      <c r="G6410">
        <v>0.210338393538955</v>
      </c>
      <c r="H6410">
        <v>0.15861317932840399</v>
      </c>
      <c r="I6410">
        <v>0.164399464544323</v>
      </c>
      <c r="J6410">
        <v>0.14564276822564801</v>
      </c>
      <c r="K6410">
        <v>0.115221633028998</v>
      </c>
      <c r="L6410">
        <v>1771.6176044423</v>
      </c>
      <c r="M6410">
        <v>35.0398282650347</v>
      </c>
      <c r="N6410">
        <v>51.090320062895501</v>
      </c>
      <c r="O6410">
        <v>50.396284755783</v>
      </c>
      <c r="P6410">
        <v>-0.147326765457822</v>
      </c>
      <c r="Q6410">
        <v>0.15242792895389901</v>
      </c>
      <c r="R6410">
        <v>0.99658871292867601</v>
      </c>
      <c r="S6410" t="s">
        <v>13026</v>
      </c>
      <c r="T6410" t="s">
        <v>13232</v>
      </c>
      <c r="U6410" t="s">
        <v>13232</v>
      </c>
      <c r="V6410" t="s">
        <v>13232</v>
      </c>
      <c r="W6410" t="s">
        <v>19567</v>
      </c>
      <c r="X6410">
        <v>13</v>
      </c>
      <c r="Y6410" t="s">
        <v>25935</v>
      </c>
      <c r="Z6410" t="s">
        <v>32541</v>
      </c>
      <c r="AA6410">
        <v>0.4546454666897557</v>
      </c>
      <c r="AB6410" t="str">
        <f>HYPERLINK("Melting_Curves/meltCurve_Q9Y2K7_KDM2A.pdf", "Melting_Curves/meltCurve_Q9Y2K7_KDM2A.pdf")</f>
        <v>Melting_Curves/meltCurve_Q9Y2K7_KDM2A.pdf</v>
      </c>
    </row>
    <row r="6411" spans="1:28" x14ac:dyDescent="0.25">
      <c r="A6411" t="s">
        <v>6414</v>
      </c>
      <c r="B6411">
        <v>0.99930955844802105</v>
      </c>
      <c r="C6411">
        <v>0.92460907735875697</v>
      </c>
      <c r="D6411">
        <v>0.82263064589150003</v>
      </c>
      <c r="E6411">
        <v>0.55633207346816305</v>
      </c>
      <c r="F6411">
        <v>0.20163442374469501</v>
      </c>
      <c r="G6411">
        <v>0.122416790565105</v>
      </c>
      <c r="H6411">
        <v>7.4600669673218503E-2</v>
      </c>
      <c r="I6411">
        <v>6.1498962743505199E-2</v>
      </c>
      <c r="J6411">
        <v>5.5913070633504203E-2</v>
      </c>
      <c r="K6411">
        <v>4.1855177413720003E-2</v>
      </c>
      <c r="L6411">
        <v>994.98840917439497</v>
      </c>
      <c r="M6411">
        <v>19.9933278083898</v>
      </c>
      <c r="N6411">
        <v>49.9968228803789</v>
      </c>
      <c r="O6411">
        <v>49.276180418515402</v>
      </c>
      <c r="P6411">
        <v>-9.6966759937148705E-2</v>
      </c>
      <c r="Q6411">
        <v>4.4081949914912502E-2</v>
      </c>
      <c r="R6411">
        <v>0.99364025127213595</v>
      </c>
      <c r="S6411" t="s">
        <v>13027</v>
      </c>
      <c r="T6411" t="s">
        <v>13232</v>
      </c>
      <c r="U6411" t="s">
        <v>13232</v>
      </c>
      <c r="V6411" t="s">
        <v>13232</v>
      </c>
      <c r="W6411" t="s">
        <v>19568</v>
      </c>
      <c r="X6411">
        <v>38</v>
      </c>
      <c r="Y6411" t="s">
        <v>25936</v>
      </c>
      <c r="Z6411" t="s">
        <v>32542</v>
      </c>
      <c r="AA6411">
        <v>0.36859551734599272</v>
      </c>
      <c r="AB6411" t="str">
        <f>HYPERLINK("Melting_Curves/meltCurve_Q9Y2L1_DIS3.pdf", "Melting_Curves/meltCurve_Q9Y2L1_DIS3.pdf")</f>
        <v>Melting_Curves/meltCurve_Q9Y2L1_DIS3.pdf</v>
      </c>
    </row>
    <row r="6412" spans="1:28" x14ac:dyDescent="0.25">
      <c r="A6412" t="s">
        <v>6415</v>
      </c>
      <c r="B6412">
        <v>0.99930955844802105</v>
      </c>
      <c r="C6412">
        <v>0.97403949252546396</v>
      </c>
      <c r="D6412">
        <v>0.92840493421244996</v>
      </c>
      <c r="E6412">
        <v>0.737823980486908</v>
      </c>
      <c r="F6412">
        <v>0.52667129412646696</v>
      </c>
      <c r="G6412">
        <v>0.351791549832491</v>
      </c>
      <c r="H6412">
        <v>0.28002672629140302</v>
      </c>
      <c r="I6412">
        <v>0.28550964049767402</v>
      </c>
      <c r="J6412">
        <v>0.22655124740874499</v>
      </c>
      <c r="K6412">
        <v>0.188940330210639</v>
      </c>
      <c r="L6412">
        <v>884.87182308076694</v>
      </c>
      <c r="M6412">
        <v>17.044724959313299</v>
      </c>
      <c r="N6412">
        <v>53.679846014626399</v>
      </c>
      <c r="O6412">
        <v>51.215929602268197</v>
      </c>
      <c r="P6412">
        <v>-6.5355204691989799E-2</v>
      </c>
      <c r="Q6412">
        <v>0.214532045907947</v>
      </c>
      <c r="R6412">
        <v>0.99663378348402198</v>
      </c>
      <c r="S6412" t="s">
        <v>13028</v>
      </c>
      <c r="T6412" t="s">
        <v>13232</v>
      </c>
      <c r="U6412" t="s">
        <v>13232</v>
      </c>
      <c r="V6412" t="s">
        <v>13232</v>
      </c>
      <c r="W6412" t="s">
        <v>19569</v>
      </c>
      <c r="X6412">
        <v>9</v>
      </c>
      <c r="Y6412" t="s">
        <v>25937</v>
      </c>
      <c r="Z6412" t="s">
        <v>32543</v>
      </c>
      <c r="AA6412">
        <v>0.54083534485206108</v>
      </c>
      <c r="AB6412" t="str">
        <f>HYPERLINK("Melting_Curves/meltCurve_Q9Y2L9_2_LRCH1.pdf", "Melting_Curves/meltCurve_Q9Y2L9_2_LRCH1.pdf")</f>
        <v>Melting_Curves/meltCurve_Q9Y2L9_2_LRCH1.pdf</v>
      </c>
    </row>
    <row r="6413" spans="1:28" x14ac:dyDescent="0.25">
      <c r="A6413" t="s">
        <v>6416</v>
      </c>
      <c r="B6413">
        <v>0.99930955844802105</v>
      </c>
      <c r="C6413">
        <v>0.80487998761061497</v>
      </c>
      <c r="D6413">
        <v>0.63577206709987499</v>
      </c>
      <c r="E6413">
        <v>0.27767301780076897</v>
      </c>
      <c r="F6413">
        <v>0.14024637290483599</v>
      </c>
      <c r="G6413">
        <v>8.7336870791348095E-2</v>
      </c>
      <c r="H6413">
        <v>5.4965261239911099E-2</v>
      </c>
      <c r="I6413">
        <v>3.9611199674206399E-2</v>
      </c>
      <c r="J6413">
        <v>2.8016285635574199E-2</v>
      </c>
      <c r="K6413">
        <v>2.6164388824232498E-2</v>
      </c>
      <c r="L6413">
        <v>817.417410454079</v>
      </c>
      <c r="M6413">
        <v>17.367528009912899</v>
      </c>
      <c r="N6413">
        <v>47.227024816917798</v>
      </c>
      <c r="O6413">
        <v>46.4551431761926</v>
      </c>
      <c r="P6413">
        <v>-9.0779682568681602E-2</v>
      </c>
      <c r="Q6413">
        <v>2.87750628224029E-2</v>
      </c>
      <c r="R6413">
        <v>0.99600057998869895</v>
      </c>
      <c r="S6413" t="s">
        <v>13029</v>
      </c>
      <c r="T6413" t="s">
        <v>13232</v>
      </c>
      <c r="U6413" t="s">
        <v>13232</v>
      </c>
      <c r="V6413" t="s">
        <v>13232</v>
      </c>
      <c r="W6413" t="s">
        <v>19570</v>
      </c>
      <c r="X6413">
        <v>3</v>
      </c>
      <c r="Y6413" t="s">
        <v>25938</v>
      </c>
      <c r="Z6413" t="s">
        <v>32544</v>
      </c>
      <c r="AA6413">
        <v>0.27682398927922469</v>
      </c>
      <c r="AB6413" t="str">
        <f>HYPERLINK("Melting_Curves/meltCurve_Q9Y2P8_RCL1.pdf", "Melting_Curves/meltCurve_Q9Y2P8_RCL1.pdf")</f>
        <v>Melting_Curves/meltCurve_Q9Y2P8_RCL1.pdf</v>
      </c>
    </row>
    <row r="6414" spans="1:28" x14ac:dyDescent="0.25">
      <c r="A6414" t="s">
        <v>6417</v>
      </c>
      <c r="B6414">
        <v>0.99930955844802105</v>
      </c>
      <c r="C6414">
        <v>1.0248821727249</v>
      </c>
      <c r="D6414">
        <v>0.97868576287503095</v>
      </c>
      <c r="E6414">
        <v>0.61892359094831195</v>
      </c>
      <c r="F6414">
        <v>0.16734336914377199</v>
      </c>
      <c r="G6414">
        <v>0.117956953563485</v>
      </c>
      <c r="H6414">
        <v>7.2405959452917196E-2</v>
      </c>
      <c r="I6414">
        <v>6.02276460690701E-2</v>
      </c>
      <c r="J6414">
        <v>6.0219634716002703E-2</v>
      </c>
      <c r="K6414">
        <v>4.1221840223965099E-2</v>
      </c>
      <c r="L6414">
        <v>2113.5167453019699</v>
      </c>
      <c r="M6414">
        <v>41.910909126781597</v>
      </c>
      <c r="N6414">
        <v>50.603780145595103</v>
      </c>
      <c r="O6414">
        <v>50.314393711369902</v>
      </c>
      <c r="P6414">
        <v>-0.19419966177770701</v>
      </c>
      <c r="Q6414">
        <v>6.7448391018253395E-2</v>
      </c>
      <c r="R6414">
        <v>0.99802455020865499</v>
      </c>
      <c r="S6414" t="s">
        <v>13030</v>
      </c>
      <c r="T6414" t="s">
        <v>13232</v>
      </c>
      <c r="U6414" t="s">
        <v>13232</v>
      </c>
      <c r="V6414" t="s">
        <v>13232</v>
      </c>
      <c r="W6414" t="s">
        <v>19571</v>
      </c>
      <c r="X6414">
        <v>12</v>
      </c>
      <c r="Y6414" t="s">
        <v>25939</v>
      </c>
      <c r="Z6414" t="s">
        <v>32545</v>
      </c>
      <c r="AA6414">
        <v>0.39458740460743191</v>
      </c>
      <c r="AB6414" t="str">
        <f>HYPERLINK("Melting_Curves/meltCurve_Q9Y2Q3_GSTK1.pdf", "Melting_Curves/meltCurve_Q9Y2Q3_GSTK1.pdf")</f>
        <v>Melting_Curves/meltCurve_Q9Y2Q3_GSTK1.pdf</v>
      </c>
    </row>
    <row r="6415" spans="1:28" x14ac:dyDescent="0.25">
      <c r="A6415" t="s">
        <v>6418</v>
      </c>
      <c r="B6415">
        <v>0.99930955844802105</v>
      </c>
      <c r="C6415">
        <v>0.94774583261058798</v>
      </c>
      <c r="D6415">
        <v>0.94639225382032899</v>
      </c>
      <c r="E6415">
        <v>0.85954594167100695</v>
      </c>
      <c r="F6415">
        <v>0.71636196690779397</v>
      </c>
      <c r="G6415">
        <v>0.58412050246801395</v>
      </c>
      <c r="H6415">
        <v>0.42012953873625702</v>
      </c>
      <c r="I6415">
        <v>0.29467557179877102</v>
      </c>
      <c r="J6415">
        <v>0.147230291789023</v>
      </c>
      <c r="K6415">
        <v>6.3309491155483497E-2</v>
      </c>
      <c r="L6415">
        <v>660.95917426877304</v>
      </c>
      <c r="M6415">
        <v>11.347610886543</v>
      </c>
      <c r="N6415">
        <v>58.246530273891501</v>
      </c>
      <c r="O6415">
        <v>56.525639088672399</v>
      </c>
      <c r="P6415">
        <v>-5.0202922935527798E-2</v>
      </c>
      <c r="Q6415">
        <v>0</v>
      </c>
      <c r="R6415">
        <v>0.98900739319541697</v>
      </c>
      <c r="S6415" t="s">
        <v>13031</v>
      </c>
      <c r="T6415" t="s">
        <v>13232</v>
      </c>
      <c r="U6415" t="s">
        <v>13232</v>
      </c>
      <c r="V6415" t="s">
        <v>13232</v>
      </c>
      <c r="W6415" t="s">
        <v>19572</v>
      </c>
      <c r="X6415">
        <v>5</v>
      </c>
      <c r="Y6415" t="s">
        <v>25940</v>
      </c>
      <c r="Z6415" t="s">
        <v>32546</v>
      </c>
      <c r="AA6415">
        <v>0.61904812467338322</v>
      </c>
      <c r="AB6415" t="str">
        <f>HYPERLINK("Melting_Curves/meltCurve_Q9Y2Q5_LAMTOR2.pdf", "Melting_Curves/meltCurve_Q9Y2Q5_LAMTOR2.pdf")</f>
        <v>Melting_Curves/meltCurve_Q9Y2Q5_LAMTOR2.pdf</v>
      </c>
    </row>
    <row r="6416" spans="1:28" x14ac:dyDescent="0.25">
      <c r="A6416" t="s">
        <v>6419</v>
      </c>
      <c r="B6416">
        <v>0.99930955844802105</v>
      </c>
      <c r="C6416">
        <v>0.65515537964397097</v>
      </c>
      <c r="D6416">
        <v>0.30554552324486101</v>
      </c>
      <c r="E6416">
        <v>0.25545868486294798</v>
      </c>
      <c r="F6416">
        <v>0.17039765292777601</v>
      </c>
      <c r="G6416">
        <v>0.16950776869444001</v>
      </c>
      <c r="H6416">
        <v>0.17480706214458699</v>
      </c>
      <c r="I6416">
        <v>0.21372881947213099</v>
      </c>
      <c r="J6416">
        <v>0.29810798954774398</v>
      </c>
      <c r="K6416">
        <v>0.18362846493512699</v>
      </c>
      <c r="L6416">
        <v>1584.33880637315</v>
      </c>
      <c r="M6416">
        <v>36.606458717809502</v>
      </c>
      <c r="N6416">
        <v>43.932694607538103</v>
      </c>
      <c r="O6416">
        <v>43.151732725374004</v>
      </c>
      <c r="P6416">
        <v>-0.167612408989326</v>
      </c>
      <c r="Q6416">
        <v>0.20967516964896299</v>
      </c>
      <c r="R6416">
        <v>0.97563863207634305</v>
      </c>
      <c r="S6416" t="s">
        <v>13032</v>
      </c>
      <c r="T6416" t="s">
        <v>13232</v>
      </c>
      <c r="U6416" t="s">
        <v>13232</v>
      </c>
      <c r="V6416" t="s">
        <v>13232</v>
      </c>
      <c r="W6416" t="s">
        <v>19573</v>
      </c>
      <c r="X6416">
        <v>12</v>
      </c>
      <c r="Y6416" t="s">
        <v>25941</v>
      </c>
      <c r="Z6416" t="s">
        <v>32547</v>
      </c>
      <c r="AA6416">
        <v>0.30014958994151891</v>
      </c>
      <c r="AB6416" t="str">
        <f>HYPERLINK("Melting_Curves/meltCurve_Q9Y2R4_DDX52.pdf", "Melting_Curves/meltCurve_Q9Y2R4_DDX52.pdf")</f>
        <v>Melting_Curves/meltCurve_Q9Y2R4_DDX52.pdf</v>
      </c>
    </row>
    <row r="6417" spans="1:28" x14ac:dyDescent="0.25">
      <c r="A6417" t="s">
        <v>6420</v>
      </c>
      <c r="B6417">
        <v>0.99930955844802105</v>
      </c>
      <c r="C6417">
        <v>0.81828888345755701</v>
      </c>
      <c r="D6417">
        <v>0.64386778597170802</v>
      </c>
      <c r="E6417">
        <v>0.44124310390885702</v>
      </c>
      <c r="F6417">
        <v>0.30608642392414298</v>
      </c>
      <c r="G6417">
        <v>0.20824911964633899</v>
      </c>
      <c r="H6417">
        <v>0.14381492068047</v>
      </c>
      <c r="I6417">
        <v>0.13582100148353901</v>
      </c>
      <c r="J6417">
        <v>0.12014284650831999</v>
      </c>
      <c r="K6417">
        <v>0.110889579079762</v>
      </c>
      <c r="L6417">
        <v>625.99621617696801</v>
      </c>
      <c r="M6417">
        <v>13.075890013615901</v>
      </c>
      <c r="N6417">
        <v>48.718549284532202</v>
      </c>
      <c r="O6417">
        <v>46.795879455874598</v>
      </c>
      <c r="P6417">
        <v>-6.2783245410177199E-2</v>
      </c>
      <c r="Q6417">
        <v>0.10140270473200801</v>
      </c>
      <c r="R6417">
        <v>0.99435300363761903</v>
      </c>
      <c r="S6417" t="s">
        <v>13033</v>
      </c>
      <c r="T6417" t="s">
        <v>13232</v>
      </c>
      <c r="U6417" t="s">
        <v>13232</v>
      </c>
      <c r="V6417" t="s">
        <v>13232</v>
      </c>
      <c r="W6417" t="s">
        <v>19574</v>
      </c>
      <c r="X6417">
        <v>4</v>
      </c>
      <c r="Y6417" t="s">
        <v>25942</v>
      </c>
      <c r="Z6417" t="s">
        <v>32548</v>
      </c>
      <c r="AA6417">
        <v>0.36758277585162868</v>
      </c>
      <c r="AB6417" t="str">
        <f>HYPERLINK("Melting_Curves/meltCurve_Q9Y2S0_POLR1D.pdf", "Melting_Curves/meltCurve_Q9Y2S0_POLR1D.pdf")</f>
        <v>Melting_Curves/meltCurve_Q9Y2S0_POLR1D.pdf</v>
      </c>
    </row>
    <row r="6418" spans="1:28" x14ac:dyDescent="0.25">
      <c r="A6418" t="s">
        <v>6421</v>
      </c>
      <c r="B6418">
        <v>0.99930955844802105</v>
      </c>
      <c r="C6418">
        <v>0.98167830818991597</v>
      </c>
      <c r="D6418">
        <v>0.93562687650036203</v>
      </c>
      <c r="E6418">
        <v>0.82779966441310004</v>
      </c>
      <c r="F6418">
        <v>0.45102175946925399</v>
      </c>
      <c r="G6418">
        <v>0.25099972429652501</v>
      </c>
      <c r="H6418">
        <v>0.128479995262619</v>
      </c>
      <c r="I6418">
        <v>0.13446295320138901</v>
      </c>
      <c r="J6418">
        <v>0.10310218341347201</v>
      </c>
      <c r="K6418">
        <v>8.0937402748121307E-2</v>
      </c>
      <c r="L6418">
        <v>1260.7853553995899</v>
      </c>
      <c r="M6418">
        <v>24.0550042809943</v>
      </c>
      <c r="N6418">
        <v>52.923802642350601</v>
      </c>
      <c r="O6418">
        <v>52.054407593480903</v>
      </c>
      <c r="P6418">
        <v>-0.103553666244159</v>
      </c>
      <c r="Q6418">
        <v>0.103664215915278</v>
      </c>
      <c r="R6418">
        <v>0.99514236529271505</v>
      </c>
      <c r="S6418" t="s">
        <v>13034</v>
      </c>
      <c r="T6418" t="s">
        <v>13232</v>
      </c>
      <c r="U6418" t="s">
        <v>13232</v>
      </c>
      <c r="V6418" t="s">
        <v>13232</v>
      </c>
      <c r="W6418" t="s">
        <v>19575</v>
      </c>
      <c r="X6418">
        <v>6</v>
      </c>
      <c r="Y6418" t="s">
        <v>25943</v>
      </c>
      <c r="Z6418" t="s">
        <v>32549</v>
      </c>
      <c r="AA6418">
        <v>0.48336293694026689</v>
      </c>
      <c r="AB6418" t="str">
        <f>HYPERLINK("Melting_Curves/meltCurve_Q9Y2S2_2_CRYL1.pdf", "Melting_Curves/meltCurve_Q9Y2S2_2_CRYL1.pdf")</f>
        <v>Melting_Curves/meltCurve_Q9Y2S2_2_CRYL1.pdf</v>
      </c>
    </row>
    <row r="6419" spans="1:28" x14ac:dyDescent="0.25">
      <c r="A6419" t="s">
        <v>6422</v>
      </c>
      <c r="B6419">
        <v>0.99930955844802105</v>
      </c>
      <c r="C6419">
        <v>1.17080266149919</v>
      </c>
      <c r="D6419">
        <v>1.1578659664208</v>
      </c>
      <c r="E6419">
        <v>1.1514313088653501</v>
      </c>
      <c r="F6419">
        <v>1.1131199148748701</v>
      </c>
      <c r="G6419">
        <v>1.1519838283014101</v>
      </c>
      <c r="H6419">
        <v>1.2661864170120101</v>
      </c>
      <c r="I6419">
        <v>1.3491973767660399</v>
      </c>
      <c r="J6419">
        <v>1.3004388006396199</v>
      </c>
      <c r="K6419">
        <v>1.08355626192594</v>
      </c>
      <c r="L6419">
        <v>352.97954761547697</v>
      </c>
      <c r="M6419">
        <v>7.7788845085965201</v>
      </c>
      <c r="O6419">
        <v>42.670600901949001</v>
      </c>
      <c r="P6419">
        <v>1.12850853574282E-2</v>
      </c>
      <c r="Q6419">
        <v>1.2473040159156401</v>
      </c>
      <c r="R6419">
        <v>0.34995371651282697</v>
      </c>
      <c r="S6419" t="s">
        <v>13035</v>
      </c>
      <c r="T6419" t="s">
        <v>13232</v>
      </c>
      <c r="U6419" t="s">
        <v>13232</v>
      </c>
      <c r="V6419" t="s">
        <v>13232</v>
      </c>
      <c r="W6419" t="s">
        <v>19576</v>
      </c>
      <c r="X6419">
        <v>5</v>
      </c>
      <c r="Y6419" t="s">
        <v>25944</v>
      </c>
      <c r="Z6419" t="s">
        <v>32550</v>
      </c>
      <c r="AA6419">
        <v>1.179298996907008</v>
      </c>
      <c r="AB6419" t="str">
        <f>HYPERLINK("Melting_Curves/meltCurve_Q9Y2S6_TMA7.pdf", "Melting_Curves/meltCurve_Q9Y2S6_TMA7.pdf")</f>
        <v>Melting_Curves/meltCurve_Q9Y2S6_TMA7.pdf</v>
      </c>
    </row>
    <row r="6420" spans="1:28" x14ac:dyDescent="0.25">
      <c r="A6420" t="s">
        <v>6423</v>
      </c>
      <c r="B6420">
        <v>0.99930955844802105</v>
      </c>
      <c r="C6420">
        <v>1.03465537740637</v>
      </c>
      <c r="D6420">
        <v>0.96331251706398202</v>
      </c>
      <c r="E6420">
        <v>0.67962849056743901</v>
      </c>
      <c r="F6420">
        <v>0.28549050142506799</v>
      </c>
      <c r="G6420">
        <v>0.159321371730301</v>
      </c>
      <c r="H6420">
        <v>8.3616536191990207E-2</v>
      </c>
      <c r="I6420">
        <v>7.2537219795846306E-2</v>
      </c>
      <c r="J6420">
        <v>7.0460688657547496E-2</v>
      </c>
      <c r="K6420">
        <v>4.5754191228471103E-2</v>
      </c>
      <c r="L6420">
        <v>1499.8202343278299</v>
      </c>
      <c r="M6420">
        <v>29.393859511529001</v>
      </c>
      <c r="N6420">
        <v>51.301045387455602</v>
      </c>
      <c r="O6420">
        <v>50.7905310059313</v>
      </c>
      <c r="P6420">
        <v>-0.13409839365433501</v>
      </c>
      <c r="Q6420">
        <v>7.3156019985663095E-2</v>
      </c>
      <c r="R6420">
        <v>0.99711029503673798</v>
      </c>
      <c r="S6420" t="s">
        <v>13036</v>
      </c>
      <c r="T6420" t="s">
        <v>13232</v>
      </c>
      <c r="U6420" t="s">
        <v>13232</v>
      </c>
      <c r="V6420" t="s">
        <v>13232</v>
      </c>
      <c r="W6420" t="s">
        <v>19577</v>
      </c>
      <c r="X6420">
        <v>11</v>
      </c>
      <c r="Y6420" t="s">
        <v>25945</v>
      </c>
      <c r="Z6420" t="s">
        <v>32551</v>
      </c>
      <c r="AA6420">
        <v>0.41984259317293632</v>
      </c>
      <c r="AB6420" t="str">
        <f>HYPERLINK("Melting_Curves/meltCurve_Q9Y2S7_POLDIP2.pdf", "Melting_Curves/meltCurve_Q9Y2S7_POLDIP2.pdf")</f>
        <v>Melting_Curves/meltCurve_Q9Y2S7_POLDIP2.pdf</v>
      </c>
    </row>
    <row r="6421" spans="1:28" x14ac:dyDescent="0.25">
      <c r="A6421" t="s">
        <v>6424</v>
      </c>
      <c r="B6421">
        <v>0.99930955844802105</v>
      </c>
      <c r="C6421">
        <v>0.92649130901189103</v>
      </c>
      <c r="D6421">
        <v>0.94218058753601797</v>
      </c>
      <c r="E6421">
        <v>0.76098572751603999</v>
      </c>
      <c r="F6421">
        <v>0.48144597053451299</v>
      </c>
      <c r="G6421">
        <v>0.25561139765889201</v>
      </c>
      <c r="H6421">
        <v>0.131342966005111</v>
      </c>
      <c r="I6421">
        <v>8.73580141191901E-2</v>
      </c>
      <c r="J6421">
        <v>5.7278810411323502E-2</v>
      </c>
      <c r="K6421">
        <v>4.71398692834092E-2</v>
      </c>
      <c r="L6421">
        <v>917.50655332217298</v>
      </c>
      <c r="M6421">
        <v>17.369021236563899</v>
      </c>
      <c r="N6421">
        <v>53.070036720571203</v>
      </c>
      <c r="O6421">
        <v>52.139007643705597</v>
      </c>
      <c r="P6421">
        <v>-8.00690641174579E-2</v>
      </c>
      <c r="Q6421">
        <v>3.8636783880174302E-2</v>
      </c>
      <c r="R6421">
        <v>0.99684328067609995</v>
      </c>
      <c r="S6421" t="s">
        <v>13037</v>
      </c>
      <c r="T6421" t="s">
        <v>13232</v>
      </c>
      <c r="U6421" t="s">
        <v>13232</v>
      </c>
      <c r="V6421" t="s">
        <v>13232</v>
      </c>
      <c r="W6421" t="s">
        <v>19578</v>
      </c>
      <c r="X6421">
        <v>15</v>
      </c>
      <c r="Y6421" t="s">
        <v>25946</v>
      </c>
      <c r="Z6421" t="s">
        <v>32552</v>
      </c>
      <c r="AA6421">
        <v>0.46631873957287617</v>
      </c>
      <c r="AB6421" t="str">
        <f>HYPERLINK("Melting_Curves/meltCurve_Q9Y2T2_AP3M1.pdf", "Melting_Curves/meltCurve_Q9Y2T2_AP3M1.pdf")</f>
        <v>Melting_Curves/meltCurve_Q9Y2T2_AP3M1.pdf</v>
      </c>
    </row>
    <row r="6422" spans="1:28" x14ac:dyDescent="0.25">
      <c r="A6422" t="s">
        <v>6425</v>
      </c>
      <c r="B6422">
        <v>0.99930955844802105</v>
      </c>
      <c r="C6422">
        <v>0.988080427342935</v>
      </c>
      <c r="D6422">
        <v>0.79419312808165199</v>
      </c>
      <c r="E6422">
        <v>0.75935502827884904</v>
      </c>
      <c r="F6422">
        <v>0.686223529012566</v>
      </c>
      <c r="G6422">
        <v>0.72845255477803394</v>
      </c>
      <c r="H6422">
        <v>0.73293404473169799</v>
      </c>
      <c r="I6422">
        <v>0.89057262573224505</v>
      </c>
      <c r="J6422">
        <v>0.91210137056020502</v>
      </c>
      <c r="K6422">
        <v>0.69438978816214003</v>
      </c>
      <c r="L6422">
        <v>3273.88837660945</v>
      </c>
      <c r="M6422">
        <v>73.405753159367507</v>
      </c>
      <c r="O6422">
        <v>44.5668028273099</v>
      </c>
      <c r="P6422">
        <v>-9.3880608885890601E-2</v>
      </c>
      <c r="Q6422">
        <v>0.77200917688473203</v>
      </c>
      <c r="R6422">
        <v>0.60372200987051905</v>
      </c>
      <c r="S6422" t="s">
        <v>13038</v>
      </c>
      <c r="T6422" t="s">
        <v>13232</v>
      </c>
      <c r="U6422" t="s">
        <v>13232</v>
      </c>
      <c r="V6422" t="s">
        <v>13232</v>
      </c>
      <c r="W6422" t="s">
        <v>19579</v>
      </c>
      <c r="X6422">
        <v>9</v>
      </c>
      <c r="Y6422" t="s">
        <v>25947</v>
      </c>
      <c r="Z6422" t="s">
        <v>32553</v>
      </c>
      <c r="AA6422">
        <v>0.80717517716137399</v>
      </c>
      <c r="AB6422" t="str">
        <f>HYPERLINK("Melting_Curves/meltCurve_Q9Y2T7_YBX2.pdf", "Melting_Curves/meltCurve_Q9Y2T7_YBX2.pdf")</f>
        <v>Melting_Curves/meltCurve_Q9Y2T7_YBX2.pdf</v>
      </c>
    </row>
    <row r="6423" spans="1:28" x14ac:dyDescent="0.25">
      <c r="A6423" t="s">
        <v>6426</v>
      </c>
      <c r="B6423">
        <v>0.99930955844802105</v>
      </c>
      <c r="C6423">
        <v>1.0061809979540599</v>
      </c>
      <c r="D6423">
        <v>0.82876359380112496</v>
      </c>
      <c r="E6423">
        <v>0.62933931383300401</v>
      </c>
      <c r="F6423">
        <v>0.40759608990943103</v>
      </c>
      <c r="G6423">
        <v>0.26383751735593503</v>
      </c>
      <c r="H6423">
        <v>0.19522827770474899</v>
      </c>
      <c r="I6423">
        <v>0.22244898894819501</v>
      </c>
      <c r="J6423">
        <v>0.17105189947878399</v>
      </c>
      <c r="K6423">
        <v>0.153268776606961</v>
      </c>
      <c r="L6423">
        <v>867.21906132625497</v>
      </c>
      <c r="M6423">
        <v>17.206409512357101</v>
      </c>
      <c r="N6423">
        <v>51.602097943041599</v>
      </c>
      <c r="O6423">
        <v>49.734933164784898</v>
      </c>
      <c r="P6423">
        <v>-7.2222800307938401E-2</v>
      </c>
      <c r="Q6423">
        <v>0.165012604285938</v>
      </c>
      <c r="R6423">
        <v>0.99482099621058995</v>
      </c>
      <c r="S6423" t="s">
        <v>13039</v>
      </c>
      <c r="T6423" t="s">
        <v>13232</v>
      </c>
      <c r="U6423" t="s">
        <v>13232</v>
      </c>
      <c r="V6423" t="s">
        <v>13232</v>
      </c>
      <c r="W6423" t="s">
        <v>19580</v>
      </c>
      <c r="X6423">
        <v>3</v>
      </c>
      <c r="Y6423" t="s">
        <v>25948</v>
      </c>
      <c r="Z6423" t="s">
        <v>32554</v>
      </c>
      <c r="AA6423">
        <v>0.46989905813461791</v>
      </c>
      <c r="AB6423" t="str">
        <f>HYPERLINK("Melting_Curves/meltCurve_Q9Y2U5_MAP3K2.pdf", "Melting_Curves/meltCurve_Q9Y2U5_MAP3K2.pdf")</f>
        <v>Melting_Curves/meltCurve_Q9Y2U5_MAP3K2.pdf</v>
      </c>
    </row>
    <row r="6424" spans="1:28" x14ac:dyDescent="0.25">
      <c r="A6424" t="s">
        <v>6427</v>
      </c>
      <c r="B6424">
        <v>0.99930955844802105</v>
      </c>
      <c r="C6424">
        <v>1.1384117288250999</v>
      </c>
      <c r="D6424">
        <v>1.1184332587111601</v>
      </c>
      <c r="E6424">
        <v>1.1768147634174999</v>
      </c>
      <c r="F6424">
        <v>1.14758392702853</v>
      </c>
      <c r="G6424">
        <v>1.04355612554878</v>
      </c>
      <c r="H6424">
        <v>1.10379133847615</v>
      </c>
      <c r="I6424">
        <v>1.32060859826442</v>
      </c>
      <c r="J6424">
        <v>1.1752548129728</v>
      </c>
      <c r="K6424">
        <v>0.95941128228405204</v>
      </c>
      <c r="L6424">
        <v>10304.0800730301</v>
      </c>
      <c r="M6424">
        <v>250</v>
      </c>
      <c r="O6424">
        <v>41.213682998003598</v>
      </c>
      <c r="P6424">
        <v>0.19948072559628299</v>
      </c>
      <c r="Q6424">
        <v>1.1315413651848001</v>
      </c>
      <c r="R6424">
        <v>0.16729599025932099</v>
      </c>
      <c r="S6424" t="s">
        <v>13040</v>
      </c>
      <c r="T6424" t="s">
        <v>13232</v>
      </c>
      <c r="U6424" t="s">
        <v>13232</v>
      </c>
      <c r="V6424" t="s">
        <v>13232</v>
      </c>
      <c r="W6424" t="s">
        <v>19581</v>
      </c>
      <c r="X6424">
        <v>6</v>
      </c>
      <c r="Y6424" t="s">
        <v>25949</v>
      </c>
      <c r="Z6424" t="s">
        <v>32555</v>
      </c>
      <c r="AA6424">
        <v>1.1261982985238319</v>
      </c>
      <c r="AB6424" t="str">
        <f>HYPERLINK("Melting_Curves/meltCurve_Q9Y2U8_LEMD3.pdf", "Melting_Curves/meltCurve_Q9Y2U8_LEMD3.pdf")</f>
        <v>Melting_Curves/meltCurve_Q9Y2U8_LEMD3.pdf</v>
      </c>
    </row>
    <row r="6425" spans="1:28" x14ac:dyDescent="0.25">
      <c r="A6425" t="s">
        <v>6428</v>
      </c>
      <c r="B6425">
        <v>0.99930955844802105</v>
      </c>
      <c r="C6425">
        <v>0.86298912099719005</v>
      </c>
      <c r="D6425">
        <v>0.82793191719747505</v>
      </c>
      <c r="E6425">
        <v>0.619981265705836</v>
      </c>
      <c r="F6425">
        <v>0.44226681963794201</v>
      </c>
      <c r="G6425">
        <v>0.30163128568637798</v>
      </c>
      <c r="H6425">
        <v>0.27053057224684002</v>
      </c>
      <c r="I6425">
        <v>0.22250163742468301</v>
      </c>
      <c r="J6425">
        <v>0.20232390898171401</v>
      </c>
      <c r="K6425">
        <v>0.17056381887622299</v>
      </c>
      <c r="L6425">
        <v>628.22810179455598</v>
      </c>
      <c r="M6425">
        <v>12.453055211984699</v>
      </c>
      <c r="N6425">
        <v>52.0599410698157</v>
      </c>
      <c r="O6425">
        <v>49.199777740388598</v>
      </c>
      <c r="P6425">
        <v>-5.3164764225717399E-2</v>
      </c>
      <c r="Q6425">
        <v>0.15999740489851799</v>
      </c>
      <c r="R6425">
        <v>0.99321149019140598</v>
      </c>
      <c r="S6425" t="s">
        <v>13041</v>
      </c>
      <c r="T6425" t="s">
        <v>13232</v>
      </c>
      <c r="U6425" t="s">
        <v>13232</v>
      </c>
      <c r="V6425" t="s">
        <v>13232</v>
      </c>
      <c r="W6425" t="s">
        <v>19582</v>
      </c>
      <c r="X6425">
        <v>4</v>
      </c>
      <c r="Y6425" t="s">
        <v>25950</v>
      </c>
      <c r="Z6425" t="s">
        <v>32556</v>
      </c>
      <c r="AA6425">
        <v>0.47929837516201512</v>
      </c>
      <c r="AB6425" t="str">
        <f>HYPERLINK("Melting_Curves/meltCurve_Q9Y2V0_2_C15orf41.pdf", "Melting_Curves/meltCurve_Q9Y2V0_2_C15orf41.pdf")</f>
        <v>Melting_Curves/meltCurve_Q9Y2V0_2_C15orf41.pdf</v>
      </c>
    </row>
    <row r="6426" spans="1:28" x14ac:dyDescent="0.25">
      <c r="A6426" t="s">
        <v>6429</v>
      </c>
      <c r="B6426">
        <v>0.99930955844802105</v>
      </c>
      <c r="C6426">
        <v>1.1267533110537</v>
      </c>
      <c r="D6426">
        <v>1.0434317476737001</v>
      </c>
      <c r="E6426">
        <v>1.01065798228403</v>
      </c>
      <c r="F6426">
        <v>0.94188084061587296</v>
      </c>
      <c r="G6426">
        <v>0.62406395758003197</v>
      </c>
      <c r="H6426">
        <v>0.56554042663056903</v>
      </c>
      <c r="I6426">
        <v>0.59000034811508195</v>
      </c>
      <c r="J6426">
        <v>0.67607295345320195</v>
      </c>
      <c r="K6426">
        <v>0.48915029190557002</v>
      </c>
      <c r="L6426">
        <v>3052.0771956389099</v>
      </c>
      <c r="M6426">
        <v>55.731226931681597</v>
      </c>
      <c r="O6426">
        <v>54.693847815122098</v>
      </c>
      <c r="P6426">
        <v>-0.106959210783931</v>
      </c>
      <c r="Q6426">
        <v>0.58012715975345497</v>
      </c>
      <c r="R6426">
        <v>0.92975999948879695</v>
      </c>
      <c r="S6426" t="s">
        <v>13042</v>
      </c>
      <c r="T6426" t="s">
        <v>13232</v>
      </c>
      <c r="U6426" t="s">
        <v>13232</v>
      </c>
      <c r="V6426" t="s">
        <v>13232</v>
      </c>
      <c r="W6426" t="s">
        <v>19583</v>
      </c>
      <c r="X6426">
        <v>11</v>
      </c>
      <c r="Y6426" t="s">
        <v>25951</v>
      </c>
      <c r="Z6426" t="s">
        <v>32557</v>
      </c>
      <c r="AA6426">
        <v>0.7875790344994319</v>
      </c>
      <c r="AB6426" t="str">
        <f>HYPERLINK("Melting_Curves/meltCurve_Q9Y2V2_CARHSP1.pdf", "Melting_Curves/meltCurve_Q9Y2V2_CARHSP1.pdf")</f>
        <v>Melting_Curves/meltCurve_Q9Y2V2_CARHSP1.pdf</v>
      </c>
    </row>
    <row r="6427" spans="1:28" x14ac:dyDescent="0.25">
      <c r="A6427" t="s">
        <v>6430</v>
      </c>
      <c r="B6427">
        <v>0.99930955844802105</v>
      </c>
      <c r="C6427">
        <v>0.70444073348859404</v>
      </c>
      <c r="D6427">
        <v>0.53516480758678997</v>
      </c>
      <c r="E6427">
        <v>0.32551338033880201</v>
      </c>
      <c r="F6427">
        <v>0.17712178344799001</v>
      </c>
      <c r="G6427">
        <v>0.11997650013750601</v>
      </c>
      <c r="H6427">
        <v>7.2588801761370905E-2</v>
      </c>
      <c r="I6427">
        <v>6.4695601585576898E-2</v>
      </c>
      <c r="J6427">
        <v>5.48419284028362E-2</v>
      </c>
      <c r="K6427">
        <v>4.7465202617827301E-2</v>
      </c>
      <c r="L6427">
        <v>653.23256731917695</v>
      </c>
      <c r="M6427">
        <v>14.109950592382599</v>
      </c>
      <c r="N6427">
        <v>46.6196374550928</v>
      </c>
      <c r="O6427">
        <v>45.395725362475702</v>
      </c>
      <c r="P6427">
        <v>-7.4088239404109302E-2</v>
      </c>
      <c r="Q6427">
        <v>4.6670583956203403E-2</v>
      </c>
      <c r="R6427">
        <v>0.98628017399613599</v>
      </c>
      <c r="S6427" t="s">
        <v>13043</v>
      </c>
      <c r="T6427" t="s">
        <v>13232</v>
      </c>
      <c r="U6427" t="s">
        <v>13232</v>
      </c>
      <c r="V6427" t="s">
        <v>13232</v>
      </c>
      <c r="W6427" t="s">
        <v>19584</v>
      </c>
      <c r="X6427">
        <v>10</v>
      </c>
      <c r="Y6427" t="s">
        <v>25952</v>
      </c>
      <c r="Z6427" t="s">
        <v>32558</v>
      </c>
      <c r="AA6427">
        <v>0.27759514508522659</v>
      </c>
      <c r="AB6427" t="str">
        <f>HYPERLINK("Melting_Curves/meltCurve_Q9Y2V7_COG6.pdf", "Melting_Curves/meltCurve_Q9Y2V7_COG6.pdf")</f>
        <v>Melting_Curves/meltCurve_Q9Y2V7_COG6.pdf</v>
      </c>
    </row>
    <row r="6428" spans="1:28" x14ac:dyDescent="0.25">
      <c r="A6428" t="s">
        <v>6431</v>
      </c>
      <c r="B6428">
        <v>0.99930955844802105</v>
      </c>
      <c r="C6428">
        <v>1.0760716069446701</v>
      </c>
      <c r="D6428">
        <v>1.0555641624762</v>
      </c>
      <c r="E6428">
        <v>1.06110477225032</v>
      </c>
      <c r="F6428">
        <v>0.97480186217953302</v>
      </c>
      <c r="G6428">
        <v>0.94299789568409997</v>
      </c>
      <c r="H6428">
        <v>1.0468441623471301</v>
      </c>
      <c r="I6428">
        <v>1.19234830356945</v>
      </c>
      <c r="J6428">
        <v>1.33931658065335</v>
      </c>
      <c r="K6428">
        <v>0.99418523307530104</v>
      </c>
      <c r="L6428">
        <v>15000</v>
      </c>
      <c r="M6428">
        <v>244.89306913693699</v>
      </c>
      <c r="O6428">
        <v>61.247139217841699</v>
      </c>
      <c r="P6428">
        <v>0.175216272176524</v>
      </c>
      <c r="Q6428">
        <v>1.17528458869598</v>
      </c>
      <c r="R6428">
        <v>0.38449476364784402</v>
      </c>
      <c r="S6428" t="s">
        <v>13044</v>
      </c>
      <c r="T6428" t="s">
        <v>13232</v>
      </c>
      <c r="U6428" t="s">
        <v>13232</v>
      </c>
      <c r="V6428" t="s">
        <v>13232</v>
      </c>
      <c r="W6428" t="s">
        <v>19585</v>
      </c>
      <c r="X6428">
        <v>60</v>
      </c>
      <c r="Y6428" t="s">
        <v>25953</v>
      </c>
      <c r="Z6428" t="s">
        <v>32559</v>
      </c>
      <c r="AA6428">
        <v>1.051097889224671</v>
      </c>
      <c r="AB6428" t="str">
        <f>HYPERLINK("Melting_Curves/meltCurve_Q9Y2W1_THRAP3.pdf", "Melting_Curves/meltCurve_Q9Y2W1_THRAP3.pdf")</f>
        <v>Melting_Curves/meltCurve_Q9Y2W1_THRAP3.pdf</v>
      </c>
    </row>
    <row r="6429" spans="1:28" x14ac:dyDescent="0.25">
      <c r="A6429" t="s">
        <v>6432</v>
      </c>
      <c r="B6429">
        <v>0.99930955844802105</v>
      </c>
      <c r="C6429">
        <v>0.64598954555958499</v>
      </c>
      <c r="D6429">
        <v>0.71723811017888905</v>
      </c>
      <c r="E6429">
        <v>0.62962584872164196</v>
      </c>
      <c r="F6429">
        <v>0.36334665433935098</v>
      </c>
      <c r="G6429">
        <v>0.24114476186265901</v>
      </c>
      <c r="H6429">
        <v>0.13056763066506399</v>
      </c>
      <c r="I6429">
        <v>0.12529911335636301</v>
      </c>
      <c r="J6429">
        <v>0.12010687853440701</v>
      </c>
      <c r="K6429">
        <v>9.0022834564984305E-2</v>
      </c>
      <c r="L6429">
        <v>438.85610858352402</v>
      </c>
      <c r="M6429">
        <v>8.7233421233982291</v>
      </c>
      <c r="N6429">
        <v>50.308266979363701</v>
      </c>
      <c r="O6429">
        <v>47.874376798871999</v>
      </c>
      <c r="P6429">
        <v>-4.5590518698212797E-2</v>
      </c>
      <c r="Q6429">
        <v>0</v>
      </c>
      <c r="R6429">
        <v>0.93827191901489304</v>
      </c>
      <c r="S6429" t="s">
        <v>13045</v>
      </c>
      <c r="T6429" t="s">
        <v>13232</v>
      </c>
      <c r="U6429" t="s">
        <v>13232</v>
      </c>
      <c r="V6429" t="s">
        <v>13232</v>
      </c>
      <c r="W6429" t="s">
        <v>19586</v>
      </c>
      <c r="X6429">
        <v>5</v>
      </c>
      <c r="Y6429" t="s">
        <v>25954</v>
      </c>
      <c r="Z6429" t="s">
        <v>32560</v>
      </c>
      <c r="AA6429">
        <v>0.39592213975863838</v>
      </c>
      <c r="AB6429" t="str">
        <f>HYPERLINK("Melting_Curves/meltCurve_Q9Y2X0_2_MED16.pdf", "Melting_Curves/meltCurve_Q9Y2X0_2_MED16.pdf")</f>
        <v>Melting_Curves/meltCurve_Q9Y2X0_2_MED16.pdf</v>
      </c>
    </row>
    <row r="6430" spans="1:28" x14ac:dyDescent="0.25">
      <c r="A6430" t="s">
        <v>6433</v>
      </c>
      <c r="B6430">
        <v>0.99930955844802105</v>
      </c>
      <c r="C6430">
        <v>1.0024493678369399</v>
      </c>
      <c r="D6430">
        <v>0.97351733411563701</v>
      </c>
      <c r="E6430">
        <v>0.96797406850929202</v>
      </c>
      <c r="F6430">
        <v>0.87861910413224398</v>
      </c>
      <c r="G6430">
        <v>0.76038268103080398</v>
      </c>
      <c r="H6430">
        <v>0.67850491610283103</v>
      </c>
      <c r="I6430">
        <v>0.67891499658802001</v>
      </c>
      <c r="J6430">
        <v>0.65355111240530706</v>
      </c>
      <c r="K6430">
        <v>0.53286827081820998</v>
      </c>
      <c r="L6430">
        <v>683.37617963049695</v>
      </c>
      <c r="M6430">
        <v>11.794805208482</v>
      </c>
      <c r="O6430">
        <v>56.348535070632003</v>
      </c>
      <c r="P6430">
        <v>-2.4704858313503501E-2</v>
      </c>
      <c r="Q6430">
        <v>0.52802155181243704</v>
      </c>
      <c r="R6430">
        <v>0.97049793298576603</v>
      </c>
      <c r="S6430" t="s">
        <v>13046</v>
      </c>
      <c r="T6430" t="s">
        <v>13232</v>
      </c>
      <c r="U6430" t="s">
        <v>13232</v>
      </c>
      <c r="V6430" t="s">
        <v>13232</v>
      </c>
      <c r="W6430" t="s">
        <v>19587</v>
      </c>
      <c r="X6430">
        <v>16</v>
      </c>
      <c r="Y6430" t="s">
        <v>25955</v>
      </c>
      <c r="Z6430" t="s">
        <v>32561</v>
      </c>
      <c r="AA6430">
        <v>0.81629111455551828</v>
      </c>
      <c r="AB6430" t="str">
        <f>HYPERLINK("Melting_Curves/meltCurve_Q9Y2X3_NOP58.pdf", "Melting_Curves/meltCurve_Q9Y2X3_NOP58.pdf")</f>
        <v>Melting_Curves/meltCurve_Q9Y2X3_NOP58.pdf</v>
      </c>
    </row>
    <row r="6431" spans="1:28" x14ac:dyDescent="0.25">
      <c r="A6431" t="s">
        <v>6434</v>
      </c>
      <c r="B6431">
        <v>0.99930955844802105</v>
      </c>
      <c r="C6431">
        <v>0.97583276065102298</v>
      </c>
      <c r="D6431">
        <v>0.87939866587733095</v>
      </c>
      <c r="E6431">
        <v>0.72322127083065102</v>
      </c>
      <c r="F6431">
        <v>0.52031267966015105</v>
      </c>
      <c r="G6431">
        <v>0.40916791308820999</v>
      </c>
      <c r="H6431">
        <v>0.341833356715954</v>
      </c>
      <c r="I6431">
        <v>0.30238555094568398</v>
      </c>
      <c r="J6431">
        <v>0.264648067208618</v>
      </c>
      <c r="K6431">
        <v>0.17377892904681499</v>
      </c>
      <c r="L6431">
        <v>666.55598180360596</v>
      </c>
      <c r="M6431">
        <v>12.7746751370862</v>
      </c>
      <c r="N6431">
        <v>54.397608646793302</v>
      </c>
      <c r="O6431">
        <v>50.948894749004403</v>
      </c>
      <c r="P6431">
        <v>-4.9961090727078598E-2</v>
      </c>
      <c r="Q6431">
        <v>0.20311677001329101</v>
      </c>
      <c r="R6431">
        <v>0.99040484459658296</v>
      </c>
      <c r="S6431" t="s">
        <v>13047</v>
      </c>
      <c r="T6431" t="s">
        <v>13232</v>
      </c>
      <c r="U6431" t="s">
        <v>13232</v>
      </c>
      <c r="V6431" t="s">
        <v>13232</v>
      </c>
      <c r="W6431" t="s">
        <v>19588</v>
      </c>
      <c r="X6431">
        <v>20</v>
      </c>
      <c r="Y6431" t="s">
        <v>25956</v>
      </c>
      <c r="Z6431" t="s">
        <v>32562</v>
      </c>
      <c r="AA6431">
        <v>0.54882121008187557</v>
      </c>
      <c r="AB6431" t="str">
        <f>HYPERLINK("Melting_Curves/meltCurve_Q9Y2X7_GIT1.pdf", "Melting_Curves/meltCurve_Q9Y2X7_GIT1.pdf")</f>
        <v>Melting_Curves/meltCurve_Q9Y2X7_GIT1.pdf</v>
      </c>
    </row>
    <row r="6432" spans="1:28" x14ac:dyDescent="0.25">
      <c r="A6432" t="s">
        <v>6435</v>
      </c>
      <c r="B6432">
        <v>0.99930955844802105</v>
      </c>
      <c r="C6432">
        <v>0.614622645091219</v>
      </c>
      <c r="D6432">
        <v>0.69549396542298403</v>
      </c>
      <c r="E6432">
        <v>0.78136105815520696</v>
      </c>
      <c r="F6432">
        <v>0.53899387541253097</v>
      </c>
      <c r="G6432">
        <v>0.21067180045306899</v>
      </c>
      <c r="H6432">
        <v>0.137783121030981</v>
      </c>
      <c r="I6432">
        <v>0.12103814634087599</v>
      </c>
      <c r="J6432">
        <v>0.11887185094239799</v>
      </c>
      <c r="K6432">
        <v>0.124591800085608</v>
      </c>
      <c r="L6432">
        <v>443.08075286847799</v>
      </c>
      <c r="M6432">
        <v>8.5619978582414102</v>
      </c>
      <c r="N6432">
        <v>51.749687617144097</v>
      </c>
      <c r="O6432">
        <v>49.158586314348703</v>
      </c>
      <c r="P6432">
        <v>-4.3580915502571399E-2</v>
      </c>
      <c r="Q6432">
        <v>0</v>
      </c>
      <c r="R6432">
        <v>0.86284718520325199</v>
      </c>
      <c r="S6432" t="s">
        <v>13048</v>
      </c>
      <c r="T6432" t="s">
        <v>13232</v>
      </c>
      <c r="U6432" t="s">
        <v>13232</v>
      </c>
      <c r="V6432" t="s">
        <v>13232</v>
      </c>
      <c r="W6432" t="s">
        <v>19589</v>
      </c>
      <c r="X6432">
        <v>1</v>
      </c>
      <c r="Y6432" t="s">
        <v>25957</v>
      </c>
      <c r="Z6432" t="s">
        <v>32563</v>
      </c>
      <c r="AA6432">
        <v>0.43736733186657839</v>
      </c>
      <c r="AB6432" t="str">
        <f>HYPERLINK("Melting_Curves/meltCurve_Q9Y2Y1_POLR3K.pdf", "Melting_Curves/meltCurve_Q9Y2Y1_POLR3K.pdf")</f>
        <v>Melting_Curves/meltCurve_Q9Y2Y1_POLR3K.pdf</v>
      </c>
    </row>
    <row r="6433" spans="1:28" x14ac:dyDescent="0.25">
      <c r="A6433" t="s">
        <v>6436</v>
      </c>
      <c r="B6433">
        <v>0.99930955844802105</v>
      </c>
      <c r="C6433">
        <v>1.23988295053526</v>
      </c>
      <c r="D6433">
        <v>1.2180023600885299</v>
      </c>
      <c r="E6433">
        <v>1.17482698538325</v>
      </c>
      <c r="F6433">
        <v>1.06404841174886</v>
      </c>
      <c r="G6433">
        <v>0.81363875818525699</v>
      </c>
      <c r="H6433">
        <v>0.79996598228114602</v>
      </c>
      <c r="I6433">
        <v>0.67933286997388997</v>
      </c>
      <c r="J6433">
        <v>0.61755764741905395</v>
      </c>
      <c r="K6433">
        <v>0.52801243099751505</v>
      </c>
      <c r="L6433">
        <v>1171.2382549983599</v>
      </c>
      <c r="M6433">
        <v>18.994514183242799</v>
      </c>
      <c r="O6433">
        <v>60.990662020955597</v>
      </c>
      <c r="P6433">
        <v>-3.8450520076477E-2</v>
      </c>
      <c r="Q6433">
        <v>0.50616708307121006</v>
      </c>
      <c r="R6433">
        <v>0.74317400367981501</v>
      </c>
      <c r="S6433" t="s">
        <v>13049</v>
      </c>
      <c r="T6433" t="s">
        <v>13232</v>
      </c>
      <c r="U6433" t="s">
        <v>13232</v>
      </c>
      <c r="V6433" t="s">
        <v>13232</v>
      </c>
      <c r="W6433" t="s">
        <v>19590</v>
      </c>
      <c r="X6433">
        <v>1</v>
      </c>
      <c r="Y6433" t="s">
        <v>25958</v>
      </c>
      <c r="Z6433" t="s">
        <v>32564</v>
      </c>
      <c r="AA6433">
        <v>0.86453308027159603</v>
      </c>
      <c r="AB6433" t="str">
        <f>HYPERLINK("Melting_Curves/meltCurve_Q9Y2Y9_KLF13.pdf", "Melting_Curves/meltCurve_Q9Y2Y9_KLF13.pdf")</f>
        <v>Melting_Curves/meltCurve_Q9Y2Y9_KLF13.pdf</v>
      </c>
    </row>
    <row r="6434" spans="1:28" x14ac:dyDescent="0.25">
      <c r="A6434" t="s">
        <v>6437</v>
      </c>
      <c r="B6434">
        <v>0.99930955844802105</v>
      </c>
      <c r="C6434">
        <v>1.3298594665821399</v>
      </c>
      <c r="D6434">
        <v>1.2425781510035201</v>
      </c>
      <c r="E6434">
        <v>1.33578249223629</v>
      </c>
      <c r="F6434">
        <v>0.91188312130787696</v>
      </c>
      <c r="G6434">
        <v>0.55976356770984703</v>
      </c>
      <c r="H6434">
        <v>0.32178147685522202</v>
      </c>
      <c r="I6434">
        <v>0.21958027192010199</v>
      </c>
      <c r="J6434">
        <v>0.23185845296447299</v>
      </c>
      <c r="K6434">
        <v>0.27776659635171103</v>
      </c>
      <c r="L6434">
        <v>2284.6164361911701</v>
      </c>
      <c r="M6434">
        <v>40.421047961120799</v>
      </c>
      <c r="N6434">
        <v>57.510266358528199</v>
      </c>
      <c r="O6434">
        <v>56.382654511853197</v>
      </c>
      <c r="P6434">
        <v>-0.134306596656496</v>
      </c>
      <c r="Q6434">
        <v>0.25063324471896098</v>
      </c>
      <c r="R6434">
        <v>0.85597085205861201</v>
      </c>
      <c r="S6434" t="s">
        <v>13050</v>
      </c>
      <c r="T6434" t="s">
        <v>13232</v>
      </c>
      <c r="U6434" t="s">
        <v>13232</v>
      </c>
      <c r="V6434" t="s">
        <v>13232</v>
      </c>
      <c r="W6434" t="s">
        <v>19591</v>
      </c>
      <c r="X6434">
        <v>32</v>
      </c>
      <c r="Y6434" t="s">
        <v>25959</v>
      </c>
      <c r="Z6434" t="s">
        <v>32565</v>
      </c>
      <c r="AA6434">
        <v>0.66613963172656099</v>
      </c>
      <c r="AB6434" t="str">
        <f>HYPERLINK("Melting_Curves/meltCurve_Q9Y2Z0_SUGT1.pdf", "Melting_Curves/meltCurve_Q9Y2Z0_SUGT1.pdf")</f>
        <v>Melting_Curves/meltCurve_Q9Y2Z0_SUGT1.pdf</v>
      </c>
    </row>
    <row r="6435" spans="1:28" x14ac:dyDescent="0.25">
      <c r="A6435" t="s">
        <v>6438</v>
      </c>
      <c r="B6435">
        <v>0.99930955844802105</v>
      </c>
      <c r="C6435">
        <v>1.07677461415148</v>
      </c>
      <c r="D6435">
        <v>1.05527356653516</v>
      </c>
      <c r="E6435">
        <v>1.04627614310841</v>
      </c>
      <c r="F6435">
        <v>0.85632865486674703</v>
      </c>
      <c r="G6435">
        <v>0.61211668827340504</v>
      </c>
      <c r="H6435">
        <v>0.401256429060593</v>
      </c>
      <c r="I6435">
        <v>0.26667228947461102</v>
      </c>
      <c r="J6435">
        <v>0.215762512600715</v>
      </c>
      <c r="K6435">
        <v>0.16350722202947199</v>
      </c>
      <c r="L6435">
        <v>1163.7132828097101</v>
      </c>
      <c r="M6435">
        <v>20.145526585043299</v>
      </c>
      <c r="N6435">
        <v>58.888345985100997</v>
      </c>
      <c r="O6435">
        <v>57.205186046098497</v>
      </c>
      <c r="P6435">
        <v>-7.4001030979462701E-2</v>
      </c>
      <c r="Q6435">
        <v>0.15949403776373799</v>
      </c>
      <c r="R6435">
        <v>0.98561407774846799</v>
      </c>
      <c r="S6435" t="s">
        <v>13051</v>
      </c>
      <c r="T6435" t="s">
        <v>13232</v>
      </c>
      <c r="U6435" t="s">
        <v>13232</v>
      </c>
      <c r="V6435" t="s">
        <v>13232</v>
      </c>
      <c r="W6435" t="s">
        <v>19592</v>
      </c>
      <c r="X6435">
        <v>32</v>
      </c>
      <c r="Y6435" t="s">
        <v>25959</v>
      </c>
      <c r="Z6435" t="s">
        <v>32566</v>
      </c>
      <c r="AA6435">
        <v>0.66687765732356574</v>
      </c>
      <c r="AB6435" t="str">
        <f>HYPERLINK("Melting_Curves/meltCurve_Q9Y2Z0_2_SUGT1.pdf", "Melting_Curves/meltCurve_Q9Y2Z0_2_SUGT1.pdf")</f>
        <v>Melting_Curves/meltCurve_Q9Y2Z0_2_SUGT1.pdf</v>
      </c>
    </row>
    <row r="6436" spans="1:28" x14ac:dyDescent="0.25">
      <c r="A6436" t="s">
        <v>6439</v>
      </c>
      <c r="B6436">
        <v>0.99930955844802105</v>
      </c>
      <c r="C6436">
        <v>0.88799962636271601</v>
      </c>
      <c r="D6436">
        <v>0.61992610823693595</v>
      </c>
      <c r="E6436">
        <v>0.33177183451104197</v>
      </c>
      <c r="F6436">
        <v>0.19372404360925799</v>
      </c>
      <c r="G6436">
        <v>0.13068773091390201</v>
      </c>
      <c r="H6436">
        <v>7.4235451874476693E-2</v>
      </c>
      <c r="I6436">
        <v>5.5595022444056202E-2</v>
      </c>
      <c r="J6436">
        <v>4.7272297936021702E-2</v>
      </c>
      <c r="K6436">
        <v>4.2116341827085797E-2</v>
      </c>
      <c r="L6436">
        <v>814.16895360459398</v>
      </c>
      <c r="M6436">
        <v>17.167842054835901</v>
      </c>
      <c r="N6436">
        <v>47.728902009622303</v>
      </c>
      <c r="O6436">
        <v>46.794622900814304</v>
      </c>
      <c r="P6436">
        <v>-8.6961763013080604E-2</v>
      </c>
      <c r="Q6436">
        <v>5.19244775793756E-2</v>
      </c>
      <c r="R6436">
        <v>0.99675185010371503</v>
      </c>
      <c r="S6436" t="s">
        <v>13052</v>
      </c>
      <c r="T6436" t="s">
        <v>13232</v>
      </c>
      <c r="U6436" t="s">
        <v>13232</v>
      </c>
      <c r="V6436" t="s">
        <v>13232</v>
      </c>
      <c r="W6436" t="s">
        <v>19593</v>
      </c>
      <c r="X6436">
        <v>10</v>
      </c>
      <c r="Y6436" t="s">
        <v>25960</v>
      </c>
      <c r="Z6436" t="s">
        <v>32567</v>
      </c>
      <c r="AA6436">
        <v>0.30552855463566231</v>
      </c>
      <c r="AB6436" t="str">
        <f>HYPERLINK("Melting_Curves/meltCurve_Q9Y2Z4_YARS2.pdf", "Melting_Curves/meltCurve_Q9Y2Z4_YARS2.pdf")</f>
        <v>Melting_Curves/meltCurve_Q9Y2Z4_YARS2.pdf</v>
      </c>
    </row>
    <row r="6437" spans="1:28" x14ac:dyDescent="0.25">
      <c r="A6437" t="s">
        <v>6440</v>
      </c>
      <c r="B6437">
        <v>0.99930955844802105</v>
      </c>
      <c r="C6437">
        <v>0.85825776276505406</v>
      </c>
      <c r="D6437">
        <v>0.87050341452414404</v>
      </c>
      <c r="E6437">
        <v>0.79060587261786597</v>
      </c>
      <c r="F6437">
        <v>0.55954294152586703</v>
      </c>
      <c r="G6437">
        <v>0.27022108845887999</v>
      </c>
      <c r="H6437">
        <v>9.66046158642999E-2</v>
      </c>
      <c r="I6437">
        <v>6.2275216569755598E-2</v>
      </c>
      <c r="J6437">
        <v>5.6450981398881897E-2</v>
      </c>
      <c r="K6437">
        <v>4.3962908225883897E-2</v>
      </c>
      <c r="L6437">
        <v>820.22412476251804</v>
      </c>
      <c r="M6437">
        <v>15.318580015634399</v>
      </c>
      <c r="N6437">
        <v>53.5443985196451</v>
      </c>
      <c r="O6437">
        <v>52.656788267389402</v>
      </c>
      <c r="P6437">
        <v>-7.2735186565773893E-2</v>
      </c>
      <c r="Q6437">
        <v>0</v>
      </c>
      <c r="R6437">
        <v>0.98444048408152196</v>
      </c>
      <c r="S6437" t="s">
        <v>13053</v>
      </c>
      <c r="T6437" t="s">
        <v>13232</v>
      </c>
      <c r="U6437" t="s">
        <v>13232</v>
      </c>
      <c r="V6437" t="s">
        <v>13232</v>
      </c>
      <c r="W6437" t="s">
        <v>19594</v>
      </c>
      <c r="X6437">
        <v>11</v>
      </c>
      <c r="Y6437" t="s">
        <v>25961</v>
      </c>
      <c r="Z6437" t="s">
        <v>32568</v>
      </c>
      <c r="AA6437">
        <v>0.47190162371084288</v>
      </c>
      <c r="AB6437" t="str">
        <f>HYPERLINK("Melting_Curves/meltCurve_Q9Y303_AMDHD2.pdf", "Melting_Curves/meltCurve_Q9Y303_AMDHD2.pdf")</f>
        <v>Melting_Curves/meltCurve_Q9Y303_AMDHD2.pdf</v>
      </c>
    </row>
    <row r="6438" spans="1:28" x14ac:dyDescent="0.25">
      <c r="A6438" t="s">
        <v>6441</v>
      </c>
      <c r="B6438">
        <v>0.99930955844802105</v>
      </c>
      <c r="C6438">
        <v>0.82443580595566601</v>
      </c>
      <c r="D6438">
        <v>0.75274609908485501</v>
      </c>
      <c r="E6438">
        <v>0.73552121456808095</v>
      </c>
      <c r="F6438">
        <v>0.53192583096275703</v>
      </c>
      <c r="G6438">
        <v>0.37198624946929099</v>
      </c>
      <c r="H6438">
        <v>0.20886423454965899</v>
      </c>
      <c r="I6438">
        <v>0.18148300437742601</v>
      </c>
      <c r="J6438">
        <v>0.15621134376585399</v>
      </c>
      <c r="K6438">
        <v>0.127605685605335</v>
      </c>
      <c r="L6438">
        <v>467.36515256060397</v>
      </c>
      <c r="M6438">
        <v>8.7256896239882895</v>
      </c>
      <c r="N6438">
        <v>53.561972668940498</v>
      </c>
      <c r="O6438">
        <v>50.971958370125797</v>
      </c>
      <c r="P6438">
        <v>-4.2831448347266203E-2</v>
      </c>
      <c r="Q6438">
        <v>0</v>
      </c>
      <c r="R6438">
        <v>0.97784748801681798</v>
      </c>
      <c r="S6438" t="s">
        <v>13054</v>
      </c>
      <c r="T6438" t="s">
        <v>13232</v>
      </c>
      <c r="U6438" t="s">
        <v>13232</v>
      </c>
      <c r="V6438" t="s">
        <v>13232</v>
      </c>
      <c r="W6438" t="s">
        <v>19595</v>
      </c>
      <c r="X6438">
        <v>6</v>
      </c>
      <c r="Y6438" t="s">
        <v>25962</v>
      </c>
      <c r="Z6438" t="s">
        <v>32569</v>
      </c>
      <c r="AA6438">
        <v>0.48727881343521318</v>
      </c>
      <c r="AB6438" t="str">
        <f>HYPERLINK("Melting_Curves/meltCurve_Q9Y312_AAR2.pdf", "Melting_Curves/meltCurve_Q9Y312_AAR2.pdf")</f>
        <v>Melting_Curves/meltCurve_Q9Y312_AAR2.pdf</v>
      </c>
    </row>
    <row r="6439" spans="1:28" x14ac:dyDescent="0.25">
      <c r="A6439" t="s">
        <v>6442</v>
      </c>
      <c r="B6439">
        <v>0.99930955844802105</v>
      </c>
      <c r="C6439">
        <v>1.0086244038824499</v>
      </c>
      <c r="D6439">
        <v>0.88108524816941203</v>
      </c>
      <c r="E6439">
        <v>0.53519469118039398</v>
      </c>
      <c r="F6439">
        <v>0.30626816553149699</v>
      </c>
      <c r="G6439">
        <v>0.21596800520287501</v>
      </c>
      <c r="H6439">
        <v>0.16586668336347801</v>
      </c>
      <c r="I6439">
        <v>0.17177775225449499</v>
      </c>
      <c r="J6439">
        <v>0.16461789174296201</v>
      </c>
      <c r="K6439">
        <v>0.137601380853244</v>
      </c>
      <c r="L6439">
        <v>1175.8163882214401</v>
      </c>
      <c r="M6439">
        <v>23.717740533091501</v>
      </c>
      <c r="N6439">
        <v>50.3930657421093</v>
      </c>
      <c r="O6439">
        <v>49.227001368227803</v>
      </c>
      <c r="P6439">
        <v>-0.101213932939759</v>
      </c>
      <c r="Q6439">
        <v>0.15972167073822699</v>
      </c>
      <c r="R6439">
        <v>0.998455672941575</v>
      </c>
      <c r="S6439" t="s">
        <v>13055</v>
      </c>
      <c r="T6439" t="s">
        <v>13232</v>
      </c>
      <c r="U6439" t="s">
        <v>13232</v>
      </c>
      <c r="V6439" t="s">
        <v>13232</v>
      </c>
      <c r="W6439" t="s">
        <v>19596</v>
      </c>
      <c r="X6439">
        <v>16</v>
      </c>
      <c r="Y6439" t="s">
        <v>25963</v>
      </c>
      <c r="Z6439" t="s">
        <v>32570</v>
      </c>
      <c r="AA6439">
        <v>0.43624419844334628</v>
      </c>
      <c r="AB6439" t="str">
        <f>HYPERLINK("Melting_Curves/meltCurve_Q9Y314_NOSIP.pdf", "Melting_Curves/meltCurve_Q9Y314_NOSIP.pdf")</f>
        <v>Melting_Curves/meltCurve_Q9Y314_NOSIP.pdf</v>
      </c>
    </row>
    <row r="6440" spans="1:28" x14ac:dyDescent="0.25">
      <c r="A6440" t="s">
        <v>6443</v>
      </c>
      <c r="B6440">
        <v>0.99930955844802105</v>
      </c>
      <c r="C6440">
        <v>0.76410597374612699</v>
      </c>
      <c r="D6440">
        <v>0.77389443193663898</v>
      </c>
      <c r="E6440">
        <v>0.85696366881172303</v>
      </c>
      <c r="F6440">
        <v>0.90295873205564003</v>
      </c>
      <c r="G6440">
        <v>0.64121072681284297</v>
      </c>
      <c r="H6440">
        <v>0.19650408577974701</v>
      </c>
      <c r="I6440">
        <v>0.12962266025823899</v>
      </c>
      <c r="J6440">
        <v>8.8841695224025505E-2</v>
      </c>
      <c r="K6440">
        <v>7.2765837342685102E-2</v>
      </c>
      <c r="L6440">
        <v>1376.6615592543601</v>
      </c>
      <c r="M6440">
        <v>23.850371378822199</v>
      </c>
      <c r="N6440">
        <v>57.945125416112099</v>
      </c>
      <c r="O6440">
        <v>57.319569313855801</v>
      </c>
      <c r="P6440">
        <v>-9.9437153219542301E-2</v>
      </c>
      <c r="Q6440">
        <v>4.4106718105478802E-2</v>
      </c>
      <c r="R6440">
        <v>0.90080537445858999</v>
      </c>
      <c r="S6440" t="s">
        <v>13056</v>
      </c>
      <c r="T6440" t="s">
        <v>13232</v>
      </c>
      <c r="U6440" t="s">
        <v>13232</v>
      </c>
      <c r="V6440" t="s">
        <v>13232</v>
      </c>
      <c r="W6440" t="s">
        <v>19597</v>
      </c>
      <c r="X6440">
        <v>13</v>
      </c>
      <c r="Y6440" t="s">
        <v>25964</v>
      </c>
      <c r="Z6440" t="s">
        <v>32571</v>
      </c>
      <c r="AA6440">
        <v>0.6177322829041435</v>
      </c>
      <c r="AB6440" t="str">
        <f>HYPERLINK("Melting_Curves/meltCurve_Q9Y315_DERA.pdf", "Melting_Curves/meltCurve_Q9Y315_DERA.pdf")</f>
        <v>Melting_Curves/meltCurve_Q9Y315_DERA.pdf</v>
      </c>
    </row>
    <row r="6441" spans="1:28" x14ac:dyDescent="0.25">
      <c r="A6441" t="s">
        <v>6444</v>
      </c>
      <c r="B6441">
        <v>0.99930955844802105</v>
      </c>
      <c r="C6441">
        <v>0.93219621381537998</v>
      </c>
      <c r="D6441">
        <v>0.89946758188144205</v>
      </c>
      <c r="E6441">
        <v>0.84021263306921001</v>
      </c>
      <c r="F6441">
        <v>0.53190013199355002</v>
      </c>
      <c r="G6441">
        <v>0.25979335492159999</v>
      </c>
      <c r="H6441">
        <v>0.13297474420542199</v>
      </c>
      <c r="I6441">
        <v>0.12814197424818</v>
      </c>
      <c r="J6441">
        <v>0.101806084507936</v>
      </c>
      <c r="K6441">
        <v>8.3349316357354597E-2</v>
      </c>
      <c r="L6441">
        <v>1087.88132111715</v>
      </c>
      <c r="M6441">
        <v>20.503187196342701</v>
      </c>
      <c r="N6441">
        <v>53.5420561186912</v>
      </c>
      <c r="O6441">
        <v>52.5621309861817</v>
      </c>
      <c r="P6441">
        <v>-8.9288928538221499E-2</v>
      </c>
      <c r="Q6441">
        <v>8.4419888025000694E-2</v>
      </c>
      <c r="R6441">
        <v>0.992542828566363</v>
      </c>
      <c r="S6441" t="s">
        <v>13057</v>
      </c>
      <c r="T6441" t="s">
        <v>13232</v>
      </c>
      <c r="U6441" t="s">
        <v>13232</v>
      </c>
      <c r="V6441" t="s">
        <v>13232</v>
      </c>
      <c r="W6441" t="s">
        <v>19598</v>
      </c>
      <c r="X6441">
        <v>11</v>
      </c>
      <c r="Y6441" t="s">
        <v>25965</v>
      </c>
      <c r="Z6441" t="s">
        <v>32572</v>
      </c>
      <c r="AA6441">
        <v>0.49503771328231638</v>
      </c>
      <c r="AB6441" t="str">
        <f>HYPERLINK("Melting_Curves/meltCurve_Q9Y316_MEMO1.pdf", "Melting_Curves/meltCurve_Q9Y316_MEMO1.pdf")</f>
        <v>Melting_Curves/meltCurve_Q9Y316_MEMO1.pdf</v>
      </c>
    </row>
    <row r="6442" spans="1:28" x14ac:dyDescent="0.25">
      <c r="A6442" t="s">
        <v>6445</v>
      </c>
      <c r="B6442">
        <v>0.99930955844802105</v>
      </c>
      <c r="C6442">
        <v>1.10264938224783</v>
      </c>
      <c r="D6442">
        <v>1.0138137019678299</v>
      </c>
      <c r="E6442">
        <v>0.94154969468555305</v>
      </c>
      <c r="F6442">
        <v>0.84487084798924394</v>
      </c>
      <c r="G6442">
        <v>0.71246760173017798</v>
      </c>
      <c r="H6442">
        <v>0.55775599588948999</v>
      </c>
      <c r="I6442">
        <v>0.56440918233922099</v>
      </c>
      <c r="J6442">
        <v>0.54844611181066205</v>
      </c>
      <c r="K6442">
        <v>0.40867706543147397</v>
      </c>
      <c r="L6442">
        <v>876.45846743835102</v>
      </c>
      <c r="M6442">
        <v>15.4545163875736</v>
      </c>
      <c r="N6442">
        <v>66.182673594366406</v>
      </c>
      <c r="O6442">
        <v>55.7880271916626</v>
      </c>
      <c r="P6442">
        <v>-3.84242052008004E-2</v>
      </c>
      <c r="Q6442">
        <v>0.445231951143432</v>
      </c>
      <c r="R6442">
        <v>0.95860901134232002</v>
      </c>
      <c r="S6442" t="s">
        <v>13058</v>
      </c>
      <c r="T6442" t="s">
        <v>13232</v>
      </c>
      <c r="U6442" t="s">
        <v>13232</v>
      </c>
      <c r="V6442" t="s">
        <v>13232</v>
      </c>
      <c r="W6442" t="s">
        <v>19599</v>
      </c>
      <c r="X6442">
        <v>3</v>
      </c>
      <c r="Y6442" t="s">
        <v>25966</v>
      </c>
      <c r="Z6442" t="s">
        <v>32573</v>
      </c>
      <c r="AA6442">
        <v>0.76319840932925798</v>
      </c>
      <c r="AB6442" t="str">
        <f>HYPERLINK("Melting_Curves/meltCurve_Q9Y330_ZBTB12.pdf", "Melting_Curves/meltCurve_Q9Y330_ZBTB12.pdf")</f>
        <v>Melting_Curves/meltCurve_Q9Y330_ZBTB12.pdf</v>
      </c>
    </row>
    <row r="6443" spans="1:28" x14ac:dyDescent="0.25">
      <c r="A6443" t="s">
        <v>6446</v>
      </c>
      <c r="B6443">
        <v>0.99930955844802105</v>
      </c>
      <c r="C6443">
        <v>0.89790368425457501</v>
      </c>
      <c r="D6443">
        <v>0.90499222613598196</v>
      </c>
      <c r="E6443">
        <v>0.84411348996927305</v>
      </c>
      <c r="F6443">
        <v>0.79230590305695403</v>
      </c>
      <c r="G6443">
        <v>0.64947469991027496</v>
      </c>
      <c r="H6443">
        <v>0.47873348424543299</v>
      </c>
      <c r="I6443">
        <v>0.36815210213036698</v>
      </c>
      <c r="J6443">
        <v>0.26469374224428399</v>
      </c>
      <c r="K6443">
        <v>0.130453431455446</v>
      </c>
      <c r="L6443">
        <v>578.32774202942005</v>
      </c>
      <c r="M6443">
        <v>9.6506690141204707</v>
      </c>
      <c r="N6443">
        <v>59.926171125694701</v>
      </c>
      <c r="O6443">
        <v>57.522722203285198</v>
      </c>
      <c r="P6443">
        <v>-4.1966221800169498E-2</v>
      </c>
      <c r="Q6443">
        <v>0</v>
      </c>
      <c r="R6443">
        <v>0.981030896210484</v>
      </c>
      <c r="S6443" t="s">
        <v>13059</v>
      </c>
      <c r="T6443" t="s">
        <v>13232</v>
      </c>
      <c r="U6443" t="s">
        <v>13232</v>
      </c>
      <c r="V6443" t="s">
        <v>13232</v>
      </c>
      <c r="W6443" t="s">
        <v>19600</v>
      </c>
      <c r="X6443">
        <v>7</v>
      </c>
      <c r="Y6443" t="s">
        <v>25967</v>
      </c>
      <c r="Z6443" t="s">
        <v>32574</v>
      </c>
      <c r="AA6443">
        <v>0.65927681034255392</v>
      </c>
      <c r="AB6443" t="str">
        <f>HYPERLINK("Melting_Curves/meltCurve_Q9Y333_LSM2.pdf", "Melting_Curves/meltCurve_Q9Y333_LSM2.pdf")</f>
        <v>Melting_Curves/meltCurve_Q9Y333_LSM2.pdf</v>
      </c>
    </row>
    <row r="6444" spans="1:28" x14ac:dyDescent="0.25">
      <c r="A6444" t="s">
        <v>6447</v>
      </c>
      <c r="B6444">
        <v>0.99930955844802105</v>
      </c>
      <c r="C6444">
        <v>0.95292036747589903</v>
      </c>
      <c r="D6444">
        <v>0.894959518334008</v>
      </c>
      <c r="E6444">
        <v>0.633297679643263</v>
      </c>
      <c r="F6444">
        <v>0.38966799426162402</v>
      </c>
      <c r="G6444">
        <v>0.33112799908319102</v>
      </c>
      <c r="H6444">
        <v>0.231998113666817</v>
      </c>
      <c r="I6444">
        <v>0.23200977785027099</v>
      </c>
      <c r="J6444">
        <v>0.23197060158215399</v>
      </c>
      <c r="K6444">
        <v>0.186022444579476</v>
      </c>
      <c r="L6444">
        <v>957.45413584932999</v>
      </c>
      <c r="M6444">
        <v>19.064818493645301</v>
      </c>
      <c r="N6444">
        <v>51.729856129064501</v>
      </c>
      <c r="O6444">
        <v>49.678244064056599</v>
      </c>
      <c r="P6444">
        <v>-7.5482546551305305E-2</v>
      </c>
      <c r="Q6444">
        <v>0.21327504174678599</v>
      </c>
      <c r="R6444">
        <v>0.99496359647697197</v>
      </c>
      <c r="S6444" t="s">
        <v>13060</v>
      </c>
      <c r="T6444" t="s">
        <v>13232</v>
      </c>
      <c r="U6444" t="s">
        <v>13232</v>
      </c>
      <c r="V6444" t="s">
        <v>13232</v>
      </c>
      <c r="W6444" t="s">
        <v>19601</v>
      </c>
      <c r="X6444">
        <v>3</v>
      </c>
      <c r="Y6444" t="s">
        <v>25968</v>
      </c>
      <c r="Z6444" t="s">
        <v>32575</v>
      </c>
      <c r="AA6444">
        <v>0.49331077193308548</v>
      </c>
      <c r="AB6444" t="str">
        <f>HYPERLINK("Melting_Curves/meltCurve_Q9Y343_2_SNX24.pdf", "Melting_Curves/meltCurve_Q9Y343_2_SNX24.pdf")</f>
        <v>Melting_Curves/meltCurve_Q9Y343_2_SNX24.pdf</v>
      </c>
    </row>
    <row r="6445" spans="1:28" x14ac:dyDescent="0.25">
      <c r="A6445" t="s">
        <v>6448</v>
      </c>
      <c r="B6445">
        <v>0.99930955844802105</v>
      </c>
      <c r="C6445">
        <v>0.969026481679505</v>
      </c>
      <c r="D6445">
        <v>0.76305422502625597</v>
      </c>
      <c r="E6445">
        <v>0.47268040823311802</v>
      </c>
      <c r="F6445">
        <v>0.12516071124078701</v>
      </c>
      <c r="G6445">
        <v>9.4514199005646005E-2</v>
      </c>
      <c r="H6445">
        <v>5.7174427189604797E-2</v>
      </c>
      <c r="I6445">
        <v>5.3187180573258198E-2</v>
      </c>
      <c r="J6445">
        <v>5.2680251441768397E-2</v>
      </c>
      <c r="K6445">
        <v>3.9477087340417799E-2</v>
      </c>
      <c r="L6445">
        <v>1047.59423467228</v>
      </c>
      <c r="M6445">
        <v>21.4161049881182</v>
      </c>
      <c r="N6445">
        <v>49.107887554783701</v>
      </c>
      <c r="O6445">
        <v>48.495688829137499</v>
      </c>
      <c r="P6445">
        <v>-0.10597757171396301</v>
      </c>
      <c r="Q6445">
        <v>4.0100619315722501E-2</v>
      </c>
      <c r="R6445">
        <v>0.99257568963118004</v>
      </c>
      <c r="S6445" t="s">
        <v>13061</v>
      </c>
      <c r="T6445" t="s">
        <v>13232</v>
      </c>
      <c r="U6445" t="s">
        <v>13232</v>
      </c>
      <c r="V6445" t="s">
        <v>13232</v>
      </c>
      <c r="W6445" t="s">
        <v>19602</v>
      </c>
      <c r="X6445">
        <v>16</v>
      </c>
      <c r="Y6445" t="s">
        <v>25969</v>
      </c>
      <c r="Z6445" t="s">
        <v>32576</v>
      </c>
      <c r="AA6445">
        <v>0.33708636606766917</v>
      </c>
      <c r="AB6445" t="str">
        <f>HYPERLINK("Melting_Curves/meltCurve_Q9Y371_SH3GLB1.pdf", "Melting_Curves/meltCurve_Q9Y371_SH3GLB1.pdf")</f>
        <v>Melting_Curves/meltCurve_Q9Y371_SH3GLB1.pdf</v>
      </c>
    </row>
    <row r="6446" spans="1:28" x14ac:dyDescent="0.25">
      <c r="A6446" t="s">
        <v>6449</v>
      </c>
      <c r="B6446">
        <v>0.99930955844802105</v>
      </c>
      <c r="C6446">
        <v>1.14677461185882</v>
      </c>
      <c r="D6446">
        <v>1.1581073522890399</v>
      </c>
      <c r="E6446">
        <v>1.0897342312100899</v>
      </c>
      <c r="F6446">
        <v>1.0314390245109799</v>
      </c>
      <c r="G6446">
        <v>0.92054721451551902</v>
      </c>
      <c r="H6446">
        <v>0.41504057553211299</v>
      </c>
      <c r="I6446">
        <v>0.12605588004464399</v>
      </c>
      <c r="J6446">
        <v>8.2759477860533004E-2</v>
      </c>
      <c r="K6446">
        <v>7.0805606296291304E-2</v>
      </c>
      <c r="L6446">
        <v>2624.0001418814099</v>
      </c>
      <c r="M6446">
        <v>43.554389226817797</v>
      </c>
      <c r="N6446">
        <v>60.446588582258798</v>
      </c>
      <c r="O6446">
        <v>60.119923746266601</v>
      </c>
      <c r="P6446">
        <v>-0.16895854900881499</v>
      </c>
      <c r="Q6446">
        <v>6.7119514618566897E-2</v>
      </c>
      <c r="R6446">
        <v>0.97199316189936602</v>
      </c>
      <c r="S6446" t="s">
        <v>13062</v>
      </c>
      <c r="T6446" t="s">
        <v>13232</v>
      </c>
      <c r="U6446" t="s">
        <v>13232</v>
      </c>
      <c r="V6446" t="s">
        <v>13232</v>
      </c>
      <c r="W6446" t="s">
        <v>19603</v>
      </c>
      <c r="X6446">
        <v>29</v>
      </c>
      <c r="Y6446" t="s">
        <v>25970</v>
      </c>
      <c r="Z6446" t="s">
        <v>32577</v>
      </c>
      <c r="AA6446">
        <v>0.69983649755621413</v>
      </c>
      <c r="AB6446" t="str">
        <f>HYPERLINK("Melting_Curves/meltCurve_Q9Y376_CAB39.pdf", "Melting_Curves/meltCurve_Q9Y376_CAB39.pdf")</f>
        <v>Melting_Curves/meltCurve_Q9Y376_CAB39.pdf</v>
      </c>
    </row>
    <row r="6447" spans="1:28" x14ac:dyDescent="0.25">
      <c r="A6447" t="s">
        <v>6450</v>
      </c>
      <c r="B6447">
        <v>0.99930955844802105</v>
      </c>
      <c r="C6447">
        <v>1.05506698426923</v>
      </c>
      <c r="D6447">
        <v>0.78999693901761503</v>
      </c>
      <c r="E6447">
        <v>0.53909353963431506</v>
      </c>
      <c r="F6447">
        <v>0.19293570362840101</v>
      </c>
      <c r="G6447">
        <v>0.14563345398816899</v>
      </c>
      <c r="H6447">
        <v>9.20605350477363E-2</v>
      </c>
      <c r="I6447">
        <v>8.2231098676122993E-2</v>
      </c>
      <c r="J6447">
        <v>8.1543479925431095E-2</v>
      </c>
      <c r="K6447">
        <v>6.05749106256789E-2</v>
      </c>
      <c r="L6447">
        <v>1096.8077962674899</v>
      </c>
      <c r="M6447">
        <v>22.154709118197399</v>
      </c>
      <c r="N6447">
        <v>49.862860077695302</v>
      </c>
      <c r="O6447">
        <v>49.108690645946503</v>
      </c>
      <c r="P6447">
        <v>-0.104533976108053</v>
      </c>
      <c r="Q6447">
        <v>7.3169289497895196E-2</v>
      </c>
      <c r="R6447">
        <v>0.98772821166051095</v>
      </c>
      <c r="S6447" t="s">
        <v>13063</v>
      </c>
      <c r="T6447" t="s">
        <v>13232</v>
      </c>
      <c r="U6447" t="s">
        <v>13232</v>
      </c>
      <c r="V6447" t="s">
        <v>13232</v>
      </c>
      <c r="W6447" t="s">
        <v>19604</v>
      </c>
      <c r="X6447">
        <v>26</v>
      </c>
      <c r="Y6447" t="s">
        <v>25971</v>
      </c>
      <c r="Z6447" t="s">
        <v>32578</v>
      </c>
      <c r="AA6447">
        <v>0.37740823517829258</v>
      </c>
      <c r="AB6447" t="str">
        <f>HYPERLINK("Melting_Curves/meltCurve_Q9Y383_LUC7L2.pdf", "Melting_Curves/meltCurve_Q9Y383_LUC7L2.pdf")</f>
        <v>Melting_Curves/meltCurve_Q9Y383_LUC7L2.pdf</v>
      </c>
    </row>
    <row r="6448" spans="1:28" x14ac:dyDescent="0.25">
      <c r="A6448" t="s">
        <v>6451</v>
      </c>
      <c r="B6448">
        <v>0.99930955844802105</v>
      </c>
      <c r="C6448">
        <v>1.2386566480332499</v>
      </c>
      <c r="D6448">
        <v>1.0966219366735901</v>
      </c>
      <c r="E6448">
        <v>1.0493969453532299</v>
      </c>
      <c r="F6448">
        <v>0.42358499883933098</v>
      </c>
      <c r="G6448">
        <v>0.14699360159310301</v>
      </c>
      <c r="H6448">
        <v>5.3168263958308197E-2</v>
      </c>
      <c r="I6448">
        <v>3.9884632085444897E-2</v>
      </c>
      <c r="J6448">
        <v>4.0360970469964598E-2</v>
      </c>
      <c r="K6448">
        <v>2.7886709680961699E-2</v>
      </c>
      <c r="L6448">
        <v>13225.334482930901</v>
      </c>
      <c r="M6448">
        <v>250</v>
      </c>
      <c r="N6448">
        <v>52.929203727726801</v>
      </c>
      <c r="O6448">
        <v>52.897971064124299</v>
      </c>
      <c r="P6448">
        <v>-1.1086690627229401</v>
      </c>
      <c r="Q6448">
        <v>6.16588229041551E-2</v>
      </c>
      <c r="R6448">
        <v>0.96780205706159494</v>
      </c>
      <c r="S6448" t="s">
        <v>13064</v>
      </c>
      <c r="T6448" t="s">
        <v>13232</v>
      </c>
      <c r="U6448" t="s">
        <v>13232</v>
      </c>
      <c r="V6448" t="s">
        <v>13232</v>
      </c>
      <c r="W6448" t="s">
        <v>19605</v>
      </c>
      <c r="X6448">
        <v>3</v>
      </c>
      <c r="Y6448" t="s">
        <v>25972</v>
      </c>
      <c r="Z6448" t="s">
        <v>32579</v>
      </c>
      <c r="AA6448">
        <v>0.4652744934927569</v>
      </c>
      <c r="AB6448" t="str">
        <f>HYPERLINK("Melting_Curves/meltCurve_Q9Y385_UBE2J1.pdf", "Melting_Curves/meltCurve_Q9Y385_UBE2J1.pdf")</f>
        <v>Melting_Curves/meltCurve_Q9Y385_UBE2J1.pdf</v>
      </c>
    </row>
    <row r="6449" spans="1:28" x14ac:dyDescent="0.25">
      <c r="A6449" t="s">
        <v>6452</v>
      </c>
      <c r="B6449">
        <v>0.99930955844802105</v>
      </c>
      <c r="C6449">
        <v>1.06817749533179</v>
      </c>
      <c r="D6449">
        <v>0.99575332795354599</v>
      </c>
      <c r="E6449">
        <v>0.92005531143986996</v>
      </c>
      <c r="F6449">
        <v>0.71735410572365099</v>
      </c>
      <c r="G6449">
        <v>0.58095391405775598</v>
      </c>
      <c r="H6449">
        <v>0.66014812860985195</v>
      </c>
      <c r="I6449">
        <v>0.84466788499047396</v>
      </c>
      <c r="J6449">
        <v>1.20045205012173</v>
      </c>
      <c r="K6449">
        <v>0.72503424625606705</v>
      </c>
      <c r="L6449">
        <v>12525.055438461301</v>
      </c>
      <c r="M6449">
        <v>250</v>
      </c>
      <c r="O6449">
        <v>50.097014897503499</v>
      </c>
      <c r="P6449">
        <v>-0.26435991534742198</v>
      </c>
      <c r="Q6449">
        <v>0.78810171509239701</v>
      </c>
      <c r="R6449">
        <v>0.30860898682450399</v>
      </c>
      <c r="S6449" t="s">
        <v>13065</v>
      </c>
      <c r="T6449" t="s">
        <v>13232</v>
      </c>
      <c r="U6449" t="s">
        <v>13232</v>
      </c>
      <c r="V6449" t="s">
        <v>13232</v>
      </c>
      <c r="W6449" t="s">
        <v>19606</v>
      </c>
      <c r="X6449">
        <v>4</v>
      </c>
      <c r="Y6449" t="s">
        <v>25973</v>
      </c>
      <c r="Z6449" t="s">
        <v>32580</v>
      </c>
      <c r="AA6449">
        <v>0.85946100183316432</v>
      </c>
      <c r="AB6449" t="str">
        <f>HYPERLINK("Melting_Curves/meltCurve_Q9Y388_RBMX2.pdf", "Melting_Curves/meltCurve_Q9Y388_RBMX2.pdf")</f>
        <v>Melting_Curves/meltCurve_Q9Y388_RBMX2.pdf</v>
      </c>
    </row>
    <row r="6450" spans="1:28" x14ac:dyDescent="0.25">
      <c r="A6450" t="s">
        <v>6453</v>
      </c>
      <c r="B6450">
        <v>0.99930955844802105</v>
      </c>
      <c r="C6450">
        <v>0.59601418832978903</v>
      </c>
      <c r="D6450">
        <v>0.479664323187458</v>
      </c>
      <c r="E6450">
        <v>0.39303160736349302</v>
      </c>
      <c r="F6450">
        <v>0.19875219193417101</v>
      </c>
      <c r="G6450">
        <v>0.142521737281398</v>
      </c>
      <c r="H6450">
        <v>8.1889421752557701E-2</v>
      </c>
      <c r="I6450">
        <v>8.4835445432571696E-2</v>
      </c>
      <c r="J6450">
        <v>5.8548764189863198E-2</v>
      </c>
      <c r="K6450">
        <v>6.0277254749654501E-2</v>
      </c>
      <c r="L6450">
        <v>542.08694211560896</v>
      </c>
      <c r="M6450">
        <v>11.819584383770399</v>
      </c>
      <c r="N6450">
        <v>46.265993851650002</v>
      </c>
      <c r="O6450">
        <v>44.609707323125001</v>
      </c>
      <c r="P6450">
        <v>-6.3018348441106598E-2</v>
      </c>
      <c r="Q6450">
        <v>4.8863182027426198E-2</v>
      </c>
      <c r="R6450">
        <v>0.95136770794915704</v>
      </c>
      <c r="S6450" t="s">
        <v>13066</v>
      </c>
      <c r="T6450" t="s">
        <v>13232</v>
      </c>
      <c r="U6450" t="s">
        <v>13232</v>
      </c>
      <c r="V6450" t="s">
        <v>13232</v>
      </c>
      <c r="W6450" t="s">
        <v>19607</v>
      </c>
      <c r="X6450">
        <v>2</v>
      </c>
      <c r="Y6450" t="s">
        <v>25974</v>
      </c>
      <c r="Z6450" t="s">
        <v>32581</v>
      </c>
      <c r="AA6450">
        <v>0.27980713063257362</v>
      </c>
      <c r="AB6450" t="str">
        <f>HYPERLINK("Melting_Curves/meltCurve_Q9Y399_MRPS2.pdf", "Melting_Curves/meltCurve_Q9Y399_MRPS2.pdf")</f>
        <v>Melting_Curves/meltCurve_Q9Y399_MRPS2.pdf</v>
      </c>
    </row>
    <row r="6451" spans="1:28" x14ac:dyDescent="0.25">
      <c r="A6451" t="s">
        <v>6454</v>
      </c>
      <c r="B6451">
        <v>0.99930955844802105</v>
      </c>
      <c r="C6451">
        <v>1.15123819387313</v>
      </c>
      <c r="D6451">
        <v>1.1094747329660799</v>
      </c>
      <c r="E6451">
        <v>1.0800944671027599</v>
      </c>
      <c r="F6451">
        <v>0.95586987190860295</v>
      </c>
      <c r="G6451">
        <v>0.82574920642064198</v>
      </c>
      <c r="H6451">
        <v>0.79185845507378005</v>
      </c>
      <c r="I6451">
        <v>0.81476564454611899</v>
      </c>
      <c r="J6451">
        <v>0.81675623281207399</v>
      </c>
      <c r="K6451">
        <v>0.68158013174891197</v>
      </c>
      <c r="L6451">
        <v>2293.4486993812502</v>
      </c>
      <c r="M6451">
        <v>41.470764725113199</v>
      </c>
      <c r="O6451">
        <v>55.174659683924297</v>
      </c>
      <c r="P6451">
        <v>-4.2348615552005898E-2</v>
      </c>
      <c r="Q6451">
        <v>0.77463004789728895</v>
      </c>
      <c r="R6451">
        <v>0.76141222982043</v>
      </c>
      <c r="S6451" t="s">
        <v>13067</v>
      </c>
      <c r="T6451" t="s">
        <v>13232</v>
      </c>
      <c r="U6451" t="s">
        <v>13232</v>
      </c>
      <c r="V6451" t="s">
        <v>13232</v>
      </c>
      <c r="W6451" t="s">
        <v>19608</v>
      </c>
      <c r="X6451">
        <v>5</v>
      </c>
      <c r="Y6451" t="s">
        <v>25975</v>
      </c>
      <c r="Z6451" t="s">
        <v>32582</v>
      </c>
      <c r="AA6451">
        <v>0.89038802564333852</v>
      </c>
      <c r="AB6451" t="str">
        <f>HYPERLINK("Melting_Curves/meltCurve_Q9Y3A2_UTP11L.pdf", "Melting_Curves/meltCurve_Q9Y3A2_UTP11L.pdf")</f>
        <v>Melting_Curves/meltCurve_Q9Y3A2_UTP11L.pdf</v>
      </c>
    </row>
    <row r="6452" spans="1:28" x14ac:dyDescent="0.25">
      <c r="A6452" t="s">
        <v>6455</v>
      </c>
      <c r="B6452">
        <v>0.99930955844802105</v>
      </c>
      <c r="C6452">
        <v>0.98349029233879404</v>
      </c>
      <c r="D6452">
        <v>0.96962614915629597</v>
      </c>
      <c r="E6452">
        <v>0.89636660406536395</v>
      </c>
      <c r="F6452">
        <v>0.69844134212415099</v>
      </c>
      <c r="G6452">
        <v>0.43086615912903398</v>
      </c>
      <c r="H6452">
        <v>0.22945051771633601</v>
      </c>
      <c r="I6452">
        <v>0.17879978619604001</v>
      </c>
      <c r="J6452">
        <v>0.16463064400173699</v>
      </c>
      <c r="K6452">
        <v>0.13029973693121599</v>
      </c>
      <c r="L6452">
        <v>1035.1515962032299</v>
      </c>
      <c r="M6452">
        <v>18.825586915317299</v>
      </c>
      <c r="N6452">
        <v>55.8164610452246</v>
      </c>
      <c r="O6452">
        <v>54.377235651649002</v>
      </c>
      <c r="P6452">
        <v>-7.59866736496463E-2</v>
      </c>
      <c r="Q6452">
        <v>0.12209388594987999</v>
      </c>
      <c r="R6452">
        <v>0.99922746408327401</v>
      </c>
      <c r="S6452" t="s">
        <v>13068</v>
      </c>
      <c r="T6452" t="s">
        <v>13232</v>
      </c>
      <c r="U6452" t="s">
        <v>13232</v>
      </c>
      <c r="V6452" t="s">
        <v>13232</v>
      </c>
      <c r="W6452" t="s">
        <v>19609</v>
      </c>
      <c r="X6452">
        <v>8</v>
      </c>
      <c r="Y6452" t="s">
        <v>25976</v>
      </c>
      <c r="Z6452" t="s">
        <v>32583</v>
      </c>
      <c r="AA6452">
        <v>0.57342082892899293</v>
      </c>
      <c r="AB6452" t="str">
        <f>HYPERLINK("Melting_Curves/meltCurve_Q9Y3A3_2_MOB4.pdf", "Melting_Curves/meltCurve_Q9Y3A3_2_MOB4.pdf")</f>
        <v>Melting_Curves/meltCurve_Q9Y3A3_2_MOB4.pdf</v>
      </c>
    </row>
    <row r="6453" spans="1:28" x14ac:dyDescent="0.25">
      <c r="A6453" t="s">
        <v>6456</v>
      </c>
      <c r="B6453">
        <v>0.99930955844802105</v>
      </c>
      <c r="C6453">
        <v>0.97691447341682203</v>
      </c>
      <c r="D6453">
        <v>0.97850143587106397</v>
      </c>
      <c r="E6453">
        <v>0.723534084721693</v>
      </c>
      <c r="F6453">
        <v>0.25122632068419198</v>
      </c>
      <c r="G6453">
        <v>0.14811511859370199</v>
      </c>
      <c r="H6453">
        <v>8.3210880221730593E-2</v>
      </c>
      <c r="I6453">
        <v>6.9157983146857699E-2</v>
      </c>
      <c r="J6453">
        <v>5.9884730200592103E-2</v>
      </c>
      <c r="K6453">
        <v>4.3419058378152901E-2</v>
      </c>
      <c r="L6453">
        <v>1894.84602695188</v>
      </c>
      <c r="M6453">
        <v>37.082803871594301</v>
      </c>
      <c r="N6453">
        <v>51.319115339262503</v>
      </c>
      <c r="O6453">
        <v>50.949787751957203</v>
      </c>
      <c r="P6453">
        <v>-0.16850686621238201</v>
      </c>
      <c r="Q6453">
        <v>7.3924995381569505E-2</v>
      </c>
      <c r="R6453">
        <v>0.99694254037909003</v>
      </c>
      <c r="S6453" t="s">
        <v>13069</v>
      </c>
      <c r="T6453" t="s">
        <v>13232</v>
      </c>
      <c r="U6453" t="s">
        <v>13232</v>
      </c>
      <c r="V6453" t="s">
        <v>13232</v>
      </c>
      <c r="W6453" t="s">
        <v>19610</v>
      </c>
      <c r="X6453">
        <v>20</v>
      </c>
      <c r="Y6453" t="s">
        <v>25977</v>
      </c>
      <c r="Z6453" t="s">
        <v>32584</v>
      </c>
      <c r="AA6453">
        <v>0.42031120799662891</v>
      </c>
      <c r="AB6453" t="str">
        <f>HYPERLINK("Melting_Curves/meltCurve_Q9Y3A5_SBDS.pdf", "Melting_Curves/meltCurve_Q9Y3A5_SBDS.pdf")</f>
        <v>Melting_Curves/meltCurve_Q9Y3A5_SBDS.pdf</v>
      </c>
    </row>
    <row r="6454" spans="1:28" x14ac:dyDescent="0.25">
      <c r="A6454" t="s">
        <v>6457</v>
      </c>
      <c r="B6454">
        <v>0.99930955844802105</v>
      </c>
      <c r="C6454">
        <v>0.766411941541984</v>
      </c>
      <c r="D6454">
        <v>0.71953777459831503</v>
      </c>
      <c r="E6454">
        <v>0.32676422744116601</v>
      </c>
      <c r="F6454">
        <v>0.14553165730608</v>
      </c>
      <c r="G6454">
        <v>8.1605371243491501E-2</v>
      </c>
      <c r="H6454">
        <v>3.9500715550525402E-2</v>
      </c>
      <c r="I6454">
        <v>3.2754155418733603E-2</v>
      </c>
      <c r="J6454">
        <v>2.7552546295337699E-2</v>
      </c>
      <c r="K6454">
        <v>2.1032154571795102E-2</v>
      </c>
      <c r="L6454">
        <v>772.99313615138897</v>
      </c>
      <c r="M6454">
        <v>16.190774879824499</v>
      </c>
      <c r="N6454">
        <v>47.811910331143999</v>
      </c>
      <c r="O6454">
        <v>47.032308359648603</v>
      </c>
      <c r="P6454">
        <v>-8.5073189184848005E-2</v>
      </c>
      <c r="Q6454">
        <v>1.1563320627116101E-2</v>
      </c>
      <c r="R6454">
        <v>0.98668478197419596</v>
      </c>
      <c r="S6454" t="s">
        <v>13070</v>
      </c>
      <c r="T6454" t="s">
        <v>13232</v>
      </c>
      <c r="U6454" t="s">
        <v>13232</v>
      </c>
      <c r="V6454" t="s">
        <v>13232</v>
      </c>
      <c r="W6454" t="s">
        <v>19611</v>
      </c>
      <c r="X6454">
        <v>6</v>
      </c>
      <c r="Y6454" t="s">
        <v>25978</v>
      </c>
      <c r="Z6454" t="s">
        <v>32585</v>
      </c>
      <c r="AA6454">
        <v>0.28872994769232629</v>
      </c>
      <c r="AB6454" t="str">
        <f>HYPERLINK("Melting_Curves/meltCurve_Q9Y3B2_EXOSC1.pdf", "Melting_Curves/meltCurve_Q9Y3B2_EXOSC1.pdf")</f>
        <v>Melting_Curves/meltCurve_Q9Y3B2_EXOSC1.pdf</v>
      </c>
    </row>
    <row r="6455" spans="1:28" x14ac:dyDescent="0.25">
      <c r="A6455" t="s">
        <v>6458</v>
      </c>
      <c r="B6455">
        <v>0.99930955844802105</v>
      </c>
      <c r="C6455">
        <v>0.78856917493303202</v>
      </c>
      <c r="D6455">
        <v>0.69237418513831195</v>
      </c>
      <c r="E6455">
        <v>0.78966142468141698</v>
      </c>
      <c r="F6455">
        <v>0.49230199697291299</v>
      </c>
      <c r="G6455">
        <v>0.243843232693431</v>
      </c>
      <c r="H6455">
        <v>0.21294921513888099</v>
      </c>
      <c r="I6455">
        <v>0.15137212723749799</v>
      </c>
      <c r="J6455">
        <v>0.141413653248255</v>
      </c>
      <c r="K6455">
        <v>0.101383835380674</v>
      </c>
      <c r="L6455">
        <v>478.07288401958903</v>
      </c>
      <c r="M6455">
        <v>9.0889239144095608</v>
      </c>
      <c r="N6455">
        <v>52.5995013186877</v>
      </c>
      <c r="O6455">
        <v>50.2407331341199</v>
      </c>
      <c r="P6455">
        <v>-4.5258514660165998E-2</v>
      </c>
      <c r="Q6455">
        <v>0</v>
      </c>
      <c r="R6455">
        <v>0.93989741188342701</v>
      </c>
      <c r="S6455" t="s">
        <v>13071</v>
      </c>
      <c r="T6455" t="s">
        <v>13232</v>
      </c>
      <c r="U6455" t="s">
        <v>13232</v>
      </c>
      <c r="V6455" t="s">
        <v>13232</v>
      </c>
      <c r="W6455" t="s">
        <v>19612</v>
      </c>
      <c r="X6455">
        <v>2</v>
      </c>
      <c r="Y6455" t="s">
        <v>25979</v>
      </c>
      <c r="Z6455" t="s">
        <v>32586</v>
      </c>
      <c r="AA6455">
        <v>0.45902570012654348</v>
      </c>
      <c r="AB6455" t="str">
        <f>HYPERLINK("Melting_Curves/meltCurve_Q9Y3B3_2_TMED7.pdf", "Melting_Curves/meltCurve_Q9Y3B3_2_TMED7.pdf")</f>
        <v>Melting_Curves/meltCurve_Q9Y3B3_2_TMED7.pdf</v>
      </c>
    </row>
    <row r="6456" spans="1:28" x14ac:dyDescent="0.25">
      <c r="A6456" t="s">
        <v>6459</v>
      </c>
      <c r="B6456">
        <v>0.99930955844802105</v>
      </c>
      <c r="C6456">
        <v>1.05195300927674</v>
      </c>
      <c r="D6456">
        <v>1.1846386833520499</v>
      </c>
      <c r="E6456">
        <v>0.97914710392854598</v>
      </c>
      <c r="F6456">
        <v>0.65176082873802299</v>
      </c>
      <c r="G6456">
        <v>0.38964336122450199</v>
      </c>
      <c r="H6456">
        <v>0.195975466688036</v>
      </c>
      <c r="I6456">
        <v>0.143997569808687</v>
      </c>
      <c r="J6456">
        <v>0.121490905490519</v>
      </c>
      <c r="K6456">
        <v>8.8175267602265697E-2</v>
      </c>
      <c r="L6456">
        <v>1329.5122784943501</v>
      </c>
      <c r="M6456">
        <v>24.304174953272199</v>
      </c>
      <c r="N6456">
        <v>55.286840558195699</v>
      </c>
      <c r="O6456">
        <v>54.336735188554997</v>
      </c>
      <c r="P6456">
        <v>-9.9167932226040895E-2</v>
      </c>
      <c r="Q6456">
        <v>0.113176130224553</v>
      </c>
      <c r="R6456">
        <v>0.97084205089801101</v>
      </c>
      <c r="S6456" t="s">
        <v>13072</v>
      </c>
      <c r="T6456" t="s">
        <v>13232</v>
      </c>
      <c r="U6456" t="s">
        <v>13232</v>
      </c>
      <c r="V6456" t="s">
        <v>13232</v>
      </c>
      <c r="W6456" t="s">
        <v>19613</v>
      </c>
      <c r="X6456">
        <v>7</v>
      </c>
      <c r="Y6456" t="s">
        <v>25980</v>
      </c>
      <c r="Z6456" t="s">
        <v>32587</v>
      </c>
      <c r="AA6456">
        <v>0.55643888127513397</v>
      </c>
      <c r="AB6456" t="str">
        <f>HYPERLINK("Melting_Curves/meltCurve_Q9Y3B4_SF3B14.pdf", "Melting_Curves/meltCurve_Q9Y3B4_SF3B14.pdf")</f>
        <v>Melting_Curves/meltCurve_Q9Y3B4_SF3B14.pdf</v>
      </c>
    </row>
    <row r="6457" spans="1:28" x14ac:dyDescent="0.25">
      <c r="A6457" t="s">
        <v>6460</v>
      </c>
      <c r="B6457">
        <v>0.99930955844802105</v>
      </c>
      <c r="C6457">
        <v>0.77907557110773495</v>
      </c>
      <c r="D6457">
        <v>0.679623087507358</v>
      </c>
      <c r="E6457">
        <v>0.65344824887977404</v>
      </c>
      <c r="F6457">
        <v>0.49703714961537299</v>
      </c>
      <c r="G6457">
        <v>0.42319512575734503</v>
      </c>
      <c r="H6457">
        <v>0.34259750612969098</v>
      </c>
      <c r="I6457">
        <v>0.34836374675929499</v>
      </c>
      <c r="J6457">
        <v>0.33942045151877098</v>
      </c>
      <c r="K6457">
        <v>0.24366425031477901</v>
      </c>
      <c r="L6457">
        <v>411.94464622559502</v>
      </c>
      <c r="M6457">
        <v>8.3095277856875605</v>
      </c>
      <c r="N6457">
        <v>53.3915583532131</v>
      </c>
      <c r="O6457">
        <v>46.952767475954097</v>
      </c>
      <c r="P6457">
        <v>-3.4369759545303302E-2</v>
      </c>
      <c r="Q6457">
        <v>0.223939516420189</v>
      </c>
      <c r="R6457">
        <v>0.95871837856109698</v>
      </c>
      <c r="S6457" t="s">
        <v>13073</v>
      </c>
      <c r="T6457" t="s">
        <v>13232</v>
      </c>
      <c r="U6457" t="s">
        <v>13232</v>
      </c>
      <c r="V6457" t="s">
        <v>13232</v>
      </c>
      <c r="W6457" t="s">
        <v>19614</v>
      </c>
      <c r="X6457">
        <v>3</v>
      </c>
      <c r="Y6457" t="s">
        <v>25981</v>
      </c>
      <c r="Z6457" t="s">
        <v>32588</v>
      </c>
      <c r="AA6457">
        <v>0.51787687655610104</v>
      </c>
      <c r="AB6457" t="str">
        <f>HYPERLINK("Melting_Curves/meltCurve_Q9Y3B7_MRPL11.pdf", "Melting_Curves/meltCurve_Q9Y3B7_MRPL11.pdf")</f>
        <v>Melting_Curves/meltCurve_Q9Y3B7_MRPL11.pdf</v>
      </c>
    </row>
    <row r="6458" spans="1:28" x14ac:dyDescent="0.25">
      <c r="A6458" t="s">
        <v>6461</v>
      </c>
      <c r="B6458">
        <v>0.99930955844802105</v>
      </c>
      <c r="C6458">
        <v>1.0240688687202399</v>
      </c>
      <c r="D6458">
        <v>1.0336368679478101</v>
      </c>
      <c r="E6458">
        <v>1.0330317214176099</v>
      </c>
      <c r="F6458">
        <v>0.92451675302004899</v>
      </c>
      <c r="G6458">
        <v>0.83545531553313601</v>
      </c>
      <c r="H6458">
        <v>0.94781902547380803</v>
      </c>
      <c r="I6458">
        <v>1.0027660971664401</v>
      </c>
      <c r="J6458">
        <v>1.1520895612381601</v>
      </c>
      <c r="K6458">
        <v>0.85675967258866903</v>
      </c>
      <c r="L6458">
        <v>15000</v>
      </c>
      <c r="M6458">
        <v>212.49696572377499</v>
      </c>
      <c r="Q6458">
        <v>0</v>
      </c>
      <c r="R6458">
        <v>0.215560866141147</v>
      </c>
      <c r="S6458" t="s">
        <v>13074</v>
      </c>
      <c r="T6458" t="s">
        <v>13232</v>
      </c>
      <c r="U6458" t="s">
        <v>13232</v>
      </c>
      <c r="V6458" t="s">
        <v>13232</v>
      </c>
      <c r="W6458" t="s">
        <v>19615</v>
      </c>
      <c r="X6458">
        <v>13</v>
      </c>
      <c r="Y6458" t="s">
        <v>25982</v>
      </c>
      <c r="Z6458" t="s">
        <v>32589</v>
      </c>
      <c r="AA6458">
        <v>0.99833287946962623</v>
      </c>
      <c r="AB6458" t="str">
        <f>HYPERLINK("Melting_Curves/meltCurve_Q9Y3B9_RRP15.pdf", "Melting_Curves/meltCurve_Q9Y3B9_RRP15.pdf")</f>
        <v>Melting_Curves/meltCurve_Q9Y3B9_RRP15.pdf</v>
      </c>
    </row>
    <row r="6459" spans="1:28" x14ac:dyDescent="0.25">
      <c r="A6459" t="s">
        <v>6462</v>
      </c>
      <c r="B6459">
        <v>0.99930955844802105</v>
      </c>
      <c r="C6459">
        <v>1.2778272245837901</v>
      </c>
      <c r="D6459">
        <v>1.2420053557391399</v>
      </c>
      <c r="E6459">
        <v>1.2443385413646699</v>
      </c>
      <c r="F6459">
        <v>1.16136337076112</v>
      </c>
      <c r="G6459">
        <v>1.1107198440297901</v>
      </c>
      <c r="H6459">
        <v>1.2342507427058</v>
      </c>
      <c r="I6459">
        <v>1.2881114680063199</v>
      </c>
      <c r="J6459">
        <v>1.3861143501567801</v>
      </c>
      <c r="K6459">
        <v>1.07273739942534</v>
      </c>
      <c r="L6459">
        <v>10268.049585808099</v>
      </c>
      <c r="M6459">
        <v>250</v>
      </c>
      <c r="O6459">
        <v>41.069570245295601</v>
      </c>
      <c r="P6459">
        <v>0.341133747154519</v>
      </c>
      <c r="Q6459">
        <v>1.2241634606398799</v>
      </c>
      <c r="R6459">
        <v>0.38149944121827101</v>
      </c>
      <c r="S6459" t="s">
        <v>13075</v>
      </c>
      <c r="T6459" t="s">
        <v>13232</v>
      </c>
      <c r="U6459" t="s">
        <v>13232</v>
      </c>
      <c r="V6459" t="s">
        <v>13232</v>
      </c>
      <c r="W6459" t="s">
        <v>19616</v>
      </c>
      <c r="X6459">
        <v>7</v>
      </c>
      <c r="Y6459" t="s">
        <v>25983</v>
      </c>
      <c r="Z6459" t="s">
        <v>32590</v>
      </c>
      <c r="AA6459">
        <v>1.2161342934835979</v>
      </c>
      <c r="AB6459" t="str">
        <f>HYPERLINK("Melting_Curves/meltCurve_Q9Y3C1_NOP16.pdf", "Melting_Curves/meltCurve_Q9Y3C1_NOP16.pdf")</f>
        <v>Melting_Curves/meltCurve_Q9Y3C1_NOP16.pdf</v>
      </c>
    </row>
    <row r="6460" spans="1:28" x14ac:dyDescent="0.25">
      <c r="A6460" t="s">
        <v>6463</v>
      </c>
      <c r="B6460">
        <v>0.99930955844802105</v>
      </c>
      <c r="C6460">
        <v>0.88250555142735898</v>
      </c>
      <c r="D6460">
        <v>0.88057672986975399</v>
      </c>
      <c r="E6460">
        <v>0.84185484872610505</v>
      </c>
      <c r="F6460">
        <v>0.44676935474624002</v>
      </c>
      <c r="G6460">
        <v>0.13649528972605299</v>
      </c>
      <c r="H6460">
        <v>5.5930113107515902E-2</v>
      </c>
      <c r="I6460">
        <v>3.2691487935627601E-2</v>
      </c>
      <c r="J6460">
        <v>2.71350954649494E-2</v>
      </c>
      <c r="K6460">
        <v>2.1422836311707098E-2</v>
      </c>
      <c r="L6460">
        <v>1364.35519250436</v>
      </c>
      <c r="M6460">
        <v>25.934837249959902</v>
      </c>
      <c r="N6460">
        <v>52.700226066549803</v>
      </c>
      <c r="O6460">
        <v>52.297243925746002</v>
      </c>
      <c r="P6460">
        <v>-0.12120104863433701</v>
      </c>
      <c r="Q6460">
        <v>2.24100097266694E-2</v>
      </c>
      <c r="R6460">
        <v>0.98473242700095898</v>
      </c>
      <c r="S6460" t="s">
        <v>13076</v>
      </c>
      <c r="T6460" t="s">
        <v>13232</v>
      </c>
      <c r="U6460" t="s">
        <v>13232</v>
      </c>
      <c r="V6460" t="s">
        <v>13232</v>
      </c>
      <c r="W6460" t="s">
        <v>19617</v>
      </c>
      <c r="X6460">
        <v>4</v>
      </c>
      <c r="Y6460" t="s">
        <v>25984</v>
      </c>
      <c r="Z6460" t="s">
        <v>32591</v>
      </c>
      <c r="AA6460">
        <v>0.44159462370235791</v>
      </c>
      <c r="AB6460" t="str">
        <f>HYPERLINK("Melting_Curves/meltCurve_Q9Y3C4_2_TPRKB.pdf", "Melting_Curves/meltCurve_Q9Y3C4_2_TPRKB.pdf")</f>
        <v>Melting_Curves/meltCurve_Q9Y3C4_2_TPRKB.pdf</v>
      </c>
    </row>
    <row r="6461" spans="1:28" x14ac:dyDescent="0.25">
      <c r="A6461" t="s">
        <v>6464</v>
      </c>
      <c r="B6461">
        <v>0.99930955844802105</v>
      </c>
      <c r="C6461">
        <v>0.96613147220501605</v>
      </c>
      <c r="D6461">
        <v>0.81739096791327903</v>
      </c>
      <c r="E6461">
        <v>0.42479379656275501</v>
      </c>
      <c r="F6461">
        <v>0.24816853017648799</v>
      </c>
      <c r="G6461">
        <v>0.15759473874953001</v>
      </c>
      <c r="H6461">
        <v>8.0153966216005096E-2</v>
      </c>
      <c r="I6461">
        <v>6.9493999918568403E-2</v>
      </c>
      <c r="J6461">
        <v>5.8015274531100697E-2</v>
      </c>
      <c r="K6461">
        <v>4.4578884167357398E-2</v>
      </c>
      <c r="L6461">
        <v>976.64062025563396</v>
      </c>
      <c r="M6461">
        <v>19.883667862045201</v>
      </c>
      <c r="N6461">
        <v>49.448662737609403</v>
      </c>
      <c r="O6461">
        <v>48.629013258925802</v>
      </c>
      <c r="P6461">
        <v>-9.5856211117796006E-2</v>
      </c>
      <c r="Q6461">
        <v>6.2298317683847998E-2</v>
      </c>
      <c r="R6461">
        <v>0.99772535393347805</v>
      </c>
      <c r="S6461" t="s">
        <v>13077</v>
      </c>
      <c r="T6461" t="s">
        <v>13232</v>
      </c>
      <c r="U6461" t="s">
        <v>13232</v>
      </c>
      <c r="V6461" t="s">
        <v>13232</v>
      </c>
      <c r="W6461" t="s">
        <v>19618</v>
      </c>
      <c r="X6461">
        <v>7</v>
      </c>
      <c r="Y6461" t="s">
        <v>25985</v>
      </c>
      <c r="Z6461" t="s">
        <v>32592</v>
      </c>
      <c r="AA6461">
        <v>0.36056569147193218</v>
      </c>
      <c r="AB6461" t="str">
        <f>HYPERLINK("Melting_Curves/meltCurve_Q9Y3C6_PPIL1.pdf", "Melting_Curves/meltCurve_Q9Y3C6_PPIL1.pdf")</f>
        <v>Melting_Curves/meltCurve_Q9Y3C6_PPIL1.pdf</v>
      </c>
    </row>
    <row r="6462" spans="1:28" x14ac:dyDescent="0.25">
      <c r="A6462" t="s">
        <v>6465</v>
      </c>
      <c r="B6462">
        <v>0.99930955844802105</v>
      </c>
      <c r="C6462">
        <v>0.93750758107002397</v>
      </c>
      <c r="D6462">
        <v>0.98812742699213496</v>
      </c>
      <c r="E6462">
        <v>0.84206797121163102</v>
      </c>
      <c r="F6462">
        <v>0.71741148231741103</v>
      </c>
      <c r="G6462">
        <v>0.57714459282159902</v>
      </c>
      <c r="H6462">
        <v>0.24931158161756001</v>
      </c>
      <c r="I6462">
        <v>9.7416323248787406E-2</v>
      </c>
      <c r="J6462">
        <v>5.2176152504048903E-2</v>
      </c>
      <c r="K6462">
        <v>4.18833939748142E-2</v>
      </c>
      <c r="L6462">
        <v>885.80006708555595</v>
      </c>
      <c r="M6462">
        <v>15.5903491709068</v>
      </c>
      <c r="N6462">
        <v>56.817205171784103</v>
      </c>
      <c r="O6462">
        <v>55.907030847827201</v>
      </c>
      <c r="P6462">
        <v>-6.9721564935597599E-2</v>
      </c>
      <c r="Q6462">
        <v>0</v>
      </c>
      <c r="R6462">
        <v>0.98686880727589599</v>
      </c>
      <c r="S6462" t="s">
        <v>13078</v>
      </c>
      <c r="T6462" t="s">
        <v>13232</v>
      </c>
      <c r="U6462" t="s">
        <v>13232</v>
      </c>
      <c r="V6462" t="s">
        <v>13232</v>
      </c>
      <c r="W6462" t="s">
        <v>19619</v>
      </c>
      <c r="X6462">
        <v>10</v>
      </c>
      <c r="Y6462" t="s">
        <v>25986</v>
      </c>
      <c r="Z6462" t="s">
        <v>32593</v>
      </c>
      <c r="AA6462">
        <v>0.57636210855602488</v>
      </c>
      <c r="AB6462" t="str">
        <f>HYPERLINK("Melting_Curves/meltCurve_Q9Y3C8_UFC1.pdf", "Melting_Curves/meltCurve_Q9Y3C8_UFC1.pdf")</f>
        <v>Melting_Curves/meltCurve_Q9Y3C8_UFC1.pdf</v>
      </c>
    </row>
    <row r="6463" spans="1:28" x14ac:dyDescent="0.25">
      <c r="A6463" t="s">
        <v>6466</v>
      </c>
      <c r="B6463">
        <v>0.99930955844802105</v>
      </c>
      <c r="C6463">
        <v>0.76261460809918902</v>
      </c>
      <c r="D6463">
        <v>0.60519353076601401</v>
      </c>
      <c r="E6463">
        <v>0.40528095260767999</v>
      </c>
      <c r="F6463">
        <v>0.26326247367215999</v>
      </c>
      <c r="G6463">
        <v>0.17916699219240001</v>
      </c>
      <c r="H6463">
        <v>9.7071081049126096E-2</v>
      </c>
      <c r="I6463">
        <v>8.2741487081409396E-2</v>
      </c>
      <c r="J6463">
        <v>6.0993827382924498E-2</v>
      </c>
      <c r="K6463">
        <v>4.7177255985698101E-2</v>
      </c>
      <c r="L6463">
        <v>573.80196622260701</v>
      </c>
      <c r="M6463">
        <v>12.0140951120114</v>
      </c>
      <c r="N6463">
        <v>48.067949759315297</v>
      </c>
      <c r="O6463">
        <v>46.495210641457099</v>
      </c>
      <c r="P6463">
        <v>-6.2226238089371402E-2</v>
      </c>
      <c r="Q6463">
        <v>3.6955223605808399E-2</v>
      </c>
      <c r="R6463">
        <v>0.98990823372030101</v>
      </c>
      <c r="S6463" t="s">
        <v>13079</v>
      </c>
      <c r="T6463" t="s">
        <v>13232</v>
      </c>
      <c r="U6463" t="s">
        <v>13232</v>
      </c>
      <c r="V6463" t="s">
        <v>13232</v>
      </c>
      <c r="W6463" t="s">
        <v>19620</v>
      </c>
      <c r="X6463">
        <v>5</v>
      </c>
      <c r="Y6463" t="s">
        <v>25987</v>
      </c>
      <c r="Z6463" t="s">
        <v>32594</v>
      </c>
      <c r="AA6463">
        <v>0.32430187486408441</v>
      </c>
      <c r="AB6463" t="str">
        <f>HYPERLINK("Melting_Curves/meltCurve_Q9Y3D0_FAM96B.pdf", "Melting_Curves/meltCurve_Q9Y3D0_FAM96B.pdf")</f>
        <v>Melting_Curves/meltCurve_Q9Y3D0_FAM96B.pdf</v>
      </c>
    </row>
    <row r="6464" spans="1:28" x14ac:dyDescent="0.25">
      <c r="A6464" t="s">
        <v>6467</v>
      </c>
      <c r="B6464">
        <v>0.99930955844802105</v>
      </c>
      <c r="C6464">
        <v>0.99674903225872102</v>
      </c>
      <c r="D6464">
        <v>1.00774188393535</v>
      </c>
      <c r="E6464">
        <v>0.90882097560609798</v>
      </c>
      <c r="F6464">
        <v>0.67800495979451803</v>
      </c>
      <c r="G6464">
        <v>0.441337652784277</v>
      </c>
      <c r="H6464">
        <v>0.30882416203026802</v>
      </c>
      <c r="I6464">
        <v>0.27777392729768402</v>
      </c>
      <c r="J6464">
        <v>0.23940265745963199</v>
      </c>
      <c r="K6464">
        <v>0.19813900268291601</v>
      </c>
      <c r="L6464">
        <v>1101.0175270465299</v>
      </c>
      <c r="M6464">
        <v>20.2774557434253</v>
      </c>
      <c r="N6464">
        <v>55.908848430437303</v>
      </c>
      <c r="O6464">
        <v>53.777806823034801</v>
      </c>
      <c r="P6464">
        <v>-7.3408986071769405E-2</v>
      </c>
      <c r="Q6464">
        <v>0.22127261707059401</v>
      </c>
      <c r="R6464">
        <v>0.99656634934690902</v>
      </c>
      <c r="S6464" t="s">
        <v>13080</v>
      </c>
      <c r="T6464" t="s">
        <v>13232</v>
      </c>
      <c r="U6464" t="s">
        <v>13232</v>
      </c>
      <c r="V6464" t="s">
        <v>13232</v>
      </c>
      <c r="W6464" t="s">
        <v>19621</v>
      </c>
      <c r="X6464">
        <v>7</v>
      </c>
      <c r="Y6464" t="s">
        <v>25988</v>
      </c>
      <c r="Z6464" t="s">
        <v>32595</v>
      </c>
      <c r="AA6464">
        <v>0.60270695404226038</v>
      </c>
      <c r="AB6464" t="str">
        <f>HYPERLINK("Melting_Curves/meltCurve_Q9Y3D2_MSRB2.pdf", "Melting_Curves/meltCurve_Q9Y3D2_MSRB2.pdf")</f>
        <v>Melting_Curves/meltCurve_Q9Y3D2_MSRB2.pdf</v>
      </c>
    </row>
    <row r="6465" spans="1:28" x14ac:dyDescent="0.25">
      <c r="A6465" t="s">
        <v>6468</v>
      </c>
      <c r="B6465">
        <v>0.99930955844802105</v>
      </c>
      <c r="C6465">
        <v>1.16562538703767</v>
      </c>
      <c r="D6465">
        <v>1.0075183489311601</v>
      </c>
      <c r="E6465">
        <v>1.0229094954740101</v>
      </c>
      <c r="F6465">
        <v>0.83451771026397403</v>
      </c>
      <c r="G6465">
        <v>0.75890798540395399</v>
      </c>
      <c r="H6465">
        <v>0.82477388821394004</v>
      </c>
      <c r="I6465">
        <v>0.85657376724970402</v>
      </c>
      <c r="J6465">
        <v>0.82564907770694196</v>
      </c>
      <c r="K6465">
        <v>0.71286358690315499</v>
      </c>
      <c r="L6465">
        <v>13173.0777590178</v>
      </c>
      <c r="M6465">
        <v>250</v>
      </c>
      <c r="O6465">
        <v>52.688939237410104</v>
      </c>
      <c r="P6465">
        <v>-0.24227851782235299</v>
      </c>
      <c r="Q6465">
        <v>0.79575363119347498</v>
      </c>
      <c r="R6465">
        <v>0.767643364291826</v>
      </c>
      <c r="S6465" t="s">
        <v>13081</v>
      </c>
      <c r="T6465" t="s">
        <v>13232</v>
      </c>
      <c r="U6465" t="s">
        <v>13232</v>
      </c>
      <c r="V6465" t="s">
        <v>13232</v>
      </c>
      <c r="W6465" t="s">
        <v>19622</v>
      </c>
      <c r="X6465">
        <v>3</v>
      </c>
      <c r="Y6465" t="s">
        <v>25989</v>
      </c>
      <c r="Z6465" t="s">
        <v>32596</v>
      </c>
      <c r="AA6465">
        <v>0.88218446673948481</v>
      </c>
      <c r="AB6465" t="str">
        <f>HYPERLINK("Melting_Curves/meltCurve_Q9Y3D6_FIS1.pdf", "Melting_Curves/meltCurve_Q9Y3D6_FIS1.pdf")</f>
        <v>Melting_Curves/meltCurve_Q9Y3D6_FIS1.pdf</v>
      </c>
    </row>
    <row r="6466" spans="1:28" x14ac:dyDescent="0.25">
      <c r="A6466" t="s">
        <v>6469</v>
      </c>
      <c r="B6466">
        <v>0.99930955844802105</v>
      </c>
      <c r="C6466">
        <v>0.87276939376912399</v>
      </c>
      <c r="D6466">
        <v>0.57635455219579201</v>
      </c>
      <c r="E6466">
        <v>0.36989194072988302</v>
      </c>
      <c r="F6466">
        <v>0.23888143954615701</v>
      </c>
      <c r="G6466">
        <v>0.14109066734599299</v>
      </c>
      <c r="H6466">
        <v>8.9684515148897803E-2</v>
      </c>
      <c r="I6466">
        <v>8.0251163593688807E-2</v>
      </c>
      <c r="J6466">
        <v>8.0086543023672102E-2</v>
      </c>
      <c r="K6466">
        <v>5.9060940217378503E-2</v>
      </c>
      <c r="L6466">
        <v>731.83499344258303</v>
      </c>
      <c r="M6466">
        <v>15.468065907112701</v>
      </c>
      <c r="N6466">
        <v>47.768295371565799</v>
      </c>
      <c r="O6466">
        <v>46.543031948742801</v>
      </c>
      <c r="P6466">
        <v>-7.73929535548009E-2</v>
      </c>
      <c r="Q6466">
        <v>6.8589771237212202E-2</v>
      </c>
      <c r="R6466">
        <v>0.99248000685883797</v>
      </c>
      <c r="S6466" t="s">
        <v>13082</v>
      </c>
      <c r="T6466" t="s">
        <v>13232</v>
      </c>
      <c r="U6466" t="s">
        <v>13232</v>
      </c>
      <c r="V6466" t="s">
        <v>13232</v>
      </c>
      <c r="W6466" t="s">
        <v>19623</v>
      </c>
      <c r="X6466">
        <v>4</v>
      </c>
      <c r="Y6466" t="s">
        <v>20111</v>
      </c>
      <c r="Z6466" t="s">
        <v>32597</v>
      </c>
      <c r="AA6466">
        <v>0.31894860950416032</v>
      </c>
      <c r="AB6466" t="str">
        <f>HYPERLINK("Melting_Curves/meltCurve_Q9Y3D8_TAF9.pdf", "Melting_Curves/meltCurve_Q9Y3D8_TAF9.pdf")</f>
        <v>Melting_Curves/meltCurve_Q9Y3D8_TAF9.pdf</v>
      </c>
    </row>
    <row r="6467" spans="1:28" x14ac:dyDescent="0.25">
      <c r="A6467" t="s">
        <v>6470</v>
      </c>
      <c r="B6467">
        <v>0.99930955844802105</v>
      </c>
      <c r="C6467">
        <v>1.0160141029576699</v>
      </c>
      <c r="D6467">
        <v>0.94496363478063095</v>
      </c>
      <c r="E6467">
        <v>1.1814197834807301</v>
      </c>
      <c r="F6467">
        <v>1.07452651092804</v>
      </c>
      <c r="G6467">
        <v>0</v>
      </c>
      <c r="H6467">
        <v>1.1600866539207999</v>
      </c>
      <c r="I6467">
        <v>2.1947697317974502</v>
      </c>
      <c r="J6467">
        <v>0</v>
      </c>
      <c r="K6467">
        <v>0.96502576333563495</v>
      </c>
      <c r="L6467">
        <v>3864.5557447587698</v>
      </c>
      <c r="M6467">
        <v>71.604806635381493</v>
      </c>
      <c r="O6467">
        <v>53.928562805433899</v>
      </c>
      <c r="P6467">
        <v>-4.2479743734712999E-2</v>
      </c>
      <c r="Q6467">
        <v>0.87202695307376998</v>
      </c>
      <c r="R6467">
        <v>1.7522787970079799E-2</v>
      </c>
      <c r="S6467" t="s">
        <v>13083</v>
      </c>
      <c r="T6467" t="s">
        <v>13232</v>
      </c>
      <c r="U6467" t="s">
        <v>13232</v>
      </c>
      <c r="V6467" t="s">
        <v>13232</v>
      </c>
      <c r="W6467" t="s">
        <v>19624</v>
      </c>
      <c r="X6467">
        <v>2</v>
      </c>
      <c r="Y6467" t="s">
        <v>25990</v>
      </c>
      <c r="Z6467" t="s">
        <v>32598</v>
      </c>
      <c r="AA6467">
        <v>0.93177049955871427</v>
      </c>
      <c r="AB6467" t="str">
        <f>HYPERLINK("Melting_Curves/meltCurve_Q9Y3D9_MRPS23.pdf", "Melting_Curves/meltCurve_Q9Y3D9_MRPS23.pdf")</f>
        <v>Melting_Curves/meltCurve_Q9Y3D9_MRPS23.pdf</v>
      </c>
    </row>
    <row r="6468" spans="1:28" x14ac:dyDescent="0.25">
      <c r="A6468" t="s">
        <v>6471</v>
      </c>
      <c r="B6468">
        <v>0.99930955844802105</v>
      </c>
      <c r="C6468">
        <v>0.912221990260765</v>
      </c>
      <c r="D6468">
        <v>0.91192879688044604</v>
      </c>
      <c r="E6468">
        <v>0.70402460309943204</v>
      </c>
      <c r="F6468">
        <v>0.55019396059597303</v>
      </c>
      <c r="G6468">
        <v>0.44048682875440398</v>
      </c>
      <c r="H6468">
        <v>0.33704935078864701</v>
      </c>
      <c r="I6468">
        <v>0.427590449778457</v>
      </c>
      <c r="J6468">
        <v>0.40690247246079297</v>
      </c>
      <c r="K6468">
        <v>0.34617940579166301</v>
      </c>
      <c r="L6468">
        <v>859.89843531204201</v>
      </c>
      <c r="M6468">
        <v>17.100666350016699</v>
      </c>
      <c r="N6468">
        <v>54.465052948211401</v>
      </c>
      <c r="O6468">
        <v>49.611970798279003</v>
      </c>
      <c r="P6468">
        <v>-5.4684753140746702E-2</v>
      </c>
      <c r="Q6468">
        <v>0.365438884937691</v>
      </c>
      <c r="R6468">
        <v>0.98179041654761701</v>
      </c>
      <c r="S6468" t="s">
        <v>13084</v>
      </c>
      <c r="T6468" t="s">
        <v>13232</v>
      </c>
      <c r="U6468" t="s">
        <v>13232</v>
      </c>
      <c r="V6468" t="s">
        <v>13232</v>
      </c>
      <c r="W6468" t="s">
        <v>19625</v>
      </c>
      <c r="X6468">
        <v>7</v>
      </c>
      <c r="Y6468" t="s">
        <v>25991</v>
      </c>
      <c r="Z6468" t="s">
        <v>32599</v>
      </c>
      <c r="AA6468">
        <v>0.5948355244757122</v>
      </c>
      <c r="AB6468" t="str">
        <f>HYPERLINK("Melting_Curves/meltCurve_Q9Y3E1_HDGFRP3.pdf", "Melting_Curves/meltCurve_Q9Y3E1_HDGFRP3.pdf")</f>
        <v>Melting_Curves/meltCurve_Q9Y3E1_HDGFRP3.pdf</v>
      </c>
    </row>
    <row r="6469" spans="1:28" x14ac:dyDescent="0.25">
      <c r="A6469" t="s">
        <v>6472</v>
      </c>
      <c r="B6469">
        <v>0.99930955844802105</v>
      </c>
      <c r="C6469">
        <v>1.09403207113391</v>
      </c>
      <c r="D6469">
        <v>1.0062611164328701</v>
      </c>
      <c r="E6469">
        <v>1.0209683802357099</v>
      </c>
      <c r="F6469">
        <v>0.82138702556097898</v>
      </c>
      <c r="G6469">
        <v>0.69157495107097799</v>
      </c>
      <c r="H6469">
        <v>0.61093080917839504</v>
      </c>
      <c r="I6469">
        <v>0.72244778142326105</v>
      </c>
      <c r="J6469">
        <v>0.700393052457428</v>
      </c>
      <c r="K6469">
        <v>0.560351913950217</v>
      </c>
      <c r="L6469">
        <v>13245.5560802373</v>
      </c>
      <c r="M6469">
        <v>250</v>
      </c>
      <c r="O6469">
        <v>52.978845143725898</v>
      </c>
      <c r="P6469">
        <v>-0.40447792729631199</v>
      </c>
      <c r="Q6469">
        <v>0.657139697916299</v>
      </c>
      <c r="R6469">
        <v>0.91565252531503905</v>
      </c>
      <c r="S6469" t="s">
        <v>13085</v>
      </c>
      <c r="T6469" t="s">
        <v>13232</v>
      </c>
      <c r="U6469" t="s">
        <v>13232</v>
      </c>
      <c r="V6469" t="s">
        <v>13232</v>
      </c>
      <c r="W6469" t="s">
        <v>19626</v>
      </c>
      <c r="X6469">
        <v>6</v>
      </c>
      <c r="Y6469" t="s">
        <v>25992</v>
      </c>
      <c r="Z6469" t="s">
        <v>32600</v>
      </c>
      <c r="AA6469">
        <v>0.80554122316856835</v>
      </c>
      <c r="AB6469" t="str">
        <f>HYPERLINK("Melting_Curves/meltCurve_Q9Y3E2_BOLA1.pdf", "Melting_Curves/meltCurve_Q9Y3E2_BOLA1.pdf")</f>
        <v>Melting_Curves/meltCurve_Q9Y3E2_BOLA1.pdf</v>
      </c>
    </row>
    <row r="6470" spans="1:28" x14ac:dyDescent="0.25">
      <c r="A6470" t="s">
        <v>6473</v>
      </c>
      <c r="B6470">
        <v>0.99930955844802105</v>
      </c>
      <c r="C6470">
        <v>0.82412682812250004</v>
      </c>
      <c r="D6470">
        <v>0.65958812308002102</v>
      </c>
      <c r="E6470">
        <v>0.77131481790328604</v>
      </c>
      <c r="F6470">
        <v>0.39426602544871397</v>
      </c>
      <c r="G6470">
        <v>0.21943176402958001</v>
      </c>
      <c r="H6470">
        <v>0.12988990953176699</v>
      </c>
      <c r="I6470">
        <v>0.129135014185909</v>
      </c>
      <c r="J6470">
        <v>8.5003691730219405E-2</v>
      </c>
      <c r="K6470">
        <v>7.1610940276035095E-2</v>
      </c>
      <c r="L6470">
        <v>532.30426346357103</v>
      </c>
      <c r="M6470">
        <v>10.3273931485086</v>
      </c>
      <c r="N6470">
        <v>51.542931264552003</v>
      </c>
      <c r="O6470">
        <v>49.7226249519546</v>
      </c>
      <c r="P6470">
        <v>-5.1947345803896101E-2</v>
      </c>
      <c r="Q6470">
        <v>0</v>
      </c>
      <c r="R6470">
        <v>0.94416005482494703</v>
      </c>
      <c r="S6470" t="s">
        <v>13086</v>
      </c>
      <c r="T6470" t="s">
        <v>13232</v>
      </c>
      <c r="U6470" t="s">
        <v>13232</v>
      </c>
      <c r="V6470" t="s">
        <v>13232</v>
      </c>
      <c r="W6470" t="s">
        <v>19627</v>
      </c>
      <c r="X6470">
        <v>2</v>
      </c>
      <c r="Y6470" t="s">
        <v>25993</v>
      </c>
      <c r="Z6470" t="s">
        <v>32601</v>
      </c>
      <c r="AA6470">
        <v>0.42292771908168592</v>
      </c>
      <c r="AB6470" t="str">
        <f>HYPERLINK("Melting_Curves/meltCurve_Q9Y3E5_PTRH2.pdf", "Melting_Curves/meltCurve_Q9Y3E5_PTRH2.pdf")</f>
        <v>Melting_Curves/meltCurve_Q9Y3E5_PTRH2.pdf</v>
      </c>
    </row>
    <row r="6471" spans="1:28" x14ac:dyDescent="0.25">
      <c r="A6471" t="s">
        <v>6474</v>
      </c>
      <c r="B6471">
        <v>0.99930955844802105</v>
      </c>
      <c r="C6471">
        <v>1.12017315068909</v>
      </c>
      <c r="D6471">
        <v>1.1667037349499501</v>
      </c>
      <c r="E6471">
        <v>1.18995959763679</v>
      </c>
      <c r="F6471">
        <v>1.0390874871557401</v>
      </c>
      <c r="G6471">
        <v>0.65122948630962696</v>
      </c>
      <c r="H6471">
        <v>0.20223506702698099</v>
      </c>
      <c r="I6471">
        <v>8.4140592924615398E-2</v>
      </c>
      <c r="J6471">
        <v>4.9676352470788901E-2</v>
      </c>
      <c r="K6471">
        <v>3.7740660875982102E-2</v>
      </c>
      <c r="L6471">
        <v>2198.16636151584</v>
      </c>
      <c r="M6471">
        <v>37.915673119910998</v>
      </c>
      <c r="N6471">
        <v>58.141831491784401</v>
      </c>
      <c r="O6471">
        <v>57.814572901778902</v>
      </c>
      <c r="P6471">
        <v>-0.155510188903001</v>
      </c>
      <c r="Q6471">
        <v>5.1502348590914099E-2</v>
      </c>
      <c r="R6471">
        <v>0.96320218626645704</v>
      </c>
      <c r="S6471" t="s">
        <v>13087</v>
      </c>
      <c r="T6471" t="s">
        <v>13232</v>
      </c>
      <c r="U6471" t="s">
        <v>13232</v>
      </c>
      <c r="V6471" t="s">
        <v>13232</v>
      </c>
      <c r="W6471" t="s">
        <v>19628</v>
      </c>
      <c r="X6471">
        <v>4</v>
      </c>
      <c r="Y6471" t="s">
        <v>25994</v>
      </c>
      <c r="Z6471" t="s">
        <v>32602</v>
      </c>
      <c r="AA6471">
        <v>0.62393889922693202</v>
      </c>
      <c r="AB6471" t="str">
        <f>HYPERLINK("Melting_Curves/meltCurve_Q9Y3E7_CHMP3.pdf", "Melting_Curves/meltCurve_Q9Y3E7_CHMP3.pdf")</f>
        <v>Melting_Curves/meltCurve_Q9Y3E7_CHMP3.pdf</v>
      </c>
    </row>
    <row r="6472" spans="1:28" x14ac:dyDescent="0.25">
      <c r="A6472" t="s">
        <v>6475</v>
      </c>
      <c r="B6472">
        <v>0.99930955844802105</v>
      </c>
      <c r="C6472">
        <v>1.0203108999403501</v>
      </c>
      <c r="D6472">
        <v>1.0221826968812899</v>
      </c>
      <c r="E6472">
        <v>0.94591141727778305</v>
      </c>
      <c r="F6472">
        <v>0.80791996962324597</v>
      </c>
      <c r="G6472">
        <v>0.55507803112048704</v>
      </c>
      <c r="H6472">
        <v>0.22066692571732199</v>
      </c>
      <c r="I6472">
        <v>0.104213036232708</v>
      </c>
      <c r="J6472">
        <v>8.0177566312195706E-2</v>
      </c>
      <c r="K6472">
        <v>6.5106655092309104E-2</v>
      </c>
      <c r="L6472">
        <v>1171.3598287617999</v>
      </c>
      <c r="M6472">
        <v>20.5093291039191</v>
      </c>
      <c r="N6472">
        <v>57.279386560293297</v>
      </c>
      <c r="O6472">
        <v>56.578842085710001</v>
      </c>
      <c r="P6472">
        <v>-8.8012567999653707E-2</v>
      </c>
      <c r="Q6472">
        <v>2.8831651928361499E-2</v>
      </c>
      <c r="R6472">
        <v>0.99756391537404498</v>
      </c>
      <c r="S6472" t="s">
        <v>13088</v>
      </c>
      <c r="T6472" t="s">
        <v>13232</v>
      </c>
      <c r="U6472" t="s">
        <v>13232</v>
      </c>
      <c r="V6472" t="s">
        <v>13232</v>
      </c>
      <c r="W6472" t="s">
        <v>19629</v>
      </c>
      <c r="X6472">
        <v>23</v>
      </c>
      <c r="Y6472" t="s">
        <v>25995</v>
      </c>
      <c r="Z6472" t="s">
        <v>32603</v>
      </c>
      <c r="AA6472">
        <v>0.59429046236538041</v>
      </c>
      <c r="AB6472" t="str">
        <f>HYPERLINK("Melting_Curves/meltCurve_Q9Y3F4_STRAP.pdf", "Melting_Curves/meltCurve_Q9Y3F4_STRAP.pdf")</f>
        <v>Melting_Curves/meltCurve_Q9Y3F4_STRAP.pdf</v>
      </c>
    </row>
    <row r="6473" spans="1:28" x14ac:dyDescent="0.25">
      <c r="A6473" t="s">
        <v>6476</v>
      </c>
      <c r="B6473">
        <v>0.99930955844802105</v>
      </c>
      <c r="C6473">
        <v>0.87261773056996605</v>
      </c>
      <c r="D6473">
        <v>0.87918547218594401</v>
      </c>
      <c r="E6473">
        <v>0.72013679164377098</v>
      </c>
      <c r="F6473">
        <v>0.351918834418391</v>
      </c>
      <c r="G6473">
        <v>0.20816550368533901</v>
      </c>
      <c r="H6473">
        <v>0.114648763675094</v>
      </c>
      <c r="I6473">
        <v>9.1452939626665702E-2</v>
      </c>
      <c r="J6473">
        <v>8.4061453652589102E-2</v>
      </c>
      <c r="K6473">
        <v>6.2116755057844898E-2</v>
      </c>
      <c r="L6473">
        <v>912.645811695867</v>
      </c>
      <c r="M6473">
        <v>17.739849635811801</v>
      </c>
      <c r="N6473">
        <v>51.814815960056798</v>
      </c>
      <c r="O6473">
        <v>50.805706050043398</v>
      </c>
      <c r="P6473">
        <v>-8.2120517938930104E-2</v>
      </c>
      <c r="Q6473">
        <v>5.92991531107269E-2</v>
      </c>
      <c r="R6473">
        <v>0.98547836054456495</v>
      </c>
      <c r="S6473" t="s">
        <v>13089</v>
      </c>
      <c r="T6473" t="s">
        <v>13232</v>
      </c>
      <c r="U6473" t="s">
        <v>13232</v>
      </c>
      <c r="V6473" t="s">
        <v>13232</v>
      </c>
      <c r="W6473" t="s">
        <v>19630</v>
      </c>
      <c r="X6473">
        <v>30</v>
      </c>
      <c r="Y6473" t="s">
        <v>25996</v>
      </c>
      <c r="Z6473" t="s">
        <v>32604</v>
      </c>
      <c r="AA6473">
        <v>0.43438495214827288</v>
      </c>
      <c r="AB6473" t="str">
        <f>HYPERLINK("Melting_Curves/meltCurve_Q9Y3I0_C22orf28.pdf", "Melting_Curves/meltCurve_Q9Y3I0_C22orf28.pdf")</f>
        <v>Melting_Curves/meltCurve_Q9Y3I0_C22orf28.pdf</v>
      </c>
    </row>
    <row r="6474" spans="1:28" x14ac:dyDescent="0.25">
      <c r="A6474" t="s">
        <v>6477</v>
      </c>
      <c r="B6474">
        <v>0.99930955844802105</v>
      </c>
      <c r="C6474">
        <v>0.91408673528217599</v>
      </c>
      <c r="D6474">
        <v>0.85091328468570204</v>
      </c>
      <c r="E6474">
        <v>0.72291782767991897</v>
      </c>
      <c r="F6474">
        <v>0.63300745205917797</v>
      </c>
      <c r="G6474">
        <v>0.37555118687206201</v>
      </c>
      <c r="H6474">
        <v>0.108143642928307</v>
      </c>
      <c r="I6474">
        <v>9.4036031739402504E-2</v>
      </c>
      <c r="J6474">
        <v>8.2089058771875403E-2</v>
      </c>
      <c r="K6474">
        <v>5.8721256849820803E-2</v>
      </c>
      <c r="L6474">
        <v>700.14906754674098</v>
      </c>
      <c r="M6474">
        <v>12.9423065415784</v>
      </c>
      <c r="N6474">
        <v>54.097703730752599</v>
      </c>
      <c r="O6474">
        <v>52.855014583629902</v>
      </c>
      <c r="P6474">
        <v>-6.1227082642302699E-2</v>
      </c>
      <c r="Q6474">
        <v>0</v>
      </c>
      <c r="R6474">
        <v>0.98542884911266204</v>
      </c>
      <c r="S6474" t="s">
        <v>13090</v>
      </c>
      <c r="T6474" t="s">
        <v>13232</v>
      </c>
      <c r="U6474" t="s">
        <v>13232</v>
      </c>
      <c r="V6474" t="s">
        <v>13232</v>
      </c>
      <c r="W6474" t="s">
        <v>19631</v>
      </c>
      <c r="X6474">
        <v>10</v>
      </c>
      <c r="Y6474" t="s">
        <v>25997</v>
      </c>
      <c r="Z6474" t="s">
        <v>32605</v>
      </c>
      <c r="AA6474">
        <v>0.49399053870297222</v>
      </c>
      <c r="AB6474" t="str">
        <f>HYPERLINK("Melting_Curves/meltCurve_Q9Y3I1_FBXO7.pdf", "Melting_Curves/meltCurve_Q9Y3I1_FBXO7.pdf")</f>
        <v>Melting_Curves/meltCurve_Q9Y3I1_FBXO7.pdf</v>
      </c>
    </row>
    <row r="6475" spans="1:28" x14ac:dyDescent="0.25">
      <c r="A6475" t="s">
        <v>6478</v>
      </c>
      <c r="B6475">
        <v>0.99930955844802105</v>
      </c>
      <c r="C6475">
        <v>1.0416587934068999</v>
      </c>
      <c r="D6475">
        <v>1.0036258613814499</v>
      </c>
      <c r="E6475">
        <v>0.88505593644985903</v>
      </c>
      <c r="F6475">
        <v>0.684391072607891</v>
      </c>
      <c r="G6475">
        <v>0.36508032198303603</v>
      </c>
      <c r="H6475">
        <v>0.28979567051410998</v>
      </c>
      <c r="I6475">
        <v>0.331738648509044</v>
      </c>
      <c r="J6475">
        <v>0.300713682557541</v>
      </c>
      <c r="K6475">
        <v>0.23627405697284501</v>
      </c>
      <c r="L6475">
        <v>1500.0612788117501</v>
      </c>
      <c r="M6475">
        <v>28.137574385605799</v>
      </c>
      <c r="N6475">
        <v>54.913730613253399</v>
      </c>
      <c r="O6475">
        <v>53.0445863251216</v>
      </c>
      <c r="P6475">
        <v>-9.54848541558216E-2</v>
      </c>
      <c r="Q6475">
        <v>0.27997898212383399</v>
      </c>
      <c r="R6475">
        <v>0.99313286694799296</v>
      </c>
      <c r="S6475" t="s">
        <v>13091</v>
      </c>
      <c r="T6475" t="s">
        <v>13232</v>
      </c>
      <c r="U6475" t="s">
        <v>13232</v>
      </c>
      <c r="V6475" t="s">
        <v>13232</v>
      </c>
      <c r="W6475" t="s">
        <v>17160</v>
      </c>
      <c r="X6475">
        <v>25</v>
      </c>
      <c r="Y6475" t="s">
        <v>23579</v>
      </c>
      <c r="Z6475" t="s">
        <v>32606</v>
      </c>
      <c r="AA6475">
        <v>0.60477805045331856</v>
      </c>
      <c r="AB6475" t="str">
        <f>HYPERLINK("Melting_Curves/meltCurve_Q9Y3L3_SH3BP1.pdf", "Melting_Curves/meltCurve_Q9Y3L3_SH3BP1.pdf")</f>
        <v>Melting_Curves/meltCurve_Q9Y3L3_SH3BP1.pdf</v>
      </c>
    </row>
    <row r="6476" spans="1:28" x14ac:dyDescent="0.25">
      <c r="A6476" t="s">
        <v>6479</v>
      </c>
      <c r="B6476">
        <v>0.99930955844802105</v>
      </c>
      <c r="C6476">
        <v>1.03837007868432</v>
      </c>
      <c r="D6476">
        <v>0.99212144773665401</v>
      </c>
      <c r="E6476">
        <v>0.88648115873422295</v>
      </c>
      <c r="F6476">
        <v>0.54080520767829299</v>
      </c>
      <c r="G6476">
        <v>0.30431074695691201</v>
      </c>
      <c r="H6476">
        <v>0.172859400679613</v>
      </c>
      <c r="I6476">
        <v>0.15150190557948701</v>
      </c>
      <c r="J6476">
        <v>0.13420975862006501</v>
      </c>
      <c r="K6476">
        <v>0.108869286742692</v>
      </c>
      <c r="L6476">
        <v>1324.09836373945</v>
      </c>
      <c r="M6476">
        <v>24.909677406007301</v>
      </c>
      <c r="N6476">
        <v>53.821245364606703</v>
      </c>
      <c r="O6476">
        <v>52.816936758050602</v>
      </c>
      <c r="P6476">
        <v>-0.10228416107900699</v>
      </c>
      <c r="Q6476">
        <v>0.13250364155088901</v>
      </c>
      <c r="R6476">
        <v>0.99542968561707601</v>
      </c>
      <c r="S6476" t="s">
        <v>13092</v>
      </c>
      <c r="T6476" t="s">
        <v>13232</v>
      </c>
      <c r="U6476" t="s">
        <v>13232</v>
      </c>
      <c r="V6476" t="s">
        <v>13232</v>
      </c>
      <c r="W6476" t="s">
        <v>19632</v>
      </c>
      <c r="X6476">
        <v>29</v>
      </c>
      <c r="Y6476" t="s">
        <v>25998</v>
      </c>
      <c r="Z6476" t="s">
        <v>32607</v>
      </c>
      <c r="AA6476">
        <v>0.52097909067943604</v>
      </c>
      <c r="AB6476" t="str">
        <f>HYPERLINK("Melting_Curves/meltCurve_Q9Y3P9_RABGAP1.pdf", "Melting_Curves/meltCurve_Q9Y3P9_RABGAP1.pdf")</f>
        <v>Melting_Curves/meltCurve_Q9Y3P9_RABGAP1.pdf</v>
      </c>
    </row>
    <row r="6477" spans="1:28" x14ac:dyDescent="0.25">
      <c r="A6477" t="s">
        <v>6480</v>
      </c>
      <c r="B6477">
        <v>0.99930955844802105</v>
      </c>
      <c r="C6477">
        <v>0.99964418670567601</v>
      </c>
      <c r="D6477">
        <v>0.97571064558235898</v>
      </c>
      <c r="E6477">
        <v>0.86783318498695705</v>
      </c>
      <c r="F6477">
        <v>0.76988869709059304</v>
      </c>
      <c r="G6477">
        <v>0.60658007348625798</v>
      </c>
      <c r="H6477">
        <v>0.53059673635771298</v>
      </c>
      <c r="I6477">
        <v>0.56283644777887598</v>
      </c>
      <c r="J6477">
        <v>0.56177637703035999</v>
      </c>
      <c r="K6477">
        <v>0.44059999654668303</v>
      </c>
      <c r="L6477">
        <v>916.64151237838598</v>
      </c>
      <c r="M6477">
        <v>17.214107770194801</v>
      </c>
      <c r="O6477">
        <v>52.546401945805599</v>
      </c>
      <c r="P6477">
        <v>-4.1168564066263097E-2</v>
      </c>
      <c r="Q6477">
        <v>0.49735816915366399</v>
      </c>
      <c r="R6477">
        <v>0.97858981865690498</v>
      </c>
      <c r="S6477" t="s">
        <v>13093</v>
      </c>
      <c r="T6477" t="s">
        <v>13232</v>
      </c>
      <c r="U6477" t="s">
        <v>13232</v>
      </c>
      <c r="V6477" t="s">
        <v>13232</v>
      </c>
      <c r="W6477" t="s">
        <v>19633</v>
      </c>
      <c r="X6477">
        <v>20</v>
      </c>
      <c r="Y6477" t="s">
        <v>25999</v>
      </c>
      <c r="Z6477" t="s">
        <v>32608</v>
      </c>
      <c r="AA6477">
        <v>0.72812412012410765</v>
      </c>
      <c r="AB6477" t="str">
        <f>HYPERLINK("Melting_Curves/meltCurve_Q9Y3Q8_TSC22D4.pdf", "Melting_Curves/meltCurve_Q9Y3Q8_TSC22D4.pdf")</f>
        <v>Melting_Curves/meltCurve_Q9Y3Q8_TSC22D4.pdf</v>
      </c>
    </row>
    <row r="6478" spans="1:28" x14ac:dyDescent="0.25">
      <c r="A6478" t="s">
        <v>6481</v>
      </c>
      <c r="B6478">
        <v>0.99930955844802105</v>
      </c>
      <c r="C6478">
        <v>0.74511985305029804</v>
      </c>
      <c r="D6478">
        <v>0.67495703639492999</v>
      </c>
      <c r="E6478">
        <v>0.59260896521011996</v>
      </c>
      <c r="F6478">
        <v>0.42484541903828199</v>
      </c>
      <c r="G6478">
        <v>0.27099193763372598</v>
      </c>
      <c r="H6478">
        <v>0.20833894774292899</v>
      </c>
      <c r="I6478">
        <v>0.22578723417015101</v>
      </c>
      <c r="J6478">
        <v>0.23776631943695301</v>
      </c>
      <c r="K6478">
        <v>0.14509893583736899</v>
      </c>
      <c r="L6478">
        <v>467.96540793706799</v>
      </c>
      <c r="M6478">
        <v>9.5120163827150694</v>
      </c>
      <c r="N6478">
        <v>50.693147457397501</v>
      </c>
      <c r="O6478">
        <v>47.170111080663297</v>
      </c>
      <c r="P6478">
        <v>-4.4270568652269901E-2</v>
      </c>
      <c r="Q6478">
        <v>0.122365654644644</v>
      </c>
      <c r="R6478">
        <v>0.96564522947143205</v>
      </c>
      <c r="S6478" t="s">
        <v>13094</v>
      </c>
      <c r="T6478" t="s">
        <v>13232</v>
      </c>
      <c r="U6478" t="s">
        <v>13232</v>
      </c>
      <c r="V6478" t="s">
        <v>13232</v>
      </c>
      <c r="W6478" t="s">
        <v>19634</v>
      </c>
      <c r="X6478">
        <v>6</v>
      </c>
      <c r="Y6478" t="s">
        <v>26000</v>
      </c>
      <c r="Z6478" t="s">
        <v>32609</v>
      </c>
      <c r="AA6478">
        <v>0.4368418538630412</v>
      </c>
      <c r="AB6478" t="str">
        <f>HYPERLINK("Melting_Curves/meltCurve_Q9Y3R5_2_DOPEY2.pdf", "Melting_Curves/meltCurve_Q9Y3R5_2_DOPEY2.pdf")</f>
        <v>Melting_Curves/meltCurve_Q9Y3R5_2_DOPEY2.pdf</v>
      </c>
    </row>
    <row r="6479" spans="1:28" x14ac:dyDescent="0.25">
      <c r="A6479" t="s">
        <v>6482</v>
      </c>
      <c r="B6479">
        <v>0.99930955844802105</v>
      </c>
      <c r="C6479">
        <v>1.0346419385980099</v>
      </c>
      <c r="D6479">
        <v>0.91162405721711803</v>
      </c>
      <c r="E6479">
        <v>0.77008509571322104</v>
      </c>
      <c r="F6479">
        <v>0.63742414381623802</v>
      </c>
      <c r="G6479">
        <v>0.48198684249541102</v>
      </c>
      <c r="H6479">
        <v>0.336859910661365</v>
      </c>
      <c r="I6479">
        <v>0.24646747549551001</v>
      </c>
      <c r="J6479">
        <v>0.187491877650245</v>
      </c>
      <c r="K6479">
        <v>0.13275591191194799</v>
      </c>
      <c r="L6479">
        <v>602.50361216212798</v>
      </c>
      <c r="M6479">
        <v>10.8003150605245</v>
      </c>
      <c r="N6479">
        <v>56.3611583253603</v>
      </c>
      <c r="O6479">
        <v>53.975369840860502</v>
      </c>
      <c r="P6479">
        <v>-4.7430095684221199E-2</v>
      </c>
      <c r="Q6479">
        <v>5.2201550263579102E-2</v>
      </c>
      <c r="R6479">
        <v>0.99399116704577495</v>
      </c>
      <c r="S6479" t="s">
        <v>13095</v>
      </c>
      <c r="T6479" t="s">
        <v>13232</v>
      </c>
      <c r="U6479" t="s">
        <v>13232</v>
      </c>
      <c r="V6479" t="s">
        <v>13232</v>
      </c>
      <c r="W6479" t="s">
        <v>19635</v>
      </c>
      <c r="X6479">
        <v>12</v>
      </c>
      <c r="Y6479" t="s">
        <v>26001</v>
      </c>
      <c r="Z6479" t="s">
        <v>32610</v>
      </c>
      <c r="AA6479">
        <v>0.57166344620936393</v>
      </c>
      <c r="AB6479" t="str">
        <f>HYPERLINK("Melting_Curves/meltCurve_Q9Y3S2_ZNF330.pdf", "Melting_Curves/meltCurve_Q9Y3S2_ZNF330.pdf")</f>
        <v>Melting_Curves/meltCurve_Q9Y3S2_ZNF330.pdf</v>
      </c>
    </row>
    <row r="6480" spans="1:28" x14ac:dyDescent="0.25">
      <c r="A6480" t="s">
        <v>6483</v>
      </c>
      <c r="B6480">
        <v>0.99930955844802105</v>
      </c>
      <c r="C6480">
        <v>1.1148818004102801</v>
      </c>
      <c r="D6480">
        <v>1.0429807507770501</v>
      </c>
      <c r="E6480">
        <v>1.1327259257511599</v>
      </c>
      <c r="F6480">
        <v>1.0447328263081099</v>
      </c>
      <c r="G6480">
        <v>0.96120110731374997</v>
      </c>
      <c r="H6480">
        <v>1.36714942423472</v>
      </c>
      <c r="I6480">
        <v>1.6652644908430401</v>
      </c>
      <c r="J6480">
        <v>2.1120961769904198</v>
      </c>
      <c r="K6480">
        <v>1.4384522616559601</v>
      </c>
      <c r="L6480">
        <v>15000</v>
      </c>
      <c r="M6480">
        <v>246.918214068384</v>
      </c>
      <c r="O6480">
        <v>60.744859842455199</v>
      </c>
      <c r="P6480">
        <v>0.50810503579202904</v>
      </c>
      <c r="Q6480">
        <v>1.5</v>
      </c>
      <c r="R6480">
        <v>0.63591009625263295</v>
      </c>
      <c r="S6480" t="s">
        <v>13096</v>
      </c>
      <c r="T6480" t="s">
        <v>13232</v>
      </c>
      <c r="U6480" t="s">
        <v>13232</v>
      </c>
      <c r="V6480" t="s">
        <v>13232</v>
      </c>
      <c r="W6480" t="s">
        <v>19636</v>
      </c>
      <c r="X6480">
        <v>6</v>
      </c>
      <c r="Y6480" t="s">
        <v>26002</v>
      </c>
      <c r="Z6480" t="s">
        <v>32611</v>
      </c>
      <c r="AA6480">
        <v>1.154131021974319</v>
      </c>
      <c r="AB6480" t="str">
        <f>HYPERLINK("Melting_Curves/meltCurve_Q9Y3T6_R3HCC1.pdf", "Melting_Curves/meltCurve_Q9Y3T6_R3HCC1.pdf")</f>
        <v>Melting_Curves/meltCurve_Q9Y3T6_R3HCC1.pdf</v>
      </c>
    </row>
    <row r="6481" spans="1:28" x14ac:dyDescent="0.25">
      <c r="A6481" t="s">
        <v>6484</v>
      </c>
      <c r="B6481">
        <v>0.99930955844802105</v>
      </c>
      <c r="C6481">
        <v>0.728323598555355</v>
      </c>
      <c r="D6481">
        <v>0.61033584915055705</v>
      </c>
      <c r="E6481">
        <v>0.44669800726148201</v>
      </c>
      <c r="F6481">
        <v>0.33751920478617398</v>
      </c>
      <c r="G6481">
        <v>0.27549378577394101</v>
      </c>
      <c r="H6481">
        <v>0.226120403270825</v>
      </c>
      <c r="I6481">
        <v>0.243390106119177</v>
      </c>
      <c r="J6481">
        <v>0.27461405646201198</v>
      </c>
      <c r="K6481">
        <v>0.20156746335241499</v>
      </c>
      <c r="L6481">
        <v>635.75892721611501</v>
      </c>
      <c r="M6481">
        <v>13.814274670937101</v>
      </c>
      <c r="N6481">
        <v>48.111205207654301</v>
      </c>
      <c r="O6481">
        <v>45.089617137308998</v>
      </c>
      <c r="P6481">
        <v>-5.9324499723482603E-2</v>
      </c>
      <c r="Q6481">
        <v>0.22557000434340199</v>
      </c>
      <c r="R6481">
        <v>0.97579546406095796</v>
      </c>
      <c r="S6481" t="s">
        <v>13097</v>
      </c>
      <c r="T6481" t="s">
        <v>13232</v>
      </c>
      <c r="U6481" t="s">
        <v>13232</v>
      </c>
      <c r="V6481" t="s">
        <v>13232</v>
      </c>
      <c r="W6481" t="s">
        <v>19637</v>
      </c>
      <c r="X6481">
        <v>8</v>
      </c>
      <c r="Y6481" t="s">
        <v>26003</v>
      </c>
      <c r="Z6481" t="s">
        <v>32612</v>
      </c>
      <c r="AA6481">
        <v>0.40777726660971197</v>
      </c>
      <c r="AB6481" t="str">
        <f>HYPERLINK("Melting_Curves/meltCurve_Q9Y3T9_NOC2L.pdf", "Melting_Curves/meltCurve_Q9Y3T9_NOC2L.pdf")</f>
        <v>Melting_Curves/meltCurve_Q9Y3T9_NOC2L.pdf</v>
      </c>
    </row>
    <row r="6482" spans="1:28" x14ac:dyDescent="0.25">
      <c r="A6482" t="s">
        <v>6485</v>
      </c>
      <c r="B6482">
        <v>0.99930955844802105</v>
      </c>
      <c r="C6482">
        <v>0.93476237574835597</v>
      </c>
      <c r="D6482">
        <v>0.88181197971625203</v>
      </c>
      <c r="E6482">
        <v>0.97539234855773504</v>
      </c>
      <c r="F6482">
        <v>1.0188215625264101</v>
      </c>
      <c r="G6482">
        <v>0.83908001171733804</v>
      </c>
      <c r="H6482">
        <v>0.69194872852594003</v>
      </c>
      <c r="I6482">
        <v>0.56535667119649302</v>
      </c>
      <c r="J6482">
        <v>0.65474674158546098</v>
      </c>
      <c r="K6482">
        <v>0.557250542206574</v>
      </c>
      <c r="L6482">
        <v>1785.50828353988</v>
      </c>
      <c r="M6482">
        <v>30.701045415023</v>
      </c>
      <c r="O6482">
        <v>57.9128203322947</v>
      </c>
      <c r="P6482">
        <v>-5.46886346852146E-2</v>
      </c>
      <c r="Q6482">
        <v>0.58735551712596401</v>
      </c>
      <c r="R6482">
        <v>0.90403000584757398</v>
      </c>
      <c r="S6482" t="s">
        <v>13098</v>
      </c>
      <c r="T6482" t="s">
        <v>13232</v>
      </c>
      <c r="U6482" t="s">
        <v>13232</v>
      </c>
      <c r="V6482" t="s">
        <v>13232</v>
      </c>
      <c r="W6482" t="s">
        <v>19638</v>
      </c>
      <c r="X6482">
        <v>3</v>
      </c>
      <c r="Y6482" t="s">
        <v>26004</v>
      </c>
      <c r="Z6482" t="s">
        <v>32613</v>
      </c>
      <c r="AA6482">
        <v>0.83972091467205889</v>
      </c>
      <c r="AB6482" t="str">
        <f>HYPERLINK("Melting_Curves/meltCurve_Q9Y3U8_RPL36.pdf", "Melting_Curves/meltCurve_Q9Y3U8_RPL36.pdf")</f>
        <v>Melting_Curves/meltCurve_Q9Y3U8_RPL36.pdf</v>
      </c>
    </row>
    <row r="6483" spans="1:28" x14ac:dyDescent="0.25">
      <c r="A6483" t="s">
        <v>6486</v>
      </c>
      <c r="B6483">
        <v>0.99930955844802105</v>
      </c>
      <c r="C6483">
        <v>1.15942683997815</v>
      </c>
      <c r="D6483">
        <v>1.0935455667318901</v>
      </c>
      <c r="E6483">
        <v>0.87060408928288502</v>
      </c>
      <c r="F6483">
        <v>0.56839153867093895</v>
      </c>
      <c r="G6483">
        <v>0.48894862800244598</v>
      </c>
      <c r="H6483">
        <v>0.34557436723861401</v>
      </c>
      <c r="I6483">
        <v>0.31819190476077702</v>
      </c>
      <c r="J6483">
        <v>0.32001783864806199</v>
      </c>
      <c r="K6483">
        <v>0.20769298124615401</v>
      </c>
      <c r="L6483">
        <v>1202.50375138039</v>
      </c>
      <c r="M6483">
        <v>22.702101453074398</v>
      </c>
      <c r="N6483">
        <v>55.100331961240002</v>
      </c>
      <c r="O6483">
        <v>52.5629689579063</v>
      </c>
      <c r="P6483">
        <v>-7.6422780165257803E-2</v>
      </c>
      <c r="Q6483">
        <v>0.29223661525573102</v>
      </c>
      <c r="R6483">
        <v>0.94799737776007698</v>
      </c>
      <c r="S6483" t="s">
        <v>13099</v>
      </c>
      <c r="T6483" t="s">
        <v>13232</v>
      </c>
      <c r="U6483" t="s">
        <v>13232</v>
      </c>
      <c r="V6483" t="s">
        <v>13232</v>
      </c>
      <c r="W6483" t="s">
        <v>19639</v>
      </c>
      <c r="X6483">
        <v>1</v>
      </c>
      <c r="Y6483" t="s">
        <v>26005</v>
      </c>
      <c r="Z6483" t="s">
        <v>32614</v>
      </c>
      <c r="AA6483">
        <v>0.60598482246202079</v>
      </c>
      <c r="AB6483" t="str">
        <f>HYPERLINK("Melting_Curves/meltCurve_Q9Y3V2_2_RWDD3.pdf", "Melting_Curves/meltCurve_Q9Y3V2_2_RWDD3.pdf")</f>
        <v>Melting_Curves/meltCurve_Q9Y3V2_2_RWDD3.pdf</v>
      </c>
    </row>
    <row r="6484" spans="1:28" x14ac:dyDescent="0.25">
      <c r="A6484" t="s">
        <v>6487</v>
      </c>
      <c r="B6484">
        <v>0.99930955844802105</v>
      </c>
      <c r="C6484">
        <v>1.0009184758309</v>
      </c>
      <c r="D6484">
        <v>1.00021609891388</v>
      </c>
      <c r="E6484">
        <v>0.91151926652045401</v>
      </c>
      <c r="F6484">
        <v>0.81096825295195996</v>
      </c>
      <c r="G6484">
        <v>0.70963861703769304</v>
      </c>
      <c r="H6484">
        <v>0.683001413727514</v>
      </c>
      <c r="I6484">
        <v>0.75605294155552105</v>
      </c>
      <c r="J6484">
        <v>0.752357554335644</v>
      </c>
      <c r="K6484">
        <v>0.60297130740791804</v>
      </c>
      <c r="L6484">
        <v>1393.0653573894999</v>
      </c>
      <c r="M6484">
        <v>26.866816762370899</v>
      </c>
      <c r="O6484">
        <v>51.566072186709498</v>
      </c>
      <c r="P6484">
        <v>-3.9733280648233497E-2</v>
      </c>
      <c r="Q6484">
        <v>0.69495924075891702</v>
      </c>
      <c r="R6484">
        <v>0.91777766938080696</v>
      </c>
      <c r="S6484" t="s">
        <v>13100</v>
      </c>
      <c r="T6484" t="s">
        <v>13232</v>
      </c>
      <c r="U6484" t="s">
        <v>13232</v>
      </c>
      <c r="V6484" t="s">
        <v>13232</v>
      </c>
      <c r="W6484" t="s">
        <v>19640</v>
      </c>
      <c r="X6484">
        <v>17</v>
      </c>
      <c r="Y6484" t="s">
        <v>26006</v>
      </c>
      <c r="Z6484" t="s">
        <v>32615</v>
      </c>
      <c r="AA6484">
        <v>0.817875422408607</v>
      </c>
      <c r="AB6484" t="str">
        <f>HYPERLINK("Melting_Curves/meltCurve_Q9Y3X0_CCDC9.pdf", "Melting_Curves/meltCurve_Q9Y3X0_CCDC9.pdf")</f>
        <v>Melting_Curves/meltCurve_Q9Y3X0_CCDC9.pdf</v>
      </c>
    </row>
    <row r="6485" spans="1:28" x14ac:dyDescent="0.25">
      <c r="A6485" t="s">
        <v>6488</v>
      </c>
      <c r="B6485">
        <v>0.99930955844802105</v>
      </c>
      <c r="C6485">
        <v>1.1302850418942001</v>
      </c>
      <c r="D6485">
        <v>1.1012625143200101</v>
      </c>
      <c r="E6485">
        <v>1.08190521742072</v>
      </c>
      <c r="F6485">
        <v>0.95378329227401104</v>
      </c>
      <c r="G6485">
        <v>0.88279453674896802</v>
      </c>
      <c r="H6485">
        <v>0.84980981586114401</v>
      </c>
      <c r="I6485">
        <v>0.87275573067475498</v>
      </c>
      <c r="J6485">
        <v>0.87242816204255402</v>
      </c>
      <c r="K6485">
        <v>0.75253180488827098</v>
      </c>
      <c r="L6485">
        <v>1918.9583577680601</v>
      </c>
      <c r="M6485">
        <v>34.544919378247997</v>
      </c>
      <c r="O6485">
        <v>55.364495312806199</v>
      </c>
      <c r="P6485">
        <v>-2.58946307077123E-2</v>
      </c>
      <c r="Q6485">
        <v>0.83399726939154595</v>
      </c>
      <c r="R6485">
        <v>0.683941956038433</v>
      </c>
      <c r="S6485" t="s">
        <v>13101</v>
      </c>
      <c r="T6485" t="s">
        <v>13232</v>
      </c>
      <c r="U6485" t="s">
        <v>13232</v>
      </c>
      <c r="V6485" t="s">
        <v>13232</v>
      </c>
      <c r="W6485" t="s">
        <v>19641</v>
      </c>
      <c r="X6485">
        <v>5</v>
      </c>
      <c r="Y6485" t="s">
        <v>26007</v>
      </c>
      <c r="Z6485" t="s">
        <v>32616</v>
      </c>
      <c r="AA6485">
        <v>0.92088536604204496</v>
      </c>
      <c r="AB6485" t="str">
        <f>HYPERLINK("Melting_Curves/meltCurve_Q9Y3Y2_4_CHTOP.pdf", "Melting_Curves/meltCurve_Q9Y3Y2_4_CHTOP.pdf")</f>
        <v>Melting_Curves/meltCurve_Q9Y3Y2_4_CHTOP.pdf</v>
      </c>
    </row>
    <row r="6486" spans="1:28" x14ac:dyDescent="0.25">
      <c r="A6486" t="s">
        <v>6489</v>
      </c>
      <c r="B6486">
        <v>0.99930955844802105</v>
      </c>
      <c r="C6486">
        <v>0.66280811953900498</v>
      </c>
      <c r="D6486">
        <v>0.424913372274143</v>
      </c>
      <c r="E6486">
        <v>0.38268021558702298</v>
      </c>
      <c r="F6486">
        <v>0.27225352528556801</v>
      </c>
      <c r="G6486">
        <v>0.18860333161068699</v>
      </c>
      <c r="H6486">
        <v>0.116328547627166</v>
      </c>
      <c r="I6486">
        <v>0.105234326060979</v>
      </c>
      <c r="J6486">
        <v>8.2936640694688202E-2</v>
      </c>
      <c r="K6486">
        <v>5.8723315513042502E-2</v>
      </c>
      <c r="L6486">
        <v>555.33388553630198</v>
      </c>
      <c r="M6486">
        <v>12.1433108783789</v>
      </c>
      <c r="N6486">
        <v>46.410800074001102</v>
      </c>
      <c r="O6486">
        <v>44.544487556487901</v>
      </c>
      <c r="P6486">
        <v>-6.2619493447372804E-2</v>
      </c>
      <c r="Q6486">
        <v>8.14004225908187E-2</v>
      </c>
      <c r="R6486">
        <v>0.95194153885519095</v>
      </c>
      <c r="S6486" t="s">
        <v>13102</v>
      </c>
      <c r="T6486" t="s">
        <v>13232</v>
      </c>
      <c r="U6486" t="s">
        <v>13232</v>
      </c>
      <c r="V6486" t="s">
        <v>13232</v>
      </c>
      <c r="W6486" t="s">
        <v>19642</v>
      </c>
      <c r="X6486">
        <v>12</v>
      </c>
      <c r="Y6486" t="s">
        <v>26008</v>
      </c>
      <c r="Z6486" t="s">
        <v>32617</v>
      </c>
      <c r="AA6486">
        <v>0.29876555308510422</v>
      </c>
      <c r="AB6486" t="str">
        <f>HYPERLINK("Melting_Curves/meltCurve_Q9Y3Z3_4_SAMHD1.pdf", "Melting_Curves/meltCurve_Q9Y3Z3_4_SAMHD1.pdf")</f>
        <v>Melting_Curves/meltCurve_Q9Y3Z3_4_SAMHD1.pdf</v>
      </c>
    </row>
    <row r="6487" spans="1:28" x14ac:dyDescent="0.25">
      <c r="A6487" t="s">
        <v>6490</v>
      </c>
      <c r="B6487">
        <v>0.99930955844802105</v>
      </c>
      <c r="C6487">
        <v>1.0257077989829</v>
      </c>
      <c r="D6487">
        <v>0.89607956704132197</v>
      </c>
      <c r="E6487">
        <v>0.61371208369345198</v>
      </c>
      <c r="F6487">
        <v>0.37789823731569999</v>
      </c>
      <c r="G6487">
        <v>0.275702498439859</v>
      </c>
      <c r="H6487">
        <v>0.237994288942875</v>
      </c>
      <c r="I6487">
        <v>0.23641564756512601</v>
      </c>
      <c r="J6487">
        <v>0.23144068112212801</v>
      </c>
      <c r="K6487">
        <v>0.187896553828372</v>
      </c>
      <c r="L6487">
        <v>1159.83643069199</v>
      </c>
      <c r="M6487">
        <v>23.196650441808998</v>
      </c>
      <c r="N6487">
        <v>51.284178284213603</v>
      </c>
      <c r="O6487">
        <v>49.633018829175697</v>
      </c>
      <c r="P6487">
        <v>-9.1106116402743506E-2</v>
      </c>
      <c r="Q6487">
        <v>0.220268500167734</v>
      </c>
      <c r="R6487">
        <v>0.99669828230254198</v>
      </c>
      <c r="S6487" t="s">
        <v>13103</v>
      </c>
      <c r="T6487" t="s">
        <v>13232</v>
      </c>
      <c r="U6487" t="s">
        <v>13232</v>
      </c>
      <c r="V6487" t="s">
        <v>13232</v>
      </c>
      <c r="W6487" t="s">
        <v>19643</v>
      </c>
      <c r="X6487">
        <v>22</v>
      </c>
      <c r="Y6487" t="s">
        <v>26009</v>
      </c>
      <c r="Z6487" t="s">
        <v>32618</v>
      </c>
      <c r="AA6487">
        <v>0.48828090108817429</v>
      </c>
      <c r="AB6487" t="str">
        <f>HYPERLINK("Melting_Curves/meltCurve_Q9Y446_PKP3.pdf", "Melting_Curves/meltCurve_Q9Y446_PKP3.pdf")</f>
        <v>Melting_Curves/meltCurve_Q9Y446_PKP3.pdf</v>
      </c>
    </row>
    <row r="6488" spans="1:28" x14ac:dyDescent="0.25">
      <c r="A6488" t="s">
        <v>6491</v>
      </c>
      <c r="B6488">
        <v>0.99930955844802105</v>
      </c>
      <c r="C6488">
        <v>1.08970060402383</v>
      </c>
      <c r="D6488">
        <v>1.1184530215603501</v>
      </c>
      <c r="E6488">
        <v>0.94592054425083505</v>
      </c>
      <c r="F6488">
        <v>0.82067469708404694</v>
      </c>
      <c r="G6488">
        <v>0.85204022763713205</v>
      </c>
      <c r="H6488">
        <v>0.570821504750882</v>
      </c>
      <c r="I6488">
        <v>0.45495593978197701</v>
      </c>
      <c r="J6488">
        <v>0.44192698220805998</v>
      </c>
      <c r="K6488">
        <v>0.360581915742482</v>
      </c>
      <c r="L6488">
        <v>908.36963312297905</v>
      </c>
      <c r="M6488">
        <v>15.2002056367509</v>
      </c>
      <c r="N6488">
        <v>63.532074838745103</v>
      </c>
      <c r="O6488">
        <v>58.754641131576498</v>
      </c>
      <c r="P6488">
        <v>-4.5459009174464E-2</v>
      </c>
      <c r="Q6488">
        <v>0.29720117865210699</v>
      </c>
      <c r="R6488">
        <v>0.94295575037712298</v>
      </c>
      <c r="S6488" t="s">
        <v>13104</v>
      </c>
      <c r="T6488" t="s">
        <v>13232</v>
      </c>
      <c r="U6488" t="s">
        <v>13232</v>
      </c>
      <c r="V6488" t="s">
        <v>13232</v>
      </c>
      <c r="W6488" t="s">
        <v>19644</v>
      </c>
      <c r="X6488">
        <v>11</v>
      </c>
      <c r="Y6488" t="s">
        <v>26010</v>
      </c>
      <c r="Z6488" t="s">
        <v>32619</v>
      </c>
      <c r="AA6488">
        <v>0.76570151422075938</v>
      </c>
      <c r="AB6488" t="str">
        <f>HYPERLINK("Melting_Curves/meltCurve_Q9Y448_KNSTRN.pdf", "Melting_Curves/meltCurve_Q9Y448_KNSTRN.pdf")</f>
        <v>Melting_Curves/meltCurve_Q9Y448_KNSTRN.pdf</v>
      </c>
    </row>
    <row r="6489" spans="1:28" x14ac:dyDescent="0.25">
      <c r="A6489" t="s">
        <v>6492</v>
      </c>
      <c r="B6489">
        <v>0.99930955844802105</v>
      </c>
      <c r="C6489">
        <v>0.93412570522261995</v>
      </c>
      <c r="D6489">
        <v>0.82551072998942399</v>
      </c>
      <c r="E6489">
        <v>0.44735301739599698</v>
      </c>
      <c r="F6489">
        <v>0.24471929032009401</v>
      </c>
      <c r="G6489">
        <v>0.194823484775387</v>
      </c>
      <c r="H6489">
        <v>0.14484902483482201</v>
      </c>
      <c r="I6489">
        <v>0.15232022541333801</v>
      </c>
      <c r="J6489">
        <v>0.136099068043536</v>
      </c>
      <c r="K6489">
        <v>0.112893491413738</v>
      </c>
      <c r="L6489">
        <v>1067.8351773003201</v>
      </c>
      <c r="M6489">
        <v>21.924906133213501</v>
      </c>
      <c r="N6489">
        <v>49.414258052380497</v>
      </c>
      <c r="O6489">
        <v>48.304463784401698</v>
      </c>
      <c r="P6489">
        <v>-9.8142009324389198E-2</v>
      </c>
      <c r="Q6489">
        <v>0.13512243501541199</v>
      </c>
      <c r="R6489">
        <v>0.99799129908886197</v>
      </c>
      <c r="S6489" t="s">
        <v>13105</v>
      </c>
      <c r="T6489" t="s">
        <v>13232</v>
      </c>
      <c r="U6489" t="s">
        <v>13232</v>
      </c>
      <c r="V6489" t="s">
        <v>13232</v>
      </c>
      <c r="W6489" t="s">
        <v>19645</v>
      </c>
      <c r="X6489">
        <v>24</v>
      </c>
      <c r="Y6489" t="s">
        <v>26011</v>
      </c>
      <c r="Z6489" t="s">
        <v>32620</v>
      </c>
      <c r="AA6489">
        <v>0.3961085871065847</v>
      </c>
      <c r="AB6489" t="str">
        <f>HYPERLINK("Melting_Curves/meltCurve_Q9Y450_HBS1L.pdf", "Melting_Curves/meltCurve_Q9Y450_HBS1L.pdf")</f>
        <v>Melting_Curves/meltCurve_Q9Y450_HBS1L.pdf</v>
      </c>
    </row>
    <row r="6490" spans="1:28" x14ac:dyDescent="0.25">
      <c r="A6490" t="s">
        <v>6493</v>
      </c>
      <c r="B6490">
        <v>0.99930955844802105</v>
      </c>
      <c r="C6490">
        <v>0.84572563359202402</v>
      </c>
      <c r="D6490">
        <v>0.85658852565737698</v>
      </c>
      <c r="E6490">
        <v>0.84226878319085896</v>
      </c>
      <c r="F6490">
        <v>0.65094539964304798</v>
      </c>
      <c r="G6490">
        <v>0.49194597548346403</v>
      </c>
      <c r="H6490">
        <v>0.33410037171238499</v>
      </c>
      <c r="I6490">
        <v>0.34255564313946901</v>
      </c>
      <c r="J6490">
        <v>0.32348225539265102</v>
      </c>
      <c r="K6490">
        <v>0.25645787384090002</v>
      </c>
      <c r="L6490">
        <v>516.77762008972604</v>
      </c>
      <c r="M6490">
        <v>9.4301862169265505</v>
      </c>
      <c r="N6490">
        <v>57.169076206542101</v>
      </c>
      <c r="O6490">
        <v>52.505614991489701</v>
      </c>
      <c r="P6490">
        <v>-3.7662502178350203E-2</v>
      </c>
      <c r="Q6490">
        <v>0.16171724778216401</v>
      </c>
      <c r="R6490">
        <v>0.96711505411815801</v>
      </c>
      <c r="S6490" t="s">
        <v>13106</v>
      </c>
      <c r="T6490" t="s">
        <v>13232</v>
      </c>
      <c r="U6490" t="s">
        <v>13232</v>
      </c>
      <c r="V6490" t="s">
        <v>13232</v>
      </c>
      <c r="W6490" t="s">
        <v>19646</v>
      </c>
      <c r="X6490">
        <v>11</v>
      </c>
      <c r="Y6490" t="s">
        <v>26011</v>
      </c>
      <c r="Z6490" t="s">
        <v>32621</v>
      </c>
      <c r="AA6490">
        <v>0.5982675520363242</v>
      </c>
      <c r="AB6490" t="str">
        <f>HYPERLINK("Melting_Curves/meltCurve_Q9Y450_2_HBS1L.pdf", "Melting_Curves/meltCurve_Q9Y450_2_HBS1L.pdf")</f>
        <v>Melting_Curves/meltCurve_Q9Y450_2_HBS1L.pdf</v>
      </c>
    </row>
    <row r="6491" spans="1:28" x14ac:dyDescent="0.25">
      <c r="A6491" t="s">
        <v>6494</v>
      </c>
      <c r="B6491">
        <v>0.99930955844802105</v>
      </c>
      <c r="C6491">
        <v>0.87396522920200403</v>
      </c>
      <c r="D6491">
        <v>0.80829582603322003</v>
      </c>
      <c r="E6491">
        <v>0.70534112798455295</v>
      </c>
      <c r="F6491">
        <v>0.35957037728325802</v>
      </c>
      <c r="G6491">
        <v>0.19182082666700401</v>
      </c>
      <c r="H6491">
        <v>0.108325879758962</v>
      </c>
      <c r="I6491">
        <v>8.5118323689499606E-2</v>
      </c>
      <c r="J6491">
        <v>7.3509451472347401E-2</v>
      </c>
      <c r="K6491">
        <v>5.7242026919409703E-2</v>
      </c>
      <c r="L6491">
        <v>740.88783356274496</v>
      </c>
      <c r="M6491">
        <v>14.4262865195542</v>
      </c>
      <c r="N6491">
        <v>51.558290633039398</v>
      </c>
      <c r="O6491">
        <v>50.400196554014499</v>
      </c>
      <c r="P6491">
        <v>-6.9605427385245999E-2</v>
      </c>
      <c r="Q6491">
        <v>2.7409871888309598E-2</v>
      </c>
      <c r="R6491">
        <v>0.98472229427798197</v>
      </c>
      <c r="S6491" t="s">
        <v>13107</v>
      </c>
      <c r="T6491" t="s">
        <v>13232</v>
      </c>
      <c r="U6491" t="s">
        <v>13232</v>
      </c>
      <c r="V6491" t="s">
        <v>13232</v>
      </c>
      <c r="W6491" t="s">
        <v>19647</v>
      </c>
      <c r="X6491">
        <v>6</v>
      </c>
      <c r="Y6491" t="s">
        <v>26012</v>
      </c>
      <c r="Z6491" t="s">
        <v>32622</v>
      </c>
      <c r="AA6491">
        <v>0.41923256089573019</v>
      </c>
      <c r="AB6491" t="str">
        <f>HYPERLINK("Melting_Curves/meltCurve_Q9Y478_PRKAB1.pdf", "Melting_Curves/meltCurve_Q9Y478_PRKAB1.pdf")</f>
        <v>Melting_Curves/meltCurve_Q9Y478_PRKAB1.pdf</v>
      </c>
    </row>
    <row r="6492" spans="1:28" x14ac:dyDescent="0.25">
      <c r="A6492" t="s">
        <v>6495</v>
      </c>
      <c r="B6492">
        <v>0.99930955844802105</v>
      </c>
      <c r="C6492">
        <v>0.95314490984413303</v>
      </c>
      <c r="D6492">
        <v>0.94922901350843403</v>
      </c>
      <c r="E6492">
        <v>0.92909880986786197</v>
      </c>
      <c r="F6492">
        <v>0.775323973159879</v>
      </c>
      <c r="G6492">
        <v>0.69970405684343095</v>
      </c>
      <c r="H6492">
        <v>0.685890097787766</v>
      </c>
      <c r="I6492">
        <v>0.726037167881185</v>
      </c>
      <c r="J6492">
        <v>0.67848913048396198</v>
      </c>
      <c r="K6492">
        <v>0.53756805538028696</v>
      </c>
      <c r="L6492">
        <v>536.01515352969295</v>
      </c>
      <c r="M6492">
        <v>9.8191472468333991</v>
      </c>
      <c r="O6492">
        <v>52.469139117908497</v>
      </c>
      <c r="P6492">
        <v>-2.0017682008059201E-2</v>
      </c>
      <c r="Q6492">
        <v>0.57236079288997599</v>
      </c>
      <c r="R6492">
        <v>0.90442454107044701</v>
      </c>
      <c r="S6492" t="s">
        <v>13108</v>
      </c>
      <c r="T6492" t="s">
        <v>13232</v>
      </c>
      <c r="U6492" t="s">
        <v>13232</v>
      </c>
      <c r="V6492" t="s">
        <v>13232</v>
      </c>
      <c r="W6492" t="s">
        <v>19648</v>
      </c>
      <c r="X6492">
        <v>6</v>
      </c>
      <c r="Y6492" t="s">
        <v>26013</v>
      </c>
      <c r="Z6492" t="s">
        <v>32623</v>
      </c>
      <c r="AA6492">
        <v>0.79227522608107104</v>
      </c>
      <c r="AB6492" t="str">
        <f>HYPERLINK("Melting_Curves/meltCurve_Q9Y483_3_MTF2.pdf", "Melting_Curves/meltCurve_Q9Y483_3_MTF2.pdf")</f>
        <v>Melting_Curves/meltCurve_Q9Y483_3_MTF2.pdf</v>
      </c>
    </row>
    <row r="6493" spans="1:28" x14ac:dyDescent="0.25">
      <c r="A6493" t="s">
        <v>6496</v>
      </c>
      <c r="B6493">
        <v>0.99930955844802105</v>
      </c>
      <c r="C6493">
        <v>0.70074180127948804</v>
      </c>
      <c r="D6493">
        <v>0.66001028595726396</v>
      </c>
      <c r="E6493">
        <v>0.75183827648130896</v>
      </c>
      <c r="F6493">
        <v>0.45665887094386698</v>
      </c>
      <c r="G6493">
        <v>0.21321399376537301</v>
      </c>
      <c r="H6493">
        <v>0.109994792971465</v>
      </c>
      <c r="I6493">
        <v>7.2801494240680303E-2</v>
      </c>
      <c r="J6493">
        <v>7.0068839111053896E-2</v>
      </c>
      <c r="K6493">
        <v>4.9687396128630802E-2</v>
      </c>
      <c r="L6493">
        <v>506.775488798894</v>
      </c>
      <c r="M6493">
        <v>9.9087889899613604</v>
      </c>
      <c r="N6493">
        <v>51.144019541245797</v>
      </c>
      <c r="O6493">
        <v>49.191708431998201</v>
      </c>
      <c r="P6493">
        <v>-5.0383396936882902E-2</v>
      </c>
      <c r="Q6493">
        <v>0</v>
      </c>
      <c r="R6493">
        <v>0.91872914108368298</v>
      </c>
      <c r="S6493" t="s">
        <v>13109</v>
      </c>
      <c r="T6493" t="s">
        <v>13232</v>
      </c>
      <c r="U6493" t="s">
        <v>13232</v>
      </c>
      <c r="V6493" t="s">
        <v>13232</v>
      </c>
      <c r="W6493" t="s">
        <v>19649</v>
      </c>
      <c r="X6493">
        <v>3</v>
      </c>
      <c r="Y6493" t="s">
        <v>26014</v>
      </c>
      <c r="Z6493" t="s">
        <v>32624</v>
      </c>
      <c r="AA6493">
        <v>0.41299901167552888</v>
      </c>
      <c r="AB6493" t="str">
        <f>HYPERLINK("Melting_Curves/meltCurve_Q9Y485_DMXL1.pdf", "Melting_Curves/meltCurve_Q9Y485_DMXL1.pdf")</f>
        <v>Melting_Curves/meltCurve_Q9Y485_DMXL1.pdf</v>
      </c>
    </row>
    <row r="6494" spans="1:28" x14ac:dyDescent="0.25">
      <c r="A6494" t="s">
        <v>6497</v>
      </c>
      <c r="B6494">
        <v>0.99930955844802105</v>
      </c>
      <c r="C6494">
        <v>1.02281229727162</v>
      </c>
      <c r="D6494">
        <v>1.00781477810465</v>
      </c>
      <c r="E6494">
        <v>0.96046363286217096</v>
      </c>
      <c r="F6494">
        <v>0.75690441447399903</v>
      </c>
      <c r="G6494">
        <v>0.25883779469405999</v>
      </c>
      <c r="H6494">
        <v>0.11214036157085901</v>
      </c>
      <c r="I6494">
        <v>8.6644625718608898E-2</v>
      </c>
      <c r="J6494">
        <v>7.4758725242529606E-2</v>
      </c>
      <c r="K6494">
        <v>5.6538498507759299E-2</v>
      </c>
      <c r="L6494">
        <v>1800.0030797925599</v>
      </c>
      <c r="M6494">
        <v>32.930474585447797</v>
      </c>
      <c r="N6494">
        <v>54.9192660608363</v>
      </c>
      <c r="O6494">
        <v>54.4603168473081</v>
      </c>
      <c r="P6494">
        <v>-0.14031298212888699</v>
      </c>
      <c r="Q6494">
        <v>7.1807471056288999E-2</v>
      </c>
      <c r="R6494">
        <v>0.99940847542794797</v>
      </c>
      <c r="S6494" t="s">
        <v>13110</v>
      </c>
      <c r="T6494" t="s">
        <v>13232</v>
      </c>
      <c r="U6494" t="s">
        <v>13232</v>
      </c>
      <c r="V6494" t="s">
        <v>13232</v>
      </c>
      <c r="W6494" t="s">
        <v>19650</v>
      </c>
      <c r="X6494">
        <v>150</v>
      </c>
      <c r="Y6494" t="s">
        <v>26015</v>
      </c>
      <c r="Z6494" t="s">
        <v>32625</v>
      </c>
      <c r="AA6494">
        <v>0.53053700514176849</v>
      </c>
      <c r="AB6494" t="str">
        <f>HYPERLINK("Melting_Curves/meltCurve_Q9Y490_TLN1.pdf", "Melting_Curves/meltCurve_Q9Y490_TLN1.pdf")</f>
        <v>Melting_Curves/meltCurve_Q9Y490_TLN1.pdf</v>
      </c>
    </row>
    <row r="6495" spans="1:28" x14ac:dyDescent="0.25">
      <c r="A6495" t="s">
        <v>6498</v>
      </c>
      <c r="B6495">
        <v>0.99930955844802105</v>
      </c>
      <c r="C6495">
        <v>0.80312335679844304</v>
      </c>
      <c r="D6495">
        <v>0.51896729585781398</v>
      </c>
      <c r="E6495">
        <v>0.359942467597132</v>
      </c>
      <c r="F6495">
        <v>0.205098173253319</v>
      </c>
      <c r="G6495">
        <v>0.171124025730685</v>
      </c>
      <c r="H6495">
        <v>0.100482170340799</v>
      </c>
      <c r="I6495">
        <v>9.2893875319546002E-2</v>
      </c>
      <c r="J6495">
        <v>8.6906533897907201E-2</v>
      </c>
      <c r="K6495">
        <v>6.5673147281499894E-2</v>
      </c>
      <c r="L6495">
        <v>704.30433491935503</v>
      </c>
      <c r="M6495">
        <v>15.1476956040767</v>
      </c>
      <c r="N6495">
        <v>47.063039462514901</v>
      </c>
      <c r="O6495">
        <v>45.708044948801003</v>
      </c>
      <c r="P6495">
        <v>-7.5944916961201106E-2</v>
      </c>
      <c r="Q6495">
        <v>8.3436501836905694E-2</v>
      </c>
      <c r="R6495">
        <v>0.98755488849074102</v>
      </c>
      <c r="S6495" t="s">
        <v>13111</v>
      </c>
      <c r="T6495" t="s">
        <v>13232</v>
      </c>
      <c r="U6495" t="s">
        <v>13232</v>
      </c>
      <c r="V6495" t="s">
        <v>13232</v>
      </c>
      <c r="W6495" t="s">
        <v>19651</v>
      </c>
      <c r="X6495">
        <v>6</v>
      </c>
      <c r="Y6495" t="s">
        <v>26016</v>
      </c>
      <c r="Z6495" t="s">
        <v>32626</v>
      </c>
      <c r="AA6495">
        <v>0.30713500445374092</v>
      </c>
      <c r="AB6495" t="str">
        <f>HYPERLINK("Melting_Curves/meltCurve_Q9Y496_KIF3A.pdf", "Melting_Curves/meltCurve_Q9Y496_KIF3A.pdf")</f>
        <v>Melting_Curves/meltCurve_Q9Y496_KIF3A.pdf</v>
      </c>
    </row>
    <row r="6496" spans="1:28" x14ac:dyDescent="0.25">
      <c r="A6496" t="s">
        <v>6499</v>
      </c>
      <c r="B6496">
        <v>0.99930955844802105</v>
      </c>
      <c r="C6496">
        <v>0.66607745015189102</v>
      </c>
      <c r="D6496">
        <v>0.67760461043933595</v>
      </c>
      <c r="E6496">
        <v>0.70560628117038804</v>
      </c>
      <c r="F6496">
        <v>0.530406098805422</v>
      </c>
      <c r="G6496">
        <v>0.30172828136206598</v>
      </c>
      <c r="H6496">
        <v>0.105751260723265</v>
      </c>
      <c r="I6496">
        <v>9.0748086862802196E-2</v>
      </c>
      <c r="J6496">
        <v>7.8679751213718493E-2</v>
      </c>
      <c r="K6496">
        <v>6.4030393428887597E-2</v>
      </c>
      <c r="L6496">
        <v>465.20160805494697</v>
      </c>
      <c r="M6496">
        <v>9.0309814487647504</v>
      </c>
      <c r="N6496">
        <v>51.511736325875297</v>
      </c>
      <c r="O6496">
        <v>49.174214219526903</v>
      </c>
      <c r="P6496">
        <v>-4.5946111047078998E-2</v>
      </c>
      <c r="Q6496">
        <v>0</v>
      </c>
      <c r="R6496">
        <v>0.91416527189264796</v>
      </c>
      <c r="S6496" t="s">
        <v>13112</v>
      </c>
      <c r="T6496" t="s">
        <v>13232</v>
      </c>
      <c r="U6496" t="s">
        <v>13232</v>
      </c>
      <c r="V6496" t="s">
        <v>13232</v>
      </c>
      <c r="W6496" t="s">
        <v>19652</v>
      </c>
      <c r="X6496">
        <v>47</v>
      </c>
      <c r="Y6496" t="s">
        <v>26017</v>
      </c>
      <c r="Z6496" t="s">
        <v>32627</v>
      </c>
      <c r="AA6496">
        <v>0.42821741537521851</v>
      </c>
      <c r="AB6496" t="str">
        <f>HYPERLINK("Melting_Curves/meltCurve_Q9Y4A5_2_TRRAP.pdf", "Melting_Curves/meltCurve_Q9Y4A5_2_TRRAP.pdf")</f>
        <v>Melting_Curves/meltCurve_Q9Y4A5_2_TRRAP.pdf</v>
      </c>
    </row>
    <row r="6497" spans="1:28" x14ac:dyDescent="0.25">
      <c r="A6497" t="s">
        <v>6500</v>
      </c>
      <c r="B6497">
        <v>0.99930955844802105</v>
      </c>
      <c r="C6497">
        <v>0.73793106365827499</v>
      </c>
      <c r="D6497">
        <v>0.40498146265043899</v>
      </c>
      <c r="E6497">
        <v>0.30996323761319799</v>
      </c>
      <c r="F6497">
        <v>0.20834046738088299</v>
      </c>
      <c r="G6497">
        <v>0.17195779440862</v>
      </c>
      <c r="H6497">
        <v>0.14156536099748701</v>
      </c>
      <c r="I6497">
        <v>0.150938578454995</v>
      </c>
      <c r="J6497">
        <v>0.149116768253967</v>
      </c>
      <c r="K6497">
        <v>0.112059677545692</v>
      </c>
      <c r="L6497">
        <v>937.237697544924</v>
      </c>
      <c r="M6497">
        <v>20.996297302422999</v>
      </c>
      <c r="N6497">
        <v>45.4409790439733</v>
      </c>
      <c r="O6497">
        <v>44.239232025835001</v>
      </c>
      <c r="P6497">
        <v>-0.100269859313581</v>
      </c>
      <c r="Q6497">
        <v>0.15494766917723199</v>
      </c>
      <c r="R6497">
        <v>0.98132090183981802</v>
      </c>
      <c r="S6497" t="s">
        <v>13113</v>
      </c>
      <c r="T6497" t="s">
        <v>13232</v>
      </c>
      <c r="U6497" t="s">
        <v>13232</v>
      </c>
      <c r="V6497" t="s">
        <v>13232</v>
      </c>
      <c r="W6497" t="s">
        <v>19653</v>
      </c>
      <c r="X6497">
        <v>9</v>
      </c>
      <c r="Y6497" t="s">
        <v>26018</v>
      </c>
      <c r="Z6497" t="s">
        <v>32628</v>
      </c>
      <c r="AA6497">
        <v>0.29893985012018692</v>
      </c>
      <c r="AB6497" t="str">
        <f>HYPERLINK("Melting_Curves/meltCurve_Q9Y4B4_RAD54L2.pdf", "Melting_Curves/meltCurve_Q9Y4B4_RAD54L2.pdf")</f>
        <v>Melting_Curves/meltCurve_Q9Y4B4_RAD54L2.pdf</v>
      </c>
    </row>
    <row r="6498" spans="1:28" x14ac:dyDescent="0.25">
      <c r="A6498" t="s">
        <v>6501</v>
      </c>
      <c r="B6498">
        <v>0.99930955844802105</v>
      </c>
      <c r="C6498">
        <v>0.75467830765340504</v>
      </c>
      <c r="D6498">
        <v>0.81414902344040696</v>
      </c>
      <c r="E6498">
        <v>0.94723327298478599</v>
      </c>
      <c r="F6498">
        <v>0.69828855055288197</v>
      </c>
      <c r="G6498">
        <v>0.38574519020667303</v>
      </c>
      <c r="H6498">
        <v>0.16784623951678801</v>
      </c>
      <c r="I6498">
        <v>0.154437689776357</v>
      </c>
      <c r="J6498">
        <v>0.12885641388680799</v>
      </c>
      <c r="K6498">
        <v>0.101532246660636</v>
      </c>
      <c r="L6498">
        <v>1037.77027770001</v>
      </c>
      <c r="M6498">
        <v>18.8912547420625</v>
      </c>
      <c r="N6498">
        <v>55.469019547896103</v>
      </c>
      <c r="O6498">
        <v>54.329445158359803</v>
      </c>
      <c r="P6498">
        <v>-7.9691028918814494E-2</v>
      </c>
      <c r="Q6498">
        <v>8.3302216258099596E-2</v>
      </c>
      <c r="R6498">
        <v>0.92321395221788305</v>
      </c>
      <c r="S6498" t="s">
        <v>13114</v>
      </c>
      <c r="T6498" t="s">
        <v>13232</v>
      </c>
      <c r="U6498" t="s">
        <v>13232</v>
      </c>
      <c r="V6498" t="s">
        <v>13232</v>
      </c>
      <c r="W6498" t="s">
        <v>19654</v>
      </c>
      <c r="X6498">
        <v>19</v>
      </c>
      <c r="Y6498" t="s">
        <v>26019</v>
      </c>
      <c r="Z6498" t="s">
        <v>32629</v>
      </c>
      <c r="AA6498">
        <v>0.55292425761352471</v>
      </c>
      <c r="AB6498" t="str">
        <f>HYPERLINK("Melting_Curves/meltCurve_Q9Y4B6_VPRBP.pdf", "Melting_Curves/meltCurve_Q9Y4B6_VPRBP.pdf")</f>
        <v>Melting_Curves/meltCurve_Q9Y4B6_VPRBP.pdf</v>
      </c>
    </row>
    <row r="6499" spans="1:28" x14ac:dyDescent="0.25">
      <c r="A6499" t="s">
        <v>6502</v>
      </c>
      <c r="B6499">
        <v>0.99930955844802105</v>
      </c>
      <c r="C6499">
        <v>1.01573494637621</v>
      </c>
      <c r="D6499">
        <v>0.97006527562030398</v>
      </c>
      <c r="E6499">
        <v>0.65998289137306099</v>
      </c>
      <c r="F6499">
        <v>0.33268609125606002</v>
      </c>
      <c r="G6499">
        <v>0.27540888324741603</v>
      </c>
      <c r="H6499">
        <v>0.21955991185709001</v>
      </c>
      <c r="I6499">
        <v>0.23327899272812699</v>
      </c>
      <c r="J6499">
        <v>0.23120874770765101</v>
      </c>
      <c r="K6499">
        <v>0.17638362327759299</v>
      </c>
      <c r="L6499">
        <v>1705.1418158474601</v>
      </c>
      <c r="M6499">
        <v>33.862303879347003</v>
      </c>
      <c r="N6499">
        <v>51.243177690073097</v>
      </c>
      <c r="O6499">
        <v>50.180517868685399</v>
      </c>
      <c r="P6499">
        <v>-0.13125911986851799</v>
      </c>
      <c r="Q6499">
        <v>0.221952040990433</v>
      </c>
      <c r="R6499">
        <v>0.99636604772385096</v>
      </c>
      <c r="S6499" t="s">
        <v>13115</v>
      </c>
      <c r="T6499" t="s">
        <v>13232</v>
      </c>
      <c r="U6499" t="s">
        <v>13232</v>
      </c>
      <c r="V6499" t="s">
        <v>13232</v>
      </c>
      <c r="W6499" t="s">
        <v>19655</v>
      </c>
      <c r="X6499">
        <v>19</v>
      </c>
      <c r="Y6499" t="s">
        <v>26020</v>
      </c>
      <c r="Z6499" t="s">
        <v>32630</v>
      </c>
      <c r="AA6499">
        <v>0.49430338701757343</v>
      </c>
      <c r="AB6499" t="str">
        <f>HYPERLINK("Melting_Curves/meltCurve_Q9Y4C1_KDM3A.pdf", "Melting_Curves/meltCurve_Q9Y4C1_KDM3A.pdf")</f>
        <v>Melting_Curves/meltCurve_Q9Y4C1_KDM3A.pdf</v>
      </c>
    </row>
    <row r="6500" spans="1:28" x14ac:dyDescent="0.25">
      <c r="A6500" t="s">
        <v>6503</v>
      </c>
      <c r="B6500">
        <v>0.99930955844802105</v>
      </c>
      <c r="C6500">
        <v>0.75929800208458798</v>
      </c>
      <c r="D6500">
        <v>0.44448186602658402</v>
      </c>
      <c r="E6500">
        <v>0.28670104366146698</v>
      </c>
      <c r="F6500">
        <v>0.17031465991776901</v>
      </c>
      <c r="G6500">
        <v>0.11212243484798599</v>
      </c>
      <c r="H6500">
        <v>8.4007507571002005E-2</v>
      </c>
      <c r="I6500">
        <v>8.7244487769717105E-2</v>
      </c>
      <c r="J6500">
        <v>8.0700942445872906E-2</v>
      </c>
      <c r="K6500">
        <v>6.0106866153559799E-2</v>
      </c>
      <c r="L6500">
        <v>811.21255611697904</v>
      </c>
      <c r="M6500">
        <v>17.8401165326163</v>
      </c>
      <c r="N6500">
        <v>45.941919155030099</v>
      </c>
      <c r="O6500">
        <v>44.911476046164502</v>
      </c>
      <c r="P6500">
        <v>-9.1017716605265295E-2</v>
      </c>
      <c r="Q6500">
        <v>8.3519376805505294E-2</v>
      </c>
      <c r="R6500">
        <v>0.98797738227527898</v>
      </c>
      <c r="S6500" t="s">
        <v>13116</v>
      </c>
      <c r="T6500" t="s">
        <v>13232</v>
      </c>
      <c r="U6500" t="s">
        <v>13232</v>
      </c>
      <c r="V6500" t="s">
        <v>13232</v>
      </c>
      <c r="W6500" t="s">
        <v>19656</v>
      </c>
      <c r="X6500">
        <v>15</v>
      </c>
      <c r="Y6500" t="s">
        <v>26021</v>
      </c>
      <c r="Z6500" t="s">
        <v>32631</v>
      </c>
      <c r="AA6500">
        <v>0.26987014773253282</v>
      </c>
      <c r="AB6500" t="str">
        <f>HYPERLINK("Melting_Curves/meltCurve_Q9Y4C2_2_FAM115A.pdf", "Melting_Curves/meltCurve_Q9Y4C2_2_FAM115A.pdf")</f>
        <v>Melting_Curves/meltCurve_Q9Y4C2_2_FAM115A.pdf</v>
      </c>
    </row>
    <row r="6501" spans="1:28" x14ac:dyDescent="0.25">
      <c r="A6501" t="s">
        <v>6504</v>
      </c>
      <c r="B6501">
        <v>0.99930955844802105</v>
      </c>
      <c r="C6501">
        <v>0.87990031839691596</v>
      </c>
      <c r="D6501">
        <v>0.81288300198205299</v>
      </c>
      <c r="E6501">
        <v>0.66744100458458999</v>
      </c>
      <c r="F6501">
        <v>0.45257761887183201</v>
      </c>
      <c r="G6501">
        <v>0.35480320814189598</v>
      </c>
      <c r="H6501">
        <v>0.32264092495204599</v>
      </c>
      <c r="I6501">
        <v>0.30949781577607199</v>
      </c>
      <c r="J6501">
        <v>0.29941581510979298</v>
      </c>
      <c r="K6501">
        <v>0.223882829033859</v>
      </c>
      <c r="L6501">
        <v>642.697485265149</v>
      </c>
      <c r="M6501">
        <v>12.8548280937146</v>
      </c>
      <c r="N6501">
        <v>52.739778179570102</v>
      </c>
      <c r="O6501">
        <v>48.833016753774203</v>
      </c>
      <c r="P6501">
        <v>-4.9775157399487097E-2</v>
      </c>
      <c r="Q6501">
        <v>0.2437946028296</v>
      </c>
      <c r="R6501">
        <v>0.98729571726561305</v>
      </c>
      <c r="S6501" t="s">
        <v>13117</v>
      </c>
      <c r="T6501" t="s">
        <v>13232</v>
      </c>
      <c r="U6501" t="s">
        <v>13232</v>
      </c>
      <c r="V6501" t="s">
        <v>13232</v>
      </c>
      <c r="W6501" t="s">
        <v>19657</v>
      </c>
      <c r="X6501">
        <v>16</v>
      </c>
      <c r="Y6501" t="s">
        <v>26022</v>
      </c>
      <c r="Z6501" t="s">
        <v>32632</v>
      </c>
      <c r="AA6501">
        <v>0.51923483998433573</v>
      </c>
      <c r="AB6501" t="str">
        <f>HYPERLINK("Melting_Curves/meltCurve_Q9Y4E5_2_ZNF451.pdf", "Melting_Curves/meltCurve_Q9Y4E5_2_ZNF451.pdf")</f>
        <v>Melting_Curves/meltCurve_Q9Y4E5_2_ZNF451.pdf</v>
      </c>
    </row>
    <row r="6502" spans="1:28" x14ac:dyDescent="0.25">
      <c r="A6502" t="s">
        <v>6505</v>
      </c>
      <c r="B6502">
        <v>0.99930955844802105</v>
      </c>
      <c r="C6502">
        <v>0.93872836364510803</v>
      </c>
      <c r="D6502">
        <v>0.91550639240685505</v>
      </c>
      <c r="E6502">
        <v>0.80617708724426196</v>
      </c>
      <c r="F6502">
        <v>0.58243244820986695</v>
      </c>
      <c r="G6502">
        <v>0.45951014838077497</v>
      </c>
      <c r="H6502">
        <v>0.29995492412969499</v>
      </c>
      <c r="I6502">
        <v>0.22966554125465</v>
      </c>
      <c r="J6502">
        <v>0.17384639379337899</v>
      </c>
      <c r="K6502">
        <v>0.14044780388297901</v>
      </c>
      <c r="L6502">
        <v>622.87466789095299</v>
      </c>
      <c r="M6502">
        <v>11.3378164248481</v>
      </c>
      <c r="N6502">
        <v>55.676997723300602</v>
      </c>
      <c r="O6502">
        <v>53.311964397237197</v>
      </c>
      <c r="P6502">
        <v>-4.94672083999253E-2</v>
      </c>
      <c r="Q6502">
        <v>6.98729323713283E-2</v>
      </c>
      <c r="R6502">
        <v>0.99546791801571599</v>
      </c>
      <c r="S6502" t="s">
        <v>13118</v>
      </c>
      <c r="T6502" t="s">
        <v>13232</v>
      </c>
      <c r="U6502" t="s">
        <v>13232</v>
      </c>
      <c r="V6502" t="s">
        <v>13232</v>
      </c>
      <c r="W6502" t="s">
        <v>19658</v>
      </c>
      <c r="X6502">
        <v>3</v>
      </c>
      <c r="Y6502" t="s">
        <v>26022</v>
      </c>
      <c r="Z6502" t="s">
        <v>32633</v>
      </c>
      <c r="AA6502">
        <v>0.55582270901995545</v>
      </c>
      <c r="AB6502" t="str">
        <f>HYPERLINK("Melting_Curves/meltCurve_Q9Y4E5_4_ZNF451.pdf", "Melting_Curves/meltCurve_Q9Y4E5_4_ZNF451.pdf")</f>
        <v>Melting_Curves/meltCurve_Q9Y4E5_4_ZNF451.pdf</v>
      </c>
    </row>
    <row r="6503" spans="1:28" x14ac:dyDescent="0.25">
      <c r="A6503" t="s">
        <v>6506</v>
      </c>
      <c r="B6503">
        <v>0.99930955844802105</v>
      </c>
      <c r="C6503">
        <v>0.88434990896253196</v>
      </c>
      <c r="D6503">
        <v>0.92702462685915199</v>
      </c>
      <c r="E6503">
        <v>0.81400105229258102</v>
      </c>
      <c r="F6503">
        <v>0.34052138548060001</v>
      </c>
      <c r="G6503">
        <v>0.190664299453537</v>
      </c>
      <c r="H6503">
        <v>9.42070395217217E-2</v>
      </c>
      <c r="I6503">
        <v>7.2171683091176803E-2</v>
      </c>
      <c r="J6503">
        <v>6.1360783750767603E-2</v>
      </c>
      <c r="K6503">
        <v>4.8024571901131401E-2</v>
      </c>
      <c r="L6503">
        <v>1615.89134158241</v>
      </c>
      <c r="M6503">
        <v>31.1864519668556</v>
      </c>
      <c r="N6503">
        <v>52.089175245950301</v>
      </c>
      <c r="O6503">
        <v>51.6022421739804</v>
      </c>
      <c r="P6503">
        <v>-0.13961189276883401</v>
      </c>
      <c r="Q6503">
        <v>7.59774170061185E-2</v>
      </c>
      <c r="R6503">
        <v>0.98366717273274695</v>
      </c>
      <c r="S6503" t="s">
        <v>13119</v>
      </c>
      <c r="T6503" t="s">
        <v>13232</v>
      </c>
      <c r="U6503" t="s">
        <v>13232</v>
      </c>
      <c r="V6503" t="s">
        <v>13232</v>
      </c>
      <c r="W6503" t="s">
        <v>19659</v>
      </c>
      <c r="X6503">
        <v>49</v>
      </c>
      <c r="Y6503" t="s">
        <v>26023</v>
      </c>
      <c r="Z6503" t="s">
        <v>32634</v>
      </c>
      <c r="AA6503">
        <v>0.44530343403588951</v>
      </c>
      <c r="AB6503" t="str">
        <f>HYPERLINK("Melting_Curves/meltCurve_Q9Y4E8_USP15.pdf", "Melting_Curves/meltCurve_Q9Y4E8_USP15.pdf")</f>
        <v>Melting_Curves/meltCurve_Q9Y4E8_USP15.pdf</v>
      </c>
    </row>
    <row r="6504" spans="1:28" x14ac:dyDescent="0.25">
      <c r="A6504" t="s">
        <v>6507</v>
      </c>
      <c r="B6504">
        <v>0.99930955844802105</v>
      </c>
      <c r="C6504">
        <v>0.985969854199507</v>
      </c>
      <c r="D6504">
        <v>0.94167463198980905</v>
      </c>
      <c r="E6504">
        <v>0.76875777858838601</v>
      </c>
      <c r="F6504">
        <v>0.49111860720480999</v>
      </c>
      <c r="G6504">
        <v>0.35483377738220201</v>
      </c>
      <c r="H6504">
        <v>0.29742116011574798</v>
      </c>
      <c r="I6504">
        <v>0.26771129990334902</v>
      </c>
      <c r="J6504">
        <v>0.27028010147953602</v>
      </c>
      <c r="K6504">
        <v>0.21754107165966999</v>
      </c>
      <c r="L6504">
        <v>1113.21857193498</v>
      </c>
      <c r="M6504">
        <v>21.5911596016958</v>
      </c>
      <c r="N6504">
        <v>53.299152759976998</v>
      </c>
      <c r="O6504">
        <v>51.122827517382902</v>
      </c>
      <c r="P6504">
        <v>-7.8881290355289804E-2</v>
      </c>
      <c r="Q6504">
        <v>0.252928039093893</v>
      </c>
      <c r="R6504">
        <v>0.99626189064160298</v>
      </c>
      <c r="S6504" t="s">
        <v>13120</v>
      </c>
      <c r="T6504" t="s">
        <v>13232</v>
      </c>
      <c r="U6504" t="s">
        <v>13232</v>
      </c>
      <c r="V6504" t="s">
        <v>13232</v>
      </c>
      <c r="W6504" t="s">
        <v>19660</v>
      </c>
      <c r="X6504">
        <v>15</v>
      </c>
      <c r="Y6504" t="s">
        <v>26024</v>
      </c>
      <c r="Z6504" t="s">
        <v>32635</v>
      </c>
      <c r="AA6504">
        <v>0.54976092413241162</v>
      </c>
      <c r="AB6504" t="str">
        <f>HYPERLINK("Melting_Curves/meltCurve_Q9Y4F3_3_KIAA0430.pdf", "Melting_Curves/meltCurve_Q9Y4F3_3_KIAA0430.pdf")</f>
        <v>Melting_Curves/meltCurve_Q9Y4F3_3_KIAA0430.pdf</v>
      </c>
    </row>
    <row r="6505" spans="1:28" x14ac:dyDescent="0.25">
      <c r="A6505" t="s">
        <v>6508</v>
      </c>
      <c r="B6505">
        <v>0.99930955844802105</v>
      </c>
      <c r="C6505">
        <v>0.95337229985261496</v>
      </c>
      <c r="D6505">
        <v>0.82397247657394601</v>
      </c>
      <c r="E6505">
        <v>0.56274729261175505</v>
      </c>
      <c r="F6505">
        <v>0.25458319808868501</v>
      </c>
      <c r="G6505">
        <v>0.174173312356701</v>
      </c>
      <c r="H6505">
        <v>0.107135330370195</v>
      </c>
      <c r="I6505">
        <v>0.106215738499652</v>
      </c>
      <c r="J6505">
        <v>7.46538948007891E-2</v>
      </c>
      <c r="K6505">
        <v>5.4976260156289002E-2</v>
      </c>
      <c r="L6505">
        <v>936.21351234902897</v>
      </c>
      <c r="M6505">
        <v>18.7715838861394</v>
      </c>
      <c r="N6505">
        <v>50.288830287328103</v>
      </c>
      <c r="O6505">
        <v>49.3183020496135</v>
      </c>
      <c r="P6505">
        <v>-8.8333431475115895E-2</v>
      </c>
      <c r="Q6505">
        <v>7.1730285886133394E-2</v>
      </c>
      <c r="R6505">
        <v>0.99591985681273099</v>
      </c>
      <c r="S6505" t="s">
        <v>13121</v>
      </c>
      <c r="T6505" t="s">
        <v>13232</v>
      </c>
      <c r="U6505" t="s">
        <v>13232</v>
      </c>
      <c r="V6505" t="s">
        <v>13232</v>
      </c>
      <c r="W6505" t="s">
        <v>19661</v>
      </c>
      <c r="X6505">
        <v>23</v>
      </c>
      <c r="Y6505" t="s">
        <v>26025</v>
      </c>
      <c r="Z6505" t="s">
        <v>32636</v>
      </c>
      <c r="AA6505">
        <v>0.39188193966658819</v>
      </c>
      <c r="AB6505" t="str">
        <f>HYPERLINK("Melting_Curves/meltCurve_Q9Y4G6_TLN2.pdf", "Melting_Curves/meltCurve_Q9Y4G6_TLN2.pdf")</f>
        <v>Melting_Curves/meltCurve_Q9Y4G6_TLN2.pdf</v>
      </c>
    </row>
    <row r="6506" spans="1:28" x14ac:dyDescent="0.25">
      <c r="A6506" t="s">
        <v>6509</v>
      </c>
      <c r="B6506">
        <v>0.99930955844802105</v>
      </c>
      <c r="C6506">
        <v>1.0241514095620701</v>
      </c>
      <c r="D6506">
        <v>0.95114073874124605</v>
      </c>
      <c r="E6506">
        <v>0.72907221370039699</v>
      </c>
      <c r="F6506">
        <v>0.44623356983575102</v>
      </c>
      <c r="G6506">
        <v>0.31356460700066502</v>
      </c>
      <c r="H6506">
        <v>0.27482204276590799</v>
      </c>
      <c r="I6506">
        <v>0.30006820409955398</v>
      </c>
      <c r="J6506">
        <v>0.31414903363966501</v>
      </c>
      <c r="K6506">
        <v>0.237078822445461</v>
      </c>
      <c r="L6506">
        <v>1448.7446289324</v>
      </c>
      <c r="M6506">
        <v>28.499265718442199</v>
      </c>
      <c r="N6506">
        <v>52.3367253897529</v>
      </c>
      <c r="O6506">
        <v>50.586139900107902</v>
      </c>
      <c r="P6506">
        <v>-0.10150058042749199</v>
      </c>
      <c r="Q6506">
        <v>0.27935246691064203</v>
      </c>
      <c r="R6506">
        <v>0.99541948351444198</v>
      </c>
      <c r="S6506" t="s">
        <v>13122</v>
      </c>
      <c r="T6506" t="s">
        <v>13232</v>
      </c>
      <c r="U6506" t="s">
        <v>13232</v>
      </c>
      <c r="V6506" t="s">
        <v>13232</v>
      </c>
      <c r="W6506" t="s">
        <v>19662</v>
      </c>
      <c r="X6506">
        <v>19</v>
      </c>
      <c r="Y6506" t="s">
        <v>20484</v>
      </c>
      <c r="Z6506" t="s">
        <v>32637</v>
      </c>
      <c r="AA6506">
        <v>0.54462125927358462</v>
      </c>
      <c r="AB6506" t="str">
        <f>HYPERLINK("Melting_Curves/meltCurve_Q9Y4G8_RAPGEF2.pdf", "Melting_Curves/meltCurve_Q9Y4G8_RAPGEF2.pdf")</f>
        <v>Melting_Curves/meltCurve_Q9Y4G8_RAPGEF2.pdf</v>
      </c>
    </row>
    <row r="6507" spans="1:28" x14ac:dyDescent="0.25">
      <c r="A6507" t="s">
        <v>6510</v>
      </c>
      <c r="B6507">
        <v>0.99930955844802105</v>
      </c>
      <c r="C6507">
        <v>1.0230766346759499</v>
      </c>
      <c r="D6507">
        <v>0.99917396164759298</v>
      </c>
      <c r="E6507">
        <v>0.93120527807081799</v>
      </c>
      <c r="F6507">
        <v>0.85075905120197703</v>
      </c>
      <c r="G6507">
        <v>0.68669947369557804</v>
      </c>
      <c r="H6507">
        <v>0.62987319355448601</v>
      </c>
      <c r="I6507">
        <v>0.684075341974965</v>
      </c>
      <c r="J6507">
        <v>0.626623053134019</v>
      </c>
      <c r="K6507">
        <v>0.55526325815081601</v>
      </c>
      <c r="L6507">
        <v>1149.5238360908199</v>
      </c>
      <c r="M6507">
        <v>21.310867748299099</v>
      </c>
      <c r="O6507">
        <v>53.472503548051598</v>
      </c>
      <c r="P6507">
        <v>-3.9039795018902999E-2</v>
      </c>
      <c r="Q6507">
        <v>0.60818062948510199</v>
      </c>
      <c r="R6507">
        <v>0.97152543644674305</v>
      </c>
      <c r="S6507" t="s">
        <v>13123</v>
      </c>
      <c r="T6507" t="s">
        <v>13232</v>
      </c>
      <c r="U6507" t="s">
        <v>13232</v>
      </c>
      <c r="V6507" t="s">
        <v>13232</v>
      </c>
      <c r="W6507" t="s">
        <v>19663</v>
      </c>
      <c r="X6507">
        <v>12</v>
      </c>
      <c r="Y6507" t="s">
        <v>26026</v>
      </c>
      <c r="Z6507" t="s">
        <v>32638</v>
      </c>
      <c r="AA6507">
        <v>0.79505552276296265</v>
      </c>
      <c r="AB6507" t="str">
        <f>HYPERLINK("Melting_Curves/meltCurve_Q9Y4H2_IRS2.pdf", "Melting_Curves/meltCurve_Q9Y4H2_IRS2.pdf")</f>
        <v>Melting_Curves/meltCurve_Q9Y4H2_IRS2.pdf</v>
      </c>
    </row>
    <row r="6508" spans="1:28" x14ac:dyDescent="0.25">
      <c r="A6508" t="s">
        <v>6511</v>
      </c>
      <c r="B6508">
        <v>0.99930955844802105</v>
      </c>
      <c r="C6508">
        <v>1.6291462401363399</v>
      </c>
      <c r="D6508">
        <v>1.5661847338510799</v>
      </c>
      <c r="E6508">
        <v>1.86666982192883</v>
      </c>
      <c r="F6508">
        <v>2.1006844202719401</v>
      </c>
      <c r="G6508">
        <v>1.91934121815668</v>
      </c>
      <c r="H6508">
        <v>1.3343416557281</v>
      </c>
      <c r="I6508">
        <v>0.252365718398113</v>
      </c>
      <c r="J6508">
        <v>2.3309555643406098E-2</v>
      </c>
      <c r="K6508">
        <v>3.1044644647458101E-2</v>
      </c>
      <c r="L6508">
        <v>15000</v>
      </c>
      <c r="M6508">
        <v>235.57452293422</v>
      </c>
      <c r="N6508">
        <v>63.689215128602903</v>
      </c>
      <c r="O6508">
        <v>63.669529996801799</v>
      </c>
      <c r="P6508">
        <v>-0.89987122267983899</v>
      </c>
      <c r="Q6508">
        <v>2.7154953026828299E-2</v>
      </c>
      <c r="R6508">
        <v>0.37213100991915199</v>
      </c>
      <c r="S6508" t="s">
        <v>13124</v>
      </c>
      <c r="T6508" t="s">
        <v>13232</v>
      </c>
      <c r="U6508" t="s">
        <v>13232</v>
      </c>
      <c r="V6508" t="s">
        <v>13232</v>
      </c>
      <c r="W6508" t="s">
        <v>19664</v>
      </c>
      <c r="X6508">
        <v>2</v>
      </c>
      <c r="Y6508" t="s">
        <v>26027</v>
      </c>
      <c r="Z6508" t="s">
        <v>32639</v>
      </c>
      <c r="AA6508">
        <v>0.79498567601955095</v>
      </c>
      <c r="AB6508" t="str">
        <f>HYPERLINK("Melting_Curves/meltCurve_Q9Y4I1_2_MYO5A.pdf", "Melting_Curves/meltCurve_Q9Y4I1_2_MYO5A.pdf")</f>
        <v>Melting_Curves/meltCurve_Q9Y4I1_2_MYO5A.pdf</v>
      </c>
    </row>
    <row r="6509" spans="1:28" x14ac:dyDescent="0.25">
      <c r="A6509" t="s">
        <v>6512</v>
      </c>
      <c r="B6509">
        <v>0.99930955844802105</v>
      </c>
      <c r="C6509">
        <v>1.0613037720787699</v>
      </c>
      <c r="D6509">
        <v>1.12845601926776</v>
      </c>
      <c r="E6509">
        <v>1.0290029467197199</v>
      </c>
      <c r="F6509">
        <v>0.84381345138685404</v>
      </c>
      <c r="G6509">
        <v>0.84172874652570095</v>
      </c>
      <c r="H6509">
        <v>0.72958407371158696</v>
      </c>
      <c r="I6509">
        <v>0.72304243325792905</v>
      </c>
      <c r="J6509">
        <v>0.66858641399777696</v>
      </c>
      <c r="K6509">
        <v>0.52470802842362296</v>
      </c>
      <c r="L6509">
        <v>677.66704458935897</v>
      </c>
      <c r="M6509">
        <v>10.830423819711999</v>
      </c>
      <c r="O6509">
        <v>60.5508021198346</v>
      </c>
      <c r="P6509">
        <v>-2.5248556945816299E-2</v>
      </c>
      <c r="Q6509">
        <v>0.43556299821962502</v>
      </c>
      <c r="R6509">
        <v>0.87804846116828805</v>
      </c>
      <c r="S6509" t="s">
        <v>13125</v>
      </c>
      <c r="T6509" t="s">
        <v>13232</v>
      </c>
      <c r="U6509" t="s">
        <v>13232</v>
      </c>
      <c r="V6509" t="s">
        <v>13232</v>
      </c>
      <c r="W6509" t="s">
        <v>19665</v>
      </c>
      <c r="X6509">
        <v>3</v>
      </c>
      <c r="Y6509" t="s">
        <v>26028</v>
      </c>
      <c r="Z6509" t="s">
        <v>32640</v>
      </c>
      <c r="AA6509">
        <v>0.84794588630980094</v>
      </c>
      <c r="AB6509" t="str">
        <f>HYPERLINK("Melting_Curves/meltCurve_Q9Y4I5_MTL5.pdf", "Melting_Curves/meltCurve_Q9Y4I5_MTL5.pdf")</f>
        <v>Melting_Curves/meltCurve_Q9Y4I5_MTL5.pdf</v>
      </c>
    </row>
    <row r="6510" spans="1:28" x14ac:dyDescent="0.25">
      <c r="A6510" t="s">
        <v>6513</v>
      </c>
      <c r="B6510">
        <v>0.99930955844802105</v>
      </c>
      <c r="C6510">
        <v>0.90981790719232103</v>
      </c>
      <c r="D6510">
        <v>0.69437988767740699</v>
      </c>
      <c r="E6510">
        <v>0.57541067204048102</v>
      </c>
      <c r="F6510">
        <v>0.469831106293084</v>
      </c>
      <c r="G6510">
        <v>0.43763876540673502</v>
      </c>
      <c r="H6510">
        <v>0.42591052861138001</v>
      </c>
      <c r="I6510">
        <v>0.45430587257171601</v>
      </c>
      <c r="J6510">
        <v>0.45725036297903099</v>
      </c>
      <c r="K6510">
        <v>0.36600675656693199</v>
      </c>
      <c r="L6510">
        <v>858.70188024002005</v>
      </c>
      <c r="M6510">
        <v>18.538974592768302</v>
      </c>
      <c r="N6510">
        <v>51.566126086627598</v>
      </c>
      <c r="O6510">
        <v>45.789873632625799</v>
      </c>
      <c r="P6510">
        <v>-5.8283477798910702E-2</v>
      </c>
      <c r="Q6510">
        <v>0.424201790199355</v>
      </c>
      <c r="R6510">
        <v>0.97948898950016705</v>
      </c>
      <c r="S6510" t="s">
        <v>13126</v>
      </c>
      <c r="T6510" t="s">
        <v>13232</v>
      </c>
      <c r="U6510" t="s">
        <v>13232</v>
      </c>
      <c r="V6510" t="s">
        <v>13232</v>
      </c>
      <c r="W6510" t="s">
        <v>19666</v>
      </c>
      <c r="X6510">
        <v>15</v>
      </c>
      <c r="Y6510" t="s">
        <v>26029</v>
      </c>
      <c r="Z6510" t="s">
        <v>32641</v>
      </c>
      <c r="AA6510">
        <v>0.55582365555866198</v>
      </c>
      <c r="AB6510" t="str">
        <f>HYPERLINK("Melting_Curves/meltCurve_Q9Y4K1_AIM1.pdf", "Melting_Curves/meltCurve_Q9Y4K1_AIM1.pdf")</f>
        <v>Melting_Curves/meltCurve_Q9Y4K1_AIM1.pdf</v>
      </c>
    </row>
    <row r="6511" spans="1:28" x14ac:dyDescent="0.25">
      <c r="A6511" t="s">
        <v>6514</v>
      </c>
      <c r="B6511">
        <v>0.99930955844802105</v>
      </c>
      <c r="C6511">
        <v>0.70563098563846804</v>
      </c>
      <c r="D6511">
        <v>0.56937362496654798</v>
      </c>
      <c r="E6511">
        <v>0.34953878206313399</v>
      </c>
      <c r="F6511">
        <v>0.21458409043311599</v>
      </c>
      <c r="G6511">
        <v>0.16916312560633701</v>
      </c>
      <c r="H6511">
        <v>0.10035991329901001</v>
      </c>
      <c r="I6511">
        <v>7.78290064539746E-2</v>
      </c>
      <c r="J6511">
        <v>6.4436207035986501E-2</v>
      </c>
      <c r="K6511">
        <v>4.6962609563289001E-2</v>
      </c>
      <c r="L6511">
        <v>602.65009746050396</v>
      </c>
      <c r="M6511">
        <v>12.9029544554297</v>
      </c>
      <c r="N6511">
        <v>47.115250663436299</v>
      </c>
      <c r="O6511">
        <v>45.627156920598601</v>
      </c>
      <c r="P6511">
        <v>-6.6965257728825597E-2</v>
      </c>
      <c r="Q6511">
        <v>5.2967699764144803E-2</v>
      </c>
      <c r="R6511">
        <v>0.98382763220998604</v>
      </c>
      <c r="S6511" t="s">
        <v>13127</v>
      </c>
      <c r="T6511" t="s">
        <v>13232</v>
      </c>
      <c r="U6511" t="s">
        <v>13232</v>
      </c>
      <c r="V6511" t="s">
        <v>13232</v>
      </c>
      <c r="W6511" t="s">
        <v>19667</v>
      </c>
      <c r="X6511">
        <v>8</v>
      </c>
      <c r="Y6511" t="s">
        <v>26030</v>
      </c>
      <c r="Z6511" t="s">
        <v>32642</v>
      </c>
      <c r="AA6511">
        <v>0.30013646271997441</v>
      </c>
      <c r="AB6511" t="str">
        <f>HYPERLINK("Melting_Curves/meltCurve_Q9Y4K3_TRAF6.pdf", "Melting_Curves/meltCurve_Q9Y4K3_TRAF6.pdf")</f>
        <v>Melting_Curves/meltCurve_Q9Y4K3_TRAF6.pdf</v>
      </c>
    </row>
    <row r="6512" spans="1:28" x14ac:dyDescent="0.25">
      <c r="A6512" t="s">
        <v>6515</v>
      </c>
      <c r="B6512">
        <v>0.99930955844802105</v>
      </c>
      <c r="C6512">
        <v>0.87825776284809398</v>
      </c>
      <c r="D6512">
        <v>0.73962881920164103</v>
      </c>
      <c r="E6512">
        <v>0.46561354659363602</v>
      </c>
      <c r="F6512">
        <v>0.23399369333178199</v>
      </c>
      <c r="G6512">
        <v>0.170282544178291</v>
      </c>
      <c r="H6512">
        <v>0.124564443140659</v>
      </c>
      <c r="I6512">
        <v>0.129903966659141</v>
      </c>
      <c r="J6512">
        <v>0.131544452556448</v>
      </c>
      <c r="K6512">
        <v>9.7634365557950298E-2</v>
      </c>
      <c r="L6512">
        <v>821.99326402180202</v>
      </c>
      <c r="M6512">
        <v>16.9842256217811</v>
      </c>
      <c r="N6512">
        <v>49.077989013459899</v>
      </c>
      <c r="O6512">
        <v>47.741470707686503</v>
      </c>
      <c r="P6512">
        <v>-7.9612399029291903E-2</v>
      </c>
      <c r="Q6512">
        <v>0.10491625022674</v>
      </c>
      <c r="R6512">
        <v>0.99581700587728095</v>
      </c>
      <c r="S6512" t="s">
        <v>13128</v>
      </c>
      <c r="T6512" t="s">
        <v>13232</v>
      </c>
      <c r="U6512" t="s">
        <v>13232</v>
      </c>
      <c r="V6512" t="s">
        <v>13232</v>
      </c>
      <c r="W6512" t="s">
        <v>19668</v>
      </c>
      <c r="X6512">
        <v>9</v>
      </c>
      <c r="Y6512" t="s">
        <v>26031</v>
      </c>
      <c r="Z6512" t="s">
        <v>32643</v>
      </c>
      <c r="AA6512">
        <v>0.37314552927816252</v>
      </c>
      <c r="AB6512" t="str">
        <f>HYPERLINK("Melting_Curves/meltCurve_Q9Y4K4_MAP4K5.pdf", "Melting_Curves/meltCurve_Q9Y4K4_MAP4K5.pdf")</f>
        <v>Melting_Curves/meltCurve_Q9Y4K4_MAP4K5.pdf</v>
      </c>
    </row>
    <row r="6513" spans="1:28" x14ac:dyDescent="0.25">
      <c r="A6513" t="s">
        <v>6516</v>
      </c>
      <c r="B6513">
        <v>0.99930955844802105</v>
      </c>
      <c r="C6513">
        <v>0.92494628578014204</v>
      </c>
      <c r="D6513">
        <v>0.35120022095798198</v>
      </c>
      <c r="E6513">
        <v>0.53847649686980803</v>
      </c>
      <c r="F6513">
        <v>0.231453281297582</v>
      </c>
      <c r="G6513">
        <v>0.25883749257100702</v>
      </c>
      <c r="H6513">
        <v>0.220237218073246</v>
      </c>
      <c r="I6513">
        <v>0.21668948267261701</v>
      </c>
      <c r="J6513">
        <v>0.19946176238382601</v>
      </c>
      <c r="K6513">
        <v>0.17042821715251599</v>
      </c>
      <c r="L6513">
        <v>2512.4905357313201</v>
      </c>
      <c r="M6513">
        <v>56.473201681665998</v>
      </c>
      <c r="N6513">
        <v>45.078575281148801</v>
      </c>
      <c r="O6513">
        <v>44.434283895217597</v>
      </c>
      <c r="P6513">
        <v>-0.23486246259476301</v>
      </c>
      <c r="Q6513">
        <v>0.26082191699981899</v>
      </c>
      <c r="R6513">
        <v>0.89235375025691199</v>
      </c>
      <c r="S6513" t="s">
        <v>13129</v>
      </c>
      <c r="T6513" t="s">
        <v>13232</v>
      </c>
      <c r="U6513" t="s">
        <v>13232</v>
      </c>
      <c r="V6513" t="s">
        <v>13232</v>
      </c>
      <c r="W6513" t="s">
        <v>19669</v>
      </c>
      <c r="X6513">
        <v>51</v>
      </c>
      <c r="Y6513" t="s">
        <v>26032</v>
      </c>
      <c r="Z6513" t="s">
        <v>32644</v>
      </c>
      <c r="AA6513">
        <v>0.37261385836089639</v>
      </c>
      <c r="AB6513" t="str">
        <f>HYPERLINK("Melting_Curves/meltCurve_Q9Y4L1_HYOU1.pdf", "Melting_Curves/meltCurve_Q9Y4L1_HYOU1.pdf")</f>
        <v>Melting_Curves/meltCurve_Q9Y4L1_HYOU1.pdf</v>
      </c>
    </row>
    <row r="6514" spans="1:28" x14ac:dyDescent="0.25">
      <c r="A6514" t="s">
        <v>6517</v>
      </c>
      <c r="B6514">
        <v>0.99930955844802105</v>
      </c>
      <c r="C6514">
        <v>1.0791651041333901</v>
      </c>
      <c r="D6514">
        <v>0.56210323238988202</v>
      </c>
      <c r="E6514">
        <v>0.68153507272659797</v>
      </c>
      <c r="F6514">
        <v>0.224534811700244</v>
      </c>
      <c r="G6514">
        <v>0.14455792176753501</v>
      </c>
      <c r="H6514">
        <v>8.9108281237537001E-2</v>
      </c>
      <c r="I6514">
        <v>7.2138858755756805E-2</v>
      </c>
      <c r="J6514">
        <v>5.1687038480845097E-2</v>
      </c>
      <c r="K6514">
        <v>4.4181133539327198E-2</v>
      </c>
      <c r="L6514">
        <v>734.75916192397995</v>
      </c>
      <c r="M6514">
        <v>14.736755893890001</v>
      </c>
      <c r="N6514">
        <v>50.040634171514697</v>
      </c>
      <c r="O6514">
        <v>48.967847876466998</v>
      </c>
      <c r="P6514">
        <v>-7.3284939394520104E-2</v>
      </c>
      <c r="Q6514">
        <v>2.6049628219751299E-2</v>
      </c>
      <c r="R6514">
        <v>0.92240915369927701</v>
      </c>
      <c r="S6514" t="s">
        <v>13130</v>
      </c>
      <c r="T6514" t="s">
        <v>13232</v>
      </c>
      <c r="U6514" t="s">
        <v>13232</v>
      </c>
      <c r="V6514" t="s">
        <v>13232</v>
      </c>
      <c r="W6514" t="s">
        <v>19670</v>
      </c>
      <c r="X6514">
        <v>15</v>
      </c>
      <c r="Y6514" t="s">
        <v>26033</v>
      </c>
      <c r="Z6514" t="s">
        <v>32645</v>
      </c>
      <c r="AA6514">
        <v>0.37019925759950167</v>
      </c>
      <c r="AB6514" t="str">
        <f>HYPERLINK("Melting_Curves/meltCurve_Q9Y4P1_6_ATG4B.pdf", "Melting_Curves/meltCurve_Q9Y4P1_6_ATG4B.pdf")</f>
        <v>Melting_Curves/meltCurve_Q9Y4P1_6_ATG4B.pdf</v>
      </c>
    </row>
    <row r="6515" spans="1:28" x14ac:dyDescent="0.25">
      <c r="A6515" t="s">
        <v>6518</v>
      </c>
      <c r="B6515">
        <v>0.99930955844802105</v>
      </c>
      <c r="C6515">
        <v>0.92579338097018504</v>
      </c>
      <c r="D6515">
        <v>0.77109708759277595</v>
      </c>
      <c r="E6515">
        <v>0.49373393495342999</v>
      </c>
      <c r="F6515">
        <v>0.192197224724732</v>
      </c>
      <c r="G6515">
        <v>0.144146032884612</v>
      </c>
      <c r="H6515">
        <v>0.112501308756097</v>
      </c>
      <c r="I6515">
        <v>0.109646191061538</v>
      </c>
      <c r="J6515">
        <v>0.105840374335509</v>
      </c>
      <c r="K6515">
        <v>8.5694967276683701E-2</v>
      </c>
      <c r="L6515">
        <v>955.89310862579896</v>
      </c>
      <c r="M6515">
        <v>19.578708183946599</v>
      </c>
      <c r="N6515">
        <v>49.324017154629502</v>
      </c>
      <c r="O6515">
        <v>48.322327120018002</v>
      </c>
      <c r="P6515">
        <v>-9.2163220365312395E-2</v>
      </c>
      <c r="Q6515">
        <v>9.0158107605455604E-2</v>
      </c>
      <c r="R6515">
        <v>0.99426054329538005</v>
      </c>
      <c r="S6515" t="s">
        <v>13131</v>
      </c>
      <c r="T6515" t="s">
        <v>13232</v>
      </c>
      <c r="U6515" t="s">
        <v>13232</v>
      </c>
      <c r="V6515" t="s">
        <v>13232</v>
      </c>
      <c r="W6515" t="s">
        <v>19671</v>
      </c>
      <c r="X6515">
        <v>9</v>
      </c>
      <c r="Y6515" t="s">
        <v>26034</v>
      </c>
      <c r="Z6515" t="s">
        <v>32646</v>
      </c>
      <c r="AA6515">
        <v>0.37108118037662358</v>
      </c>
      <c r="AB6515" t="str">
        <f>HYPERLINK("Melting_Curves/meltCurve_Q9Y4P8_3_WIPI2.pdf", "Melting_Curves/meltCurve_Q9Y4P8_3_WIPI2.pdf")</f>
        <v>Melting_Curves/meltCurve_Q9Y4P8_3_WIPI2.pdf</v>
      </c>
    </row>
    <row r="6516" spans="1:28" x14ac:dyDescent="0.25">
      <c r="A6516" t="s">
        <v>6519</v>
      </c>
      <c r="B6516">
        <v>0.99930955844802105</v>
      </c>
      <c r="C6516">
        <v>0.79931875079149395</v>
      </c>
      <c r="D6516">
        <v>0.69353839831756503</v>
      </c>
      <c r="E6516">
        <v>0.63616455919470505</v>
      </c>
      <c r="F6516">
        <v>0.473920766201188</v>
      </c>
      <c r="G6516">
        <v>0.274871897336881</v>
      </c>
      <c r="H6516">
        <v>0.107186054938039</v>
      </c>
      <c r="I6516">
        <v>8.4073496731209604E-2</v>
      </c>
      <c r="J6516">
        <v>7.3653362844303696E-2</v>
      </c>
      <c r="K6516">
        <v>5.3032280656578598E-2</v>
      </c>
      <c r="L6516">
        <v>518.47648458079402</v>
      </c>
      <c r="M6516">
        <v>10.1042349466722</v>
      </c>
      <c r="N6516">
        <v>51.312772578919201</v>
      </c>
      <c r="O6516">
        <v>49.424542762754903</v>
      </c>
      <c r="P6516">
        <v>-5.11332954610587E-2</v>
      </c>
      <c r="Q6516">
        <v>0</v>
      </c>
      <c r="R6516">
        <v>0.97531743003467097</v>
      </c>
      <c r="S6516" t="s">
        <v>13132</v>
      </c>
      <c r="T6516" t="s">
        <v>13232</v>
      </c>
      <c r="U6516" t="s">
        <v>13232</v>
      </c>
      <c r="V6516" t="s">
        <v>13232</v>
      </c>
      <c r="W6516" t="s">
        <v>19672</v>
      </c>
      <c r="X6516">
        <v>13</v>
      </c>
      <c r="Y6516" t="s">
        <v>26035</v>
      </c>
      <c r="Z6516" t="s">
        <v>32647</v>
      </c>
      <c r="AA6516">
        <v>0.41705891405784112</v>
      </c>
      <c r="AB6516" t="str">
        <f>HYPERLINK("Melting_Curves/meltCurve_Q9Y4R8_TELO2.pdf", "Melting_Curves/meltCurve_Q9Y4R8_TELO2.pdf")</f>
        <v>Melting_Curves/meltCurve_Q9Y4R8_TELO2.pdf</v>
      </c>
    </row>
    <row r="6517" spans="1:28" x14ac:dyDescent="0.25">
      <c r="A6517" t="s">
        <v>6520</v>
      </c>
      <c r="B6517">
        <v>0.99930955844802105</v>
      </c>
      <c r="C6517">
        <v>0.87741988966884299</v>
      </c>
      <c r="D6517">
        <v>0.69511780629393205</v>
      </c>
      <c r="E6517">
        <v>0.48983793122371999</v>
      </c>
      <c r="F6517">
        <v>0.33754255019101598</v>
      </c>
      <c r="G6517">
        <v>0.24028427164461699</v>
      </c>
      <c r="H6517">
        <v>0.159511954346122</v>
      </c>
      <c r="I6517">
        <v>0.14543697335702599</v>
      </c>
      <c r="J6517">
        <v>0.134302033202681</v>
      </c>
      <c r="K6517">
        <v>0.102240230359478</v>
      </c>
      <c r="L6517">
        <v>638.15043124558201</v>
      </c>
      <c r="M6517">
        <v>13.069737742113499</v>
      </c>
      <c r="N6517">
        <v>49.704275027941897</v>
      </c>
      <c r="O6517">
        <v>47.725917052691301</v>
      </c>
      <c r="P6517">
        <v>-6.1418167750031803E-2</v>
      </c>
      <c r="Q6517">
        <v>0.103048166710056</v>
      </c>
      <c r="R6517">
        <v>0.99625114500527101</v>
      </c>
      <c r="S6517" t="s">
        <v>13133</v>
      </c>
      <c r="T6517" t="s">
        <v>13232</v>
      </c>
      <c r="U6517" t="s">
        <v>13232</v>
      </c>
      <c r="V6517" t="s">
        <v>13232</v>
      </c>
      <c r="W6517" t="s">
        <v>19673</v>
      </c>
      <c r="X6517">
        <v>3</v>
      </c>
      <c r="Y6517" t="s">
        <v>26036</v>
      </c>
      <c r="Z6517" t="s">
        <v>32648</v>
      </c>
      <c r="AA6517">
        <v>0.39566379078320202</v>
      </c>
      <c r="AB6517" t="str">
        <f>HYPERLINK("Melting_Curves/meltCurve_Q9Y4U1_MMACHC.pdf", "Melting_Curves/meltCurve_Q9Y4U1_MMACHC.pdf")</f>
        <v>Melting_Curves/meltCurve_Q9Y4U1_MMACHC.pdf</v>
      </c>
    </row>
    <row r="6518" spans="1:28" x14ac:dyDescent="0.25">
      <c r="A6518" t="s">
        <v>6521</v>
      </c>
      <c r="B6518">
        <v>0.99930955844802105</v>
      </c>
      <c r="C6518">
        <v>0.57691524122461002</v>
      </c>
      <c r="D6518">
        <v>0.48878380449989201</v>
      </c>
      <c r="E6518">
        <v>0.45518885215530802</v>
      </c>
      <c r="F6518">
        <v>0.31254401074009802</v>
      </c>
      <c r="G6518">
        <v>0.21644718625359799</v>
      </c>
      <c r="H6518">
        <v>0.146157057354731</v>
      </c>
      <c r="I6518">
        <v>0.125412333586709</v>
      </c>
      <c r="J6518">
        <v>0.10088997833560499</v>
      </c>
      <c r="K6518">
        <v>9.1377367360956793E-2</v>
      </c>
      <c r="L6518">
        <v>439.63816039586499</v>
      </c>
      <c r="M6518">
        <v>9.4608450587628301</v>
      </c>
      <c r="N6518">
        <v>47.1669097102614</v>
      </c>
      <c r="O6518">
        <v>44.535062466703998</v>
      </c>
      <c r="P6518">
        <v>-4.96710744678385E-2</v>
      </c>
      <c r="Q6518">
        <v>6.5294110554283594E-2</v>
      </c>
      <c r="R6518">
        <v>0.92540940027329599</v>
      </c>
      <c r="S6518" t="s">
        <v>13134</v>
      </c>
      <c r="T6518" t="s">
        <v>13232</v>
      </c>
      <c r="U6518" t="s">
        <v>13232</v>
      </c>
      <c r="V6518" t="s">
        <v>13232</v>
      </c>
      <c r="W6518" t="s">
        <v>19674</v>
      </c>
      <c r="X6518">
        <v>4</v>
      </c>
      <c r="Y6518" t="s">
        <v>26037</v>
      </c>
      <c r="Z6518" t="s">
        <v>32649</v>
      </c>
      <c r="AA6518">
        <v>0.32817094836626948</v>
      </c>
      <c r="AB6518" t="str">
        <f>HYPERLINK("Melting_Curves/meltCurve_Q9Y4W2_2_LAS1L.pdf", "Melting_Curves/meltCurve_Q9Y4W2_2_LAS1L.pdf")</f>
        <v>Melting_Curves/meltCurve_Q9Y4W2_2_LAS1L.pdf</v>
      </c>
    </row>
    <row r="6519" spans="1:28" x14ac:dyDescent="0.25">
      <c r="A6519" t="s">
        <v>6522</v>
      </c>
      <c r="B6519">
        <v>0.99930955844802105</v>
      </c>
      <c r="C6519">
        <v>0.72281858894943896</v>
      </c>
      <c r="D6519">
        <v>0.56827697700388402</v>
      </c>
      <c r="E6519">
        <v>0.60174371183943698</v>
      </c>
      <c r="F6519">
        <v>0.38084902495672901</v>
      </c>
      <c r="G6519">
        <v>0.22260697034416099</v>
      </c>
      <c r="H6519">
        <v>0.15471539922375999</v>
      </c>
      <c r="I6519">
        <v>0.138386922761807</v>
      </c>
      <c r="J6519">
        <v>0.13717526957003301</v>
      </c>
      <c r="K6519">
        <v>8.6821882135853803E-2</v>
      </c>
      <c r="L6519">
        <v>421.89512855021798</v>
      </c>
      <c r="M6519">
        <v>8.5125325343574101</v>
      </c>
      <c r="N6519">
        <v>49.728112783174701</v>
      </c>
      <c r="O6519">
        <v>47.053524669542099</v>
      </c>
      <c r="P6519">
        <v>-4.4632546344777098E-2</v>
      </c>
      <c r="Q6519">
        <v>1.4046868984798301E-2</v>
      </c>
      <c r="R6519">
        <v>0.95085057307630505</v>
      </c>
      <c r="S6519" t="s">
        <v>13135</v>
      </c>
      <c r="T6519" t="s">
        <v>13232</v>
      </c>
      <c r="U6519" t="s">
        <v>13232</v>
      </c>
      <c r="V6519" t="s">
        <v>13232</v>
      </c>
      <c r="W6519" t="s">
        <v>19675</v>
      </c>
      <c r="X6519">
        <v>2</v>
      </c>
      <c r="Y6519" t="s">
        <v>26038</v>
      </c>
      <c r="Z6519" t="s">
        <v>32650</v>
      </c>
      <c r="AA6519">
        <v>0.38541601644518231</v>
      </c>
      <c r="AB6519" t="str">
        <f>HYPERLINK("Melting_Curves/meltCurve_Q9Y4W6_AFG3L2.pdf", "Melting_Curves/meltCurve_Q9Y4W6_AFG3L2.pdf")</f>
        <v>Melting_Curves/meltCurve_Q9Y4W6_AFG3L2.pdf</v>
      </c>
    </row>
    <row r="6520" spans="1:28" x14ac:dyDescent="0.25">
      <c r="A6520" t="s">
        <v>6523</v>
      </c>
      <c r="B6520">
        <v>0.99930955844802105</v>
      </c>
      <c r="C6520">
        <v>0.97989897059187403</v>
      </c>
      <c r="D6520">
        <v>0.80417921418081195</v>
      </c>
      <c r="E6520">
        <v>0.387085738884972</v>
      </c>
      <c r="F6520">
        <v>0.159232980241831</v>
      </c>
      <c r="G6520">
        <v>9.6678989462074205E-2</v>
      </c>
      <c r="H6520">
        <v>5.60170598660183E-2</v>
      </c>
      <c r="I6520">
        <v>4.78397672324457E-2</v>
      </c>
      <c r="J6520">
        <v>4.0839864856767501E-2</v>
      </c>
      <c r="K6520">
        <v>3.4722642725759999E-2</v>
      </c>
      <c r="L6520">
        <v>1149.9338846379301</v>
      </c>
      <c r="M6520">
        <v>23.598787116270199</v>
      </c>
      <c r="N6520">
        <v>48.923738824064998</v>
      </c>
      <c r="O6520">
        <v>48.382630398516199</v>
      </c>
      <c r="P6520">
        <v>-0.11646097876636199</v>
      </c>
      <c r="Q6520">
        <v>4.49346733441695E-2</v>
      </c>
      <c r="R6520">
        <v>0.99926654644446</v>
      </c>
      <c r="S6520" t="s">
        <v>13136</v>
      </c>
      <c r="T6520" t="s">
        <v>13232</v>
      </c>
      <c r="U6520" t="s">
        <v>13232</v>
      </c>
      <c r="V6520" t="s">
        <v>13232</v>
      </c>
      <c r="W6520" t="s">
        <v>19676</v>
      </c>
      <c r="X6520">
        <v>7</v>
      </c>
      <c r="Y6520" t="s">
        <v>26039</v>
      </c>
      <c r="Z6520" t="s">
        <v>32651</v>
      </c>
      <c r="AA6520">
        <v>0.33233733140939281</v>
      </c>
      <c r="AB6520" t="str">
        <f>HYPERLINK("Melting_Curves/meltCurve_Q9Y4X0_AMMECR1.pdf", "Melting_Curves/meltCurve_Q9Y4X0_AMMECR1.pdf")</f>
        <v>Melting_Curves/meltCurve_Q9Y4X0_AMMECR1.pdf</v>
      </c>
    </row>
    <row r="6521" spans="1:28" x14ac:dyDescent="0.25">
      <c r="A6521" t="s">
        <v>6524</v>
      </c>
      <c r="B6521">
        <v>0.99930955844802105</v>
      </c>
      <c r="C6521">
        <v>1.0351543360050099</v>
      </c>
      <c r="D6521">
        <v>1.02658087435163</v>
      </c>
      <c r="E6521">
        <v>0.97414709312510905</v>
      </c>
      <c r="F6521">
        <v>0.92446673031518201</v>
      </c>
      <c r="G6521">
        <v>0.71826100020208306</v>
      </c>
      <c r="H6521">
        <v>0.41866792018965698</v>
      </c>
      <c r="I6521">
        <v>0.160765485425441</v>
      </c>
      <c r="J6521">
        <v>0.102122147410803</v>
      </c>
      <c r="K6521">
        <v>8.0386794824143903E-2</v>
      </c>
      <c r="L6521">
        <v>1276.7796993914401</v>
      </c>
      <c r="M6521">
        <v>21.461652318933201</v>
      </c>
      <c r="N6521">
        <v>59.630951276838502</v>
      </c>
      <c r="O6521">
        <v>58.981919951683601</v>
      </c>
      <c r="P6521">
        <v>-8.8738311636377104E-2</v>
      </c>
      <c r="Q6521">
        <v>2.4524709752533701E-2</v>
      </c>
      <c r="R6521">
        <v>0.99647916474216103</v>
      </c>
      <c r="S6521" t="s">
        <v>13137</v>
      </c>
      <c r="T6521" t="s">
        <v>13232</v>
      </c>
      <c r="U6521" t="s">
        <v>13232</v>
      </c>
      <c r="V6521" t="s">
        <v>13232</v>
      </c>
      <c r="W6521" t="s">
        <v>19677</v>
      </c>
      <c r="X6521">
        <v>22</v>
      </c>
      <c r="Y6521" t="s">
        <v>26040</v>
      </c>
      <c r="Z6521" t="s">
        <v>32652</v>
      </c>
      <c r="AA6521">
        <v>0.66702523135117342</v>
      </c>
      <c r="AB6521" t="str">
        <f>HYPERLINK("Melting_Curves/meltCurve_Q9Y4X5_ARIH1.pdf", "Melting_Curves/meltCurve_Q9Y4X5_ARIH1.pdf")</f>
        <v>Melting_Curves/meltCurve_Q9Y4X5_ARIH1.pdf</v>
      </c>
    </row>
    <row r="6522" spans="1:28" x14ac:dyDescent="0.25">
      <c r="A6522" t="s">
        <v>6525</v>
      </c>
      <c r="B6522">
        <v>0.99930955844802105</v>
      </c>
      <c r="C6522">
        <v>1.0598310300412801</v>
      </c>
      <c r="D6522">
        <v>1.0713130556286801</v>
      </c>
      <c r="E6522">
        <v>1.05388230005495</v>
      </c>
      <c r="F6522">
        <v>1.01584035675974</v>
      </c>
      <c r="G6522">
        <v>0.85552125261223699</v>
      </c>
      <c r="H6522">
        <v>0.626603318855809</v>
      </c>
      <c r="I6522">
        <v>0.53266020162677297</v>
      </c>
      <c r="J6522">
        <v>0.44617069354713801</v>
      </c>
      <c r="K6522">
        <v>0.25590000077906799</v>
      </c>
      <c r="L6522">
        <v>1055.9055894241601</v>
      </c>
      <c r="M6522">
        <v>16.8912571589597</v>
      </c>
      <c r="N6522">
        <v>64.288234852029504</v>
      </c>
      <c r="O6522">
        <v>61.655508536585899</v>
      </c>
      <c r="P6522">
        <v>-5.5722818472179497E-2</v>
      </c>
      <c r="Q6522">
        <v>0.18646648212588199</v>
      </c>
      <c r="R6522">
        <v>0.96945786487312102</v>
      </c>
      <c r="S6522" t="s">
        <v>13138</v>
      </c>
      <c r="T6522" t="s">
        <v>13232</v>
      </c>
      <c r="U6522" t="s">
        <v>13232</v>
      </c>
      <c r="V6522" t="s">
        <v>13232</v>
      </c>
      <c r="W6522" t="s">
        <v>19678</v>
      </c>
      <c r="X6522">
        <v>9</v>
      </c>
      <c r="Y6522" t="s">
        <v>26041</v>
      </c>
      <c r="Z6522" t="s">
        <v>32653</v>
      </c>
      <c r="AA6522">
        <v>0.79504504569365175</v>
      </c>
      <c r="AB6522" t="str">
        <f>HYPERLINK("Melting_Curves/meltCurve_Q9Y4Z0_LSM4.pdf", "Melting_Curves/meltCurve_Q9Y4Z0_LSM4.pdf")</f>
        <v>Melting_Curves/meltCurve_Q9Y4Z0_LSM4.pdf</v>
      </c>
    </row>
    <row r="6523" spans="1:28" x14ac:dyDescent="0.25">
      <c r="A6523" t="s">
        <v>6526</v>
      </c>
      <c r="B6523">
        <v>0.99930955844802105</v>
      </c>
      <c r="C6523">
        <v>0.70987508400291299</v>
      </c>
      <c r="D6523">
        <v>0.51166182958401196</v>
      </c>
      <c r="E6523">
        <v>0.58881440218542702</v>
      </c>
      <c r="F6523">
        <v>0.32820580770854502</v>
      </c>
      <c r="G6523">
        <v>0.19365368700143301</v>
      </c>
      <c r="H6523">
        <v>0.11667559579591601</v>
      </c>
      <c r="I6523">
        <v>0.110314553296209</v>
      </c>
      <c r="J6523">
        <v>8.6137200358052196E-2</v>
      </c>
      <c r="K6523">
        <v>8.2584106540332602E-2</v>
      </c>
      <c r="L6523">
        <v>433.41724409310802</v>
      </c>
      <c r="M6523">
        <v>8.8773983832231895</v>
      </c>
      <c r="N6523">
        <v>48.845829306620502</v>
      </c>
      <c r="O6523">
        <v>46.5356300594879</v>
      </c>
      <c r="P6523">
        <v>-4.7627145695825199E-2</v>
      </c>
      <c r="Q6523">
        <v>2.1107607871320901E-3</v>
      </c>
      <c r="R6523">
        <v>0.93884744290326605</v>
      </c>
      <c r="S6523" t="s">
        <v>13139</v>
      </c>
      <c r="T6523" t="s">
        <v>13232</v>
      </c>
      <c r="U6523" t="s">
        <v>13232</v>
      </c>
      <c r="V6523" t="s">
        <v>13232</v>
      </c>
      <c r="W6523" t="s">
        <v>19679</v>
      </c>
      <c r="X6523">
        <v>8</v>
      </c>
      <c r="Y6523" t="s">
        <v>26042</v>
      </c>
      <c r="Z6523" t="s">
        <v>32654</v>
      </c>
      <c r="AA6523">
        <v>0.35420640705778977</v>
      </c>
      <c r="AB6523" t="str">
        <f>HYPERLINK("Melting_Curves/meltCurve_Q9Y508_RNF114.pdf", "Melting_Curves/meltCurve_Q9Y508_RNF114.pdf")</f>
        <v>Melting_Curves/meltCurve_Q9Y508_RNF114.pdf</v>
      </c>
    </row>
    <row r="6524" spans="1:28" x14ac:dyDescent="0.25">
      <c r="A6524" t="s">
        <v>6527</v>
      </c>
      <c r="B6524">
        <v>0.99930955844802105</v>
      </c>
      <c r="C6524">
        <v>1.14109266961875</v>
      </c>
      <c r="D6524">
        <v>1.1199961274333601</v>
      </c>
      <c r="E6524">
        <v>1.1296442573011201</v>
      </c>
      <c r="F6524">
        <v>1.0196272057208899</v>
      </c>
      <c r="G6524">
        <v>0.98804471082363399</v>
      </c>
      <c r="H6524">
        <v>1.05084115002408</v>
      </c>
      <c r="I6524">
        <v>1.20338390307191</v>
      </c>
      <c r="J6524">
        <v>1.2176631770323301</v>
      </c>
      <c r="K6524">
        <v>0.96747337536077704</v>
      </c>
      <c r="L6524">
        <v>10266.7680731989</v>
      </c>
      <c r="M6524">
        <v>250</v>
      </c>
      <c r="O6524">
        <v>41.064444122640197</v>
      </c>
      <c r="P6524">
        <v>0.14167544776699001</v>
      </c>
      <c r="Q6524">
        <v>1.0930851763648</v>
      </c>
      <c r="R6524">
        <v>0.107001686098112</v>
      </c>
      <c r="S6524" t="s">
        <v>13140</v>
      </c>
      <c r="T6524" t="s">
        <v>13232</v>
      </c>
      <c r="U6524" t="s">
        <v>13232</v>
      </c>
      <c r="V6524" t="s">
        <v>13232</v>
      </c>
      <c r="W6524" t="s">
        <v>19680</v>
      </c>
      <c r="X6524">
        <v>102</v>
      </c>
      <c r="Y6524" t="s">
        <v>26043</v>
      </c>
      <c r="Z6524" t="s">
        <v>32655</v>
      </c>
      <c r="AA6524">
        <v>1.0897669050568859</v>
      </c>
      <c r="AB6524" t="str">
        <f>HYPERLINK("Melting_Curves/meltCurve_Q9Y520_4_PRRC2C.pdf", "Melting_Curves/meltCurve_Q9Y520_4_PRRC2C.pdf")</f>
        <v>Melting_Curves/meltCurve_Q9Y520_4_PRRC2C.pdf</v>
      </c>
    </row>
    <row r="6525" spans="1:28" x14ac:dyDescent="0.25">
      <c r="A6525" t="s">
        <v>6528</v>
      </c>
      <c r="B6525">
        <v>0.99930955844802105</v>
      </c>
      <c r="C6525">
        <v>0.64767505686075999</v>
      </c>
      <c r="D6525">
        <v>0.66145513906298603</v>
      </c>
      <c r="E6525">
        <v>0.70260232429008596</v>
      </c>
      <c r="F6525">
        <v>0.44132721333005198</v>
      </c>
      <c r="G6525">
        <v>0.24812961921055901</v>
      </c>
      <c r="H6525">
        <v>0.17421142052105701</v>
      </c>
      <c r="I6525">
        <v>0.12249697142266799</v>
      </c>
      <c r="J6525">
        <v>0.13448343253459999</v>
      </c>
      <c r="K6525">
        <v>7.8532454433132004E-2</v>
      </c>
      <c r="L6525">
        <v>417.50220736908301</v>
      </c>
      <c r="M6525">
        <v>8.1989401497552006</v>
      </c>
      <c r="N6525">
        <v>50.921476724174497</v>
      </c>
      <c r="O6525">
        <v>48.161351644729898</v>
      </c>
      <c r="P6525">
        <v>-4.2603657551464197E-2</v>
      </c>
      <c r="Q6525">
        <v>0</v>
      </c>
      <c r="R6525">
        <v>0.91786831486266796</v>
      </c>
      <c r="S6525" t="s">
        <v>13141</v>
      </c>
      <c r="T6525" t="s">
        <v>13232</v>
      </c>
      <c r="U6525" t="s">
        <v>13232</v>
      </c>
      <c r="V6525" t="s">
        <v>13232</v>
      </c>
      <c r="W6525" t="s">
        <v>19681</v>
      </c>
      <c r="X6525">
        <v>3</v>
      </c>
      <c r="Y6525" t="s">
        <v>26044</v>
      </c>
      <c r="Z6525" t="s">
        <v>32656</v>
      </c>
      <c r="AA6525">
        <v>0.41657977023024889</v>
      </c>
      <c r="AB6525" t="str">
        <f>HYPERLINK("Melting_Curves/meltCurve_Q9Y535_POLR3H.pdf", "Melting_Curves/meltCurve_Q9Y535_POLR3H.pdf")</f>
        <v>Melting_Curves/meltCurve_Q9Y535_POLR3H.pdf</v>
      </c>
    </row>
    <row r="6526" spans="1:28" x14ac:dyDescent="0.25">
      <c r="A6526" t="s">
        <v>6529</v>
      </c>
      <c r="B6526">
        <v>0.99930955844802105</v>
      </c>
      <c r="C6526">
        <v>1.0509205670580899</v>
      </c>
      <c r="D6526">
        <v>1.1110015120740799</v>
      </c>
      <c r="E6526">
        <v>1.11794495518788</v>
      </c>
      <c r="F6526">
        <v>0.87709507222861904</v>
      </c>
      <c r="G6526">
        <v>0.50940814037639903</v>
      </c>
      <c r="H6526">
        <v>0.21926250825386401</v>
      </c>
      <c r="I6526">
        <v>0.15868743603237701</v>
      </c>
      <c r="J6526">
        <v>0.129357786546726</v>
      </c>
      <c r="K6526">
        <v>0.104056846726143</v>
      </c>
      <c r="L6526">
        <v>1771.45367012009</v>
      </c>
      <c r="M6526">
        <v>31.302739387931201</v>
      </c>
      <c r="N6526">
        <v>57.107102839729301</v>
      </c>
      <c r="O6526">
        <v>56.361555042966003</v>
      </c>
      <c r="P6526">
        <v>-0.121742660970692</v>
      </c>
      <c r="Q6526">
        <v>0.123199058542249</v>
      </c>
      <c r="R6526">
        <v>0.98080572150021805</v>
      </c>
      <c r="S6526" t="s">
        <v>13142</v>
      </c>
      <c r="T6526" t="s">
        <v>13232</v>
      </c>
      <c r="U6526" t="s">
        <v>13232</v>
      </c>
      <c r="V6526" t="s">
        <v>13232</v>
      </c>
      <c r="W6526" t="s">
        <v>19682</v>
      </c>
      <c r="X6526">
        <v>3</v>
      </c>
      <c r="Y6526" t="s">
        <v>26045</v>
      </c>
      <c r="Z6526" t="s">
        <v>32657</v>
      </c>
      <c r="AA6526">
        <v>0.61351467943074833</v>
      </c>
      <c r="AB6526" t="str">
        <f>HYPERLINK("Melting_Curves/meltCurve_Q9Y547_HSPB11.pdf", "Melting_Curves/meltCurve_Q9Y547_HSPB11.pdf")</f>
        <v>Melting_Curves/meltCurve_Q9Y547_HSPB11.pdf</v>
      </c>
    </row>
    <row r="6527" spans="1:28" x14ac:dyDescent="0.25">
      <c r="A6527" t="s">
        <v>6530</v>
      </c>
      <c r="B6527">
        <v>0.99930955844802105</v>
      </c>
      <c r="C6527">
        <v>1.0554766283221599</v>
      </c>
      <c r="D6527">
        <v>1.1190385310752999</v>
      </c>
      <c r="E6527">
        <v>1.0369911027427601</v>
      </c>
      <c r="F6527">
        <v>0.82863356125165299</v>
      </c>
      <c r="G6527">
        <v>0.32473272398740299</v>
      </c>
      <c r="H6527">
        <v>0.19966873482803199</v>
      </c>
      <c r="I6527">
        <v>0.18681569936582501</v>
      </c>
      <c r="J6527">
        <v>0.167552386604367</v>
      </c>
      <c r="K6527">
        <v>0.135103183244556</v>
      </c>
      <c r="L6527">
        <v>2196.5595658251</v>
      </c>
      <c r="M6527">
        <v>40.011112775373299</v>
      </c>
      <c r="N6527">
        <v>55.4652504722198</v>
      </c>
      <c r="O6527">
        <v>54.762135855526601</v>
      </c>
      <c r="P6527">
        <v>-0.152022290368834</v>
      </c>
      <c r="Q6527">
        <v>0.16772642355953901</v>
      </c>
      <c r="R6527">
        <v>0.98702289753893302</v>
      </c>
      <c r="S6527" t="s">
        <v>13143</v>
      </c>
      <c r="T6527" t="s">
        <v>13232</v>
      </c>
      <c r="U6527" t="s">
        <v>13232</v>
      </c>
      <c r="V6527" t="s">
        <v>13232</v>
      </c>
      <c r="W6527" t="s">
        <v>19683</v>
      </c>
      <c r="X6527">
        <v>20</v>
      </c>
      <c r="Y6527" t="s">
        <v>26046</v>
      </c>
      <c r="Z6527" t="s">
        <v>32658</v>
      </c>
      <c r="AA6527">
        <v>0.58419953921375023</v>
      </c>
      <c r="AB6527" t="str">
        <f>HYPERLINK("Melting_Curves/meltCurve_Q9Y570_PPME1.pdf", "Melting_Curves/meltCurve_Q9Y570_PPME1.pdf")</f>
        <v>Melting_Curves/meltCurve_Q9Y570_PPME1.pdf</v>
      </c>
    </row>
    <row r="6528" spans="1:28" x14ac:dyDescent="0.25">
      <c r="A6528" t="s">
        <v>6531</v>
      </c>
      <c r="B6528">
        <v>0.99930955844802105</v>
      </c>
      <c r="C6528">
        <v>0.80441776433219203</v>
      </c>
      <c r="D6528">
        <v>0.80907477670184402</v>
      </c>
      <c r="E6528">
        <v>0.58934392205503805</v>
      </c>
      <c r="F6528">
        <v>0.326120789066495</v>
      </c>
      <c r="G6528">
        <v>0.162737144274295</v>
      </c>
      <c r="H6528">
        <v>8.2973067371876902E-2</v>
      </c>
      <c r="I6528">
        <v>7.2879440726088707E-2</v>
      </c>
      <c r="J6528">
        <v>6.9564504412067393E-2</v>
      </c>
      <c r="K6528">
        <v>5.2769903794318097E-2</v>
      </c>
      <c r="L6528">
        <v>666.99130653428097</v>
      </c>
      <c r="M6528">
        <v>13.233549725364799</v>
      </c>
      <c r="N6528">
        <v>50.513250518037502</v>
      </c>
      <c r="O6528">
        <v>49.292330096566502</v>
      </c>
      <c r="P6528">
        <v>-6.6160756363796605E-2</v>
      </c>
      <c r="Q6528">
        <v>1.4420069415484099E-2</v>
      </c>
      <c r="R6528">
        <v>0.98481317196832596</v>
      </c>
      <c r="S6528" t="s">
        <v>13144</v>
      </c>
      <c r="T6528" t="s">
        <v>13232</v>
      </c>
      <c r="U6528" t="s">
        <v>13232</v>
      </c>
      <c r="V6528" t="s">
        <v>13232</v>
      </c>
      <c r="W6528" t="s">
        <v>19684</v>
      </c>
      <c r="X6528">
        <v>3</v>
      </c>
      <c r="Y6528" t="s">
        <v>26047</v>
      </c>
      <c r="Z6528" t="s">
        <v>32659</v>
      </c>
      <c r="AA6528">
        <v>0.38473780132910579</v>
      </c>
      <c r="AB6528" t="str">
        <f>HYPERLINK("Melting_Curves/meltCurve_Q9Y580_RBM7.pdf", "Melting_Curves/meltCurve_Q9Y580_RBM7.pdf")</f>
        <v>Melting_Curves/meltCurve_Q9Y580_RBM7.pdf</v>
      </c>
    </row>
    <row r="6529" spans="1:28" x14ac:dyDescent="0.25">
      <c r="A6529" t="s">
        <v>6532</v>
      </c>
      <c r="B6529">
        <v>0.99930955844802105</v>
      </c>
      <c r="C6529">
        <v>1.15933539632913</v>
      </c>
      <c r="D6529">
        <v>0.797475743148644</v>
      </c>
      <c r="E6529">
        <v>0.76045384749339595</v>
      </c>
      <c r="F6529">
        <v>0.73255940820080201</v>
      </c>
      <c r="G6529">
        <v>0.65076522170384099</v>
      </c>
      <c r="H6529">
        <v>0.46222865156910697</v>
      </c>
      <c r="I6529">
        <v>0.54739241297784802</v>
      </c>
      <c r="J6529">
        <v>0.73731362936072797</v>
      </c>
      <c r="K6529">
        <v>0.42649436574709598</v>
      </c>
      <c r="L6529">
        <v>762.86715832622997</v>
      </c>
      <c r="M6529">
        <v>15.164010036533901</v>
      </c>
      <c r="O6529">
        <v>49.4571840099252</v>
      </c>
      <c r="P6529">
        <v>-3.5176518246826598E-2</v>
      </c>
      <c r="Q6529">
        <v>0.54113377634183601</v>
      </c>
      <c r="R6529">
        <v>0.75344224322229802</v>
      </c>
      <c r="S6529" t="s">
        <v>13145</v>
      </c>
      <c r="T6529" t="s">
        <v>13232</v>
      </c>
      <c r="U6529" t="s">
        <v>13232</v>
      </c>
      <c r="V6529" t="s">
        <v>13232</v>
      </c>
      <c r="W6529" t="s">
        <v>19685</v>
      </c>
      <c r="X6529">
        <v>6</v>
      </c>
      <c r="Y6529" t="s">
        <v>26048</v>
      </c>
      <c r="Z6529" t="s">
        <v>32660</v>
      </c>
      <c r="AA6529">
        <v>0.70942850371398214</v>
      </c>
      <c r="AB6529" t="str">
        <f>HYPERLINK("Melting_Curves/meltCurve_Q9Y592_2_CCDC41.pdf", "Melting_Curves/meltCurve_Q9Y592_2_CCDC41.pdf")</f>
        <v>Melting_Curves/meltCurve_Q9Y592_2_CCDC41.pdf</v>
      </c>
    </row>
    <row r="6530" spans="1:28" x14ac:dyDescent="0.25">
      <c r="A6530" t="s">
        <v>6533</v>
      </c>
      <c r="B6530">
        <v>0.99930955844802105</v>
      </c>
      <c r="C6530">
        <v>1.0061830460559</v>
      </c>
      <c r="D6530">
        <v>0.98231152173341396</v>
      </c>
      <c r="E6530">
        <v>0.94960031652079602</v>
      </c>
      <c r="F6530">
        <v>0.84355190031900196</v>
      </c>
      <c r="G6530">
        <v>0.69230435224267095</v>
      </c>
      <c r="H6530">
        <v>0.59867581652867996</v>
      </c>
      <c r="I6530">
        <v>0.654166815840732</v>
      </c>
      <c r="J6530">
        <v>0.62450912131530301</v>
      </c>
      <c r="K6530">
        <v>0.51446651379657904</v>
      </c>
      <c r="L6530">
        <v>1093.30903180213</v>
      </c>
      <c r="M6530">
        <v>20.083732245422201</v>
      </c>
      <c r="O6530">
        <v>53.906453077401601</v>
      </c>
      <c r="P6530">
        <v>-3.9371675587655502E-2</v>
      </c>
      <c r="Q6530">
        <v>0.57730577094151303</v>
      </c>
      <c r="R6530">
        <v>0.96910708749577001</v>
      </c>
      <c r="S6530" t="s">
        <v>13146</v>
      </c>
      <c r="T6530" t="s">
        <v>13232</v>
      </c>
      <c r="U6530" t="s">
        <v>13232</v>
      </c>
      <c r="V6530" t="s">
        <v>13232</v>
      </c>
      <c r="W6530" t="s">
        <v>19686</v>
      </c>
      <c r="X6530">
        <v>8</v>
      </c>
      <c r="Y6530" t="s">
        <v>26049</v>
      </c>
      <c r="Z6530" t="s">
        <v>32661</v>
      </c>
      <c r="AA6530">
        <v>0.78639153946920848</v>
      </c>
      <c r="AB6530" t="str">
        <f>HYPERLINK("Melting_Curves/meltCurve_Q9Y597_2_KCTD3.pdf", "Melting_Curves/meltCurve_Q9Y597_2_KCTD3.pdf")</f>
        <v>Melting_Curves/meltCurve_Q9Y597_2_KCTD3.pdf</v>
      </c>
    </row>
    <row r="6531" spans="1:28" x14ac:dyDescent="0.25">
      <c r="A6531" t="s">
        <v>6534</v>
      </c>
      <c r="B6531">
        <v>0.99930955844802105</v>
      </c>
      <c r="C6531">
        <v>1.09561698460021</v>
      </c>
      <c r="D6531">
        <v>1.0609765070510599</v>
      </c>
      <c r="E6531">
        <v>0.73547526462842905</v>
      </c>
      <c r="F6531">
        <v>0.40857285487767803</v>
      </c>
      <c r="G6531">
        <v>0.30739092072357599</v>
      </c>
      <c r="H6531">
        <v>0.22683974437756399</v>
      </c>
      <c r="I6531">
        <v>0.20215174397725699</v>
      </c>
      <c r="J6531">
        <v>0.24242607528731699</v>
      </c>
      <c r="K6531">
        <v>0.17674491427993799</v>
      </c>
      <c r="L6531">
        <v>1677.8752707931101</v>
      </c>
      <c r="M6531">
        <v>32.803064804176302</v>
      </c>
      <c r="N6531">
        <v>52.090741500933298</v>
      </c>
      <c r="O6531">
        <v>50.960984189885203</v>
      </c>
      <c r="P6531">
        <v>-0.124954909531834</v>
      </c>
      <c r="Q6531">
        <v>0.223512074818835</v>
      </c>
      <c r="R6531">
        <v>0.983102966799143</v>
      </c>
      <c r="S6531" t="s">
        <v>13147</v>
      </c>
      <c r="T6531" t="s">
        <v>13232</v>
      </c>
      <c r="U6531" t="s">
        <v>13232</v>
      </c>
      <c r="V6531" t="s">
        <v>13232</v>
      </c>
      <c r="W6531" t="s">
        <v>19687</v>
      </c>
      <c r="X6531">
        <v>4</v>
      </c>
      <c r="Y6531" t="s">
        <v>26050</v>
      </c>
      <c r="Z6531" t="s">
        <v>32662</v>
      </c>
      <c r="AA6531">
        <v>0.51619728962504008</v>
      </c>
      <c r="AB6531" t="str">
        <f>HYPERLINK("Melting_Curves/meltCurve_Q9Y5A6_ZSCAN21.pdf", "Melting_Curves/meltCurve_Q9Y5A6_ZSCAN21.pdf")</f>
        <v>Melting_Curves/meltCurve_Q9Y5A6_ZSCAN21.pdf</v>
      </c>
    </row>
    <row r="6532" spans="1:28" x14ac:dyDescent="0.25">
      <c r="A6532" t="s">
        <v>6535</v>
      </c>
      <c r="B6532">
        <v>0.99930955844802105</v>
      </c>
      <c r="C6532">
        <v>0.94767741097477598</v>
      </c>
      <c r="D6532">
        <v>0.87189977577447897</v>
      </c>
      <c r="E6532">
        <v>0.54366922728976597</v>
      </c>
      <c r="F6532">
        <v>0.21990548538553401</v>
      </c>
      <c r="G6532">
        <v>0.145097992134406</v>
      </c>
      <c r="H6532">
        <v>0.100199917834181</v>
      </c>
      <c r="I6532">
        <v>8.6896189824277797E-2</v>
      </c>
      <c r="J6532">
        <v>8.1515306694414397E-2</v>
      </c>
      <c r="K6532">
        <v>6.2475130653752903E-2</v>
      </c>
      <c r="L6532">
        <v>1154.80585292614</v>
      </c>
      <c r="M6532">
        <v>23.1933865412208</v>
      </c>
      <c r="N6532">
        <v>50.154513682558601</v>
      </c>
      <c r="O6532">
        <v>49.424597716669098</v>
      </c>
      <c r="P6532">
        <v>-0.108226752375141</v>
      </c>
      <c r="Q6532">
        <v>7.7501373080992295E-2</v>
      </c>
      <c r="R6532">
        <v>0.99704368042882896</v>
      </c>
      <c r="S6532" t="s">
        <v>13148</v>
      </c>
      <c r="T6532" t="s">
        <v>13232</v>
      </c>
      <c r="U6532" t="s">
        <v>13232</v>
      </c>
      <c r="V6532" t="s">
        <v>13232</v>
      </c>
      <c r="W6532" t="s">
        <v>19688</v>
      </c>
      <c r="X6532">
        <v>18</v>
      </c>
      <c r="Y6532" t="s">
        <v>26051</v>
      </c>
      <c r="Z6532" t="s">
        <v>32663</v>
      </c>
      <c r="AA6532">
        <v>0.38812365876458899</v>
      </c>
      <c r="AB6532" t="str">
        <f>HYPERLINK("Melting_Curves/meltCurve_Q9Y5A7_2_NUB1.pdf", "Melting_Curves/meltCurve_Q9Y5A7_2_NUB1.pdf")</f>
        <v>Melting_Curves/meltCurve_Q9Y5A7_2_NUB1.pdf</v>
      </c>
    </row>
    <row r="6533" spans="1:28" x14ac:dyDescent="0.25">
      <c r="A6533" t="s">
        <v>6536</v>
      </c>
      <c r="B6533">
        <v>0.99930955844802105</v>
      </c>
      <c r="C6533">
        <v>1.0731893308534699</v>
      </c>
      <c r="D6533">
        <v>1.0604915005070901</v>
      </c>
      <c r="E6533">
        <v>1.1069908656760901</v>
      </c>
      <c r="F6533">
        <v>0.835568497786074</v>
      </c>
      <c r="G6533">
        <v>0.70042592717269303</v>
      </c>
      <c r="H6533">
        <v>0.63522943726825698</v>
      </c>
      <c r="I6533">
        <v>0.57036418949891898</v>
      </c>
      <c r="J6533">
        <v>0.61545534515090095</v>
      </c>
      <c r="K6533">
        <v>0.50025873684559796</v>
      </c>
      <c r="L6533">
        <v>1566.2851709989</v>
      </c>
      <c r="M6533">
        <v>28.4304661576213</v>
      </c>
      <c r="O6533">
        <v>54.821380643799003</v>
      </c>
      <c r="P6533">
        <v>-5.56999439313208E-2</v>
      </c>
      <c r="Q6533">
        <v>0.57038717846168596</v>
      </c>
      <c r="R6533">
        <v>0.92247899440796</v>
      </c>
      <c r="S6533" t="s">
        <v>13149</v>
      </c>
      <c r="T6533" t="s">
        <v>13232</v>
      </c>
      <c r="U6533" t="s">
        <v>13232</v>
      </c>
      <c r="V6533" t="s">
        <v>13232</v>
      </c>
      <c r="W6533" t="s">
        <v>19689</v>
      </c>
      <c r="X6533">
        <v>14</v>
      </c>
      <c r="Y6533" t="s">
        <v>26052</v>
      </c>
      <c r="Z6533" t="s">
        <v>32664</v>
      </c>
      <c r="AA6533">
        <v>0.78966066305011962</v>
      </c>
      <c r="AB6533" t="str">
        <f>HYPERLINK("Melting_Curves/meltCurve_Q9Y5A9_YTHDF2.pdf", "Melting_Curves/meltCurve_Q9Y5A9_YTHDF2.pdf")</f>
        <v>Melting_Curves/meltCurve_Q9Y5A9_YTHDF2.pdf</v>
      </c>
    </row>
    <row r="6534" spans="1:28" x14ac:dyDescent="0.25">
      <c r="A6534" t="s">
        <v>6537</v>
      </c>
      <c r="B6534">
        <v>0.99930955844802105</v>
      </c>
      <c r="C6534">
        <v>1.04912746041335</v>
      </c>
      <c r="D6534">
        <v>0.75830608023660595</v>
      </c>
      <c r="E6534">
        <v>0.45268148866972802</v>
      </c>
      <c r="F6534">
        <v>0.35015524424133798</v>
      </c>
      <c r="G6534">
        <v>0.27564347895156299</v>
      </c>
      <c r="H6534">
        <v>0.230396702665397</v>
      </c>
      <c r="I6534">
        <v>0.229413614187746</v>
      </c>
      <c r="J6534">
        <v>0.23335300807277601</v>
      </c>
      <c r="K6534">
        <v>0.18195986332597799</v>
      </c>
      <c r="L6534">
        <v>1071.1352602089601</v>
      </c>
      <c r="M6534">
        <v>22.24395140623</v>
      </c>
      <c r="N6534">
        <v>49.496681554519299</v>
      </c>
      <c r="O6534">
        <v>47.769879918244698</v>
      </c>
      <c r="P6534">
        <v>-9.0043465897910693E-2</v>
      </c>
      <c r="Q6534">
        <v>0.22652705033399601</v>
      </c>
      <c r="R6534">
        <v>0.98506000241409097</v>
      </c>
      <c r="S6534" t="s">
        <v>13150</v>
      </c>
      <c r="T6534" t="s">
        <v>13232</v>
      </c>
      <c r="U6534" t="s">
        <v>13232</v>
      </c>
      <c r="V6534" t="s">
        <v>13232</v>
      </c>
      <c r="W6534" t="s">
        <v>19690</v>
      </c>
      <c r="X6534">
        <v>30</v>
      </c>
      <c r="Y6534" t="s">
        <v>26053</v>
      </c>
      <c r="Z6534" t="s">
        <v>32665</v>
      </c>
      <c r="AA6534">
        <v>0.44550951476194872</v>
      </c>
      <c r="AB6534" t="str">
        <f>HYPERLINK("Melting_Curves/meltCurve_Q9Y5B0_CTDP1.pdf", "Melting_Curves/meltCurve_Q9Y5B0_CTDP1.pdf")</f>
        <v>Melting_Curves/meltCurve_Q9Y5B0_CTDP1.pdf</v>
      </c>
    </row>
    <row r="6535" spans="1:28" x14ac:dyDescent="0.25">
      <c r="A6535" t="s">
        <v>6538</v>
      </c>
      <c r="B6535">
        <v>0.99930955844802105</v>
      </c>
      <c r="C6535">
        <v>1.1012537050664799</v>
      </c>
      <c r="D6535">
        <v>0.93244657732358605</v>
      </c>
      <c r="E6535">
        <v>0.653321495632599</v>
      </c>
      <c r="F6535">
        <v>0.49242660920317499</v>
      </c>
      <c r="G6535">
        <v>0.40687066330419402</v>
      </c>
      <c r="H6535">
        <v>0.41736992724787902</v>
      </c>
      <c r="I6535">
        <v>0.44537975707872801</v>
      </c>
      <c r="J6535">
        <v>0.48502596986898899</v>
      </c>
      <c r="K6535">
        <v>0.360675238039881</v>
      </c>
      <c r="L6535">
        <v>1578.4057843124799</v>
      </c>
      <c r="M6535">
        <v>31.971164165086599</v>
      </c>
      <c r="N6535">
        <v>52.438011987850203</v>
      </c>
      <c r="O6535">
        <v>49.177721095856803</v>
      </c>
      <c r="P6535">
        <v>-9.3780054290226497E-2</v>
      </c>
      <c r="Q6535">
        <v>0.42299679667808199</v>
      </c>
      <c r="R6535">
        <v>0.97044467612157703</v>
      </c>
      <c r="S6535" t="s">
        <v>13151</v>
      </c>
      <c r="T6535" t="s">
        <v>13232</v>
      </c>
      <c r="U6535" t="s">
        <v>13232</v>
      </c>
      <c r="V6535" t="s">
        <v>13232</v>
      </c>
      <c r="W6535" t="s">
        <v>19691</v>
      </c>
      <c r="X6535">
        <v>17</v>
      </c>
      <c r="Y6535" t="s">
        <v>26054</v>
      </c>
      <c r="Z6535" t="s">
        <v>32666</v>
      </c>
      <c r="AA6535">
        <v>0.60631164809745142</v>
      </c>
      <c r="AB6535" t="str">
        <f>HYPERLINK("Melting_Curves/meltCurve_Q9Y5B6_PAXBP1.pdf", "Melting_Curves/meltCurve_Q9Y5B6_PAXBP1.pdf")</f>
        <v>Melting_Curves/meltCurve_Q9Y5B6_PAXBP1.pdf</v>
      </c>
    </row>
    <row r="6536" spans="1:28" x14ac:dyDescent="0.25">
      <c r="A6536" t="s">
        <v>6539</v>
      </c>
      <c r="B6536">
        <v>0.99930955844802105</v>
      </c>
      <c r="C6536">
        <v>0.95572350892092695</v>
      </c>
      <c r="D6536">
        <v>0.69438547622867797</v>
      </c>
      <c r="E6536">
        <v>0.53949349540441005</v>
      </c>
      <c r="F6536">
        <v>0.33360830570341199</v>
      </c>
      <c r="G6536">
        <v>0.183617615149788</v>
      </c>
      <c r="H6536">
        <v>0.119217070226839</v>
      </c>
      <c r="I6536">
        <v>8.1950317605387596E-2</v>
      </c>
      <c r="J6536">
        <v>6.4341823406991003E-2</v>
      </c>
      <c r="K6536">
        <v>5.2508241555100803E-2</v>
      </c>
      <c r="L6536">
        <v>670.82453677412298</v>
      </c>
      <c r="M6536">
        <v>13.454300525561999</v>
      </c>
      <c r="N6536">
        <v>50.1413771606884</v>
      </c>
      <c r="O6536">
        <v>48.796660596773101</v>
      </c>
      <c r="P6536">
        <v>-6.6429954031768698E-2</v>
      </c>
      <c r="Q6536">
        <v>3.64243560656115E-2</v>
      </c>
      <c r="R6536">
        <v>0.99203771795797202</v>
      </c>
      <c r="S6536" t="s">
        <v>13152</v>
      </c>
      <c r="T6536" t="s">
        <v>13232</v>
      </c>
      <c r="U6536" t="s">
        <v>13232</v>
      </c>
      <c r="V6536" t="s">
        <v>13232</v>
      </c>
      <c r="W6536" t="s">
        <v>19692</v>
      </c>
      <c r="X6536">
        <v>5</v>
      </c>
      <c r="Y6536" t="s">
        <v>26055</v>
      </c>
      <c r="Z6536" t="s">
        <v>32667</v>
      </c>
      <c r="AA6536">
        <v>0.38099599577666837</v>
      </c>
      <c r="AB6536" t="str">
        <f>HYPERLINK("Melting_Curves/meltCurve_Q9Y5B8_NME7.pdf", "Melting_Curves/meltCurve_Q9Y5B8_NME7.pdf")</f>
        <v>Melting_Curves/meltCurve_Q9Y5B8_NME7.pdf</v>
      </c>
    </row>
    <row r="6537" spans="1:28" x14ac:dyDescent="0.25">
      <c r="A6537" t="s">
        <v>6540</v>
      </c>
      <c r="B6537">
        <v>0.99930955844802105</v>
      </c>
      <c r="C6537">
        <v>1.13959947631015</v>
      </c>
      <c r="D6537">
        <v>1.09916834691109</v>
      </c>
      <c r="E6537">
        <v>0.90758806910741097</v>
      </c>
      <c r="F6537">
        <v>0.31054584862260998</v>
      </c>
      <c r="G6537">
        <v>0.21119228146892</v>
      </c>
      <c r="H6537">
        <v>0.13365370398399901</v>
      </c>
      <c r="I6537">
        <v>0.100221228690227</v>
      </c>
      <c r="J6537">
        <v>9.6963112438596094E-2</v>
      </c>
      <c r="K6537">
        <v>7.3176123330922202E-2</v>
      </c>
      <c r="L6537">
        <v>2961.0646417378798</v>
      </c>
      <c r="M6537">
        <v>57.1257233778977</v>
      </c>
      <c r="N6537">
        <v>52.087258803174201</v>
      </c>
      <c r="O6537">
        <v>51.770778570911602</v>
      </c>
      <c r="P6537">
        <v>-0.24242848056338001</v>
      </c>
      <c r="Q6537">
        <v>0.121187334963218</v>
      </c>
      <c r="R6537">
        <v>0.97928165522428301</v>
      </c>
      <c r="S6537" t="s">
        <v>13153</v>
      </c>
      <c r="T6537" t="s">
        <v>13232</v>
      </c>
      <c r="U6537" t="s">
        <v>13232</v>
      </c>
      <c r="V6537" t="s">
        <v>13232</v>
      </c>
      <c r="W6537" t="s">
        <v>19693</v>
      </c>
      <c r="X6537">
        <v>23</v>
      </c>
      <c r="Y6537" t="s">
        <v>26056</v>
      </c>
      <c r="Z6537" t="s">
        <v>32668</v>
      </c>
      <c r="AA6537">
        <v>0.46939199608173338</v>
      </c>
      <c r="AB6537" t="str">
        <f>HYPERLINK("Melting_Curves/meltCurve_Q9Y5B9_SUPT16H.pdf", "Melting_Curves/meltCurve_Q9Y5B9_SUPT16H.pdf")</f>
        <v>Melting_Curves/meltCurve_Q9Y5B9_SUPT16H.pdf</v>
      </c>
    </row>
    <row r="6538" spans="1:28" x14ac:dyDescent="0.25">
      <c r="A6538" t="s">
        <v>6541</v>
      </c>
      <c r="B6538">
        <v>0.99930955844802105</v>
      </c>
      <c r="C6538">
        <v>1.4363580741267299</v>
      </c>
      <c r="D6538">
        <v>1.35107854099189</v>
      </c>
      <c r="E6538">
        <v>1.3906828497883801</v>
      </c>
      <c r="F6538">
        <v>1.5036594910572001</v>
      </c>
      <c r="G6538">
        <v>1.5497058444514999</v>
      </c>
      <c r="H6538">
        <v>1.5093585566316099</v>
      </c>
      <c r="I6538">
        <v>1.7083698901564099</v>
      </c>
      <c r="J6538">
        <v>1.6422076270213199</v>
      </c>
      <c r="K6538">
        <v>1.3565510197094801</v>
      </c>
      <c r="L6538">
        <v>3949.0451855149499</v>
      </c>
      <c r="M6538">
        <v>93.963814229272302</v>
      </c>
      <c r="O6538">
        <v>42.008272107321602</v>
      </c>
      <c r="P6538">
        <v>0.27959916150061598</v>
      </c>
      <c r="Q6538">
        <v>1.5</v>
      </c>
      <c r="R6538">
        <v>0.64968094883896499</v>
      </c>
      <c r="S6538" t="s">
        <v>13154</v>
      </c>
      <c r="T6538" t="s">
        <v>13232</v>
      </c>
      <c r="U6538" t="s">
        <v>13232</v>
      </c>
      <c r="V6538" t="s">
        <v>13232</v>
      </c>
      <c r="W6538" t="s">
        <v>19694</v>
      </c>
      <c r="X6538">
        <v>4</v>
      </c>
      <c r="Y6538" t="s">
        <v>26057</v>
      </c>
      <c r="Z6538" t="s">
        <v>32669</v>
      </c>
      <c r="AA6538">
        <v>1.465893968882841</v>
      </c>
      <c r="AB6538" t="str">
        <f>HYPERLINK("Melting_Curves/meltCurve_Q9Y5J1_UTP18.pdf", "Melting_Curves/meltCurve_Q9Y5J1_UTP18.pdf")</f>
        <v>Melting_Curves/meltCurve_Q9Y5J1_UTP18.pdf</v>
      </c>
    </row>
    <row r="6539" spans="1:28" x14ac:dyDescent="0.25">
      <c r="A6539" t="s">
        <v>6542</v>
      </c>
      <c r="B6539">
        <v>0.99930955844802105</v>
      </c>
      <c r="C6539">
        <v>0.82569818165207798</v>
      </c>
      <c r="D6539">
        <v>0.79021754242780395</v>
      </c>
      <c r="E6539">
        <v>0.61732918253455005</v>
      </c>
      <c r="F6539">
        <v>0.438312992163916</v>
      </c>
      <c r="G6539">
        <v>0.38375121902016102</v>
      </c>
      <c r="H6539">
        <v>0.31296537977175898</v>
      </c>
      <c r="I6539">
        <v>0.25083066011797001</v>
      </c>
      <c r="J6539">
        <v>0.14506667045841701</v>
      </c>
      <c r="K6539">
        <v>0.121017011549426</v>
      </c>
      <c r="L6539">
        <v>432.54097811542601</v>
      </c>
      <c r="M6539">
        <v>8.2460113625422995</v>
      </c>
      <c r="N6539">
        <v>52.9596282839276</v>
      </c>
      <c r="O6539">
        <v>49.6408894383164</v>
      </c>
      <c r="P6539">
        <v>-3.9998331404302902E-2</v>
      </c>
      <c r="Q6539">
        <v>3.7813704674302603E-2</v>
      </c>
      <c r="R6539">
        <v>0.98141318143462097</v>
      </c>
      <c r="S6539" t="s">
        <v>13155</v>
      </c>
      <c r="T6539" t="s">
        <v>13232</v>
      </c>
      <c r="U6539" t="s">
        <v>13232</v>
      </c>
      <c r="V6539" t="s">
        <v>13232</v>
      </c>
      <c r="W6539" t="s">
        <v>19695</v>
      </c>
      <c r="X6539">
        <v>1</v>
      </c>
      <c r="Y6539" t="s">
        <v>26058</v>
      </c>
      <c r="Z6539" t="s">
        <v>32670</v>
      </c>
      <c r="AA6539">
        <v>0.47881610344555131</v>
      </c>
      <c r="AB6539" t="str">
        <f>HYPERLINK("Melting_Curves/meltCurve_Q9Y5J6_TIMM10B.pdf", "Melting_Curves/meltCurve_Q9Y5J6_TIMM10B.pdf")</f>
        <v>Melting_Curves/meltCurve_Q9Y5J6_TIMM10B.pdf</v>
      </c>
    </row>
    <row r="6540" spans="1:28" x14ac:dyDescent="0.25">
      <c r="A6540" t="s">
        <v>6543</v>
      </c>
      <c r="B6540">
        <v>0.99930955844802105</v>
      </c>
      <c r="C6540">
        <v>0.97685236483726401</v>
      </c>
      <c r="D6540">
        <v>0.92430214479777795</v>
      </c>
      <c r="E6540">
        <v>0.870035772373842</v>
      </c>
      <c r="F6540">
        <v>0.77690412214809801</v>
      </c>
      <c r="G6540">
        <v>0.70597604711498696</v>
      </c>
      <c r="H6540">
        <v>0.5848372331178</v>
      </c>
      <c r="I6540">
        <v>0.50858839307170001</v>
      </c>
      <c r="J6540">
        <v>0.38784315264292002</v>
      </c>
      <c r="K6540">
        <v>0.27632155231636102</v>
      </c>
      <c r="L6540">
        <v>477.110607569781</v>
      </c>
      <c r="M6540">
        <v>7.5635496844750598</v>
      </c>
      <c r="N6540">
        <v>63.0802495664555</v>
      </c>
      <c r="O6540">
        <v>59.123235751639498</v>
      </c>
      <c r="P6540">
        <v>-3.2026714026370501E-2</v>
      </c>
      <c r="Q6540">
        <v>0</v>
      </c>
      <c r="R6540">
        <v>0.99044766617692204</v>
      </c>
      <c r="S6540" t="s">
        <v>13156</v>
      </c>
      <c r="T6540" t="s">
        <v>13232</v>
      </c>
      <c r="U6540" t="s">
        <v>13232</v>
      </c>
      <c r="V6540" t="s">
        <v>13232</v>
      </c>
      <c r="W6540" t="s">
        <v>19696</v>
      </c>
      <c r="X6540">
        <v>6</v>
      </c>
      <c r="Y6540" t="s">
        <v>26059</v>
      </c>
      <c r="Z6540" t="s">
        <v>32671</v>
      </c>
      <c r="AA6540">
        <v>0.71452597003471729</v>
      </c>
      <c r="AB6540" t="str">
        <f>HYPERLINK("Melting_Curves/meltCurve_Q9Y5J7_TIMM9.pdf", "Melting_Curves/meltCurve_Q9Y5J7_TIMM9.pdf")</f>
        <v>Melting_Curves/meltCurve_Q9Y5J7_TIMM9.pdf</v>
      </c>
    </row>
    <row r="6541" spans="1:28" x14ac:dyDescent="0.25">
      <c r="A6541" t="s">
        <v>6544</v>
      </c>
      <c r="B6541">
        <v>0.99930955844802105</v>
      </c>
      <c r="C6541">
        <v>1.14075045127081</v>
      </c>
      <c r="D6541">
        <v>1.0631875045563901</v>
      </c>
      <c r="E6541">
        <v>1.02697374897515</v>
      </c>
      <c r="F6541">
        <v>0.91085050400463197</v>
      </c>
      <c r="G6541">
        <v>0.70759522548498799</v>
      </c>
      <c r="H6541">
        <v>0.57092948441454805</v>
      </c>
      <c r="I6541">
        <v>0.57383219462132196</v>
      </c>
      <c r="J6541">
        <v>0.53574367418063995</v>
      </c>
      <c r="K6541">
        <v>0.47618194574641898</v>
      </c>
      <c r="L6541">
        <v>1528.8462007467799</v>
      </c>
      <c r="M6541">
        <v>27.209207425805701</v>
      </c>
      <c r="O6541">
        <v>55.887669723529697</v>
      </c>
      <c r="P6541">
        <v>-5.8533767496828398E-2</v>
      </c>
      <c r="Q6541">
        <v>0.51909142532733499</v>
      </c>
      <c r="R6541">
        <v>0.94862351695711999</v>
      </c>
      <c r="S6541" t="s">
        <v>13157</v>
      </c>
      <c r="T6541" t="s">
        <v>13232</v>
      </c>
      <c r="U6541" t="s">
        <v>13232</v>
      </c>
      <c r="V6541" t="s">
        <v>13232</v>
      </c>
      <c r="W6541" t="s">
        <v>19697</v>
      </c>
      <c r="X6541">
        <v>4</v>
      </c>
      <c r="Y6541" t="s">
        <v>26060</v>
      </c>
      <c r="Z6541" t="s">
        <v>32672</v>
      </c>
      <c r="AA6541">
        <v>0.78241506045171083</v>
      </c>
      <c r="AB6541" t="str">
        <f>HYPERLINK("Melting_Curves/meltCurve_Q9Y5J9_TIMM8B.pdf", "Melting_Curves/meltCurve_Q9Y5J9_TIMM8B.pdf")</f>
        <v>Melting_Curves/meltCurve_Q9Y5J9_TIMM8B.pdf</v>
      </c>
    </row>
    <row r="6542" spans="1:28" x14ac:dyDescent="0.25">
      <c r="A6542" t="s">
        <v>6545</v>
      </c>
      <c r="B6542">
        <v>0.99930955844802105</v>
      </c>
      <c r="C6542">
        <v>1.9921441139465399</v>
      </c>
      <c r="D6542">
        <v>1.48916065872185</v>
      </c>
      <c r="E6542">
        <v>0.73684163455126594</v>
      </c>
      <c r="F6542">
        <v>0.27778852605941801</v>
      </c>
      <c r="G6542">
        <v>0.20844430587919599</v>
      </c>
      <c r="H6542">
        <v>0.112290873178294</v>
      </c>
      <c r="I6542">
        <v>8.5523763300045699E-2</v>
      </c>
      <c r="J6542">
        <v>8.9941052278052297E-2</v>
      </c>
      <c r="K6542">
        <v>5.39128142631378E-2</v>
      </c>
      <c r="L6542">
        <v>2376.4030688973999</v>
      </c>
      <c r="M6542">
        <v>46.468711953428901</v>
      </c>
      <c r="N6542">
        <v>51.4166841108363</v>
      </c>
      <c r="O6542">
        <v>51.045401183090199</v>
      </c>
      <c r="P6542">
        <v>-0.20239589720381401</v>
      </c>
      <c r="Q6542">
        <v>0.11068160444096101</v>
      </c>
      <c r="R6542">
        <v>0.70582837215629701</v>
      </c>
      <c r="S6542" t="s">
        <v>13158</v>
      </c>
      <c r="T6542" t="s">
        <v>13232</v>
      </c>
      <c r="U6542" t="s">
        <v>13232</v>
      </c>
      <c r="V6542" t="s">
        <v>13232</v>
      </c>
      <c r="W6542" t="s">
        <v>19698</v>
      </c>
      <c r="X6542">
        <v>20</v>
      </c>
      <c r="Y6542" t="s">
        <v>23239</v>
      </c>
      <c r="Z6542" t="s">
        <v>32673</v>
      </c>
      <c r="AA6542">
        <v>0.44323528454901778</v>
      </c>
      <c r="AB6542" t="str">
        <f>HYPERLINK("Melting_Curves/meltCurve_Q9Y5K5_2_UCHL5.pdf", "Melting_Curves/meltCurve_Q9Y5K5_2_UCHL5.pdf")</f>
        <v>Melting_Curves/meltCurve_Q9Y5K5_2_UCHL5.pdf</v>
      </c>
    </row>
    <row r="6543" spans="1:28" x14ac:dyDescent="0.25">
      <c r="A6543" t="s">
        <v>6546</v>
      </c>
      <c r="B6543">
        <v>0.99930955844802105</v>
      </c>
      <c r="C6543">
        <v>1.01264979340651</v>
      </c>
      <c r="D6543">
        <v>0.95567745920696501</v>
      </c>
      <c r="E6543">
        <v>0.93672655826294204</v>
      </c>
      <c r="F6543">
        <v>0.81121586693024605</v>
      </c>
      <c r="G6543">
        <v>0.71310386305093099</v>
      </c>
      <c r="H6543">
        <v>0.68112701685174004</v>
      </c>
      <c r="I6543">
        <v>0.73548031610245801</v>
      </c>
      <c r="J6543">
        <v>0.68526394659513701</v>
      </c>
      <c r="K6543">
        <v>0.561739857470969</v>
      </c>
      <c r="L6543">
        <v>814.361575511149</v>
      </c>
      <c r="M6543">
        <v>15.2290057338324</v>
      </c>
      <c r="O6543">
        <v>52.577766591820001</v>
      </c>
      <c r="P6543">
        <v>-2.64619128234399E-2</v>
      </c>
      <c r="Q6543">
        <v>0.63459843321363996</v>
      </c>
      <c r="R6543">
        <v>0.92840017164232602</v>
      </c>
      <c r="S6543" t="s">
        <v>13159</v>
      </c>
      <c r="T6543" t="s">
        <v>13232</v>
      </c>
      <c r="U6543" t="s">
        <v>13232</v>
      </c>
      <c r="V6543" t="s">
        <v>13232</v>
      </c>
      <c r="W6543" t="s">
        <v>19699</v>
      </c>
      <c r="X6543">
        <v>34</v>
      </c>
      <c r="Y6543" t="s">
        <v>26061</v>
      </c>
      <c r="Z6543" t="s">
        <v>32674</v>
      </c>
      <c r="AA6543">
        <v>0.80626169646161805</v>
      </c>
      <c r="AB6543" t="str">
        <f>HYPERLINK("Melting_Curves/meltCurve_Q9Y5K6_CD2AP.pdf", "Melting_Curves/meltCurve_Q9Y5K6_CD2AP.pdf")</f>
        <v>Melting_Curves/meltCurve_Q9Y5K6_CD2AP.pdf</v>
      </c>
    </row>
    <row r="6544" spans="1:28" x14ac:dyDescent="0.25">
      <c r="A6544" t="s">
        <v>6547</v>
      </c>
      <c r="B6544">
        <v>0.99930955844802105</v>
      </c>
      <c r="C6544">
        <v>0.87978577791449897</v>
      </c>
      <c r="D6544">
        <v>0.86397775564104595</v>
      </c>
      <c r="E6544">
        <v>0.88277705420957497</v>
      </c>
      <c r="F6544">
        <v>0.86680766566631395</v>
      </c>
      <c r="G6544">
        <v>0.66818464129189203</v>
      </c>
      <c r="H6544">
        <v>0.37666550866500498</v>
      </c>
      <c r="I6544">
        <v>0.27384647623810698</v>
      </c>
      <c r="J6544">
        <v>0.20402597552451199</v>
      </c>
      <c r="K6544">
        <v>0.134125355369247</v>
      </c>
      <c r="L6544">
        <v>737.80386994461605</v>
      </c>
      <c r="M6544">
        <v>12.428310239903301</v>
      </c>
      <c r="N6544">
        <v>59.364777388738098</v>
      </c>
      <c r="O6544">
        <v>57.8906692377819</v>
      </c>
      <c r="P6544">
        <v>-5.3682762608235797E-2</v>
      </c>
      <c r="Q6544">
        <v>0</v>
      </c>
      <c r="R6544">
        <v>0.96808670837232902</v>
      </c>
      <c r="S6544" t="s">
        <v>13160</v>
      </c>
      <c r="T6544" t="s">
        <v>13232</v>
      </c>
      <c r="U6544" t="s">
        <v>13232</v>
      </c>
      <c r="V6544" t="s">
        <v>13232</v>
      </c>
      <c r="W6544" t="s">
        <v>19700</v>
      </c>
      <c r="X6544">
        <v>16</v>
      </c>
      <c r="Y6544" t="s">
        <v>26062</v>
      </c>
      <c r="Z6544" t="s">
        <v>32675</v>
      </c>
      <c r="AA6544">
        <v>0.65220778980004634</v>
      </c>
      <c r="AB6544" t="str">
        <f>HYPERLINK("Melting_Curves/meltCurve_Q9Y5K8_ATP6V1D.pdf", "Melting_Curves/meltCurve_Q9Y5K8_ATP6V1D.pdf")</f>
        <v>Melting_Curves/meltCurve_Q9Y5K8_ATP6V1D.pdf</v>
      </c>
    </row>
    <row r="6545" spans="1:28" x14ac:dyDescent="0.25">
      <c r="A6545" t="s">
        <v>6548</v>
      </c>
      <c r="B6545">
        <v>0.99930955844802105</v>
      </c>
      <c r="C6545">
        <v>0.93732174171721405</v>
      </c>
      <c r="D6545">
        <v>0.85090603631579098</v>
      </c>
      <c r="E6545">
        <v>0.92481286095487303</v>
      </c>
      <c r="F6545">
        <v>0.61693210377192198</v>
      </c>
      <c r="G6545">
        <v>0.21894462378517801</v>
      </c>
      <c r="H6545">
        <v>0.10482209160492501</v>
      </c>
      <c r="I6545">
        <v>6.8019742135681502E-2</v>
      </c>
      <c r="J6545">
        <v>5.7172673953329901E-2</v>
      </c>
      <c r="K6545">
        <v>4.4544420042961302E-2</v>
      </c>
      <c r="L6545">
        <v>1423.4000856382299</v>
      </c>
      <c r="M6545">
        <v>26.444373919909001</v>
      </c>
      <c r="N6545">
        <v>54.047348844154499</v>
      </c>
      <c r="O6545">
        <v>53.521216837042402</v>
      </c>
      <c r="P6545">
        <v>-0.117190056786857</v>
      </c>
      <c r="Q6545">
        <v>5.12784393156007E-2</v>
      </c>
      <c r="R6545">
        <v>0.98439819168641696</v>
      </c>
      <c r="S6545" t="s">
        <v>13161</v>
      </c>
      <c r="T6545" t="s">
        <v>13232</v>
      </c>
      <c r="U6545" t="s">
        <v>13232</v>
      </c>
      <c r="V6545" t="s">
        <v>13232</v>
      </c>
      <c r="W6545" t="s">
        <v>19701</v>
      </c>
      <c r="X6545">
        <v>34</v>
      </c>
      <c r="Y6545" t="s">
        <v>26063</v>
      </c>
      <c r="Z6545" t="s">
        <v>32676</v>
      </c>
      <c r="AA6545">
        <v>0.49642671451515619</v>
      </c>
      <c r="AB6545" t="str">
        <f>HYPERLINK("Melting_Curves/meltCurve_Q9Y5L0_TNPO3.pdf", "Melting_Curves/meltCurve_Q9Y5L0_TNPO3.pdf")</f>
        <v>Melting_Curves/meltCurve_Q9Y5L0_TNPO3.pdf</v>
      </c>
    </row>
    <row r="6546" spans="1:28" x14ac:dyDescent="0.25">
      <c r="A6546" t="s">
        <v>6549</v>
      </c>
      <c r="B6546">
        <v>0.99930955844802105</v>
      </c>
      <c r="C6546">
        <v>1.0735580051425799</v>
      </c>
      <c r="D6546">
        <v>1.0219034574804899</v>
      </c>
      <c r="E6546">
        <v>0.98520137880078096</v>
      </c>
      <c r="F6546">
        <v>0.77487596114175294</v>
      </c>
      <c r="G6546">
        <v>0.49251160549594503</v>
      </c>
      <c r="H6546">
        <v>0.32648949988974002</v>
      </c>
      <c r="I6546">
        <v>0.28545096291734301</v>
      </c>
      <c r="J6546">
        <v>0.26769722878785501</v>
      </c>
      <c r="K6546">
        <v>0.21454982439301701</v>
      </c>
      <c r="L6546">
        <v>1321.66891811042</v>
      </c>
      <c r="M6546">
        <v>23.9109351648207</v>
      </c>
      <c r="N6546">
        <v>56.861775884181597</v>
      </c>
      <c r="O6546">
        <v>54.892380769651602</v>
      </c>
      <c r="P6546">
        <v>-8.2385838933458799E-2</v>
      </c>
      <c r="Q6546">
        <v>0.24347858337755701</v>
      </c>
      <c r="R6546">
        <v>0.99116779238329</v>
      </c>
      <c r="S6546" t="s">
        <v>13162</v>
      </c>
      <c r="T6546" t="s">
        <v>13232</v>
      </c>
      <c r="U6546" t="s">
        <v>13232</v>
      </c>
      <c r="V6546" t="s">
        <v>13232</v>
      </c>
      <c r="W6546" t="s">
        <v>19702</v>
      </c>
      <c r="X6546">
        <v>6</v>
      </c>
      <c r="Y6546" t="s">
        <v>26064</v>
      </c>
      <c r="Z6546" t="s">
        <v>32677</v>
      </c>
      <c r="AA6546">
        <v>0.63620774727416984</v>
      </c>
      <c r="AB6546" t="str">
        <f>HYPERLINK("Melting_Curves/meltCurve_Q9Y5L4_TIMM13.pdf", "Melting_Curves/meltCurve_Q9Y5L4_TIMM13.pdf")</f>
        <v>Melting_Curves/meltCurve_Q9Y5L4_TIMM13.pdf</v>
      </c>
    </row>
    <row r="6547" spans="1:28" x14ac:dyDescent="0.25">
      <c r="A6547" t="s">
        <v>6550</v>
      </c>
      <c r="B6547">
        <v>0.99930955844802105</v>
      </c>
      <c r="C6547">
        <v>0.79956645316097597</v>
      </c>
      <c r="D6547">
        <v>0.59292508091049101</v>
      </c>
      <c r="E6547">
        <v>0.74753529288674703</v>
      </c>
      <c r="F6547">
        <v>0.37320730057481</v>
      </c>
      <c r="G6547">
        <v>0.14449095045346899</v>
      </c>
      <c r="H6547">
        <v>8.6616308396323893E-2</v>
      </c>
      <c r="I6547">
        <v>8.58294350385575E-2</v>
      </c>
      <c r="J6547">
        <v>8.4768494261974206E-2</v>
      </c>
      <c r="K6547">
        <v>6.1806410238553502E-2</v>
      </c>
      <c r="L6547">
        <v>533.385649164244</v>
      </c>
      <c r="M6547">
        <v>10.560430355846499</v>
      </c>
      <c r="N6547">
        <v>50.507946279118897</v>
      </c>
      <c r="O6547">
        <v>48.797717033827197</v>
      </c>
      <c r="P6547">
        <v>-5.4124450094568899E-2</v>
      </c>
      <c r="Q6547">
        <v>0</v>
      </c>
      <c r="R6547">
        <v>0.92329294081834901</v>
      </c>
      <c r="S6547" t="s">
        <v>13163</v>
      </c>
      <c r="T6547" t="s">
        <v>13232</v>
      </c>
      <c r="U6547" t="s">
        <v>13232</v>
      </c>
      <c r="V6547" t="s">
        <v>13232</v>
      </c>
      <c r="W6547" t="s">
        <v>19703</v>
      </c>
      <c r="X6547">
        <v>7</v>
      </c>
      <c r="Y6547" t="s">
        <v>26065</v>
      </c>
      <c r="Z6547" t="s">
        <v>32678</v>
      </c>
      <c r="AA6547">
        <v>0.39059101494650578</v>
      </c>
      <c r="AB6547" t="str">
        <f>HYPERLINK("Melting_Curves/meltCurve_Q9Y5M8_SRPRB.pdf", "Melting_Curves/meltCurve_Q9Y5M8_SRPRB.pdf")</f>
        <v>Melting_Curves/meltCurve_Q9Y5M8_SRPRB.pdf</v>
      </c>
    </row>
    <row r="6548" spans="1:28" x14ac:dyDescent="0.25">
      <c r="A6548" t="s">
        <v>6551</v>
      </c>
      <c r="B6548">
        <v>0.99930955844802105</v>
      </c>
      <c r="C6548">
        <v>1.26339985628332</v>
      </c>
      <c r="D6548">
        <v>1.2403193524595599</v>
      </c>
      <c r="E6548">
        <v>0.94432270504711202</v>
      </c>
      <c r="F6548">
        <v>0.53631355048936502</v>
      </c>
      <c r="G6548">
        <v>0.23864469477479</v>
      </c>
      <c r="H6548">
        <v>0.15127707777834101</v>
      </c>
      <c r="I6548">
        <v>0.136168639762489</v>
      </c>
      <c r="J6548">
        <v>0.118339485403749</v>
      </c>
      <c r="K6548">
        <v>9.2782215490129202E-2</v>
      </c>
      <c r="L6548">
        <v>2072.1378503872002</v>
      </c>
      <c r="M6548">
        <v>39.134477579205999</v>
      </c>
      <c r="N6548">
        <v>53.373544503866299</v>
      </c>
      <c r="O6548">
        <v>52.811478448466502</v>
      </c>
      <c r="P6548">
        <v>-0.16048668197572</v>
      </c>
      <c r="Q6548">
        <v>0.133703180993889</v>
      </c>
      <c r="R6548">
        <v>0.93781204711560695</v>
      </c>
      <c r="S6548" t="s">
        <v>13164</v>
      </c>
      <c r="T6548" t="s">
        <v>13232</v>
      </c>
      <c r="U6548" t="s">
        <v>13232</v>
      </c>
      <c r="V6548" t="s">
        <v>13232</v>
      </c>
      <c r="W6548" t="s">
        <v>19704</v>
      </c>
      <c r="X6548">
        <v>6</v>
      </c>
      <c r="Y6548" t="s">
        <v>26066</v>
      </c>
      <c r="Z6548" t="s">
        <v>32679</v>
      </c>
      <c r="AA6548">
        <v>0.51093995187065355</v>
      </c>
      <c r="AB6548" t="str">
        <f>HYPERLINK("Melting_Curves/meltCurve_Q9Y5N5_N6AMT1.pdf", "Melting_Curves/meltCurve_Q9Y5N5_N6AMT1.pdf")</f>
        <v>Melting_Curves/meltCurve_Q9Y5N5_N6AMT1.pdf</v>
      </c>
    </row>
    <row r="6549" spans="1:28" x14ac:dyDescent="0.25">
      <c r="A6549" t="s">
        <v>6552</v>
      </c>
      <c r="B6549">
        <v>0.99930955844802105</v>
      </c>
      <c r="C6549">
        <v>0.97433310955033703</v>
      </c>
      <c r="D6549">
        <v>0.87368485469231505</v>
      </c>
      <c r="E6549">
        <v>0.58214273716992404</v>
      </c>
      <c r="F6549">
        <v>0.31863228402613902</v>
      </c>
      <c r="G6549">
        <v>0.21072216075771799</v>
      </c>
      <c r="H6549">
        <v>0.146560646345123</v>
      </c>
      <c r="I6549">
        <v>0.121083778952163</v>
      </c>
      <c r="J6549">
        <v>0.115905263303684</v>
      </c>
      <c r="K6549">
        <v>9.8135023308994901E-2</v>
      </c>
      <c r="L6549">
        <v>997.775826044626</v>
      </c>
      <c r="M6549">
        <v>19.877724790524599</v>
      </c>
      <c r="N6549">
        <v>50.838031899604999</v>
      </c>
      <c r="O6549">
        <v>49.695937751045697</v>
      </c>
      <c r="P6549">
        <v>-8.8894953298778806E-2</v>
      </c>
      <c r="Q6549">
        <v>0.11105108190548101</v>
      </c>
      <c r="R6549">
        <v>0.99877685329527499</v>
      </c>
      <c r="S6549" t="s">
        <v>13165</v>
      </c>
      <c r="T6549" t="s">
        <v>13232</v>
      </c>
      <c r="U6549" t="s">
        <v>13232</v>
      </c>
      <c r="V6549" t="s">
        <v>13232</v>
      </c>
      <c r="W6549" t="s">
        <v>19705</v>
      </c>
      <c r="X6549">
        <v>26</v>
      </c>
      <c r="Y6549" t="s">
        <v>26067</v>
      </c>
      <c r="Z6549" t="s">
        <v>32680</v>
      </c>
      <c r="AA6549">
        <v>0.42567984326482838</v>
      </c>
      <c r="AB6549" t="str">
        <f>HYPERLINK("Melting_Curves/meltCurve_Q9Y5P4_2_COL4A3BP.pdf", "Melting_Curves/meltCurve_Q9Y5P4_2_COL4A3BP.pdf")</f>
        <v>Melting_Curves/meltCurve_Q9Y5P4_2_COL4A3BP.pdf</v>
      </c>
    </row>
    <row r="6550" spans="1:28" x14ac:dyDescent="0.25">
      <c r="A6550" t="s">
        <v>6553</v>
      </c>
      <c r="B6550">
        <v>0.99930955844802105</v>
      </c>
      <c r="C6550">
        <v>0.84452754536196895</v>
      </c>
      <c r="D6550">
        <v>0.87445631566654303</v>
      </c>
      <c r="E6550">
        <v>0.82644459342021404</v>
      </c>
      <c r="F6550">
        <v>0.43246941537112499</v>
      </c>
      <c r="G6550">
        <v>0.183419817756412</v>
      </c>
      <c r="H6550">
        <v>9.9938695035835606E-2</v>
      </c>
      <c r="I6550">
        <v>8.4739821016076605E-2</v>
      </c>
      <c r="J6550">
        <v>7.9683584500202798E-2</v>
      </c>
      <c r="K6550">
        <v>6.14351624568997E-2</v>
      </c>
      <c r="L6550">
        <v>1213.4308413818401</v>
      </c>
      <c r="M6550">
        <v>23.192172435735099</v>
      </c>
      <c r="N6550">
        <v>52.638992688334298</v>
      </c>
      <c r="O6550">
        <v>51.936356247328902</v>
      </c>
      <c r="P6550">
        <v>-0.10433574206089501</v>
      </c>
      <c r="Q6550">
        <v>6.5422332267696698E-2</v>
      </c>
      <c r="R6550">
        <v>0.97454901226549395</v>
      </c>
      <c r="S6550" t="s">
        <v>13166</v>
      </c>
      <c r="T6550" t="s">
        <v>13232</v>
      </c>
      <c r="U6550" t="s">
        <v>13232</v>
      </c>
      <c r="V6550" t="s">
        <v>13232</v>
      </c>
      <c r="W6550" t="s">
        <v>19706</v>
      </c>
      <c r="X6550">
        <v>12</v>
      </c>
      <c r="Y6550" t="s">
        <v>26068</v>
      </c>
      <c r="Z6550" t="s">
        <v>32681</v>
      </c>
      <c r="AA6550">
        <v>0.45910671610433779</v>
      </c>
      <c r="AB6550" t="str">
        <f>HYPERLINK("Melting_Curves/meltCurve_Q9Y5P6_GMPPB.pdf", "Melting_Curves/meltCurve_Q9Y5P6_GMPPB.pdf")</f>
        <v>Melting_Curves/meltCurve_Q9Y5P6_GMPPB.pdf</v>
      </c>
    </row>
    <row r="6551" spans="1:28" x14ac:dyDescent="0.25">
      <c r="A6551" t="s">
        <v>6554</v>
      </c>
      <c r="B6551">
        <v>0.99930955844802105</v>
      </c>
      <c r="C6551">
        <v>0.69857176584643199</v>
      </c>
      <c r="D6551">
        <v>0.55495554626280996</v>
      </c>
      <c r="E6551">
        <v>0.47153565250038698</v>
      </c>
      <c r="F6551">
        <v>0.36598439128462301</v>
      </c>
      <c r="G6551">
        <v>0.23370774055926599</v>
      </c>
      <c r="H6551">
        <v>0.13526501081745601</v>
      </c>
      <c r="I6551">
        <v>0.12030797698239799</v>
      </c>
      <c r="J6551">
        <v>0.109599986698959</v>
      </c>
      <c r="K6551">
        <v>7.9935543362875797E-2</v>
      </c>
      <c r="L6551">
        <v>444.77107573564501</v>
      </c>
      <c r="M6551">
        <v>9.2256887296944701</v>
      </c>
      <c r="N6551">
        <v>48.6058820942431</v>
      </c>
      <c r="O6551">
        <v>46.107235033622402</v>
      </c>
      <c r="P6551">
        <v>-4.8244671337728098E-2</v>
      </c>
      <c r="Q6551">
        <v>3.6187439823564101E-2</v>
      </c>
      <c r="R6551">
        <v>0.96619098001039905</v>
      </c>
      <c r="S6551" t="s">
        <v>13167</v>
      </c>
      <c r="T6551" t="s">
        <v>13232</v>
      </c>
      <c r="U6551" t="s">
        <v>13232</v>
      </c>
      <c r="V6551" t="s">
        <v>13232</v>
      </c>
      <c r="W6551" t="s">
        <v>19707</v>
      </c>
      <c r="X6551">
        <v>17</v>
      </c>
      <c r="Y6551" t="s">
        <v>26069</v>
      </c>
      <c r="Z6551" t="s">
        <v>32682</v>
      </c>
      <c r="AA6551">
        <v>0.35655656935838392</v>
      </c>
      <c r="AB6551" t="str">
        <f>HYPERLINK("Melting_Curves/meltCurve_Q9Y5Q8_GTF3C5.pdf", "Melting_Curves/meltCurve_Q9Y5Q8_GTF3C5.pdf")</f>
        <v>Melting_Curves/meltCurve_Q9Y5Q8_GTF3C5.pdf</v>
      </c>
    </row>
    <row r="6552" spans="1:28" x14ac:dyDescent="0.25">
      <c r="A6552" t="s">
        <v>6555</v>
      </c>
      <c r="B6552">
        <v>0.99930955844802105</v>
      </c>
      <c r="C6552">
        <v>0.59117435149397801</v>
      </c>
      <c r="D6552">
        <v>0.39502245211679898</v>
      </c>
      <c r="E6552">
        <v>0.29992142077960698</v>
      </c>
      <c r="F6552">
        <v>0.21182753541139601</v>
      </c>
      <c r="G6552">
        <v>0.15178693375287899</v>
      </c>
      <c r="H6552">
        <v>0.11643142336175399</v>
      </c>
      <c r="I6552">
        <v>0.121193553431457</v>
      </c>
      <c r="J6552">
        <v>0.11508584136508</v>
      </c>
      <c r="K6552">
        <v>8.8881462399172204E-2</v>
      </c>
      <c r="L6552">
        <v>775.98997928215294</v>
      </c>
      <c r="M6552">
        <v>17.578574334062498</v>
      </c>
      <c r="N6552">
        <v>44.8981338281341</v>
      </c>
      <c r="O6552">
        <v>43.584674506719402</v>
      </c>
      <c r="P6552">
        <v>-8.7947115254180405E-2</v>
      </c>
      <c r="Q6552">
        <v>0.12781574669054699</v>
      </c>
      <c r="R6552">
        <v>0.95901770561119204</v>
      </c>
      <c r="S6552" t="s">
        <v>13168</v>
      </c>
      <c r="T6552" t="s">
        <v>13232</v>
      </c>
      <c r="U6552" t="s">
        <v>13232</v>
      </c>
      <c r="V6552" t="s">
        <v>13232</v>
      </c>
      <c r="W6552" t="s">
        <v>19708</v>
      </c>
      <c r="X6552">
        <v>16</v>
      </c>
      <c r="Y6552" t="s">
        <v>26070</v>
      </c>
      <c r="Z6552" t="s">
        <v>32683</v>
      </c>
      <c r="AA6552">
        <v>0.27045373823351437</v>
      </c>
      <c r="AB6552" t="str">
        <f>HYPERLINK("Melting_Curves/meltCurve_Q9Y5Q9_GTF3C3.pdf", "Melting_Curves/meltCurve_Q9Y5Q9_GTF3C3.pdf")</f>
        <v>Melting_Curves/meltCurve_Q9Y5Q9_GTF3C3.pdf</v>
      </c>
    </row>
    <row r="6553" spans="1:28" x14ac:dyDescent="0.25">
      <c r="A6553" t="s">
        <v>6556</v>
      </c>
      <c r="B6553">
        <v>0.99930955844802105</v>
      </c>
      <c r="C6553">
        <v>0.86724864576123295</v>
      </c>
      <c r="D6553">
        <v>0.77703018085155495</v>
      </c>
      <c r="E6553">
        <v>0.63220625515084405</v>
      </c>
      <c r="F6553">
        <v>0.43227295072391902</v>
      </c>
      <c r="G6553">
        <v>0.18959314664288801</v>
      </c>
      <c r="H6553">
        <v>7.7267430034016496E-2</v>
      </c>
      <c r="I6553">
        <v>6.4630608756500202E-2</v>
      </c>
      <c r="J6553">
        <v>4.2877971994625501E-2</v>
      </c>
      <c r="K6553">
        <v>3.95389202623629E-2</v>
      </c>
      <c r="L6553">
        <v>658.72869267465205</v>
      </c>
      <c r="M6553">
        <v>12.8293268534263</v>
      </c>
      <c r="N6553">
        <v>51.345538282324497</v>
      </c>
      <c r="O6553">
        <v>50.146005466479501</v>
      </c>
      <c r="P6553">
        <v>-6.3971760178234693E-2</v>
      </c>
      <c r="Q6553">
        <v>0</v>
      </c>
      <c r="R6553">
        <v>0.99127867895436805</v>
      </c>
      <c r="S6553" t="s">
        <v>13169</v>
      </c>
      <c r="T6553" t="s">
        <v>13232</v>
      </c>
      <c r="U6553" t="s">
        <v>13232</v>
      </c>
      <c r="V6553" t="s">
        <v>13232</v>
      </c>
      <c r="W6553" t="s">
        <v>19709</v>
      </c>
      <c r="X6553">
        <v>6</v>
      </c>
      <c r="Y6553" t="s">
        <v>20611</v>
      </c>
      <c r="Z6553" t="s">
        <v>32684</v>
      </c>
      <c r="AA6553">
        <v>0.40722557761586847</v>
      </c>
      <c r="AB6553" t="str">
        <f>HYPERLINK("Melting_Curves/meltCurve_Q9Y5R8_TRAPPC1.pdf", "Melting_Curves/meltCurve_Q9Y5R8_TRAPPC1.pdf")</f>
        <v>Melting_Curves/meltCurve_Q9Y5R8_TRAPPC1.pdf</v>
      </c>
    </row>
    <row r="6554" spans="1:28" x14ac:dyDescent="0.25">
      <c r="A6554" t="s">
        <v>6557</v>
      </c>
      <c r="B6554">
        <v>0.99930955844802105</v>
      </c>
      <c r="C6554">
        <v>1.0299348278068601</v>
      </c>
      <c r="D6554">
        <v>1.02258253835701</v>
      </c>
      <c r="E6554">
        <v>1.0987196243386399</v>
      </c>
      <c r="F6554">
        <v>0.93254594405018199</v>
      </c>
      <c r="G6554">
        <v>0.76641002479949105</v>
      </c>
      <c r="H6554">
        <v>0.71642930382064596</v>
      </c>
      <c r="I6554">
        <v>0.72388172053378497</v>
      </c>
      <c r="J6554">
        <v>0.69870255742015297</v>
      </c>
      <c r="K6554">
        <v>0.60800241644007802</v>
      </c>
      <c r="L6554">
        <v>2022.2330527896099</v>
      </c>
      <c r="M6554">
        <v>36.452866241357597</v>
      </c>
      <c r="O6554">
        <v>55.309131523184803</v>
      </c>
      <c r="P6554">
        <v>-5.2378140654407698E-2</v>
      </c>
      <c r="Q6554">
        <v>0.68211220116594795</v>
      </c>
      <c r="R6554">
        <v>0.92518573211823696</v>
      </c>
      <c r="S6554" t="s">
        <v>13170</v>
      </c>
      <c r="T6554" t="s">
        <v>13232</v>
      </c>
      <c r="U6554" t="s">
        <v>13232</v>
      </c>
      <c r="V6554" t="s">
        <v>13232</v>
      </c>
      <c r="W6554" t="s">
        <v>19710</v>
      </c>
      <c r="X6554">
        <v>6</v>
      </c>
      <c r="Y6554" t="s">
        <v>26071</v>
      </c>
      <c r="Z6554" t="s">
        <v>32685</v>
      </c>
      <c r="AA6554">
        <v>0.84754882462321179</v>
      </c>
      <c r="AB6554" t="str">
        <f>HYPERLINK("Melting_Curves/meltCurve_Q9Y5S1_TRPV2.pdf", "Melting_Curves/meltCurve_Q9Y5S1_TRPV2.pdf")</f>
        <v>Melting_Curves/meltCurve_Q9Y5S1_TRPV2.pdf</v>
      </c>
    </row>
    <row r="6555" spans="1:28" x14ac:dyDescent="0.25">
      <c r="A6555" t="s">
        <v>6558</v>
      </c>
      <c r="B6555">
        <v>0.99930955844802105</v>
      </c>
      <c r="C6555">
        <v>0.82217768997885898</v>
      </c>
      <c r="D6555">
        <v>0.75719548662138803</v>
      </c>
      <c r="E6555">
        <v>0.54052191839456198</v>
      </c>
      <c r="F6555">
        <v>0.33371148124351702</v>
      </c>
      <c r="G6555">
        <v>0.22771920985659999</v>
      </c>
      <c r="H6555">
        <v>0.15753302234399399</v>
      </c>
      <c r="I6555">
        <v>0.12885671553578601</v>
      </c>
      <c r="J6555">
        <v>0.11459630985971</v>
      </c>
      <c r="K6555">
        <v>8.4587081182030094E-2</v>
      </c>
      <c r="L6555">
        <v>603.07775888012395</v>
      </c>
      <c r="M6555">
        <v>12.1487875650948</v>
      </c>
      <c r="N6555">
        <v>50.236809299265502</v>
      </c>
      <c r="O6555">
        <v>48.353408197699501</v>
      </c>
      <c r="P6555">
        <v>-5.8611558278522803E-2</v>
      </c>
      <c r="Q6555">
        <v>6.7094591502872294E-2</v>
      </c>
      <c r="R6555">
        <v>0.99275446431724901</v>
      </c>
      <c r="S6555" t="s">
        <v>13171</v>
      </c>
      <c r="T6555" t="s">
        <v>13232</v>
      </c>
      <c r="U6555" t="s">
        <v>13232</v>
      </c>
      <c r="V6555" t="s">
        <v>13232</v>
      </c>
      <c r="W6555" t="s">
        <v>19711</v>
      </c>
      <c r="X6555">
        <v>17</v>
      </c>
      <c r="Y6555" t="s">
        <v>26072</v>
      </c>
      <c r="Z6555" t="s">
        <v>32686</v>
      </c>
      <c r="AA6555">
        <v>0.39923528534514929</v>
      </c>
      <c r="AB6555" t="str">
        <f>HYPERLINK("Melting_Curves/meltCurve_Q9Y5S2_CDC42BPB.pdf", "Melting_Curves/meltCurve_Q9Y5S2_CDC42BPB.pdf")</f>
        <v>Melting_Curves/meltCurve_Q9Y5S2_CDC42BPB.pdf</v>
      </c>
    </row>
    <row r="6556" spans="1:28" x14ac:dyDescent="0.25">
      <c r="A6556" t="s">
        <v>6559</v>
      </c>
      <c r="B6556">
        <v>0.99930955844802105</v>
      </c>
      <c r="C6556">
        <v>1.1817684678464799</v>
      </c>
      <c r="D6556">
        <v>1.2666016585764299</v>
      </c>
      <c r="E6556">
        <v>1.18735064497827</v>
      </c>
      <c r="F6556">
        <v>0.68817385334498904</v>
      </c>
      <c r="G6556">
        <v>0.41968792202237798</v>
      </c>
      <c r="H6556">
        <v>0.27200517133839502</v>
      </c>
      <c r="I6556">
        <v>0.247481270401367</v>
      </c>
      <c r="J6556">
        <v>0.25828730722649101</v>
      </c>
      <c r="K6556">
        <v>0.25239760924726001</v>
      </c>
      <c r="L6556">
        <v>13262.9592845848</v>
      </c>
      <c r="M6556">
        <v>250</v>
      </c>
      <c r="N6556">
        <v>53.236549486747499</v>
      </c>
      <c r="O6556">
        <v>53.048442188180701</v>
      </c>
      <c r="P6556">
        <v>-0.83653276260692799</v>
      </c>
      <c r="Q6556">
        <v>0.28997184270939302</v>
      </c>
      <c r="R6556">
        <v>0.90756028133240196</v>
      </c>
      <c r="S6556" t="s">
        <v>13172</v>
      </c>
      <c r="T6556" t="s">
        <v>13232</v>
      </c>
      <c r="U6556" t="s">
        <v>13232</v>
      </c>
      <c r="V6556" t="s">
        <v>13232</v>
      </c>
      <c r="W6556" t="s">
        <v>19712</v>
      </c>
      <c r="X6556">
        <v>6</v>
      </c>
      <c r="Y6556" t="s">
        <v>26073</v>
      </c>
      <c r="Z6556" t="s">
        <v>32687</v>
      </c>
      <c r="AA6556">
        <v>0.59894367907282564</v>
      </c>
      <c r="AB6556" t="str">
        <f>HYPERLINK("Melting_Curves/meltCurve_Q9Y5S9_RBM8A.pdf", "Melting_Curves/meltCurve_Q9Y5S9_RBM8A.pdf")</f>
        <v>Melting_Curves/meltCurve_Q9Y5S9_RBM8A.pdf</v>
      </c>
    </row>
    <row r="6557" spans="1:28" x14ac:dyDescent="0.25">
      <c r="A6557" t="s">
        <v>6560</v>
      </c>
      <c r="B6557">
        <v>0.99930955844802105</v>
      </c>
      <c r="C6557">
        <v>0.94392765882414698</v>
      </c>
      <c r="D6557">
        <v>0.90980736825608</v>
      </c>
      <c r="E6557">
        <v>0.92486360398874801</v>
      </c>
      <c r="F6557">
        <v>0.92839614988435903</v>
      </c>
      <c r="G6557">
        <v>1.02957301347651</v>
      </c>
      <c r="H6557">
        <v>1.07627538208796</v>
      </c>
      <c r="I6557">
        <v>1.1103930566481199</v>
      </c>
      <c r="J6557">
        <v>1.1129377244977401</v>
      </c>
      <c r="K6557">
        <v>0.92759778568609996</v>
      </c>
      <c r="L6557">
        <v>14245.290799313299</v>
      </c>
      <c r="M6557">
        <v>250</v>
      </c>
      <c r="O6557">
        <v>56.977539441405703</v>
      </c>
      <c r="P6557">
        <v>6.2306360453050998E-2</v>
      </c>
      <c r="Q6557">
        <v>1.0568009872458699</v>
      </c>
      <c r="R6557">
        <v>0.23206792710360599</v>
      </c>
      <c r="S6557" t="s">
        <v>13173</v>
      </c>
      <c r="T6557" t="s">
        <v>13232</v>
      </c>
      <c r="U6557" t="s">
        <v>13232</v>
      </c>
      <c r="V6557" t="s">
        <v>13232</v>
      </c>
      <c r="W6557" t="s">
        <v>19713</v>
      </c>
      <c r="X6557">
        <v>7</v>
      </c>
      <c r="Y6557" t="s">
        <v>26074</v>
      </c>
      <c r="Z6557" t="s">
        <v>32688</v>
      </c>
      <c r="AA6557">
        <v>1.02464374594767</v>
      </c>
      <c r="AB6557" t="str">
        <f>HYPERLINK("Melting_Curves/meltCurve_Q9Y5U2_2_TSSC4.pdf", "Melting_Curves/meltCurve_Q9Y5U2_2_TSSC4.pdf")</f>
        <v>Melting_Curves/meltCurve_Q9Y5U2_2_TSSC4.pdf</v>
      </c>
    </row>
    <row r="6558" spans="1:28" x14ac:dyDescent="0.25">
      <c r="A6558" t="s">
        <v>6561</v>
      </c>
      <c r="B6558">
        <v>0.99930955844802105</v>
      </c>
      <c r="C6558">
        <v>0.88764106946672605</v>
      </c>
      <c r="D6558">
        <v>0.86927115431931601</v>
      </c>
      <c r="E6558">
        <v>0.79024828399097202</v>
      </c>
      <c r="F6558">
        <v>0.62662435034432495</v>
      </c>
      <c r="G6558">
        <v>0.42979814989420001</v>
      </c>
      <c r="H6558">
        <v>0.37004624675459402</v>
      </c>
      <c r="I6558">
        <v>0.37708500774988202</v>
      </c>
      <c r="J6558">
        <v>0.39028598924496</v>
      </c>
      <c r="K6558">
        <v>0.308399977308634</v>
      </c>
      <c r="L6558">
        <v>650.65616758284602</v>
      </c>
      <c r="M6558">
        <v>12.495434405552199</v>
      </c>
      <c r="N6558">
        <v>56.214044379215601</v>
      </c>
      <c r="O6558">
        <v>50.791804506129402</v>
      </c>
      <c r="P6558">
        <v>-4.3005563200442298E-2</v>
      </c>
      <c r="Q6558">
        <v>0.30090300770425599</v>
      </c>
      <c r="R6558">
        <v>0.97719966989293205</v>
      </c>
      <c r="S6558" t="s">
        <v>13174</v>
      </c>
      <c r="T6558" t="s">
        <v>13232</v>
      </c>
      <c r="U6558" t="s">
        <v>13232</v>
      </c>
      <c r="V6558" t="s">
        <v>13232</v>
      </c>
      <c r="W6558" t="s">
        <v>19714</v>
      </c>
      <c r="X6558">
        <v>2</v>
      </c>
      <c r="Y6558" t="s">
        <v>26075</v>
      </c>
      <c r="Z6558" t="s">
        <v>32689</v>
      </c>
      <c r="AA6558">
        <v>0.60241321173180107</v>
      </c>
      <c r="AB6558" t="str">
        <f>HYPERLINK("Melting_Curves/meltCurve_Q9Y5V0_ZNF706.pdf", "Melting_Curves/meltCurve_Q9Y5V0_ZNF706.pdf")</f>
        <v>Melting_Curves/meltCurve_Q9Y5V0_ZNF706.pdf</v>
      </c>
    </row>
    <row r="6559" spans="1:28" x14ac:dyDescent="0.25">
      <c r="A6559" t="s">
        <v>6562</v>
      </c>
      <c r="B6559">
        <v>0.99930955844802105</v>
      </c>
      <c r="C6559">
        <v>0.84589580136304299</v>
      </c>
      <c r="D6559">
        <v>0.76272890384274095</v>
      </c>
      <c r="E6559">
        <v>0.49050907757022999</v>
      </c>
      <c r="F6559">
        <v>0.27390268414714303</v>
      </c>
      <c r="G6559">
        <v>0.21554643453060501</v>
      </c>
      <c r="H6559">
        <v>0.15959787784827001</v>
      </c>
      <c r="I6559">
        <v>0.16848275954115899</v>
      </c>
      <c r="J6559">
        <v>0.148207878795758</v>
      </c>
      <c r="K6559">
        <v>0.12308650774475</v>
      </c>
      <c r="L6559">
        <v>754.28347148292698</v>
      </c>
      <c r="M6559">
        <v>15.542142594568199</v>
      </c>
      <c r="N6559">
        <v>49.482710489829003</v>
      </c>
      <c r="O6559">
        <v>47.749355265070903</v>
      </c>
      <c r="P6559">
        <v>-7.0871674684911207E-2</v>
      </c>
      <c r="Q6559">
        <v>0.12913439953025399</v>
      </c>
      <c r="R6559">
        <v>0.99279776596242397</v>
      </c>
      <c r="S6559" t="s">
        <v>13175</v>
      </c>
      <c r="T6559" t="s">
        <v>13232</v>
      </c>
      <c r="U6559" t="s">
        <v>13232</v>
      </c>
      <c r="V6559" t="s">
        <v>13232</v>
      </c>
      <c r="W6559" t="s">
        <v>19715</v>
      </c>
      <c r="X6559">
        <v>20</v>
      </c>
      <c r="Y6559" t="s">
        <v>26076</v>
      </c>
      <c r="Z6559" t="s">
        <v>32690</v>
      </c>
      <c r="AA6559">
        <v>0.39722688522040278</v>
      </c>
      <c r="AB6559" t="str">
        <f>HYPERLINK("Melting_Curves/meltCurve_Q9Y5X1_SNX9.pdf", "Melting_Curves/meltCurve_Q9Y5X1_SNX9.pdf")</f>
        <v>Melting_Curves/meltCurve_Q9Y5X1_SNX9.pdf</v>
      </c>
    </row>
    <row r="6560" spans="1:28" x14ac:dyDescent="0.25">
      <c r="A6560" t="s">
        <v>6563</v>
      </c>
      <c r="B6560">
        <v>0.99930955844802105</v>
      </c>
      <c r="C6560">
        <v>0.94123105034501997</v>
      </c>
      <c r="D6560">
        <v>0.91088998488810602</v>
      </c>
      <c r="E6560">
        <v>0.83220586796784801</v>
      </c>
      <c r="F6560">
        <v>0.77425682960082798</v>
      </c>
      <c r="G6560">
        <v>0.459564745848765</v>
      </c>
      <c r="H6560">
        <v>0.19192893361515501</v>
      </c>
      <c r="I6560">
        <v>0.102872233580866</v>
      </c>
      <c r="J6560">
        <v>8.2192629135650494E-2</v>
      </c>
      <c r="K6560">
        <v>5.9741693056340098E-2</v>
      </c>
      <c r="L6560">
        <v>889.953471094375</v>
      </c>
      <c r="M6560">
        <v>15.8325817077114</v>
      </c>
      <c r="N6560">
        <v>56.210254991679903</v>
      </c>
      <c r="O6560">
        <v>55.336446638218703</v>
      </c>
      <c r="P6560">
        <v>-7.15345727079396E-2</v>
      </c>
      <c r="Q6560">
        <v>0</v>
      </c>
      <c r="R6560">
        <v>0.99066885861258902</v>
      </c>
      <c r="S6560" t="s">
        <v>13176</v>
      </c>
      <c r="T6560" t="s">
        <v>13232</v>
      </c>
      <c r="U6560" t="s">
        <v>13232</v>
      </c>
      <c r="V6560" t="s">
        <v>13232</v>
      </c>
      <c r="W6560" t="s">
        <v>19716</v>
      </c>
      <c r="X6560">
        <v>14</v>
      </c>
      <c r="Y6560" t="s">
        <v>26077</v>
      </c>
      <c r="Z6560" t="s">
        <v>32691</v>
      </c>
      <c r="AA6560">
        <v>0.55693417743894147</v>
      </c>
      <c r="AB6560" t="str">
        <f>HYPERLINK("Melting_Curves/meltCurve_Q9Y5X2_SNX8.pdf", "Melting_Curves/meltCurve_Q9Y5X2_SNX8.pdf")</f>
        <v>Melting_Curves/meltCurve_Q9Y5X2_SNX8.pdf</v>
      </c>
    </row>
    <row r="6561" spans="1:28" x14ac:dyDescent="0.25">
      <c r="A6561" t="s">
        <v>6564</v>
      </c>
      <c r="B6561">
        <v>0.99930955844802105</v>
      </c>
      <c r="C6561">
        <v>0.89469707600416104</v>
      </c>
      <c r="D6561">
        <v>0.84613440559907205</v>
      </c>
      <c r="E6561">
        <v>0.720139110042881</v>
      </c>
      <c r="F6561">
        <v>0.381877190366051</v>
      </c>
      <c r="G6561">
        <v>0.22635537330476499</v>
      </c>
      <c r="H6561">
        <v>0.14071910168631999</v>
      </c>
      <c r="I6561">
        <v>0.125931351245572</v>
      </c>
      <c r="J6561">
        <v>0.12106434186413199</v>
      </c>
      <c r="K6561">
        <v>0.10657831856823199</v>
      </c>
      <c r="L6561">
        <v>847.87021231830295</v>
      </c>
      <c r="M6561">
        <v>16.524045245049201</v>
      </c>
      <c r="N6561">
        <v>51.929211543198697</v>
      </c>
      <c r="O6561">
        <v>50.577457880927902</v>
      </c>
      <c r="P6561">
        <v>-7.4392518429073198E-2</v>
      </c>
      <c r="Q6561">
        <v>8.9248566022573597E-2</v>
      </c>
      <c r="R6561">
        <v>0.98756962430638595</v>
      </c>
      <c r="S6561" t="s">
        <v>13177</v>
      </c>
      <c r="T6561" t="s">
        <v>13232</v>
      </c>
      <c r="U6561" t="s">
        <v>13232</v>
      </c>
      <c r="V6561" t="s">
        <v>13232</v>
      </c>
      <c r="W6561" t="s">
        <v>19717</v>
      </c>
      <c r="X6561">
        <v>25</v>
      </c>
      <c r="Y6561" t="s">
        <v>26078</v>
      </c>
      <c r="Z6561" t="s">
        <v>32692</v>
      </c>
      <c r="AA6561">
        <v>0.45038389243935689</v>
      </c>
      <c r="AB6561" t="str">
        <f>HYPERLINK("Melting_Curves/meltCurve_Q9Y5X3_SNX5.pdf", "Melting_Curves/meltCurve_Q9Y5X3_SNX5.pdf")</f>
        <v>Melting_Curves/meltCurve_Q9Y5X3_SNX5.pdf</v>
      </c>
    </row>
    <row r="6562" spans="1:28" x14ac:dyDescent="0.25">
      <c r="A6562" t="s">
        <v>6565</v>
      </c>
      <c r="B6562">
        <v>0.99930955844802105</v>
      </c>
      <c r="C6562">
        <v>0.97726888264661704</v>
      </c>
      <c r="D6562">
        <v>0.87211987704501504</v>
      </c>
      <c r="E6562">
        <v>0.55350504021421498</v>
      </c>
      <c r="F6562">
        <v>0.24762620173439501</v>
      </c>
      <c r="G6562">
        <v>0.15251676014903801</v>
      </c>
      <c r="H6562">
        <v>9.6562639003230505E-2</v>
      </c>
      <c r="I6562">
        <v>7.2262425663674301E-2</v>
      </c>
      <c r="J6562">
        <v>6.0083389139427901E-2</v>
      </c>
      <c r="K6562">
        <v>4.1979963235496603E-2</v>
      </c>
      <c r="L6562">
        <v>1084.00970998055</v>
      </c>
      <c r="M6562">
        <v>21.655546890555101</v>
      </c>
      <c r="N6562">
        <v>50.364009512842003</v>
      </c>
      <c r="O6562">
        <v>49.635920903221297</v>
      </c>
      <c r="P6562">
        <v>-0.10232823736760401</v>
      </c>
      <c r="Q6562">
        <v>6.1850411029477401E-2</v>
      </c>
      <c r="R6562">
        <v>0.998053854638149</v>
      </c>
      <c r="S6562" t="s">
        <v>13178</v>
      </c>
      <c r="T6562" t="s">
        <v>13232</v>
      </c>
      <c r="U6562" t="s">
        <v>13232</v>
      </c>
      <c r="V6562" t="s">
        <v>13232</v>
      </c>
      <c r="W6562" t="s">
        <v>19718</v>
      </c>
      <c r="X6562">
        <v>9</v>
      </c>
      <c r="Y6562" t="s">
        <v>26079</v>
      </c>
      <c r="Z6562" t="s">
        <v>32693</v>
      </c>
      <c r="AA6562">
        <v>0.38751798683403271</v>
      </c>
      <c r="AB6562" t="str">
        <f>HYPERLINK("Melting_Curves/meltCurve_Q9Y5Y2_NUBP2.pdf", "Melting_Curves/meltCurve_Q9Y5Y2_NUBP2.pdf")</f>
        <v>Melting_Curves/meltCurve_Q9Y5Y2_NUBP2.pdf</v>
      </c>
    </row>
    <row r="6563" spans="1:28" x14ac:dyDescent="0.25">
      <c r="A6563" t="s">
        <v>6566</v>
      </c>
      <c r="B6563">
        <v>0.99930955844802105</v>
      </c>
      <c r="C6563">
        <v>0.94382253626054902</v>
      </c>
      <c r="D6563">
        <v>0.94289155485627196</v>
      </c>
      <c r="E6563">
        <v>0.84297103933662199</v>
      </c>
      <c r="F6563">
        <v>0.718028295801584</v>
      </c>
      <c r="G6563">
        <v>0.49722514076306001</v>
      </c>
      <c r="H6563">
        <v>0.420174159104647</v>
      </c>
      <c r="I6563">
        <v>0.52546947844721703</v>
      </c>
      <c r="J6563">
        <v>0.52090740395218005</v>
      </c>
      <c r="K6563">
        <v>0.46406293462256198</v>
      </c>
      <c r="L6563">
        <v>1196.16185343351</v>
      </c>
      <c r="M6563">
        <v>22.988380236649899</v>
      </c>
      <c r="N6563">
        <v>59.488766674818798</v>
      </c>
      <c r="O6563">
        <v>51.644377550172798</v>
      </c>
      <c r="P6563">
        <v>-5.8762372143484301E-2</v>
      </c>
      <c r="Q6563">
        <v>0.47196119450582502</v>
      </c>
      <c r="R6563">
        <v>0.966167441151493</v>
      </c>
      <c r="S6563" t="s">
        <v>13179</v>
      </c>
      <c r="T6563" t="s">
        <v>13232</v>
      </c>
      <c r="U6563" t="s">
        <v>13232</v>
      </c>
      <c r="V6563" t="s">
        <v>13232</v>
      </c>
      <c r="W6563" t="s">
        <v>19719</v>
      </c>
      <c r="X6563">
        <v>11</v>
      </c>
      <c r="Y6563" t="s">
        <v>26080</v>
      </c>
      <c r="Z6563" t="s">
        <v>32694</v>
      </c>
      <c r="AA6563">
        <v>0.68941999159393996</v>
      </c>
      <c r="AB6563" t="str">
        <f>HYPERLINK("Melting_Curves/meltCurve_Q9Y5Z4_HEBP2.pdf", "Melting_Curves/meltCurve_Q9Y5Z4_HEBP2.pdf")</f>
        <v>Melting_Curves/meltCurve_Q9Y5Z4_HEBP2.pdf</v>
      </c>
    </row>
    <row r="6564" spans="1:28" x14ac:dyDescent="0.25">
      <c r="A6564" t="s">
        <v>6567</v>
      </c>
      <c r="B6564">
        <v>0.99930955844802105</v>
      </c>
      <c r="C6564">
        <v>0.879735069281669</v>
      </c>
      <c r="D6564">
        <v>0</v>
      </c>
      <c r="E6564">
        <v>0.77434041137415799</v>
      </c>
      <c r="F6564">
        <v>0.62308681693147805</v>
      </c>
      <c r="G6564">
        <v>0.31803840406480699</v>
      </c>
      <c r="H6564">
        <v>0.17684144138167199</v>
      </c>
      <c r="I6564">
        <v>0.10432028256459799</v>
      </c>
      <c r="J6564">
        <v>0.12171610477955</v>
      </c>
      <c r="K6564">
        <v>7.56299728288225E-2</v>
      </c>
      <c r="L6564">
        <v>334.11759746241398</v>
      </c>
      <c r="M6564">
        <v>6.7161852405707698</v>
      </c>
      <c r="N6564">
        <v>49.748121376934499</v>
      </c>
      <c r="O6564">
        <v>45.894574027922403</v>
      </c>
      <c r="P6564">
        <v>-3.6663756265723803E-2</v>
      </c>
      <c r="Q6564">
        <v>0</v>
      </c>
      <c r="R6564">
        <v>0.53495536121910203</v>
      </c>
      <c r="S6564" t="s">
        <v>13180</v>
      </c>
      <c r="T6564" t="s">
        <v>13232</v>
      </c>
      <c r="U6564" t="s">
        <v>13232</v>
      </c>
      <c r="V6564" t="s">
        <v>13232</v>
      </c>
      <c r="W6564" t="s">
        <v>19720</v>
      </c>
      <c r="X6564">
        <v>3</v>
      </c>
      <c r="Y6564" t="s">
        <v>26081</v>
      </c>
      <c r="Z6564" t="s">
        <v>32695</v>
      </c>
      <c r="AA6564">
        <v>0.39854944504223239</v>
      </c>
      <c r="AB6564" t="str">
        <f>HYPERLINK("Melting_Curves/meltCurve_Q9Y600_CSAD.pdf", "Melting_Curves/meltCurve_Q9Y600_CSAD.pdf")</f>
        <v>Melting_Curves/meltCurve_Q9Y600_CSAD.pdf</v>
      </c>
    </row>
    <row r="6565" spans="1:28" x14ac:dyDescent="0.25">
      <c r="A6565" t="s">
        <v>6568</v>
      </c>
      <c r="B6565">
        <v>0.99930955844802105</v>
      </c>
      <c r="C6565">
        <v>0.933851487161382</v>
      </c>
      <c r="D6565">
        <v>0.90400456810623497</v>
      </c>
      <c r="E6565">
        <v>0.80206049908658605</v>
      </c>
      <c r="F6565">
        <v>0.46644912182173098</v>
      </c>
      <c r="G6565">
        <v>0.36016939472641601</v>
      </c>
      <c r="H6565">
        <v>0.24532119378332301</v>
      </c>
      <c r="I6565">
        <v>0.26135920312754501</v>
      </c>
      <c r="J6565">
        <v>0.206499104877679</v>
      </c>
      <c r="K6565">
        <v>0.20910159098428399</v>
      </c>
      <c r="L6565">
        <v>985.28908231792195</v>
      </c>
      <c r="M6565">
        <v>19.0023537356854</v>
      </c>
      <c r="N6565">
        <v>53.400246795100102</v>
      </c>
      <c r="O6565">
        <v>51.286898016161601</v>
      </c>
      <c r="P6565">
        <v>-7.3001950903992904E-2</v>
      </c>
      <c r="Q6565">
        <v>0.21190932572288601</v>
      </c>
      <c r="R6565">
        <v>0.98668757539770102</v>
      </c>
      <c r="S6565" t="s">
        <v>13181</v>
      </c>
      <c r="T6565" t="s">
        <v>13232</v>
      </c>
      <c r="U6565" t="s">
        <v>13232</v>
      </c>
      <c r="V6565" t="s">
        <v>13232</v>
      </c>
      <c r="W6565" t="s">
        <v>19721</v>
      </c>
      <c r="X6565">
        <v>3</v>
      </c>
      <c r="Y6565" t="s">
        <v>26082</v>
      </c>
      <c r="Z6565" t="s">
        <v>32696</v>
      </c>
      <c r="AA6565">
        <v>0.5351850552954972</v>
      </c>
      <c r="AB6565" t="str">
        <f>HYPERLINK("Melting_Curves/meltCurve_Q9Y605_MRFAP1.pdf", "Melting_Curves/meltCurve_Q9Y605_MRFAP1.pdf")</f>
        <v>Melting_Curves/meltCurve_Q9Y605_MRFAP1.pdf</v>
      </c>
    </row>
    <row r="6566" spans="1:28" x14ac:dyDescent="0.25">
      <c r="A6566" t="s">
        <v>6569</v>
      </c>
      <c r="B6566">
        <v>0.99930955844802105</v>
      </c>
      <c r="C6566">
        <v>0.77255167790756196</v>
      </c>
      <c r="D6566">
        <v>0.76726745061204604</v>
      </c>
      <c r="E6566">
        <v>0.91026021871843199</v>
      </c>
      <c r="F6566">
        <v>0.78358249566301197</v>
      </c>
      <c r="G6566">
        <v>0.71928099505591003</v>
      </c>
      <c r="H6566">
        <v>0.66046762047686702</v>
      </c>
      <c r="I6566">
        <v>0.68113024497460495</v>
      </c>
      <c r="J6566">
        <v>0.67451422002303296</v>
      </c>
      <c r="K6566">
        <v>0.57289817286297695</v>
      </c>
      <c r="L6566">
        <v>169.098985844883</v>
      </c>
      <c r="M6566">
        <v>1.9660483631172101</v>
      </c>
      <c r="O6566">
        <v>50.544829089744802</v>
      </c>
      <c r="P6566">
        <v>-1.06336128538528E-2</v>
      </c>
      <c r="Q6566">
        <v>0</v>
      </c>
      <c r="R6566">
        <v>0.70178860031364898</v>
      </c>
      <c r="S6566" t="s">
        <v>13182</v>
      </c>
      <c r="T6566" t="s">
        <v>13232</v>
      </c>
      <c r="U6566" t="s">
        <v>13232</v>
      </c>
      <c r="V6566" t="s">
        <v>13232</v>
      </c>
      <c r="W6566" t="s">
        <v>19722</v>
      </c>
      <c r="X6566">
        <v>19</v>
      </c>
      <c r="Y6566" t="s">
        <v>26083</v>
      </c>
      <c r="Z6566" t="s">
        <v>32697</v>
      </c>
      <c r="AA6566">
        <v>0.75436628021582541</v>
      </c>
      <c r="AB6566" t="str">
        <f>HYPERLINK("Melting_Curves/meltCurve_Q9Y608_4_LRRFIP2.pdf", "Melting_Curves/meltCurve_Q9Y608_4_LRRFIP2.pdf")</f>
        <v>Melting_Curves/meltCurve_Q9Y608_4_LRRFIP2.pdf</v>
      </c>
    </row>
    <row r="6567" spans="1:28" x14ac:dyDescent="0.25">
      <c r="A6567" t="s">
        <v>6570</v>
      </c>
      <c r="B6567">
        <v>0.99930955844802105</v>
      </c>
      <c r="C6567">
        <v>0.89900046546184897</v>
      </c>
      <c r="D6567">
        <v>0.65537544452390695</v>
      </c>
      <c r="E6567">
        <v>0.54507617139296005</v>
      </c>
      <c r="F6567">
        <v>0.42375688100394099</v>
      </c>
      <c r="G6567">
        <v>0.336673102492142</v>
      </c>
      <c r="H6567">
        <v>0.29529973193784798</v>
      </c>
      <c r="I6567">
        <v>0.32069408631642399</v>
      </c>
      <c r="J6567">
        <v>0.30959639270630401</v>
      </c>
      <c r="K6567">
        <v>0.25080715652211</v>
      </c>
      <c r="L6567">
        <v>681.83703932627702</v>
      </c>
      <c r="M6567">
        <v>14.375547937369801</v>
      </c>
      <c r="N6567">
        <v>50.324312960666603</v>
      </c>
      <c r="O6567">
        <v>46.540848349187897</v>
      </c>
      <c r="P6567">
        <v>-5.5508410062213402E-2</v>
      </c>
      <c r="Q6567">
        <v>0.28125181124730902</v>
      </c>
      <c r="R6567">
        <v>0.98342181028106701</v>
      </c>
      <c r="S6567" t="s">
        <v>13183</v>
      </c>
      <c r="T6567" t="s">
        <v>13232</v>
      </c>
      <c r="U6567" t="s">
        <v>13232</v>
      </c>
      <c r="V6567" t="s">
        <v>13232</v>
      </c>
      <c r="W6567" t="s">
        <v>19723</v>
      </c>
      <c r="X6567">
        <v>27</v>
      </c>
      <c r="Y6567" t="s">
        <v>26084</v>
      </c>
      <c r="Z6567" t="s">
        <v>32698</v>
      </c>
      <c r="AA6567">
        <v>0.48000925708280229</v>
      </c>
      <c r="AB6567" t="str">
        <f>HYPERLINK("Melting_Curves/meltCurve_Q9Y613_FHOD1.pdf", "Melting_Curves/meltCurve_Q9Y613_FHOD1.pdf")</f>
        <v>Melting_Curves/meltCurve_Q9Y613_FHOD1.pdf</v>
      </c>
    </row>
    <row r="6568" spans="1:28" x14ac:dyDescent="0.25">
      <c r="A6568" t="s">
        <v>6571</v>
      </c>
      <c r="B6568">
        <v>0.99930955844802105</v>
      </c>
      <c r="C6568">
        <v>1.0622595693938299</v>
      </c>
      <c r="D6568">
        <v>1.0962644872833101</v>
      </c>
      <c r="E6568">
        <v>1.0261947989481801</v>
      </c>
      <c r="F6568">
        <v>0.96431429201818997</v>
      </c>
      <c r="G6568">
        <v>0.71499466310983795</v>
      </c>
      <c r="H6568">
        <v>0.34022278010863799</v>
      </c>
      <c r="I6568">
        <v>0.12551598332171901</v>
      </c>
      <c r="J6568">
        <v>7.3627419904715094E-2</v>
      </c>
      <c r="K6568">
        <v>5.9562474440308398E-2</v>
      </c>
      <c r="L6568">
        <v>1577.9471780159499</v>
      </c>
      <c r="M6568">
        <v>26.7423274747233</v>
      </c>
      <c r="N6568">
        <v>59.178037545872897</v>
      </c>
      <c r="O6568">
        <v>58.678621038866098</v>
      </c>
      <c r="P6568">
        <v>-0.109665770312768</v>
      </c>
      <c r="Q6568">
        <v>3.7485502868981599E-2</v>
      </c>
      <c r="R6568">
        <v>0.99134776644554901</v>
      </c>
      <c r="S6568" t="s">
        <v>13184</v>
      </c>
      <c r="T6568" t="s">
        <v>13232</v>
      </c>
      <c r="U6568" t="s">
        <v>13232</v>
      </c>
      <c r="V6568" t="s">
        <v>13232</v>
      </c>
      <c r="W6568" t="s">
        <v>19724</v>
      </c>
      <c r="X6568">
        <v>23</v>
      </c>
      <c r="Y6568" t="s">
        <v>26085</v>
      </c>
      <c r="Z6568" t="s">
        <v>32699</v>
      </c>
      <c r="AA6568">
        <v>0.654506686943923</v>
      </c>
      <c r="AB6568" t="str">
        <f>HYPERLINK("Melting_Curves/meltCurve_Q9Y617_PSAT1.pdf", "Melting_Curves/meltCurve_Q9Y617_PSAT1.pdf")</f>
        <v>Melting_Curves/meltCurve_Q9Y617_PSAT1.pdf</v>
      </c>
    </row>
    <row r="6569" spans="1:28" x14ac:dyDescent="0.25">
      <c r="A6569" t="s">
        <v>6572</v>
      </c>
      <c r="B6569">
        <v>0.99930955844802105</v>
      </c>
      <c r="C6569">
        <v>1.0622805869363099</v>
      </c>
      <c r="D6569">
        <v>0.99602569851908496</v>
      </c>
      <c r="E6569">
        <v>0.99956952137965605</v>
      </c>
      <c r="F6569">
        <v>1.01748026860612</v>
      </c>
      <c r="G6569">
        <v>0.741836378988872</v>
      </c>
      <c r="H6569">
        <v>0.51648980240947195</v>
      </c>
      <c r="I6569">
        <v>0.399711036915391</v>
      </c>
      <c r="J6569">
        <v>0.33341126774577701</v>
      </c>
      <c r="K6569">
        <v>0.188782822581259</v>
      </c>
      <c r="L6569">
        <v>1156.3289622161799</v>
      </c>
      <c r="M6569">
        <v>19.2735401461705</v>
      </c>
      <c r="N6569">
        <v>61.519959916626497</v>
      </c>
      <c r="O6569">
        <v>59.360997795143099</v>
      </c>
      <c r="P6569">
        <v>-6.5763420054174307E-2</v>
      </c>
      <c r="Q6569">
        <v>0.18984579421959399</v>
      </c>
      <c r="R6569">
        <v>0.98286177520566698</v>
      </c>
      <c r="S6569" t="s">
        <v>13185</v>
      </c>
      <c r="T6569" t="s">
        <v>13232</v>
      </c>
      <c r="U6569" t="s">
        <v>13232</v>
      </c>
      <c r="V6569" t="s">
        <v>13232</v>
      </c>
      <c r="W6569" t="s">
        <v>19725</v>
      </c>
      <c r="X6569">
        <v>9</v>
      </c>
      <c r="Y6569" t="s">
        <v>26086</v>
      </c>
      <c r="Z6569" t="s">
        <v>32700</v>
      </c>
      <c r="AA6569">
        <v>0.73662560021375623</v>
      </c>
      <c r="AB6569" t="str">
        <f>HYPERLINK("Melting_Curves/meltCurve_Q9Y646_CPQ.pdf", "Melting_Curves/meltCurve_Q9Y646_CPQ.pdf")</f>
        <v>Melting_Curves/meltCurve_Q9Y646_CPQ.pdf</v>
      </c>
    </row>
    <row r="6570" spans="1:28" x14ac:dyDescent="0.25">
      <c r="A6570" t="s">
        <v>6573</v>
      </c>
      <c r="B6570">
        <v>0.99930955844802105</v>
      </c>
      <c r="C6570">
        <v>1.0992943272665401</v>
      </c>
      <c r="D6570">
        <v>0.88760225169255302</v>
      </c>
      <c r="E6570">
        <v>0.852537838928622</v>
      </c>
      <c r="F6570">
        <v>0.78787466026195796</v>
      </c>
      <c r="G6570">
        <v>0.81346755057336595</v>
      </c>
      <c r="H6570">
        <v>1.3521830277786</v>
      </c>
      <c r="I6570">
        <v>1.6799183873946899</v>
      </c>
      <c r="J6570">
        <v>2.5612309717743198</v>
      </c>
      <c r="K6570">
        <v>1.7240384543115801</v>
      </c>
      <c r="L6570">
        <v>15000</v>
      </c>
      <c r="M6570">
        <v>246.769849211669</v>
      </c>
      <c r="O6570">
        <v>60.781373611011702</v>
      </c>
      <c r="P6570">
        <v>0.50749465260174398</v>
      </c>
      <c r="Q6570">
        <v>1.5</v>
      </c>
      <c r="R6570">
        <v>0.54225369848851901</v>
      </c>
      <c r="S6570" t="s">
        <v>13186</v>
      </c>
      <c r="T6570" t="s">
        <v>13232</v>
      </c>
      <c r="U6570" t="s">
        <v>13232</v>
      </c>
      <c r="V6570" t="s">
        <v>13232</v>
      </c>
      <c r="W6570" t="s">
        <v>19726</v>
      </c>
      <c r="X6570">
        <v>1</v>
      </c>
      <c r="Y6570" t="s">
        <v>26087</v>
      </c>
      <c r="Z6570" t="s">
        <v>32701</v>
      </c>
      <c r="AA6570">
        <v>1.1535221917639109</v>
      </c>
      <c r="AB6570" t="str">
        <f>HYPERLINK("Melting_Curves/meltCurve_Q9Y651_SOX21.pdf", "Melting_Curves/meltCurve_Q9Y651_SOX21.pdf")</f>
        <v>Melting_Curves/meltCurve_Q9Y651_SOX21.pdf</v>
      </c>
    </row>
    <row r="6571" spans="1:28" x14ac:dyDescent="0.25">
      <c r="A6571" t="s">
        <v>6574</v>
      </c>
      <c r="B6571">
        <v>0.99930955844802105</v>
      </c>
      <c r="C6571">
        <v>1.0405479661953001</v>
      </c>
      <c r="D6571">
        <v>1.0156283747150401</v>
      </c>
      <c r="E6571">
        <v>0.91998922694829399</v>
      </c>
      <c r="F6571">
        <v>0.54135195358673405</v>
      </c>
      <c r="G6571">
        <v>0.44455247646202001</v>
      </c>
      <c r="H6571">
        <v>0.36952272787358798</v>
      </c>
      <c r="I6571">
        <v>0.35744293696533003</v>
      </c>
      <c r="J6571">
        <v>0.29999991175070401</v>
      </c>
      <c r="K6571">
        <v>0.248670456434335</v>
      </c>
      <c r="L6571">
        <v>1980.4839204803</v>
      </c>
      <c r="M6571">
        <v>37.956210982052802</v>
      </c>
      <c r="N6571">
        <v>53.743090211921803</v>
      </c>
      <c r="O6571">
        <v>52.033921123041303</v>
      </c>
      <c r="P6571">
        <v>-0.12137412140427201</v>
      </c>
      <c r="Q6571">
        <v>0.33443775495182498</v>
      </c>
      <c r="R6571">
        <v>0.97855829825638796</v>
      </c>
      <c r="S6571" t="s">
        <v>13187</v>
      </c>
      <c r="T6571" t="s">
        <v>13232</v>
      </c>
      <c r="U6571" t="s">
        <v>13232</v>
      </c>
      <c r="V6571" t="s">
        <v>13232</v>
      </c>
      <c r="W6571" t="s">
        <v>19727</v>
      </c>
      <c r="X6571">
        <v>7</v>
      </c>
      <c r="Y6571" t="s">
        <v>26088</v>
      </c>
      <c r="Z6571" t="s">
        <v>32702</v>
      </c>
      <c r="AA6571">
        <v>0.60728018861845923</v>
      </c>
      <c r="AB6571" t="str">
        <f>HYPERLINK("Melting_Curves/meltCurve_Q9Y657_SPIN1.pdf", "Melting_Curves/meltCurve_Q9Y657_SPIN1.pdf")</f>
        <v>Melting_Curves/meltCurve_Q9Y657_SPIN1.pdf</v>
      </c>
    </row>
    <row r="6572" spans="1:28" x14ac:dyDescent="0.25">
      <c r="A6572" t="s">
        <v>6575</v>
      </c>
      <c r="B6572">
        <v>0.99930955844802105</v>
      </c>
      <c r="C6572">
        <v>0.79859734510438296</v>
      </c>
      <c r="D6572">
        <v>0.82942126794947801</v>
      </c>
      <c r="E6572">
        <v>0.76443546653412398</v>
      </c>
      <c r="F6572">
        <v>0.41948425908168402</v>
      </c>
      <c r="G6572">
        <v>0.221843767445216</v>
      </c>
      <c r="H6572">
        <v>0.104448815932768</v>
      </c>
      <c r="I6572">
        <v>7.7833833538890895E-2</v>
      </c>
      <c r="J6572">
        <v>6.53692674218464E-2</v>
      </c>
      <c r="K6572">
        <v>5.0538316820298898E-2</v>
      </c>
      <c r="L6572">
        <v>690.15853921743997</v>
      </c>
      <c r="M6572">
        <v>13.202234263385201</v>
      </c>
      <c r="N6572">
        <v>52.275866092679998</v>
      </c>
      <c r="O6572">
        <v>51.1201613224478</v>
      </c>
      <c r="P6572">
        <v>-6.4575454492338799E-2</v>
      </c>
      <c r="Q6572">
        <v>0</v>
      </c>
      <c r="R6572">
        <v>0.96838993841695198</v>
      </c>
      <c r="S6572" t="s">
        <v>13188</v>
      </c>
      <c r="T6572" t="s">
        <v>13232</v>
      </c>
      <c r="U6572" t="s">
        <v>13232</v>
      </c>
      <c r="V6572" t="s">
        <v>13232</v>
      </c>
      <c r="W6572" t="s">
        <v>19728</v>
      </c>
      <c r="X6572">
        <v>52</v>
      </c>
      <c r="Y6572" t="s">
        <v>26089</v>
      </c>
      <c r="Z6572" t="s">
        <v>32703</v>
      </c>
      <c r="AA6572">
        <v>0.43573671787171248</v>
      </c>
      <c r="AB6572" t="str">
        <f>HYPERLINK("Melting_Curves/meltCurve_Q9Y678_COPG1.pdf", "Melting_Curves/meltCurve_Q9Y678_COPG1.pdf")</f>
        <v>Melting_Curves/meltCurve_Q9Y678_COPG1.pdf</v>
      </c>
    </row>
    <row r="6573" spans="1:28" x14ac:dyDescent="0.25">
      <c r="A6573" t="s">
        <v>6576</v>
      </c>
      <c r="B6573">
        <v>0.99930955844802105</v>
      </c>
      <c r="C6573">
        <v>1.3918221984719501</v>
      </c>
      <c r="D6573">
        <v>1.1826313088648901</v>
      </c>
      <c r="E6573">
        <v>0.58445980076623205</v>
      </c>
      <c r="F6573">
        <v>0.30123931055779302</v>
      </c>
      <c r="G6573">
        <v>0.151231726453457</v>
      </c>
      <c r="H6573">
        <v>0.12288892831465199</v>
      </c>
      <c r="I6573">
        <v>0.106381314892974</v>
      </c>
      <c r="J6573">
        <v>9.7673041356581503E-2</v>
      </c>
      <c r="K6573">
        <v>7.4493020086226602E-2</v>
      </c>
      <c r="L6573">
        <v>1948.11913244569</v>
      </c>
      <c r="M6573">
        <v>38.597582655801602</v>
      </c>
      <c r="N6573">
        <v>50.819539611083002</v>
      </c>
      <c r="O6573">
        <v>50.3376633607784</v>
      </c>
      <c r="P6573">
        <v>-0.169489785716159</v>
      </c>
      <c r="Q6573">
        <v>0.11583085895749499</v>
      </c>
      <c r="R6573">
        <v>0.91150930273308095</v>
      </c>
      <c r="S6573" t="s">
        <v>13189</v>
      </c>
      <c r="T6573" t="s">
        <v>13232</v>
      </c>
      <c r="U6573" t="s">
        <v>13232</v>
      </c>
      <c r="V6573" t="s">
        <v>13232</v>
      </c>
      <c r="W6573" t="s">
        <v>19729</v>
      </c>
      <c r="X6573">
        <v>6</v>
      </c>
      <c r="Y6573" t="s">
        <v>26090</v>
      </c>
      <c r="Z6573" t="s">
        <v>32704</v>
      </c>
      <c r="AA6573">
        <v>0.42779692325538171</v>
      </c>
      <c r="AB6573" t="str">
        <f>HYPERLINK("Melting_Curves/meltCurve_Q9Y679_AUP1.pdf", "Melting_Curves/meltCurve_Q9Y679_AUP1.pdf")</f>
        <v>Melting_Curves/meltCurve_Q9Y679_AUP1.pdf</v>
      </c>
    </row>
    <row r="6574" spans="1:28" x14ac:dyDescent="0.25">
      <c r="A6574" t="s">
        <v>6577</v>
      </c>
      <c r="B6574">
        <v>0.99930955844802105</v>
      </c>
      <c r="C6574">
        <v>0.98888277184857798</v>
      </c>
      <c r="D6574">
        <v>0.99391273022843296</v>
      </c>
      <c r="E6574">
        <v>0.92184494782801796</v>
      </c>
      <c r="F6574">
        <v>0.71408592532412396</v>
      </c>
      <c r="G6574">
        <v>0.58319115985204295</v>
      </c>
      <c r="H6574">
        <v>0.51353371657006197</v>
      </c>
      <c r="I6574">
        <v>0.44251435937320299</v>
      </c>
      <c r="J6574">
        <v>0.35343737395868802</v>
      </c>
      <c r="K6574">
        <v>0.25757997848861502</v>
      </c>
      <c r="L6574">
        <v>626.59740380062897</v>
      </c>
      <c r="M6574">
        <v>10.886087202956601</v>
      </c>
      <c r="N6574">
        <v>60.394647297354801</v>
      </c>
      <c r="O6574">
        <v>55.719327798478901</v>
      </c>
      <c r="P6574">
        <v>-3.9085335128675999E-2</v>
      </c>
      <c r="Q6574">
        <v>0.200063873096538</v>
      </c>
      <c r="R6574">
        <v>0.980226792784199</v>
      </c>
      <c r="S6574" t="s">
        <v>13190</v>
      </c>
      <c r="T6574" t="s">
        <v>13232</v>
      </c>
      <c r="U6574" t="s">
        <v>13232</v>
      </c>
      <c r="V6574" t="s">
        <v>13232</v>
      </c>
      <c r="W6574" t="s">
        <v>19730</v>
      </c>
      <c r="X6574">
        <v>7</v>
      </c>
      <c r="Y6574" t="s">
        <v>26091</v>
      </c>
      <c r="Z6574" t="s">
        <v>32705</v>
      </c>
      <c r="AA6574">
        <v>0.67929886365246683</v>
      </c>
      <c r="AB6574" t="str">
        <f>HYPERLINK("Melting_Curves/meltCurve_Q9Y680_3_FKBP7.pdf", "Melting_Curves/meltCurve_Q9Y680_3_FKBP7.pdf")</f>
        <v>Melting_Curves/meltCurve_Q9Y680_3_FKBP7.pdf</v>
      </c>
    </row>
    <row r="6575" spans="1:28" x14ac:dyDescent="0.25">
      <c r="A6575" t="s">
        <v>6578</v>
      </c>
      <c r="B6575">
        <v>0.99930955844802105</v>
      </c>
      <c r="C6575">
        <v>1.07660185796649</v>
      </c>
      <c r="D6575">
        <v>1.0018012720812</v>
      </c>
      <c r="E6575">
        <v>0.87750734808637099</v>
      </c>
      <c r="F6575">
        <v>0.71963537746019002</v>
      </c>
      <c r="G6575">
        <v>0.57980022905171202</v>
      </c>
      <c r="H6575">
        <v>0.492268425974768</v>
      </c>
      <c r="I6575">
        <v>0.66490644436454605</v>
      </c>
      <c r="J6575">
        <v>0.36904584176646399</v>
      </c>
      <c r="K6575">
        <v>0.29157826206061199</v>
      </c>
      <c r="L6575">
        <v>616.376554335317</v>
      </c>
      <c r="M6575">
        <v>10.894357980405101</v>
      </c>
      <c r="N6575">
        <v>61.768980582409199</v>
      </c>
      <c r="O6575">
        <v>54.771432055616401</v>
      </c>
      <c r="P6575">
        <v>-3.4827407059383898E-2</v>
      </c>
      <c r="Q6575">
        <v>0.29986539974432402</v>
      </c>
      <c r="R6575">
        <v>0.89452012215241805</v>
      </c>
      <c r="S6575" t="s">
        <v>13191</v>
      </c>
      <c r="T6575" t="s">
        <v>13232</v>
      </c>
      <c r="U6575" t="s">
        <v>13232</v>
      </c>
      <c r="V6575" t="s">
        <v>13232</v>
      </c>
      <c r="W6575" t="s">
        <v>19731</v>
      </c>
      <c r="X6575">
        <v>7</v>
      </c>
      <c r="Y6575" t="s">
        <v>26092</v>
      </c>
      <c r="Z6575" t="s">
        <v>32706</v>
      </c>
      <c r="AA6575">
        <v>0.6996744056769304</v>
      </c>
      <c r="AB6575" t="str">
        <f>HYPERLINK("Melting_Curves/meltCurve_Q9Y692_2_GMEB1.pdf", "Melting_Curves/meltCurve_Q9Y692_2_GMEB1.pdf")</f>
        <v>Melting_Curves/meltCurve_Q9Y692_2_GMEB1.pdf</v>
      </c>
    </row>
    <row r="6576" spans="1:28" x14ac:dyDescent="0.25">
      <c r="A6576" t="s">
        <v>6579</v>
      </c>
      <c r="B6576">
        <v>0.99930955844802105</v>
      </c>
      <c r="C6576">
        <v>0.99772446330662801</v>
      </c>
      <c r="D6576">
        <v>1.0202720615572101</v>
      </c>
      <c r="E6576">
        <v>0.91221948793388297</v>
      </c>
      <c r="F6576">
        <v>0.53570699656043597</v>
      </c>
      <c r="G6576">
        <v>0.17073117135879901</v>
      </c>
      <c r="H6576">
        <v>8.8012588009610301E-2</v>
      </c>
      <c r="I6576">
        <v>6.5581532829718001E-2</v>
      </c>
      <c r="J6576">
        <v>5.6645386780478202E-2</v>
      </c>
      <c r="K6576">
        <v>4.3839084872896499E-2</v>
      </c>
      <c r="L6576">
        <v>1748.48681555966</v>
      </c>
      <c r="M6576">
        <v>32.906548683304202</v>
      </c>
      <c r="N6576">
        <v>53.348687552998001</v>
      </c>
      <c r="O6576">
        <v>52.9398400222845</v>
      </c>
      <c r="P6576">
        <v>-0.14579826401370199</v>
      </c>
      <c r="Q6576">
        <v>6.1767065657939699E-2</v>
      </c>
      <c r="R6576">
        <v>0.99884898600391003</v>
      </c>
      <c r="S6576" t="s">
        <v>13192</v>
      </c>
      <c r="T6576" t="s">
        <v>13232</v>
      </c>
      <c r="U6576" t="s">
        <v>13232</v>
      </c>
      <c r="V6576" t="s">
        <v>13232</v>
      </c>
      <c r="W6576" t="s">
        <v>19732</v>
      </c>
      <c r="X6576">
        <v>16</v>
      </c>
      <c r="Y6576" t="s">
        <v>26093</v>
      </c>
      <c r="Z6576" t="s">
        <v>32707</v>
      </c>
      <c r="AA6576">
        <v>0.47763540756403361</v>
      </c>
      <c r="AB6576" t="str">
        <f>HYPERLINK("Melting_Curves/meltCurve_Q9Y696_CLIC4.pdf", "Melting_Curves/meltCurve_Q9Y696_CLIC4.pdf")</f>
        <v>Melting_Curves/meltCurve_Q9Y696_CLIC4.pdf</v>
      </c>
    </row>
    <row r="6577" spans="1:28" x14ac:dyDescent="0.25">
      <c r="A6577" t="s">
        <v>6580</v>
      </c>
      <c r="B6577">
        <v>0.99930955844802105</v>
      </c>
      <c r="C6577">
        <v>0.81744486917478398</v>
      </c>
      <c r="D6577">
        <v>0.68494905391107197</v>
      </c>
      <c r="E6577">
        <v>0.50680918282219201</v>
      </c>
      <c r="F6577">
        <v>0.33363252118127001</v>
      </c>
      <c r="G6577">
        <v>0.24922834971107699</v>
      </c>
      <c r="H6577">
        <v>0.160352189319522</v>
      </c>
      <c r="I6577">
        <v>0.14373878353521999</v>
      </c>
      <c r="J6577">
        <v>0.129403901967236</v>
      </c>
      <c r="K6577">
        <v>0.10136963647495099</v>
      </c>
      <c r="L6577">
        <v>567.90115101162598</v>
      </c>
      <c r="M6577">
        <v>11.616307149088399</v>
      </c>
      <c r="N6577">
        <v>49.690057541148597</v>
      </c>
      <c r="O6577">
        <v>47.506824879171099</v>
      </c>
      <c r="P6577">
        <v>-5.59208253594312E-2</v>
      </c>
      <c r="Q6577">
        <v>8.5459856143355203E-2</v>
      </c>
      <c r="R6577">
        <v>0.99291088296424002</v>
      </c>
      <c r="S6577" t="s">
        <v>13193</v>
      </c>
      <c r="T6577" t="s">
        <v>13232</v>
      </c>
      <c r="U6577" t="s">
        <v>13232</v>
      </c>
      <c r="V6577" t="s">
        <v>13232</v>
      </c>
      <c r="W6577" t="s">
        <v>19733</v>
      </c>
      <c r="X6577">
        <v>7</v>
      </c>
      <c r="Y6577" t="s">
        <v>26094</v>
      </c>
      <c r="Z6577" t="s">
        <v>32708</v>
      </c>
      <c r="AA6577">
        <v>0.39212782101494481</v>
      </c>
      <c r="AB6577" t="str">
        <f>HYPERLINK("Melting_Curves/meltCurve_Q9Y697_2_NFS1.pdf", "Melting_Curves/meltCurve_Q9Y697_2_NFS1.pdf")</f>
        <v>Melting_Curves/meltCurve_Q9Y697_2_NFS1.pdf</v>
      </c>
    </row>
    <row r="6578" spans="1:28" x14ac:dyDescent="0.25">
      <c r="A6578" t="s">
        <v>6581</v>
      </c>
      <c r="B6578">
        <v>0.99930955844802105</v>
      </c>
      <c r="C6578">
        <v>1.05621206092592</v>
      </c>
      <c r="D6578">
        <v>1.0589054962690601</v>
      </c>
      <c r="E6578">
        <v>0.97979499315526997</v>
      </c>
      <c r="F6578">
        <v>0.78790322425555204</v>
      </c>
      <c r="G6578">
        <v>0.50832263495641505</v>
      </c>
      <c r="H6578">
        <v>0.21950640223447801</v>
      </c>
      <c r="I6578">
        <v>0.143818179201087</v>
      </c>
      <c r="J6578">
        <v>0.12138648454839999</v>
      </c>
      <c r="K6578">
        <v>8.7992548949068397E-2</v>
      </c>
      <c r="L6578">
        <v>1247.6887627868</v>
      </c>
      <c r="M6578">
        <v>22.1142181056588</v>
      </c>
      <c r="N6578">
        <v>56.886346565450602</v>
      </c>
      <c r="O6578">
        <v>55.9649225700472</v>
      </c>
      <c r="P6578">
        <v>-9.0601698959397306E-2</v>
      </c>
      <c r="Q6578">
        <v>8.2869469378831107E-2</v>
      </c>
      <c r="R6578">
        <v>0.993653281835152</v>
      </c>
      <c r="S6578" t="s">
        <v>13194</v>
      </c>
      <c r="T6578" t="s">
        <v>13232</v>
      </c>
      <c r="U6578" t="s">
        <v>13232</v>
      </c>
      <c r="V6578" t="s">
        <v>13232</v>
      </c>
      <c r="W6578" t="s">
        <v>19734</v>
      </c>
      <c r="X6578">
        <v>10</v>
      </c>
      <c r="Y6578" t="s">
        <v>26095</v>
      </c>
      <c r="Z6578" t="s">
        <v>32709</v>
      </c>
      <c r="AA6578">
        <v>0.59495202108041678</v>
      </c>
      <c r="AB6578" t="str">
        <f>HYPERLINK("Melting_Curves/meltCurve_Q9Y6A4_C16orf80.pdf", "Melting_Curves/meltCurve_Q9Y6A4_C16orf80.pdf")</f>
        <v>Melting_Curves/meltCurve_Q9Y6A4_C16orf80.pdf</v>
      </c>
    </row>
    <row r="6579" spans="1:28" x14ac:dyDescent="0.25">
      <c r="A6579" t="s">
        <v>6582</v>
      </c>
      <c r="B6579">
        <v>0.99930955844802105</v>
      </c>
      <c r="C6579">
        <v>1.0190603131090901</v>
      </c>
      <c r="D6579">
        <v>1.0124131134627601</v>
      </c>
      <c r="E6579">
        <v>1.00048163415501</v>
      </c>
      <c r="F6579">
        <v>0.88862967677766902</v>
      </c>
      <c r="G6579">
        <v>0.739017178866472</v>
      </c>
      <c r="H6579">
        <v>0.73479695726595495</v>
      </c>
      <c r="I6579">
        <v>0.76008670052580396</v>
      </c>
      <c r="J6579">
        <v>0.76313198078753497</v>
      </c>
      <c r="K6579">
        <v>0.61569321386023301</v>
      </c>
      <c r="L6579">
        <v>2436.44904638659</v>
      </c>
      <c r="M6579">
        <v>45.504171687172096</v>
      </c>
      <c r="O6579">
        <v>53.440319261406799</v>
      </c>
      <c r="P6579">
        <v>-5.98730458999834E-2</v>
      </c>
      <c r="Q6579">
        <v>0.71873956989467502</v>
      </c>
      <c r="R6579">
        <v>0.92311264835110696</v>
      </c>
      <c r="S6579" t="s">
        <v>13195</v>
      </c>
      <c r="T6579" t="s">
        <v>13232</v>
      </c>
      <c r="U6579" t="s">
        <v>13232</v>
      </c>
      <c r="V6579" t="s">
        <v>13232</v>
      </c>
      <c r="W6579" t="s">
        <v>19735</v>
      </c>
      <c r="X6579">
        <v>35</v>
      </c>
      <c r="Y6579" t="s">
        <v>26096</v>
      </c>
      <c r="Z6579" t="s">
        <v>32710</v>
      </c>
      <c r="AA6579">
        <v>0.84651637993965378</v>
      </c>
      <c r="AB6579" t="str">
        <f>HYPERLINK("Melting_Curves/meltCurve_Q9Y6A5_TACC3.pdf", "Melting_Curves/meltCurve_Q9Y6A5_TACC3.pdf")</f>
        <v>Melting_Curves/meltCurve_Q9Y6A5_TACC3.pdf</v>
      </c>
    </row>
    <row r="6580" spans="1:28" x14ac:dyDescent="0.25">
      <c r="A6580" t="s">
        <v>6583</v>
      </c>
      <c r="B6580">
        <v>0.99930955844802105</v>
      </c>
      <c r="C6580">
        <v>1.0649286346292699</v>
      </c>
      <c r="D6580">
        <v>0.98662599103975701</v>
      </c>
      <c r="E6580">
        <v>0.86287282827346301</v>
      </c>
      <c r="F6580">
        <v>0.53686819361829996</v>
      </c>
      <c r="G6580">
        <v>0.240702855381626</v>
      </c>
      <c r="H6580">
        <v>0.1237348432876</v>
      </c>
      <c r="I6580">
        <v>0.100269255870974</v>
      </c>
      <c r="J6580">
        <v>8.3314377949501695E-2</v>
      </c>
      <c r="K6580">
        <v>6.7882892394553696E-2</v>
      </c>
      <c r="L6580">
        <v>1346.4572299297899</v>
      </c>
      <c r="M6580">
        <v>25.3321597387217</v>
      </c>
      <c r="N6580">
        <v>53.532837598841198</v>
      </c>
      <c r="O6580">
        <v>52.824180014822197</v>
      </c>
      <c r="P6580">
        <v>-0.11000713701263599</v>
      </c>
      <c r="Q6580">
        <v>8.2437072564632702E-2</v>
      </c>
      <c r="R6580">
        <v>0.99642916442346696</v>
      </c>
      <c r="S6580" t="s">
        <v>13196</v>
      </c>
      <c r="T6580" t="s">
        <v>13232</v>
      </c>
      <c r="U6580" t="s">
        <v>13232</v>
      </c>
      <c r="V6580" t="s">
        <v>13232</v>
      </c>
      <c r="W6580" t="s">
        <v>19736</v>
      </c>
      <c r="X6580">
        <v>8</v>
      </c>
      <c r="Y6580" t="s">
        <v>26097</v>
      </c>
      <c r="Z6580" t="s">
        <v>32711</v>
      </c>
      <c r="AA6580">
        <v>0.49294973568913247</v>
      </c>
      <c r="AB6580" t="str">
        <f>HYPERLINK("Melting_Curves/meltCurve_Q9Y6B6_SAR1B.pdf", "Melting_Curves/meltCurve_Q9Y6B6_SAR1B.pdf")</f>
        <v>Melting_Curves/meltCurve_Q9Y6B6_SAR1B.pdf</v>
      </c>
    </row>
    <row r="6581" spans="1:28" x14ac:dyDescent="0.25">
      <c r="A6581" t="s">
        <v>6584</v>
      </c>
      <c r="B6581">
        <v>0.99930955844802105</v>
      </c>
      <c r="C6581">
        <v>0.88547328117889401</v>
      </c>
      <c r="D6581">
        <v>0.81332923821733705</v>
      </c>
      <c r="E6581">
        <v>0.54721506556759503</v>
      </c>
      <c r="F6581">
        <v>0.29954682366166901</v>
      </c>
      <c r="G6581">
        <v>0.185969252594989</v>
      </c>
      <c r="H6581">
        <v>0.13484391929730799</v>
      </c>
      <c r="I6581">
        <v>0.119134885283495</v>
      </c>
      <c r="J6581">
        <v>9.9153812727149501E-2</v>
      </c>
      <c r="K6581">
        <v>7.2210947940593295E-2</v>
      </c>
      <c r="L6581">
        <v>786.02349021840405</v>
      </c>
      <c r="M6581">
        <v>15.799630210602</v>
      </c>
      <c r="N6581">
        <v>50.293352867659202</v>
      </c>
      <c r="O6581">
        <v>48.972945758132099</v>
      </c>
      <c r="P6581">
        <v>-7.4327303113357696E-2</v>
      </c>
      <c r="Q6581">
        <v>7.8528189085297004E-2</v>
      </c>
      <c r="R6581">
        <v>0.99586277280161495</v>
      </c>
      <c r="S6581" t="s">
        <v>13197</v>
      </c>
      <c r="T6581" t="s">
        <v>13232</v>
      </c>
      <c r="U6581" t="s">
        <v>13232</v>
      </c>
      <c r="V6581" t="s">
        <v>13232</v>
      </c>
      <c r="W6581" t="s">
        <v>19737</v>
      </c>
      <c r="X6581">
        <v>7</v>
      </c>
      <c r="Y6581" t="s">
        <v>26098</v>
      </c>
      <c r="Z6581" t="s">
        <v>32712</v>
      </c>
      <c r="AA6581">
        <v>0.39814692191530188</v>
      </c>
      <c r="AB6581" t="str">
        <f>HYPERLINK("Melting_Curves/meltCurve_Q9Y6B7_AP4B1.pdf", "Melting_Curves/meltCurve_Q9Y6B7_AP4B1.pdf")</f>
        <v>Melting_Curves/meltCurve_Q9Y6B7_AP4B1.pdf</v>
      </c>
    </row>
    <row r="6582" spans="1:28" x14ac:dyDescent="0.25">
      <c r="A6582" t="s">
        <v>6585</v>
      </c>
      <c r="B6582">
        <v>0.99930955844802105</v>
      </c>
      <c r="C6582">
        <v>0.82208106309654105</v>
      </c>
      <c r="D6582">
        <v>0.65891757510854199</v>
      </c>
      <c r="E6582">
        <v>0.73000431892990902</v>
      </c>
      <c r="F6582">
        <v>0.43080335720809598</v>
      </c>
      <c r="G6582">
        <v>0.24252917711056199</v>
      </c>
      <c r="H6582">
        <v>0.18812534805408501</v>
      </c>
      <c r="I6582">
        <v>0.18789089387453001</v>
      </c>
      <c r="J6582">
        <v>0.18406276630034599</v>
      </c>
      <c r="K6582">
        <v>0.14826398435110499</v>
      </c>
      <c r="L6582">
        <v>500.52409237573801</v>
      </c>
      <c r="M6582">
        <v>9.8508520810651596</v>
      </c>
      <c r="N6582">
        <v>51.662693986696098</v>
      </c>
      <c r="O6582">
        <v>48.849200572691501</v>
      </c>
      <c r="P6582">
        <v>-4.6656991091708601E-2</v>
      </c>
      <c r="Q6582">
        <v>7.5010672469301098E-2</v>
      </c>
      <c r="R6582">
        <v>0.94783041233226495</v>
      </c>
      <c r="S6582" t="s">
        <v>13198</v>
      </c>
      <c r="T6582" t="s">
        <v>13232</v>
      </c>
      <c r="U6582" t="s">
        <v>13232</v>
      </c>
      <c r="V6582" t="s">
        <v>13232</v>
      </c>
      <c r="W6582" t="s">
        <v>19738</v>
      </c>
      <c r="X6582">
        <v>2</v>
      </c>
      <c r="Y6582" t="s">
        <v>26099</v>
      </c>
      <c r="Z6582" t="s">
        <v>32713</v>
      </c>
      <c r="AA6582">
        <v>0.44816934552340182</v>
      </c>
      <c r="AB6582" t="str">
        <f>HYPERLINK("Melting_Curves/meltCurve_Q9Y6C9_MTCH2.pdf", "Melting_Curves/meltCurve_Q9Y6C9_MTCH2.pdf")</f>
        <v>Melting_Curves/meltCurve_Q9Y6C9_MTCH2.pdf</v>
      </c>
    </row>
    <row r="6583" spans="1:28" x14ac:dyDescent="0.25">
      <c r="A6583" t="s">
        <v>6586</v>
      </c>
      <c r="B6583">
        <v>0.99930955844802105</v>
      </c>
      <c r="C6583">
        <v>0.70555626007387295</v>
      </c>
      <c r="D6583">
        <v>0.47719435638852298</v>
      </c>
      <c r="E6583">
        <v>0.32828279866867299</v>
      </c>
      <c r="F6583">
        <v>0.22260222775966901</v>
      </c>
      <c r="G6583">
        <v>0.15466612217768599</v>
      </c>
      <c r="H6583">
        <v>9.87716284461857E-2</v>
      </c>
      <c r="I6583">
        <v>9.2667903483943895E-2</v>
      </c>
      <c r="J6583">
        <v>7.6876712618745999E-2</v>
      </c>
      <c r="K6583">
        <v>5.0993585989382598E-2</v>
      </c>
      <c r="L6583">
        <v>646.52227779842201</v>
      </c>
      <c r="M6583">
        <v>14.104004172286899</v>
      </c>
      <c r="N6583">
        <v>46.384036883709697</v>
      </c>
      <c r="O6583">
        <v>44.947631388859399</v>
      </c>
      <c r="P6583">
        <v>-7.2472154348477494E-2</v>
      </c>
      <c r="Q6583">
        <v>7.6281662188873001E-2</v>
      </c>
      <c r="R6583">
        <v>0.979639879098406</v>
      </c>
      <c r="S6583" t="s">
        <v>13199</v>
      </c>
      <c r="T6583" t="s">
        <v>13232</v>
      </c>
      <c r="U6583" t="s">
        <v>13232</v>
      </c>
      <c r="V6583" t="s">
        <v>13232</v>
      </c>
      <c r="W6583" t="s">
        <v>19739</v>
      </c>
      <c r="X6583">
        <v>20</v>
      </c>
      <c r="Y6583" t="s">
        <v>26100</v>
      </c>
      <c r="Z6583" t="s">
        <v>32714</v>
      </c>
      <c r="AA6583">
        <v>0.28716527403344771</v>
      </c>
      <c r="AB6583" t="str">
        <f>HYPERLINK("Melting_Curves/meltCurve_Q9Y6D5_ARFGEF2.pdf", "Melting_Curves/meltCurve_Q9Y6D5_ARFGEF2.pdf")</f>
        <v>Melting_Curves/meltCurve_Q9Y6D5_ARFGEF2.pdf</v>
      </c>
    </row>
    <row r="6584" spans="1:28" x14ac:dyDescent="0.25">
      <c r="A6584" t="s">
        <v>6587</v>
      </c>
      <c r="B6584">
        <v>0.99930955844802105</v>
      </c>
      <c r="C6584">
        <v>0.85431614246947896</v>
      </c>
      <c r="D6584">
        <v>0.68598451440379404</v>
      </c>
      <c r="E6584">
        <v>0.49409078815653201</v>
      </c>
      <c r="F6584">
        <v>0.31595984729158699</v>
      </c>
      <c r="G6584">
        <v>0.20344544618886501</v>
      </c>
      <c r="H6584">
        <v>0.13472447521077899</v>
      </c>
      <c r="I6584">
        <v>0.12612786516421001</v>
      </c>
      <c r="J6584">
        <v>0.115027902405368</v>
      </c>
      <c r="K6584">
        <v>9.0516969329259206E-2</v>
      </c>
      <c r="L6584">
        <v>632.19305664997705</v>
      </c>
      <c r="M6584">
        <v>12.956668175372201</v>
      </c>
      <c r="N6584">
        <v>49.459696783017897</v>
      </c>
      <c r="O6584">
        <v>47.674429102489498</v>
      </c>
      <c r="P6584">
        <v>-6.2509760008201701E-2</v>
      </c>
      <c r="Q6584">
        <v>8.0138869734599993E-2</v>
      </c>
      <c r="R6584">
        <v>0.99584563193989895</v>
      </c>
      <c r="S6584" t="s">
        <v>13200</v>
      </c>
      <c r="T6584" t="s">
        <v>13232</v>
      </c>
      <c r="U6584" t="s">
        <v>13232</v>
      </c>
      <c r="V6584" t="s">
        <v>13232</v>
      </c>
      <c r="W6584" t="s">
        <v>19740</v>
      </c>
      <c r="X6584">
        <v>41</v>
      </c>
      <c r="Y6584" t="s">
        <v>26101</v>
      </c>
      <c r="Z6584" t="s">
        <v>32715</v>
      </c>
      <c r="AA6584">
        <v>0.37970685013988109</v>
      </c>
      <c r="AB6584" t="str">
        <f>HYPERLINK("Melting_Curves/meltCurve_Q9Y6D6_ARFGEF1.pdf", "Melting_Curves/meltCurve_Q9Y6D6_ARFGEF1.pdf")</f>
        <v>Melting_Curves/meltCurve_Q9Y6D6_ARFGEF1.pdf</v>
      </c>
    </row>
    <row r="6585" spans="1:28" x14ac:dyDescent="0.25">
      <c r="A6585" t="s">
        <v>6588</v>
      </c>
      <c r="B6585">
        <v>0.99930955844802105</v>
      </c>
      <c r="C6585">
        <v>0.94549669716595497</v>
      </c>
      <c r="D6585">
        <v>0.83039823551769798</v>
      </c>
      <c r="E6585">
        <v>0.419104967769518</v>
      </c>
      <c r="F6585">
        <v>0.24988302898114301</v>
      </c>
      <c r="G6585">
        <v>0.17821706287914499</v>
      </c>
      <c r="H6585">
        <v>0.11781689375565101</v>
      </c>
      <c r="I6585">
        <v>0.104530291313264</v>
      </c>
      <c r="J6585">
        <v>9.5859330189817196E-2</v>
      </c>
      <c r="K6585">
        <v>6.1661404361902199E-2</v>
      </c>
      <c r="L6585">
        <v>1026.8374891045701</v>
      </c>
      <c r="M6585">
        <v>21.0072805708743</v>
      </c>
      <c r="N6585">
        <v>49.383820157113803</v>
      </c>
      <c r="O6585">
        <v>48.443611740005998</v>
      </c>
      <c r="P6585">
        <v>-9.7958341664709903E-2</v>
      </c>
      <c r="Q6585">
        <v>9.6441232975584198E-2</v>
      </c>
      <c r="R6585">
        <v>0.99678803014487305</v>
      </c>
      <c r="S6585" t="s">
        <v>13201</v>
      </c>
      <c r="T6585" t="s">
        <v>13232</v>
      </c>
      <c r="U6585" t="s">
        <v>13232</v>
      </c>
      <c r="V6585" t="s">
        <v>13232</v>
      </c>
      <c r="W6585" t="s">
        <v>19741</v>
      </c>
      <c r="X6585">
        <v>29</v>
      </c>
      <c r="Y6585" t="s">
        <v>26102</v>
      </c>
      <c r="Z6585" t="s">
        <v>32716</v>
      </c>
      <c r="AA6585">
        <v>0.37535498813944618</v>
      </c>
      <c r="AB6585" t="str">
        <f>HYPERLINK("Melting_Curves/meltCurve_Q9Y6D9_MAD1L1.pdf", "Melting_Curves/meltCurve_Q9Y6D9_MAD1L1.pdf")</f>
        <v>Melting_Curves/meltCurve_Q9Y6D9_MAD1L1.pdf</v>
      </c>
    </row>
    <row r="6586" spans="1:28" x14ac:dyDescent="0.25">
      <c r="A6586" t="s">
        <v>6589</v>
      </c>
      <c r="B6586">
        <v>0.99930955844802105</v>
      </c>
      <c r="C6586">
        <v>0.94932572683689098</v>
      </c>
      <c r="D6586">
        <v>0.61159626006265599</v>
      </c>
      <c r="E6586">
        <v>0.450674645145002</v>
      </c>
      <c r="F6586">
        <v>0.214902989912263</v>
      </c>
      <c r="G6586">
        <v>0.12598669423989201</v>
      </c>
      <c r="H6586">
        <v>7.2040857676241604E-2</v>
      </c>
      <c r="I6586">
        <v>6.1099794902722299E-2</v>
      </c>
      <c r="J6586">
        <v>5.3870648020068898E-2</v>
      </c>
      <c r="K6586">
        <v>4.2228538990579802E-2</v>
      </c>
      <c r="L6586">
        <v>756.78424554974004</v>
      </c>
      <c r="M6586">
        <v>15.6691940369645</v>
      </c>
      <c r="N6586">
        <v>48.560238185166199</v>
      </c>
      <c r="O6586">
        <v>47.5314534551473</v>
      </c>
      <c r="P6586">
        <v>-7.90733229336993E-2</v>
      </c>
      <c r="Q6586">
        <v>4.0627090279141E-2</v>
      </c>
      <c r="R6586">
        <v>0.98682506920800594</v>
      </c>
      <c r="S6586" t="s">
        <v>13202</v>
      </c>
      <c r="T6586" t="s">
        <v>13232</v>
      </c>
      <c r="U6586" t="s">
        <v>13232</v>
      </c>
      <c r="V6586" t="s">
        <v>13232</v>
      </c>
      <c r="W6586" t="s">
        <v>19742</v>
      </c>
      <c r="X6586">
        <v>23</v>
      </c>
      <c r="Y6586" t="s">
        <v>26103</v>
      </c>
      <c r="Z6586" t="s">
        <v>32717</v>
      </c>
      <c r="AA6586">
        <v>0.32832869675744492</v>
      </c>
      <c r="AB6586" t="str">
        <f>HYPERLINK("Melting_Curves/meltCurve_Q9Y6E0_2_STK24.pdf", "Melting_Curves/meltCurve_Q9Y6E0_2_STK24.pdf")</f>
        <v>Melting_Curves/meltCurve_Q9Y6E0_2_STK24.pdf</v>
      </c>
    </row>
    <row r="6587" spans="1:28" x14ac:dyDescent="0.25">
      <c r="A6587" t="s">
        <v>6590</v>
      </c>
      <c r="B6587">
        <v>0.99930955844802105</v>
      </c>
      <c r="C6587">
        <v>0.81172198569048704</v>
      </c>
      <c r="D6587">
        <v>0.81190580346760799</v>
      </c>
      <c r="E6587">
        <v>0.81988914563217796</v>
      </c>
      <c r="F6587">
        <v>0.73478305480669504</v>
      </c>
      <c r="G6587">
        <v>0.34423908978381301</v>
      </c>
      <c r="H6587">
        <v>0.191958547921845</v>
      </c>
      <c r="I6587">
        <v>0.14436967263280301</v>
      </c>
      <c r="J6587">
        <v>0.112583370351588</v>
      </c>
      <c r="K6587">
        <v>8.6244951726113905E-2</v>
      </c>
      <c r="L6587">
        <v>673.96932393269105</v>
      </c>
      <c r="M6587">
        <v>12.2217014819618</v>
      </c>
      <c r="N6587">
        <v>55.145294203602901</v>
      </c>
      <c r="O6587">
        <v>53.731247887273199</v>
      </c>
      <c r="P6587">
        <v>-5.6877731380072502E-2</v>
      </c>
      <c r="Q6587">
        <v>0</v>
      </c>
      <c r="R6587">
        <v>0.95109194093524296</v>
      </c>
      <c r="S6587" t="s">
        <v>13203</v>
      </c>
      <c r="T6587" t="s">
        <v>13232</v>
      </c>
      <c r="U6587" t="s">
        <v>13232</v>
      </c>
      <c r="V6587" t="s">
        <v>13232</v>
      </c>
      <c r="W6587" t="s">
        <v>19743</v>
      </c>
      <c r="X6587">
        <v>6</v>
      </c>
      <c r="Y6587" t="s">
        <v>26104</v>
      </c>
      <c r="Z6587" t="s">
        <v>32718</v>
      </c>
      <c r="AA6587">
        <v>0.52759621051304995</v>
      </c>
      <c r="AB6587" t="str">
        <f>HYPERLINK("Melting_Curves/meltCurve_Q9Y6G5_COMMD10.pdf", "Melting_Curves/meltCurve_Q9Y6G5_COMMD10.pdf")</f>
        <v>Melting_Curves/meltCurve_Q9Y6G5_COMMD10.pdf</v>
      </c>
    </row>
    <row r="6588" spans="1:28" x14ac:dyDescent="0.25">
      <c r="A6588" t="s">
        <v>6591</v>
      </c>
      <c r="B6588">
        <v>0.99930955844802105</v>
      </c>
      <c r="C6588">
        <v>0.91110276920947697</v>
      </c>
      <c r="D6588">
        <v>0.88628092662661395</v>
      </c>
      <c r="E6588">
        <v>0.73560203915550004</v>
      </c>
      <c r="F6588">
        <v>0.514270265164395</v>
      </c>
      <c r="G6588">
        <v>0.38094548454064397</v>
      </c>
      <c r="H6588">
        <v>0.27954018093393201</v>
      </c>
      <c r="I6588">
        <v>0.27050718102993299</v>
      </c>
      <c r="J6588">
        <v>0.25476698956466298</v>
      </c>
      <c r="K6588">
        <v>0.194159440972243</v>
      </c>
      <c r="L6588">
        <v>707.22964576497202</v>
      </c>
      <c r="M6588">
        <v>13.619981839554701</v>
      </c>
      <c r="N6588">
        <v>53.895557713373499</v>
      </c>
      <c r="O6588">
        <v>50.844858881470998</v>
      </c>
      <c r="P6588">
        <v>-5.3846884848844402E-2</v>
      </c>
      <c r="Q6588">
        <v>0.19605357210683599</v>
      </c>
      <c r="R6588">
        <v>0.99333021523575205</v>
      </c>
      <c r="S6588" t="s">
        <v>13204</v>
      </c>
      <c r="T6588" t="s">
        <v>13232</v>
      </c>
      <c r="U6588" t="s">
        <v>13232</v>
      </c>
      <c r="V6588" t="s">
        <v>13232</v>
      </c>
      <c r="W6588" t="s">
        <v>19744</v>
      </c>
      <c r="X6588">
        <v>21</v>
      </c>
      <c r="Y6588" t="s">
        <v>26105</v>
      </c>
      <c r="Z6588" t="s">
        <v>32719</v>
      </c>
      <c r="AA6588">
        <v>0.53644612394217084</v>
      </c>
      <c r="AB6588" t="str">
        <f>HYPERLINK("Melting_Curves/meltCurve_Q9Y6G9_DYNC1LI1.pdf", "Melting_Curves/meltCurve_Q9Y6G9_DYNC1LI1.pdf")</f>
        <v>Melting_Curves/meltCurve_Q9Y6G9_DYNC1LI1.pdf</v>
      </c>
    </row>
    <row r="6589" spans="1:28" x14ac:dyDescent="0.25">
      <c r="A6589" t="s">
        <v>6592</v>
      </c>
      <c r="B6589">
        <v>0.99930955844802105</v>
      </c>
      <c r="C6589">
        <v>1.1825246522988999</v>
      </c>
      <c r="D6589">
        <v>1.21357519725019</v>
      </c>
      <c r="E6589">
        <v>1.19610529353197</v>
      </c>
      <c r="F6589">
        <v>1.1162289831575201</v>
      </c>
      <c r="G6589">
        <v>1.09328361291062</v>
      </c>
      <c r="H6589">
        <v>1.1135506592797899</v>
      </c>
      <c r="I6589">
        <v>1.2257529078306</v>
      </c>
      <c r="J6589">
        <v>1.2216865844107401</v>
      </c>
      <c r="K6589">
        <v>1.0277125548408701</v>
      </c>
      <c r="L6589">
        <v>10278.9697234336</v>
      </c>
      <c r="M6589">
        <v>250</v>
      </c>
      <c r="O6589">
        <v>41.113247760866201</v>
      </c>
      <c r="P6589">
        <v>0.23485663284935199</v>
      </c>
      <c r="Q6589">
        <v>1.15449150273273</v>
      </c>
      <c r="R6589">
        <v>0.35979775955968402</v>
      </c>
      <c r="S6589" t="s">
        <v>13205</v>
      </c>
      <c r="T6589" t="s">
        <v>13232</v>
      </c>
      <c r="U6589" t="s">
        <v>13232</v>
      </c>
      <c r="V6589" t="s">
        <v>13232</v>
      </c>
      <c r="W6589" t="s">
        <v>19745</v>
      </c>
      <c r="X6589">
        <v>5</v>
      </c>
      <c r="Y6589" t="s">
        <v>26106</v>
      </c>
      <c r="Z6589" t="s">
        <v>32720</v>
      </c>
      <c r="AA6589">
        <v>1.1487331508281931</v>
      </c>
      <c r="AB6589" t="str">
        <f>HYPERLINK("Melting_Curves/meltCurve_Q9Y6H1_CHCHD2.pdf", "Melting_Curves/meltCurve_Q9Y6H1_CHCHD2.pdf")</f>
        <v>Melting_Curves/meltCurve_Q9Y6H1_CHCHD2.pdf</v>
      </c>
    </row>
    <row r="6590" spans="1:28" x14ac:dyDescent="0.25">
      <c r="A6590" t="s">
        <v>6593</v>
      </c>
      <c r="B6590">
        <v>0.99930955844802105</v>
      </c>
      <c r="C6590">
        <v>0.93783241472227397</v>
      </c>
      <c r="D6590">
        <v>0.961533745781187</v>
      </c>
      <c r="E6590">
        <v>0.89596962152760196</v>
      </c>
      <c r="F6590">
        <v>0.65757917540282196</v>
      </c>
      <c r="G6590">
        <v>0.36928112644208499</v>
      </c>
      <c r="H6590">
        <v>0.20992573499909001</v>
      </c>
      <c r="I6590">
        <v>0.200512531609426</v>
      </c>
      <c r="J6590">
        <v>0.171405012474768</v>
      </c>
      <c r="K6590">
        <v>0.142419289191693</v>
      </c>
      <c r="L6590">
        <v>1155.8848693048999</v>
      </c>
      <c r="M6590">
        <v>21.365564458107301</v>
      </c>
      <c r="N6590">
        <v>55.029892487359</v>
      </c>
      <c r="O6590">
        <v>53.633115480337104</v>
      </c>
      <c r="P6590">
        <v>-8.4508032907706296E-2</v>
      </c>
      <c r="Q6590">
        <v>0.15147280012119599</v>
      </c>
      <c r="R6590">
        <v>0.99578168793677702</v>
      </c>
      <c r="S6590" t="s">
        <v>13206</v>
      </c>
      <c r="T6590" t="s">
        <v>13232</v>
      </c>
      <c r="U6590" t="s">
        <v>13232</v>
      </c>
      <c r="V6590" t="s">
        <v>13232</v>
      </c>
      <c r="W6590" t="s">
        <v>19746</v>
      </c>
      <c r="X6590">
        <v>18</v>
      </c>
      <c r="Y6590" t="s">
        <v>26107</v>
      </c>
      <c r="Z6590" t="s">
        <v>32721</v>
      </c>
      <c r="AA6590">
        <v>0.56062533128120351</v>
      </c>
      <c r="AB6590" t="str">
        <f>HYPERLINK("Melting_Curves/meltCurve_Q9Y6I3_EPN1.pdf", "Melting_Curves/meltCurve_Q9Y6I3_EPN1.pdf")</f>
        <v>Melting_Curves/meltCurve_Q9Y6I3_EPN1.pdf</v>
      </c>
    </row>
    <row r="6591" spans="1:28" x14ac:dyDescent="0.25">
      <c r="A6591" t="s">
        <v>6594</v>
      </c>
      <c r="B6591">
        <v>0.99930955844802105</v>
      </c>
      <c r="C6591">
        <v>1.0301223873097001</v>
      </c>
      <c r="D6591">
        <v>0.95165597493771903</v>
      </c>
      <c r="E6591">
        <v>0.64616349560390995</v>
      </c>
      <c r="F6591">
        <v>0.38052330972256698</v>
      </c>
      <c r="G6591">
        <v>0.25127489914642298</v>
      </c>
      <c r="H6591">
        <v>0.148003815645046</v>
      </c>
      <c r="I6591">
        <v>0.119064969574341</v>
      </c>
      <c r="J6591">
        <v>0.112354267188938</v>
      </c>
      <c r="K6591">
        <v>7.9184658387519993E-2</v>
      </c>
      <c r="L6591">
        <v>1070.2321840197801</v>
      </c>
      <c r="M6591">
        <v>20.9149988207968</v>
      </c>
      <c r="N6591">
        <v>51.776417748736499</v>
      </c>
      <c r="O6591">
        <v>50.709650105411697</v>
      </c>
      <c r="P6591">
        <v>-9.1921883960523504E-2</v>
      </c>
      <c r="Q6591">
        <v>0.10854407513495699</v>
      </c>
      <c r="R6591">
        <v>0.99499951034083101</v>
      </c>
      <c r="S6591" t="s">
        <v>13207</v>
      </c>
      <c r="T6591" t="s">
        <v>13232</v>
      </c>
      <c r="U6591" t="s">
        <v>13232</v>
      </c>
      <c r="V6591" t="s">
        <v>13232</v>
      </c>
      <c r="W6591" t="s">
        <v>19747</v>
      </c>
      <c r="X6591">
        <v>16</v>
      </c>
      <c r="Y6591" t="s">
        <v>26108</v>
      </c>
      <c r="Z6591" t="s">
        <v>32722</v>
      </c>
      <c r="AA6591">
        <v>0.45185553829613062</v>
      </c>
      <c r="AB6591" t="str">
        <f>HYPERLINK("Melting_Curves/meltCurve_Q9Y6I4_USP3.pdf", "Melting_Curves/meltCurve_Q9Y6I4_USP3.pdf")</f>
        <v>Melting_Curves/meltCurve_Q9Y6I4_USP3.pdf</v>
      </c>
    </row>
    <row r="6592" spans="1:28" x14ac:dyDescent="0.25">
      <c r="A6592" t="s">
        <v>6595</v>
      </c>
      <c r="B6592">
        <v>0.99930955844802105</v>
      </c>
      <c r="C6592">
        <v>1.0011388514511801</v>
      </c>
      <c r="D6592">
        <v>1.0094912866837999</v>
      </c>
      <c r="E6592">
        <v>1.03633672493971</v>
      </c>
      <c r="F6592">
        <v>0.82265261082806196</v>
      </c>
      <c r="G6592">
        <v>0.699637262930626</v>
      </c>
      <c r="H6592">
        <v>0.73455745214687895</v>
      </c>
      <c r="I6592">
        <v>0.81618692801040404</v>
      </c>
      <c r="J6592">
        <v>0.79876390955329701</v>
      </c>
      <c r="K6592">
        <v>0.666417707830541</v>
      </c>
      <c r="L6592">
        <v>13207.5020311802</v>
      </c>
      <c r="M6592">
        <v>250</v>
      </c>
      <c r="O6592">
        <v>52.826637239812598</v>
      </c>
      <c r="P6592">
        <v>-0.30392741047912297</v>
      </c>
      <c r="Q6592">
        <v>0.74311263926109306</v>
      </c>
      <c r="R6592">
        <v>0.90100170654954104</v>
      </c>
      <c r="S6592" t="s">
        <v>13208</v>
      </c>
      <c r="T6592" t="s">
        <v>13232</v>
      </c>
      <c r="U6592" t="s">
        <v>13232</v>
      </c>
      <c r="V6592" t="s">
        <v>13232</v>
      </c>
      <c r="W6592" t="s">
        <v>19748</v>
      </c>
      <c r="X6592">
        <v>1</v>
      </c>
      <c r="Y6592" t="s">
        <v>26109</v>
      </c>
      <c r="Z6592" t="s">
        <v>32723</v>
      </c>
      <c r="AA6592">
        <v>0.85299868763632758</v>
      </c>
      <c r="AB6592" t="str">
        <f>HYPERLINK("Melting_Curves/meltCurve_Q9Y6I9_TEX264.pdf", "Melting_Curves/meltCurve_Q9Y6I9_TEX264.pdf")</f>
        <v>Melting_Curves/meltCurve_Q9Y6I9_TEX264.pdf</v>
      </c>
    </row>
    <row r="6593" spans="1:28" x14ac:dyDescent="0.25">
      <c r="A6593" t="s">
        <v>6596</v>
      </c>
      <c r="B6593">
        <v>0.99930955844802105</v>
      </c>
      <c r="C6593">
        <v>0.73973245249089603</v>
      </c>
      <c r="D6593">
        <v>0.75832924411966296</v>
      </c>
      <c r="E6593">
        <v>0.71059836932516396</v>
      </c>
      <c r="F6593">
        <v>0.50429542331122901</v>
      </c>
      <c r="G6593">
        <v>0.30532881353720198</v>
      </c>
      <c r="H6593">
        <v>0.24740732768891299</v>
      </c>
      <c r="I6593">
        <v>0.251801617716156</v>
      </c>
      <c r="J6593">
        <v>0.21964320019713801</v>
      </c>
      <c r="K6593">
        <v>0.17058549649787999</v>
      </c>
      <c r="L6593">
        <v>429.92076002916599</v>
      </c>
      <c r="M6593">
        <v>8.2698873493727696</v>
      </c>
      <c r="N6593">
        <v>52.939544359438898</v>
      </c>
      <c r="O6593">
        <v>49.212415761826101</v>
      </c>
      <c r="P6593">
        <v>-3.9143989197717097E-2</v>
      </c>
      <c r="Q6593">
        <v>6.9178174093527306E-2</v>
      </c>
      <c r="R6593">
        <v>0.951950886355443</v>
      </c>
      <c r="S6593" t="s">
        <v>13209</v>
      </c>
      <c r="T6593" t="s">
        <v>13232</v>
      </c>
      <c r="U6593" t="s">
        <v>13232</v>
      </c>
      <c r="V6593" t="s">
        <v>13232</v>
      </c>
      <c r="W6593" t="s">
        <v>19749</v>
      </c>
      <c r="X6593">
        <v>5</v>
      </c>
      <c r="Y6593" t="s">
        <v>26110</v>
      </c>
      <c r="Z6593" t="s">
        <v>32724</v>
      </c>
      <c r="AA6593">
        <v>0.48375885893902948</v>
      </c>
      <c r="AB6593" t="str">
        <f>HYPERLINK("Melting_Curves/meltCurve_Q9Y6J9_TAF6L.pdf", "Melting_Curves/meltCurve_Q9Y6J9_TAF6L.pdf")</f>
        <v>Melting_Curves/meltCurve_Q9Y6J9_TAF6L.pdf</v>
      </c>
    </row>
    <row r="6594" spans="1:28" x14ac:dyDescent="0.25">
      <c r="A6594" t="s">
        <v>6597</v>
      </c>
      <c r="B6594">
        <v>0.99930955844802105</v>
      </c>
      <c r="C6594">
        <v>0.73284527076138395</v>
      </c>
      <c r="D6594">
        <v>0.56275542918198196</v>
      </c>
      <c r="E6594">
        <v>0.65639606330256095</v>
      </c>
      <c r="F6594">
        <v>0.45510256510103397</v>
      </c>
      <c r="G6594">
        <v>0.151354472054613</v>
      </c>
      <c r="H6594">
        <v>0.18145904123097401</v>
      </c>
      <c r="I6594">
        <v>5.12627669997908E-2</v>
      </c>
      <c r="J6594">
        <v>6.2295045151674897E-3</v>
      </c>
      <c r="K6594">
        <v>2.7974908025595002E-2</v>
      </c>
      <c r="L6594">
        <v>479.28539122549699</v>
      </c>
      <c r="M6594">
        <v>9.5881499722335395</v>
      </c>
      <c r="N6594">
        <v>49.987264781058897</v>
      </c>
      <c r="O6594">
        <v>47.957934915203097</v>
      </c>
      <c r="P6594">
        <v>-5.0010626236346903E-2</v>
      </c>
      <c r="Q6594">
        <v>0</v>
      </c>
      <c r="R6594">
        <v>0.92223624241878599</v>
      </c>
      <c r="S6594" t="s">
        <v>13210</v>
      </c>
      <c r="T6594" t="s">
        <v>13232</v>
      </c>
      <c r="U6594" t="s">
        <v>13232</v>
      </c>
      <c r="V6594" t="s">
        <v>13232</v>
      </c>
      <c r="W6594" t="s">
        <v>19750</v>
      </c>
      <c r="X6594">
        <v>1</v>
      </c>
      <c r="Y6594" t="s">
        <v>26111</v>
      </c>
      <c r="Z6594" t="s">
        <v>32725</v>
      </c>
      <c r="AA6594">
        <v>0.38079041373212202</v>
      </c>
      <c r="AB6594" t="str">
        <f>HYPERLINK("Melting_Curves/meltCurve_Q9Y6K0_CEPT1.pdf", "Melting_Curves/meltCurve_Q9Y6K0_CEPT1.pdf")</f>
        <v>Melting_Curves/meltCurve_Q9Y6K0_CEPT1.pdf</v>
      </c>
    </row>
    <row r="6595" spans="1:28" x14ac:dyDescent="0.25">
      <c r="A6595" t="s">
        <v>6598</v>
      </c>
      <c r="B6595">
        <v>0.99930955844802105</v>
      </c>
      <c r="C6595">
        <v>0.80749802701190998</v>
      </c>
      <c r="D6595">
        <v>0.702035211751037</v>
      </c>
      <c r="E6595">
        <v>0.53751392929495001</v>
      </c>
      <c r="F6595">
        <v>0.31148033694960198</v>
      </c>
      <c r="G6595">
        <v>0.236158486582073</v>
      </c>
      <c r="H6595">
        <v>0.18287809594569401</v>
      </c>
      <c r="I6595">
        <v>0.17289629246608601</v>
      </c>
      <c r="J6595">
        <v>0.148574732943931</v>
      </c>
      <c r="K6595">
        <v>0.124687089431968</v>
      </c>
      <c r="L6595">
        <v>597.09064266227904</v>
      </c>
      <c r="M6595">
        <v>12.265083314880901</v>
      </c>
      <c r="N6595">
        <v>49.7270555363379</v>
      </c>
      <c r="O6595">
        <v>47.4422798393134</v>
      </c>
      <c r="P6595">
        <v>-5.7302431275240803E-2</v>
      </c>
      <c r="Q6595">
        <v>0.113595591317436</v>
      </c>
      <c r="R6595">
        <v>0.988374636423349</v>
      </c>
      <c r="S6595" t="s">
        <v>13211</v>
      </c>
      <c r="T6595" t="s">
        <v>13232</v>
      </c>
      <c r="U6595" t="s">
        <v>13232</v>
      </c>
      <c r="V6595" t="s">
        <v>13232</v>
      </c>
      <c r="W6595" t="s">
        <v>19751</v>
      </c>
      <c r="X6595">
        <v>9</v>
      </c>
      <c r="Y6595" t="s">
        <v>26112</v>
      </c>
      <c r="Z6595" t="s">
        <v>32726</v>
      </c>
      <c r="AA6595">
        <v>0.40210864179853228</v>
      </c>
      <c r="AB6595" t="str">
        <f>HYPERLINK("Melting_Curves/meltCurve_Q9Y6K1_DNMT3A.pdf", "Melting_Curves/meltCurve_Q9Y6K1_DNMT3A.pdf")</f>
        <v>Melting_Curves/meltCurve_Q9Y6K1_DNMT3A.pdf</v>
      </c>
    </row>
    <row r="6596" spans="1:28" x14ac:dyDescent="0.25">
      <c r="A6596" t="s">
        <v>6599</v>
      </c>
      <c r="B6596">
        <v>0.99930955844802105</v>
      </c>
      <c r="C6596">
        <v>0.89872021398910396</v>
      </c>
      <c r="D6596">
        <v>0.852270429873628</v>
      </c>
      <c r="E6596">
        <v>0.86854111195815198</v>
      </c>
      <c r="F6596">
        <v>0.89302953577230604</v>
      </c>
      <c r="G6596">
        <v>0.890317875095053</v>
      </c>
      <c r="H6596">
        <v>0.94157841402787901</v>
      </c>
      <c r="I6596">
        <v>0.99344847280594795</v>
      </c>
      <c r="J6596">
        <v>1.1958236567829901</v>
      </c>
      <c r="K6596">
        <v>0.91503361344664003</v>
      </c>
      <c r="L6596">
        <v>10178.398118228</v>
      </c>
      <c r="M6596">
        <v>250</v>
      </c>
      <c r="O6596">
        <v>40.710965317837399</v>
      </c>
      <c r="P6596">
        <v>-9.4029459856054001E-2</v>
      </c>
      <c r="Q6596">
        <v>0.93875148580331502</v>
      </c>
      <c r="R6596">
        <v>3.6112412892277103E-2</v>
      </c>
      <c r="S6596" t="s">
        <v>13212</v>
      </c>
      <c r="T6596" t="s">
        <v>13232</v>
      </c>
      <c r="U6596" t="s">
        <v>13232</v>
      </c>
      <c r="V6596" t="s">
        <v>13232</v>
      </c>
      <c r="W6596" t="s">
        <v>19752</v>
      </c>
      <c r="X6596">
        <v>22</v>
      </c>
      <c r="Y6596" t="s">
        <v>26113</v>
      </c>
      <c r="Z6596" t="s">
        <v>32727</v>
      </c>
      <c r="AA6596">
        <v>0.94021640562559405</v>
      </c>
      <c r="AB6596" t="str">
        <f>HYPERLINK("Melting_Curves/meltCurve_Q9Y6K9_IKBKG.pdf", "Melting_Curves/meltCurve_Q9Y6K9_IKBKG.pdf")</f>
        <v>Melting_Curves/meltCurve_Q9Y6K9_IKBKG.pdf</v>
      </c>
    </row>
    <row r="6597" spans="1:28" x14ac:dyDescent="0.25">
      <c r="A6597" t="s">
        <v>6600</v>
      </c>
      <c r="B6597">
        <v>0.99930955844802105</v>
      </c>
      <c r="C6597">
        <v>0.74523532726042996</v>
      </c>
      <c r="D6597">
        <v>0.59315057188302001</v>
      </c>
      <c r="E6597">
        <v>0.40492080662515201</v>
      </c>
      <c r="F6597">
        <v>0.24427891602738699</v>
      </c>
      <c r="G6597">
        <v>0.16908634052545299</v>
      </c>
      <c r="H6597">
        <v>0.10047089775224401</v>
      </c>
      <c r="I6597">
        <v>8.6007177511197505E-2</v>
      </c>
      <c r="J6597">
        <v>7.9710737998198403E-2</v>
      </c>
      <c r="K6597">
        <v>6.2394020828223401E-2</v>
      </c>
      <c r="L6597">
        <v>590.031039807394</v>
      </c>
      <c r="M6597">
        <v>12.4603600974568</v>
      </c>
      <c r="N6597">
        <v>47.7838578138483</v>
      </c>
      <c r="O6597">
        <v>46.182616549285797</v>
      </c>
      <c r="P6597">
        <v>-6.3877916923230693E-2</v>
      </c>
      <c r="Q6597">
        <v>5.3178275868475698E-2</v>
      </c>
      <c r="R6597">
        <v>0.98803896061282603</v>
      </c>
      <c r="S6597" t="s">
        <v>13213</v>
      </c>
      <c r="T6597" t="s">
        <v>13232</v>
      </c>
      <c r="U6597" t="s">
        <v>13232</v>
      </c>
      <c r="V6597" t="s">
        <v>13232</v>
      </c>
      <c r="W6597" t="s">
        <v>19753</v>
      </c>
      <c r="X6597">
        <v>5</v>
      </c>
      <c r="Y6597" t="s">
        <v>26114</v>
      </c>
      <c r="Z6597" t="s">
        <v>32728</v>
      </c>
      <c r="AA6597">
        <v>0.32138789624525971</v>
      </c>
      <c r="AB6597" t="str">
        <f>HYPERLINK("Melting_Curves/meltCurve_Q9Y6M1_1_IGF2BP2.pdf", "Melting_Curves/meltCurve_Q9Y6M1_1_IGF2BP2.pdf")</f>
        <v>Melting_Curves/meltCurve_Q9Y6M1_1_IGF2BP2.pdf</v>
      </c>
    </row>
    <row r="6598" spans="1:28" x14ac:dyDescent="0.25">
      <c r="A6598" t="s">
        <v>6601</v>
      </c>
      <c r="B6598">
        <v>0.99930955844802105</v>
      </c>
      <c r="C6598">
        <v>0.95355629985304702</v>
      </c>
      <c r="D6598">
        <v>0.92113014613921995</v>
      </c>
      <c r="E6598">
        <v>0.78476284444077504</v>
      </c>
      <c r="F6598">
        <v>0.583168997896515</v>
      </c>
      <c r="G6598">
        <v>0.25123938620321101</v>
      </c>
      <c r="H6598">
        <v>0.18800865694086699</v>
      </c>
      <c r="I6598">
        <v>0.25054355121768801</v>
      </c>
      <c r="J6598">
        <v>0.33241233704105599</v>
      </c>
      <c r="K6598">
        <v>0.12663248704675101</v>
      </c>
      <c r="L6598">
        <v>1217.66535897375</v>
      </c>
      <c r="M6598">
        <v>23.299212128646499</v>
      </c>
      <c r="N6598">
        <v>53.4842840230368</v>
      </c>
      <c r="O6598">
        <v>51.881654533990499</v>
      </c>
      <c r="P6598">
        <v>-8.9098687101915097E-2</v>
      </c>
      <c r="Q6598">
        <v>0.20641005721677899</v>
      </c>
      <c r="R6598">
        <v>0.96928057306191695</v>
      </c>
      <c r="S6598" t="s">
        <v>13214</v>
      </c>
      <c r="T6598" t="s">
        <v>13232</v>
      </c>
      <c r="U6598" t="s">
        <v>13232</v>
      </c>
      <c r="V6598" t="s">
        <v>13232</v>
      </c>
      <c r="W6598" t="s">
        <v>19754</v>
      </c>
      <c r="X6598">
        <v>3</v>
      </c>
      <c r="Y6598" t="s">
        <v>26115</v>
      </c>
      <c r="Z6598" t="s">
        <v>32729</v>
      </c>
      <c r="AA6598">
        <v>0.53907904724733013</v>
      </c>
      <c r="AB6598" t="str">
        <f>HYPERLINK("Melting_Curves/meltCurve_Q9Y6M4_3_CSNK1G3.pdf", "Melting_Curves/meltCurve_Q9Y6M4_3_CSNK1G3.pdf")</f>
        <v>Melting_Curves/meltCurve_Q9Y6M4_3_CSNK1G3.pdf</v>
      </c>
    </row>
    <row r="6599" spans="1:28" x14ac:dyDescent="0.25">
      <c r="A6599" t="s">
        <v>6602</v>
      </c>
      <c r="B6599">
        <v>0.99930955844802105</v>
      </c>
      <c r="C6599">
        <v>1.05364702069826</v>
      </c>
      <c r="D6599">
        <v>1.1080096616189701</v>
      </c>
      <c r="E6599">
        <v>1.01070596689621</v>
      </c>
      <c r="F6599">
        <v>0.82775439855527899</v>
      </c>
      <c r="G6599">
        <v>0.73544134985754595</v>
      </c>
      <c r="H6599">
        <v>0.68462109526468795</v>
      </c>
      <c r="I6599">
        <v>0.72355034118094996</v>
      </c>
      <c r="J6599">
        <v>0.68797602349402398</v>
      </c>
      <c r="K6599">
        <v>0.55860264805598103</v>
      </c>
      <c r="L6599">
        <v>1761.7729296985001</v>
      </c>
      <c r="M6599">
        <v>32.934565691866403</v>
      </c>
      <c r="O6599">
        <v>53.2970704785698</v>
      </c>
      <c r="P6599">
        <v>-5.15737491952983E-2</v>
      </c>
      <c r="Q6599">
        <v>0.66616021252666202</v>
      </c>
      <c r="R6599">
        <v>0.89539845788455497</v>
      </c>
      <c r="S6599" t="s">
        <v>13215</v>
      </c>
      <c r="T6599" t="s">
        <v>13232</v>
      </c>
      <c r="U6599" t="s">
        <v>13232</v>
      </c>
      <c r="V6599" t="s">
        <v>13232</v>
      </c>
      <c r="W6599" t="s">
        <v>19755</v>
      </c>
      <c r="X6599">
        <v>5</v>
      </c>
      <c r="Y6599" t="s">
        <v>26116</v>
      </c>
      <c r="Z6599" t="s">
        <v>32730</v>
      </c>
      <c r="AA6599">
        <v>0.81812664939288959</v>
      </c>
      <c r="AB6599" t="str">
        <f>HYPERLINK("Melting_Curves/meltCurve_Q9Y6M5_SLC30A1.pdf", "Melting_Curves/meltCurve_Q9Y6M5_SLC30A1.pdf")</f>
        <v>Melting_Curves/meltCurve_Q9Y6M5_SLC30A1.pdf</v>
      </c>
    </row>
    <row r="6600" spans="1:28" x14ac:dyDescent="0.25">
      <c r="A6600" t="s">
        <v>6603</v>
      </c>
      <c r="B6600">
        <v>0.99930955844802105</v>
      </c>
      <c r="C6600">
        <v>1.12728783117013</v>
      </c>
      <c r="D6600">
        <v>1.1629771301143701</v>
      </c>
      <c r="E6600">
        <v>1.1274139105926799</v>
      </c>
      <c r="F6600">
        <v>1.05869384570402</v>
      </c>
      <c r="G6600">
        <v>1.04843986605035</v>
      </c>
      <c r="H6600">
        <v>1.00463997378609</v>
      </c>
      <c r="I6600">
        <v>1.10047894732143</v>
      </c>
      <c r="J6600">
        <v>1.0889609316889</v>
      </c>
      <c r="K6600">
        <v>0.41395483367230801</v>
      </c>
      <c r="L6600">
        <v>15000</v>
      </c>
      <c r="M6600">
        <v>214.633208488208</v>
      </c>
      <c r="N6600">
        <v>69.886669011309607</v>
      </c>
      <c r="O6600">
        <v>69.880601477057397</v>
      </c>
      <c r="P6600">
        <v>-0.76785690116963001</v>
      </c>
      <c r="Q6600">
        <v>0</v>
      </c>
      <c r="R6600">
        <v>0.80486691752114103</v>
      </c>
      <c r="S6600" t="s">
        <v>13216</v>
      </c>
      <c r="T6600" t="s">
        <v>13232</v>
      </c>
      <c r="U6600" t="s">
        <v>13232</v>
      </c>
      <c r="V6600" t="s">
        <v>13232</v>
      </c>
      <c r="W6600" t="s">
        <v>19756</v>
      </c>
      <c r="X6600">
        <v>7</v>
      </c>
      <c r="Y6600" t="s">
        <v>26117</v>
      </c>
      <c r="Z6600" t="s">
        <v>32731</v>
      </c>
      <c r="AA6600">
        <v>0.99050653879503192</v>
      </c>
      <c r="AB6600" t="str">
        <f>HYPERLINK("Melting_Curves/meltCurve_Q9Y6M7_6_SLC4A7.pdf", "Melting_Curves/meltCurve_Q9Y6M7_6_SLC4A7.pdf")</f>
        <v>Melting_Curves/meltCurve_Q9Y6M7_6_SLC4A7.pdf</v>
      </c>
    </row>
    <row r="6601" spans="1:28" x14ac:dyDescent="0.25">
      <c r="A6601" t="s">
        <v>6604</v>
      </c>
      <c r="B6601">
        <v>0.99930955844802105</v>
      </c>
      <c r="C6601">
        <v>1.03468664184749</v>
      </c>
      <c r="D6601">
        <v>1.01930367216166</v>
      </c>
      <c r="E6601">
        <v>0.92810545690728297</v>
      </c>
      <c r="F6601">
        <v>0.67834943799483305</v>
      </c>
      <c r="G6601">
        <v>0.58818142364062098</v>
      </c>
      <c r="H6601">
        <v>0.57480377543292605</v>
      </c>
      <c r="I6601">
        <v>0.63547231782094304</v>
      </c>
      <c r="J6601">
        <v>0.595556318216519</v>
      </c>
      <c r="K6601">
        <v>0.50106555078620496</v>
      </c>
      <c r="L6601">
        <v>2430.7157210257801</v>
      </c>
      <c r="M6601">
        <v>47.021748479458701</v>
      </c>
      <c r="O6601">
        <v>51.600199744151602</v>
      </c>
      <c r="P6601">
        <v>-9.617847883168E-2</v>
      </c>
      <c r="Q6601">
        <v>0.57782742564782597</v>
      </c>
      <c r="R6601">
        <v>0.972581056958152</v>
      </c>
      <c r="S6601" t="s">
        <v>13217</v>
      </c>
      <c r="T6601" t="s">
        <v>13232</v>
      </c>
      <c r="U6601" t="s">
        <v>13232</v>
      </c>
      <c r="V6601" t="s">
        <v>13232</v>
      </c>
      <c r="W6601" t="s">
        <v>19757</v>
      </c>
      <c r="X6601">
        <v>21</v>
      </c>
      <c r="Y6601" t="s">
        <v>26118</v>
      </c>
      <c r="Z6601" t="s">
        <v>32732</v>
      </c>
      <c r="AA6601">
        <v>0.74347147842612604</v>
      </c>
      <c r="AB6601" t="str">
        <f>HYPERLINK("Melting_Curves/meltCurve_Q9Y6Q9_5_NCOA3.pdf", "Melting_Curves/meltCurve_Q9Y6Q9_5_NCOA3.pdf")</f>
        <v>Melting_Curves/meltCurve_Q9Y6Q9_5_NCOA3.pdf</v>
      </c>
    </row>
    <row r="6602" spans="1:28" x14ac:dyDescent="0.25">
      <c r="A6602" t="s">
        <v>6605</v>
      </c>
      <c r="B6602">
        <v>0.99930955844802105</v>
      </c>
      <c r="C6602">
        <v>0.97422839837475295</v>
      </c>
      <c r="D6602">
        <v>0.89607555716953502</v>
      </c>
      <c r="E6602">
        <v>0.622929720409234</v>
      </c>
      <c r="F6602">
        <v>0.263386287537135</v>
      </c>
      <c r="G6602">
        <v>0.193912740565927</v>
      </c>
      <c r="H6602">
        <v>0.14970173592674499</v>
      </c>
      <c r="I6602">
        <v>0.14322067689369999</v>
      </c>
      <c r="J6602">
        <v>0.13782975178802401</v>
      </c>
      <c r="K6602">
        <v>0.110302261479184</v>
      </c>
      <c r="L6602">
        <v>1322.9016781421301</v>
      </c>
      <c r="M6602">
        <v>26.350606092874301</v>
      </c>
      <c r="N6602">
        <v>50.7991409486824</v>
      </c>
      <c r="O6602">
        <v>49.917376664234901</v>
      </c>
      <c r="P6602">
        <v>-0.114442103296113</v>
      </c>
      <c r="Q6602">
        <v>0.13283401508269799</v>
      </c>
      <c r="R6602">
        <v>0.99576819805138195</v>
      </c>
      <c r="S6602" t="s">
        <v>13218</v>
      </c>
      <c r="T6602" t="s">
        <v>13232</v>
      </c>
      <c r="U6602" t="s">
        <v>13232</v>
      </c>
      <c r="V6602" t="s">
        <v>13232</v>
      </c>
      <c r="W6602" t="s">
        <v>19758</v>
      </c>
      <c r="X6602">
        <v>14</v>
      </c>
      <c r="Y6602" t="s">
        <v>26119</v>
      </c>
      <c r="Z6602" t="s">
        <v>32733</v>
      </c>
      <c r="AA6602">
        <v>0.43477045039254919</v>
      </c>
      <c r="AB6602" t="str">
        <f>HYPERLINK("Melting_Curves/meltCurve_Q9Y6V7_DDX49.pdf", "Melting_Curves/meltCurve_Q9Y6V7_DDX49.pdf")</f>
        <v>Melting_Curves/meltCurve_Q9Y6V7_DDX49.pdf</v>
      </c>
    </row>
    <row r="6603" spans="1:28" x14ac:dyDescent="0.25">
      <c r="A6603" t="s">
        <v>6606</v>
      </c>
      <c r="B6603">
        <v>0.99930955844802105</v>
      </c>
      <c r="C6603">
        <v>1.03011399908704</v>
      </c>
      <c r="D6603">
        <v>0.94341829180075998</v>
      </c>
      <c r="E6603">
        <v>0.71130494138612999</v>
      </c>
      <c r="F6603">
        <v>0.23686220748777001</v>
      </c>
      <c r="G6603">
        <v>0.18053068020535901</v>
      </c>
      <c r="H6603">
        <v>0.12850706767608899</v>
      </c>
      <c r="I6603">
        <v>0.118287816356115</v>
      </c>
      <c r="J6603">
        <v>0.110394963440379</v>
      </c>
      <c r="K6603">
        <v>8.3961430699232703E-2</v>
      </c>
      <c r="L6603">
        <v>2119.8138683572602</v>
      </c>
      <c r="M6603">
        <v>41.725556136515699</v>
      </c>
      <c r="N6603">
        <v>51.140016318541001</v>
      </c>
      <c r="O6603">
        <v>50.687469797736803</v>
      </c>
      <c r="P6603">
        <v>-0.18110687391993099</v>
      </c>
      <c r="Q6603">
        <v>0.119980086376668</v>
      </c>
      <c r="R6603">
        <v>0.99516272367506597</v>
      </c>
      <c r="S6603" t="s">
        <v>13219</v>
      </c>
      <c r="T6603" t="s">
        <v>13232</v>
      </c>
      <c r="U6603" t="s">
        <v>13232</v>
      </c>
      <c r="V6603" t="s">
        <v>13232</v>
      </c>
      <c r="W6603" t="s">
        <v>19759</v>
      </c>
      <c r="X6603">
        <v>26</v>
      </c>
      <c r="Y6603" t="s">
        <v>26120</v>
      </c>
      <c r="Z6603" t="s">
        <v>32734</v>
      </c>
      <c r="AA6603">
        <v>0.43973496680801621</v>
      </c>
      <c r="AB6603" t="str">
        <f>HYPERLINK("Melting_Curves/meltCurve_Q9Y6W3_CAPN7.pdf", "Melting_Curves/meltCurve_Q9Y6W3_CAPN7.pdf")</f>
        <v>Melting_Curves/meltCurve_Q9Y6W3_CAPN7.pdf</v>
      </c>
    </row>
    <row r="6604" spans="1:28" x14ac:dyDescent="0.25">
      <c r="A6604" t="s">
        <v>6607</v>
      </c>
      <c r="B6604">
        <v>0.99930955844802105</v>
      </c>
      <c r="C6604">
        <v>0.84935597629690296</v>
      </c>
      <c r="D6604">
        <v>0.85969998676529502</v>
      </c>
      <c r="E6604">
        <v>0.870444004126258</v>
      </c>
      <c r="F6604">
        <v>0.60677583167580995</v>
      </c>
      <c r="G6604">
        <v>0.49227814112276502</v>
      </c>
      <c r="H6604">
        <v>0.39070756339264101</v>
      </c>
      <c r="I6604">
        <v>0.33525740573347401</v>
      </c>
      <c r="J6604">
        <v>0.28543232729563001</v>
      </c>
      <c r="K6604">
        <v>0.21097956921945599</v>
      </c>
      <c r="L6604">
        <v>458.22526891505299</v>
      </c>
      <c r="M6604">
        <v>8.0938801548716395</v>
      </c>
      <c r="N6604">
        <v>57.493756948878698</v>
      </c>
      <c r="O6604">
        <v>53.472147768693503</v>
      </c>
      <c r="P6604">
        <v>-3.5675620725122897E-2</v>
      </c>
      <c r="Q6604">
        <v>5.8256942167061398E-2</v>
      </c>
      <c r="R6604">
        <v>0.96709152646640995</v>
      </c>
      <c r="S6604" t="s">
        <v>13220</v>
      </c>
      <c r="T6604" t="s">
        <v>13232</v>
      </c>
      <c r="U6604" t="s">
        <v>13232</v>
      </c>
      <c r="V6604" t="s">
        <v>13232</v>
      </c>
      <c r="W6604" t="s">
        <v>19760</v>
      </c>
      <c r="X6604">
        <v>10</v>
      </c>
      <c r="Y6604" t="s">
        <v>26121</v>
      </c>
      <c r="Z6604" t="s">
        <v>32735</v>
      </c>
      <c r="AA6604">
        <v>0.5941800085145813</v>
      </c>
      <c r="AB6604" t="str">
        <f>HYPERLINK("Melting_Curves/meltCurve_Q9Y6W5_WASF2.pdf", "Melting_Curves/meltCurve_Q9Y6W5_WASF2.pdf")</f>
        <v>Melting_Curves/meltCurve_Q9Y6W5_WASF2.pdf</v>
      </c>
    </row>
    <row r="6605" spans="1:28" x14ac:dyDescent="0.25">
      <c r="A6605" t="s">
        <v>6608</v>
      </c>
      <c r="B6605">
        <v>0.99930955844802105</v>
      </c>
      <c r="C6605">
        <v>0.90767832903986201</v>
      </c>
      <c r="D6605">
        <v>0.68200604667922904</v>
      </c>
      <c r="E6605">
        <v>0.422169884040488</v>
      </c>
      <c r="F6605">
        <v>0.26810880142737797</v>
      </c>
      <c r="G6605">
        <v>0.19754349687081499</v>
      </c>
      <c r="H6605">
        <v>0.143243294470452</v>
      </c>
      <c r="I6605">
        <v>0.127721818581265</v>
      </c>
      <c r="J6605">
        <v>0.11694452926681501</v>
      </c>
      <c r="K6605">
        <v>9.6065377994867099E-2</v>
      </c>
      <c r="L6605">
        <v>779.83864042247797</v>
      </c>
      <c r="M6605">
        <v>16.240644367054699</v>
      </c>
      <c r="N6605">
        <v>48.773906776134403</v>
      </c>
      <c r="O6605">
        <v>47.307402072106001</v>
      </c>
      <c r="P6605">
        <v>-7.6278384435480004E-2</v>
      </c>
      <c r="Q6605">
        <v>0.11130010623627901</v>
      </c>
      <c r="R6605">
        <v>0.99712479819540401</v>
      </c>
      <c r="S6605" t="s">
        <v>13221</v>
      </c>
      <c r="T6605" t="s">
        <v>13232</v>
      </c>
      <c r="U6605" t="s">
        <v>13232</v>
      </c>
      <c r="V6605" t="s">
        <v>13232</v>
      </c>
      <c r="W6605" t="s">
        <v>19761</v>
      </c>
      <c r="X6605">
        <v>19</v>
      </c>
      <c r="Y6605" t="s">
        <v>26122</v>
      </c>
      <c r="Z6605" t="s">
        <v>32736</v>
      </c>
      <c r="AA6605">
        <v>0.36829395981074903</v>
      </c>
      <c r="AB6605" t="str">
        <f>HYPERLINK("Melting_Curves/meltCurve_Q9Y6X9_MORC2.pdf", "Melting_Curves/meltCurve_Q9Y6X9_MORC2.pdf")</f>
        <v>Melting_Curves/meltCurve_Q9Y6X9_MORC2.pdf</v>
      </c>
    </row>
    <row r="6606" spans="1:28" x14ac:dyDescent="0.25">
      <c r="A6606" t="s">
        <v>6609</v>
      </c>
      <c r="B6606">
        <v>0.99930955844802105</v>
      </c>
      <c r="C6606">
        <v>1.1686821051801</v>
      </c>
      <c r="D6606">
        <v>1.12588220681559</v>
      </c>
      <c r="E6606">
        <v>0.94714547590590903</v>
      </c>
      <c r="F6606">
        <v>0.57200768279880199</v>
      </c>
      <c r="G6606">
        <v>0.306085925738111</v>
      </c>
      <c r="H6606">
        <v>0.21503098289509401</v>
      </c>
      <c r="I6606">
        <v>0.18588150561761299</v>
      </c>
      <c r="J6606">
        <v>0.167081342700788</v>
      </c>
      <c r="K6606">
        <v>0.11651256501311601</v>
      </c>
      <c r="L6606">
        <v>1744.2935916742399</v>
      </c>
      <c r="M6606">
        <v>32.801979269370598</v>
      </c>
      <c r="N6606">
        <v>53.882711906532002</v>
      </c>
      <c r="O6606">
        <v>52.980026637780298</v>
      </c>
      <c r="P6606">
        <v>-0.12774066934433301</v>
      </c>
      <c r="Q6606">
        <v>0.17472418206889601</v>
      </c>
      <c r="R6606">
        <v>0.96752010782603803</v>
      </c>
      <c r="S6606" t="s">
        <v>13222</v>
      </c>
      <c r="T6606" t="s">
        <v>13232</v>
      </c>
      <c r="U6606" t="s">
        <v>13232</v>
      </c>
      <c r="V6606" t="s">
        <v>13232</v>
      </c>
      <c r="W6606" t="s">
        <v>19762</v>
      </c>
      <c r="X6606">
        <v>4</v>
      </c>
      <c r="Y6606" t="s">
        <v>26123</v>
      </c>
      <c r="Z6606" t="s">
        <v>32737</v>
      </c>
      <c r="AA6606">
        <v>0.54169901113497188</v>
      </c>
      <c r="AB6606" t="str">
        <f>HYPERLINK("Melting_Curves/meltCurve_R4GMN1_MOSPD2.pdf", "Melting_Curves/meltCurve_R4GMN1_MOSPD2.pdf")</f>
        <v>Melting_Curves/meltCurve_R4GMN1_MOSPD2.pdf</v>
      </c>
    </row>
    <row r="6607" spans="1:28" x14ac:dyDescent="0.25">
      <c r="A6607" t="s">
        <v>6610</v>
      </c>
      <c r="B6607">
        <v>0.99930955844802105</v>
      </c>
      <c r="C6607">
        <v>0.60240513236212201</v>
      </c>
      <c r="D6607">
        <v>0.62195673476277202</v>
      </c>
      <c r="E6607">
        <v>0.59401471664639904</v>
      </c>
      <c r="F6607">
        <v>0.29532069658173199</v>
      </c>
      <c r="G6607">
        <v>0.180182741817457</v>
      </c>
      <c r="H6607">
        <v>7.8160597487971398E-2</v>
      </c>
      <c r="I6607">
        <v>5.9213340106180998E-2</v>
      </c>
      <c r="J6607">
        <v>4.8157693363556797E-2</v>
      </c>
      <c r="K6607">
        <v>3.8515432750832503E-2</v>
      </c>
      <c r="L6607">
        <v>465.889203293582</v>
      </c>
      <c r="M6607">
        <v>9.5759496368300798</v>
      </c>
      <c r="N6607">
        <v>48.652010781692802</v>
      </c>
      <c r="O6607">
        <v>46.672185724347003</v>
      </c>
      <c r="P6607">
        <v>-5.13230974684519E-2</v>
      </c>
      <c r="Q6607">
        <v>0</v>
      </c>
      <c r="R6607">
        <v>0.92510805557676301</v>
      </c>
      <c r="S6607" t="s">
        <v>13223</v>
      </c>
      <c r="T6607" t="s">
        <v>13232</v>
      </c>
      <c r="U6607" t="s">
        <v>13232</v>
      </c>
      <c r="V6607" t="s">
        <v>13232</v>
      </c>
      <c r="W6607" t="s">
        <v>19763</v>
      </c>
      <c r="X6607">
        <v>13</v>
      </c>
      <c r="Y6607" t="s">
        <v>26124</v>
      </c>
      <c r="Z6607" t="s">
        <v>32738</v>
      </c>
      <c r="AA6607">
        <v>0.34202851250171967</v>
      </c>
      <c r="AB6607" t="str">
        <f>HYPERLINK("Melting_Curves/meltCurve_R4GMR5_PSMD8.pdf", "Melting_Curves/meltCurve_R4GMR5_PSMD8.pdf")</f>
        <v>Melting_Curves/meltCurve_R4GMR5_PSMD8.pdf</v>
      </c>
    </row>
    <row r="6608" spans="1:28" x14ac:dyDescent="0.25">
      <c r="A6608" t="s">
        <v>6611</v>
      </c>
      <c r="B6608">
        <v>0.99930955844802105</v>
      </c>
      <c r="C6608">
        <v>0.96181968748148405</v>
      </c>
      <c r="D6608">
        <v>0.93092919089449899</v>
      </c>
      <c r="E6608">
        <v>0.68723677813853101</v>
      </c>
      <c r="F6608">
        <v>0.51476399771218695</v>
      </c>
      <c r="G6608">
        <v>0.35746636910231899</v>
      </c>
      <c r="H6608">
        <v>0.21742791520411001</v>
      </c>
      <c r="I6608">
        <v>0.163400241325562</v>
      </c>
      <c r="J6608">
        <v>0.103586508578037</v>
      </c>
      <c r="K6608">
        <v>7.8806957488626803E-2</v>
      </c>
      <c r="L6608">
        <v>682.86008228398305</v>
      </c>
      <c r="M6608">
        <v>12.8312123396923</v>
      </c>
      <c r="N6608">
        <v>53.673219879911898</v>
      </c>
      <c r="O6608">
        <v>51.975730652530103</v>
      </c>
      <c r="P6608">
        <v>-5.85505743495153E-2</v>
      </c>
      <c r="Q6608">
        <v>5.1486881792945902E-2</v>
      </c>
      <c r="R6608">
        <v>0.99653032902526995</v>
      </c>
      <c r="S6608" t="s">
        <v>13224</v>
      </c>
      <c r="T6608" t="s">
        <v>13232</v>
      </c>
      <c r="U6608" t="s">
        <v>13232</v>
      </c>
      <c r="V6608" t="s">
        <v>13232</v>
      </c>
      <c r="W6608" t="s">
        <v>19764</v>
      </c>
      <c r="X6608">
        <v>12</v>
      </c>
      <c r="Y6608" t="s">
        <v>26125</v>
      </c>
      <c r="Z6608" t="s">
        <v>32739</v>
      </c>
      <c r="AA6608">
        <v>0.49404404112317951</v>
      </c>
      <c r="AB6608" t="str">
        <f>HYPERLINK("Melting_Curves/meltCurve_R4GMX3_BMI1.pdf", "Melting_Curves/meltCurve_R4GMX3_BMI1.pdf")</f>
        <v>Melting_Curves/meltCurve_R4GMX3_BMI1.pdf</v>
      </c>
    </row>
    <row r="6609" spans="1:28" x14ac:dyDescent="0.25">
      <c r="A6609" t="s">
        <v>6612</v>
      </c>
      <c r="B6609">
        <v>0.99930955844802105</v>
      </c>
      <c r="C6609">
        <v>1.07907749401229</v>
      </c>
      <c r="D6609">
        <v>1.0335254933414999</v>
      </c>
      <c r="E6609">
        <v>1.00214760491744</v>
      </c>
      <c r="F6609">
        <v>0.71478459796662297</v>
      </c>
      <c r="G6609">
        <v>0.53391348521633697</v>
      </c>
      <c r="H6609">
        <v>0.53212348832279999</v>
      </c>
      <c r="I6609">
        <v>0.51579799300961404</v>
      </c>
      <c r="J6609">
        <v>0.54370595631727703</v>
      </c>
      <c r="K6609">
        <v>0.45292101823735198</v>
      </c>
      <c r="L6609">
        <v>5402.8615852358698</v>
      </c>
      <c r="M6609">
        <v>102.29919131198</v>
      </c>
      <c r="O6609">
        <v>52.794135163390003</v>
      </c>
      <c r="P6609">
        <v>-0.23464124783002999</v>
      </c>
      <c r="Q6609">
        <v>0.51562931906862597</v>
      </c>
      <c r="R6609">
        <v>0.97862739490888195</v>
      </c>
      <c r="S6609" t="s">
        <v>13225</v>
      </c>
      <c r="T6609" t="s">
        <v>13232</v>
      </c>
      <c r="U6609" t="s">
        <v>13232</v>
      </c>
      <c r="V6609" t="s">
        <v>13232</v>
      </c>
      <c r="W6609" t="s">
        <v>19765</v>
      </c>
      <c r="X6609">
        <v>16</v>
      </c>
      <c r="Y6609" t="s">
        <v>26126</v>
      </c>
      <c r="Z6609" t="s">
        <v>32740</v>
      </c>
      <c r="AA6609">
        <v>0.72279366948426849</v>
      </c>
      <c r="AB6609" t="str">
        <f>HYPERLINK("Melting_Curves/meltCurve_R4GN55_YTHDF3.pdf", "Melting_Curves/meltCurve_R4GN55_YTHDF3.pdf")</f>
        <v>Melting_Curves/meltCurve_R4GN55_YTHDF3.pdf</v>
      </c>
    </row>
    <row r="6610" spans="1:28" x14ac:dyDescent="0.25">
      <c r="A6610" t="s">
        <v>6613</v>
      </c>
      <c r="B6610">
        <v>0.99930955844802105</v>
      </c>
      <c r="C6610">
        <v>0.99494477981832596</v>
      </c>
      <c r="D6610">
        <v>0.87176146415976796</v>
      </c>
      <c r="E6610">
        <v>0.708013922937475</v>
      </c>
      <c r="F6610">
        <v>0.463803580660197</v>
      </c>
      <c r="G6610">
        <v>0.22555433122548199</v>
      </c>
      <c r="H6610">
        <v>0.13395058412439501</v>
      </c>
      <c r="I6610">
        <v>0.11082371640826599</v>
      </c>
      <c r="J6610">
        <v>9.8751716700295505E-2</v>
      </c>
      <c r="K6610">
        <v>8.0858391783890995E-2</v>
      </c>
      <c r="L6610">
        <v>891.36138889733797</v>
      </c>
      <c r="M6610">
        <v>17.141205716078002</v>
      </c>
      <c r="N6610">
        <v>52.4670848196374</v>
      </c>
      <c r="O6610">
        <v>51.308815629147702</v>
      </c>
      <c r="P6610">
        <v>-7.7627121668499999E-2</v>
      </c>
      <c r="Q6610">
        <v>7.0609736252889396E-2</v>
      </c>
      <c r="R6610">
        <v>0.998124585440051</v>
      </c>
      <c r="S6610" t="s">
        <v>13226</v>
      </c>
      <c r="T6610" t="s">
        <v>13232</v>
      </c>
      <c r="U6610" t="s">
        <v>13232</v>
      </c>
      <c r="V6610" t="s">
        <v>13232</v>
      </c>
      <c r="W6610" t="s">
        <v>19766</v>
      </c>
      <c r="X6610">
        <v>6</v>
      </c>
      <c r="Y6610" t="s">
        <v>26127</v>
      </c>
      <c r="Z6610" t="s">
        <v>32741</v>
      </c>
      <c r="AA6610">
        <v>0.45919199190806109</v>
      </c>
      <c r="AB6610" t="str">
        <f>HYPERLINK("Melting_Curves/meltCurve_R4GNB1_AASDH.pdf", "Melting_Curves/meltCurve_R4GNB1_AASDH.pdf")</f>
        <v>Melting_Curves/meltCurve_R4GNB1_AASDH.pdf</v>
      </c>
    </row>
    <row r="6611" spans="1:28" x14ac:dyDescent="0.25">
      <c r="A6611" t="s">
        <v>6614</v>
      </c>
      <c r="B6611">
        <v>0.99930955844802105</v>
      </c>
      <c r="C6611">
        <v>0.98366829151091995</v>
      </c>
      <c r="D6611">
        <v>0.96623495459853903</v>
      </c>
      <c r="E6611">
        <v>0.916654110480841</v>
      </c>
      <c r="F6611">
        <v>0.67400098343804304</v>
      </c>
      <c r="G6611">
        <v>0.52325558586632204</v>
      </c>
      <c r="H6611">
        <v>0.44677037370450801</v>
      </c>
      <c r="I6611">
        <v>0.44245971968011799</v>
      </c>
      <c r="J6611">
        <v>0.41363208057285999</v>
      </c>
      <c r="K6611">
        <v>0.33055637952626099</v>
      </c>
      <c r="L6611">
        <v>1085.2513176667901</v>
      </c>
      <c r="M6611">
        <v>20.3547596841135</v>
      </c>
      <c r="N6611">
        <v>57.525538767711602</v>
      </c>
      <c r="O6611">
        <v>52.810242406918299</v>
      </c>
      <c r="P6611">
        <v>-5.9047715996154097E-2</v>
      </c>
      <c r="Q6611">
        <v>0.38722378261248802</v>
      </c>
      <c r="R6611">
        <v>0.98612702230995897</v>
      </c>
      <c r="S6611" t="s">
        <v>13227</v>
      </c>
      <c r="T6611" t="s">
        <v>13232</v>
      </c>
      <c r="U6611" t="s">
        <v>13232</v>
      </c>
      <c r="V6611" t="s">
        <v>13232</v>
      </c>
      <c r="W6611" t="s">
        <v>19767</v>
      </c>
      <c r="X6611">
        <v>28</v>
      </c>
      <c r="Y6611" t="s">
        <v>26128</v>
      </c>
      <c r="Z6611" t="s">
        <v>32742</v>
      </c>
      <c r="AA6611">
        <v>0.66738891438272907</v>
      </c>
      <c r="AB6611" t="str">
        <f>HYPERLINK("Melting_Curves/meltCurve_R4GNB2_DENND4C.pdf", "Melting_Curves/meltCurve_R4GNB2_DENND4C.pdf")</f>
        <v>Melting_Curves/meltCurve_R4GNB2_DENND4C.pdf</v>
      </c>
    </row>
    <row r="6612" spans="1:28" x14ac:dyDescent="0.25">
      <c r="A6612" t="s">
        <v>6615</v>
      </c>
      <c r="B6612">
        <v>0.99930955844802105</v>
      </c>
      <c r="C6612">
        <v>0.94113646837036602</v>
      </c>
      <c r="D6612">
        <v>0.82567156016971599</v>
      </c>
      <c r="E6612">
        <v>0.801494218051921</v>
      </c>
      <c r="F6612">
        <v>0.607312485759814</v>
      </c>
      <c r="G6612">
        <v>0.543188677074255</v>
      </c>
      <c r="H6612">
        <v>0.46758264197486599</v>
      </c>
      <c r="I6612">
        <v>0.58484003176905297</v>
      </c>
      <c r="J6612">
        <v>0.53247304740899004</v>
      </c>
      <c r="K6612">
        <v>0.49832408297202202</v>
      </c>
      <c r="L6612">
        <v>706.37552539988599</v>
      </c>
      <c r="M6612">
        <v>14.3083175363967</v>
      </c>
      <c r="O6612">
        <v>48.433889621137901</v>
      </c>
      <c r="P6612">
        <v>-3.6850383193356102E-2</v>
      </c>
      <c r="Q6612">
        <v>0.50110401876436494</v>
      </c>
      <c r="R6612">
        <v>0.94694786709121503</v>
      </c>
      <c r="S6612" t="s">
        <v>13228</v>
      </c>
      <c r="T6612" t="s">
        <v>13232</v>
      </c>
      <c r="U6612" t="s">
        <v>13232</v>
      </c>
      <c r="V6612" t="s">
        <v>13232</v>
      </c>
      <c r="W6612" t="s">
        <v>19768</v>
      </c>
      <c r="X6612">
        <v>2</v>
      </c>
      <c r="Y6612" t="s">
        <v>26129</v>
      </c>
      <c r="Z6612" t="s">
        <v>32743</v>
      </c>
      <c r="AA6612">
        <v>0.6701380050109601</v>
      </c>
      <c r="AB6612" t="str">
        <f>HYPERLINK("Melting_Curves/meltCurve_R4GNG2_AMFR.pdf", "Melting_Curves/meltCurve_R4GNG2_AMFR.pdf")</f>
        <v>Melting_Curves/meltCurve_R4GNG2_AMFR.pdf</v>
      </c>
    </row>
    <row r="6613" spans="1:28" x14ac:dyDescent="0.25">
      <c r="A6613" t="s">
        <v>6616</v>
      </c>
      <c r="B6613">
        <v>0.99930955844802105</v>
      </c>
      <c r="C6613">
        <v>0.947469275173633</v>
      </c>
      <c r="D6613">
        <v>1.0255728889015401</v>
      </c>
      <c r="E6613">
        <v>0.708249972769595</v>
      </c>
      <c r="F6613">
        <v>0.34198041777566002</v>
      </c>
      <c r="G6613">
        <v>0.212421912493759</v>
      </c>
      <c r="H6613">
        <v>9.5744690316964198E-2</v>
      </c>
      <c r="I6613">
        <v>0.11924383636390901</v>
      </c>
      <c r="J6613">
        <v>2.1077105895252201E-2</v>
      </c>
      <c r="K6613">
        <v>3.0938104923630499E-2</v>
      </c>
      <c r="L6613">
        <v>1309.89497919884</v>
      </c>
      <c r="M6613">
        <v>25.417673148414899</v>
      </c>
      <c r="N6613">
        <v>51.842260783538499</v>
      </c>
      <c r="O6613">
        <v>51.219002918718402</v>
      </c>
      <c r="P6613">
        <v>-0.1153857816719</v>
      </c>
      <c r="Q6613">
        <v>6.99590732184171E-2</v>
      </c>
      <c r="R6613">
        <v>0.98833634592092401</v>
      </c>
      <c r="S6613" t="s">
        <v>13229</v>
      </c>
      <c r="T6613" t="s">
        <v>13232</v>
      </c>
      <c r="U6613" t="s">
        <v>13232</v>
      </c>
      <c r="V6613" t="s">
        <v>13232</v>
      </c>
      <c r="W6613" t="s">
        <v>19769</v>
      </c>
      <c r="X6613">
        <v>1</v>
      </c>
      <c r="Y6613" t="s">
        <v>26130</v>
      </c>
      <c r="Z6613" t="s">
        <v>32744</v>
      </c>
      <c r="AA6613">
        <v>0.43573592274890321</v>
      </c>
      <c r="AB6613" t="str">
        <f>HYPERLINK("Melting_Curves/meltCurve_R4GNH2_FBXO2.pdf", "Melting_Curves/meltCurve_R4GNH2_FBXO2.pdf")</f>
        <v>Melting_Curves/meltCurve_R4GNH2_FBXO2.pdf</v>
      </c>
    </row>
    <row r="6614" spans="1:28" x14ac:dyDescent="0.25">
      <c r="A6614" t="s">
        <v>6617</v>
      </c>
      <c r="B6614">
        <v>0.99930955844802105</v>
      </c>
      <c r="C6614">
        <v>0.66653771752261903</v>
      </c>
      <c r="D6614">
        <v>0.56099692918875099</v>
      </c>
      <c r="E6614">
        <v>0.46920287972018199</v>
      </c>
      <c r="F6614">
        <v>0.24939048519555099</v>
      </c>
      <c r="G6614">
        <v>0.15684555571617301</v>
      </c>
      <c r="H6614">
        <v>8.0298861084118101E-2</v>
      </c>
      <c r="I6614">
        <v>6.3309607627404896E-2</v>
      </c>
      <c r="J6614">
        <v>5.2548236206036998E-2</v>
      </c>
      <c r="K6614">
        <v>3.8424128647681202E-2</v>
      </c>
      <c r="L6614">
        <v>490.80916121183299</v>
      </c>
      <c r="M6614">
        <v>10.2721811293196</v>
      </c>
      <c r="N6614">
        <v>47.7804239388336</v>
      </c>
      <c r="O6614">
        <v>46.0758576217792</v>
      </c>
      <c r="P6614">
        <v>-5.5759623646910103E-2</v>
      </c>
      <c r="Q6614">
        <v>0</v>
      </c>
      <c r="R6614">
        <v>0.96686729783117198</v>
      </c>
      <c r="S6614" t="s">
        <v>13230</v>
      </c>
      <c r="T6614" t="s">
        <v>13232</v>
      </c>
      <c r="U6614" t="s">
        <v>13232</v>
      </c>
      <c r="V6614" t="s">
        <v>13232</v>
      </c>
      <c r="W6614" t="s">
        <v>19770</v>
      </c>
      <c r="X6614">
        <v>29</v>
      </c>
      <c r="Y6614" t="s">
        <v>26131</v>
      </c>
      <c r="Z6614" t="s">
        <v>32745</v>
      </c>
      <c r="AA6614">
        <v>0.31101045564960261</v>
      </c>
      <c r="AB6614" t="str">
        <f>HYPERLINK("Melting_Curves/meltCurve_R4GNH3_PSMC3.pdf", "Melting_Curves/meltCurve_R4GNH3_PSMC3.pdf")</f>
        <v>Melting_Curves/meltCurve_R4GNH3_PSMC3.pdf</v>
      </c>
    </row>
    <row r="6615" spans="1:28" x14ac:dyDescent="0.25">
      <c r="A6615" t="s">
        <v>6618</v>
      </c>
      <c r="B6615">
        <v>0.99930955844802105</v>
      </c>
      <c r="C6615">
        <v>0.97536351348413697</v>
      </c>
      <c r="D6615">
        <v>0.94166960678394196</v>
      </c>
      <c r="E6615">
        <v>0.82362126489740894</v>
      </c>
      <c r="F6615">
        <v>0.436047550985661</v>
      </c>
      <c r="G6615">
        <v>0.29960712312392401</v>
      </c>
      <c r="H6615">
        <v>0.224032012811751</v>
      </c>
      <c r="I6615">
        <v>0.21311960112189501</v>
      </c>
      <c r="J6615">
        <v>0.20752556855040799</v>
      </c>
      <c r="K6615">
        <v>0.19641116160342201</v>
      </c>
      <c r="L6615">
        <v>1615.7737296008499</v>
      </c>
      <c r="M6615">
        <v>31.252211271986901</v>
      </c>
      <c r="N6615">
        <v>52.647650638248003</v>
      </c>
      <c r="O6615">
        <v>51.490782908926299</v>
      </c>
      <c r="P6615">
        <v>-0.119124058922545</v>
      </c>
      <c r="Q6615">
        <v>0.21493442547265801</v>
      </c>
      <c r="R6615">
        <v>0.99465497620916898</v>
      </c>
      <c r="S6615" t="s">
        <v>13231</v>
      </c>
      <c r="T6615" t="s">
        <v>13232</v>
      </c>
      <c r="U6615" t="s">
        <v>13232</v>
      </c>
      <c r="V6615" t="s">
        <v>13232</v>
      </c>
      <c r="W6615" t="s">
        <v>19771</v>
      </c>
      <c r="X6615">
        <v>5</v>
      </c>
      <c r="Y6615" t="s">
        <v>26132</v>
      </c>
      <c r="Z6615" t="s">
        <v>32746</v>
      </c>
      <c r="AA6615">
        <v>0.52574063637520418</v>
      </c>
      <c r="AB6615" t="str">
        <f>HYPERLINK("Melting_Curves/meltCurve_R4GNJ5_ACD.pdf", "Melting_Curves/meltCurve_R4GNJ5_ACD.pdf")</f>
        <v>Melting_Curves/meltCurve_R4GNJ5_ACD.pdf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2017-09-14T13:08:11Z</dcterms:created>
  <dcterms:modified xsi:type="dcterms:W3CDTF">2018-08-21T08:35:07Z</dcterms:modified>
</cp:coreProperties>
</file>